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pivotTables/pivotTable1.xml" ContentType="application/vnd.openxmlformats-officedocument.spreadsheetml.pivotTable+xml"/>
  <Override PartName="/xl/comments6.xml" ContentType="application/vnd.openxmlformats-officedocument.spreadsheetml.comments+xml"/>
  <Override PartName="/xl/threadedComments/threadedComment2.xml" ContentType="application/vnd.ms-excel.threadedcomments+xml"/>
  <Override PartName="/xl/documenttasks/documenttask2.xml" ContentType="application/vnd.ms-excel.documenttask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G:\Mi unidad\Migrated\Documents\From Dropbox\Aleph - Revenue Recognition\- Revenue Recognition - All\PER REGION\LATAM\IA\Recon Examples\Twitter\"/>
    </mc:Choice>
  </mc:AlternateContent>
  <xr:revisionPtr revIDLastSave="0" documentId="13_ncr:1_{07E8EE31-7E57-4FC5-8210-ED926E033B0F}" xr6:coauthVersionLast="47" xr6:coauthVersionMax="47" xr10:uidLastSave="{00000000-0000-0000-0000-000000000000}"/>
  <bookViews>
    <workbookView xWindow="-110" yWindow="-110" windowWidth="19420" windowHeight="10300" tabRatio="941" activeTab="2" xr2:uid="{00000000-000D-0000-FFFF-FFFF00000000}"/>
  </bookViews>
  <sheets>
    <sheet name="con 1" sheetId="5" r:id="rId1"/>
    <sheet name="sf" sheetId="8" r:id="rId2"/>
    <sheet name="bil" sheetId="17" r:id="rId3"/>
    <sheet name="del" sheetId="18" r:id="rId4"/>
    <sheet name="stat" sheetId="19" r:id="rId5"/>
    <sheet name="com" sheetId="24" r:id="rId6"/>
    <sheet name="Com&amp;tax" sheetId="25" r:id="rId7"/>
    <sheet name="int" sheetId="27" state="hidden" r:id="rId8"/>
    <sheet name="Deals" sheetId="29" state="hidden" r:id="rId9"/>
    <sheet name="er" sheetId="30" r:id="rId10"/>
    <sheet name="ERP" sheetId="36" r:id="rId11"/>
    <sheet name="SAP" sheetId="37" state="hidden" r:id="rId12"/>
    <sheet name="CRM_PREV_M" sheetId="38" r:id="rId13"/>
    <sheet name="ERP VS SF" sheetId="40" r:id="rId14"/>
    <sheet name="CONC_PREV_M" sheetId="39" r:id="rId15"/>
    <sheet name="Billing_Rev" sheetId="41" r:id="rId16"/>
    <sheet name="Interco" sheetId="42" r:id="rId17"/>
  </sheets>
  <definedNames>
    <definedName name="_xlnm._FilterDatabase" localSheetId="2" hidden="1">bil!$A$5:$BG$89</definedName>
    <definedName name="_xlnm._FilterDatabase" localSheetId="6" hidden="1">'Com&amp;tax'!$A$1:$I$5</definedName>
    <definedName name="_xlnm._FilterDatabase" localSheetId="0" hidden="1">'con 1'!$A$5:$CN$87</definedName>
    <definedName name="_xlnm._FilterDatabase" localSheetId="12" hidden="1">CRM_PREV_M!$A$1:$BM$2</definedName>
    <definedName name="_xlnm._FilterDatabase" localSheetId="8" hidden="1">Deals!$A$1:$B$3</definedName>
    <definedName name="_xlnm._FilterDatabase" localSheetId="3" hidden="1">del!$A$5:$AP$75</definedName>
    <definedName name="_xlnm._FilterDatabase" localSheetId="9" hidden="1">er!$A$2:$F$75</definedName>
    <definedName name="_xlnm._FilterDatabase" localSheetId="10" hidden="1">ERP!$A$1:$Y$326</definedName>
    <definedName name="_xlnm._FilterDatabase" localSheetId="13" hidden="1">'ERP VS SF'!$A$1:$Q$4755</definedName>
    <definedName name="_xlnm._FilterDatabase" localSheetId="16" hidden="1">Interco!$A$3:$O$14</definedName>
    <definedName name="_xlnm._FilterDatabase" localSheetId="11" hidden="1">SAP!$A$1:$AA$361</definedName>
    <definedName name="_xlnm._FilterDatabase" localSheetId="1" hidden="1">sf!$A$5:$EG$88</definedName>
    <definedName name="_xlnm._FilterDatabase" localSheetId="4" hidden="1">stat!$A$5:$AJ$89</definedName>
    <definedName name="Z_0684B7DA_264F_4F13_A4A0_A4D66725E344_.wvu.FilterData" localSheetId="2" hidden="1">bil!$A$5:$BF$89</definedName>
    <definedName name="Z_071D4DFF_1795_4453_834A_4CA02E1CDBC9_.wvu.FilterData" localSheetId="1" hidden="1">sf!$A$5:$EB$530</definedName>
    <definedName name="Z_0A0A1ECB_C18A_4643_9ACC_191BCF49A61C_.wvu.FilterData" localSheetId="0" hidden="1">'con 1'!$A$6:$CJ$87</definedName>
    <definedName name="Z_0A0A1ECB_C18A_4643_9ACC_191BCF49A61C_.wvu.FilterData" localSheetId="4" hidden="1">stat!$A$5:$AJ$89</definedName>
    <definedName name="Z_13E5F62F_9DD8_49C1_B22D_FEF68D55D4AA_.wvu.FilterData" localSheetId="4" hidden="1">stat!$A$5:$AI$89</definedName>
    <definedName name="Z_16235030_164F_40BD_99D5_7573AF44E29C_.wvu.FilterData" localSheetId="2" hidden="1">bil!$A$5:$BG$89</definedName>
    <definedName name="Z_16235030_164F_40BD_99D5_7573AF44E29C_.wvu.FilterData" localSheetId="0" hidden="1">'con 1'!$A$6:$CJ$87</definedName>
    <definedName name="Z_16235030_164F_40BD_99D5_7573AF44E29C_.wvu.FilterData" localSheetId="3" hidden="1">del!$A$5:$AO$75</definedName>
    <definedName name="Z_16235030_164F_40BD_99D5_7573AF44E29C_.wvu.FilterData" localSheetId="1" hidden="1">sf!$A$5:$EB$876</definedName>
    <definedName name="Z_16235030_164F_40BD_99D5_7573AF44E29C_.wvu.FilterData" localSheetId="4" hidden="1">stat!$A$5:$AI$89</definedName>
    <definedName name="Z_26FFE313_F40D_4244_BA20_286E45A9CDFE_.wvu.FilterData" localSheetId="3" hidden="1">del!$A$5:$AO$75</definedName>
    <definedName name="Z_300BE192_3375_4E2E_B894_87535A228B0E_.wvu.FilterData" localSheetId="2" hidden="1">bil!$A$5:$BF$89</definedName>
    <definedName name="Z_326C616B_01FB_4DE3_ABF6_4934D2182CF7_.wvu.FilterData" localSheetId="2" hidden="1">bil!$A$5:$BF$89</definedName>
    <definedName name="Z_45BF9CB2_84D8_47DE_A361_D68A940956A6_.wvu.FilterData" localSheetId="1" hidden="1">sf!$A$5:$EB$530</definedName>
    <definedName name="Z_462E7138_4027_4DBE_9B78_22C8A7307EB7_.wvu.FilterData" localSheetId="1" hidden="1">sf!$A$5:$EB$530</definedName>
    <definedName name="Z_4CE4C9B3_B3DB_4A32_999F_DDF3DBD00E3C_.wvu.FilterData" localSheetId="4" hidden="1">stat!$A$5:$AI$89</definedName>
    <definedName name="Z_556E9078_6B03_4FFB_BB2F_218540054119_.wvu.FilterData" localSheetId="3" hidden="1">del!$A$5:$AO$75</definedName>
    <definedName name="Z_596CEAC7_47D8_49D0_A0E9_809ED0B9B39C_.wvu.FilterData" localSheetId="3" hidden="1">del!$A$5:$AO$75</definedName>
    <definedName name="Z_6317079B_7128_4859_AE81_0B61D7A86479_.wvu.FilterData" localSheetId="2" hidden="1">bil!$A$5:$BF$89</definedName>
    <definedName name="Z_68C639DD_992D_4585_B981_2EE9A9A5A3C5_.wvu.FilterData" localSheetId="2" hidden="1">bil!$A$5:$BF$89</definedName>
    <definedName name="Z_693A11C2_5F24_4AC8_921D_C0726BBEE3DA_.wvu.FilterData" localSheetId="2" hidden="1">bil!$A$5:$BG$89</definedName>
    <definedName name="Z_6C964100_4821_49A7_B147_1C80DB78D69C_.wvu.FilterData" localSheetId="1" hidden="1">sf!$A$5:$EB$876</definedName>
    <definedName name="Z_6FC748F9_A69B_449E_9167_6ABA5BC34FD0_.wvu.FilterData" localSheetId="4" hidden="1">stat!$A$5:$AI$89</definedName>
    <definedName name="Z_800109E5_0DB8_41FE_BBF9_131641B2C939_.wvu.FilterData" localSheetId="3" hidden="1">del!$A$5:$AO$75</definedName>
    <definedName name="Z_82BFF0B1_7091_4E9C_8ADB_FF7A64759AFA_.wvu.FilterData" localSheetId="0" hidden="1">'con 1'!$A$6:$CJ$87</definedName>
    <definedName name="Z_881A75FD_16BF_46BB_AE7D_4AFCB453DA42_.wvu.FilterData" localSheetId="3" hidden="1">del!$A$5:$AO$75</definedName>
    <definedName name="Z_884F5C4D_2BD0_4584_9FE3_6F18ED116A2D_.wvu.FilterData" localSheetId="3" hidden="1">del!$A$5:$AO$75</definedName>
    <definedName name="Z_92E7BB36_BAB3_4DA6_9CE3_E9D853A74E13_.wvu.FilterData" localSheetId="2" hidden="1">bil!$A$5:$BF$89</definedName>
    <definedName name="Z_937BA9D1_9623_4CC3_8967_808BD324CB82_.wvu.FilterData" localSheetId="3" hidden="1">del!$A$5:$AO$75</definedName>
    <definedName name="Z_981A91C9_12E4_431F_9537_7B7CAB62EE09_.wvu.FilterData" localSheetId="1" hidden="1">sf!$A$5:$EB$530</definedName>
    <definedName name="Z_98B04CD7_6050_4645_933A_6C0A37F0B33E_.wvu.FilterData" localSheetId="2" hidden="1">bil!$A$5:$BG$89</definedName>
    <definedName name="Z_9DC8DD01_B53C_4A7F_AE55_B54A23D483F2_.wvu.FilterData" localSheetId="4" hidden="1">stat!$A$5:$AI$89</definedName>
    <definedName name="Z_9F6EC69A_CD52_438A_B4BF_FE4AD278465E_.wvu.FilterData" localSheetId="4" hidden="1">stat!$A$5:$AI$89</definedName>
    <definedName name="Z_A55A67D2_7A75_4BB7_8C57_D6178E0757E4_.wvu.FilterData" localSheetId="3" hidden="1">del!$A$5:$AO$75</definedName>
    <definedName name="Z_A6FBCCDF_1BF5_4524_9131_B2AAE9800809_.wvu.FilterData" localSheetId="2" hidden="1">bil!$A$5:$BF$89</definedName>
    <definedName name="Z_ACF45445_6E94_4EAA_AA05_190F110B1BA7_.wvu.FilterData" localSheetId="4" hidden="1">stat!$A$5:$AI$89</definedName>
    <definedName name="Z_B0E09FAE_14F1_4522_ACEF_D33B903DE73E_.wvu.FilterData" localSheetId="2" hidden="1">bil!$A$5:$BG$89</definedName>
    <definedName name="Z_B2612DC3_682A_407E_A0D5_AA5067B40F37_.wvu.FilterData" localSheetId="1" hidden="1">sf!$A$5:$EB$530</definedName>
    <definedName name="Z_B69C2AF0_12B4_47BC_BE1C_46866B4BF7BB_.wvu.FilterData" localSheetId="1" hidden="1">sf!$A$5:$EB$530</definedName>
    <definedName name="Z_B69C2AF0_12B4_47BC_BE1C_46866B4BF7BB_.wvu.FilterData" localSheetId="4" hidden="1">stat!$A$5:$AI$89</definedName>
    <definedName name="Z_C36BEF50_5077_447F_A8BD_A7FE4D00D48F_.wvu.FilterData" localSheetId="4" hidden="1">stat!$A$5:$AI$89</definedName>
    <definedName name="Z_C6331C1F_5D57_44D5_88D0_5D7F9BDE22F8_.wvu.FilterData" localSheetId="3" hidden="1">del!$A$5:$AO$75</definedName>
    <definedName name="Z_CE422D35_2171_41A7_8C6A_6D0F62B2E971_.wvu.FilterData" localSheetId="0" hidden="1">'con 1'!$A$6:$CJ$87</definedName>
    <definedName name="Z_CE422D35_2171_41A7_8C6A_6D0F62B2E971_.wvu.FilterData" localSheetId="1" hidden="1">sf!$A$5:$EB$876</definedName>
    <definedName name="Z_D3D716A1_F093_45D0_9BD2_73D470E2BD75_.wvu.FilterData" localSheetId="2" hidden="1">bil!$A$5:$BF$89</definedName>
    <definedName name="Z_D4FC6617_CC16_4AC8_9E8F_822F9BC1FBFC_.wvu.FilterData" localSheetId="2" hidden="1">bil!$A$5:$BF$89</definedName>
    <definedName name="Z_D78A5C6D_7108_470D_BDD5_DCD8A11D0334_.wvu.FilterData" localSheetId="2" hidden="1">bil!$A$5:$BG$89</definedName>
    <definedName name="Z_DC4F75EE_FC5E_4A6F_86D0_0A90D78E30FA_.wvu.FilterData" localSheetId="3" hidden="1">del!$A$5:$AO$75</definedName>
    <definedName name="Z_DE8F7928_2562_4045_B7A7_B7E036925355_.wvu.FilterData" localSheetId="0" hidden="1">'con 1'!$A$6:$CJ$87</definedName>
    <definedName name="Z_E5BF3091_E97E_4CAE_84B0_34C584EBDC55_.wvu.FilterData" localSheetId="1" hidden="1">sf!$A$5:$EB$530</definedName>
    <definedName name="Z_E95E6EBA_70B0_406F_BD2C_E535F205A054_.wvu.FilterData" localSheetId="0" hidden="1">'con 1'!$A$6:$CJ$87</definedName>
    <definedName name="Z_E9FA287B_C5D3_4330_942F_7F67594F4642_.wvu.FilterData" localSheetId="1" hidden="1">sf!$A$5:$EB$530</definedName>
    <definedName name="Z_F2750B43_1C51_408A_A67B_CB2BBF0005A0_.wvu.FilterData" localSheetId="4" hidden="1">stat!$A$5:$AI$89</definedName>
    <definedName name="Z_F40F2183_D3A2_418B_8702_63BCF2641238_.wvu.FilterData" localSheetId="0" hidden="1">'con 1'!$A$6:$CJ$87</definedName>
    <definedName name="Z_F9EB9AC0_721E_4EB5_956F_EF2E2B4B8D91_.wvu.FilterData" localSheetId="3" hidden="1">del!$A$5:$AO$75</definedName>
  </definedNames>
  <calcPr calcId="191029"/>
  <customWorkbookViews>
    <customWorkbookView name="C4-Line Status" guid="{DC4F75EE-FC5E-4A6F-86D0-0A90D78E30FA}" maximized="1" windowWidth="0" windowHeight="0" activeSheetId="0"/>
    <customWorkbookView name="C6-Miss Country" guid="{884F5C4D-2BD0-4584-9FE3-6F18ED116A2D}" maximized="1" windowWidth="0" windowHeight="0" activeSheetId="0"/>
    <customWorkbookView name="C2-Dif (Stat-SF)" guid="{6FC748F9-A69B-449E-9167-6ABA5BC34FD0}" maximized="1" windowWidth="0" windowHeight="0" activeSheetId="0"/>
    <customWorkbookView name="C1-Curr (Bil-SF)" guid="{92E7BB36-BAB3-4DA6-9CE3-E9D853A74E13}" maximized="1" windowWidth="0" windowHeight="0" activeSheetId="0"/>
    <customWorkbookView name="ErrMay25" guid="{F40F2183-D3A2-418B-8702-63BCF2641238}" maximized="1" windowWidth="0" windowHeight="0" activeSheetId="0"/>
    <customWorkbookView name="C10-Diff (Del-Inv)" guid="{596CEAC7-47D8-49D0-A0E9-809ED0B9B39C}" maximized="1" windowWidth="0" windowHeight="0" activeSheetId="0"/>
    <customWorkbookView name="C1-Stage" guid="{C6331C1F-5D57-44D5-88D0-5D7F9BDE22F8}" maximized="1" windowWidth="0" windowHeight="0" activeSheetId="0"/>
    <customWorkbookView name="C7-Dif (SF-Inv)" guid="{4033890C-4676-42FB-82BA-B4B321B89B53}" maximized="1" windowWidth="0" windowHeight="0" activeSheetId="0"/>
    <customWorkbookView name="APAC" guid="{7046482A-2C8D-4F8B-A094-D304FC59631A}" maximized="1" windowWidth="0" windowHeight="0" activeSheetId="0"/>
    <customWorkbookView name="C3-Curr (SF-Bil)" guid="{A37AE1CF-0091-4B38-AE4A-44898D2B885F}" maximized="1" windowWidth="0" windowHeight="0" activeSheetId="0"/>
    <customWorkbookView name="C1-Curr (Stat-SF)" guid="{13E5F62F-9DD8-49C1-B22D-FEF68D55D4AA}" maximized="1" windowWidth="0" windowHeight="0" activeSheetId="0"/>
    <customWorkbookView name="C2-Diff Cost (Bil-SF)" guid="{326C616B-01FB-4DE3-ABF6-4934D2182CF7}" maximized="1" windowWidth="0" windowHeight="0" activeSheetId="0"/>
    <customWorkbookView name="C9-Dif (SF-Stat)" guid="{F2853D49-A5FD-4DDD-A66A-0B6B0CE8A0CC}" maximized="1" windowWidth="0" windowHeight="0" activeSheetId="0"/>
    <customWorkbookView name="C4-Diff (Bil-Del)" guid="{300BE192-3375-4E2E-B894-87535A228B0E}" maximized="1" windowWidth="0" windowHeight="0" activeSheetId="0"/>
    <customWorkbookView name="C2-Dif (Inv-SF)" guid="{59BA3583-21EB-402A-BA65-182F28218841}" maximized="1" windowWidth="0" windowHeight="0" activeSheetId="0"/>
    <customWorkbookView name="C4-Purch Curr OK? (SF-Bil)" guid="{45BF9CB2-84D8-47DE-A361-D68A940956A6}" maximized="1" windowWidth="0" windowHeight="0" activeSheetId="0"/>
    <customWorkbookView name="C6-Diff (Bil-Stat)" guid="{68C639DD-992D-4585-B981-2EE9A9A5A3C5}" maximized="1" windowWidth="0" windowHeight="0" activeSheetId="0"/>
    <customWorkbookView name="C7-Dif (SF-Sta)" guid="{981A91C9-12E4-431F-9537-7B7CAB62EE09}" maximized="1" windowWidth="0" windowHeight="0" activeSheetId="0"/>
    <customWorkbookView name="C5-Diff (Bil-Inv)" guid="{6317079B-7128-4859-AE81-0B61D7A86479}" maximized="1" windowWidth="0" windowHeight="0" activeSheetId="0"/>
    <customWorkbookView name="C5-Dif (Inv-Stat)" guid="{5BEF78C5-21A1-4D85-B2F9-9FCEB4C5C1E2}" maximized="1" windowWidth="0" windowHeight="0" activeSheetId="0"/>
    <customWorkbookView name="C3-Dif (Inv-Del)" guid="{13064507-FA1F-432F-BA6B-D16595525C37}" maximized="1" windowWidth="0" windowHeight="0" activeSheetId="0"/>
    <customWorkbookView name="C5-Dif (SF-Del)" guid="{C36BEF50-5077-447F-A8BD-A7FE4D00D48F}" maximized="1" windowWidth="0" windowHeight="0" activeSheetId="0"/>
    <customWorkbookView name="C1-Curr (inv-SF)" guid="{88CF227F-C41E-4929-AFDB-997107D7F7EF}" maximized="1" windowWidth="0" windowHeight="0" activeSheetId="0"/>
    <customWorkbookView name="C2-Line exists (prev month)?" guid="{881A75FD-16BF-46BB-AE7D-4AFCB453DA42}" maximized="1" windowWidth="0" windowHeight="0" activeSheetId="0"/>
    <customWorkbookView name="Tina" guid="{98B04CD7-6050-4645-933A-6C0A37F0B33E}" maximized="1" windowWidth="0" windowHeight="0" activeSheetId="0"/>
    <customWorkbookView name="Matic" guid="{DE8F7928-2562-4045-B7A7-B7E036925355}" maximized="1" windowWidth="0" windowHeight="0" activeSheetId="0"/>
    <customWorkbookView name="Filter_Matic" guid="{B69C2AF0-12B4-47BC-BE1C-46866B4BF7BB}" maximized="1" windowWidth="0" windowHeight="0" activeSheetId="0"/>
    <customWorkbookView name="C9-Diff (Del-Bil)" guid="{26FFE313-F40D-4244-BA20-286E45A9CDFE}" maximized="1" windowWidth="0" windowHeight="0" activeSheetId="0"/>
    <customWorkbookView name="C8-Diff (Del-SF)" guid="{A55A67D2-7A75-4BB7-8C57-D6178E0757E4}" maximized="1" windowWidth="0" windowHeight="0" activeSheetId="0"/>
    <customWorkbookView name="C7-Purch Curr" guid="{F9EB9AC0-721E-4EB5-956F-EF2E2B4B8D91}" maximized="1" windowWidth="0" windowHeight="0" activeSheetId="0"/>
    <customWorkbookView name="Filter Aleksandar" guid="{CE422D35-2171-41A7-8C6A-6D0F62B2E971}" maximized="1" windowWidth="0" windowHeight="0" activeSheetId="0"/>
    <customWorkbookView name="Latam" guid="{E95E6EBA-70B0-406F-BD2C-E535F205A054}" maximized="1" windowWidth="0" windowHeight="0" activeSheetId="0"/>
    <customWorkbookView name="C3-Dif (SF-Del)" guid="{E5BF3091-E97E-4CAE-84B0-34C584EBDC55}" maximized="1" windowWidth="0" windowHeight="0" activeSheetId="0"/>
    <customWorkbookView name="C8-Curr (SF-Stat)" guid="{361BEDE2-6E5E-4D44-B5AD-CDFFEA9BD6A4}" maximized="1" windowWidth="0" windowHeight="0" activeSheetId="0"/>
    <customWorkbookView name="Katja" guid="{16235030-164F-40BD-99D5-7573AF44E29C}" maximized="1" windowWidth="0" windowHeight="0" activeSheetId="0"/>
    <customWorkbookView name="C2-Dif (SF-Del)" guid="{704E0EEC-91B8-4E25-AE71-C333E9B40778}" maximized="1" windowWidth="0" windowHeight="0" activeSheetId="0"/>
    <customWorkbookView name="Zero Comm" guid="{A6FBCCDF-1BF5-4524-9131-B2AAE9800809}" maximized="1" windowWidth="0" windowHeight="0" activeSheetId="0"/>
    <customWorkbookView name="Filter_Ais" guid="{D4FC6617-CC16-4AC8-9E8F-822F9BC1FBFC}" maximized="1" windowWidth="0" windowHeight="0" activeSheetId="0"/>
    <customWorkbookView name="C3-Line exists (curr month)?" guid="{800109E5-0DB8-41FE-BBF9-131641B2C939}" maximized="1" windowWidth="0" windowHeight="0" activeSheetId="0"/>
    <customWorkbookView name="C5-# Lines" guid="{556E9078-6B03-4FFB-BB2F-218540054119}" maximized="1" windowWidth="0" windowHeight="0" activeSheetId="0"/>
    <customWorkbookView name="C3-Action Point" guid="{0684B7DA-264F-4F13-A4A0-A4D66725E344}" maximized="1" windowWidth="0" windowHeight="0" activeSheetId="0"/>
    <customWorkbookView name="Not Closed" guid="{2A79461F-600E-44B3-AC38-81A5F3F9A63A}" maximized="1" windowWidth="0" windowHeight="0" activeSheetId="0"/>
    <customWorkbookView name="C8-Dif (Stat-Inv)" guid="{ACF45445-6E94-4EAA-AA05-190F110B1BA7}" maximized="1" windowWidth="0" windowHeight="0" activeSheetId="0"/>
    <customWorkbookView name="C6-Dif (SF-Inv)" guid="{462E7138-4027-4DBE-9B78-22C8A7307EB7}" maximized="1" windowWidth="0" windowHeight="0" activeSheetId="0"/>
    <customWorkbookView name="C5-Margin" guid="{2FA37D5D-D99B-4A4F-9CBA-923209A5B9A4}" maximized="1" windowWidth="0" windowHeight="0" activeSheetId="0"/>
    <customWorkbookView name="Genart" guid="{D78A5C6D-7108-470D-BDD5-DCD8A11D0334}" maximized="1" windowWidth="0" windowHeight="0" activeSheetId="0"/>
    <customWorkbookView name="C4-Purch Curr OK? (SF-Del)" guid="{F2750B43-1C51-408A-A67B-CB2BBF0005A0}" maximized="1" windowWidth="0" windowHeight="0" activeSheetId="0"/>
    <customWorkbookView name="C1-Purch Country OK? (SF-Del)" guid="{E9FA287B-C5D3-4330-942F-7F67594F4642}" maximized="1" windowWidth="0" windowHeight="0" activeSheetId="0"/>
    <customWorkbookView name="C1-Curr (SF-Del)" guid="{DF9A2804-D1D7-4B94-931A-853EF6CA4209}" maximized="1" windowWidth="0" windowHeight="0" activeSheetId="0"/>
    <customWorkbookView name="C4-Dif (SF-Bil)" guid="{9AD243B4-14DE-4F06-A893-94D36927BE2D}" maximized="1" windowWidth="0" windowHeight="0" activeSheetId="0"/>
    <customWorkbookView name="C3-Purch Country OK? (Stat-Del)" guid="{4CE4C9B3-B3DB-4A32-999F-DDF3DBD00E3C}" maximized="1" windowWidth="0" windowHeight="0" activeSheetId="0"/>
    <customWorkbookView name="Revenue Deduction" guid="{B0E09FAE-14F1-4522-ACEF-D33B903DE73E}" maximized="1" windowWidth="0" windowHeight="0" activeSheetId="0"/>
    <customWorkbookView name="C7-Dif (SF-Bil)" guid="{9F6EC69A-CD52-438A-B4BF-FE4AD278465E}" maximized="1" windowWidth="0" windowHeight="0" activeSheetId="0"/>
    <customWorkbookView name="EVC Duplicated lines" guid="{6C964100-4821-49A7-B147-1C80DB78D69C}" maximized="1" windowWidth="0" windowHeight="0" activeSheetId="0"/>
    <customWorkbookView name="C2-Purch Curr OK? (SF-Del)" guid="{B2612DC3-682A-407E-A0D5-AA5067B40F37}" maximized="1" windowWidth="0" windowHeight="0" activeSheetId="0"/>
    <customWorkbookView name="C2-Diff Rev (Bil-SF)" guid="{D3D716A1-F093-45D0-9BD2-73D470E2BD75}" maximized="1" windowWidth="0" windowHeight="0" activeSheetId="0"/>
    <customWorkbookView name="Comments for Rev&amp;Cogs team" guid="{E40C11DD-8817-4B49-84FF-4F480BD72B3B}" maximized="1" windowWidth="0" windowHeight="0" activeSheetId="0"/>
    <customWorkbookView name="T3147670" guid="{693A11C2-5F24-4AC8-921D-C0726BBEE3DA}" maximized="1" windowWidth="0" windowHeight="0" activeSheetId="0"/>
    <customWorkbookView name="C4-Dif (Inv-Bil)" guid="{2AC372DC-717C-4B20-A555-CF5539C902A5}" maximized="1" windowWidth="0" windowHeight="0" activeSheetId="0"/>
    <customWorkbookView name="C11-Diff (Del-Stat)" guid="{937BA9D1-9623-4CC3-8967-808BD324CB82}" maximized="1" windowWidth="0" windowHeight="0" activeSheetId="0"/>
    <customWorkbookView name="C6-Curr (SF-Inv)" guid="{3C19B698-DE59-4994-90EF-E986AE7C3CB8}" maximized="1" windowWidth="0" windowHeight="0" activeSheetId="0"/>
    <customWorkbookView name="Filter 1" guid="{293111F0-369B-4BB6-932C-175E7ACF2B0D}" maximized="1" windowWidth="0" windowHeight="0" activeSheetId="0"/>
    <customWorkbookView name="Pedro" guid="{0A0A1ECB-C18A-4643-9ACC-191BCF49A61C}" maximized="1" windowWidth="0" windowHeight="0" activeSheetId="0"/>
    <customWorkbookView name="Agus" guid="{82BFF0B1-7091-4E9C-8ADB-FF7A64759AFA}" maximized="1" windowWidth="0" windowHeight="0" activeSheetId="0"/>
    <customWorkbookView name="Aleksandar" guid="{DCC9EB80-48C0-414F-AE8D-28B41B97EA70}" maximized="1" windowWidth="0" windowHeight="0" activeSheetId="0"/>
    <customWorkbookView name="C5-Dif (SF-Bil)" guid="{071D4DFF-1795-4453-834A-4CA02E1CDBC9}" maximized="1" windowWidth="0" windowHeight="0" activeSheetId="0"/>
    <customWorkbookView name="C6-Curr (Stat-Bil)" guid="{9DC8DD01-B53C-4A7F-AE55-B54A23D483F2}" maximized="1" windowWidth="0" windowHeight="0" activeSheetId="0"/>
  </customWorkbookViews>
  <pivotCaches>
    <pivotCache cacheId="459" r:id="rId18"/>
    <pivotCache cacheId="471" r:id="rId19"/>
    <pivotCache cacheId="478" r:id="rId2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4" i="40" l="1"/>
  <c r="L84" i="40"/>
  <c r="K84" i="40"/>
  <c r="J84" i="40"/>
  <c r="N84" i="40" s="1"/>
  <c r="M83" i="40"/>
  <c r="L83" i="40"/>
  <c r="K83" i="40"/>
  <c r="J83" i="40"/>
  <c r="N83" i="40" s="1"/>
  <c r="M82" i="40"/>
  <c r="L82" i="40"/>
  <c r="K82" i="40"/>
  <c r="J82" i="40"/>
  <c r="N82" i="40" s="1"/>
  <c r="M81" i="40"/>
  <c r="L81" i="40"/>
  <c r="K81" i="40"/>
  <c r="J81" i="40"/>
  <c r="N81" i="40" s="1"/>
  <c r="M80" i="40"/>
  <c r="L80" i="40"/>
  <c r="K80" i="40"/>
  <c r="J80" i="40"/>
  <c r="N80" i="40" s="1"/>
  <c r="M79" i="40"/>
  <c r="L79" i="40"/>
  <c r="K79" i="40"/>
  <c r="J79" i="40"/>
  <c r="N79" i="40" s="1"/>
  <c r="M78" i="40"/>
  <c r="L78" i="40"/>
  <c r="K78" i="40"/>
  <c r="J78" i="40"/>
  <c r="N78" i="40" s="1"/>
  <c r="M77" i="40"/>
  <c r="L77" i="40"/>
  <c r="K77" i="40"/>
  <c r="J77" i="40"/>
  <c r="N77" i="40" s="1"/>
  <c r="M76" i="40"/>
  <c r="L76" i="40"/>
  <c r="K76" i="40"/>
  <c r="J76" i="40"/>
  <c r="N76" i="40" s="1"/>
  <c r="M75" i="40"/>
  <c r="L75" i="40"/>
  <c r="K75" i="40"/>
  <c r="J75" i="40"/>
  <c r="N75" i="40" s="1"/>
  <c r="M74" i="40"/>
  <c r="L74" i="40"/>
  <c r="K74" i="40"/>
  <c r="J74" i="40"/>
  <c r="N74" i="40" s="1"/>
  <c r="M73" i="40"/>
  <c r="L73" i="40"/>
  <c r="K73" i="40"/>
  <c r="J73" i="40"/>
  <c r="N73" i="40" s="1"/>
  <c r="M72" i="40"/>
  <c r="L72" i="40"/>
  <c r="K72" i="40"/>
  <c r="J72" i="40"/>
  <c r="N72" i="40" s="1"/>
  <c r="M71" i="40"/>
  <c r="L71" i="40"/>
  <c r="K71" i="40"/>
  <c r="J71" i="40"/>
  <c r="N71" i="40" s="1"/>
  <c r="M70" i="40"/>
  <c r="L70" i="40"/>
  <c r="K70" i="40"/>
  <c r="J70" i="40"/>
  <c r="N70" i="40" s="1"/>
  <c r="M69" i="40"/>
  <c r="L69" i="40"/>
  <c r="K69" i="40"/>
  <c r="J69" i="40"/>
  <c r="N69" i="40" s="1"/>
  <c r="M68" i="40"/>
  <c r="L68" i="40"/>
  <c r="K68" i="40"/>
  <c r="J68" i="40"/>
  <c r="N68" i="40" s="1"/>
  <c r="M67" i="40"/>
  <c r="L67" i="40"/>
  <c r="K67" i="40"/>
  <c r="J67" i="40"/>
  <c r="N67" i="40" s="1"/>
  <c r="M66" i="40"/>
  <c r="L66" i="40"/>
  <c r="K66" i="40"/>
  <c r="J66" i="40"/>
  <c r="N66" i="40" s="1"/>
  <c r="M65" i="40"/>
  <c r="L65" i="40"/>
  <c r="K65" i="40"/>
  <c r="J65" i="40"/>
  <c r="N65" i="40" s="1"/>
  <c r="M64" i="40"/>
  <c r="L64" i="40"/>
  <c r="K64" i="40"/>
  <c r="J64" i="40"/>
  <c r="N64" i="40" s="1"/>
  <c r="M63" i="40"/>
  <c r="L63" i="40"/>
  <c r="K63" i="40"/>
  <c r="J63" i="40"/>
  <c r="N63" i="40" s="1"/>
  <c r="M62" i="40"/>
  <c r="L62" i="40"/>
  <c r="K62" i="40"/>
  <c r="J62" i="40"/>
  <c r="N62" i="40" s="1"/>
  <c r="M61" i="40"/>
  <c r="L61" i="40"/>
  <c r="K61" i="40"/>
  <c r="J61" i="40"/>
  <c r="N61" i="40" s="1"/>
  <c r="M60" i="40"/>
  <c r="L60" i="40"/>
  <c r="K60" i="40"/>
  <c r="J60" i="40"/>
  <c r="N60" i="40" s="1"/>
  <c r="M59" i="40"/>
  <c r="L59" i="40"/>
  <c r="K59" i="40"/>
  <c r="J59" i="40"/>
  <c r="N59" i="40" s="1"/>
  <c r="M58" i="40"/>
  <c r="L58" i="40"/>
  <c r="K58" i="40"/>
  <c r="J58" i="40"/>
  <c r="N58" i="40" s="1"/>
  <c r="M57" i="40"/>
  <c r="L57" i="40"/>
  <c r="K57" i="40"/>
  <c r="J57" i="40"/>
  <c r="N57" i="40" s="1"/>
  <c r="M56" i="40"/>
  <c r="L56" i="40"/>
  <c r="K56" i="40"/>
  <c r="J56" i="40"/>
  <c r="N56" i="40" s="1"/>
  <c r="M55" i="40"/>
  <c r="L55" i="40"/>
  <c r="K55" i="40"/>
  <c r="J55" i="40"/>
  <c r="N55" i="40" s="1"/>
  <c r="M54" i="40"/>
  <c r="L54" i="40"/>
  <c r="K54" i="40"/>
  <c r="J54" i="40"/>
  <c r="N54" i="40" s="1"/>
  <c r="M53" i="40"/>
  <c r="L53" i="40"/>
  <c r="K53" i="40"/>
  <c r="J53" i="40"/>
  <c r="N53" i="40" s="1"/>
  <c r="M52" i="40"/>
  <c r="L52" i="40"/>
  <c r="K52" i="40"/>
  <c r="J52" i="40"/>
  <c r="N52" i="40" s="1"/>
  <c r="M51" i="40"/>
  <c r="L51" i="40"/>
  <c r="K51" i="40"/>
  <c r="J51" i="40"/>
  <c r="N51" i="40" s="1"/>
  <c r="M50" i="40"/>
  <c r="L50" i="40"/>
  <c r="K50" i="40"/>
  <c r="J50" i="40"/>
  <c r="N50" i="40" s="1"/>
  <c r="M49" i="40"/>
  <c r="L49" i="40"/>
  <c r="K49" i="40"/>
  <c r="J49" i="40"/>
  <c r="N49" i="40" s="1"/>
  <c r="M48" i="40"/>
  <c r="L48" i="40"/>
  <c r="K48" i="40"/>
  <c r="J48" i="40"/>
  <c r="N48" i="40" s="1"/>
  <c r="M47" i="40"/>
  <c r="L47" i="40"/>
  <c r="K47" i="40"/>
  <c r="J47" i="40"/>
  <c r="N47" i="40" s="1"/>
  <c r="M46" i="40"/>
  <c r="L46" i="40"/>
  <c r="K46" i="40"/>
  <c r="J46" i="40"/>
  <c r="N46" i="40" s="1"/>
  <c r="M45" i="40"/>
  <c r="L45" i="40"/>
  <c r="K45" i="40"/>
  <c r="J45" i="40"/>
  <c r="N45" i="40" s="1"/>
  <c r="M44" i="40"/>
  <c r="L44" i="40"/>
  <c r="K44" i="40"/>
  <c r="J44" i="40"/>
  <c r="N44" i="40" s="1"/>
  <c r="M43" i="40"/>
  <c r="L43" i="40"/>
  <c r="K43" i="40"/>
  <c r="J43" i="40"/>
  <c r="N43" i="40" s="1"/>
  <c r="M42" i="40"/>
  <c r="L42" i="40"/>
  <c r="K42" i="40"/>
  <c r="J42" i="40"/>
  <c r="N42" i="40" s="1"/>
  <c r="M41" i="40"/>
  <c r="L41" i="40"/>
  <c r="K41" i="40"/>
  <c r="J41" i="40"/>
  <c r="N41" i="40" s="1"/>
  <c r="M40" i="40"/>
  <c r="L40" i="40"/>
  <c r="K40" i="40"/>
  <c r="J40" i="40"/>
  <c r="N40" i="40" s="1"/>
  <c r="M39" i="40"/>
  <c r="L39" i="40"/>
  <c r="K39" i="40"/>
  <c r="J39" i="40"/>
  <c r="N39" i="40" s="1"/>
  <c r="M38" i="40"/>
  <c r="L38" i="40"/>
  <c r="K38" i="40"/>
  <c r="J38" i="40"/>
  <c r="N38" i="40" s="1"/>
  <c r="M37" i="40"/>
  <c r="L37" i="40"/>
  <c r="K37" i="40"/>
  <c r="J37" i="40"/>
  <c r="N37" i="40" s="1"/>
  <c r="M36" i="40"/>
  <c r="L36" i="40"/>
  <c r="K36" i="40"/>
  <c r="J36" i="40"/>
  <c r="N36" i="40" s="1"/>
  <c r="M35" i="40"/>
  <c r="L35" i="40"/>
  <c r="K35" i="40"/>
  <c r="J35" i="40"/>
  <c r="N35" i="40" s="1"/>
  <c r="M34" i="40"/>
  <c r="L34" i="40"/>
  <c r="K34" i="40"/>
  <c r="J34" i="40"/>
  <c r="N34" i="40" s="1"/>
  <c r="M33" i="40"/>
  <c r="L33" i="40"/>
  <c r="K33" i="40"/>
  <c r="J33" i="40"/>
  <c r="N33" i="40" s="1"/>
  <c r="M32" i="40"/>
  <c r="L32" i="40"/>
  <c r="K32" i="40"/>
  <c r="J32" i="40"/>
  <c r="N32" i="40" s="1"/>
  <c r="M31" i="40"/>
  <c r="L31" i="40"/>
  <c r="K31" i="40"/>
  <c r="J31" i="40"/>
  <c r="N31" i="40" s="1"/>
  <c r="M30" i="40"/>
  <c r="L30" i="40"/>
  <c r="K30" i="40"/>
  <c r="J30" i="40"/>
  <c r="N30" i="40" s="1"/>
  <c r="M29" i="40"/>
  <c r="L29" i="40"/>
  <c r="K29" i="40"/>
  <c r="J29" i="40"/>
  <c r="N29" i="40" s="1"/>
  <c r="M28" i="40"/>
  <c r="L28" i="40"/>
  <c r="K28" i="40"/>
  <c r="J28" i="40"/>
  <c r="N28" i="40" s="1"/>
  <c r="M27" i="40"/>
  <c r="L27" i="40"/>
  <c r="K27" i="40"/>
  <c r="J27" i="40"/>
  <c r="N27" i="40" s="1"/>
  <c r="M26" i="40"/>
  <c r="L26" i="40"/>
  <c r="K26" i="40"/>
  <c r="J26" i="40"/>
  <c r="N26" i="40" s="1"/>
  <c r="M25" i="40"/>
  <c r="L25" i="40"/>
  <c r="K25" i="40"/>
  <c r="J25" i="40"/>
  <c r="N25" i="40" s="1"/>
  <c r="M24" i="40"/>
  <c r="L24" i="40"/>
  <c r="K24" i="40"/>
  <c r="J24" i="40"/>
  <c r="N24" i="40" s="1"/>
  <c r="M23" i="40"/>
  <c r="L23" i="40"/>
  <c r="K23" i="40"/>
  <c r="J23" i="40"/>
  <c r="N23" i="40" s="1"/>
  <c r="M22" i="40"/>
  <c r="L22" i="40"/>
  <c r="K22" i="40"/>
  <c r="J22" i="40"/>
  <c r="N22" i="40" s="1"/>
  <c r="M21" i="40"/>
  <c r="L21" i="40"/>
  <c r="K21" i="40"/>
  <c r="J21" i="40"/>
  <c r="N21" i="40" s="1"/>
  <c r="M20" i="40"/>
  <c r="L20" i="40"/>
  <c r="K20" i="40"/>
  <c r="J20" i="40"/>
  <c r="N20" i="40" s="1"/>
  <c r="M19" i="40"/>
  <c r="L19" i="40"/>
  <c r="K19" i="40"/>
  <c r="J19" i="40"/>
  <c r="N19" i="40" s="1"/>
  <c r="M18" i="40"/>
  <c r="L18" i="40"/>
  <c r="K18" i="40"/>
  <c r="J18" i="40"/>
  <c r="N18" i="40" s="1"/>
  <c r="M17" i="40"/>
  <c r="L17" i="40"/>
  <c r="K17" i="40"/>
  <c r="J17" i="40"/>
  <c r="N17" i="40" s="1"/>
  <c r="M16" i="40"/>
  <c r="L16" i="40"/>
  <c r="K16" i="40"/>
  <c r="J16" i="40"/>
  <c r="N16" i="40" s="1"/>
  <c r="M15" i="40"/>
  <c r="L15" i="40"/>
  <c r="K15" i="40"/>
  <c r="J15" i="40"/>
  <c r="N15" i="40" s="1"/>
  <c r="M14" i="40"/>
  <c r="L14" i="40"/>
  <c r="K14" i="40"/>
  <c r="J14" i="40"/>
  <c r="N14" i="40" s="1"/>
  <c r="F6" i="42"/>
  <c r="G6" i="42" s="1"/>
  <c r="F5" i="42"/>
  <c r="G5" i="42" s="1"/>
  <c r="I5" i="42" s="1"/>
  <c r="J5" i="42" s="1"/>
  <c r="F4" i="42"/>
  <c r="G4" i="42" s="1"/>
  <c r="I4" i="42" s="1"/>
  <c r="J4" i="42" s="1"/>
  <c r="K5" i="42"/>
  <c r="K4" i="42"/>
  <c r="M13" i="40"/>
  <c r="L13" i="40"/>
  <c r="K13" i="40"/>
  <c r="J13" i="40"/>
  <c r="M12" i="40"/>
  <c r="L12" i="40"/>
  <c r="K12" i="40"/>
  <c r="J12" i="40"/>
  <c r="M11" i="40"/>
  <c r="L11" i="40"/>
  <c r="K11" i="40"/>
  <c r="J11" i="40"/>
  <c r="M10" i="40"/>
  <c r="L10" i="40"/>
  <c r="K10" i="40"/>
  <c r="J10" i="40"/>
  <c r="M9" i="40"/>
  <c r="L9" i="40"/>
  <c r="K9" i="40"/>
  <c r="J9" i="40"/>
  <c r="M8" i="40"/>
  <c r="L8" i="40"/>
  <c r="K8" i="40"/>
  <c r="J8" i="40"/>
  <c r="M7" i="40"/>
  <c r="L7" i="40"/>
  <c r="K7" i="40"/>
  <c r="J7" i="40"/>
  <c r="M6" i="40"/>
  <c r="L6" i="40"/>
  <c r="K6" i="40"/>
  <c r="J6" i="40"/>
  <c r="M5" i="40"/>
  <c r="L5" i="40"/>
  <c r="K5" i="40"/>
  <c r="J5" i="40"/>
  <c r="M4" i="40"/>
  <c r="L4" i="40"/>
  <c r="K4" i="40"/>
  <c r="J4" i="40"/>
  <c r="M3" i="40"/>
  <c r="L3" i="40"/>
  <c r="K3" i="40"/>
  <c r="J3" i="40"/>
  <c r="D82" i="40"/>
  <c r="C82" i="40"/>
  <c r="B82" i="40"/>
  <c r="D41" i="40"/>
  <c r="C41" i="40"/>
  <c r="B41" i="40"/>
  <c r="D44" i="40"/>
  <c r="C44" i="40"/>
  <c r="B44" i="40"/>
  <c r="D45" i="40"/>
  <c r="C45" i="40"/>
  <c r="B45" i="40"/>
  <c r="D46" i="40"/>
  <c r="C46" i="40"/>
  <c r="B46" i="40"/>
  <c r="D47" i="40"/>
  <c r="C47" i="40"/>
  <c r="B47" i="40"/>
  <c r="D18" i="40"/>
  <c r="C18" i="40"/>
  <c r="B18" i="40"/>
  <c r="D17" i="40"/>
  <c r="C17" i="40"/>
  <c r="B17" i="40"/>
  <c r="D43" i="40"/>
  <c r="C43" i="40"/>
  <c r="B43" i="40"/>
  <c r="D60" i="40"/>
  <c r="C60" i="40"/>
  <c r="B60" i="40"/>
  <c r="D68" i="40"/>
  <c r="C68" i="40"/>
  <c r="B68" i="40"/>
  <c r="D71" i="40"/>
  <c r="C71" i="40"/>
  <c r="B71" i="40"/>
  <c r="D79" i="40"/>
  <c r="C79" i="40"/>
  <c r="B79" i="40"/>
  <c r="D49" i="40"/>
  <c r="C49" i="40"/>
  <c r="B49" i="40"/>
  <c r="D52" i="40"/>
  <c r="C52" i="40"/>
  <c r="B52" i="40"/>
  <c r="D13" i="40"/>
  <c r="C13" i="40"/>
  <c r="B13" i="40"/>
  <c r="D33" i="40"/>
  <c r="C33" i="40"/>
  <c r="B33" i="40"/>
  <c r="D62" i="40"/>
  <c r="C62" i="40"/>
  <c r="B62" i="40"/>
  <c r="D65" i="40"/>
  <c r="C65" i="40"/>
  <c r="B65" i="40"/>
  <c r="D69" i="40"/>
  <c r="C69" i="40"/>
  <c r="B69" i="40"/>
  <c r="D72" i="40"/>
  <c r="C72" i="40"/>
  <c r="B72" i="40"/>
  <c r="D3" i="40"/>
  <c r="C3" i="40"/>
  <c r="B3" i="40"/>
  <c r="D38" i="40"/>
  <c r="C38" i="40"/>
  <c r="B38" i="40"/>
  <c r="D19" i="40"/>
  <c r="C19" i="40"/>
  <c r="B19" i="40"/>
  <c r="D20" i="40"/>
  <c r="C20" i="40"/>
  <c r="B20" i="40"/>
  <c r="D21" i="40"/>
  <c r="C21" i="40"/>
  <c r="B21" i="40"/>
  <c r="D23" i="40"/>
  <c r="C23" i="40"/>
  <c r="B23" i="40"/>
  <c r="D48" i="40"/>
  <c r="C48" i="40"/>
  <c r="B48" i="40"/>
  <c r="D50" i="40"/>
  <c r="C50" i="40"/>
  <c r="B50" i="40"/>
  <c r="D53" i="40"/>
  <c r="C53" i="40"/>
  <c r="B53" i="40"/>
  <c r="D54" i="40"/>
  <c r="C54" i="40"/>
  <c r="B54" i="40"/>
  <c r="D76" i="40"/>
  <c r="C76" i="40"/>
  <c r="B76" i="40"/>
  <c r="D80" i="40"/>
  <c r="C80" i="40"/>
  <c r="B80" i="40"/>
  <c r="D6" i="40"/>
  <c r="C6" i="40"/>
  <c r="B6" i="40"/>
  <c r="D66" i="40"/>
  <c r="C66" i="40"/>
  <c r="B66" i="40"/>
  <c r="D64" i="40"/>
  <c r="C64" i="40"/>
  <c r="B64" i="40"/>
  <c r="D7" i="40"/>
  <c r="C7" i="40"/>
  <c r="B7" i="40"/>
  <c r="D22" i="40"/>
  <c r="C22" i="40"/>
  <c r="B22" i="40"/>
  <c r="D42" i="40"/>
  <c r="C42" i="40"/>
  <c r="B42" i="40"/>
  <c r="D51" i="40"/>
  <c r="C51" i="40"/>
  <c r="B51" i="40"/>
  <c r="D55" i="40"/>
  <c r="C55" i="40"/>
  <c r="B55" i="40"/>
  <c r="D8" i="40"/>
  <c r="C8" i="40"/>
  <c r="B8" i="40"/>
  <c r="D35" i="40"/>
  <c r="C35" i="40"/>
  <c r="B35" i="40"/>
  <c r="D70" i="40"/>
  <c r="C70" i="40"/>
  <c r="B70" i="40"/>
  <c r="D77" i="40"/>
  <c r="C77" i="40"/>
  <c r="B77" i="40"/>
  <c r="D11" i="40"/>
  <c r="C11" i="40"/>
  <c r="B11" i="40"/>
  <c r="D12" i="40"/>
  <c r="C12" i="40"/>
  <c r="B12" i="40"/>
  <c r="D15" i="40"/>
  <c r="C15" i="40"/>
  <c r="B15" i="40"/>
  <c r="D16" i="40"/>
  <c r="C16" i="40"/>
  <c r="B16" i="40"/>
  <c r="D26" i="40"/>
  <c r="C26" i="40"/>
  <c r="B26" i="40"/>
  <c r="D37" i="40"/>
  <c r="C37" i="40"/>
  <c r="B37" i="40"/>
  <c r="D74" i="40"/>
  <c r="C74" i="40"/>
  <c r="B74" i="40"/>
  <c r="D25" i="40"/>
  <c r="C25" i="40"/>
  <c r="B25" i="40"/>
  <c r="D27" i="40"/>
  <c r="C27" i="40"/>
  <c r="B27" i="40"/>
  <c r="D28" i="40"/>
  <c r="C28" i="40"/>
  <c r="B28" i="40"/>
  <c r="D32" i="40"/>
  <c r="C32" i="40"/>
  <c r="B32" i="40"/>
  <c r="D57" i="40"/>
  <c r="C57" i="40"/>
  <c r="B57" i="40"/>
  <c r="D81" i="40"/>
  <c r="C81" i="40"/>
  <c r="B81" i="40"/>
  <c r="D4" i="40"/>
  <c r="C4" i="40"/>
  <c r="B4" i="40"/>
  <c r="D14" i="40"/>
  <c r="C14" i="40"/>
  <c r="B14" i="40"/>
  <c r="D9" i="40"/>
  <c r="C9" i="40"/>
  <c r="B9" i="40"/>
  <c r="D73" i="40"/>
  <c r="C73" i="40"/>
  <c r="B73" i="40"/>
  <c r="D34" i="40"/>
  <c r="C34" i="40"/>
  <c r="B34" i="40"/>
  <c r="D63" i="40"/>
  <c r="C63" i="40"/>
  <c r="B63" i="40"/>
  <c r="D40" i="40"/>
  <c r="C40" i="40"/>
  <c r="B40" i="40"/>
  <c r="D61" i="40"/>
  <c r="C61" i="40"/>
  <c r="B61" i="40"/>
  <c r="D5" i="40"/>
  <c r="C5" i="40"/>
  <c r="B5" i="40"/>
  <c r="D10" i="40"/>
  <c r="C10" i="40"/>
  <c r="B10" i="40"/>
  <c r="D36" i="40"/>
  <c r="C36" i="40"/>
  <c r="B36" i="40"/>
  <c r="D58" i="40"/>
  <c r="C58" i="40"/>
  <c r="B58" i="40"/>
  <c r="D59" i="40"/>
  <c r="C59" i="40"/>
  <c r="B59" i="40"/>
  <c r="D78" i="40"/>
  <c r="C78" i="40"/>
  <c r="B78" i="40"/>
  <c r="D39" i="40"/>
  <c r="C39" i="40"/>
  <c r="B39" i="40"/>
  <c r="D2" i="40"/>
  <c r="C2" i="40"/>
  <c r="B2" i="40"/>
  <c r="D67" i="40"/>
  <c r="C67" i="40"/>
  <c r="B67" i="40"/>
  <c r="D24" i="40"/>
  <c r="C24" i="40"/>
  <c r="B24" i="40"/>
  <c r="D29" i="40"/>
  <c r="C29" i="40"/>
  <c r="B29" i="40"/>
  <c r="D30" i="40"/>
  <c r="C30" i="40"/>
  <c r="B30" i="40"/>
  <c r="D31" i="40"/>
  <c r="C31" i="40"/>
  <c r="B31" i="40"/>
  <c r="D56" i="40"/>
  <c r="C56" i="40"/>
  <c r="B56" i="40"/>
  <c r="D75" i="40"/>
  <c r="C75" i="40"/>
  <c r="B75" i="40"/>
  <c r="ED85" i="8"/>
  <c r="K2" i="40"/>
  <c r="M2" i="40"/>
  <c r="L2" i="40"/>
  <c r="J2" i="40"/>
  <c r="ED87" i="8"/>
  <c r="ED82" i="8"/>
  <c r="ED70" i="8"/>
  <c r="ED35" i="8"/>
  <c r="ED25" i="8"/>
  <c r="G75" i="30"/>
  <c r="F75" i="30"/>
  <c r="E75" i="30"/>
  <c r="D75" i="30"/>
  <c r="C75" i="30"/>
  <c r="B75" i="30"/>
  <c r="A75" i="30"/>
  <c r="G74" i="30"/>
  <c r="F74" i="30"/>
  <c r="E74" i="30"/>
  <c r="D74" i="30"/>
  <c r="C74" i="30"/>
  <c r="B74" i="30"/>
  <c r="A74" i="30"/>
  <c r="G73" i="30"/>
  <c r="F73" i="30"/>
  <c r="E73" i="30"/>
  <c r="D73" i="30"/>
  <c r="C73" i="30"/>
  <c r="B73" i="30"/>
  <c r="A73" i="30"/>
  <c r="G72" i="30"/>
  <c r="F72" i="30"/>
  <c r="E72" i="30"/>
  <c r="D72" i="30"/>
  <c r="C72" i="30"/>
  <c r="B72" i="30"/>
  <c r="A72" i="30"/>
  <c r="G71" i="30"/>
  <c r="F71" i="30"/>
  <c r="E71" i="30"/>
  <c r="D71" i="30"/>
  <c r="C71" i="30"/>
  <c r="B71" i="30"/>
  <c r="A71" i="30"/>
  <c r="G70" i="30"/>
  <c r="F70" i="30"/>
  <c r="E70" i="30"/>
  <c r="D70" i="30"/>
  <c r="C70" i="30"/>
  <c r="B70" i="30"/>
  <c r="A70" i="30"/>
  <c r="G69" i="30"/>
  <c r="F69" i="30"/>
  <c r="E69" i="30"/>
  <c r="D69" i="30"/>
  <c r="C69" i="30"/>
  <c r="B69" i="30"/>
  <c r="A69" i="30"/>
  <c r="G68" i="30"/>
  <c r="F68" i="30"/>
  <c r="E68" i="30"/>
  <c r="D68" i="30"/>
  <c r="C68" i="30"/>
  <c r="B68" i="30"/>
  <c r="A68" i="30"/>
  <c r="G67" i="30"/>
  <c r="F67" i="30"/>
  <c r="E67" i="30"/>
  <c r="D67" i="30"/>
  <c r="C67" i="30"/>
  <c r="B67" i="30"/>
  <c r="A67" i="30"/>
  <c r="G66" i="30"/>
  <c r="F66" i="30"/>
  <c r="E66" i="30"/>
  <c r="D66" i="30"/>
  <c r="C66" i="30"/>
  <c r="B66" i="30"/>
  <c r="A66" i="30"/>
  <c r="G65" i="30"/>
  <c r="F65" i="30"/>
  <c r="E65" i="30"/>
  <c r="D65" i="30"/>
  <c r="C65" i="30"/>
  <c r="B65" i="30"/>
  <c r="A65" i="30"/>
  <c r="G64" i="30"/>
  <c r="F64" i="30"/>
  <c r="E64" i="30"/>
  <c r="D64" i="30"/>
  <c r="C64" i="30"/>
  <c r="B64" i="30"/>
  <c r="A64" i="30"/>
  <c r="G63" i="30"/>
  <c r="F63" i="30"/>
  <c r="E63" i="30"/>
  <c r="D63" i="30"/>
  <c r="C63" i="30"/>
  <c r="B63" i="30"/>
  <c r="A63" i="30"/>
  <c r="G62" i="30"/>
  <c r="F62" i="30"/>
  <c r="E62" i="30"/>
  <c r="D62" i="30"/>
  <c r="C62" i="30"/>
  <c r="B62" i="30"/>
  <c r="A62" i="30"/>
  <c r="G61" i="30"/>
  <c r="F61" i="30"/>
  <c r="E61" i="30"/>
  <c r="D61" i="30"/>
  <c r="C61" i="30"/>
  <c r="B61" i="30"/>
  <c r="A61" i="30"/>
  <c r="G60" i="30"/>
  <c r="F60" i="30"/>
  <c r="E60" i="30"/>
  <c r="D60" i="30"/>
  <c r="C60" i="30"/>
  <c r="B60" i="30"/>
  <c r="A60" i="30"/>
  <c r="G59" i="30"/>
  <c r="F59" i="30"/>
  <c r="E59" i="30"/>
  <c r="D59" i="30"/>
  <c r="C59" i="30"/>
  <c r="B59" i="30"/>
  <c r="A59" i="30"/>
  <c r="G58" i="30"/>
  <c r="F58" i="30"/>
  <c r="E58" i="30"/>
  <c r="D58" i="30"/>
  <c r="C58" i="30"/>
  <c r="B58" i="30"/>
  <c r="A58" i="30"/>
  <c r="G57" i="30"/>
  <c r="F57" i="30"/>
  <c r="E57" i="30"/>
  <c r="D57" i="30"/>
  <c r="C57" i="30"/>
  <c r="B57" i="30"/>
  <c r="A57" i="30"/>
  <c r="G56" i="30"/>
  <c r="F56" i="30"/>
  <c r="E56" i="30"/>
  <c r="D56" i="30"/>
  <c r="C56" i="30"/>
  <c r="B56" i="30"/>
  <c r="A56" i="30"/>
  <c r="G55" i="30"/>
  <c r="F55" i="30"/>
  <c r="E55" i="30"/>
  <c r="D55" i="30"/>
  <c r="C55" i="30"/>
  <c r="B55" i="30"/>
  <c r="A55" i="30"/>
  <c r="G54" i="30"/>
  <c r="F54" i="30"/>
  <c r="E54" i="30"/>
  <c r="D54" i="30"/>
  <c r="C54" i="30"/>
  <c r="B54" i="30"/>
  <c r="A54" i="30"/>
  <c r="G53" i="30"/>
  <c r="F53" i="30"/>
  <c r="E53" i="30"/>
  <c r="D53" i="30"/>
  <c r="H6" i="42" s="1"/>
  <c r="I6" i="42" s="1"/>
  <c r="J6" i="42" s="1"/>
  <c r="C53" i="30"/>
  <c r="B53" i="30"/>
  <c r="A53" i="30"/>
  <c r="G52" i="30"/>
  <c r="F52" i="30"/>
  <c r="E52" i="30"/>
  <c r="D52" i="30"/>
  <c r="C52" i="30"/>
  <c r="B52" i="30"/>
  <c r="A52" i="30"/>
  <c r="G51" i="30"/>
  <c r="F51" i="30"/>
  <c r="E51" i="30"/>
  <c r="D51" i="30"/>
  <c r="C51" i="30"/>
  <c r="B51" i="30"/>
  <c r="A51" i="30"/>
  <c r="G50" i="30"/>
  <c r="F50" i="30"/>
  <c r="E50" i="30"/>
  <c r="D50" i="30"/>
  <c r="C50" i="30"/>
  <c r="B50" i="30"/>
  <c r="A50" i="30"/>
  <c r="G49" i="30"/>
  <c r="F49" i="30"/>
  <c r="E49" i="30"/>
  <c r="D49" i="30"/>
  <c r="C49" i="30"/>
  <c r="B49" i="30"/>
  <c r="A49" i="30"/>
  <c r="G48" i="30"/>
  <c r="F48" i="30"/>
  <c r="E48" i="30"/>
  <c r="D48" i="30"/>
  <c r="C48" i="30"/>
  <c r="B48" i="30"/>
  <c r="A48" i="30"/>
  <c r="G47" i="30"/>
  <c r="F47" i="30"/>
  <c r="E47" i="30"/>
  <c r="D47" i="30"/>
  <c r="C47" i="30"/>
  <c r="B47" i="30"/>
  <c r="A47" i="30"/>
  <c r="G46" i="30"/>
  <c r="F46" i="30"/>
  <c r="E46" i="30"/>
  <c r="D46" i="30"/>
  <c r="C46" i="30"/>
  <c r="B46" i="30"/>
  <c r="A46" i="30"/>
  <c r="G45" i="30"/>
  <c r="F45" i="30"/>
  <c r="E45" i="30"/>
  <c r="D45" i="30"/>
  <c r="C45" i="30"/>
  <c r="B45" i="30"/>
  <c r="A45" i="30"/>
  <c r="G44" i="30"/>
  <c r="F44" i="30"/>
  <c r="E44" i="30"/>
  <c r="D44" i="30"/>
  <c r="C44" i="30"/>
  <c r="B44" i="30"/>
  <c r="A44" i="30"/>
  <c r="G43" i="30"/>
  <c r="F43" i="30"/>
  <c r="E43" i="30"/>
  <c r="D43" i="30"/>
  <c r="C43" i="30"/>
  <c r="B43" i="30"/>
  <c r="A43" i="30"/>
  <c r="G42" i="30"/>
  <c r="F42" i="30"/>
  <c r="E42" i="30"/>
  <c r="D42" i="30"/>
  <c r="C42" i="30"/>
  <c r="B42" i="30"/>
  <c r="A42" i="30"/>
  <c r="G41" i="30"/>
  <c r="F41" i="30"/>
  <c r="E41" i="30"/>
  <c r="D41" i="30"/>
  <c r="C41" i="30"/>
  <c r="B41" i="30"/>
  <c r="A41" i="30"/>
  <c r="G40" i="30"/>
  <c r="F40" i="30"/>
  <c r="E40" i="30"/>
  <c r="D40" i="30"/>
  <c r="C40" i="30"/>
  <c r="B40" i="30"/>
  <c r="A40" i="30"/>
  <c r="G39" i="30"/>
  <c r="F39" i="30"/>
  <c r="E39" i="30"/>
  <c r="D39" i="30"/>
  <c r="C39" i="30"/>
  <c r="B39" i="30"/>
  <c r="A39" i="30"/>
  <c r="G38" i="30"/>
  <c r="F38" i="30"/>
  <c r="E38" i="30"/>
  <c r="D38" i="30"/>
  <c r="C38" i="30"/>
  <c r="B38" i="30"/>
  <c r="A38" i="30"/>
  <c r="G37" i="30"/>
  <c r="F37" i="30"/>
  <c r="E37" i="30"/>
  <c r="D37" i="30"/>
  <c r="C37" i="30"/>
  <c r="B37" i="30"/>
  <c r="A37" i="30"/>
  <c r="G36" i="30"/>
  <c r="F36" i="30"/>
  <c r="E36" i="30"/>
  <c r="D36" i="30"/>
  <c r="C36" i="30"/>
  <c r="B36" i="30"/>
  <c r="A36" i="30"/>
  <c r="G35" i="30"/>
  <c r="F35" i="30"/>
  <c r="E35" i="30"/>
  <c r="D35" i="30"/>
  <c r="C35" i="30"/>
  <c r="B35" i="30"/>
  <c r="A35" i="30"/>
  <c r="G34" i="30"/>
  <c r="F34" i="30"/>
  <c r="E34" i="30"/>
  <c r="D34" i="30"/>
  <c r="C34" i="30"/>
  <c r="B34" i="30"/>
  <c r="A34" i="30"/>
  <c r="G33" i="30"/>
  <c r="F33" i="30"/>
  <c r="E33" i="30"/>
  <c r="D33" i="30"/>
  <c r="C33" i="30"/>
  <c r="B33" i="30"/>
  <c r="A33" i="30"/>
  <c r="G32" i="30"/>
  <c r="F32" i="30"/>
  <c r="E32" i="30"/>
  <c r="D32" i="30"/>
  <c r="C32" i="30"/>
  <c r="B32" i="30"/>
  <c r="A32" i="30"/>
  <c r="G31" i="30"/>
  <c r="F31" i="30"/>
  <c r="E31" i="30"/>
  <c r="D31" i="30"/>
  <c r="C31" i="30"/>
  <c r="B31" i="30"/>
  <c r="A31" i="30"/>
  <c r="G30" i="30"/>
  <c r="F30" i="30"/>
  <c r="E30" i="30"/>
  <c r="D30" i="30"/>
  <c r="C30" i="30"/>
  <c r="B30" i="30"/>
  <c r="A30" i="30"/>
  <c r="G29" i="30"/>
  <c r="F29" i="30"/>
  <c r="E29" i="30"/>
  <c r="D29" i="30"/>
  <c r="C29" i="30"/>
  <c r="B29" i="30"/>
  <c r="A29" i="30"/>
  <c r="G28" i="30"/>
  <c r="F28" i="30"/>
  <c r="E28" i="30"/>
  <c r="D28" i="30"/>
  <c r="C28" i="30"/>
  <c r="B28" i="30"/>
  <c r="A28" i="30"/>
  <c r="G27" i="30"/>
  <c r="F27" i="30"/>
  <c r="E27" i="30"/>
  <c r="D27" i="30"/>
  <c r="C27" i="30"/>
  <c r="B27" i="30"/>
  <c r="A27" i="30"/>
  <c r="G26" i="30"/>
  <c r="F26" i="30"/>
  <c r="E26" i="30"/>
  <c r="D26" i="30"/>
  <c r="C26" i="30"/>
  <c r="B26" i="30"/>
  <c r="A26" i="30"/>
  <c r="G25" i="30"/>
  <c r="F25" i="30"/>
  <c r="E25" i="30"/>
  <c r="D25" i="30"/>
  <c r="C25" i="30"/>
  <c r="B25" i="30"/>
  <c r="A25" i="30"/>
  <c r="G24" i="30"/>
  <c r="F24" i="30"/>
  <c r="E24" i="30"/>
  <c r="D24" i="30"/>
  <c r="C24" i="30"/>
  <c r="B24" i="30"/>
  <c r="A24" i="30"/>
  <c r="G23" i="30"/>
  <c r="F23" i="30"/>
  <c r="E23" i="30"/>
  <c r="D23" i="30"/>
  <c r="C23" i="30"/>
  <c r="B23" i="30"/>
  <c r="A23" i="30"/>
  <c r="G22" i="30"/>
  <c r="F22" i="30"/>
  <c r="E22" i="30"/>
  <c r="D22" i="30"/>
  <c r="C22" i="30"/>
  <c r="B22" i="30"/>
  <c r="A22" i="30"/>
  <c r="G21" i="30"/>
  <c r="F21" i="30"/>
  <c r="E21" i="30"/>
  <c r="D21" i="30"/>
  <c r="C21" i="30"/>
  <c r="B21" i="30"/>
  <c r="A21" i="30"/>
  <c r="G20" i="30"/>
  <c r="F20" i="30"/>
  <c r="E20" i="30"/>
  <c r="D20" i="30"/>
  <c r="C20" i="30"/>
  <c r="B20" i="30"/>
  <c r="A20" i="30"/>
  <c r="G19" i="30"/>
  <c r="F19" i="30"/>
  <c r="E19" i="30"/>
  <c r="D19" i="30"/>
  <c r="C19" i="30"/>
  <c r="B19" i="30"/>
  <c r="A19" i="30"/>
  <c r="G18" i="30"/>
  <c r="F18" i="30"/>
  <c r="E18" i="30"/>
  <c r="D18" i="30"/>
  <c r="C18" i="30"/>
  <c r="B18" i="30"/>
  <c r="A18" i="30"/>
  <c r="G17" i="30"/>
  <c r="F17" i="30"/>
  <c r="E17" i="30"/>
  <c r="D17" i="30"/>
  <c r="C17" i="30"/>
  <c r="B17" i="30"/>
  <c r="A17" i="30"/>
  <c r="G16" i="30"/>
  <c r="F16" i="30"/>
  <c r="E16" i="30"/>
  <c r="D16" i="30"/>
  <c r="C16" i="30"/>
  <c r="B16" i="30"/>
  <c r="A16" i="30"/>
  <c r="G15" i="30"/>
  <c r="F15" i="30"/>
  <c r="E15" i="30"/>
  <c r="D15" i="30"/>
  <c r="C15" i="30"/>
  <c r="B15" i="30"/>
  <c r="A15" i="30"/>
  <c r="G14" i="30"/>
  <c r="F14" i="30"/>
  <c r="E14" i="30"/>
  <c r="D14" i="30"/>
  <c r="C14" i="30"/>
  <c r="B14" i="30"/>
  <c r="A14" i="30"/>
  <c r="G13" i="30"/>
  <c r="F13" i="30"/>
  <c r="E13" i="30"/>
  <c r="D13" i="30"/>
  <c r="C13" i="30"/>
  <c r="B13" i="30"/>
  <c r="A13" i="30"/>
  <c r="G12" i="30"/>
  <c r="F12" i="30"/>
  <c r="E12" i="30"/>
  <c r="D12" i="30"/>
  <c r="C12" i="30"/>
  <c r="B12" i="30"/>
  <c r="A12" i="30"/>
  <c r="G11" i="30"/>
  <c r="F11" i="30"/>
  <c r="E11" i="30"/>
  <c r="D11" i="30"/>
  <c r="C11" i="30"/>
  <c r="B11" i="30"/>
  <c r="A11" i="30"/>
  <c r="G10" i="30"/>
  <c r="F10" i="30"/>
  <c r="E10" i="30"/>
  <c r="D10" i="30"/>
  <c r="C10" i="30"/>
  <c r="B10" i="30"/>
  <c r="A10" i="30"/>
  <c r="G9" i="30"/>
  <c r="F9" i="30"/>
  <c r="E9" i="30"/>
  <c r="D9" i="30"/>
  <c r="C9" i="30"/>
  <c r="B9" i="30"/>
  <c r="A9" i="30"/>
  <c r="G8" i="30"/>
  <c r="F8" i="30"/>
  <c r="E8" i="30"/>
  <c r="D8" i="30"/>
  <c r="C8" i="30"/>
  <c r="B8" i="30"/>
  <c r="A8" i="30"/>
  <c r="G7" i="30"/>
  <c r="F7" i="30"/>
  <c r="E7" i="30"/>
  <c r="D7" i="30"/>
  <c r="C7" i="30"/>
  <c r="B7" i="30"/>
  <c r="A7" i="30"/>
  <c r="G6" i="30"/>
  <c r="F6" i="30"/>
  <c r="E6" i="30"/>
  <c r="D6" i="30"/>
  <c r="C6" i="30"/>
  <c r="B6" i="30"/>
  <c r="A6" i="30"/>
  <c r="G5" i="30"/>
  <c r="F5" i="30"/>
  <c r="E5" i="30"/>
  <c r="D5" i="30"/>
  <c r="C5" i="30"/>
  <c r="B5" i="30"/>
  <c r="A5" i="30"/>
  <c r="G4" i="30"/>
  <c r="F4" i="30"/>
  <c r="E4" i="30"/>
  <c r="D4" i="30"/>
  <c r="C4" i="30"/>
  <c r="B4" i="30"/>
  <c r="A4" i="30"/>
  <c r="G3" i="30"/>
  <c r="F3" i="30"/>
  <c r="E3" i="30"/>
  <c r="D3" i="30"/>
  <c r="C3" i="30"/>
  <c r="B3" i="30"/>
  <c r="A3" i="30"/>
  <c r="Q124" i="27"/>
  <c r="P124" i="27"/>
  <c r="O124" i="27"/>
  <c r="N124" i="27"/>
  <c r="M124" i="27"/>
  <c r="Q123" i="27"/>
  <c r="P123" i="27"/>
  <c r="O123" i="27"/>
  <c r="N123" i="27"/>
  <c r="M123" i="27"/>
  <c r="Q122" i="27"/>
  <c r="P122" i="27"/>
  <c r="O122" i="27"/>
  <c r="N122" i="27"/>
  <c r="M122" i="27"/>
  <c r="Q121" i="27"/>
  <c r="P121" i="27"/>
  <c r="O121" i="27"/>
  <c r="N121" i="27"/>
  <c r="M121" i="27"/>
  <c r="Q120" i="27"/>
  <c r="P120" i="27"/>
  <c r="O120" i="27"/>
  <c r="N120" i="27"/>
  <c r="M120" i="27"/>
  <c r="Q119" i="27"/>
  <c r="P119" i="27"/>
  <c r="O119" i="27"/>
  <c r="N119" i="27"/>
  <c r="M119" i="27"/>
  <c r="Q118" i="27"/>
  <c r="P118" i="27"/>
  <c r="O118" i="27"/>
  <c r="N118" i="27"/>
  <c r="M118" i="27"/>
  <c r="Q117" i="27"/>
  <c r="P117" i="27"/>
  <c r="O117" i="27"/>
  <c r="N117" i="27"/>
  <c r="M117" i="27"/>
  <c r="Q116" i="27"/>
  <c r="P116" i="27"/>
  <c r="O116" i="27"/>
  <c r="N116" i="27"/>
  <c r="M116" i="27"/>
  <c r="Q115" i="27"/>
  <c r="P115" i="27"/>
  <c r="O115" i="27"/>
  <c r="N115" i="27"/>
  <c r="M115" i="27"/>
  <c r="Q114" i="27"/>
  <c r="P114" i="27"/>
  <c r="O114" i="27"/>
  <c r="N114" i="27"/>
  <c r="M114" i="27"/>
  <c r="Q113" i="27"/>
  <c r="P113" i="27"/>
  <c r="O113" i="27"/>
  <c r="N113" i="27"/>
  <c r="M113" i="27"/>
  <c r="Q112" i="27"/>
  <c r="P112" i="27"/>
  <c r="O112" i="27"/>
  <c r="N112" i="27"/>
  <c r="M112" i="27"/>
  <c r="Q111" i="27"/>
  <c r="P111" i="27"/>
  <c r="O111" i="27"/>
  <c r="N111" i="27"/>
  <c r="M111" i="27"/>
  <c r="Q110" i="27"/>
  <c r="P110" i="27"/>
  <c r="O110" i="27"/>
  <c r="N110" i="27"/>
  <c r="M110" i="27"/>
  <c r="Q109" i="27"/>
  <c r="P109" i="27"/>
  <c r="O109" i="27"/>
  <c r="N109" i="27"/>
  <c r="M109" i="27"/>
  <c r="Q108" i="27"/>
  <c r="P108" i="27"/>
  <c r="O108" i="27"/>
  <c r="N108" i="27"/>
  <c r="M108" i="27"/>
  <c r="Q107" i="27"/>
  <c r="P107" i="27"/>
  <c r="O107" i="27"/>
  <c r="N107" i="27"/>
  <c r="M107" i="27"/>
  <c r="Q106" i="27"/>
  <c r="P106" i="27"/>
  <c r="O106" i="27"/>
  <c r="N106" i="27"/>
  <c r="M106" i="27"/>
  <c r="Q105" i="27"/>
  <c r="P105" i="27"/>
  <c r="O105" i="27"/>
  <c r="N105" i="27"/>
  <c r="M105" i="27"/>
  <c r="Q104" i="27"/>
  <c r="P104" i="27"/>
  <c r="O104" i="27"/>
  <c r="N104" i="27"/>
  <c r="M104" i="27"/>
  <c r="Q103" i="27"/>
  <c r="P103" i="27"/>
  <c r="O103" i="27"/>
  <c r="N103" i="27"/>
  <c r="M103" i="27"/>
  <c r="Q102" i="27"/>
  <c r="P102" i="27"/>
  <c r="O102" i="27"/>
  <c r="N102" i="27"/>
  <c r="M102" i="27"/>
  <c r="Q101" i="27"/>
  <c r="P101" i="27"/>
  <c r="O101" i="27"/>
  <c r="N101" i="27"/>
  <c r="M101" i="27"/>
  <c r="Q100" i="27"/>
  <c r="P100" i="27"/>
  <c r="O100" i="27"/>
  <c r="N100" i="27"/>
  <c r="M100" i="27"/>
  <c r="Q99" i="27"/>
  <c r="P99" i="27"/>
  <c r="O99" i="27"/>
  <c r="N99" i="27"/>
  <c r="M99" i="27"/>
  <c r="Q98" i="27"/>
  <c r="P98" i="27"/>
  <c r="O98" i="27"/>
  <c r="N98" i="27"/>
  <c r="M98" i="27"/>
  <c r="Q97" i="27"/>
  <c r="P97" i="27"/>
  <c r="O97" i="27"/>
  <c r="N97" i="27"/>
  <c r="M97" i="27"/>
  <c r="Q96" i="27"/>
  <c r="P96" i="27"/>
  <c r="O96" i="27"/>
  <c r="N96" i="27"/>
  <c r="M96" i="27"/>
  <c r="Q95" i="27"/>
  <c r="P95" i="27"/>
  <c r="O95" i="27"/>
  <c r="N95" i="27"/>
  <c r="M95" i="27"/>
  <c r="Q94" i="27"/>
  <c r="P94" i="27"/>
  <c r="O94" i="27"/>
  <c r="N94" i="27"/>
  <c r="M94" i="27"/>
  <c r="Q93" i="27"/>
  <c r="P93" i="27"/>
  <c r="O93" i="27"/>
  <c r="N93" i="27"/>
  <c r="M93" i="27"/>
  <c r="Q92" i="27"/>
  <c r="P92" i="27"/>
  <c r="O92" i="27"/>
  <c r="N92" i="27"/>
  <c r="M92" i="27"/>
  <c r="AH2" i="19"/>
  <c r="AD2" i="19"/>
  <c r="AC2" i="19"/>
  <c r="Z2" i="19"/>
  <c r="Y2" i="19"/>
  <c r="X2" i="19"/>
  <c r="T2" i="19"/>
  <c r="S2" i="19"/>
  <c r="B2" i="19"/>
  <c r="AI1" i="19"/>
  <c r="AN2" i="18"/>
  <c r="AL2" i="18"/>
  <c r="AH2" i="18"/>
  <c r="AE2" i="18"/>
  <c r="AA2" i="18"/>
  <c r="X2" i="18"/>
  <c r="W2" i="18"/>
  <c r="V2" i="18"/>
  <c r="U2" i="18"/>
  <c r="S2" i="18"/>
  <c r="R2" i="18"/>
  <c r="Q2" i="18"/>
  <c r="P2" i="18"/>
  <c r="O2" i="18"/>
  <c r="L2" i="18"/>
  <c r="G2" i="18"/>
  <c r="BE2" i="17"/>
  <c r="BC2" i="17"/>
  <c r="AX2" i="17"/>
  <c r="G2" i="17"/>
  <c r="BF1" i="17"/>
  <c r="DR2" i="8"/>
  <c r="DM2" i="8"/>
  <c r="DL2" i="8"/>
  <c r="BU2" i="8"/>
  <c r="K2" i="8"/>
  <c r="J2" i="8"/>
  <c r="H2" i="8"/>
  <c r="G2" i="8"/>
  <c r="F2" i="8"/>
  <c r="E2" i="8"/>
  <c r="EC1" i="8"/>
  <c r="CB87" i="5"/>
  <c r="BX87" i="5" a="1"/>
  <c r="BX87" i="5" s="1"/>
  <c r="BU87" i="5" a="1"/>
  <c r="BU87" i="5" s="1"/>
  <c r="BR87" i="5" a="1"/>
  <c r="BR87" i="5" s="1"/>
  <c r="BO87" i="5" a="1"/>
  <c r="BO87" i="5" s="1"/>
  <c r="BL87" i="5" a="1"/>
  <c r="BL87" i="5" s="1"/>
  <c r="BI87" i="5" a="1"/>
  <c r="BI87" i="5" s="1"/>
  <c r="BE87" i="5" a="1"/>
  <c r="BE87" i="5" s="1"/>
  <c r="CB86" i="5"/>
  <c r="BX86" i="5" a="1"/>
  <c r="BX86" i="5" s="1"/>
  <c r="BU86" i="5" a="1"/>
  <c r="BU86" i="5" s="1"/>
  <c r="BR86" i="5" a="1"/>
  <c r="BR86" i="5" s="1"/>
  <c r="BO86" i="5" a="1"/>
  <c r="BO86" i="5" s="1"/>
  <c r="BL86" i="5" a="1"/>
  <c r="BL86" i="5" s="1"/>
  <c r="BI86" i="5" a="1"/>
  <c r="BI86" i="5" s="1"/>
  <c r="BE86" i="5" a="1"/>
  <c r="BE86" i="5" s="1"/>
  <c r="CB85" i="5"/>
  <c r="BX85" i="5" a="1"/>
  <c r="BX85" i="5" s="1"/>
  <c r="BU85" i="5" a="1"/>
  <c r="BU85" i="5" s="1"/>
  <c r="BR85" i="5" a="1"/>
  <c r="BR85" i="5" s="1"/>
  <c r="BO85" i="5" a="1"/>
  <c r="BO85" i="5" s="1"/>
  <c r="BL85" i="5" a="1"/>
  <c r="BL85" i="5" s="1"/>
  <c r="BI85" i="5" a="1"/>
  <c r="BI85" i="5" s="1"/>
  <c r="BE85" i="5" a="1"/>
  <c r="BE85" i="5" s="1"/>
  <c r="CB83" i="5"/>
  <c r="BX83" i="5" a="1"/>
  <c r="BX83" i="5" s="1"/>
  <c r="BU83" i="5" a="1"/>
  <c r="BU83" i="5" s="1"/>
  <c r="BR83" i="5" a="1"/>
  <c r="BR83" i="5" s="1"/>
  <c r="BO83" i="5" a="1"/>
  <c r="BO83" i="5" s="1"/>
  <c r="BL83" i="5" a="1"/>
  <c r="BL83" i="5" s="1"/>
  <c r="BI83" i="5" a="1"/>
  <c r="BI83" i="5" s="1"/>
  <c r="BE83" i="5" a="1"/>
  <c r="BE83" i="5" s="1"/>
  <c r="CB82" i="5"/>
  <c r="BX82" i="5" a="1"/>
  <c r="BX82" i="5" s="1"/>
  <c r="BU82" i="5" a="1"/>
  <c r="BU82" i="5" s="1"/>
  <c r="BR82" i="5" a="1"/>
  <c r="BR82" i="5" s="1"/>
  <c r="BO82" i="5" a="1"/>
  <c r="BO82" i="5" s="1"/>
  <c r="BL82" i="5" a="1"/>
  <c r="BL82" i="5" s="1"/>
  <c r="BI82" i="5" a="1"/>
  <c r="BI82" i="5" s="1"/>
  <c r="BE82" i="5" a="1"/>
  <c r="BE82" i="5" s="1"/>
  <c r="CB81" i="5"/>
  <c r="BX81" i="5" a="1"/>
  <c r="BX81" i="5" s="1"/>
  <c r="BU81" i="5" a="1"/>
  <c r="BU81" i="5" s="1"/>
  <c r="BR81" i="5" a="1"/>
  <c r="BR81" i="5" s="1"/>
  <c r="BO81" i="5" a="1"/>
  <c r="BO81" i="5" s="1"/>
  <c r="BL81" i="5" a="1"/>
  <c r="BL81" i="5" s="1"/>
  <c r="BI81" i="5" a="1"/>
  <c r="BI81" i="5" s="1"/>
  <c r="BE81" i="5" a="1"/>
  <c r="BE81" i="5" s="1"/>
  <c r="CB80" i="5"/>
  <c r="BX80" i="5" a="1"/>
  <c r="BX80" i="5" s="1"/>
  <c r="BU80" i="5" a="1"/>
  <c r="BU80" i="5" s="1"/>
  <c r="BR80" i="5" a="1"/>
  <c r="BR80" i="5" s="1"/>
  <c r="BO80" i="5" a="1"/>
  <c r="BO80" i="5" s="1"/>
  <c r="BL80" i="5" a="1"/>
  <c r="BL80" i="5" s="1"/>
  <c r="BI80" i="5" a="1"/>
  <c r="BI80" i="5" s="1"/>
  <c r="BE80" i="5" a="1"/>
  <c r="BE80" i="5" s="1"/>
  <c r="CB79" i="5"/>
  <c r="BX79" i="5" a="1"/>
  <c r="BX79" i="5" s="1"/>
  <c r="BU79" i="5" a="1"/>
  <c r="BU79" i="5" s="1"/>
  <c r="BR79" i="5" a="1"/>
  <c r="BR79" i="5" s="1"/>
  <c r="BO79" i="5" a="1"/>
  <c r="BO79" i="5" s="1"/>
  <c r="BL79" i="5" a="1"/>
  <c r="BL79" i="5" s="1"/>
  <c r="BI79" i="5" a="1"/>
  <c r="BI79" i="5" s="1"/>
  <c r="BE79" i="5" a="1"/>
  <c r="BE79" i="5" s="1"/>
  <c r="CB78" i="5"/>
  <c r="BX78" i="5" a="1"/>
  <c r="BX78" i="5" s="1"/>
  <c r="BU78" i="5" a="1"/>
  <c r="BU78" i="5" s="1"/>
  <c r="BR78" i="5" a="1"/>
  <c r="BR78" i="5" s="1"/>
  <c r="BO78" i="5" a="1"/>
  <c r="BO78" i="5" s="1"/>
  <c r="BL78" i="5" a="1"/>
  <c r="BL78" i="5" s="1"/>
  <c r="BI78" i="5" a="1"/>
  <c r="BI78" i="5" s="1"/>
  <c r="BE78" i="5" a="1"/>
  <c r="BE78" i="5" s="1"/>
  <c r="CB77" i="5"/>
  <c r="BX77" i="5" a="1"/>
  <c r="BX77" i="5" s="1"/>
  <c r="BU77" i="5" a="1"/>
  <c r="BU77" i="5" s="1"/>
  <c r="BR77" i="5" a="1"/>
  <c r="BR77" i="5" s="1"/>
  <c r="BO77" i="5" a="1"/>
  <c r="BO77" i="5" s="1"/>
  <c r="BL77" i="5" a="1"/>
  <c r="BL77" i="5" s="1"/>
  <c r="BI77" i="5" a="1"/>
  <c r="BI77" i="5" s="1"/>
  <c r="BE77" i="5" a="1"/>
  <c r="BE77" i="5" s="1"/>
  <c r="CB76" i="5"/>
  <c r="BX76" i="5" a="1"/>
  <c r="BX76" i="5" s="1"/>
  <c r="BU76" i="5" a="1"/>
  <c r="BU76" i="5" s="1"/>
  <c r="BR76" i="5" a="1"/>
  <c r="BR76" i="5" s="1"/>
  <c r="BO76" i="5" a="1"/>
  <c r="BO76" i="5" s="1"/>
  <c r="BL76" i="5" a="1"/>
  <c r="BL76" i="5" s="1"/>
  <c r="BI76" i="5" a="1"/>
  <c r="BI76" i="5" s="1"/>
  <c r="BE76" i="5" a="1"/>
  <c r="BE76" i="5" s="1"/>
  <c r="CB75" i="5"/>
  <c r="BX75" i="5" a="1"/>
  <c r="BX75" i="5" s="1"/>
  <c r="BU75" i="5" a="1"/>
  <c r="BU75" i="5" s="1"/>
  <c r="BR75" i="5" a="1"/>
  <c r="BR75" i="5" s="1"/>
  <c r="BO75" i="5" a="1"/>
  <c r="BO75" i="5" s="1"/>
  <c r="BL75" i="5" a="1"/>
  <c r="BL75" i="5" s="1"/>
  <c r="BI75" i="5" a="1"/>
  <c r="BI75" i="5" s="1"/>
  <c r="BE75" i="5" a="1"/>
  <c r="BE75" i="5" s="1"/>
  <c r="CB74" i="5"/>
  <c r="BX74" i="5" a="1"/>
  <c r="BX74" i="5" s="1"/>
  <c r="BU74" i="5" a="1"/>
  <c r="BU74" i="5" s="1"/>
  <c r="BR74" i="5" a="1"/>
  <c r="BR74" i="5" s="1"/>
  <c r="BO74" i="5" a="1"/>
  <c r="BO74" i="5" s="1"/>
  <c r="BL74" i="5" a="1"/>
  <c r="BL74" i="5" s="1"/>
  <c r="BI74" i="5" a="1"/>
  <c r="BI74" i="5" s="1"/>
  <c r="BE74" i="5" a="1"/>
  <c r="BE74" i="5" s="1"/>
  <c r="CB73" i="5"/>
  <c r="BX73" i="5" a="1"/>
  <c r="BX73" i="5" s="1"/>
  <c r="BU73" i="5" a="1"/>
  <c r="BU73" i="5" s="1"/>
  <c r="BR73" i="5" a="1"/>
  <c r="BR73" i="5" s="1"/>
  <c r="BO73" i="5" a="1"/>
  <c r="BO73" i="5" s="1"/>
  <c r="BL73" i="5" a="1"/>
  <c r="BL73" i="5" s="1"/>
  <c r="BI73" i="5" a="1"/>
  <c r="BI73" i="5" s="1"/>
  <c r="BE73" i="5" a="1"/>
  <c r="BE73" i="5" s="1"/>
  <c r="CB72" i="5"/>
  <c r="BX72" i="5" a="1"/>
  <c r="BX72" i="5" s="1"/>
  <c r="BU72" i="5" a="1"/>
  <c r="BU72" i="5" s="1"/>
  <c r="BR72" i="5" a="1"/>
  <c r="BR72" i="5" s="1"/>
  <c r="BO72" i="5" a="1"/>
  <c r="BO72" i="5" s="1"/>
  <c r="BL72" i="5" a="1"/>
  <c r="BL72" i="5" s="1"/>
  <c r="BI72" i="5" a="1"/>
  <c r="BI72" i="5" s="1"/>
  <c r="BE72" i="5" a="1"/>
  <c r="BE72" i="5" s="1"/>
  <c r="CB71" i="5"/>
  <c r="BX71" i="5" a="1"/>
  <c r="BX71" i="5" s="1"/>
  <c r="BU71" i="5" a="1"/>
  <c r="BU71" i="5" s="1"/>
  <c r="BR71" i="5" a="1"/>
  <c r="BR71" i="5" s="1"/>
  <c r="BO71" i="5" a="1"/>
  <c r="BO71" i="5" s="1"/>
  <c r="BL71" i="5" a="1"/>
  <c r="BL71" i="5" s="1"/>
  <c r="BI71" i="5" a="1"/>
  <c r="BI71" i="5" s="1"/>
  <c r="BE71" i="5" a="1"/>
  <c r="BE71" i="5" s="1"/>
  <c r="CB70" i="5"/>
  <c r="BX70" i="5" a="1"/>
  <c r="BX70" i="5" s="1"/>
  <c r="BU70" i="5" a="1"/>
  <c r="BU70" i="5" s="1"/>
  <c r="BR70" i="5" a="1"/>
  <c r="BR70" i="5" s="1"/>
  <c r="BO70" i="5" a="1"/>
  <c r="BO70" i="5" s="1"/>
  <c r="BL70" i="5" a="1"/>
  <c r="BL70" i="5" s="1"/>
  <c r="BI70" i="5" a="1"/>
  <c r="BI70" i="5" s="1"/>
  <c r="BE70" i="5" a="1"/>
  <c r="BE70" i="5" s="1"/>
  <c r="CB69" i="5"/>
  <c r="BX69" i="5" a="1"/>
  <c r="BX69" i="5" s="1"/>
  <c r="BU69" i="5" a="1"/>
  <c r="BU69" i="5" s="1"/>
  <c r="BR69" i="5" a="1"/>
  <c r="BR69" i="5" s="1"/>
  <c r="BO69" i="5" a="1"/>
  <c r="BO69" i="5" s="1"/>
  <c r="BL69" i="5" a="1"/>
  <c r="BL69" i="5" s="1"/>
  <c r="BI69" i="5" a="1"/>
  <c r="BI69" i="5" s="1"/>
  <c r="BE69" i="5" a="1"/>
  <c r="BE69" i="5" s="1"/>
  <c r="CB68" i="5"/>
  <c r="BX68" i="5" a="1"/>
  <c r="BX68" i="5" s="1"/>
  <c r="BU68" i="5" a="1"/>
  <c r="BU68" i="5" s="1"/>
  <c r="BR68" i="5" a="1"/>
  <c r="BR68" i="5" s="1"/>
  <c r="BO68" i="5" a="1"/>
  <c r="BO68" i="5" s="1"/>
  <c r="BL68" i="5" a="1"/>
  <c r="BL68" i="5" s="1"/>
  <c r="BI68" i="5" a="1"/>
  <c r="BI68" i="5" s="1"/>
  <c r="BE68" i="5" a="1"/>
  <c r="BE68" i="5" s="1"/>
  <c r="CB67" i="5"/>
  <c r="BX67" i="5" a="1"/>
  <c r="BX67" i="5" s="1"/>
  <c r="BU67" i="5" a="1"/>
  <c r="BU67" i="5" s="1"/>
  <c r="BR67" i="5" a="1"/>
  <c r="BR67" i="5" s="1"/>
  <c r="BO67" i="5" a="1"/>
  <c r="BO67" i="5" s="1"/>
  <c r="BL67" i="5" a="1"/>
  <c r="BL67" i="5" s="1"/>
  <c r="BI67" i="5" a="1"/>
  <c r="BI67" i="5" s="1"/>
  <c r="BE67" i="5" a="1"/>
  <c r="BE67" i="5" s="1"/>
  <c r="CB66" i="5"/>
  <c r="BX66" i="5" a="1"/>
  <c r="BX66" i="5" s="1"/>
  <c r="BU66" i="5" a="1"/>
  <c r="BU66" i="5" s="1"/>
  <c r="BR66" i="5" a="1"/>
  <c r="BR66" i="5" s="1"/>
  <c r="BO66" i="5" a="1"/>
  <c r="BO66" i="5" s="1"/>
  <c r="BL66" i="5" a="1"/>
  <c r="BL66" i="5" s="1"/>
  <c r="BI66" i="5" a="1"/>
  <c r="BI66" i="5" s="1"/>
  <c r="BE66" i="5" a="1"/>
  <c r="BE66" i="5" s="1"/>
  <c r="CB65" i="5"/>
  <c r="BX65" i="5" a="1"/>
  <c r="BX65" i="5" s="1"/>
  <c r="BU65" i="5" a="1"/>
  <c r="BU65" i="5" s="1"/>
  <c r="BR65" i="5" a="1"/>
  <c r="BR65" i="5" s="1"/>
  <c r="BO65" i="5" a="1"/>
  <c r="BO65" i="5" s="1"/>
  <c r="BL65" i="5" a="1"/>
  <c r="BL65" i="5" s="1"/>
  <c r="BI65" i="5" a="1"/>
  <c r="BI65" i="5" s="1"/>
  <c r="BE65" i="5" a="1"/>
  <c r="BE65" i="5" s="1"/>
  <c r="CB64" i="5"/>
  <c r="BX64" i="5" a="1"/>
  <c r="BX64" i="5" s="1"/>
  <c r="BU64" i="5" a="1"/>
  <c r="BU64" i="5" s="1"/>
  <c r="BR64" i="5" a="1"/>
  <c r="BR64" i="5" s="1"/>
  <c r="BO64" i="5" a="1"/>
  <c r="BO64" i="5" s="1"/>
  <c r="BL64" i="5" a="1"/>
  <c r="BL64" i="5" s="1"/>
  <c r="BI64" i="5" a="1"/>
  <c r="BI64" i="5" s="1"/>
  <c r="BE64" i="5" a="1"/>
  <c r="BE64" i="5" s="1"/>
  <c r="CB63" i="5"/>
  <c r="BX63" i="5" a="1"/>
  <c r="BX63" i="5" s="1"/>
  <c r="BU63" i="5" a="1"/>
  <c r="BU63" i="5" s="1"/>
  <c r="BR63" i="5" a="1"/>
  <c r="BR63" i="5" s="1"/>
  <c r="BO63" i="5" a="1"/>
  <c r="BO63" i="5" s="1"/>
  <c r="BL63" i="5" a="1"/>
  <c r="BL63" i="5" s="1"/>
  <c r="BI63" i="5" a="1"/>
  <c r="BI63" i="5" s="1"/>
  <c r="BE63" i="5" a="1"/>
  <c r="BE63" i="5" s="1"/>
  <c r="CB62" i="5"/>
  <c r="BX62" i="5" a="1"/>
  <c r="BX62" i="5" s="1"/>
  <c r="BU62" i="5" a="1"/>
  <c r="BU62" i="5" s="1"/>
  <c r="BR62" i="5" a="1"/>
  <c r="BR62" i="5" s="1"/>
  <c r="BO62" i="5" a="1"/>
  <c r="BO62" i="5" s="1"/>
  <c r="BL62" i="5" a="1"/>
  <c r="BL62" i="5" s="1"/>
  <c r="BI62" i="5" a="1"/>
  <c r="BI62" i="5" s="1"/>
  <c r="BE62" i="5" a="1"/>
  <c r="BE62" i="5" s="1"/>
  <c r="CB61" i="5"/>
  <c r="BX61" i="5" a="1"/>
  <c r="BX61" i="5" s="1"/>
  <c r="BU61" i="5" a="1"/>
  <c r="BU61" i="5" s="1"/>
  <c r="BR61" i="5" a="1"/>
  <c r="BR61" i="5" s="1"/>
  <c r="BO61" i="5" a="1"/>
  <c r="BO61" i="5" s="1"/>
  <c r="BL61" i="5" a="1"/>
  <c r="BL61" i="5" s="1"/>
  <c r="BI61" i="5" a="1"/>
  <c r="BI61" i="5" s="1"/>
  <c r="BE61" i="5" a="1"/>
  <c r="BE61" i="5" s="1"/>
  <c r="CB60" i="5"/>
  <c r="BX60" i="5" a="1"/>
  <c r="BX60" i="5" s="1"/>
  <c r="BU60" i="5" a="1"/>
  <c r="BU60" i="5" s="1"/>
  <c r="BR60" i="5" a="1"/>
  <c r="BR60" i="5" s="1"/>
  <c r="BO60" i="5" a="1"/>
  <c r="BO60" i="5" s="1"/>
  <c r="BL60" i="5" a="1"/>
  <c r="BL60" i="5" s="1"/>
  <c r="BI60" i="5" a="1"/>
  <c r="BI60" i="5" s="1"/>
  <c r="BE60" i="5" a="1"/>
  <c r="BE60" i="5" s="1"/>
  <c r="CB59" i="5"/>
  <c r="BX59" i="5" a="1"/>
  <c r="BX59" i="5" s="1"/>
  <c r="BU59" i="5" a="1"/>
  <c r="BU59" i="5" s="1"/>
  <c r="BR59" i="5" a="1"/>
  <c r="BR59" i="5" s="1"/>
  <c r="BO59" i="5" a="1"/>
  <c r="BO59" i="5" s="1"/>
  <c r="BL59" i="5" a="1"/>
  <c r="BL59" i="5" s="1"/>
  <c r="BI59" i="5" a="1"/>
  <c r="BI59" i="5" s="1"/>
  <c r="BE59" i="5" a="1"/>
  <c r="BE59" i="5" s="1"/>
  <c r="CB58" i="5"/>
  <c r="BX58" i="5" a="1"/>
  <c r="BX58" i="5" s="1"/>
  <c r="BU58" i="5" a="1"/>
  <c r="BU58" i="5" s="1"/>
  <c r="BR58" i="5" a="1"/>
  <c r="BR58" i="5" s="1"/>
  <c r="BO58" i="5" a="1"/>
  <c r="BO58" i="5" s="1"/>
  <c r="BL58" i="5" a="1"/>
  <c r="BL58" i="5" s="1"/>
  <c r="BI58" i="5" a="1"/>
  <c r="BI58" i="5" s="1"/>
  <c r="BE58" i="5" a="1"/>
  <c r="BE58" i="5" s="1"/>
  <c r="CB57" i="5"/>
  <c r="BX57" i="5" a="1"/>
  <c r="BX57" i="5" s="1"/>
  <c r="BU57" i="5" a="1"/>
  <c r="BU57" i="5" s="1"/>
  <c r="BR57" i="5" a="1"/>
  <c r="BR57" i="5" s="1"/>
  <c r="BO57" i="5" a="1"/>
  <c r="BO57" i="5" s="1"/>
  <c r="BL57" i="5" a="1"/>
  <c r="BL57" i="5" s="1"/>
  <c r="BI57" i="5" a="1"/>
  <c r="BI57" i="5" s="1"/>
  <c r="BE57" i="5" a="1"/>
  <c r="BE57" i="5" s="1"/>
  <c r="CB56" i="5"/>
  <c r="BX56" i="5" a="1"/>
  <c r="BX56" i="5" s="1"/>
  <c r="BU56" i="5" a="1"/>
  <c r="BU56" i="5" s="1"/>
  <c r="BR56" i="5" a="1"/>
  <c r="BR56" i="5" s="1"/>
  <c r="BO56" i="5" a="1"/>
  <c r="BO56" i="5" s="1"/>
  <c r="BL56" i="5" a="1"/>
  <c r="BL56" i="5" s="1"/>
  <c r="BI56" i="5" a="1"/>
  <c r="BI56" i="5" s="1"/>
  <c r="BE56" i="5" a="1"/>
  <c r="BE56" i="5" s="1"/>
  <c r="CB55" i="5"/>
  <c r="BX55" i="5" a="1"/>
  <c r="BX55" i="5" s="1"/>
  <c r="BU55" i="5" a="1"/>
  <c r="BU55" i="5" s="1"/>
  <c r="BR55" i="5" a="1"/>
  <c r="BR55" i="5" s="1"/>
  <c r="BO55" i="5" a="1"/>
  <c r="BO55" i="5" s="1"/>
  <c r="BL55" i="5" a="1"/>
  <c r="BL55" i="5" s="1"/>
  <c r="BI55" i="5" a="1"/>
  <c r="BI55" i="5" s="1"/>
  <c r="BE55" i="5" a="1"/>
  <c r="BE55" i="5" s="1"/>
  <c r="CB54" i="5"/>
  <c r="BX54" i="5" a="1"/>
  <c r="BX54" i="5" s="1"/>
  <c r="BU54" i="5" a="1"/>
  <c r="BU54" i="5" s="1"/>
  <c r="BR54" i="5" a="1"/>
  <c r="BR54" i="5" s="1"/>
  <c r="BO54" i="5" a="1"/>
  <c r="BO54" i="5" s="1"/>
  <c r="BL54" i="5" a="1"/>
  <c r="BL54" i="5" s="1"/>
  <c r="BI54" i="5" a="1"/>
  <c r="BI54" i="5" s="1"/>
  <c r="BE54" i="5" a="1"/>
  <c r="BE54" i="5" s="1"/>
  <c r="CB53" i="5"/>
  <c r="BX53" i="5" a="1"/>
  <c r="BX53" i="5" s="1"/>
  <c r="BU53" i="5" a="1"/>
  <c r="BU53" i="5" s="1"/>
  <c r="BR53" i="5" a="1"/>
  <c r="BR53" i="5" s="1"/>
  <c r="BO53" i="5" a="1"/>
  <c r="BO53" i="5" s="1"/>
  <c r="BL53" i="5" a="1"/>
  <c r="BL53" i="5" s="1"/>
  <c r="BI53" i="5" a="1"/>
  <c r="BI53" i="5" s="1"/>
  <c r="BE53" i="5" a="1"/>
  <c r="BE53" i="5" s="1"/>
  <c r="CB52" i="5"/>
  <c r="BX52" i="5" a="1"/>
  <c r="BX52" i="5" s="1"/>
  <c r="BU52" i="5" a="1"/>
  <c r="BU52" i="5" s="1"/>
  <c r="BR52" i="5" a="1"/>
  <c r="BR52" i="5" s="1"/>
  <c r="BO52" i="5" a="1"/>
  <c r="BO52" i="5" s="1"/>
  <c r="BL52" i="5" a="1"/>
  <c r="BL52" i="5" s="1"/>
  <c r="BI52" i="5" a="1"/>
  <c r="BI52" i="5" s="1"/>
  <c r="BE52" i="5" a="1"/>
  <c r="BE52" i="5" s="1"/>
  <c r="CB51" i="5"/>
  <c r="BX51" i="5" a="1"/>
  <c r="BX51" i="5" s="1"/>
  <c r="BU51" i="5" a="1"/>
  <c r="BU51" i="5" s="1"/>
  <c r="BR51" i="5" a="1"/>
  <c r="BR51" i="5" s="1"/>
  <c r="BO51" i="5" a="1"/>
  <c r="BO51" i="5" s="1"/>
  <c r="BL51" i="5" a="1"/>
  <c r="BL51" i="5" s="1"/>
  <c r="BI51" i="5" a="1"/>
  <c r="BI51" i="5" s="1"/>
  <c r="BE51" i="5" a="1"/>
  <c r="BE51" i="5" s="1"/>
  <c r="CB50" i="5"/>
  <c r="BX50" i="5" a="1"/>
  <c r="BX50" i="5" s="1"/>
  <c r="BU50" i="5" a="1"/>
  <c r="BU50" i="5" s="1"/>
  <c r="BR50" i="5" a="1"/>
  <c r="BR50" i="5" s="1"/>
  <c r="BO50" i="5" a="1"/>
  <c r="BO50" i="5" s="1"/>
  <c r="BL50" i="5" a="1"/>
  <c r="BL50" i="5" s="1"/>
  <c r="BI50" i="5" a="1"/>
  <c r="BI50" i="5" s="1"/>
  <c r="BE50" i="5" a="1"/>
  <c r="BE50" i="5" s="1"/>
  <c r="CB49" i="5"/>
  <c r="BX49" i="5" a="1"/>
  <c r="BX49" i="5" s="1"/>
  <c r="BU49" i="5" a="1"/>
  <c r="BU49" i="5" s="1"/>
  <c r="BR49" i="5" a="1"/>
  <c r="BR49" i="5" s="1"/>
  <c r="BO49" i="5" a="1"/>
  <c r="BO49" i="5" s="1"/>
  <c r="BL49" i="5" a="1"/>
  <c r="BL49" i="5" s="1"/>
  <c r="BI49" i="5" a="1"/>
  <c r="BI49" i="5" s="1"/>
  <c r="BE49" i="5" a="1"/>
  <c r="BE49" i="5" s="1"/>
  <c r="CB48" i="5"/>
  <c r="BX48" i="5" a="1"/>
  <c r="BX48" i="5" s="1"/>
  <c r="BU48" i="5" a="1"/>
  <c r="BU48" i="5" s="1"/>
  <c r="BR48" i="5" a="1"/>
  <c r="BR48" i="5" s="1"/>
  <c r="BO48" i="5" a="1"/>
  <c r="BO48" i="5" s="1"/>
  <c r="BL48" i="5" a="1"/>
  <c r="BL48" i="5" s="1"/>
  <c r="BI48" i="5" a="1"/>
  <c r="BI48" i="5" s="1"/>
  <c r="BE48" i="5" a="1"/>
  <c r="BE48" i="5" s="1"/>
  <c r="CB47" i="5"/>
  <c r="BX47" i="5" a="1"/>
  <c r="BX47" i="5" s="1"/>
  <c r="BU47" i="5" a="1"/>
  <c r="BU47" i="5" s="1"/>
  <c r="BR47" i="5" a="1"/>
  <c r="BR47" i="5" s="1"/>
  <c r="BO47" i="5" a="1"/>
  <c r="BO47" i="5" s="1"/>
  <c r="BL47" i="5" a="1"/>
  <c r="BL47" i="5" s="1"/>
  <c r="BI47" i="5" a="1"/>
  <c r="BI47" i="5" s="1"/>
  <c r="BE47" i="5" a="1"/>
  <c r="BE47" i="5" s="1"/>
  <c r="CB46" i="5"/>
  <c r="BX46" i="5" a="1"/>
  <c r="BX46" i="5" s="1"/>
  <c r="BU46" i="5" a="1"/>
  <c r="BU46" i="5" s="1"/>
  <c r="BR46" i="5" a="1"/>
  <c r="BR46" i="5" s="1"/>
  <c r="BO46" i="5" a="1"/>
  <c r="BO46" i="5" s="1"/>
  <c r="BL46" i="5" a="1"/>
  <c r="BL46" i="5" s="1"/>
  <c r="BI46" i="5" a="1"/>
  <c r="BI46" i="5" s="1"/>
  <c r="BE46" i="5" a="1"/>
  <c r="BE46" i="5" s="1"/>
  <c r="CB45" i="5"/>
  <c r="BX45" i="5" a="1"/>
  <c r="BX45" i="5" s="1"/>
  <c r="BU45" i="5" a="1"/>
  <c r="BU45" i="5" s="1"/>
  <c r="BR45" i="5" a="1"/>
  <c r="BR45" i="5" s="1"/>
  <c r="BO45" i="5" a="1"/>
  <c r="BO45" i="5" s="1"/>
  <c r="BL45" i="5" a="1"/>
  <c r="BL45" i="5" s="1"/>
  <c r="BI45" i="5" a="1"/>
  <c r="BI45" i="5" s="1"/>
  <c r="BE45" i="5" a="1"/>
  <c r="BE45" i="5" s="1"/>
  <c r="CB44" i="5"/>
  <c r="BX44" i="5" a="1"/>
  <c r="BX44" i="5" s="1"/>
  <c r="BU44" i="5" a="1"/>
  <c r="BU44" i="5" s="1"/>
  <c r="BR44" i="5" a="1"/>
  <c r="BR44" i="5" s="1"/>
  <c r="BO44" i="5" a="1"/>
  <c r="BO44" i="5" s="1"/>
  <c r="BL44" i="5" a="1"/>
  <c r="BL44" i="5" s="1"/>
  <c r="BI44" i="5" a="1"/>
  <c r="BI44" i="5" s="1"/>
  <c r="BE44" i="5" a="1"/>
  <c r="BE44" i="5" s="1"/>
  <c r="CB43" i="5"/>
  <c r="BX43" i="5" a="1"/>
  <c r="BX43" i="5" s="1"/>
  <c r="BU43" i="5" a="1"/>
  <c r="BU43" i="5" s="1"/>
  <c r="BR43" i="5" a="1"/>
  <c r="BR43" i="5" s="1"/>
  <c r="BO43" i="5" a="1"/>
  <c r="BO43" i="5" s="1"/>
  <c r="BL43" i="5" a="1"/>
  <c r="BL43" i="5" s="1"/>
  <c r="BI43" i="5" a="1"/>
  <c r="BI43" i="5" s="1"/>
  <c r="BE43" i="5" a="1"/>
  <c r="BE43" i="5" s="1"/>
  <c r="CB42" i="5"/>
  <c r="BX42" i="5" a="1"/>
  <c r="BX42" i="5" s="1"/>
  <c r="BU42" i="5" a="1"/>
  <c r="BU42" i="5" s="1"/>
  <c r="BR42" i="5" a="1"/>
  <c r="BR42" i="5" s="1"/>
  <c r="BO42" i="5" a="1"/>
  <c r="BO42" i="5" s="1"/>
  <c r="BL42" i="5" a="1"/>
  <c r="BL42" i="5" s="1"/>
  <c r="BI42" i="5" a="1"/>
  <c r="BI42" i="5" s="1"/>
  <c r="BE42" i="5" a="1"/>
  <c r="BE42" i="5" s="1"/>
  <c r="CB41" i="5"/>
  <c r="BX41" i="5" a="1"/>
  <c r="BX41" i="5" s="1"/>
  <c r="BU41" i="5" a="1"/>
  <c r="BU41" i="5" s="1"/>
  <c r="BR41" i="5" a="1"/>
  <c r="BR41" i="5" s="1"/>
  <c r="BO41" i="5" a="1"/>
  <c r="BO41" i="5" s="1"/>
  <c r="BL41" i="5" a="1"/>
  <c r="BL41" i="5" s="1"/>
  <c r="BI41" i="5" a="1"/>
  <c r="BI41" i="5" s="1"/>
  <c r="BE41" i="5" a="1"/>
  <c r="BE41" i="5" s="1"/>
  <c r="CB40" i="5"/>
  <c r="BX40" i="5" a="1"/>
  <c r="BX40" i="5" s="1"/>
  <c r="BU40" i="5" a="1"/>
  <c r="BU40" i="5" s="1"/>
  <c r="BR40" i="5" a="1"/>
  <c r="BR40" i="5" s="1"/>
  <c r="BO40" i="5" a="1"/>
  <c r="BO40" i="5" s="1"/>
  <c r="BL40" i="5" a="1"/>
  <c r="BL40" i="5" s="1"/>
  <c r="BI40" i="5" a="1"/>
  <c r="BI40" i="5" s="1"/>
  <c r="BE40" i="5" a="1"/>
  <c r="BE40" i="5" s="1"/>
  <c r="CB39" i="5"/>
  <c r="BX39" i="5" a="1"/>
  <c r="BX39" i="5" s="1"/>
  <c r="BU39" i="5" a="1"/>
  <c r="BU39" i="5" s="1"/>
  <c r="BR39" i="5" a="1"/>
  <c r="BR39" i="5" s="1"/>
  <c r="BO39" i="5" a="1"/>
  <c r="BO39" i="5" s="1"/>
  <c r="BL39" i="5" a="1"/>
  <c r="BL39" i="5" s="1"/>
  <c r="BI39" i="5" a="1"/>
  <c r="BI39" i="5" s="1"/>
  <c r="BE39" i="5" a="1"/>
  <c r="BE39" i="5" s="1"/>
  <c r="CB38" i="5"/>
  <c r="BX38" i="5" a="1"/>
  <c r="BX38" i="5" s="1"/>
  <c r="BU38" i="5" a="1"/>
  <c r="BU38" i="5" s="1"/>
  <c r="BR38" i="5" a="1"/>
  <c r="BR38" i="5" s="1"/>
  <c r="BO38" i="5" a="1"/>
  <c r="BO38" i="5" s="1"/>
  <c r="BL38" i="5" a="1"/>
  <c r="BL38" i="5" s="1"/>
  <c r="BI38" i="5" a="1"/>
  <c r="BI38" i="5" s="1"/>
  <c r="BE38" i="5" a="1"/>
  <c r="BE38" i="5" s="1"/>
  <c r="CB37" i="5"/>
  <c r="BX37" i="5" a="1"/>
  <c r="BX37" i="5" s="1"/>
  <c r="BU37" i="5" a="1"/>
  <c r="BU37" i="5" s="1"/>
  <c r="BR37" i="5" a="1"/>
  <c r="BR37" i="5" s="1"/>
  <c r="BO37" i="5" a="1"/>
  <c r="BO37" i="5" s="1"/>
  <c r="BL37" i="5" a="1"/>
  <c r="BL37" i="5" s="1"/>
  <c r="BI37" i="5" a="1"/>
  <c r="BI37" i="5" s="1"/>
  <c r="BE37" i="5" a="1"/>
  <c r="BE37" i="5" s="1"/>
  <c r="CB36" i="5"/>
  <c r="BX36" i="5" a="1"/>
  <c r="BX36" i="5" s="1"/>
  <c r="BU36" i="5" a="1"/>
  <c r="BU36" i="5" s="1"/>
  <c r="BR36" i="5" a="1"/>
  <c r="BR36" i="5" s="1"/>
  <c r="BO36" i="5" a="1"/>
  <c r="BO36" i="5" s="1"/>
  <c r="BL36" i="5" a="1"/>
  <c r="BL36" i="5" s="1"/>
  <c r="BI36" i="5" a="1"/>
  <c r="BI36" i="5" s="1"/>
  <c r="BE36" i="5" a="1"/>
  <c r="BE36" i="5" s="1"/>
  <c r="CB35" i="5"/>
  <c r="BX35" i="5" a="1"/>
  <c r="BX35" i="5" s="1"/>
  <c r="BU35" i="5" a="1"/>
  <c r="BU35" i="5" s="1"/>
  <c r="BR35" i="5" a="1"/>
  <c r="BR35" i="5" s="1"/>
  <c r="BO35" i="5" a="1"/>
  <c r="BO35" i="5" s="1"/>
  <c r="BL35" i="5" a="1"/>
  <c r="BL35" i="5" s="1"/>
  <c r="BI35" i="5" a="1"/>
  <c r="BI35" i="5" s="1"/>
  <c r="BE35" i="5" a="1"/>
  <c r="BE35" i="5" s="1"/>
  <c r="CB34" i="5"/>
  <c r="BX34" i="5" a="1"/>
  <c r="BX34" i="5" s="1"/>
  <c r="BU34" i="5" a="1"/>
  <c r="BU34" i="5" s="1"/>
  <c r="BR34" i="5" a="1"/>
  <c r="BR34" i="5" s="1"/>
  <c r="BO34" i="5" a="1"/>
  <c r="BO34" i="5" s="1"/>
  <c r="BL34" i="5" a="1"/>
  <c r="BL34" i="5" s="1"/>
  <c r="BI34" i="5" a="1"/>
  <c r="BI34" i="5" s="1"/>
  <c r="BE34" i="5" a="1"/>
  <c r="BE34" i="5" s="1"/>
  <c r="CB33" i="5"/>
  <c r="BX33" i="5" a="1"/>
  <c r="BX33" i="5" s="1"/>
  <c r="BU33" i="5" a="1"/>
  <c r="BU33" i="5" s="1"/>
  <c r="BR33" i="5" a="1"/>
  <c r="BR33" i="5" s="1"/>
  <c r="BO33" i="5" a="1"/>
  <c r="BO33" i="5" s="1"/>
  <c r="BL33" i="5" a="1"/>
  <c r="BL33" i="5" s="1"/>
  <c r="BI33" i="5" a="1"/>
  <c r="BI33" i="5" s="1"/>
  <c r="BE33" i="5" a="1"/>
  <c r="BE33" i="5" s="1"/>
  <c r="CB32" i="5"/>
  <c r="BX32" i="5" a="1"/>
  <c r="BX32" i="5" s="1"/>
  <c r="BU32" i="5" a="1"/>
  <c r="BU32" i="5" s="1"/>
  <c r="BR32" i="5" a="1"/>
  <c r="BR32" i="5" s="1"/>
  <c r="BO32" i="5" a="1"/>
  <c r="BO32" i="5" s="1"/>
  <c r="BL32" i="5" a="1"/>
  <c r="BL32" i="5" s="1"/>
  <c r="BI32" i="5" a="1"/>
  <c r="BI32" i="5" s="1"/>
  <c r="BE32" i="5" a="1"/>
  <c r="BE32" i="5" s="1"/>
  <c r="CB31" i="5"/>
  <c r="BX31" i="5" a="1"/>
  <c r="BX31" i="5" s="1"/>
  <c r="BU31" i="5" a="1"/>
  <c r="BU31" i="5" s="1"/>
  <c r="BR31" i="5" a="1"/>
  <c r="BR31" i="5" s="1"/>
  <c r="BO31" i="5" a="1"/>
  <c r="BO31" i="5" s="1"/>
  <c r="BL31" i="5" a="1"/>
  <c r="BL31" i="5" s="1"/>
  <c r="BI31" i="5" a="1"/>
  <c r="BI31" i="5" s="1"/>
  <c r="BE31" i="5" a="1"/>
  <c r="BE31" i="5" s="1"/>
  <c r="CB30" i="5"/>
  <c r="BX30" i="5" a="1"/>
  <c r="BX30" i="5" s="1"/>
  <c r="BU30" i="5" a="1"/>
  <c r="BU30" i="5" s="1"/>
  <c r="BR30" i="5" a="1"/>
  <c r="BR30" i="5" s="1"/>
  <c r="BO30" i="5" a="1"/>
  <c r="BO30" i="5" s="1"/>
  <c r="BL30" i="5" a="1"/>
  <c r="BL30" i="5" s="1"/>
  <c r="BI30" i="5" a="1"/>
  <c r="BI30" i="5" s="1"/>
  <c r="BE30" i="5" a="1"/>
  <c r="BE30" i="5" s="1"/>
  <c r="CB29" i="5"/>
  <c r="BX29" i="5" a="1"/>
  <c r="BX29" i="5" s="1"/>
  <c r="BU29" i="5" a="1"/>
  <c r="BU29" i="5" s="1"/>
  <c r="BR29" i="5" a="1"/>
  <c r="BR29" i="5" s="1"/>
  <c r="BO29" i="5" a="1"/>
  <c r="BO29" i="5" s="1"/>
  <c r="BL29" i="5" a="1"/>
  <c r="BL29" i="5" s="1"/>
  <c r="BI29" i="5" a="1"/>
  <c r="BI29" i="5" s="1"/>
  <c r="BE29" i="5" a="1"/>
  <c r="BE29" i="5" s="1"/>
  <c r="CB28" i="5"/>
  <c r="BX28" i="5" a="1"/>
  <c r="BX28" i="5" s="1"/>
  <c r="BU28" i="5" a="1"/>
  <c r="BU28" i="5" s="1"/>
  <c r="BR28" i="5" a="1"/>
  <c r="BR28" i="5" s="1"/>
  <c r="BO28" i="5" a="1"/>
  <c r="BO28" i="5" s="1"/>
  <c r="BL28" i="5" a="1"/>
  <c r="BL28" i="5" s="1"/>
  <c r="BI28" i="5" a="1"/>
  <c r="BI28" i="5" s="1"/>
  <c r="BE28" i="5" a="1"/>
  <c r="BE28" i="5" s="1"/>
  <c r="CB27" i="5"/>
  <c r="BX27" i="5" a="1"/>
  <c r="BX27" i="5" s="1"/>
  <c r="BU27" i="5" a="1"/>
  <c r="BU27" i="5" s="1"/>
  <c r="BR27" i="5" a="1"/>
  <c r="BR27" i="5" s="1"/>
  <c r="BO27" i="5" a="1"/>
  <c r="BO27" i="5" s="1"/>
  <c r="BL27" i="5" a="1"/>
  <c r="BL27" i="5" s="1"/>
  <c r="BI27" i="5" a="1"/>
  <c r="BI27" i="5" s="1"/>
  <c r="BE27" i="5" a="1"/>
  <c r="BE27" i="5" s="1"/>
  <c r="CB26" i="5"/>
  <c r="BX26" i="5" a="1"/>
  <c r="BX26" i="5" s="1"/>
  <c r="BU26" i="5" a="1"/>
  <c r="BU26" i="5" s="1"/>
  <c r="BR26" i="5" a="1"/>
  <c r="BR26" i="5" s="1"/>
  <c r="BO26" i="5" a="1"/>
  <c r="BO26" i="5" s="1"/>
  <c r="BL26" i="5" a="1"/>
  <c r="BL26" i="5" s="1"/>
  <c r="BI26" i="5" a="1"/>
  <c r="BI26" i="5" s="1"/>
  <c r="BE26" i="5" a="1"/>
  <c r="BE26" i="5" s="1"/>
  <c r="CB25" i="5"/>
  <c r="BX25" i="5" a="1"/>
  <c r="BX25" i="5" s="1"/>
  <c r="BU25" i="5" a="1"/>
  <c r="BU25" i="5" s="1"/>
  <c r="BR25" i="5" a="1"/>
  <c r="BR25" i="5" s="1"/>
  <c r="BO25" i="5" a="1"/>
  <c r="BO25" i="5" s="1"/>
  <c r="BL25" i="5" a="1"/>
  <c r="BL25" i="5" s="1"/>
  <c r="BI25" i="5" a="1"/>
  <c r="BI25" i="5" s="1"/>
  <c r="BE25" i="5" a="1"/>
  <c r="BE25" i="5" s="1"/>
  <c r="CB24" i="5"/>
  <c r="BX24" i="5" a="1"/>
  <c r="BX24" i="5" s="1"/>
  <c r="BU24" i="5" a="1"/>
  <c r="BU24" i="5" s="1"/>
  <c r="BR24" i="5" a="1"/>
  <c r="BR24" i="5" s="1"/>
  <c r="BO24" i="5" a="1"/>
  <c r="BO24" i="5" s="1"/>
  <c r="BL24" i="5" a="1"/>
  <c r="BL24" i="5" s="1"/>
  <c r="BI24" i="5" a="1"/>
  <c r="BI24" i="5" s="1"/>
  <c r="BE24" i="5" a="1"/>
  <c r="BE24" i="5" s="1"/>
  <c r="CB23" i="5"/>
  <c r="BX23" i="5" a="1"/>
  <c r="BX23" i="5" s="1"/>
  <c r="BU23" i="5" a="1"/>
  <c r="BU23" i="5" s="1"/>
  <c r="BR23" i="5" a="1"/>
  <c r="BR23" i="5" s="1"/>
  <c r="BO23" i="5" a="1"/>
  <c r="BO23" i="5" s="1"/>
  <c r="BL23" i="5" a="1"/>
  <c r="BL23" i="5" s="1"/>
  <c r="BI23" i="5" a="1"/>
  <c r="BI23" i="5" s="1"/>
  <c r="BE23" i="5" a="1"/>
  <c r="BE23" i="5" s="1"/>
  <c r="CB22" i="5"/>
  <c r="BX22" i="5" a="1"/>
  <c r="BX22" i="5" s="1"/>
  <c r="BU22" i="5" a="1"/>
  <c r="BU22" i="5" s="1"/>
  <c r="BR22" i="5" a="1"/>
  <c r="BR22" i="5" s="1"/>
  <c r="BO22" i="5" a="1"/>
  <c r="BO22" i="5" s="1"/>
  <c r="BL22" i="5" a="1"/>
  <c r="BL22" i="5" s="1"/>
  <c r="BI22" i="5" a="1"/>
  <c r="BI22" i="5" s="1"/>
  <c r="BE22" i="5" a="1"/>
  <c r="BE22" i="5" s="1"/>
  <c r="CB21" i="5"/>
  <c r="BX21" i="5" a="1"/>
  <c r="BX21" i="5" s="1"/>
  <c r="BU21" i="5" a="1"/>
  <c r="BU21" i="5" s="1"/>
  <c r="BR21" i="5" a="1"/>
  <c r="BR21" i="5" s="1"/>
  <c r="BO21" i="5" a="1"/>
  <c r="BO21" i="5" s="1"/>
  <c r="BL21" i="5" a="1"/>
  <c r="BL21" i="5" s="1"/>
  <c r="BI21" i="5" a="1"/>
  <c r="BI21" i="5" s="1"/>
  <c r="BE21" i="5" a="1"/>
  <c r="BE21" i="5" s="1"/>
  <c r="CB20" i="5"/>
  <c r="BX20" i="5" a="1"/>
  <c r="BX20" i="5" s="1"/>
  <c r="BU20" i="5" a="1"/>
  <c r="BU20" i="5" s="1"/>
  <c r="BR20" i="5" a="1"/>
  <c r="BR20" i="5" s="1"/>
  <c r="BO20" i="5" a="1"/>
  <c r="BO20" i="5" s="1"/>
  <c r="BL20" i="5" a="1"/>
  <c r="BL20" i="5" s="1"/>
  <c r="BI20" i="5" a="1"/>
  <c r="BI20" i="5" s="1"/>
  <c r="BE20" i="5" a="1"/>
  <c r="BE20" i="5" s="1"/>
  <c r="CB19" i="5"/>
  <c r="BX19" i="5" a="1"/>
  <c r="BX19" i="5" s="1"/>
  <c r="BU19" i="5" a="1"/>
  <c r="BU19" i="5" s="1"/>
  <c r="BR19" i="5" a="1"/>
  <c r="BR19" i="5" s="1"/>
  <c r="BO19" i="5" a="1"/>
  <c r="BO19" i="5" s="1"/>
  <c r="BL19" i="5" a="1"/>
  <c r="BL19" i="5" s="1"/>
  <c r="BI19" i="5" a="1"/>
  <c r="BI19" i="5" s="1"/>
  <c r="BE19" i="5" a="1"/>
  <c r="BE19" i="5" s="1"/>
  <c r="CB18" i="5"/>
  <c r="BX18" i="5" a="1"/>
  <c r="BX18" i="5" s="1"/>
  <c r="BU18" i="5" a="1"/>
  <c r="BU18" i="5" s="1"/>
  <c r="BR18" i="5" a="1"/>
  <c r="BR18" i="5" s="1"/>
  <c r="BO18" i="5" a="1"/>
  <c r="BO18" i="5" s="1"/>
  <c r="BL18" i="5" a="1"/>
  <c r="BL18" i="5" s="1"/>
  <c r="BI18" i="5" a="1"/>
  <c r="BI18" i="5" s="1"/>
  <c r="BE18" i="5" a="1"/>
  <c r="BE18" i="5" s="1"/>
  <c r="CB17" i="5"/>
  <c r="BX17" i="5" a="1"/>
  <c r="BX17" i="5" s="1"/>
  <c r="BU17" i="5" a="1"/>
  <c r="BU17" i="5" s="1"/>
  <c r="BR17" i="5" a="1"/>
  <c r="BR17" i="5" s="1"/>
  <c r="BO17" i="5" a="1"/>
  <c r="BO17" i="5" s="1"/>
  <c r="BL17" i="5" a="1"/>
  <c r="BL17" i="5" s="1"/>
  <c r="BI17" i="5" a="1"/>
  <c r="BI17" i="5" s="1"/>
  <c r="BE17" i="5" a="1"/>
  <c r="BE17" i="5" s="1"/>
  <c r="CB16" i="5"/>
  <c r="BX16" i="5" a="1"/>
  <c r="BX16" i="5" s="1"/>
  <c r="BU16" i="5" a="1"/>
  <c r="BU16" i="5" s="1"/>
  <c r="BR16" i="5" a="1"/>
  <c r="BR16" i="5" s="1"/>
  <c r="BO16" i="5" a="1"/>
  <c r="BO16" i="5" s="1"/>
  <c r="BL16" i="5" a="1"/>
  <c r="BL16" i="5" s="1"/>
  <c r="BI16" i="5" a="1"/>
  <c r="BI16" i="5" s="1"/>
  <c r="BE16" i="5" a="1"/>
  <c r="BE16" i="5" s="1"/>
  <c r="CB15" i="5"/>
  <c r="BX15" i="5" a="1"/>
  <c r="BX15" i="5" s="1"/>
  <c r="BU15" i="5" a="1"/>
  <c r="BU15" i="5" s="1"/>
  <c r="BR15" i="5" a="1"/>
  <c r="BR15" i="5" s="1"/>
  <c r="BO15" i="5" a="1"/>
  <c r="BO15" i="5" s="1"/>
  <c r="BL15" i="5" a="1"/>
  <c r="BL15" i="5" s="1"/>
  <c r="BI15" i="5" a="1"/>
  <c r="BI15" i="5" s="1"/>
  <c r="BE15" i="5" a="1"/>
  <c r="BE15" i="5" s="1"/>
  <c r="CB14" i="5"/>
  <c r="BX14" i="5" a="1"/>
  <c r="BX14" i="5" s="1"/>
  <c r="BU14" i="5" a="1"/>
  <c r="BU14" i="5" s="1"/>
  <c r="BR14" i="5" a="1"/>
  <c r="BR14" i="5" s="1"/>
  <c r="BO14" i="5" a="1"/>
  <c r="BO14" i="5" s="1"/>
  <c r="BL14" i="5" a="1"/>
  <c r="BL14" i="5" s="1"/>
  <c r="BI14" i="5" a="1"/>
  <c r="BI14" i="5" s="1"/>
  <c r="BE14" i="5" a="1"/>
  <c r="BE14" i="5" s="1"/>
  <c r="CB13" i="5"/>
  <c r="BX13" i="5" a="1"/>
  <c r="BX13" i="5" s="1"/>
  <c r="BU13" i="5" a="1"/>
  <c r="BU13" i="5" s="1"/>
  <c r="BR13" i="5" a="1"/>
  <c r="BR13" i="5" s="1"/>
  <c r="BO13" i="5" a="1"/>
  <c r="BO13" i="5" s="1"/>
  <c r="BL13" i="5" a="1"/>
  <c r="BL13" i="5" s="1"/>
  <c r="BI13" i="5" a="1"/>
  <c r="BI13" i="5" s="1"/>
  <c r="BE13" i="5" a="1"/>
  <c r="BE13" i="5" s="1"/>
  <c r="CB12" i="5"/>
  <c r="BX12" i="5" a="1"/>
  <c r="BX12" i="5" s="1"/>
  <c r="BU12" i="5" a="1"/>
  <c r="BU12" i="5" s="1"/>
  <c r="BR12" i="5" a="1"/>
  <c r="BR12" i="5" s="1"/>
  <c r="BO12" i="5" a="1"/>
  <c r="BO12" i="5" s="1"/>
  <c r="BL12" i="5" a="1"/>
  <c r="BL12" i="5" s="1"/>
  <c r="BI12" i="5" a="1"/>
  <c r="BI12" i="5" s="1"/>
  <c r="BE12" i="5" a="1"/>
  <c r="BE12" i="5" s="1"/>
  <c r="CB11" i="5"/>
  <c r="BX11" i="5" a="1"/>
  <c r="BX11" i="5" s="1"/>
  <c r="BU11" i="5" a="1"/>
  <c r="BU11" i="5" s="1"/>
  <c r="BR11" i="5" a="1"/>
  <c r="BR11" i="5" s="1"/>
  <c r="BO11" i="5" a="1"/>
  <c r="BO11" i="5" s="1"/>
  <c r="BL11" i="5" a="1"/>
  <c r="BL11" i="5" s="1"/>
  <c r="BI11" i="5" a="1"/>
  <c r="BI11" i="5" s="1"/>
  <c r="BE11" i="5" a="1"/>
  <c r="BE11" i="5" s="1"/>
  <c r="CB10" i="5"/>
  <c r="BX10" i="5" a="1"/>
  <c r="BX10" i="5" s="1"/>
  <c r="BU10" i="5" a="1"/>
  <c r="BU10" i="5" s="1"/>
  <c r="BR10" i="5" a="1"/>
  <c r="BR10" i="5" s="1"/>
  <c r="BO10" i="5" a="1"/>
  <c r="BO10" i="5" s="1"/>
  <c r="BL10" i="5" a="1"/>
  <c r="BL10" i="5" s="1"/>
  <c r="BI10" i="5" a="1"/>
  <c r="BI10" i="5" s="1"/>
  <c r="BE10" i="5" a="1"/>
  <c r="BE10" i="5" s="1"/>
  <c r="CB9" i="5"/>
  <c r="BX9" i="5" a="1"/>
  <c r="BX9" i="5" s="1"/>
  <c r="BU9" i="5" a="1"/>
  <c r="BU9" i="5" s="1"/>
  <c r="BR9" i="5" a="1"/>
  <c r="BR9" i="5" s="1"/>
  <c r="BO9" i="5" a="1"/>
  <c r="BO9" i="5" s="1"/>
  <c r="BL9" i="5" a="1"/>
  <c r="BL9" i="5" s="1"/>
  <c r="BI9" i="5" a="1"/>
  <c r="BI9" i="5" s="1"/>
  <c r="BE9" i="5" a="1"/>
  <c r="BE9" i="5" s="1"/>
  <c r="CB8" i="5"/>
  <c r="BX8" i="5" a="1"/>
  <c r="BX8" i="5" s="1"/>
  <c r="BU8" i="5" a="1"/>
  <c r="BU8" i="5" s="1"/>
  <c r="BR8" i="5" a="1"/>
  <c r="BR8" i="5" s="1"/>
  <c r="BO8" i="5" a="1"/>
  <c r="BO8" i="5" s="1"/>
  <c r="BL8" i="5" a="1"/>
  <c r="BL8" i="5" s="1"/>
  <c r="BI8" i="5" a="1"/>
  <c r="BI8" i="5" s="1"/>
  <c r="BE8" i="5" a="1"/>
  <c r="BE8" i="5" s="1"/>
  <c r="CB7" i="5"/>
  <c r="BX7" i="5" a="1"/>
  <c r="BX7" i="5" s="1"/>
  <c r="BU7" i="5" a="1"/>
  <c r="BU7" i="5" s="1"/>
  <c r="BR7" i="5" a="1"/>
  <c r="BR7" i="5" s="1"/>
  <c r="BO7" i="5" a="1"/>
  <c r="BO7" i="5" s="1"/>
  <c r="BL7" i="5" a="1"/>
  <c r="BL7" i="5" s="1"/>
  <c r="BI7" i="5" a="1"/>
  <c r="BI7" i="5" s="1"/>
  <c r="BE7" i="5" a="1"/>
  <c r="BE7" i="5" s="1"/>
  <c r="CB6" i="5"/>
  <c r="BX6" i="5" a="1"/>
  <c r="BX6" i="5" s="1"/>
  <c r="BU6" i="5" a="1"/>
  <c r="BU6" i="5" s="1"/>
  <c r="BR6" i="5" a="1"/>
  <c r="BR6" i="5" s="1"/>
  <c r="BO6" i="5" a="1"/>
  <c r="BO6" i="5" s="1"/>
  <c r="BL6" i="5" a="1"/>
  <c r="BL6" i="5" s="1"/>
  <c r="BI6" i="5" a="1"/>
  <c r="BI6" i="5" s="1"/>
  <c r="BE6" i="5" a="1"/>
  <c r="BE6" i="5" s="1"/>
  <c r="CI2" i="5"/>
  <c r="CH1" i="5"/>
  <c r="BE1" i="5"/>
  <c r="N12" i="40" l="1"/>
  <c r="N3" i="40"/>
  <c r="N5" i="40"/>
  <c r="N13" i="40"/>
  <c r="N6" i="40"/>
  <c r="N11" i="40"/>
  <c r="N4" i="40"/>
  <c r="N10" i="40"/>
  <c r="N8" i="40"/>
  <c r="N7" i="40"/>
  <c r="N9" i="40"/>
  <c r="E47" i="40"/>
  <c r="E19" i="40"/>
  <c r="E12" i="40"/>
  <c r="E15" i="40"/>
  <c r="E81" i="40"/>
  <c r="E40" i="40"/>
  <c r="E2" i="40"/>
  <c r="E67" i="40"/>
  <c r="E45" i="40"/>
  <c r="E46" i="40"/>
  <c r="E65" i="40"/>
  <c r="E6" i="40"/>
  <c r="E64" i="40"/>
  <c r="E8" i="40"/>
  <c r="E35" i="40"/>
  <c r="E37" i="40"/>
  <c r="E74" i="40"/>
  <c r="E36" i="40"/>
  <c r="E58" i="40"/>
  <c r="E56" i="40"/>
  <c r="E41" i="40"/>
  <c r="E66" i="40"/>
  <c r="E7" i="40"/>
  <c r="E22" i="40"/>
  <c r="E11" i="40"/>
  <c r="E57" i="40"/>
  <c r="E61" i="40"/>
  <c r="E24" i="40"/>
  <c r="E33" i="40"/>
  <c r="E54" i="40"/>
  <c r="E76" i="40"/>
  <c r="E78" i="40"/>
  <c r="E39" i="40"/>
  <c r="E18" i="40"/>
  <c r="E60" i="40"/>
  <c r="E79" i="40"/>
  <c r="E13" i="40"/>
  <c r="E38" i="40"/>
  <c r="E51" i="40"/>
  <c r="E32" i="40"/>
  <c r="E73" i="40"/>
  <c r="E34" i="40"/>
  <c r="E63" i="40"/>
  <c r="E29" i="40"/>
  <c r="E82" i="40"/>
  <c r="E44" i="40"/>
  <c r="E21" i="40"/>
  <c r="E23" i="40"/>
  <c r="E26" i="40"/>
  <c r="E14" i="40"/>
  <c r="E9" i="40"/>
  <c r="E31" i="40"/>
  <c r="E75" i="40"/>
  <c r="E62" i="40"/>
  <c r="E53" i="40"/>
  <c r="E42" i="40"/>
  <c r="E27" i="40"/>
  <c r="E28" i="40"/>
  <c r="E43" i="40"/>
  <c r="E71" i="40"/>
  <c r="E52" i="40"/>
  <c r="E3" i="40"/>
  <c r="E48" i="40"/>
  <c r="E50" i="40"/>
  <c r="E70" i="40"/>
  <c r="E77" i="40"/>
  <c r="E25" i="40"/>
  <c r="E59" i="40"/>
  <c r="E17" i="40"/>
  <c r="E68" i="40"/>
  <c r="E49" i="40"/>
  <c r="E69" i="40"/>
  <c r="E72" i="40"/>
  <c r="E20" i="40"/>
  <c r="E80" i="40"/>
  <c r="E55" i="40"/>
  <c r="E16" i="40"/>
  <c r="E4" i="40"/>
  <c r="E5" i="40"/>
  <c r="E10" i="40"/>
  <c r="E30" i="40"/>
  <c r="P2" i="8"/>
  <c r="O2" i="8"/>
  <c r="Q2" i="8"/>
  <c r="M2" i="8"/>
  <c r="N2" i="8"/>
  <c r="EG85" i="8"/>
  <c r="EG79" i="8"/>
  <c r="EG77" i="8"/>
  <c r="EG64" i="8"/>
  <c r="EG52" i="8"/>
  <c r="EG47" i="8"/>
  <c r="EG43" i="8"/>
  <c r="EG35" i="8"/>
  <c r="EG67" i="8"/>
  <c r="EG66" i="8"/>
  <c r="EG46" i="8"/>
  <c r="EG44" i="8"/>
  <c r="EG40" i="8"/>
  <c r="EG25" i="8"/>
  <c r="EG23" i="8"/>
  <c r="EG22" i="8"/>
  <c r="EG49" i="8"/>
  <c r="EG32" i="8"/>
  <c r="EG29" i="8"/>
  <c r="EG19" i="8"/>
  <c r="EG9" i="8"/>
  <c r="EG7" i="8"/>
  <c r="EG6" i="8"/>
  <c r="EG72" i="8"/>
  <c r="EG71" i="8"/>
  <c r="EG56" i="8"/>
  <c r="EG53" i="8"/>
  <c r="EG51" i="8"/>
  <c r="EG50" i="8"/>
  <c r="EG48" i="8"/>
  <c r="EG39" i="8"/>
  <c r="EG33" i="8"/>
  <c r="EG27" i="8"/>
  <c r="EG20" i="8"/>
  <c r="EG14" i="8"/>
  <c r="EG10" i="8"/>
  <c r="EG62" i="8"/>
  <c r="EG60" i="8"/>
  <c r="EG54" i="8"/>
  <c r="EG24" i="8"/>
  <c r="EG21" i="8"/>
  <c r="EG69" i="8"/>
  <c r="EG65" i="8"/>
  <c r="EG61" i="8"/>
  <c r="EG55" i="8"/>
  <c r="EG45" i="8"/>
  <c r="EG42" i="8"/>
  <c r="EG37" i="8"/>
  <c r="EG34" i="8"/>
  <c r="EG28" i="8"/>
  <c r="EG26" i="8"/>
  <c r="EG17" i="8"/>
  <c r="EG16" i="8"/>
  <c r="EG86" i="8"/>
  <c r="EG82" i="8"/>
  <c r="EG76" i="8"/>
  <c r="EG73" i="8"/>
  <c r="EG70" i="8"/>
  <c r="EG68" i="8"/>
  <c r="EG63" i="8"/>
  <c r="EG58" i="8"/>
  <c r="EG38" i="8"/>
  <c r="EG88" i="8"/>
  <c r="EG81" i="8"/>
  <c r="EG78" i="8"/>
  <c r="EG75" i="8"/>
  <c r="EG59" i="8"/>
  <c r="EG57" i="8"/>
  <c r="EG41" i="8"/>
  <c r="EG36" i="8"/>
  <c r="EG31" i="8"/>
  <c r="EG30" i="8"/>
  <c r="EG18" i="8"/>
  <c r="EG15" i="8"/>
  <c r="EG13" i="8"/>
  <c r="EG12" i="8"/>
  <c r="EG11" i="8"/>
  <c r="EG8" i="8"/>
  <c r="EG87" i="8"/>
  <c r="EG84" i="8"/>
  <c r="EG83" i="8"/>
  <c r="EG80" i="8"/>
  <c r="EG74" i="8"/>
  <c r="N2" i="40"/>
  <c r="BG2" i="5"/>
  <c r="BZ87" i="5" a="1"/>
  <c r="BZ87" i="5" s="1"/>
  <c r="BY87" i="5"/>
  <c r="BQ87" i="5" a="1"/>
  <c r="BQ87" i="5" s="1"/>
  <c r="BP87" i="5"/>
  <c r="BT87" i="5" a="1"/>
  <c r="BT87" i="5" s="1"/>
  <c r="BS87" i="5"/>
  <c r="BF87" i="5"/>
  <c r="BH87" i="5" s="1"/>
  <c r="BJ87" i="5"/>
  <c r="BK87" i="5" a="1"/>
  <c r="BK87" i="5" s="1"/>
  <c r="BN87" i="5" a="1"/>
  <c r="BN87" i="5" s="1"/>
  <c r="BM87" i="5"/>
  <c r="CG87" i="5"/>
  <c r="BW87" i="5" a="1"/>
  <c r="BW87" i="5" s="1"/>
  <c r="BV87" i="5"/>
  <c r="BZ86" i="5" a="1"/>
  <c r="BZ86" i="5" s="1"/>
  <c r="BY86" i="5"/>
  <c r="BQ86" i="5" a="1"/>
  <c r="BQ86" i="5" s="1"/>
  <c r="BP86" i="5"/>
  <c r="BF86" i="5"/>
  <c r="BH86" i="5" s="1"/>
  <c r="CG86" i="5"/>
  <c r="BM86" i="5"/>
  <c r="BW86" i="5" a="1"/>
  <c r="BW86" i="5" s="1"/>
  <c r="BV86" i="5"/>
  <c r="BT86" i="5" a="1"/>
  <c r="BT86" i="5" s="1"/>
  <c r="BS86" i="5"/>
  <c r="BN86" i="5" a="1"/>
  <c r="BN86" i="5" s="1"/>
  <c r="BJ86" i="5"/>
  <c r="CD86" i="5" s="1"/>
  <c r="BK86" i="5" a="1"/>
  <c r="BK86" i="5" s="1"/>
  <c r="BZ85" i="5" a="1"/>
  <c r="BZ85" i="5" s="1"/>
  <c r="BY85" i="5"/>
  <c r="BP85" i="5"/>
  <c r="BQ85" i="5" a="1"/>
  <c r="BQ85" i="5" s="1"/>
  <c r="BK85" i="5" a="1"/>
  <c r="BK85" i="5" s="1"/>
  <c r="CG85" i="5"/>
  <c r="BW85" i="5" a="1"/>
  <c r="BW85" i="5" s="1"/>
  <c r="BM85" i="5"/>
  <c r="BN85" i="5" a="1"/>
  <c r="BN85" i="5" s="1"/>
  <c r="BV85" i="5"/>
  <c r="BS85" i="5"/>
  <c r="BT85" i="5" a="1"/>
  <c r="BT85" i="5" s="1"/>
  <c r="BF85" i="5"/>
  <c r="BH85" i="5" s="1"/>
  <c r="BJ85" i="5"/>
  <c r="BY83" i="5"/>
  <c r="BZ83" i="5" a="1"/>
  <c r="BZ83" i="5" s="1"/>
  <c r="BP83" i="5"/>
  <c r="BQ83" i="5" a="1"/>
  <c r="BQ83" i="5" s="1"/>
  <c r="BS83" i="5"/>
  <c r="BT83" i="5" a="1"/>
  <c r="BT83" i="5" s="1"/>
  <c r="BV83" i="5"/>
  <c r="BW83" i="5" a="1"/>
  <c r="BW83" i="5" s="1"/>
  <c r="CG83" i="5"/>
  <c r="BM83" i="5"/>
  <c r="BN83" i="5" a="1"/>
  <c r="BN83" i="5" s="1"/>
  <c r="BF83" i="5"/>
  <c r="BH83" i="5" s="1"/>
  <c r="BJ83" i="5"/>
  <c r="BK83" i="5" a="1"/>
  <c r="BK83" i="5" s="1"/>
  <c r="BY82" i="5"/>
  <c r="BZ82" i="5" a="1"/>
  <c r="BZ82" i="5" s="1"/>
  <c r="BP82" i="5"/>
  <c r="BQ82" i="5" a="1"/>
  <c r="BQ82" i="5" s="1"/>
  <c r="BS82" i="5"/>
  <c r="BJ82" i="5"/>
  <c r="BK82" i="5" a="1"/>
  <c r="BK82" i="5" s="1"/>
  <c r="BM82" i="5"/>
  <c r="BV82" i="5"/>
  <c r="BW82" i="5" a="1"/>
  <c r="BW82" i="5" s="1"/>
  <c r="BT82" i="5" a="1"/>
  <c r="BT82" i="5" s="1"/>
  <c r="BF82" i="5"/>
  <c r="BH82" i="5" s="1"/>
  <c r="BN82" i="5" a="1"/>
  <c r="BN82" i="5" s="1"/>
  <c r="CG82" i="5"/>
  <c r="BY81" i="5"/>
  <c r="BZ81" i="5" a="1"/>
  <c r="BZ81" i="5" s="1"/>
  <c r="BP81" i="5"/>
  <c r="BQ81" i="5" a="1"/>
  <c r="BQ81" i="5" s="1"/>
  <c r="BJ81" i="5"/>
  <c r="BK81" i="5" a="1"/>
  <c r="BK81" i="5" s="1"/>
  <c r="BM81" i="5"/>
  <c r="BN81" i="5" a="1"/>
  <c r="BN81" i="5" s="1"/>
  <c r="BS81" i="5"/>
  <c r="BT81" i="5" a="1"/>
  <c r="BT81" i="5" s="1"/>
  <c r="BF81" i="5"/>
  <c r="BH81" i="5" s="1"/>
  <c r="BV81" i="5"/>
  <c r="BW81" i="5" a="1"/>
  <c r="BW81" i="5" s="1"/>
  <c r="CG81" i="5"/>
  <c r="BY80" i="5"/>
  <c r="BZ80" i="5" a="1"/>
  <c r="BZ80" i="5" s="1"/>
  <c r="BP80" i="5"/>
  <c r="BQ80" i="5" a="1"/>
  <c r="BQ80" i="5" s="1"/>
  <c r="BF80" i="5"/>
  <c r="BH80" i="5" s="1"/>
  <c r="BS80" i="5"/>
  <c r="BT80" i="5" a="1"/>
  <c r="BT80" i="5" s="1"/>
  <c r="BV80" i="5"/>
  <c r="BW80" i="5" a="1"/>
  <c r="BW80" i="5" s="1"/>
  <c r="BK80" i="5" a="1"/>
  <c r="BK80" i="5" s="1"/>
  <c r="BJ80" i="5"/>
  <c r="BM80" i="5"/>
  <c r="BN80" i="5" a="1"/>
  <c r="BN80" i="5" s="1"/>
  <c r="CG80" i="5"/>
  <c r="BY79" i="5"/>
  <c r="BZ79" i="5" a="1"/>
  <c r="BZ79" i="5" s="1"/>
  <c r="BP79" i="5"/>
  <c r="BQ79" i="5" a="1"/>
  <c r="BQ79" i="5" s="1"/>
  <c r="BF79" i="5"/>
  <c r="BH79" i="5" s="1"/>
  <c r="BJ79" i="5"/>
  <c r="BK79" i="5" a="1"/>
  <c r="BK79" i="5" s="1"/>
  <c r="BM79" i="5"/>
  <c r="BN79" i="5" a="1"/>
  <c r="BN79" i="5" s="1"/>
  <c r="BV79" i="5"/>
  <c r="BW79" i="5" a="1"/>
  <c r="BW79" i="5" s="1"/>
  <c r="CG79" i="5"/>
  <c r="BS79" i="5"/>
  <c r="BT79" i="5" a="1"/>
  <c r="BT79" i="5" s="1"/>
  <c r="BY78" i="5"/>
  <c r="BZ78" i="5" a="1"/>
  <c r="BZ78" i="5" s="1"/>
  <c r="BP78" i="5"/>
  <c r="BQ78" i="5" a="1"/>
  <c r="BQ78" i="5" s="1"/>
  <c r="BF78" i="5"/>
  <c r="BH78" i="5" s="1"/>
  <c r="BS78" i="5"/>
  <c r="BT78" i="5" a="1"/>
  <c r="BT78" i="5" s="1"/>
  <c r="CG78" i="5"/>
  <c r="BM78" i="5"/>
  <c r="BN78" i="5" a="1"/>
  <c r="BN78" i="5" s="1"/>
  <c r="BV78" i="5"/>
  <c r="BW78" i="5" a="1"/>
  <c r="BW78" i="5" s="1"/>
  <c r="BJ78" i="5"/>
  <c r="BK78" i="5" a="1"/>
  <c r="BK78" i="5" s="1"/>
  <c r="BY77" i="5"/>
  <c r="BZ77" i="5" a="1"/>
  <c r="BZ77" i="5" s="1"/>
  <c r="BP77" i="5"/>
  <c r="BQ77" i="5" a="1"/>
  <c r="BQ77" i="5" s="1"/>
  <c r="BV77" i="5"/>
  <c r="BW77" i="5" a="1"/>
  <c r="BW77" i="5" s="1"/>
  <c r="BJ77" i="5"/>
  <c r="BK77" i="5" a="1"/>
  <c r="BK77" i="5" s="1"/>
  <c r="BM77" i="5"/>
  <c r="BN77" i="5" a="1"/>
  <c r="BN77" i="5" s="1"/>
  <c r="BF77" i="5"/>
  <c r="BH77" i="5" s="1"/>
  <c r="CG77" i="5"/>
  <c r="BT77" i="5" a="1"/>
  <c r="BT77" i="5" s="1"/>
  <c r="BS77" i="5"/>
  <c r="BY76" i="5"/>
  <c r="BZ76" i="5" a="1"/>
  <c r="BZ76" i="5" s="1"/>
  <c r="BP76" i="5"/>
  <c r="BQ76" i="5" a="1"/>
  <c r="BQ76" i="5" s="1"/>
  <c r="BV76" i="5"/>
  <c r="BW76" i="5" a="1"/>
  <c r="BW76" i="5" s="1"/>
  <c r="CG76" i="5"/>
  <c r="BM76" i="5"/>
  <c r="BN76" i="5" a="1"/>
  <c r="BN76" i="5" s="1"/>
  <c r="BF76" i="5"/>
  <c r="BH76" i="5" s="1"/>
  <c r="BS76" i="5"/>
  <c r="BT76" i="5" a="1"/>
  <c r="BT76" i="5" s="1"/>
  <c r="BJ76" i="5"/>
  <c r="BK76" i="5" a="1"/>
  <c r="BK76" i="5" s="1"/>
  <c r="BY75" i="5"/>
  <c r="BZ75" i="5" a="1"/>
  <c r="BZ75" i="5" s="1"/>
  <c r="BP75" i="5"/>
  <c r="BQ75" i="5" a="1"/>
  <c r="BQ75" i="5" s="1"/>
  <c r="CG75" i="5"/>
  <c r="BJ75" i="5"/>
  <c r="BK75" i="5" a="1"/>
  <c r="BK75" i="5" s="1"/>
  <c r="BV75" i="5"/>
  <c r="BW75" i="5" a="1"/>
  <c r="BW75" i="5" s="1"/>
  <c r="BM75" i="5"/>
  <c r="BN75" i="5" a="1"/>
  <c r="BN75" i="5" s="1"/>
  <c r="BS75" i="5"/>
  <c r="BT75" i="5" a="1"/>
  <c r="BT75" i="5" s="1"/>
  <c r="BF75" i="5"/>
  <c r="BH75" i="5" s="1"/>
  <c r="BY74" i="5"/>
  <c r="BZ74" i="5" a="1"/>
  <c r="BZ74" i="5" s="1"/>
  <c r="BP74" i="5"/>
  <c r="BQ74" i="5" a="1"/>
  <c r="BQ74" i="5" s="1"/>
  <c r="CG74" i="5"/>
  <c r="BS74" i="5"/>
  <c r="BT74" i="5" a="1"/>
  <c r="BT74" i="5" s="1"/>
  <c r="BJ74" i="5"/>
  <c r="BK74" i="5" a="1"/>
  <c r="BK74" i="5" s="1"/>
  <c r="BM74" i="5"/>
  <c r="BN74" i="5" a="1"/>
  <c r="BN74" i="5" s="1"/>
  <c r="BV74" i="5"/>
  <c r="BW74" i="5" a="1"/>
  <c r="BW74" i="5" s="1"/>
  <c r="BF74" i="5"/>
  <c r="BH74" i="5" s="1"/>
  <c r="BY73" i="5"/>
  <c r="BZ73" i="5" a="1"/>
  <c r="BZ73" i="5" s="1"/>
  <c r="BP73" i="5"/>
  <c r="BQ73" i="5" a="1"/>
  <c r="BQ73" i="5" s="1"/>
  <c r="BS73" i="5"/>
  <c r="BV73" i="5"/>
  <c r="CG73" i="5"/>
  <c r="BJ73" i="5"/>
  <c r="BK73" i="5" a="1"/>
  <c r="BK73" i="5" s="1"/>
  <c r="BM73" i="5"/>
  <c r="BN73" i="5" a="1"/>
  <c r="BN73" i="5" s="1"/>
  <c r="BT73" i="5" a="1"/>
  <c r="BT73" i="5" s="1"/>
  <c r="BW73" i="5" a="1"/>
  <c r="BW73" i="5" s="1"/>
  <c r="BF73" i="5"/>
  <c r="BH73" i="5" s="1"/>
  <c r="BY72" i="5"/>
  <c r="BZ72" i="5" a="1"/>
  <c r="BZ72" i="5" s="1"/>
  <c r="BP72" i="5"/>
  <c r="BQ72" i="5" a="1"/>
  <c r="BQ72" i="5" s="1"/>
  <c r="CG72" i="5"/>
  <c r="BF72" i="5"/>
  <c r="BH72" i="5" s="1"/>
  <c r="BJ72" i="5"/>
  <c r="BK72" i="5" a="1"/>
  <c r="BK72" i="5" s="1"/>
  <c r="BS72" i="5"/>
  <c r="BT72" i="5" a="1"/>
  <c r="BT72" i="5" s="1"/>
  <c r="BV72" i="5"/>
  <c r="BM72" i="5"/>
  <c r="BN72" i="5" a="1"/>
  <c r="BN72" i="5" s="1"/>
  <c r="BW72" i="5" a="1"/>
  <c r="BW72" i="5" s="1"/>
  <c r="BY71" i="5"/>
  <c r="BZ71" i="5" a="1"/>
  <c r="BZ71" i="5" s="1"/>
  <c r="BP71" i="5"/>
  <c r="BQ71" i="5" a="1"/>
  <c r="BQ71" i="5" s="1"/>
  <c r="BM71" i="5"/>
  <c r="BN71" i="5" a="1"/>
  <c r="BN71" i="5" s="1"/>
  <c r="CG71" i="5"/>
  <c r="BJ71" i="5"/>
  <c r="BK71" i="5" a="1"/>
  <c r="BK71" i="5" s="1"/>
  <c r="BF71" i="5"/>
  <c r="BH71" i="5" s="1"/>
  <c r="BS71" i="5"/>
  <c r="BT71" i="5" a="1"/>
  <c r="BT71" i="5" s="1"/>
  <c r="BV71" i="5"/>
  <c r="BW71" i="5" a="1"/>
  <c r="BW71" i="5" s="1"/>
  <c r="BY70" i="5"/>
  <c r="BZ70" i="5" a="1"/>
  <c r="BZ70" i="5" s="1"/>
  <c r="BP70" i="5"/>
  <c r="BQ70" i="5" a="1"/>
  <c r="BQ70" i="5" s="1"/>
  <c r="BV70" i="5"/>
  <c r="BW70" i="5" a="1"/>
  <c r="BW70" i="5" s="1"/>
  <c r="BJ70" i="5"/>
  <c r="BK70" i="5" a="1"/>
  <c r="BK70" i="5" s="1"/>
  <c r="BF70" i="5"/>
  <c r="BH70" i="5" s="1"/>
  <c r="BM70" i="5"/>
  <c r="BN70" i="5" a="1"/>
  <c r="BN70" i="5" s="1"/>
  <c r="BS70" i="5"/>
  <c r="BT70" i="5" a="1"/>
  <c r="BT70" i="5" s="1"/>
  <c r="CG70" i="5"/>
  <c r="BY69" i="5"/>
  <c r="BZ69" i="5" a="1"/>
  <c r="BZ69" i="5" s="1"/>
  <c r="BP69" i="5"/>
  <c r="BQ69" i="5" a="1"/>
  <c r="BQ69" i="5" s="1"/>
  <c r="BS69" i="5"/>
  <c r="BT69" i="5" a="1"/>
  <c r="BT69" i="5" s="1"/>
  <c r="BM69" i="5"/>
  <c r="BN69" i="5" a="1"/>
  <c r="BN69" i="5" s="1"/>
  <c r="BF69" i="5"/>
  <c r="BH69" i="5" s="1"/>
  <c r="BJ69" i="5"/>
  <c r="BK69" i="5" a="1"/>
  <c r="BK69" i="5" s="1"/>
  <c r="BV69" i="5"/>
  <c r="BW69" i="5" a="1"/>
  <c r="BW69" i="5" s="1"/>
  <c r="CG69" i="5"/>
  <c r="BY68" i="5"/>
  <c r="BZ68" i="5" a="1"/>
  <c r="BZ68" i="5" s="1"/>
  <c r="BP68" i="5"/>
  <c r="BQ68" i="5" a="1"/>
  <c r="BQ68" i="5" s="1"/>
  <c r="BF68" i="5"/>
  <c r="BH68" i="5" s="1"/>
  <c r="BS68" i="5"/>
  <c r="BT68" i="5" a="1"/>
  <c r="BT68" i="5" s="1"/>
  <c r="CG68" i="5"/>
  <c r="BM68" i="5"/>
  <c r="BN68" i="5" a="1"/>
  <c r="BN68" i="5" s="1"/>
  <c r="BV68" i="5"/>
  <c r="BW68" i="5" a="1"/>
  <c r="BW68" i="5" s="1"/>
  <c r="BJ68" i="5"/>
  <c r="BK68" i="5" a="1"/>
  <c r="BK68" i="5" s="1"/>
  <c r="BY67" i="5"/>
  <c r="BZ67" i="5" a="1"/>
  <c r="BZ67" i="5" s="1"/>
  <c r="BP67" i="5"/>
  <c r="BQ67" i="5" a="1"/>
  <c r="BQ67" i="5" s="1"/>
  <c r="BJ67" i="5"/>
  <c r="BK67" i="5" a="1"/>
  <c r="BK67" i="5" s="1"/>
  <c r="CG67" i="5"/>
  <c r="BS67" i="5"/>
  <c r="BT67" i="5" a="1"/>
  <c r="BT67" i="5" s="1"/>
  <c r="BM67" i="5"/>
  <c r="BN67" i="5" a="1"/>
  <c r="BN67" i="5" s="1"/>
  <c r="BF67" i="5"/>
  <c r="BH67" i="5" s="1"/>
  <c r="BV67" i="5"/>
  <c r="BW67" i="5" a="1"/>
  <c r="BW67" i="5" s="1"/>
  <c r="BY66" i="5"/>
  <c r="BZ66" i="5" a="1"/>
  <c r="BZ66" i="5" s="1"/>
  <c r="BP66" i="5"/>
  <c r="BQ66" i="5" a="1"/>
  <c r="BQ66" i="5" s="1"/>
  <c r="BJ66" i="5"/>
  <c r="BK66" i="5" a="1"/>
  <c r="BK66" i="5" s="1"/>
  <c r="BS66" i="5"/>
  <c r="BT66" i="5" a="1"/>
  <c r="BT66" i="5" s="1"/>
  <c r="BV66" i="5"/>
  <c r="CG66" i="5"/>
  <c r="BM66" i="5"/>
  <c r="BN66" i="5" a="1"/>
  <c r="BN66" i="5" s="1"/>
  <c r="BW66" i="5" a="1"/>
  <c r="BW66" i="5" s="1"/>
  <c r="BF66" i="5"/>
  <c r="BH66" i="5" s="1"/>
  <c r="BY65" i="5"/>
  <c r="BZ65" i="5" a="1"/>
  <c r="BZ65" i="5" s="1"/>
  <c r="BP65" i="5"/>
  <c r="BQ65" i="5" a="1"/>
  <c r="BQ65" i="5" s="1"/>
  <c r="BF65" i="5"/>
  <c r="BH65" i="5" s="1"/>
  <c r="CG65" i="5"/>
  <c r="BJ65" i="5"/>
  <c r="BK65" i="5" a="1"/>
  <c r="BK65" i="5" s="1"/>
  <c r="BS65" i="5"/>
  <c r="BT65" i="5" a="1"/>
  <c r="BT65" i="5" s="1"/>
  <c r="BV65" i="5"/>
  <c r="BW65" i="5" a="1"/>
  <c r="BW65" i="5" s="1"/>
  <c r="BM65" i="5"/>
  <c r="BN65" i="5" a="1"/>
  <c r="BN65" i="5" s="1"/>
  <c r="BY64" i="5"/>
  <c r="BZ64" i="5" a="1"/>
  <c r="BZ64" i="5" s="1"/>
  <c r="BP64" i="5"/>
  <c r="BQ64" i="5" a="1"/>
  <c r="BQ64" i="5" s="1"/>
  <c r="BJ64" i="5"/>
  <c r="BK64" i="5" a="1"/>
  <c r="BK64" i="5" s="1"/>
  <c r="BV64" i="5"/>
  <c r="BW64" i="5" a="1"/>
  <c r="BW64" i="5" s="1"/>
  <c r="BT64" i="5" a="1"/>
  <c r="BT64" i="5" s="1"/>
  <c r="BM64" i="5"/>
  <c r="BN64" i="5" a="1"/>
  <c r="BN64" i="5" s="1"/>
  <c r="BS64" i="5"/>
  <c r="CG64" i="5"/>
  <c r="BF64" i="5"/>
  <c r="BH64" i="5" s="1"/>
  <c r="BY63" i="5"/>
  <c r="BZ63" i="5" a="1"/>
  <c r="BZ63" i="5" s="1"/>
  <c r="BP63" i="5"/>
  <c r="BQ63" i="5" a="1"/>
  <c r="BQ63" i="5" s="1"/>
  <c r="BM63" i="5"/>
  <c r="BN63" i="5" a="1"/>
  <c r="BN63" i="5" s="1"/>
  <c r="BS63" i="5"/>
  <c r="BT63" i="5" a="1"/>
  <c r="BT63" i="5" s="1"/>
  <c r="CG63" i="5"/>
  <c r="BV63" i="5"/>
  <c r="BW63" i="5" a="1"/>
  <c r="BW63" i="5" s="1"/>
  <c r="BF63" i="5"/>
  <c r="BH63" i="5" s="1"/>
  <c r="BJ63" i="5"/>
  <c r="BK63" i="5" a="1"/>
  <c r="BK63" i="5" s="1"/>
  <c r="BY62" i="5"/>
  <c r="BZ62" i="5" a="1"/>
  <c r="BZ62" i="5" s="1"/>
  <c r="BP62" i="5"/>
  <c r="BQ62" i="5" a="1"/>
  <c r="BQ62" i="5" s="1"/>
  <c r="BV62" i="5"/>
  <c r="BW62" i="5" a="1"/>
  <c r="BW62" i="5" s="1"/>
  <c r="CG62" i="5"/>
  <c r="BS62" i="5"/>
  <c r="BT62" i="5" a="1"/>
  <c r="BT62" i="5" s="1"/>
  <c r="BJ62" i="5"/>
  <c r="BK62" i="5" a="1"/>
  <c r="BK62" i="5" s="1"/>
  <c r="BM62" i="5"/>
  <c r="BN62" i="5" a="1"/>
  <c r="BN62" i="5" s="1"/>
  <c r="BF62" i="5"/>
  <c r="BH62" i="5" s="1"/>
  <c r="BY61" i="5"/>
  <c r="BZ61" i="5" a="1"/>
  <c r="BZ61" i="5" s="1"/>
  <c r="BP61" i="5"/>
  <c r="BQ61" i="5" a="1"/>
  <c r="BQ61" i="5" s="1"/>
  <c r="BJ61" i="5"/>
  <c r="BK61" i="5" a="1"/>
  <c r="BK61" i="5" s="1"/>
  <c r="BF61" i="5"/>
  <c r="BH61" i="5" s="1"/>
  <c r="BM61" i="5"/>
  <c r="BN61" i="5" a="1"/>
  <c r="BN61" i="5" s="1"/>
  <c r="BS61" i="5"/>
  <c r="BW61" i="5" a="1"/>
  <c r="BW61" i="5" s="1"/>
  <c r="BT61" i="5" a="1"/>
  <c r="BT61" i="5" s="1"/>
  <c r="BV61" i="5"/>
  <c r="CG61" i="5"/>
  <c r="BY60" i="5"/>
  <c r="BZ60" i="5" a="1"/>
  <c r="BZ60" i="5" s="1"/>
  <c r="BP60" i="5"/>
  <c r="BQ60" i="5" a="1"/>
  <c r="BQ60" i="5" s="1"/>
  <c r="CG60" i="5"/>
  <c r="BS60" i="5"/>
  <c r="BT60" i="5" a="1"/>
  <c r="BT60" i="5" s="1"/>
  <c r="BV60" i="5"/>
  <c r="BW60" i="5" a="1"/>
  <c r="BW60" i="5" s="1"/>
  <c r="BM60" i="5"/>
  <c r="BN60" i="5" a="1"/>
  <c r="BN60" i="5" s="1"/>
  <c r="BJ60" i="5"/>
  <c r="BK60" i="5" a="1"/>
  <c r="BK60" i="5" s="1"/>
  <c r="BF60" i="5"/>
  <c r="BH60" i="5" s="1"/>
  <c r="BY59" i="5"/>
  <c r="BZ59" i="5" a="1"/>
  <c r="BZ59" i="5" s="1"/>
  <c r="BP59" i="5"/>
  <c r="BQ59" i="5" a="1"/>
  <c r="BQ59" i="5" s="1"/>
  <c r="CG59" i="5"/>
  <c r="BS59" i="5"/>
  <c r="BT59" i="5" a="1"/>
  <c r="BT59" i="5" s="1"/>
  <c r="BM59" i="5"/>
  <c r="BN59" i="5" a="1"/>
  <c r="BN59" i="5" s="1"/>
  <c r="BV59" i="5"/>
  <c r="BW59" i="5" a="1"/>
  <c r="BW59" i="5" s="1"/>
  <c r="BJ59" i="5"/>
  <c r="BK59" i="5" a="1"/>
  <c r="BK59" i="5" s="1"/>
  <c r="BF59" i="5"/>
  <c r="BH59" i="5" s="1"/>
  <c r="BY58" i="5"/>
  <c r="BZ58" i="5" a="1"/>
  <c r="BZ58" i="5" s="1"/>
  <c r="BP58" i="5"/>
  <c r="BQ58" i="5" a="1"/>
  <c r="BQ58" i="5" s="1"/>
  <c r="BM58" i="5"/>
  <c r="BN58" i="5" a="1"/>
  <c r="BN58" i="5" s="1"/>
  <c r="CG58" i="5"/>
  <c r="BV58" i="5"/>
  <c r="BW58" i="5" a="1"/>
  <c r="BW58" i="5" s="1"/>
  <c r="BS58" i="5"/>
  <c r="BT58" i="5" a="1"/>
  <c r="BT58" i="5" s="1"/>
  <c r="BJ58" i="5"/>
  <c r="BK58" i="5" a="1"/>
  <c r="BK58" i="5" s="1"/>
  <c r="BF58" i="5"/>
  <c r="BH58" i="5" s="1"/>
  <c r="BY57" i="5"/>
  <c r="BZ57" i="5" a="1"/>
  <c r="BZ57" i="5" s="1"/>
  <c r="BP57" i="5"/>
  <c r="BQ57" i="5" a="1"/>
  <c r="BQ57" i="5" s="1"/>
  <c r="BF57" i="5"/>
  <c r="BH57" i="5" s="1"/>
  <c r="BJ57" i="5"/>
  <c r="BK57" i="5" a="1"/>
  <c r="BK57" i="5" s="1"/>
  <c r="BM57" i="5"/>
  <c r="CG57" i="5"/>
  <c r="BN57" i="5" a="1"/>
  <c r="BN57" i="5" s="1"/>
  <c r="BV57" i="5"/>
  <c r="BW57" i="5" a="1"/>
  <c r="BW57" i="5" s="1"/>
  <c r="BS57" i="5"/>
  <c r="BT57" i="5" a="1"/>
  <c r="BT57" i="5" s="1"/>
  <c r="BY56" i="5"/>
  <c r="BZ56" i="5" a="1"/>
  <c r="BZ56" i="5" s="1"/>
  <c r="BP56" i="5"/>
  <c r="BQ56" i="5" a="1"/>
  <c r="BQ56" i="5" s="1"/>
  <c r="BJ56" i="5"/>
  <c r="BK56" i="5" a="1"/>
  <c r="BK56" i="5" s="1"/>
  <c r="BF56" i="5"/>
  <c r="BH56" i="5" s="1"/>
  <c r="BV56" i="5"/>
  <c r="BW56" i="5" a="1"/>
  <c r="BW56" i="5" s="1"/>
  <c r="CG56" i="5"/>
  <c r="BM56" i="5"/>
  <c r="BN56" i="5" a="1"/>
  <c r="BN56" i="5" s="1"/>
  <c r="BS56" i="5"/>
  <c r="BT56" i="5" a="1"/>
  <c r="BT56" i="5" s="1"/>
  <c r="BY55" i="5"/>
  <c r="BZ55" i="5" a="1"/>
  <c r="BZ55" i="5" s="1"/>
  <c r="BP55" i="5"/>
  <c r="BQ55" i="5" a="1"/>
  <c r="BQ55" i="5" s="1"/>
  <c r="BF55" i="5"/>
  <c r="BH55" i="5" s="1"/>
  <c r="BV55" i="5"/>
  <c r="BW55" i="5" a="1"/>
  <c r="BW55" i="5" s="1"/>
  <c r="BJ55" i="5"/>
  <c r="BK55" i="5" a="1"/>
  <c r="BK55" i="5" s="1"/>
  <c r="BS55" i="5"/>
  <c r="BT55" i="5" a="1"/>
  <c r="BT55" i="5" s="1"/>
  <c r="CG55" i="5"/>
  <c r="BM55" i="5"/>
  <c r="BN55" i="5" a="1"/>
  <c r="BN55" i="5" s="1"/>
  <c r="BY54" i="5"/>
  <c r="BZ54" i="5" a="1"/>
  <c r="BZ54" i="5" s="1"/>
  <c r="BP54" i="5"/>
  <c r="BQ54" i="5" a="1"/>
  <c r="BQ54" i="5" s="1"/>
  <c r="BS54" i="5"/>
  <c r="BT54" i="5" a="1"/>
  <c r="BT54" i="5" s="1"/>
  <c r="BV54" i="5"/>
  <c r="CG54" i="5"/>
  <c r="BW54" i="5" a="1"/>
  <c r="BW54" i="5" s="1"/>
  <c r="BJ54" i="5"/>
  <c r="BK54" i="5" a="1"/>
  <c r="BK54" i="5" s="1"/>
  <c r="BM54" i="5"/>
  <c r="BN54" i="5" a="1"/>
  <c r="BN54" i="5" s="1"/>
  <c r="BF54" i="5"/>
  <c r="BH54" i="5" s="1"/>
  <c r="BY53" i="5"/>
  <c r="BZ53" i="5" a="1"/>
  <c r="BZ53" i="5" s="1"/>
  <c r="BP53" i="5"/>
  <c r="BQ53" i="5" a="1"/>
  <c r="BQ53" i="5" s="1"/>
  <c r="BJ53" i="5"/>
  <c r="BK53" i="5" a="1"/>
  <c r="BK53" i="5" s="1"/>
  <c r="BS53" i="5"/>
  <c r="BT53" i="5" a="1"/>
  <c r="BT53" i="5" s="1"/>
  <c r="BV53" i="5"/>
  <c r="BW53" i="5" a="1"/>
  <c r="BW53" i="5" s="1"/>
  <c r="CG53" i="5"/>
  <c r="BF53" i="5"/>
  <c r="BH53" i="5" s="1"/>
  <c r="BM53" i="5"/>
  <c r="BN53" i="5" a="1"/>
  <c r="BN53" i="5" s="1"/>
  <c r="BY52" i="5"/>
  <c r="BZ52" i="5" a="1"/>
  <c r="BZ52" i="5" s="1"/>
  <c r="BP52" i="5"/>
  <c r="BQ52" i="5" a="1"/>
  <c r="BQ52" i="5" s="1"/>
  <c r="BJ52" i="5"/>
  <c r="BK52" i="5" a="1"/>
  <c r="BK52" i="5" s="1"/>
  <c r="BM52" i="5"/>
  <c r="BN52" i="5" a="1"/>
  <c r="BN52" i="5" s="1"/>
  <c r="BS52" i="5"/>
  <c r="BT52" i="5" a="1"/>
  <c r="BT52" i="5" s="1"/>
  <c r="BV52" i="5"/>
  <c r="BW52" i="5" a="1"/>
  <c r="BW52" i="5" s="1"/>
  <c r="CG52" i="5"/>
  <c r="BF52" i="5"/>
  <c r="BH52" i="5" s="1"/>
  <c r="BY51" i="5"/>
  <c r="BZ51" i="5" a="1"/>
  <c r="BZ51" i="5" s="1"/>
  <c r="BP51" i="5"/>
  <c r="BQ51" i="5" a="1"/>
  <c r="BQ51" i="5" s="1"/>
  <c r="BV51" i="5"/>
  <c r="BW51" i="5" a="1"/>
  <c r="BW51" i="5" s="1"/>
  <c r="BN51" i="5" a="1"/>
  <c r="BN51" i="5" s="1"/>
  <c r="BF51" i="5"/>
  <c r="BH51" i="5" s="1"/>
  <c r="BJ51" i="5"/>
  <c r="BK51" i="5" a="1"/>
  <c r="BK51" i="5" s="1"/>
  <c r="BM51" i="5"/>
  <c r="CG51" i="5"/>
  <c r="BS51" i="5"/>
  <c r="BT51" i="5" a="1"/>
  <c r="BT51" i="5" s="1"/>
  <c r="BZ50" i="5" a="1"/>
  <c r="BZ50" i="5" s="1"/>
  <c r="BY50" i="5"/>
  <c r="BP50" i="5"/>
  <c r="BQ50" i="5" a="1"/>
  <c r="BQ50" i="5" s="1"/>
  <c r="BF50" i="5"/>
  <c r="BH50" i="5" s="1"/>
  <c r="BT50" i="5" a="1"/>
  <c r="BT50" i="5" s="1"/>
  <c r="BJ50" i="5"/>
  <c r="BK50" i="5" a="1"/>
  <c r="BK50" i="5" s="1"/>
  <c r="BW50" i="5" a="1"/>
  <c r="BW50" i="5" s="1"/>
  <c r="BM50" i="5"/>
  <c r="BN50" i="5" a="1"/>
  <c r="BN50" i="5" s="1"/>
  <c r="BS50" i="5"/>
  <c r="BV50" i="5"/>
  <c r="CG50" i="5"/>
  <c r="BY49" i="5"/>
  <c r="BZ49" i="5" a="1"/>
  <c r="BZ49" i="5" s="1"/>
  <c r="BP49" i="5"/>
  <c r="BQ49" i="5" a="1"/>
  <c r="BQ49" i="5" s="1"/>
  <c r="BF49" i="5"/>
  <c r="BH49" i="5" s="1"/>
  <c r="BJ49" i="5"/>
  <c r="BK49" i="5" a="1"/>
  <c r="BK49" i="5" s="1"/>
  <c r="BM49" i="5"/>
  <c r="BN49" i="5" a="1"/>
  <c r="BN49" i="5" s="1"/>
  <c r="BV49" i="5"/>
  <c r="BW49" i="5" a="1"/>
  <c r="BW49" i="5" s="1"/>
  <c r="CG49" i="5"/>
  <c r="BS49" i="5"/>
  <c r="BT49" i="5" a="1"/>
  <c r="BT49" i="5" s="1"/>
  <c r="BY48" i="5"/>
  <c r="BZ48" i="5" a="1"/>
  <c r="BZ48" i="5" s="1"/>
  <c r="BP48" i="5"/>
  <c r="BQ48" i="5" a="1"/>
  <c r="BQ48" i="5" s="1"/>
  <c r="BF48" i="5"/>
  <c r="BH48" i="5" s="1"/>
  <c r="BM48" i="5"/>
  <c r="BN48" i="5" a="1"/>
  <c r="BN48" i="5" s="1"/>
  <c r="BJ48" i="5"/>
  <c r="BK48" i="5" a="1"/>
  <c r="BK48" i="5" s="1"/>
  <c r="CG48" i="5"/>
  <c r="BS48" i="5"/>
  <c r="BT48" i="5" a="1"/>
  <c r="BT48" i="5" s="1"/>
  <c r="BV48" i="5"/>
  <c r="BW48" i="5" a="1"/>
  <c r="BW48" i="5" s="1"/>
  <c r="BY47" i="5"/>
  <c r="BZ47" i="5" a="1"/>
  <c r="BZ47" i="5" s="1"/>
  <c r="BP47" i="5"/>
  <c r="BQ47" i="5" a="1"/>
  <c r="BQ47" i="5" s="1"/>
  <c r="BF47" i="5"/>
  <c r="BH47" i="5" s="1"/>
  <c r="BV47" i="5"/>
  <c r="BW47" i="5" a="1"/>
  <c r="BW47" i="5" s="1"/>
  <c r="CG47" i="5"/>
  <c r="BJ47" i="5"/>
  <c r="BK47" i="5" a="1"/>
  <c r="BK47" i="5" s="1"/>
  <c r="BM47" i="5"/>
  <c r="BN47" i="5" a="1"/>
  <c r="BN47" i="5" s="1"/>
  <c r="BS47" i="5"/>
  <c r="BT47" i="5" a="1"/>
  <c r="BT47" i="5" s="1"/>
  <c r="BY46" i="5"/>
  <c r="BZ46" i="5" a="1"/>
  <c r="BZ46" i="5" s="1"/>
  <c r="BP46" i="5"/>
  <c r="BQ46" i="5" a="1"/>
  <c r="BQ46" i="5" s="1"/>
  <c r="BW46" i="5" a="1"/>
  <c r="BW46" i="5" s="1"/>
  <c r="BF46" i="5"/>
  <c r="BH46" i="5" s="1"/>
  <c r="CG46" i="5"/>
  <c r="BJ46" i="5"/>
  <c r="BK46" i="5" a="1"/>
  <c r="BK46" i="5" s="1"/>
  <c r="BS46" i="5"/>
  <c r="BT46" i="5" a="1"/>
  <c r="BT46" i="5" s="1"/>
  <c r="BV46" i="5"/>
  <c r="BM46" i="5"/>
  <c r="BN46" i="5" a="1"/>
  <c r="BN46" i="5" s="1"/>
  <c r="BY45" i="5"/>
  <c r="BZ45" i="5" a="1"/>
  <c r="BZ45" i="5" s="1"/>
  <c r="BP45" i="5"/>
  <c r="BQ45" i="5" a="1"/>
  <c r="BQ45" i="5" s="1"/>
  <c r="BF45" i="5"/>
  <c r="BH45" i="5" s="1"/>
  <c r="BS45" i="5"/>
  <c r="BT45" i="5" a="1"/>
  <c r="BT45" i="5" s="1"/>
  <c r="BJ45" i="5"/>
  <c r="BK45" i="5" a="1"/>
  <c r="BK45" i="5" s="1"/>
  <c r="BM45" i="5"/>
  <c r="BN45" i="5" a="1"/>
  <c r="BN45" i="5" s="1"/>
  <c r="BV45" i="5"/>
  <c r="BW45" i="5" a="1"/>
  <c r="BW45" i="5" s="1"/>
  <c r="CG45" i="5"/>
  <c r="BY44" i="5"/>
  <c r="BZ44" i="5" a="1"/>
  <c r="BZ44" i="5" s="1"/>
  <c r="BP44" i="5"/>
  <c r="BQ44" i="5" a="1"/>
  <c r="BQ44" i="5" s="1"/>
  <c r="BV44" i="5"/>
  <c r="BW44" i="5" a="1"/>
  <c r="BW44" i="5" s="1"/>
  <c r="BS44" i="5"/>
  <c r="BT44" i="5" a="1"/>
  <c r="BT44" i="5" s="1"/>
  <c r="BF44" i="5"/>
  <c r="BH44" i="5" s="1"/>
  <c r="CG44" i="5"/>
  <c r="BJ44" i="5"/>
  <c r="BK44" i="5" a="1"/>
  <c r="BK44" i="5" s="1"/>
  <c r="BM44" i="5"/>
  <c r="BN44" i="5" a="1"/>
  <c r="BN44" i="5" s="1"/>
  <c r="BY43" i="5"/>
  <c r="BZ43" i="5" a="1"/>
  <c r="BZ43" i="5" s="1"/>
  <c r="BP43" i="5"/>
  <c r="BQ43" i="5" a="1"/>
  <c r="BQ43" i="5" s="1"/>
  <c r="BF43" i="5"/>
  <c r="BH43" i="5" s="1"/>
  <c r="BM43" i="5"/>
  <c r="BN43" i="5" a="1"/>
  <c r="BN43" i="5" s="1"/>
  <c r="BJ43" i="5"/>
  <c r="BK43" i="5" a="1"/>
  <c r="BK43" i="5" s="1"/>
  <c r="BS43" i="5"/>
  <c r="BT43" i="5" a="1"/>
  <c r="BT43" i="5" s="1"/>
  <c r="BV43" i="5"/>
  <c r="BW43" i="5" a="1"/>
  <c r="BW43" i="5" s="1"/>
  <c r="CG43" i="5"/>
  <c r="BY42" i="5"/>
  <c r="BZ42" i="5" a="1"/>
  <c r="BZ42" i="5" s="1"/>
  <c r="BP42" i="5"/>
  <c r="BQ42" i="5" a="1"/>
  <c r="BQ42" i="5" s="1"/>
  <c r="BW42" i="5" a="1"/>
  <c r="BW42" i="5" s="1"/>
  <c r="CG42" i="5"/>
  <c r="BT42" i="5" a="1"/>
  <c r="BT42" i="5" s="1"/>
  <c r="BV42" i="5"/>
  <c r="BS42" i="5"/>
  <c r="BJ42" i="5"/>
  <c r="BK42" i="5" a="1"/>
  <c r="BK42" i="5" s="1"/>
  <c r="BF42" i="5"/>
  <c r="BH42" i="5" s="1"/>
  <c r="BM42" i="5"/>
  <c r="BN42" i="5" a="1"/>
  <c r="BN42" i="5" s="1"/>
  <c r="BY41" i="5"/>
  <c r="BZ41" i="5" a="1"/>
  <c r="BZ41" i="5" s="1"/>
  <c r="BP41" i="5"/>
  <c r="BQ41" i="5" a="1"/>
  <c r="BQ41" i="5" s="1"/>
  <c r="BJ41" i="5"/>
  <c r="BK41" i="5" a="1"/>
  <c r="BK41" i="5" s="1"/>
  <c r="BV41" i="5"/>
  <c r="BW41" i="5" a="1"/>
  <c r="BW41" i="5" s="1"/>
  <c r="CG41" i="5"/>
  <c r="BS41" i="5"/>
  <c r="BT41" i="5" a="1"/>
  <c r="BT41" i="5" s="1"/>
  <c r="BM41" i="5"/>
  <c r="BN41" i="5" a="1"/>
  <c r="BN41" i="5" s="1"/>
  <c r="BF41" i="5"/>
  <c r="BH41" i="5" s="1"/>
  <c r="BY40" i="5"/>
  <c r="BZ40" i="5" a="1"/>
  <c r="BZ40" i="5" s="1"/>
  <c r="BP40" i="5"/>
  <c r="BQ40" i="5" a="1"/>
  <c r="BQ40" i="5" s="1"/>
  <c r="CG40" i="5"/>
  <c r="BF40" i="5"/>
  <c r="BH40" i="5" s="1"/>
  <c r="BJ40" i="5"/>
  <c r="BK40" i="5" a="1"/>
  <c r="BK40" i="5" s="1"/>
  <c r="BS40" i="5"/>
  <c r="BT40" i="5" a="1"/>
  <c r="BT40" i="5" s="1"/>
  <c r="BV40" i="5"/>
  <c r="BW40" i="5" a="1"/>
  <c r="BW40" i="5" s="1"/>
  <c r="BM40" i="5"/>
  <c r="BN40" i="5" a="1"/>
  <c r="BN40" i="5" s="1"/>
  <c r="BY39" i="5"/>
  <c r="BZ39" i="5" a="1"/>
  <c r="BZ39" i="5" s="1"/>
  <c r="BP39" i="5"/>
  <c r="BQ39" i="5" a="1"/>
  <c r="BQ39" i="5" s="1"/>
  <c r="BF39" i="5"/>
  <c r="BH39" i="5" s="1"/>
  <c r="CG39" i="5"/>
  <c r="BS39" i="5"/>
  <c r="BJ39" i="5"/>
  <c r="BK39" i="5" a="1"/>
  <c r="BK39" i="5" s="1"/>
  <c r="BM39" i="5"/>
  <c r="BN39" i="5" a="1"/>
  <c r="BN39" i="5" s="1"/>
  <c r="BV39" i="5"/>
  <c r="BW39" i="5" a="1"/>
  <c r="BW39" i="5" s="1"/>
  <c r="BT39" i="5" a="1"/>
  <c r="BT39" i="5" s="1"/>
  <c r="BY38" i="5"/>
  <c r="BZ38" i="5" a="1"/>
  <c r="BZ38" i="5" s="1"/>
  <c r="BP38" i="5"/>
  <c r="BQ38" i="5" a="1"/>
  <c r="BQ38" i="5" s="1"/>
  <c r="BF38" i="5"/>
  <c r="BH38" i="5" s="1"/>
  <c r="BJ38" i="5"/>
  <c r="BK38" i="5" a="1"/>
  <c r="BK38" i="5" s="1"/>
  <c r="BS38" i="5"/>
  <c r="BT38" i="5" a="1"/>
  <c r="BT38" i="5" s="1"/>
  <c r="BM38" i="5"/>
  <c r="BN38" i="5" a="1"/>
  <c r="BN38" i="5" s="1"/>
  <c r="BV38" i="5"/>
  <c r="BW38" i="5" a="1"/>
  <c r="BW38" i="5" s="1"/>
  <c r="CG38" i="5"/>
  <c r="BY37" i="5"/>
  <c r="BZ37" i="5" a="1"/>
  <c r="BZ37" i="5" s="1"/>
  <c r="BP37" i="5"/>
  <c r="BQ37" i="5" a="1"/>
  <c r="BQ37" i="5" s="1"/>
  <c r="BF37" i="5"/>
  <c r="BH37" i="5" s="1"/>
  <c r="BV37" i="5"/>
  <c r="BM37" i="5"/>
  <c r="BN37" i="5" a="1"/>
  <c r="BN37" i="5" s="1"/>
  <c r="CG37" i="5"/>
  <c r="BJ37" i="5"/>
  <c r="BK37" i="5" a="1"/>
  <c r="BK37" i="5" s="1"/>
  <c r="BS37" i="5"/>
  <c r="BT37" i="5" a="1"/>
  <c r="BT37" i="5" s="1"/>
  <c r="BW37" i="5" a="1"/>
  <c r="BW37" i="5" s="1"/>
  <c r="BZ36" i="5" a="1"/>
  <c r="BZ36" i="5" s="1"/>
  <c r="BY36" i="5"/>
  <c r="BP36" i="5"/>
  <c r="BQ36" i="5" a="1"/>
  <c r="BQ36" i="5" s="1"/>
  <c r="BS36" i="5"/>
  <c r="BT36" i="5" a="1"/>
  <c r="BT36" i="5" s="1"/>
  <c r="BV36" i="5"/>
  <c r="CG36" i="5"/>
  <c r="BW36" i="5" a="1"/>
  <c r="BW36" i="5" s="1"/>
  <c r="BF36" i="5"/>
  <c r="BH36" i="5" s="1"/>
  <c r="BJ36" i="5"/>
  <c r="BK36" i="5" a="1"/>
  <c r="BK36" i="5" s="1"/>
  <c r="BM36" i="5"/>
  <c r="BN36" i="5" a="1"/>
  <c r="BN36" i="5" s="1"/>
  <c r="BY35" i="5"/>
  <c r="BZ35" i="5" a="1"/>
  <c r="BZ35" i="5" s="1"/>
  <c r="BP35" i="5"/>
  <c r="BQ35" i="5" a="1"/>
  <c r="BQ35" i="5" s="1"/>
  <c r="BM35" i="5"/>
  <c r="BN35" i="5" a="1"/>
  <c r="BN35" i="5" s="1"/>
  <c r="BS35" i="5"/>
  <c r="BT35" i="5" a="1"/>
  <c r="BT35" i="5" s="1"/>
  <c r="CG35" i="5"/>
  <c r="BF35" i="5"/>
  <c r="BH35" i="5" s="1"/>
  <c r="BV35" i="5"/>
  <c r="BW35" i="5" a="1"/>
  <c r="BW35" i="5" s="1"/>
  <c r="BJ35" i="5"/>
  <c r="BK35" i="5" a="1"/>
  <c r="BK35" i="5" s="1"/>
  <c r="BY34" i="5"/>
  <c r="BZ34" i="5" a="1"/>
  <c r="BZ34" i="5" s="1"/>
  <c r="BP34" i="5"/>
  <c r="BQ34" i="5" a="1"/>
  <c r="BQ34" i="5" s="1"/>
  <c r="BF34" i="5"/>
  <c r="BH34" i="5" s="1"/>
  <c r="CG34" i="5"/>
  <c r="BV34" i="5"/>
  <c r="BW34" i="5" a="1"/>
  <c r="BW34" i="5" s="1"/>
  <c r="BN34" i="5" a="1"/>
  <c r="BN34" i="5" s="1"/>
  <c r="BJ34" i="5"/>
  <c r="BK34" i="5" a="1"/>
  <c r="BK34" i="5" s="1"/>
  <c r="BM34" i="5"/>
  <c r="BS34" i="5"/>
  <c r="BT34" i="5" a="1"/>
  <c r="BT34" i="5" s="1"/>
  <c r="BY33" i="5"/>
  <c r="BZ33" i="5" a="1"/>
  <c r="BZ33" i="5" s="1"/>
  <c r="BP33" i="5"/>
  <c r="BQ33" i="5" a="1"/>
  <c r="BQ33" i="5" s="1"/>
  <c r="BF33" i="5"/>
  <c r="BH33" i="5" s="1"/>
  <c r="BJ33" i="5"/>
  <c r="BK33" i="5" a="1"/>
  <c r="BK33" i="5" s="1"/>
  <c r="BM33" i="5"/>
  <c r="CG33" i="5"/>
  <c r="BS33" i="5"/>
  <c r="BT33" i="5" a="1"/>
  <c r="BT33" i="5" s="1"/>
  <c r="BV33" i="5"/>
  <c r="BW33" i="5" a="1"/>
  <c r="BW33" i="5" s="1"/>
  <c r="BN33" i="5" a="1"/>
  <c r="BN33" i="5" s="1"/>
  <c r="BY32" i="5"/>
  <c r="BZ32" i="5" a="1"/>
  <c r="BZ32" i="5" s="1"/>
  <c r="BP32" i="5"/>
  <c r="BQ32" i="5" a="1"/>
  <c r="BQ32" i="5" s="1"/>
  <c r="BM32" i="5"/>
  <c r="BN32" i="5" a="1"/>
  <c r="BN32" i="5" s="1"/>
  <c r="BJ32" i="5"/>
  <c r="BK32" i="5" a="1"/>
  <c r="BK32" i="5" s="1"/>
  <c r="BF32" i="5"/>
  <c r="BH32" i="5" s="1"/>
  <c r="BS32" i="5"/>
  <c r="BT32" i="5" a="1"/>
  <c r="BT32" i="5" s="1"/>
  <c r="BV32" i="5"/>
  <c r="BW32" i="5" a="1"/>
  <c r="BW32" i="5" s="1"/>
  <c r="CG32" i="5"/>
  <c r="BY31" i="5"/>
  <c r="BZ31" i="5" a="1"/>
  <c r="BZ31" i="5" s="1"/>
  <c r="BP31" i="5"/>
  <c r="BQ31" i="5" a="1"/>
  <c r="BQ31" i="5" s="1"/>
  <c r="BF31" i="5"/>
  <c r="BH31" i="5" s="1"/>
  <c r="BJ31" i="5"/>
  <c r="BK31" i="5" a="1"/>
  <c r="BK31" i="5" s="1"/>
  <c r="CG31" i="5"/>
  <c r="BS31" i="5"/>
  <c r="BV31" i="5"/>
  <c r="BW31" i="5" a="1"/>
  <c r="BW31" i="5" s="1"/>
  <c r="BM31" i="5"/>
  <c r="BN31" i="5" a="1"/>
  <c r="BN31" i="5" s="1"/>
  <c r="BT31" i="5" a="1"/>
  <c r="BT31" i="5" s="1"/>
  <c r="BY30" i="5"/>
  <c r="BZ30" i="5" a="1"/>
  <c r="BZ30" i="5" s="1"/>
  <c r="BP30" i="5"/>
  <c r="BQ30" i="5" a="1"/>
  <c r="BQ30" i="5" s="1"/>
  <c r="BV30" i="5"/>
  <c r="BW30" i="5" a="1"/>
  <c r="BW30" i="5" s="1"/>
  <c r="CG30" i="5"/>
  <c r="BF30" i="5"/>
  <c r="BH30" i="5" s="1"/>
  <c r="BJ30" i="5"/>
  <c r="BK30" i="5" a="1"/>
  <c r="BK30" i="5" s="1"/>
  <c r="BS30" i="5"/>
  <c r="BT30" i="5" a="1"/>
  <c r="BT30" i="5" s="1"/>
  <c r="BM30" i="5"/>
  <c r="BN30" i="5" a="1"/>
  <c r="BN30" i="5" s="1"/>
  <c r="BY29" i="5"/>
  <c r="BZ29" i="5" a="1"/>
  <c r="BZ29" i="5" s="1"/>
  <c r="BP29" i="5"/>
  <c r="BQ29" i="5" a="1"/>
  <c r="BQ29" i="5" s="1"/>
  <c r="BK29" i="5" a="1"/>
  <c r="BK29" i="5" s="1"/>
  <c r="BF29" i="5"/>
  <c r="BH29" i="5" s="1"/>
  <c r="BM29" i="5"/>
  <c r="BN29" i="5" a="1"/>
  <c r="BN29" i="5" s="1"/>
  <c r="BV29" i="5"/>
  <c r="BW29" i="5" a="1"/>
  <c r="BW29" i="5" s="1"/>
  <c r="CG29" i="5"/>
  <c r="BS29" i="5"/>
  <c r="BT29" i="5" a="1"/>
  <c r="BT29" i="5" s="1"/>
  <c r="BJ29" i="5"/>
  <c r="BY28" i="5"/>
  <c r="BZ28" i="5" a="1"/>
  <c r="BZ28" i="5" s="1"/>
  <c r="BP28" i="5"/>
  <c r="BQ28" i="5" a="1"/>
  <c r="BQ28" i="5" s="1"/>
  <c r="BS28" i="5"/>
  <c r="BT28" i="5" a="1"/>
  <c r="BT28" i="5" s="1"/>
  <c r="BV28" i="5"/>
  <c r="BW28" i="5" a="1"/>
  <c r="BW28" i="5" s="1"/>
  <c r="CG28" i="5"/>
  <c r="BF28" i="5"/>
  <c r="BH28" i="5" s="1"/>
  <c r="BJ28" i="5"/>
  <c r="BK28" i="5" a="1"/>
  <c r="BK28" i="5" s="1"/>
  <c r="BM28" i="5"/>
  <c r="BN28" i="5" a="1"/>
  <c r="BN28" i="5" s="1"/>
  <c r="BZ27" i="5" a="1"/>
  <c r="BZ27" i="5" s="1"/>
  <c r="BY27" i="5"/>
  <c r="BQ27" i="5" a="1"/>
  <c r="BQ27" i="5" s="1"/>
  <c r="BP27" i="5"/>
  <c r="BF27" i="5"/>
  <c r="BH27" i="5" s="1"/>
  <c r="BJ27" i="5"/>
  <c r="BK27" i="5" a="1"/>
  <c r="BK27" i="5" s="1"/>
  <c r="BM27" i="5"/>
  <c r="BN27" i="5" a="1"/>
  <c r="BN27" i="5" s="1"/>
  <c r="CG27" i="5"/>
  <c r="BS27" i="5"/>
  <c r="BT27" i="5" a="1"/>
  <c r="BT27" i="5" s="1"/>
  <c r="BV27" i="5"/>
  <c r="BW27" i="5" a="1"/>
  <c r="BW27" i="5" s="1"/>
  <c r="BZ26" i="5" a="1"/>
  <c r="BZ26" i="5" s="1"/>
  <c r="BY26" i="5"/>
  <c r="BQ26" i="5" a="1"/>
  <c r="BQ26" i="5" s="1"/>
  <c r="BP26" i="5"/>
  <c r="BV26" i="5"/>
  <c r="BW26" i="5" a="1"/>
  <c r="BW26" i="5" s="1"/>
  <c r="BF26" i="5"/>
  <c r="BH26" i="5" s="1"/>
  <c r="BS26" i="5"/>
  <c r="BT26" i="5" a="1"/>
  <c r="BT26" i="5" s="1"/>
  <c r="CG26" i="5"/>
  <c r="BN26" i="5" a="1"/>
  <c r="BN26" i="5" s="1"/>
  <c r="BM26" i="5"/>
  <c r="BK26" i="5" a="1"/>
  <c r="BK26" i="5" s="1"/>
  <c r="BJ26" i="5"/>
  <c r="BZ25" i="5" a="1"/>
  <c r="BZ25" i="5" s="1"/>
  <c r="BY25" i="5"/>
  <c r="BP25" i="5"/>
  <c r="BQ25" i="5" a="1"/>
  <c r="BQ25" i="5" s="1"/>
  <c r="BM25" i="5"/>
  <c r="BW25" i="5" a="1"/>
  <c r="BW25" i="5" s="1"/>
  <c r="BS25" i="5"/>
  <c r="BN25" i="5" a="1"/>
  <c r="BN25" i="5" s="1"/>
  <c r="BJ25" i="5"/>
  <c r="BF25" i="5"/>
  <c r="BH25" i="5" s="1"/>
  <c r="CG25" i="5"/>
  <c r="BT25" i="5" a="1"/>
  <c r="BT25" i="5" s="1"/>
  <c r="BK25" i="5" a="1"/>
  <c r="BK25" i="5" s="1"/>
  <c r="BV25" i="5"/>
  <c r="BY24" i="5"/>
  <c r="BZ24" i="5" a="1"/>
  <c r="BZ24" i="5" s="1"/>
  <c r="BQ24" i="5" a="1"/>
  <c r="BQ24" i="5" s="1"/>
  <c r="BP24" i="5"/>
  <c r="BS24" i="5"/>
  <c r="BM24" i="5"/>
  <c r="BK24" i="5" a="1"/>
  <c r="BK24" i="5" s="1"/>
  <c r="BJ24" i="5"/>
  <c r="BF24" i="5"/>
  <c r="BH24" i="5" s="1"/>
  <c r="BN24" i="5" a="1"/>
  <c r="BN24" i="5" s="1"/>
  <c r="CG24" i="5"/>
  <c r="BW24" i="5" a="1"/>
  <c r="BW24" i="5" s="1"/>
  <c r="BV24" i="5"/>
  <c r="BT24" i="5" a="1"/>
  <c r="BT24" i="5" s="1"/>
  <c r="BZ23" i="5" a="1"/>
  <c r="BZ23" i="5" s="1"/>
  <c r="BY23" i="5"/>
  <c r="BP23" i="5"/>
  <c r="BQ23" i="5" a="1"/>
  <c r="BQ23" i="5" s="1"/>
  <c r="BT23" i="5" a="1"/>
  <c r="BT23" i="5" s="1"/>
  <c r="CG23" i="5"/>
  <c r="BV23" i="5"/>
  <c r="BW23" i="5" a="1"/>
  <c r="BW23" i="5" s="1"/>
  <c r="BJ23" i="5"/>
  <c r="BK23" i="5" a="1"/>
  <c r="BK23" i="5" s="1"/>
  <c r="BM23" i="5"/>
  <c r="BN23" i="5" a="1"/>
  <c r="BN23" i="5" s="1"/>
  <c r="BF23" i="5"/>
  <c r="BH23" i="5" s="1"/>
  <c r="BS23" i="5"/>
  <c r="BZ22" i="5" a="1"/>
  <c r="BZ22" i="5" s="1"/>
  <c r="BY22" i="5"/>
  <c r="BQ22" i="5" a="1"/>
  <c r="BQ22" i="5" s="1"/>
  <c r="BP22" i="5"/>
  <c r="BK22" i="5" a="1"/>
  <c r="BK22" i="5" s="1"/>
  <c r="BT22" i="5" a="1"/>
  <c r="BT22" i="5" s="1"/>
  <c r="BS22" i="5"/>
  <c r="BF22" i="5"/>
  <c r="BH22" i="5" s="1"/>
  <c r="BV22" i="5"/>
  <c r="BM22" i="5"/>
  <c r="BJ22" i="5"/>
  <c r="BN22" i="5" a="1"/>
  <c r="BN22" i="5" s="1"/>
  <c r="CG22" i="5"/>
  <c r="BW22" i="5" a="1"/>
  <c r="BW22" i="5" s="1"/>
  <c r="BY21" i="5"/>
  <c r="BZ21" i="5" a="1"/>
  <c r="BZ21" i="5" s="1"/>
  <c r="BP21" i="5"/>
  <c r="BQ21" i="5" a="1"/>
  <c r="BQ21" i="5" s="1"/>
  <c r="CG21" i="5"/>
  <c r="BV21" i="5"/>
  <c r="BN21" i="5" a="1"/>
  <c r="BN21" i="5" s="1"/>
  <c r="BS21" i="5"/>
  <c r="BT21" i="5" a="1"/>
  <c r="BT21" i="5" s="1"/>
  <c r="BM21" i="5"/>
  <c r="BJ21" i="5"/>
  <c r="BF21" i="5"/>
  <c r="BH21" i="5" s="1"/>
  <c r="BK21" i="5" a="1"/>
  <c r="BK21" i="5" s="1"/>
  <c r="BW21" i="5" a="1"/>
  <c r="BW21" i="5" s="1"/>
  <c r="BZ20" i="5" a="1"/>
  <c r="BZ20" i="5" s="1"/>
  <c r="BY20" i="5"/>
  <c r="BQ20" i="5" a="1"/>
  <c r="BQ20" i="5" s="1"/>
  <c r="BP20" i="5"/>
  <c r="BV20" i="5"/>
  <c r="BT20" i="5" a="1"/>
  <c r="BT20" i="5" s="1"/>
  <c r="BM20" i="5"/>
  <c r="BS20" i="5"/>
  <c r="BK20" i="5" a="1"/>
  <c r="BK20" i="5" s="1"/>
  <c r="BF20" i="5"/>
  <c r="BH20" i="5" s="1"/>
  <c r="BW20" i="5" a="1"/>
  <c r="BW20" i="5" s="1"/>
  <c r="BJ20" i="5"/>
  <c r="CD20" i="5" s="1"/>
  <c r="CG20" i="5"/>
  <c r="BN20" i="5" a="1"/>
  <c r="BN20" i="5" s="1"/>
  <c r="BY19" i="5"/>
  <c r="BZ19" i="5" a="1"/>
  <c r="BZ19" i="5" s="1"/>
  <c r="BP19" i="5"/>
  <c r="BQ19" i="5" a="1"/>
  <c r="BQ19" i="5" s="1"/>
  <c r="CG19" i="5"/>
  <c r="BJ19" i="5"/>
  <c r="BK19" i="5" a="1"/>
  <c r="BK19" i="5" s="1"/>
  <c r="BM19" i="5"/>
  <c r="BN19" i="5" a="1"/>
  <c r="BN19" i="5" s="1"/>
  <c r="BS19" i="5"/>
  <c r="BT19" i="5" a="1"/>
  <c r="BT19" i="5" s="1"/>
  <c r="BV19" i="5"/>
  <c r="BW19" i="5" a="1"/>
  <c r="BW19" i="5" s="1"/>
  <c r="BF19" i="5"/>
  <c r="BH19" i="5" s="1"/>
  <c r="BY18" i="5"/>
  <c r="BZ18" i="5" a="1"/>
  <c r="BZ18" i="5" s="1"/>
  <c r="BP18" i="5"/>
  <c r="BQ18" i="5" a="1"/>
  <c r="BQ18" i="5" s="1"/>
  <c r="BV18" i="5"/>
  <c r="BW18" i="5" a="1"/>
  <c r="BW18" i="5" s="1"/>
  <c r="CG18" i="5"/>
  <c r="BS18" i="5"/>
  <c r="BT18" i="5" a="1"/>
  <c r="BT18" i="5" s="1"/>
  <c r="BM18" i="5"/>
  <c r="BN18" i="5" a="1"/>
  <c r="BN18" i="5" s="1"/>
  <c r="BF18" i="5"/>
  <c r="BH18" i="5" s="1"/>
  <c r="BJ18" i="5"/>
  <c r="BK18" i="5" a="1"/>
  <c r="BK18" i="5" s="1"/>
  <c r="BY17" i="5"/>
  <c r="BZ17" i="5" a="1"/>
  <c r="BZ17" i="5" s="1"/>
  <c r="BP17" i="5"/>
  <c r="BQ17" i="5" a="1"/>
  <c r="BQ17" i="5" s="1"/>
  <c r="BF17" i="5"/>
  <c r="BH17" i="5" s="1"/>
  <c r="BS17" i="5"/>
  <c r="BT17" i="5" a="1"/>
  <c r="BT17" i="5" s="1"/>
  <c r="BV17" i="5"/>
  <c r="BW17" i="5" a="1"/>
  <c r="BW17" i="5" s="1"/>
  <c r="CG17" i="5"/>
  <c r="BM17" i="5"/>
  <c r="BN17" i="5" a="1"/>
  <c r="BN17" i="5" s="1"/>
  <c r="BJ17" i="5"/>
  <c r="BK17" i="5" a="1"/>
  <c r="BK17" i="5" s="1"/>
  <c r="BY16" i="5"/>
  <c r="BZ16" i="5" a="1"/>
  <c r="BZ16" i="5" s="1"/>
  <c r="BP16" i="5"/>
  <c r="BQ16" i="5" a="1"/>
  <c r="BQ16" i="5" s="1"/>
  <c r="BJ16" i="5"/>
  <c r="BK16" i="5" a="1"/>
  <c r="BK16" i="5" s="1"/>
  <c r="BV16" i="5"/>
  <c r="BW16" i="5" a="1"/>
  <c r="BW16" i="5" s="1"/>
  <c r="CG16" i="5"/>
  <c r="BS16" i="5"/>
  <c r="BT16" i="5" a="1"/>
  <c r="BT16" i="5" s="1"/>
  <c r="BM16" i="5"/>
  <c r="BN16" i="5" a="1"/>
  <c r="BN16" i="5" s="1"/>
  <c r="BF16" i="5"/>
  <c r="BH16" i="5" s="1"/>
  <c r="BY15" i="5"/>
  <c r="BZ15" i="5" a="1"/>
  <c r="BZ15" i="5" s="1"/>
  <c r="BP15" i="5"/>
  <c r="BQ15" i="5" a="1"/>
  <c r="BQ15" i="5" s="1"/>
  <c r="BJ15" i="5"/>
  <c r="BK15" i="5" a="1"/>
  <c r="BK15" i="5" s="1"/>
  <c r="BW15" i="5" a="1"/>
  <c r="BW15" i="5" s="1"/>
  <c r="BF15" i="5"/>
  <c r="BH15" i="5" s="1"/>
  <c r="BS15" i="5"/>
  <c r="BM15" i="5"/>
  <c r="BN15" i="5" a="1"/>
  <c r="BN15" i="5" s="1"/>
  <c r="BT15" i="5" a="1"/>
  <c r="BT15" i="5" s="1"/>
  <c r="BV15" i="5"/>
  <c r="CG15" i="5"/>
  <c r="BY14" i="5"/>
  <c r="BZ14" i="5" a="1"/>
  <c r="BZ14" i="5" s="1"/>
  <c r="BP14" i="5"/>
  <c r="BQ14" i="5" a="1"/>
  <c r="BQ14" i="5" s="1"/>
  <c r="BS14" i="5"/>
  <c r="BT14" i="5" a="1"/>
  <c r="BT14" i="5" s="1"/>
  <c r="BJ14" i="5"/>
  <c r="BK14" i="5" a="1"/>
  <c r="BK14" i="5" s="1"/>
  <c r="BV14" i="5"/>
  <c r="BW14" i="5" a="1"/>
  <c r="BW14" i="5" s="1"/>
  <c r="CG14" i="5"/>
  <c r="BF14" i="5"/>
  <c r="BH14" i="5" s="1"/>
  <c r="BM14" i="5"/>
  <c r="BN14" i="5" a="1"/>
  <c r="BN14" i="5" s="1"/>
  <c r="BY13" i="5"/>
  <c r="BZ13" i="5" a="1"/>
  <c r="BZ13" i="5" s="1"/>
  <c r="BP13" i="5"/>
  <c r="BQ13" i="5" a="1"/>
  <c r="BQ13" i="5" s="1"/>
  <c r="BS13" i="5"/>
  <c r="BT13" i="5" a="1"/>
  <c r="BT13" i="5" s="1"/>
  <c r="BV13" i="5"/>
  <c r="BF13" i="5"/>
  <c r="BH13" i="5" s="1"/>
  <c r="BW13" i="5" a="1"/>
  <c r="BW13" i="5" s="1"/>
  <c r="CG13" i="5"/>
  <c r="BM13" i="5"/>
  <c r="BN13" i="5" a="1"/>
  <c r="BN13" i="5" s="1"/>
  <c r="BJ13" i="5"/>
  <c r="BK13" i="5" a="1"/>
  <c r="BK13" i="5" s="1"/>
  <c r="BY12" i="5"/>
  <c r="BZ12" i="5" a="1"/>
  <c r="BZ12" i="5" s="1"/>
  <c r="BP12" i="5"/>
  <c r="BQ12" i="5" a="1"/>
  <c r="BQ12" i="5" s="1"/>
  <c r="BM12" i="5"/>
  <c r="BN12" i="5" a="1"/>
  <c r="BN12" i="5" s="1"/>
  <c r="BV12" i="5"/>
  <c r="BW12" i="5" a="1"/>
  <c r="BW12" i="5" s="1"/>
  <c r="CG12" i="5"/>
  <c r="BS12" i="5"/>
  <c r="BT12" i="5" a="1"/>
  <c r="BT12" i="5" s="1"/>
  <c r="BF12" i="5"/>
  <c r="BH12" i="5" s="1"/>
  <c r="BJ12" i="5"/>
  <c r="BK12" i="5" a="1"/>
  <c r="BK12" i="5" s="1"/>
  <c r="BY11" i="5"/>
  <c r="BZ11" i="5" a="1"/>
  <c r="BZ11" i="5" s="1"/>
  <c r="BP11" i="5"/>
  <c r="BQ11" i="5" a="1"/>
  <c r="BQ11" i="5" s="1"/>
  <c r="BS11" i="5"/>
  <c r="BT11" i="5" a="1"/>
  <c r="BT11" i="5" s="1"/>
  <c r="BM11" i="5"/>
  <c r="BN11" i="5" a="1"/>
  <c r="BN11" i="5" s="1"/>
  <c r="CG11" i="5"/>
  <c r="BJ11" i="5"/>
  <c r="BK11" i="5" a="1"/>
  <c r="BK11" i="5" s="1"/>
  <c r="BV11" i="5"/>
  <c r="BW11" i="5" a="1"/>
  <c r="BW11" i="5" s="1"/>
  <c r="BF11" i="5"/>
  <c r="BH11" i="5" s="1"/>
  <c r="BY10" i="5"/>
  <c r="BZ10" i="5" a="1"/>
  <c r="BZ10" i="5" s="1"/>
  <c r="BP10" i="5"/>
  <c r="BQ10" i="5" a="1"/>
  <c r="BQ10" i="5" s="1"/>
  <c r="BJ10" i="5"/>
  <c r="BK10" i="5" a="1"/>
  <c r="BK10" i="5" s="1"/>
  <c r="BF10" i="5"/>
  <c r="BH10" i="5" s="1"/>
  <c r="BM10" i="5"/>
  <c r="BN10" i="5" a="1"/>
  <c r="BN10" i="5" s="1"/>
  <c r="BS10" i="5"/>
  <c r="BT10" i="5" a="1"/>
  <c r="BT10" i="5" s="1"/>
  <c r="BV10" i="5"/>
  <c r="BW10" i="5" a="1"/>
  <c r="BW10" i="5" s="1"/>
  <c r="CG10" i="5"/>
  <c r="BY9" i="5"/>
  <c r="BZ9" i="5" a="1"/>
  <c r="BZ9" i="5" s="1"/>
  <c r="BP9" i="5"/>
  <c r="BQ9" i="5" a="1"/>
  <c r="BQ9" i="5" s="1"/>
  <c r="BF9" i="5"/>
  <c r="BH9" i="5" s="1"/>
  <c r="BS9" i="5"/>
  <c r="BT9" i="5" a="1"/>
  <c r="BT9" i="5" s="1"/>
  <c r="BV9" i="5"/>
  <c r="CG9" i="5"/>
  <c r="BM9" i="5"/>
  <c r="BN9" i="5" a="1"/>
  <c r="BN9" i="5" s="1"/>
  <c r="BW9" i="5" a="1"/>
  <c r="BW9" i="5" s="1"/>
  <c r="BJ9" i="5"/>
  <c r="BK9" i="5" a="1"/>
  <c r="BK9" i="5" s="1"/>
  <c r="BY8" i="5"/>
  <c r="BZ8" i="5" a="1"/>
  <c r="BZ8" i="5" s="1"/>
  <c r="BP8" i="5"/>
  <c r="BQ8" i="5" a="1"/>
  <c r="BQ8" i="5" s="1"/>
  <c r="BF8" i="5"/>
  <c r="BH8" i="5" s="1"/>
  <c r="BW8" i="5" a="1"/>
  <c r="BW8" i="5" s="1"/>
  <c r="BJ8" i="5"/>
  <c r="BK8" i="5" a="1"/>
  <c r="BK8" i="5" s="1"/>
  <c r="BM8" i="5"/>
  <c r="BN8" i="5" a="1"/>
  <c r="BN8" i="5" s="1"/>
  <c r="BS8" i="5"/>
  <c r="BT8" i="5" a="1"/>
  <c r="BT8" i="5" s="1"/>
  <c r="BV8" i="5"/>
  <c r="CG8" i="5"/>
  <c r="BY7" i="5"/>
  <c r="BZ7" i="5" a="1"/>
  <c r="BZ7" i="5" s="1"/>
  <c r="BP7" i="5"/>
  <c r="BQ7" i="5" a="1"/>
  <c r="BQ7" i="5" s="1"/>
  <c r="BS7" i="5"/>
  <c r="BT7" i="5" a="1"/>
  <c r="BT7" i="5" s="1"/>
  <c r="BJ7" i="5"/>
  <c r="BK7" i="5" a="1"/>
  <c r="BK7" i="5" s="1"/>
  <c r="BM7" i="5"/>
  <c r="BN7" i="5" a="1"/>
  <c r="BN7" i="5" s="1"/>
  <c r="BF7" i="5"/>
  <c r="BH7" i="5" s="1"/>
  <c r="BV7" i="5"/>
  <c r="BW7" i="5" a="1"/>
  <c r="BW7" i="5" s="1"/>
  <c r="CG7" i="5"/>
  <c r="BY6" i="5"/>
  <c r="BZ6" i="5" a="1"/>
  <c r="BZ6" i="5" s="1"/>
  <c r="BP6" i="5"/>
  <c r="BQ6" i="5" a="1"/>
  <c r="BQ6" i="5" s="1"/>
  <c r="BM6" i="5"/>
  <c r="BN6" i="5" a="1"/>
  <c r="BN6" i="5" s="1"/>
  <c r="BF6" i="5"/>
  <c r="BH6" i="5" s="1"/>
  <c r="BJ6" i="5"/>
  <c r="BK6" i="5" a="1"/>
  <c r="BK6" i="5" s="1"/>
  <c r="BS6" i="5"/>
  <c r="BT6" i="5" a="1"/>
  <c r="BT6" i="5" s="1"/>
  <c r="BV6" i="5"/>
  <c r="BW6" i="5" a="1"/>
  <c r="BW6" i="5" s="1"/>
  <c r="CG6" i="5"/>
  <c r="CD59" i="5" l="1"/>
  <c r="CD85" i="5"/>
  <c r="CD21" i="5"/>
  <c r="CD29" i="5"/>
  <c r="CD58" i="5"/>
  <c r="CD17" i="5"/>
  <c r="CD22" i="5"/>
  <c r="CD35" i="5"/>
  <c r="CD83" i="5"/>
  <c r="CD12" i="5"/>
  <c r="CD18" i="5"/>
  <c r="CD78" i="5"/>
  <c r="CD60" i="5"/>
  <c r="CD13" i="5"/>
  <c r="CD26" i="5"/>
  <c r="CD68" i="5"/>
  <c r="CD9" i="5"/>
  <c r="CE68" i="5"/>
  <c r="CF68" i="5" s="1"/>
  <c r="CE12" i="5"/>
  <c r="CF12" i="5" s="1"/>
  <c r="CA81" i="5" a="1"/>
  <c r="CA81" i="5" s="1"/>
  <c r="CC81" i="5" s="1"/>
  <c r="BG72" i="5" a="1"/>
  <c r="BG72" i="5" s="1"/>
  <c r="CA80" i="5" a="1"/>
  <c r="CA80" i="5" s="1"/>
  <c r="CC80" i="5" s="1"/>
  <c r="CA58" i="5" a="1"/>
  <c r="CA58" i="5" s="1"/>
  <c r="CC58" i="5" s="1"/>
  <c r="CA56" i="5" a="1"/>
  <c r="CA56" i="5" s="1"/>
  <c r="CC56" i="5" s="1"/>
  <c r="BG53" i="5" a="1"/>
  <c r="BG53" i="5" s="1"/>
  <c r="CA15" i="5" a="1"/>
  <c r="CA15" i="5" s="1"/>
  <c r="CC15" i="5" s="1"/>
  <c r="BG7" i="5" a="1"/>
  <c r="BG7" i="5" s="1"/>
  <c r="CA35" i="5" a="1"/>
  <c r="CA35" i="5" s="1"/>
  <c r="CC35" i="5" s="1"/>
  <c r="BG44" i="5" a="1"/>
  <c r="BG44" i="5" s="1"/>
  <c r="BG52" i="5" a="1"/>
  <c r="BG52" i="5" s="1"/>
  <c r="CA40" i="5" a="1"/>
  <c r="CA40" i="5" s="1"/>
  <c r="CC40" i="5" s="1"/>
  <c r="BG41" i="5" a="1"/>
  <c r="BG41" i="5" s="1"/>
  <c r="CA44" i="5" a="1"/>
  <c r="CA44" i="5" s="1"/>
  <c r="CC44" i="5" s="1"/>
  <c r="CA87" i="5" a="1"/>
  <c r="CA87" i="5" s="1"/>
  <c r="CC87" i="5" s="1"/>
  <c r="BG87" i="5" a="1"/>
  <c r="BG87" i="5" s="1"/>
  <c r="CA86" i="5" a="1"/>
  <c r="CA86" i="5" s="1"/>
  <c r="CC86" i="5" s="1"/>
  <c r="BG86" i="5" a="1"/>
  <c r="BG86" i="5" s="1"/>
  <c r="CA85" i="5" a="1"/>
  <c r="CA85" i="5" s="1"/>
  <c r="CC85" i="5" s="1"/>
  <c r="BG85" i="5" a="1"/>
  <c r="BG85" i="5" s="1"/>
  <c r="BG82" i="5" a="1"/>
  <c r="BG82" i="5" s="1"/>
  <c r="CA19" i="5" a="1"/>
  <c r="CA19" i="5" s="1"/>
  <c r="CC19" i="5" s="1"/>
  <c r="BG71" i="5" a="1"/>
  <c r="BG71" i="5" s="1"/>
  <c r="BG81" i="5" a="1"/>
  <c r="BG81" i="5" s="1"/>
  <c r="CA65" i="5" a="1"/>
  <c r="CA65" i="5" s="1"/>
  <c r="CC65" i="5" s="1"/>
  <c r="CA76" i="5" a="1"/>
  <c r="CA76" i="5" s="1"/>
  <c r="CC76" i="5" s="1"/>
  <c r="CA30" i="5" a="1"/>
  <c r="CA30" i="5" s="1"/>
  <c r="CC30" i="5" s="1"/>
  <c r="CD76" i="5"/>
  <c r="CA22" i="5" a="1"/>
  <c r="CA22" i="5" s="1"/>
  <c r="CC22" i="5" s="1"/>
  <c r="BG22" i="5" a="1"/>
  <c r="BG22" i="5" s="1"/>
  <c r="CA21" i="5" a="1"/>
  <c r="CA21" i="5" s="1"/>
  <c r="CC21" i="5" s="1"/>
  <c r="BG21" i="5" a="1"/>
  <c r="BG21" i="5" s="1"/>
  <c r="CA20" i="5" a="1"/>
  <c r="CA20" i="5" s="1"/>
  <c r="CC20" i="5" s="1"/>
  <c r="BG20" i="5" a="1"/>
  <c r="BG20" i="5" s="1"/>
  <c r="BG64" i="5" a="1"/>
  <c r="BG64" i="5" s="1"/>
  <c r="CA63" i="5" a="1"/>
  <c r="CA63" i="5" s="1"/>
  <c r="CC63" i="5" s="1"/>
  <c r="CA77" i="5" a="1"/>
  <c r="CA77" i="5" s="1"/>
  <c r="CC77" i="5" s="1"/>
  <c r="BG78" i="5" a="1"/>
  <c r="BG78" i="5" s="1"/>
  <c r="BG62" i="5" a="1"/>
  <c r="BG62" i="5" s="1"/>
  <c r="CA57" i="5" a="1"/>
  <c r="CA57" i="5" s="1"/>
  <c r="CC57" i="5" s="1"/>
  <c r="BG54" i="5" a="1"/>
  <c r="BG54" i="5" s="1"/>
  <c r="BG61" i="5" a="1"/>
  <c r="BG61" i="5" s="1"/>
  <c r="CA62" i="5" a="1"/>
  <c r="CA62" i="5" s="1"/>
  <c r="CC62" i="5" s="1"/>
  <c r="CA53" i="5" a="1"/>
  <c r="CA53" i="5" s="1"/>
  <c r="CC53" i="5" s="1"/>
  <c r="CA47" i="5" a="1"/>
  <c r="CA47" i="5" s="1"/>
  <c r="CC47" i="5" s="1"/>
  <c r="BG43" i="5" a="1"/>
  <c r="BG43" i="5" s="1"/>
  <c r="BG39" i="5" a="1"/>
  <c r="BG39" i="5" s="1"/>
  <c r="BG32" i="5" a="1"/>
  <c r="BG32" i="5" s="1"/>
  <c r="CA29" i="5" a="1"/>
  <c r="CA29" i="5" s="1"/>
  <c r="CC29" i="5" s="1"/>
  <c r="CA18" i="5" a="1"/>
  <c r="CA18" i="5" s="1"/>
  <c r="CC18" i="5" s="1"/>
  <c r="CA73" i="5" a="1"/>
  <c r="CA73" i="5" s="1"/>
  <c r="CC73" i="5" s="1"/>
  <c r="CA74" i="5" a="1"/>
  <c r="CA74" i="5" s="1"/>
  <c r="CC74" i="5" s="1"/>
  <c r="CA75" i="5" a="1"/>
  <c r="CA75" i="5" s="1"/>
  <c r="CC75" i="5" s="1"/>
  <c r="BG79" i="5" a="1"/>
  <c r="BG79" i="5" s="1"/>
  <c r="CA83" i="5" a="1"/>
  <c r="CA83" i="5" s="1"/>
  <c r="CC83" i="5" s="1"/>
  <c r="BG11" i="5" a="1"/>
  <c r="BG11" i="5" s="1"/>
  <c r="BG9" i="5" a="1"/>
  <c r="BG9" i="5" s="1"/>
  <c r="CA11" i="5" a="1"/>
  <c r="CA11" i="5" s="1"/>
  <c r="CC11" i="5" s="1"/>
  <c r="CA82" i="5" a="1"/>
  <c r="CA82" i="5" s="1"/>
  <c r="CC82" i="5" s="1"/>
  <c r="CA78" i="5" a="1"/>
  <c r="CA78" i="5" s="1"/>
  <c r="CC78" i="5" s="1"/>
  <c r="BG75" i="5" a="1"/>
  <c r="BG75" i="5" s="1"/>
  <c r="BG74" i="5" a="1"/>
  <c r="BG74" i="5" s="1"/>
  <c r="BG73" i="5" a="1"/>
  <c r="BG73" i="5" s="1"/>
  <c r="BG69" i="5" a="1"/>
  <c r="BG69" i="5" s="1"/>
  <c r="CA67" i="5" a="1"/>
  <c r="CA67" i="5" s="1"/>
  <c r="CC67" i="5" s="1"/>
  <c r="CA66" i="5" a="1"/>
  <c r="CA66" i="5" s="1"/>
  <c r="CC66" i="5" s="1"/>
  <c r="BG15" i="5" a="1"/>
  <c r="BG15" i="5" s="1"/>
  <c r="BG59" i="5" a="1"/>
  <c r="BG59" i="5" s="1"/>
  <c r="CA54" i="5" a="1"/>
  <c r="CA54" i="5" s="1"/>
  <c r="CC54" i="5" s="1"/>
  <c r="BG38" i="5" a="1"/>
  <c r="BG38" i="5" s="1"/>
  <c r="CA37" i="5" a="1"/>
  <c r="CA37" i="5" s="1"/>
  <c r="CC37" i="5" s="1"/>
  <c r="CA34" i="5" a="1"/>
  <c r="CA34" i="5" s="1"/>
  <c r="CC34" i="5" s="1"/>
  <c r="CA32" i="5" a="1"/>
  <c r="CA32" i="5" s="1"/>
  <c r="CC32" i="5" s="1"/>
  <c r="BG18" i="5" a="1"/>
  <c r="BG18" i="5" s="1"/>
  <c r="BG31" i="5" a="1"/>
  <c r="BG31" i="5" s="1"/>
  <c r="CA41" i="5" a="1"/>
  <c r="CA41" i="5" s="1"/>
  <c r="CC41" i="5" s="1"/>
  <c r="CA33" i="5" a="1"/>
  <c r="CA33" i="5" s="1"/>
  <c r="CC33" i="5" s="1"/>
  <c r="CA36" i="5" a="1"/>
  <c r="CA36" i="5" s="1"/>
  <c r="CC36" i="5" s="1"/>
  <c r="CA39" i="5" a="1"/>
  <c r="CA39" i="5" s="1"/>
  <c r="CC39" i="5" s="1"/>
  <c r="CA71" i="5" a="1"/>
  <c r="CA71" i="5" s="1"/>
  <c r="CC71" i="5" s="1"/>
  <c r="BG40" i="5" a="1"/>
  <c r="BG40" i="5" s="1"/>
  <c r="CA68" i="5" a="1"/>
  <c r="CA68" i="5" s="1"/>
  <c r="CC68" i="5" s="1"/>
  <c r="BG66" i="5" a="1"/>
  <c r="BG66" i="5" s="1"/>
  <c r="CA49" i="5" a="1"/>
  <c r="CA49" i="5" s="1"/>
  <c r="CC49" i="5" s="1"/>
  <c r="CA51" i="5" a="1"/>
  <c r="CA51" i="5" s="1"/>
  <c r="CC51" i="5" s="1"/>
  <c r="CA52" i="5" a="1"/>
  <c r="CA52" i="5" s="1"/>
  <c r="CC52" i="5" s="1"/>
  <c r="BG55" i="5" a="1"/>
  <c r="BG55" i="5" s="1"/>
  <c r="CA64" i="5" a="1"/>
  <c r="CA64" i="5" s="1"/>
  <c r="CC64" i="5" s="1"/>
  <c r="CA60" i="5" a="1"/>
  <c r="CA60" i="5" s="1"/>
  <c r="CC60" i="5" s="1"/>
  <c r="CA61" i="5" a="1"/>
  <c r="CA61" i="5" s="1"/>
  <c r="CC61" i="5" s="1"/>
  <c r="BG67" i="5" a="1"/>
  <c r="BG67" i="5" s="1"/>
  <c r="BG68" i="5" a="1"/>
  <c r="BG68" i="5" s="1"/>
  <c r="BG60" i="5" a="1"/>
  <c r="BG60" i="5" s="1"/>
  <c r="CA72" i="5" a="1"/>
  <c r="CA72" i="5" s="1"/>
  <c r="CC72" i="5" s="1"/>
  <c r="CA79" i="5" a="1"/>
  <c r="CA79" i="5" s="1"/>
  <c r="CC79" i="5" s="1"/>
  <c r="BG56" i="5" a="1"/>
  <c r="BG56" i="5" s="1"/>
  <c r="CA55" i="5" a="1"/>
  <c r="CA55" i="5" s="1"/>
  <c r="CC55" i="5" s="1"/>
  <c r="BG51" i="5" a="1"/>
  <c r="BG51" i="5" s="1"/>
  <c r="BG30" i="5" a="1"/>
  <c r="BG30" i="5" s="1"/>
  <c r="CA14" i="5" a="1"/>
  <c r="CA14" i="5" s="1"/>
  <c r="CC14" i="5" s="1"/>
  <c r="CA13" i="5" a="1"/>
  <c r="CA13" i="5" s="1"/>
  <c r="CC13" i="5" s="1"/>
  <c r="BG28" i="5" a="1"/>
  <c r="BG28" i="5" s="1"/>
  <c r="BG12" i="5" a="1"/>
  <c r="BG12" i="5" s="1"/>
  <c r="CA10" i="5" a="1"/>
  <c r="CA10" i="5" s="1"/>
  <c r="CC10" i="5" s="1"/>
  <c r="CA9" i="5" a="1"/>
  <c r="CA9" i="5" s="1"/>
  <c r="CC9" i="5" s="1"/>
  <c r="CA8" i="5" a="1"/>
  <c r="CA8" i="5" s="1"/>
  <c r="CC8" i="5" s="1"/>
  <c r="BG19" i="5" a="1"/>
  <c r="BG19" i="5" s="1"/>
  <c r="CA6" i="5" a="1"/>
  <c r="CA6" i="5" s="1"/>
  <c r="CC6" i="5" s="1"/>
  <c r="CA7" i="5" a="1"/>
  <c r="CA7" i="5" s="1"/>
  <c r="CC7" i="5" s="1"/>
  <c r="BG8" i="5" a="1"/>
  <c r="BG8" i="5" s="1"/>
  <c r="CA12" i="5" a="1"/>
  <c r="CA12" i="5" s="1"/>
  <c r="CC12" i="5" s="1"/>
  <c r="BG17" i="5" a="1"/>
  <c r="BG17" i="5" s="1"/>
  <c r="CA28" i="5" a="1"/>
  <c r="CA28" i="5" s="1"/>
  <c r="CC28" i="5" s="1"/>
  <c r="BG29" i="5" a="1"/>
  <c r="BG29" i="5" s="1"/>
  <c r="BG37" i="5" a="1"/>
  <c r="BG37" i="5" s="1"/>
  <c r="BG48" i="5" a="1"/>
  <c r="BG48" i="5" s="1"/>
  <c r="BG14" i="5" a="1"/>
  <c r="BG14" i="5" s="1"/>
  <c r="BG50" i="5" a="1"/>
  <c r="BG50" i="5" s="1"/>
  <c r="CA27" i="5" a="1"/>
  <c r="CA27" i="5" s="1"/>
  <c r="CC27" i="5" s="1"/>
  <c r="BG27" i="5" a="1"/>
  <c r="BG27" i="5" s="1"/>
  <c r="CA26" i="5" a="1"/>
  <c r="CA26" i="5" s="1"/>
  <c r="CC26" i="5" s="1"/>
  <c r="BG26" i="5" a="1"/>
  <c r="BG26" i="5" s="1"/>
  <c r="CA25" i="5" a="1"/>
  <c r="CA25" i="5" s="1"/>
  <c r="CC25" i="5" s="1"/>
  <c r="BG25" i="5" a="1"/>
  <c r="BG25" i="5" s="1"/>
  <c r="CA24" i="5" a="1"/>
  <c r="CA24" i="5" s="1"/>
  <c r="CC24" i="5" s="1"/>
  <c r="BG24" i="5" a="1"/>
  <c r="BG24" i="5" s="1"/>
  <c r="CA23" i="5" a="1"/>
  <c r="CA23" i="5" s="1"/>
  <c r="CC23" i="5" s="1"/>
  <c r="BG23" i="5" a="1"/>
  <c r="BG23" i="5" s="1"/>
  <c r="CE9" i="5"/>
  <c r="CF9" i="5" s="1"/>
  <c r="CA16" i="5" a="1"/>
  <c r="CA16" i="5" s="1"/>
  <c r="CC16" i="5" s="1"/>
  <c r="BG57" i="5" a="1"/>
  <c r="BG57" i="5" s="1"/>
  <c r="CA59" i="5" a="1"/>
  <c r="CA59" i="5" s="1"/>
  <c r="CC59" i="5" s="1"/>
  <c r="CA70" i="5" a="1"/>
  <c r="CA70" i="5" s="1"/>
  <c r="CC70" i="5" s="1"/>
  <c r="BG63" i="5" a="1"/>
  <c r="BG63" i="5" s="1"/>
  <c r="BG77" i="5" a="1"/>
  <c r="BG77" i="5" s="1"/>
  <c r="BG80" i="5" a="1"/>
  <c r="BG80" i="5" s="1"/>
  <c r="BG13" i="5" a="1"/>
  <c r="BG13" i="5" s="1"/>
  <c r="BG6" i="5" a="1"/>
  <c r="BG6" i="5" s="1"/>
  <c r="CA17" i="5" a="1"/>
  <c r="CA17" i="5" s="1"/>
  <c r="CC17" i="5" s="1"/>
  <c r="BG10" i="5" a="1"/>
  <c r="BG10" i="5" s="1"/>
  <c r="BG34" i="5" a="1"/>
  <c r="BG34" i="5" s="1"/>
  <c r="BG35" i="5" a="1"/>
  <c r="BG35" i="5" s="1"/>
  <c r="BG36" i="5" a="1"/>
  <c r="BG36" i="5" s="1"/>
  <c r="CA45" i="5" a="1"/>
  <c r="CA45" i="5" s="1"/>
  <c r="CC45" i="5" s="1"/>
  <c r="BG47" i="5" a="1"/>
  <c r="BG47" i="5" s="1"/>
  <c r="CA48" i="5" a="1"/>
  <c r="CA48" i="5" s="1"/>
  <c r="CC48" i="5" s="1"/>
  <c r="BG49" i="5" a="1"/>
  <c r="BG49" i="5" s="1"/>
  <c r="BG16" i="5" a="1"/>
  <c r="BG16" i="5" s="1"/>
  <c r="BG83" i="5" a="1"/>
  <c r="BG83" i="5" s="1"/>
  <c r="CE78" i="5"/>
  <c r="CF78" i="5" s="1"/>
  <c r="BG58" i="5" a="1"/>
  <c r="BG58" i="5" s="1"/>
  <c r="CA69" i="5" a="1"/>
  <c r="CA69" i="5" s="1"/>
  <c r="CC69" i="5" s="1"/>
  <c r="BG70" i="5" a="1"/>
  <c r="BG70" i="5" s="1"/>
  <c r="BG76" i="5" a="1"/>
  <c r="BG76" i="5" s="1"/>
  <c r="CA46" i="5" a="1"/>
  <c r="CA46" i="5" s="1"/>
  <c r="CC46" i="5" s="1"/>
  <c r="CA42" i="5" a="1"/>
  <c r="CA42" i="5" s="1"/>
  <c r="CC42" i="5" s="1"/>
  <c r="CE60" i="5"/>
  <c r="CF60" i="5" s="1"/>
  <c r="CA50" i="5" a="1"/>
  <c r="CA50" i="5" s="1"/>
  <c r="CC50" i="5" s="1"/>
  <c r="CE18" i="5"/>
  <c r="CF18" i="5" s="1"/>
  <c r="BG65" i="5" a="1"/>
  <c r="BG65" i="5" s="1"/>
  <c r="CE59" i="5"/>
  <c r="CF59" i="5" s="1"/>
  <c r="CE63" i="5"/>
  <c r="CF63" i="5" s="1"/>
  <c r="CE13" i="5"/>
  <c r="CF13" i="5" s="1"/>
  <c r="CE35" i="5"/>
  <c r="CF35" i="5" s="1"/>
  <c r="CE17" i="5"/>
  <c r="CF17" i="5" s="1"/>
  <c r="CE86" i="5"/>
  <c r="CF86" i="5" s="1"/>
  <c r="CD63" i="5"/>
  <c r="CE26" i="5"/>
  <c r="CF26" i="5" s="1"/>
  <c r="CE76" i="5"/>
  <c r="CF76" i="5" s="1"/>
  <c r="CE83" i="5"/>
  <c r="CF83" i="5" s="1"/>
  <c r="CE58" i="5"/>
  <c r="CF58" i="5" s="1"/>
  <c r="CE28" i="5"/>
  <c r="CF28" i="5" s="1"/>
  <c r="CE23" i="5"/>
  <c r="CF23" i="5" s="1"/>
  <c r="CE43" i="5"/>
  <c r="CF43" i="5" s="1"/>
  <c r="BG42" i="5" a="1"/>
  <c r="BG42" i="5" s="1"/>
  <c r="CA38" i="5" a="1"/>
  <c r="CA38" i="5" s="1"/>
  <c r="CC38" i="5" s="1"/>
  <c r="BG33" i="5" a="1"/>
  <c r="BG33" i="5" s="1"/>
  <c r="CA31" i="5" a="1"/>
  <c r="CA31" i="5" s="1"/>
  <c r="CC31" i="5" s="1"/>
  <c r="BG46" i="5" a="1"/>
  <c r="BG46" i="5" s="1"/>
  <c r="BG45" i="5" a="1"/>
  <c r="BG45" i="5" s="1"/>
  <c r="CA43" i="5" a="1"/>
  <c r="CA43" i="5" s="1"/>
  <c r="CC43" i="5" s="1"/>
  <c r="CD82" i="5"/>
  <c r="CE82" i="5"/>
  <c r="CF82" i="5" s="1"/>
  <c r="CD80" i="5"/>
  <c r="CE77" i="5"/>
  <c r="CF77" i="5" s="1"/>
  <c r="CD70" i="5"/>
  <c r="CD69" i="5"/>
  <c r="CD64" i="5"/>
  <c r="CE64" i="5"/>
  <c r="CF64" i="5" s="1"/>
  <c r="CD45" i="5"/>
  <c r="CD30" i="5"/>
  <c r="CD27" i="5"/>
  <c r="CD25" i="5"/>
  <c r="CE24" i="5"/>
  <c r="CF24" i="5" s="1"/>
  <c r="CE10" i="5"/>
  <c r="CF10" i="5" s="1"/>
  <c r="CD75" i="5"/>
  <c r="CE75" i="5"/>
  <c r="CF75" i="5" s="1"/>
  <c r="CD74" i="5"/>
  <c r="CE74" i="5"/>
  <c r="CF74" i="5" s="1"/>
  <c r="CD73" i="5"/>
  <c r="CE73" i="5"/>
  <c r="CF73" i="5" s="1"/>
  <c r="CD72" i="5"/>
  <c r="CE72" i="5"/>
  <c r="CF72" i="5" s="1"/>
  <c r="CD71" i="5"/>
  <c r="CE71" i="5"/>
  <c r="CF71" i="5" s="1"/>
  <c r="CD65" i="5"/>
  <c r="CE65" i="5"/>
  <c r="CF65" i="5" s="1"/>
  <c r="CD62" i="5"/>
  <c r="CD61" i="5"/>
  <c r="CE61" i="5"/>
  <c r="CF61" i="5" s="1"/>
  <c r="CE45" i="5"/>
  <c r="CF45" i="5" s="1"/>
  <c r="CD42" i="5"/>
  <c r="CE42" i="5"/>
  <c r="CF42" i="5" s="1"/>
  <c r="CD41" i="5"/>
  <c r="CE41" i="5"/>
  <c r="CF41" i="5" s="1"/>
  <c r="CD31" i="5"/>
  <c r="CE30" i="5"/>
  <c r="CF30" i="5" s="1"/>
  <c r="CE16" i="5"/>
  <c r="CF16" i="5" s="1"/>
  <c r="CD56" i="5"/>
  <c r="CE56" i="5"/>
  <c r="CF56" i="5" s="1"/>
  <c r="CD55" i="5"/>
  <c r="CE55" i="5"/>
  <c r="CF55" i="5" s="1"/>
  <c r="CD54" i="5"/>
  <c r="CE54" i="5"/>
  <c r="CF54" i="5" s="1"/>
  <c r="CD53" i="5"/>
  <c r="CE53" i="5"/>
  <c r="CF53" i="5" s="1"/>
  <c r="CD52" i="5"/>
  <c r="CE52" i="5"/>
  <c r="CF52" i="5" s="1"/>
  <c r="CD51" i="5"/>
  <c r="CE51" i="5"/>
  <c r="CF51" i="5" s="1"/>
  <c r="CD50" i="5"/>
  <c r="CE50" i="5"/>
  <c r="CF50" i="5" s="1"/>
  <c r="CD49" i="5"/>
  <c r="CE49" i="5"/>
  <c r="CF49" i="5" s="1"/>
  <c r="CD48" i="5"/>
  <c r="CE48" i="5"/>
  <c r="CF48" i="5" s="1"/>
  <c r="CD47" i="5"/>
  <c r="CE47" i="5"/>
  <c r="CF47" i="5" s="1"/>
  <c r="CD46" i="5"/>
  <c r="CE46" i="5"/>
  <c r="CF46" i="5" s="1"/>
  <c r="CD40" i="5"/>
  <c r="CE40" i="5"/>
  <c r="CF40" i="5" s="1"/>
  <c r="CD39" i="5"/>
  <c r="CE39" i="5"/>
  <c r="CF39" i="5" s="1"/>
  <c r="CD38" i="5"/>
  <c r="CE38" i="5"/>
  <c r="CF38" i="5" s="1"/>
  <c r="CD37" i="5"/>
  <c r="CE37" i="5"/>
  <c r="CF37" i="5" s="1"/>
  <c r="CD36" i="5"/>
  <c r="CE36" i="5"/>
  <c r="CF36" i="5" s="1"/>
  <c r="CD34" i="5"/>
  <c r="CE34" i="5"/>
  <c r="CF34" i="5" s="1"/>
  <c r="CD33" i="5"/>
  <c r="CE33" i="5"/>
  <c r="CF33" i="5" s="1"/>
  <c r="CD32" i="5"/>
  <c r="CE32" i="5"/>
  <c r="CF32" i="5" s="1"/>
  <c r="CD24" i="5"/>
  <c r="CE22" i="5"/>
  <c r="CF22" i="5" s="1"/>
  <c r="CE21" i="5"/>
  <c r="CF21" i="5" s="1"/>
  <c r="CE20" i="5"/>
  <c r="CF20" i="5" s="1"/>
  <c r="CD19" i="5"/>
  <c r="CE19" i="5"/>
  <c r="CF19" i="5" s="1"/>
  <c r="CD11" i="5"/>
  <c r="CE11" i="5"/>
  <c r="CF11" i="5" s="1"/>
  <c r="CD15" i="5"/>
  <c r="CE15" i="5"/>
  <c r="CF15" i="5" s="1"/>
  <c r="CD14" i="5"/>
  <c r="CE14" i="5"/>
  <c r="CF14" i="5" s="1"/>
  <c r="CD8" i="5"/>
  <c r="CE8" i="5"/>
  <c r="CF8" i="5" s="1"/>
  <c r="CD7" i="5"/>
  <c r="CE7" i="5"/>
  <c r="CF7" i="5" s="1"/>
  <c r="CD6" i="5"/>
  <c r="CE6" i="5"/>
  <c r="CF6" i="5" s="1"/>
  <c r="CD81" i="5"/>
  <c r="CD79" i="5"/>
  <c r="CE70" i="5"/>
  <c r="CF70" i="5" s="1"/>
  <c r="CE69" i="5"/>
  <c r="CF69" i="5" s="1"/>
  <c r="CE67" i="5"/>
  <c r="CF67" i="5" s="1"/>
  <c r="CE62" i="5"/>
  <c r="CF62" i="5" s="1"/>
  <c r="CE44" i="5"/>
  <c r="CF44" i="5" s="1"/>
  <c r="CE31" i="5"/>
  <c r="CF31" i="5" s="1"/>
  <c r="CD28" i="5"/>
  <c r="CE27" i="5"/>
  <c r="CF27" i="5" s="1"/>
  <c r="CD23" i="5"/>
  <c r="CD16" i="5"/>
  <c r="CD87" i="5"/>
  <c r="CE87" i="5"/>
  <c r="CF87" i="5" s="1"/>
  <c r="CE85" i="5"/>
  <c r="CF85" i="5" s="1"/>
  <c r="CE81" i="5"/>
  <c r="CF81" i="5" s="1"/>
  <c r="CE80" i="5"/>
  <c r="CF80" i="5" s="1"/>
  <c r="CE79" i="5"/>
  <c r="CF79" i="5" s="1"/>
  <c r="CD77" i="5"/>
  <c r="CD67" i="5"/>
  <c r="CD66" i="5"/>
  <c r="CE66" i="5"/>
  <c r="CF66" i="5" s="1"/>
  <c r="CD57" i="5"/>
  <c r="CE57" i="5"/>
  <c r="CF57" i="5" s="1"/>
  <c r="CD44" i="5"/>
  <c r="CD43" i="5"/>
  <c r="CE29" i="5"/>
  <c r="CF29" i="5" s="1"/>
  <c r="CE25" i="5"/>
  <c r="CF25" i="5" s="1"/>
  <c r="CD10" i="5"/>
  <c r="CL13" i="5" l="1"/>
  <c r="CL52" i="5"/>
  <c r="CL73" i="5"/>
  <c r="CL24" i="5"/>
  <c r="CN24" i="5"/>
  <c r="CL53" i="5"/>
  <c r="CL33" i="5"/>
  <c r="CL26" i="5"/>
  <c r="CN82" i="5"/>
  <c r="CL17" i="5"/>
  <c r="CL15" i="5"/>
  <c r="CN15" i="5"/>
  <c r="CL19" i="5"/>
  <c r="CN53" i="5"/>
  <c r="CN26" i="5"/>
  <c r="CN58" i="5"/>
  <c r="CN42" i="5"/>
  <c r="CL21" i="5"/>
  <c r="CL82" i="5"/>
  <c r="CN17" i="5"/>
  <c r="CL12" i="5"/>
  <c r="CN21" i="5"/>
  <c r="CN43" i="5"/>
  <c r="CL43" i="5"/>
  <c r="CN83" i="5"/>
  <c r="CL83" i="5"/>
  <c r="CL60" i="5"/>
  <c r="CN63" i="5"/>
  <c r="CL32" i="5"/>
  <c r="CN32" i="5"/>
  <c r="CL20" i="5"/>
  <c r="CL48" i="5"/>
  <c r="CN48" i="5"/>
  <c r="CL42" i="5"/>
  <c r="CL78" i="5"/>
  <c r="CN11" i="5"/>
  <c r="CL66" i="5"/>
  <c r="CN66" i="5"/>
  <c r="CN87" i="5"/>
  <c r="CL87" i="5"/>
  <c r="CN51" i="5"/>
  <c r="CL51" i="5"/>
  <c r="CN45" i="5"/>
  <c r="CN62" i="5"/>
  <c r="CL37" i="5"/>
  <c r="CL11" i="5"/>
  <c r="CN60" i="5"/>
  <c r="CN75" i="5"/>
  <c r="CN37" i="5"/>
  <c r="CN13" i="5"/>
  <c r="CN20" i="5"/>
  <c r="CN73" i="5"/>
  <c r="CL75" i="5"/>
  <c r="CL63" i="5"/>
  <c r="CL35" i="5"/>
  <c r="CN35" i="5"/>
  <c r="CL80" i="5"/>
  <c r="CL34" i="5"/>
  <c r="CN80" i="5"/>
  <c r="CL45" i="5"/>
  <c r="CL41" i="5"/>
  <c r="CN74" i="5"/>
  <c r="CN71" i="5"/>
  <c r="CN36" i="5"/>
  <c r="CL71" i="5"/>
  <c r="CL27" i="5"/>
  <c r="CL49" i="5"/>
  <c r="CN49" i="5"/>
  <c r="CN31" i="5"/>
  <c r="CL31" i="5"/>
  <c r="CN28" i="5"/>
  <c r="CL79" i="5"/>
  <c r="CL68" i="5"/>
  <c r="CL23" i="5"/>
  <c r="CN12" i="5"/>
  <c r="CN68" i="5"/>
  <c r="CN6" i="5"/>
  <c r="CL70" i="5"/>
  <c r="CL86" i="5"/>
  <c r="CN79" i="5"/>
  <c r="CL28" i="5"/>
  <c r="CN19" i="5"/>
  <c r="CL85" i="5"/>
  <c r="CL38" i="5"/>
  <c r="CN9" i="5"/>
  <c r="CN23" i="5"/>
  <c r="CL6" i="5"/>
  <c r="CL36" i="5"/>
  <c r="CN38" i="5"/>
  <c r="CN86" i="5"/>
  <c r="CN41" i="5"/>
  <c r="CN40" i="5"/>
  <c r="CN65" i="5"/>
  <c r="CN33" i="5"/>
  <c r="CL67" i="5"/>
  <c r="CN52" i="5"/>
  <c r="CN7" i="5"/>
  <c r="CN30" i="5"/>
  <c r="CL61" i="5"/>
  <c r="CL8" i="5"/>
  <c r="CN61" i="5"/>
  <c r="CL7" i="5"/>
  <c r="CL64" i="5"/>
  <c r="CL40" i="5"/>
  <c r="CN8" i="5"/>
  <c r="CL72" i="5"/>
  <c r="CN64" i="5"/>
  <c r="CL30" i="5"/>
  <c r="CL18" i="5"/>
  <c r="CL57" i="5"/>
  <c r="CN57" i="5"/>
  <c r="CN72" i="5"/>
  <c r="CN18" i="5"/>
  <c r="CN59" i="5"/>
  <c r="CN47" i="5"/>
  <c r="CN78" i="5"/>
  <c r="CN81" i="5"/>
  <c r="CL74" i="5"/>
  <c r="CL29" i="5"/>
  <c r="CN27" i="5"/>
  <c r="CN70" i="5"/>
  <c r="CL25" i="5"/>
  <c r="CN25" i="5"/>
  <c r="CN77" i="5"/>
  <c r="CN85" i="5"/>
  <c r="CL77" i="5"/>
  <c r="CL9" i="5"/>
  <c r="CN16" i="5"/>
  <c r="CL16" i="5"/>
  <c r="CN67" i="5"/>
  <c r="CL44" i="5"/>
  <c r="CN29" i="5"/>
  <c r="CL76" i="5"/>
  <c r="CL54" i="5"/>
  <c r="CN54" i="5"/>
  <c r="CN76" i="5"/>
  <c r="CN44" i="5"/>
  <c r="CL47" i="5"/>
  <c r="CL59" i="5"/>
  <c r="CL65" i="5"/>
  <c r="CL62" i="5"/>
  <c r="CL81" i="5"/>
  <c r="CL58" i="5"/>
  <c r="CL56" i="5"/>
  <c r="CN39" i="5"/>
  <c r="CL69" i="5"/>
  <c r="CN56" i="5"/>
  <c r="CN46" i="5"/>
  <c r="CN55" i="5"/>
  <c r="CL55" i="5"/>
  <c r="CN10" i="5"/>
  <c r="CN22" i="5"/>
  <c r="CL22" i="5"/>
  <c r="CN34" i="5"/>
  <c r="CL50" i="5"/>
  <c r="CN14" i="5"/>
  <c r="CN50" i="5"/>
  <c r="CL10" i="5"/>
  <c r="CL14" i="5"/>
  <c r="CL46" i="5"/>
  <c r="CN69" i="5"/>
  <c r="CL39" i="5"/>
  <c r="ED51" i="8"/>
  <c r="ED50" i="8"/>
  <c r="ED49" i="8"/>
  <c r="ED40" i="8"/>
  <c r="ED14" i="8"/>
  <c r="ED26" i="8"/>
  <c r="ED72" i="8"/>
  <c r="ED45" i="8"/>
  <c r="ED80" i="8"/>
  <c r="ED8" i="8"/>
  <c r="ED47" i="8"/>
  <c r="ED74" i="8"/>
  <c r="ED48" i="8"/>
  <c r="ED55" i="8"/>
  <c r="ED30" i="8"/>
  <c r="ED46" i="8"/>
  <c r="ED42" i="8"/>
  <c r="ED31" i="8"/>
  <c r="ED6" i="8"/>
  <c r="ED7" i="8"/>
  <c r="ED16" i="8"/>
  <c r="ED24" i="8"/>
  <c r="ED38" i="8"/>
  <c r="ED71" i="8"/>
  <c r="ED43" i="8"/>
  <c r="ED76" i="8"/>
  <c r="ED58" i="8"/>
  <c r="ED84" i="8"/>
  <c r="ED34" i="8"/>
  <c r="ED12" i="8"/>
  <c r="ED65" i="8"/>
  <c r="ED62" i="8"/>
  <c r="ED75" i="8"/>
  <c r="ED44" i="8"/>
  <c r="ED20" i="8"/>
  <c r="ED69" i="8"/>
  <c r="ED67" i="8"/>
  <c r="ED9" i="8"/>
  <c r="ED73" i="8"/>
  <c r="ED56" i="8"/>
  <c r="ED66" i="8"/>
  <c r="ED78" i="8"/>
  <c r="ED21" i="8"/>
  <c r="ED32" i="8"/>
  <c r="ED17" i="8"/>
  <c r="ED10" i="8"/>
  <c r="ED28" i="8"/>
  <c r="ED59" i="8"/>
  <c r="ED23" i="8"/>
  <c r="ED36" i="8"/>
  <c r="ED27" i="8"/>
  <c r="ED37" i="8"/>
  <c r="ED57" i="8"/>
  <c r="ED13" i="8"/>
  <c r="ED81" i="8"/>
  <c r="ED53" i="8"/>
  <c r="ED39" i="8"/>
  <c r="ED11" i="8"/>
  <c r="ED86" i="8"/>
  <c r="ED54" i="8"/>
  <c r="ED41" i="8"/>
  <c r="ED15" i="8"/>
  <c r="ED68" i="8"/>
  <c r="ED63" i="8"/>
  <c r="ED64" i="8"/>
  <c r="ED33" i="8"/>
  <c r="ED88" i="8"/>
  <c r="ED29" i="8"/>
  <c r="ED77" i="8"/>
  <c r="ED19" i="8"/>
  <c r="ED18" i="8"/>
  <c r="ED79" i="8"/>
  <c r="ED22" i="8"/>
  <c r="ED60" i="8"/>
  <c r="ED61" i="8"/>
  <c r="ED52" i="8"/>
  <c r="ED83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H2" authorId="0" shapeId="0" xr:uid="{00000000-0006-0000-0400-000001000000}">
      <text>
        <r>
          <rPr>
            <sz val="10"/>
            <color rgb="FF000000"/>
            <rFont val="Arial"/>
            <family val="2"/>
            <scheme val="minor"/>
          </rPr>
          <t xml:space="preserve">timer recalculates on cell change or page refresh </t>
        </r>
      </text>
    </comment>
    <comment ref="C5" authorId="0" shapeId="0" xr:uid="{00000000-0006-0000-0400-000002000000}">
      <text>
        <r>
          <rPr>
            <sz val="10"/>
            <color rgb="FF000000"/>
            <rFont val="Arial"/>
            <family val="2"/>
            <scheme val="minor"/>
          </rPr>
          <t>Filtered by: Posting period</t>
        </r>
      </text>
    </comment>
    <comment ref="G5" authorId="0" shapeId="0" xr:uid="{00000000-0006-0000-0400-000003000000}">
      <text>
        <r>
          <rPr>
            <sz val="10"/>
            <color rgb="FF000000"/>
            <rFont val="Arial"/>
            <family val="2"/>
            <scheme val="minor"/>
          </rPr>
          <t xml:space="preserve">Contract Reporting Country
</t>
        </r>
      </text>
    </comment>
    <comment ref="H5" authorId="0" shapeId="0" xr:uid="{00000000-0006-0000-0400-000004000000}">
      <text>
        <r>
          <rPr>
            <sz val="10"/>
            <color rgb="FF000000"/>
            <rFont val="Arial"/>
            <family val="2"/>
            <scheme val="minor"/>
          </rPr>
          <t>Contract Billing Entity - shortened</t>
        </r>
      </text>
    </comment>
    <comment ref="P5" authorId="0" shapeId="0" xr:uid="{00000000-0006-0000-0400-000005000000}">
      <text>
        <r>
          <rPr>
            <sz val="10"/>
            <color rgb="FF000000"/>
            <rFont val="Arial"/>
            <family val="2"/>
            <scheme val="minor"/>
          </rPr>
          <t>Net Cost Delivered w/o Tax (Buying Curr)</t>
        </r>
      </text>
    </comment>
    <comment ref="AF5" authorId="0" shapeId="0" xr:uid="{00000000-0006-0000-0400-000006000000}">
      <text>
        <r>
          <rPr>
            <sz val="10"/>
            <color rgb="FF000000"/>
            <rFont val="Arial"/>
            <family val="2"/>
            <scheme val="minor"/>
          </rPr>
          <t xml:space="preserve">Comparison between columns Q and AC
</t>
        </r>
      </text>
    </comment>
    <comment ref="AG5" authorId="0" shapeId="0" xr:uid="{00000000-0006-0000-0400-000007000000}">
      <text>
        <r>
          <rPr>
            <sz val="10"/>
            <color rgb="FF000000"/>
            <rFont val="Arial"/>
            <family val="2"/>
            <scheme val="minor"/>
          </rPr>
          <t>Sheet formula:
=if(A6="";"";( if(AC6="Miss";"";(K6-AD6))))</t>
        </r>
      </text>
    </comment>
    <comment ref="AI5" authorId="0" shapeId="0" xr:uid="{00000000-0006-0000-0400-000008000000}">
      <text>
        <r>
          <rPr>
            <sz val="10"/>
            <color rgb="FF000000"/>
            <rFont val="Arial"/>
            <family val="2"/>
            <scheme val="minor"/>
          </rPr>
          <t>Sheet formula:
=if(A6="";"";( if(AC6="Miss";"";(K6-AD6))))</t>
        </r>
      </text>
    </comment>
    <comment ref="AJ5" authorId="0" shapeId="0" xr:uid="{00000000-0006-0000-0400-000009000000}">
      <text>
        <r>
          <rPr>
            <sz val="10"/>
            <color rgb="FF000000"/>
            <rFont val="Arial"/>
            <family val="2"/>
            <scheme val="minor"/>
          </rPr>
          <t>Sheet formula:
=if(A6="";"";( if(AC6="Miss";"";(K6-AD6))))</t>
        </r>
      </text>
    </comment>
    <comment ref="AK5" authorId="0" shapeId="0" xr:uid="{00000000-0006-0000-0400-00000A000000}">
      <text>
        <r>
          <rPr>
            <sz val="10"/>
            <color rgb="FF000000"/>
            <rFont val="Arial"/>
            <family val="2"/>
            <scheme val="minor"/>
          </rPr>
          <t xml:space="preserve">Sheet formula:
=IFERROR(if(A6="";"";( 1-((K6/VLOOKUP(L6;er!C:E;2;FALSE))/(H6/VLOOKUP(I6;er!C:E;2;FALSE)))));"")
</t>
        </r>
      </text>
    </comment>
    <comment ref="AR5" authorId="0" shapeId="0" xr:uid="{00000000-0006-0000-0400-00000B000000}">
      <text>
        <r>
          <rPr>
            <sz val="10"/>
            <color rgb="FF000000"/>
            <rFont val="Arial"/>
            <family val="2"/>
            <scheme val="minor"/>
          </rPr>
          <t>Sheet formula:
=IFERROR(if(A6="";"";( index(inv!F:F;match(A6;inv!C:C;0))));"Miss")</t>
        </r>
      </text>
    </comment>
    <comment ref="AS5" authorId="0" shapeId="0" xr:uid="{00000000-0006-0000-0400-00000C000000}">
      <text>
        <r>
          <rPr>
            <sz val="10"/>
            <color rgb="FF000000"/>
            <rFont val="Arial"/>
            <family val="2"/>
            <scheme val="minor"/>
          </rPr>
          <t>Sheet formula:
=IF(A6="";""; IF(AH6="Miss";""; SUMIF(inv!C:C; A6; inv!G:G)))</t>
        </r>
      </text>
    </comment>
    <comment ref="AW5" authorId="0" shapeId="0" xr:uid="{00000000-0006-0000-0400-00000D000000}">
      <text>
        <r>
          <rPr>
            <sz val="10"/>
            <color rgb="FF000000"/>
            <rFont val="Arial"/>
            <family val="2"/>
            <scheme val="minor"/>
          </rPr>
          <t>Sheet formula:
=if(A6="";""; if(AH6="Miss";"Miss";( IF(L6=AH6;"OK";"Incorrect"))))</t>
        </r>
      </text>
    </comment>
    <comment ref="AX5" authorId="0" shapeId="0" xr:uid="{00000000-0006-0000-0400-00000E000000}">
      <text>
        <r>
          <rPr>
            <sz val="10"/>
            <color rgb="FF000000"/>
            <rFont val="Arial"/>
            <family val="2"/>
            <scheme val="minor"/>
          </rPr>
          <t>Sheet formula:
=if(A6="";"";( if(AH6="Miss";"";(K6-AI6))))</t>
        </r>
      </text>
    </comment>
    <comment ref="AY5" authorId="0" shapeId="0" xr:uid="{00000000-0006-0000-0400-00000F000000}">
      <text>
        <r>
          <rPr>
            <sz val="10"/>
            <color rgb="FF000000"/>
            <rFont val="Arial"/>
            <family val="2"/>
            <scheme val="minor"/>
          </rPr>
          <t>Sheet formula:
=if(A6="";"";( if(AH6="Miss";"";(K6-AI6))))</t>
        </r>
      </text>
    </comment>
    <comment ref="AZ5" authorId="0" shapeId="0" xr:uid="{00000000-0006-0000-0400-000010000000}">
      <text>
        <r>
          <rPr>
            <sz val="10"/>
            <color rgb="FF000000"/>
            <rFont val="Arial"/>
            <family val="2"/>
            <scheme val="minor"/>
          </rPr>
          <t>Sheet formula:
=IFERROR(if(A6="";"";( index(stat!E:E;match(A6;stat!A:A;0))));"Miss")</t>
        </r>
      </text>
    </comment>
    <comment ref="BA5" authorId="0" shapeId="0" xr:uid="{00000000-0006-0000-0400-000011000000}">
      <text>
        <r>
          <rPr>
            <sz val="10"/>
            <color rgb="FF000000"/>
            <rFont val="Arial"/>
            <family val="2"/>
            <scheme val="minor"/>
          </rPr>
          <t>Sheet formula:
=if(A6="";"";(IF(AL6="Miss";""; SUMIF(stat!A:A;A6;stat!F:F))))</t>
        </r>
      </text>
    </comment>
    <comment ref="BB5" authorId="0" shapeId="0" xr:uid="{00000000-0006-0000-0400-000012000000}">
      <text>
        <r>
          <rPr>
            <sz val="10"/>
            <color rgb="FF000000"/>
            <rFont val="Arial"/>
            <family val="2"/>
            <scheme val="minor"/>
          </rPr>
          <t>Sheet formula:
=if(A6="";"";if(AL6="Miss";"Miss";( IF(L6=AL6;"OK";"Incorrect"))))</t>
        </r>
      </text>
    </comment>
    <comment ref="BC5" authorId="0" shapeId="0" xr:uid="{00000000-0006-0000-0400-000013000000}">
      <text>
        <r>
          <rPr>
            <sz val="10"/>
            <color rgb="FF000000"/>
            <rFont val="Arial"/>
            <family val="2"/>
            <scheme val="minor"/>
          </rPr>
          <t>Sheet formula:
=if(A6="";"";( if(AL6="Miss";"";(K6-AM6))))</t>
        </r>
      </text>
    </comment>
    <comment ref="BD5" authorId="0" shapeId="0" xr:uid="{00000000-0006-0000-0400-000014000000}">
      <text>
        <r>
          <rPr>
            <sz val="10"/>
            <color rgb="FF000000"/>
            <rFont val="Arial"/>
            <family val="2"/>
            <scheme val="minor"/>
          </rPr>
          <t>Sheet formula:
=if(A6="";"";( if(AL6="Miss";"";(K6-AM6))))</t>
        </r>
      </text>
    </comment>
    <comment ref="BE5" authorId="0" shapeId="0" xr:uid="{00000000-0006-0000-0400-000015000000}">
      <text>
        <r>
          <rPr>
            <sz val="10"/>
            <color rgb="FF000000"/>
            <rFont val="Arial"/>
            <family val="2"/>
            <scheme val="minor"/>
          </rPr>
          <t xml:space="preserve">Taken from a separate sheet
=iferror(INDEX('Com&amp;tax'!$D$2:$D$100; MATCH(1; ('Com&amp;tax'!$A$2:$A$100=B8)*('Com&amp;tax'!$B$2:$B$100=D8); 0));"")
</t>
        </r>
      </text>
    </comment>
    <comment ref="BF5" authorId="0" shapeId="0" xr:uid="{00000000-0006-0000-0400-000016000000}">
      <text>
        <r>
          <rPr>
            <sz val="10"/>
            <color rgb="FF000000"/>
            <rFont val="Arial"/>
            <family val="2"/>
            <scheme val="minor"/>
          </rPr>
          <t>LastModifiedDate: 2025-08-18
=if(A8="";"";( iferror(L8*AR8;"")))
L=SF Qualified Purch QTY
AR=Commision Percentage</t>
        </r>
      </text>
    </comment>
    <comment ref="BG5" authorId="0" shapeId="0" xr:uid="{00000000-0006-0000-0400-000017000000}">
      <text>
        <r>
          <rPr>
            <sz val="10"/>
            <color rgb="FF000000"/>
            <rFont val="Arial"/>
            <family val="2"/>
            <scheme val="minor"/>
          </rPr>
          <t>LastModifiedDate: 2025-08-18
=ARRAY_CONSTRAIN(ARRAYFORMULA(if(A8="";"";( iferror((I8/ Index(er!$D$3:$D$300 ;MATCH(1; (er!$A$3:$A$300=$AK$2)*(er!$C$3:$C$300=N8); 0)))*AR8;"")))); 1; 1)
L=SF Qualified Purch QTY
AT$2=fixed date/month of closing
K=SF Purch Curr
AR=Commision Percentage</t>
        </r>
      </text>
    </comment>
    <comment ref="BH5" authorId="0" shapeId="0" xr:uid="{00000000-0006-0000-0400-000018000000}">
      <text>
        <r>
          <rPr>
            <sz val="10"/>
            <color rgb="FF000000"/>
            <rFont val="Arial"/>
            <family val="2"/>
            <scheme val="minor"/>
          </rPr>
          <t xml:space="preserve">LastModifiedDate: 2025-08-18
=if(A8="";"";(M8-AS8))
M=SF Costs
AS=Comm Purch Curr
</t>
        </r>
      </text>
    </comment>
    <comment ref="BI5" authorId="0" shapeId="0" xr:uid="{00000000-0006-0000-0400-000019000000}">
      <text>
        <r>
          <rPr>
            <sz val="10"/>
            <color rgb="FF000000"/>
            <rFont val="Arial"/>
            <family val="2"/>
            <scheme val="minor"/>
          </rPr>
          <t xml:space="preserve">Taken from a separate sheet
=iferror(INDEX('Com&amp;tax'!$E$2:$E$100; MATCH(1; ('Com&amp;tax'!$A$2:$A$100=B8)*('Com&amp;tax'!$B$2:$B$100=F8); 0));"")
</t>
        </r>
      </text>
    </comment>
    <comment ref="BJ5" authorId="0" shapeId="0" xr:uid="{00000000-0006-0000-0400-00001A000000}">
      <text>
        <r>
          <rPr>
            <sz val="10"/>
            <color rgb="FF000000"/>
            <rFont val="Arial"/>
            <family val="2"/>
            <scheme val="minor"/>
          </rPr>
          <t>Updated 2025-08-18
=if(A8="";"";( iferror((L8-AS8)*AV8;"")))
L=SF Qualified Purch QTY
AV=Tax Percent</t>
        </r>
      </text>
    </comment>
    <comment ref="BK5" authorId="0" shapeId="0" xr:uid="{00000000-0006-0000-0400-00001B000000}">
      <text>
        <r>
          <rPr>
            <sz val="10"/>
            <color rgb="FF000000"/>
            <rFont val="Arial"/>
            <family val="2"/>
            <scheme val="minor"/>
          </rPr>
          <t>Updated 2025-08-18
=ARRAY_CONSTRAIN(ARRAYFORMULA(if(A8="";"";( iferror(((L8-AS8)/ Index(er!$D$3:$D$300 ;MATCH(1; (er!$A$3:$A$300=$AT$2)*(er!$C$3:$C$300=N8); 0)))*AV8;"")))); 1; 1)</t>
        </r>
      </text>
    </comment>
    <comment ref="BL5" authorId="0" shapeId="0" xr:uid="{00000000-0006-0000-0400-00001C000000}">
      <text>
        <r>
          <rPr>
            <sz val="10"/>
            <color rgb="FF000000"/>
            <rFont val="Arial"/>
            <family val="2"/>
            <scheme val="minor"/>
          </rPr>
          <t>=iferror(INDEX('Com&amp;tax'!$F$2:$F$100; MATCH(1; ('Com&amp;tax'!$A$2:$A$100=B8)*('Com&amp;tax'!$B$2:$B$100=F8); 0));"")</t>
        </r>
      </text>
    </comment>
    <comment ref="BM5" authorId="0" shapeId="0" xr:uid="{00000000-0006-0000-0400-00001D000000}">
      <text>
        <r>
          <rPr>
            <sz val="10"/>
            <color rgb="FF000000"/>
            <rFont val="Arial"/>
            <family val="2"/>
            <scheme val="minor"/>
          </rPr>
          <t>Updated 2025-08-18
=if(A8="";"";( iferror((L8-AS8)*AY8;"")))
L=SF Qualified Purch QTY
AY=With Tax Percent</t>
        </r>
      </text>
    </comment>
    <comment ref="BN5" authorId="0" shapeId="0" xr:uid="{00000000-0006-0000-0400-00001E000000}">
      <text>
        <r>
          <rPr>
            <sz val="10"/>
            <color rgb="FF000000"/>
            <rFont val="Arial"/>
            <family val="2"/>
            <scheme val="minor"/>
          </rPr>
          <t xml:space="preserve">Updated 2025-08-18
=ARRAY_CONSTRAIN(ARRAYFORMULA(if(A8="";"";( iferror(((I8-AJ8)/ Index(er!$D$3:$D$300 ;MATCH(1; (er!$A$3:$A$300=$AK$2)*(er!$C$3:$C$300=K8); 0)))*AP8;"")))); 1; 1)
</t>
        </r>
      </text>
    </comment>
    <comment ref="BO5" authorId="0" shapeId="0" xr:uid="{00000000-0006-0000-0400-00001F000000}">
      <text>
        <r>
          <rPr>
            <sz val="10"/>
            <color rgb="FF000000"/>
            <rFont val="Arial"/>
            <family val="2"/>
            <scheme val="minor"/>
          </rPr>
          <t>=iferror(INDEX('Com&amp;tax'!$G$2:$G$100; MATCH(1; ('Com&amp;tax'!$A$2:$A$100=B8)*('Com&amp;tax'!$B$2:$B$100=F8); 0));"")</t>
        </r>
      </text>
    </comment>
    <comment ref="BP5" authorId="0" shapeId="0" xr:uid="{00000000-0006-0000-0400-000020000000}">
      <text>
        <r>
          <rPr>
            <sz val="10"/>
            <color rgb="FF000000"/>
            <rFont val="Arial"/>
            <family val="2"/>
            <scheme val="minor"/>
          </rPr>
          <t>=if(A8="";"";( iferror(L8*BB8;"")))</t>
        </r>
      </text>
    </comment>
    <comment ref="BQ5" authorId="0" shapeId="0" xr:uid="{00000000-0006-0000-0400-000021000000}">
      <text>
        <r>
          <rPr>
            <sz val="10"/>
            <color rgb="FF000000"/>
            <rFont val="Arial"/>
            <family val="2"/>
            <scheme val="minor"/>
          </rPr>
          <t>=ARRAY_CONSTRAIN(ARRAYFORMULA(if(A8="";"";( iferror((L8/ Index(er!$D$3:$D$300 ;MATCH(1; (er!$A$3:$A$300=$AT$2)*(er!$C$3:$C$300=N8); 0)))*BB8;"")))); 1; 1)</t>
        </r>
      </text>
    </comment>
    <comment ref="BR5" authorId="0" shapeId="0" xr:uid="{00000000-0006-0000-0400-000022000000}">
      <text>
        <r>
          <rPr>
            <sz val="10"/>
            <color rgb="FF000000"/>
            <rFont val="Arial"/>
            <family val="2"/>
            <scheme val="minor"/>
          </rPr>
          <t>Taken from a separate sheet
=iferror(INDEX('Com&amp;tax'!$E$2:$E$100; MATCH(1; ('Com&amp;tax'!$A$2:$A$100=B8)*('Com&amp;tax'!$C$2:$C$100=G8); 0));"")</t>
        </r>
      </text>
    </comment>
    <comment ref="BS5" authorId="0" shapeId="0" xr:uid="{00000000-0006-0000-0400-000023000000}">
      <text>
        <r>
          <rPr>
            <sz val="10"/>
            <color rgb="FF000000"/>
            <rFont val="Arial"/>
            <family val="2"/>
            <scheme val="minor"/>
          </rPr>
          <t>Updated 2025-08-18
= if(A8="";"";( iferror((H8*(1-AR8))*BE8;"")))
H=Revenue (Net Budget Delivered (Billing Currency))
AR=Comm Percent</t>
        </r>
      </text>
    </comment>
    <comment ref="BT5" authorId="0" shapeId="0" xr:uid="{00000000-0006-0000-0400-000024000000}">
      <text>
        <r>
          <rPr>
            <sz val="10"/>
            <color rgb="FF000000"/>
            <rFont val="Arial"/>
            <family val="2"/>
            <scheme val="minor"/>
          </rPr>
          <t>Updated 2025-08-18
= ARRAY_CONSTRAIN(ARRAYFORMULA(if(A8="";"";( iferror(((H8*(1-AR8))/ Index(er!$D$3:$D$300 ;MATCH(1; (er!$A$3:$A$300=$AT$2)*(er!$C$3:$C$300=N8); 0)))*BE8;"")))); 1; 1)</t>
        </r>
      </text>
    </comment>
    <comment ref="BU5" authorId="0" shapeId="0" xr:uid="{00000000-0006-0000-0400-000025000000}">
      <text>
        <r>
          <rPr>
            <sz val="10"/>
            <color rgb="FF000000"/>
            <rFont val="Arial"/>
            <family val="2"/>
            <scheme val="minor"/>
          </rPr>
          <t xml:space="preserve">
=iferror(INDEX('Com&amp;tax'!$G$2:$G$100; MATCH(1; ('Com&amp;tax'!$A$2:$A$100=B8)*('Com&amp;tax'!$C$2:$C$100=G8); 0));"")</t>
        </r>
      </text>
    </comment>
    <comment ref="BV5" authorId="0" shapeId="0" xr:uid="{00000000-0006-0000-0400-000026000000}">
      <text>
        <r>
          <rPr>
            <sz val="10"/>
            <color rgb="FF000000"/>
            <rFont val="Arial"/>
            <family val="2"/>
            <scheme val="minor"/>
          </rPr>
          <t>Updated 2025-08-18
=if(A8="";"";( iferror((H8*(1-AR8))*BH8;"")))</t>
        </r>
      </text>
    </comment>
    <comment ref="BW5" authorId="0" shapeId="0" xr:uid="{00000000-0006-0000-0400-000027000000}">
      <text>
        <r>
          <rPr>
            <sz val="10"/>
            <color rgb="FF000000"/>
            <rFont val="Arial"/>
            <family val="2"/>
            <scheme val="minor"/>
          </rPr>
          <t xml:space="preserve">Updated 2025-08-18
=ARRAY_CONSTRAIN(ARRAYFORMULA(if(A8="";"";( iferror(((H8*(1-AR8))/ Index(er!$D$3:$D$300 ;MATCH(1; (er!$A$3:$A$300=$AT$2)*(er!$C$3:$C$300=N8); 0)))*BH8;"")))); 1; 1)
</t>
        </r>
      </text>
    </comment>
    <comment ref="BX5" authorId="0" shapeId="0" xr:uid="{00000000-0006-0000-0400-000028000000}">
      <text>
        <r>
          <rPr>
            <sz val="10"/>
            <color rgb="FF000000"/>
            <rFont val="Arial"/>
            <family val="2"/>
            <scheme val="minor"/>
          </rPr>
          <t>=iferror(INDEX('Com&amp;tax'!$G$2:$G$100; MATCH(1; ('Com&amp;tax'!$A$2:$A$100=B8)*('Com&amp;tax'!$C$2:$C$100=G8); 0));"")</t>
        </r>
      </text>
    </comment>
    <comment ref="BY5" authorId="0" shapeId="0" xr:uid="{00000000-0006-0000-0400-000029000000}">
      <text>
        <r>
          <rPr>
            <sz val="10"/>
            <color rgb="FF000000"/>
            <rFont val="Arial"/>
            <family val="2"/>
            <scheme val="minor"/>
          </rPr>
          <t>= if(A8="";"";( iferror(H8*BK8 ;"")))</t>
        </r>
      </text>
    </comment>
    <comment ref="BZ5" authorId="0" shapeId="0" xr:uid="{00000000-0006-0000-0400-00002A000000}">
      <text>
        <r>
          <rPr>
            <sz val="10"/>
            <color rgb="FF000000"/>
            <rFont val="Arial"/>
            <family val="2"/>
            <scheme val="minor"/>
          </rPr>
          <t>=ARRAY_CONSTRAIN(ARRAYFORMULA(if(A8="";"";( iferror((H8/ Index(er!$D$3:$D$300 ;MATCH(1; (er!$A$3:$A$300=$AT$2)*(er!$C$3:$C$300=N8); 0)))*BK8;"")))); 1; 1)</t>
        </r>
      </text>
    </comment>
    <comment ref="CA5" authorId="0" shapeId="0" xr:uid="{00000000-0006-0000-0400-00002B000000}">
      <text>
        <r>
          <rPr>
            <sz val="10"/>
            <color rgb="FF000000"/>
            <rFont val="Arial"/>
            <family val="2"/>
            <scheme val="minor"/>
          </rPr>
          <t xml:space="preserve">LastModifiedDate: 2025-08-18
=ARRAY_CONSTRAIN(ARRAYFORMULA(if(A8="";"";( iferror(1-((M8/ Index(er!$D$3:$D$300 ;MATCH(1; (er!$A$3:$A$300=$AT$2)*(er!$C$3:$C$300=N8); 0))   /  (H8/ Index(er!$D$3:$D$300 ;MATCH(1; (er!$A$3:$A$300=$AT$2)*(er!$C$3:$C$300=J8); 0)))));"")))); 1; 1)
M=SF Costs
AT$2=Fixed month of closing
N=SF Purch Curr
H=SF Revenue
J=SF Bill Curr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5" authorId="0" shapeId="0" xr:uid="{00000000-0006-0000-0700-000001000000}">
      <text>
        <r>
          <rPr>
            <sz val="10"/>
            <color rgb="FF000000"/>
            <rFont val="Arial"/>
            <family val="2"/>
            <scheme val="minor"/>
          </rPr>
          <t>Filtered by: Posting period</t>
        </r>
      </text>
    </comment>
    <comment ref="S5" authorId="0" shapeId="0" xr:uid="{00000000-0006-0000-0700-000002000000}">
      <text>
        <r>
          <rPr>
            <sz val="10"/>
            <color rgb="FF000000"/>
            <rFont val="Arial"/>
            <family val="2"/>
            <scheme val="minor"/>
          </rPr>
          <t xml:space="preserve">Contract Reporting Country
</t>
        </r>
      </text>
    </comment>
    <comment ref="U5" authorId="0" shapeId="0" xr:uid="{00000000-0006-0000-0700-000003000000}">
      <text>
        <r>
          <rPr>
            <sz val="10"/>
            <color rgb="FF000000"/>
            <rFont val="Arial"/>
            <family val="2"/>
            <scheme val="minor"/>
          </rPr>
          <t>Contract Billing Entity - shortened</t>
        </r>
      </text>
    </comment>
    <comment ref="V5" authorId="0" shapeId="0" xr:uid="{00000000-0006-0000-0700-000004000000}">
      <text>
        <r>
          <rPr>
            <sz val="10"/>
            <color rgb="FF000000"/>
            <rFont val="Arial"/>
            <family val="2"/>
            <scheme val="minor"/>
          </rPr>
          <t xml:space="preserve">Line Purchase Country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00000000-0006-0000-1000-000001000000}">
      <text>
        <r>
          <rPr>
            <sz val="10"/>
            <color rgb="FF000000"/>
            <rFont val="Arial"/>
            <family val="2"/>
            <scheme val="minor"/>
          </rPr>
          <t xml:space="preserve">This is Sold-To-Country field from the Billing Report
</t>
        </r>
      </text>
    </comment>
    <comment ref="G5" authorId="0" shapeId="0" xr:uid="{00000000-0006-0000-1000-000002000000}">
      <text>
        <r>
          <rPr>
            <sz val="10"/>
            <color rgb="FF000000"/>
            <rFont val="Arial"/>
            <family val="2"/>
            <scheme val="minor"/>
          </rPr>
          <t>Included: Value Adds
Excluded: ???</t>
        </r>
      </text>
    </comment>
    <comment ref="AM5" authorId="0" shapeId="0" xr:uid="{00000000-0006-0000-1000-000003000000}">
      <text>
        <r>
          <rPr>
            <sz val="10"/>
            <color rgb="FF000000"/>
            <rFont val="Arial"/>
            <family val="2"/>
            <scheme val="minor"/>
          </rPr>
          <t>Net Cost Delivered w/o Tax (Buying Curr)</t>
        </r>
      </text>
    </comment>
    <comment ref="AP5" authorId="0" shapeId="0" xr:uid="{00000000-0006-0000-1000-000004000000}">
      <text>
        <r>
          <rPr>
            <sz val="10"/>
            <color rgb="FF000000"/>
            <rFont val="Arial"/>
            <family val="2"/>
            <scheme val="minor"/>
          </rPr>
          <t>Qualified Sales Quantity</t>
        </r>
      </text>
    </comment>
    <comment ref="AQ5" authorId="0" shapeId="0" xr:uid="{00000000-0006-0000-1000-000005000000}">
      <text>
        <r>
          <rPr>
            <sz val="10"/>
            <color rgb="FF000000"/>
            <rFont val="Arial"/>
            <family val="2"/>
            <scheme val="minor"/>
          </rPr>
          <t>Qualified Purchase Quantity</t>
        </r>
      </text>
    </comment>
    <comment ref="AS5" authorId="0" shapeId="0" xr:uid="{00000000-0006-0000-1000-000006000000}">
      <text>
        <r>
          <rPr>
            <sz val="10"/>
            <color rgb="FF000000"/>
            <rFont val="Arial"/>
            <family val="2"/>
            <scheme val="minor"/>
          </rPr>
          <t>Revenue - Qualified Sales Quantity</t>
        </r>
      </text>
    </comment>
    <comment ref="AT5" authorId="0" shapeId="0" xr:uid="{00000000-0006-0000-1000-000007000000}">
      <text>
        <r>
          <rPr>
            <sz val="10"/>
            <color rgb="FF000000"/>
            <rFont val="Arial"/>
            <family val="2"/>
            <scheme val="minor"/>
          </rPr>
          <t>Costs- Net Cost Delivered w/o Tax (Buying Curr)</t>
        </r>
      </text>
    </comment>
    <comment ref="AU5" authorId="0" shapeId="0" xr:uid="{00000000-0006-0000-1000-000008000000}">
      <text>
        <r>
          <rPr>
            <sz val="10"/>
            <color rgb="FF000000"/>
            <rFont val="Arial"/>
            <family val="2"/>
            <scheme val="minor"/>
          </rPr>
          <t>Excl Revenue (Bil) - Excl Revenue (SF)</t>
        </r>
      </text>
    </comment>
    <comment ref="AX5" authorId="0" shapeId="0" xr:uid="{00000000-0006-0000-1000-000009000000}">
      <text>
        <r>
          <rPr>
            <sz val="10"/>
            <color rgb="FF000000"/>
            <rFont val="Arial"/>
            <family val="2"/>
            <scheme val="minor"/>
          </rPr>
          <t>Revenue - Spend Amount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5" authorId="0" shapeId="0" xr:uid="{00000000-0006-0000-1100-000001000000}">
      <text>
        <r>
          <rPr>
            <sz val="10"/>
            <color rgb="FF000000"/>
            <rFont val="Arial"/>
            <family val="2"/>
            <scheme val="minor"/>
          </rPr>
          <t>If BM sheet does not include BM ID, then it's null</t>
        </r>
      </text>
    </comment>
    <comment ref="G5" authorId="0" shapeId="0" xr:uid="{00000000-0006-0000-1100-000002000000}">
      <text>
        <r>
          <rPr>
            <sz val="10"/>
            <color rgb="FF000000"/>
            <rFont val="Arial"/>
            <family val="2"/>
            <scheme val="minor"/>
          </rPr>
          <t>Filter out: Spend Onboarded NO</t>
        </r>
      </text>
    </comment>
    <comment ref="AF5" authorId="0" shapeId="0" xr:uid="{00000000-0006-0000-1100-000003000000}">
      <text>
        <r>
          <rPr>
            <sz val="10"/>
            <color rgb="FF000000"/>
            <rFont val="Arial"/>
            <family val="2"/>
            <scheme val="minor"/>
          </rPr>
          <t>=INDEX(lin!AO:AO; MATCH(2;(D:D=lin!Z2)*(lin!Z:Z=OR(U2="Value Add"; U2="Discount"; U2="Make Good" ));0))</t>
        </r>
      </text>
    </comment>
    <comment ref="AG5" authorId="0" shapeId="0" xr:uid="{00000000-0006-0000-1100-000004000000}">
      <text>
        <r>
          <rPr>
            <sz val="10"/>
            <color rgb="FF000000"/>
            <rFont val="Arial"/>
            <family val="2"/>
            <scheme val="minor"/>
          </rPr>
          <t>=INDEX(lin!AO:AO; MATCH(2;(D:D=lin!Z2)*(lin!Z:Z=OR(U2="Value Add"; U2="Discount"; U2="Make Good" ));0))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tc={8d4eb436-5828-499c-af19-2f2885f40eb3}</author>
  </authors>
  <commentList>
    <comment ref="R5" authorId="0" shapeId="0" xr:uid="{8D4EB436-5828-499C-AF19-2F2885F40EB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@aleksandar.vujinovic@alephholding.com not correct SF field!!
Dodeljeno uporabniku aleksandar.vujinovic@alephholding.com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tc={eef62d54-529b-4886-ba7e-d9617c5f4783}</author>
    <author>tc={08e5c5a9-46d3-460b-adb9-4f58b3a4878c}</author>
  </authors>
  <commentList>
    <comment ref="B1" authorId="0" shapeId="0" xr:uid="{EEF62D54-529B-4886-BA7E-D9617C5F478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@aleksandar.vujinovic@alephholding.com we should see Quota Country from bil report in this column
Dodeljeno uporabniku aleksandar.vujinovic@alephholding.com
Reply:
    @katja.ozbolt@alephholding.com you mean this field should be matched with quota country from bil report in the equation?
Reply:
    yes. commissions are based on quota countries and not purchase countries
Skupaj 1 odziv
Oseba Aleksandar Vujinović je dodala odziv 👍 ob 2025-04-18 08:51 AM
Reply:
    hey, so I need to apply formula to "Reporting" country from Salesforce, right?
Reply:
    I've also changed the name of the colum
Reply:
    I have already adjusted the formulas
Reply:
    and added three new columns With Tax Percent, With Tax Purch Curr,	With Tax USD Curr
Reply:
    great, thanks a lot</t>
      </text>
    </comment>
    <comment ref="E2" authorId="1" shapeId="0" xr:uid="{08E5C5A9-46D3-460B-ADB9-4F58B3A4878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@aleksandar.vujinovic@alephholding.com 
not sure hot to write this down: for AR commission is build based on the comm 15% + 7% financial Fee. for calculating TAX we should use only comm 15%, therefore maybe best to insert here only 15% and add additional column for Financial Fee?
Dodeljeno uporabniku aleksandar.vujinovic@alephholding.com
Reply:
    not sure. @matic.turk@alephholding.com what do you think?
Reply:
    yes, you mean like this?
Reply:
    yes, thank you!</t>
      </text>
    </comment>
  </commentList>
</comments>
</file>

<file path=xl/sharedStrings.xml><?xml version="1.0" encoding="utf-8"?>
<sst xmlns="http://schemas.openxmlformats.org/spreadsheetml/2006/main" count="22567" uniqueCount="3109">
  <si>
    <t>Description</t>
  </si>
  <si>
    <t>-</t>
  </si>
  <si>
    <t>Salesforce Report</t>
  </si>
  <si>
    <t>Delivery Report</t>
  </si>
  <si>
    <t>Billing Report</t>
  </si>
  <si>
    <t>Invoice Report</t>
  </si>
  <si>
    <t>Statement Report</t>
  </si>
  <si>
    <t>Control</t>
  </si>
  <si>
    <t>Manual input</t>
  </si>
  <si>
    <t>Curr</t>
  </si>
  <si>
    <t>Currency</t>
  </si>
  <si>
    <t>PPO ID</t>
  </si>
  <si>
    <t>BU</t>
  </si>
  <si>
    <t>Business Unit</t>
  </si>
  <si>
    <t>Spend Amount</t>
  </si>
  <si>
    <t>Use your private filters OR Download file as Excel</t>
  </si>
  <si>
    <t>Miss</t>
  </si>
  <si>
    <t>Incorrect</t>
  </si>
  <si>
    <t>C1-Curr</t>
  </si>
  <si>
    <t>C2-Diff</t>
  </si>
  <si>
    <t>C3-Curr</t>
  </si>
  <si>
    <t>C4-Diff</t>
  </si>
  <si>
    <t>C5-Diff</t>
  </si>
  <si>
    <t>C6-Curr</t>
  </si>
  <si>
    <t>C7-Diff</t>
  </si>
  <si>
    <t>C8-Curr</t>
  </si>
  <si>
    <t>C9-Diff</t>
  </si>
  <si>
    <t>Salesforce report</t>
  </si>
  <si>
    <t>Account ID</t>
  </si>
  <si>
    <t>Quota Country</t>
  </si>
  <si>
    <t>Division</t>
  </si>
  <si>
    <t>BU Name</t>
  </si>
  <si>
    <t>Structured Name</t>
  </si>
  <si>
    <t>Opportunity: Aleph Campaign ID</t>
  </si>
  <si>
    <t>Reporting Region</t>
  </si>
  <si>
    <t>Reporting Country</t>
  </si>
  <si>
    <t>Reporting Entity</t>
  </si>
  <si>
    <t>Billing Entity</t>
  </si>
  <si>
    <t>Total Net Budget (Delivered )</t>
  </si>
  <si>
    <t>Qualified Sales Quantity</t>
  </si>
  <si>
    <t>Revenue</t>
  </si>
  <si>
    <t>Bill Curr</t>
  </si>
  <si>
    <t>Qualified Purch Qty</t>
  </si>
  <si>
    <t>Costs</t>
  </si>
  <si>
    <t>Purch Curr</t>
  </si>
  <si>
    <t>Account Curr</t>
  </si>
  <si>
    <t>Purch Country</t>
  </si>
  <si>
    <t>Year Month</t>
  </si>
  <si>
    <t>Posting Period</t>
  </si>
  <si>
    <t>Activation Exchange Rate</t>
  </si>
  <si>
    <t>Sales Order Number</t>
  </si>
  <si>
    <t>Purchase Order Number</t>
  </si>
  <si>
    <t># Standard Lines</t>
  </si>
  <si>
    <t>Account Name</t>
  </si>
  <si>
    <t>Value-Add/Coupon</t>
  </si>
  <si>
    <t>Dif (SF-Del)</t>
  </si>
  <si>
    <t>Action Point</t>
  </si>
  <si>
    <t>Net Amount</t>
  </si>
  <si>
    <t>Cost</t>
  </si>
  <si>
    <t>Purch Curr (SF-Bil)</t>
  </si>
  <si>
    <t>Rev Dif (SF-Bil) USD</t>
  </si>
  <si>
    <t>Cost Dif (SF-Bil)  USD</t>
  </si>
  <si>
    <t>Margin 
(SF Rev-Cogs)</t>
  </si>
  <si>
    <t>Dif (SF-Inv)</t>
  </si>
  <si>
    <t>Curr (SF-Stat)</t>
  </si>
  <si>
    <t>Dif (SF-Stat)</t>
  </si>
  <si>
    <t>Comments for Operations</t>
  </si>
  <si>
    <t>Comments for Rev&amp;Cogs team</t>
  </si>
  <si>
    <t>Account_ID_del</t>
  </si>
  <si>
    <t>Reporting_Entity_sf</t>
  </si>
  <si>
    <t>Billing_Entity_with_division_sf</t>
  </si>
  <si>
    <t>Qualified_Purchase_Quantity</t>
  </si>
  <si>
    <t>purchase_currency__c</t>
  </si>
  <si>
    <t>Purchase_Entity_sf</t>
  </si>
  <si>
    <t>Year_Month_del</t>
  </si>
  <si>
    <t>num_of_Standard_lines</t>
  </si>
  <si>
    <t>Division_del</t>
  </si>
  <si>
    <t>Account_Name_del</t>
  </si>
  <si>
    <t>True_Purchase_Currency_del</t>
  </si>
  <si>
    <t>Spend_wo_hack_del</t>
  </si>
  <si>
    <t>Value_Add_Coupon_Voucher_del</t>
  </si>
  <si>
    <t>Action_Point</t>
  </si>
  <si>
    <t>Revenue_bil</t>
  </si>
  <si>
    <t>Coupon_bil</t>
  </si>
  <si>
    <t>Action_Point_bil</t>
  </si>
  <si>
    <t>Invoice_Currency</t>
  </si>
  <si>
    <t>Net_Invoice_Amount</t>
  </si>
  <si>
    <t>Net_Open_Balance_Transaction_Currency</t>
  </si>
  <si>
    <t>Actual_Amount__c</t>
  </si>
  <si>
    <t>Qualified_Sales_Quantity</t>
  </si>
  <si>
    <t>currencyisocode</t>
  </si>
  <si>
    <t>Net_Amount</t>
  </si>
  <si>
    <t>Cost_bil</t>
  </si>
  <si>
    <t>Twitter</t>
  </si>
  <si>
    <t>2026-02</t>
  </si>
  <si>
    <t>USD</t>
  </si>
  <si>
    <t>Twitter Rep</t>
  </si>
  <si>
    <t>EUR</t>
  </si>
  <si>
    <t>February/2026</t>
  </si>
  <si>
    <t>OK</t>
  </si>
  <si>
    <t>Twitter Billing</t>
  </si>
  <si>
    <t>SO Exported to ERP</t>
  </si>
  <si>
    <t>PO Exported to ERP</t>
  </si>
  <si>
    <t>IMS</t>
  </si>
  <si>
    <t>LATAM</t>
  </si>
  <si>
    <t>Mexico</t>
  </si>
  <si>
    <t>T2694837</t>
  </si>
  <si>
    <t>Argentina</t>
  </si>
  <si>
    <t>AR_Media Company_!Blocked Nessy LLC USA_AR00310258 TW - Lemon - US 2025</t>
  </si>
  <si>
    <t>AR00310258</t>
  </si>
  <si>
    <t>USA</t>
  </si>
  <si>
    <t>ARS</t>
  </si>
  <si>
    <t>Findi SA</t>
  </si>
  <si>
    <t>T2751490</t>
  </si>
  <si>
    <t>AR_Media Company_BANCO DE LA PROVINCIA DE CORDOBA ARGENTINA_SMB-X ARG - Banco de Cordoba - Ene - abril 24 UPSELL 5</t>
  </si>
  <si>
    <t>AR00223663</t>
  </si>
  <si>
    <t>BANCO DE LA PROVINCIA DE CORDOBA S.A.</t>
  </si>
  <si>
    <t>T2767832</t>
  </si>
  <si>
    <t>AR_Media Company_Almundo.com SRL_X - almundo- 2025</t>
  </si>
  <si>
    <t>AR00226309</t>
  </si>
  <si>
    <t>ALMUNDO.COM SRL</t>
  </si>
  <si>
    <t>T2834460</t>
  </si>
  <si>
    <t>AR_Media Company_Flybondi_SMB-X ARG - Flybondi (may - jun 24)</t>
  </si>
  <si>
    <t>AR00249217</t>
  </si>
  <si>
    <t>Flybondi S.A</t>
  </si>
  <si>
    <t>T2887099</t>
  </si>
  <si>
    <t>AR_Media Company_FINTECH Argentina_TW - Satoshi Tango - Q3</t>
  </si>
  <si>
    <t>AR00260247</t>
  </si>
  <si>
    <t>Fintech SA</t>
  </si>
  <si>
    <t>T2929648</t>
  </si>
  <si>
    <t>AR_Media Company_Liliana SRL_SMB-X ARG - Liliana - Octubre 24</t>
  </si>
  <si>
    <t>AR00280197</t>
  </si>
  <si>
    <t>Liliana SRL</t>
  </si>
  <si>
    <t>T2985381</t>
  </si>
  <si>
    <t>AR_Media Company_Cocos Capital Argentina_AR00303899 | X | Cocos Cap | ENE 26</t>
  </si>
  <si>
    <t>AR00303899</t>
  </si>
  <si>
    <t>Cocos Capital S.A.</t>
  </si>
  <si>
    <t>T2993848</t>
  </si>
  <si>
    <t>AR_Media Company_BALANZ CAPITAL VALORES Argentina_SMB-X ARG - Balanz - Enero 2025</t>
  </si>
  <si>
    <t>AR00308588</t>
  </si>
  <si>
    <t>BALANZ CAPITAL VALORES SAU</t>
  </si>
  <si>
    <t>T3025948</t>
  </si>
  <si>
    <t>AR_Media Company_RAPPI ARG S.A.S._T3025948 - Rappi Argentina 2025 LInea de Credito - 19/02/2025</t>
  </si>
  <si>
    <t>AR00321028</t>
  </si>
  <si>
    <t>Manually insert Revenue,Manually insert Cogs</t>
  </si>
  <si>
    <t>Peru</t>
  </si>
  <si>
    <t>PEN</t>
  </si>
  <si>
    <t>T3094969</t>
  </si>
  <si>
    <t>AR_Media Company_Industrial And Comercial Bank Of China - Argentina_X - YOY -  Branding - Tácticos</t>
  </si>
  <si>
    <t>AR00344572</t>
  </si>
  <si>
    <t>ICBC Argentina</t>
  </si>
  <si>
    <t>T3101174</t>
  </si>
  <si>
    <t>AR_Media Company_Play Digital Argentina_TW - MODO - Promo Día</t>
  </si>
  <si>
    <t>AR00348122</t>
  </si>
  <si>
    <t>Play Digital S.A.</t>
  </si>
  <si>
    <t>T3163143</t>
  </si>
  <si>
    <t>AR_Media Company_Hipódromo Argentino de Palermo S.A_AR00380261-X-Betfun-Takeover-Q1 26</t>
  </si>
  <si>
    <t>AR00380261</t>
  </si>
  <si>
    <t>Hipódromo Argentino de Palermo S.A</t>
  </si>
  <si>
    <t>T3163157</t>
  </si>
  <si>
    <t>AR_Media Company_Hipódromo Argentino de Palermo S.A_AR00380263-X-Hipódromo Sala-Takeover-26</t>
  </si>
  <si>
    <t>AR00380263</t>
  </si>
  <si>
    <t>T3163161</t>
  </si>
  <si>
    <t>AR_Media Company_Mercado Libre Argentina_T3163161 - MLA | Double Dates 2026 | Takeovers - ORDEN N°1</t>
  </si>
  <si>
    <t>AR00402644</t>
  </si>
  <si>
    <t>T3184062</t>
  </si>
  <si>
    <t>AR_Media Company_Play Digital Argentina_X | MODO | Promo Diarco</t>
  </si>
  <si>
    <t>AR00385631</t>
  </si>
  <si>
    <t>T3184279</t>
  </si>
  <si>
    <t>AR_Media Company_USAL Argentina_X - Arg - USAL - Q42025</t>
  </si>
  <si>
    <t>AR00386009</t>
  </si>
  <si>
    <t>Usal Argentina</t>
  </si>
  <si>
    <t>T3186988</t>
  </si>
  <si>
    <t>AR_Media Company_Cinemark Argentina_X - Arg - Cinemark - Q42025</t>
  </si>
  <si>
    <t>AR00386903</t>
  </si>
  <si>
    <t>CINEMARK ARGENTINA SRL</t>
  </si>
  <si>
    <t>T3203120</t>
  </si>
  <si>
    <t>AR_Media Company_WARNER BROS. (SOUTH), ARGENTINA_T3203120 - Warner Argentina | La Novia - 25/01/2026</t>
  </si>
  <si>
    <t>AR00402667</t>
  </si>
  <si>
    <t>T3203811</t>
  </si>
  <si>
    <t>AR_Media Company_Mercado Libre Argentina_T3203811 - MLA | Verano | Takeover- 6/Enero, 4/Feb - 07/12/2025</t>
  </si>
  <si>
    <t>AR00397355</t>
  </si>
  <si>
    <t>T3207502</t>
  </si>
  <si>
    <t>AR_Media Company_WARNER BROS. (SOUTH), ARGENTINA_T3207502 - Warner Argentina | La Novia - 19/02/2026</t>
  </si>
  <si>
    <t>AR00407834</t>
  </si>
  <si>
    <t>T3209384</t>
  </si>
  <si>
    <t>AR_Media Company_Play Digital Argentina_X | MODO | Cencosud 2026</t>
  </si>
  <si>
    <t>AR00392411</t>
  </si>
  <si>
    <t>T3210360</t>
  </si>
  <si>
    <t>AR_Media Company_Red Bull Argentina Argentina_X - Arg - Red Bull - Summer - Q1 2026</t>
  </si>
  <si>
    <t>AR00393374</t>
  </si>
  <si>
    <t>Red Bull Argentina</t>
  </si>
  <si>
    <t>Manually insert Cogs,Manually insert Revenue</t>
  </si>
  <si>
    <t>T3217930</t>
  </si>
  <si>
    <t>AR_Media Company_Pedidosya SA Argentina_X | PedidosYa AR | Bundles FEB-MAR 26</t>
  </si>
  <si>
    <t>AR00395011</t>
  </si>
  <si>
    <t>Pedidos Ya S.A</t>
  </si>
  <si>
    <t>T3218190</t>
  </si>
  <si>
    <t>AR_Media Company_Banco Santander Rio Argentina_X | Santander | Verano 2026</t>
  </si>
  <si>
    <t>AR00395348</t>
  </si>
  <si>
    <t>Santander Argentina</t>
  </si>
  <si>
    <t>T3218548</t>
  </si>
  <si>
    <t>AR_Media Company_Telecom Argentina SA Argentina_AR00395703 | X | Personal | Flow - Lollapalooza - Mar 26</t>
  </si>
  <si>
    <t>AR00395703</t>
  </si>
  <si>
    <t>SOIAR-000017097</t>
  </si>
  <si>
    <t>Personal Argentina</t>
  </si>
  <si>
    <t>Do the Upsell OR Create New Opp</t>
  </si>
  <si>
    <t>T3219252</t>
  </si>
  <si>
    <t>AR_Media Company_YPF S.A. ARGENTINA_AR00396301-X-YPF-COMBUSTIBLES-VERANO-Dic/Ene 26</t>
  </si>
  <si>
    <t>AR00396301</t>
  </si>
  <si>
    <t>YPF - Argentina</t>
  </si>
  <si>
    <t>T3219531</t>
  </si>
  <si>
    <t>AR_Media Company_Mercado Libre Argentina_T3219531 - MLA | Campaña Verano - 28/12/2025</t>
  </si>
  <si>
    <t>AR00396982</t>
  </si>
  <si>
    <t>T3221498</t>
  </si>
  <si>
    <t>AR_Media Company_CERVECERIA Y MALTERIA QUILMES SAICA Y G ARGENTINA_AR00396561-X-ABI ARG-SED DE BRAHMA VERANO-Ene-25</t>
  </si>
  <si>
    <t>AR00396561</t>
  </si>
  <si>
    <t>Cervecería y Maltería Quilmes</t>
  </si>
  <si>
    <t>T3221499</t>
  </si>
  <si>
    <t>AR_Media Company_CERVECERIA Y MALTERIA QUILMES SAICA Y G ARGENTINA_AR00396558-X-ABI ARG-SED DE BRAHMA CARNAVAL-Ene-26</t>
  </si>
  <si>
    <t>AR00396558</t>
  </si>
  <si>
    <t>T3221580</t>
  </si>
  <si>
    <t>AR_Media Company_UIP Argentina_T3221580 - UIP Argentina | Hamnet - 01/01/2026</t>
  </si>
  <si>
    <t>AR00397386</t>
  </si>
  <si>
    <t>T3221584</t>
  </si>
  <si>
    <t>AR_Media Company_Play Digital Argentina_X | MODO | AO Performance</t>
  </si>
  <si>
    <t>AR00396946</t>
  </si>
  <si>
    <t>T3222030</t>
  </si>
  <si>
    <t>AR_Media Company_Hipódromo Argentino de Palermo S.A_AR00397255-X-Hipódromo de Palemro-Beturf-AON 26</t>
  </si>
  <si>
    <t>AR00397255</t>
  </si>
  <si>
    <t>T3222032</t>
  </si>
  <si>
    <t>AR_Media Company_Hipódromo Argentino de Palermo S.A_AR00397261-X-Hipódromo de Palermo-Betfun-AON 26</t>
  </si>
  <si>
    <t>AR00397261</t>
  </si>
  <si>
    <t>T3222033</t>
  </si>
  <si>
    <t>AR_Media Company_Hipódromo Argentino de Palermo S.A_AR00397257-X-Hipódromo de Palermo-Sala-AON 26</t>
  </si>
  <si>
    <t>AR00397257</t>
  </si>
  <si>
    <t>T3222060</t>
  </si>
  <si>
    <t>AR_Media Company_Play Digital Argentina_X | MODO | ChangoMás</t>
  </si>
  <si>
    <t>AR00367389</t>
  </si>
  <si>
    <t>T3222574</t>
  </si>
  <si>
    <t>AR_Media Company_Arcos Dorados Argentina Argentina_AR00397993 | X | MCD ARG | CF-LITTLE MC - Ene/Feb 2026</t>
  </si>
  <si>
    <t>AR00397993</t>
  </si>
  <si>
    <t>McDonald's Colombia</t>
  </si>
  <si>
    <t>T3222582</t>
  </si>
  <si>
    <t>AR_Media Company_BANCO SUPERVIELLE ARGENTINA_X | Banco Supervielle |  ENE 26</t>
  </si>
  <si>
    <t>AR00397734</t>
  </si>
  <si>
    <t>Banco Supervielle</t>
  </si>
  <si>
    <t>T3222819</t>
  </si>
  <si>
    <t>AR_Media Company_TARJETA NARANJA SA Argentina_AR00398214-X-ARG-Naranja X-Verano-Ene/Feb 26</t>
  </si>
  <si>
    <t>AR00398214</t>
  </si>
  <si>
    <t>Tarjeta Naranja</t>
  </si>
  <si>
    <t>T3223536</t>
  </si>
  <si>
    <t>AR_Media Company_Mercado Libre Argentina_T3223536 - MPA | Somos Francos | Takeovers- 6/Feb, 4/Mar</t>
  </si>
  <si>
    <t>AR00402682</t>
  </si>
  <si>
    <t>T3224678</t>
  </si>
  <si>
    <t>AR_Media Company_Assist Card Argentina Argentina_AR00398290 | X | Assist Card AR | 2026</t>
  </si>
  <si>
    <t>AR00398290</t>
  </si>
  <si>
    <t>Assist Card Argentina</t>
  </si>
  <si>
    <t>T3224761</t>
  </si>
  <si>
    <t>AR_Media Company_Telecom Argentina SA Argentina_AR00398495 | X | PERSONAL | Ecosistema parte 2 | Ene-Feb 2026</t>
  </si>
  <si>
    <t>AR00398495</t>
  </si>
  <si>
    <t>SOIAR-000016508</t>
  </si>
  <si>
    <t>T3225314</t>
  </si>
  <si>
    <t>AR_Media Company_BANCO DE LA PROVINCIA DE BUENOS AIRES Argentina_X | Bapro | ENE 26</t>
  </si>
  <si>
    <t>AR00399019</t>
  </si>
  <si>
    <t>Banco Provincia</t>
  </si>
  <si>
    <t>T3225345</t>
  </si>
  <si>
    <t>AR_Media Company_Mercado Libre Argentina_T3225345 - MLA | LPF | video - 19/01/2026</t>
  </si>
  <si>
    <t>AR00401761</t>
  </si>
  <si>
    <t>T3225691</t>
  </si>
  <si>
    <t>AR_Media Company_Mercado Libre Argentina_T3225691 - MPA | Somos Francos - 26/01/2026</t>
  </si>
  <si>
    <t>AR00403003</t>
  </si>
  <si>
    <t>T3227274</t>
  </si>
  <si>
    <t>AR_Media Company_Mercado Libre Argentina_T3227274 - MLA | Fecha Doble 2/2 - 15/01/2026</t>
  </si>
  <si>
    <t>AR00401768</t>
  </si>
  <si>
    <t>T3231502</t>
  </si>
  <si>
    <t>AR_Media Company_FAST FOOD SUDAMERICANA ARGENTINA_X | Burger King - Cosquin Rock '26</t>
  </si>
  <si>
    <t>AR00400121</t>
  </si>
  <si>
    <t>Burger King Argentina</t>
  </si>
  <si>
    <t>T3231647</t>
  </si>
  <si>
    <t>AR_Media Company_Play Digital Argentina_AR00400737 X | MODO | Promo COTO</t>
  </si>
  <si>
    <t>AR00400737</t>
  </si>
  <si>
    <t>T3231673</t>
  </si>
  <si>
    <t>AR_Media Company_Bayer Argentina_X - Arg - FieldView - Año 2026</t>
  </si>
  <si>
    <t>AR00400821</t>
  </si>
  <si>
    <t>Monsanto Argentina</t>
  </si>
  <si>
    <t>T3233788</t>
  </si>
  <si>
    <t>AR_Media Company_Honda Motor de Argentina_X | Arg | Honda | Q1 2026</t>
  </si>
  <si>
    <t>AR00401391</t>
  </si>
  <si>
    <t>Honda Motor de Argentina S.A</t>
  </si>
  <si>
    <t>T3235652</t>
  </si>
  <si>
    <t>AR_Media Company_YPF S.A. ARGENTINA_AR00401632-X-YPF-COMBUSTIBLES-BENEFICIO BNA+MODO-Ene 26</t>
  </si>
  <si>
    <t>AR00401632</t>
  </si>
  <si>
    <t>T3235657</t>
  </si>
  <si>
    <t>AR_Media Company_Hipódromo Argentino de Palermo S.A_AR00402568-X-Betfun-Takeover-Feb 26-CF</t>
  </si>
  <si>
    <t>AR00402568</t>
  </si>
  <si>
    <t>T3237872</t>
  </si>
  <si>
    <t>AR_Media Company_Bodog Malta_AR00402659-X ARG-Bodog Brasil-Q1/Q2-26</t>
  </si>
  <si>
    <t>AR00402659</t>
  </si>
  <si>
    <t>Connaught International Limited</t>
  </si>
  <si>
    <t>T3237874</t>
  </si>
  <si>
    <t>AR_Media Company_Bodog Malta_AR00402658-X ARG-Bodog México-Q1/Q2-26</t>
  </si>
  <si>
    <t>AR00402658</t>
  </si>
  <si>
    <t>T3237879</t>
  </si>
  <si>
    <t>AR_Media Company_CIA INDUSTRIAL CERVECERA S A_AR00402663-CCU-Schneider Remix Limón-Feb 26</t>
  </si>
  <si>
    <t>AR00402663</t>
  </si>
  <si>
    <t>CCU Argentina</t>
  </si>
  <si>
    <t>T3238173</t>
  </si>
  <si>
    <t>AR_Media Company_Telecom Argentina SA Argentina_AR00403015 | X | FLOW | Contenidos - LLQLL - Reserva - Feb 26</t>
  </si>
  <si>
    <t>AR00403015</t>
  </si>
  <si>
    <t>SOIAR-000017096</t>
  </si>
  <si>
    <t>T3238363</t>
  </si>
  <si>
    <t>AR_Media Company_Pedidosya SA Argentina_X | PedidosYa AR | Bundle 7MAR Correccion</t>
  </si>
  <si>
    <t>AR00402266</t>
  </si>
  <si>
    <t>T3238394</t>
  </si>
  <si>
    <t>AR_Media Company_Banco Galicia ARGENTINA_X | Arg | Galicia | Febrero 2026</t>
  </si>
  <si>
    <t>AR00403301</t>
  </si>
  <si>
    <t>Banco Galicia</t>
  </si>
  <si>
    <t>T3238669</t>
  </si>
  <si>
    <t>AR_Media Company_BINBAIRES S.A.- DISSON S.A. - INTRALOT INTERNATIONAL LIMITED Argentina_X | BetWarrior | Bundle 20FEB</t>
  </si>
  <si>
    <t>AR00398287</t>
  </si>
  <si>
    <t>Binbaires SA Ondiss SA Intralot International Limited - UT</t>
  </si>
  <si>
    <t>T3238704</t>
  </si>
  <si>
    <t>AR_Media Company_BANCO SUPERVIELLE ARGENTINA_X - Arg - Supervielle - Performance - COE | OB Individuos</t>
  </si>
  <si>
    <t>AR00403609</t>
  </si>
  <si>
    <t>T3238939</t>
  </si>
  <si>
    <t>AR_Media Company_CIA INDUSTRIAL CERVECERA S A_AR00403821-CCU-Heineken CREDENCIALES-Feb 26</t>
  </si>
  <si>
    <t>AR00403821</t>
  </si>
  <si>
    <t>T3242525</t>
  </si>
  <si>
    <t>AR_Media Company_Telecom Argentina SA Argentina_AR00404195 | X | FLOW | Contenidos - LLQLL - Feb/Mar 26</t>
  </si>
  <si>
    <t>AR00404195</t>
  </si>
  <si>
    <t>SOIAR-000017095</t>
  </si>
  <si>
    <t>T3242573</t>
  </si>
  <si>
    <t>AR_Media Company_AGENCIA DE PUBLICIDAD DEL ESTADO S. A. U. (APE S.A.U.) ARGENTINA_X - Arg - Banco Nación - FEB 26</t>
  </si>
  <si>
    <t>AR00404274</t>
  </si>
  <si>
    <t>AGENCIA DE PUBLICIDAD DEL ESTADO S. A. U. (APE S.A.U.)</t>
  </si>
  <si>
    <t>T3242615</t>
  </si>
  <si>
    <t>AR_Media Company_GOBIERNO DE LA CIUDAD DE BUENOS AIRES ARGENTINA_X - Arg - GCBA - Feb26</t>
  </si>
  <si>
    <t>AR00404296</t>
  </si>
  <si>
    <t>Grupo GCBA</t>
  </si>
  <si>
    <t>T3242792</t>
  </si>
  <si>
    <t>AR_Media Company_UIP Argentina_T3242792 - UIP Argentina | Scream 7 - 03/02/2026</t>
  </si>
  <si>
    <t>AR00404904</t>
  </si>
  <si>
    <t>T3242840</t>
  </si>
  <si>
    <t>AR_Media Company_SAMSUNG ELECTRONICS Argentina_AR00404575-X|Samsung ARG-OWN|IM|BTS|-Feb 26-Campaña 1</t>
  </si>
  <si>
    <t>AR00404575</t>
  </si>
  <si>
    <t>Samsung Argentina</t>
  </si>
  <si>
    <t>T3242842</t>
  </si>
  <si>
    <t>AR_Media Company_SAMSUNG ELECTRONICS Argentina_AR00404576-X|Samsung ARG-OWN|IM|BTS|-Feb 26-Campaña 2</t>
  </si>
  <si>
    <t>AR00404576</t>
  </si>
  <si>
    <t>T3245857</t>
  </si>
  <si>
    <t>AR_Media Company_Play Digital Argentina_AR00405349 X | MODO | Transporte VQR</t>
  </si>
  <si>
    <t>AR00405349</t>
  </si>
  <si>
    <t>T3246174</t>
  </si>
  <si>
    <t>AR_Media Company_YPF S.A. ARGENTINA_AR00405691-X-YPF-HAMBURGUESA+GUAPALETAS-Feb 26</t>
  </si>
  <si>
    <t>AR00405691</t>
  </si>
  <si>
    <t>T3246185</t>
  </si>
  <si>
    <t>AR_Media Company_BANCO SUPERVIELLE ARGENTINA_X - Arg - Supervielle - Timeline TO Q12026</t>
  </si>
  <si>
    <t>AR00405715</t>
  </si>
  <si>
    <t>T3246210</t>
  </si>
  <si>
    <t>AR_Media Company_Arcos Dorados Argentina Argentina_AR00405725 | X | MCD ARG | Beef - CLUBHOUSE - Feb-Abr 2026</t>
  </si>
  <si>
    <t>AR00405725</t>
  </si>
  <si>
    <t>T3248749</t>
  </si>
  <si>
    <t>AR_Media Company_Telecom Argentina SA Argentina_AR00405872 | X | FLOW | Contenidos Musicales - ADN Nacional - Feb 26</t>
  </si>
  <si>
    <t>AR00405872</t>
  </si>
  <si>
    <t>SOIAR-000017094</t>
  </si>
  <si>
    <t>T3248784</t>
  </si>
  <si>
    <t>AR_Media Company_RENAULT ARGENTINA ARGENTINA_X | Arg | Renault | FEB 26</t>
  </si>
  <si>
    <t>AR00405925</t>
  </si>
  <si>
    <t>Nissan Colombia</t>
  </si>
  <si>
    <t>T3248789</t>
  </si>
  <si>
    <t>AR_Media Company_YPF S.A. ARGENTINA_AR00405920-X-YPF-Boxes-Feb 26</t>
  </si>
  <si>
    <t>AR00405920</t>
  </si>
  <si>
    <t>T3249000</t>
  </si>
  <si>
    <t>AR_Media Company_Fratelli Branca Argeninta_X | Arg | Fernet Branca | Febrero 2026</t>
  </si>
  <si>
    <t>AR00405931</t>
  </si>
  <si>
    <t>Fratelli Branca Destilerías S.A.</t>
  </si>
  <si>
    <t>T3249016</t>
  </si>
  <si>
    <t>AR_Media Company_Unilever de Argentina SA_AR00406161-Unilever-CIF TRIVIPI-Feb 25</t>
  </si>
  <si>
    <t>AR00406161</t>
  </si>
  <si>
    <t>Unilever - Argentina</t>
  </si>
  <si>
    <t>T3249044</t>
  </si>
  <si>
    <t>AR_Media Company_Mercado Libre Argentina_T3249044 - MLA | DD3 | Video - 17/02/2026</t>
  </si>
  <si>
    <t>AR00407561</t>
  </si>
  <si>
    <t>T3249307</t>
  </si>
  <si>
    <t>AR_Media Company_YPF S.A. ARGENTINA_AR00406357-X-YPF-FULL-COMBO FULL DOBLE CLASICA-Feb 26</t>
  </si>
  <si>
    <t>AR00406357</t>
  </si>
  <si>
    <t>T3249527</t>
  </si>
  <si>
    <t>AR_Media Company_Arcos Dorados Argentina Argentina_AR00406370 | X | MCD ARG | Beef - MCFLURRY M&amp;MS  - Feb-Mar 2026</t>
  </si>
  <si>
    <t>AR00406370</t>
  </si>
  <si>
    <t>T3251978</t>
  </si>
  <si>
    <t>T3252256</t>
  </si>
  <si>
    <t>AR_Media Company_YPF S.A. ARGENTINA_AR00407753-X-YPF-FULL PISTACHO-Feb 26</t>
  </si>
  <si>
    <t>AR00407753</t>
  </si>
  <si>
    <t>T3252500</t>
  </si>
  <si>
    <t>AR_Media Company_UIP Argentina_T3252500 - UIP Argentina | Reminder of Him - 23/02/2026</t>
  </si>
  <si>
    <t>AR00408247</t>
  </si>
  <si>
    <t>T3252686</t>
  </si>
  <si>
    <t>AR_Media Company_CEPAS ARGENTINAS ARGENTINA_X | Cepas | Dr Lemon - Lolla</t>
  </si>
  <si>
    <t>AR00408441</t>
  </si>
  <si>
    <t>Destilados Argentinos SA</t>
  </si>
  <si>
    <t>Commision</t>
  </si>
  <si>
    <t>SO Status</t>
  </si>
  <si>
    <t>PO Status</t>
  </si>
  <si>
    <t>Revenue (Net Budget Delivered (Billing Currency))</t>
  </si>
  <si>
    <t>Revenue (Net Budget Delivered (Billing Currency)) w/o deals</t>
  </si>
  <si>
    <t>Total Net Budget (Delivered)</t>
  </si>
  <si>
    <t>Deal Name</t>
  </si>
  <si>
    <t>Expected Discount %</t>
  </si>
  <si>
    <t>Real Discount %</t>
  </si>
  <si>
    <t>Purchase Country</t>
  </si>
  <si>
    <t>Rev Dif (SF-Bil)</t>
  </si>
  <si>
    <t>Cost Dif (SF-Bil)</t>
  </si>
  <si>
    <t>Invoice Number</t>
  </si>
  <si>
    <t>Comm Percent</t>
  </si>
  <si>
    <t>Comm Purch Curr</t>
  </si>
  <si>
    <t>Comm USD Curr</t>
  </si>
  <si>
    <t>Net Interco</t>
  </si>
  <si>
    <t>Direct Tax Percent</t>
  </si>
  <si>
    <t>Direct Tax Purch Curr</t>
  </si>
  <si>
    <t>Direct Tax USD Curr</t>
  </si>
  <si>
    <t>With Tax Percent</t>
  </si>
  <si>
    <t>With Tax Purch Curr</t>
  </si>
  <si>
    <t>With Tax USD Curr</t>
  </si>
  <si>
    <t>Fee</t>
  </si>
  <si>
    <t>Fee Purch Curr</t>
  </si>
  <si>
    <t>Fee USD Curr</t>
  </si>
  <si>
    <t>Margin SF Rev vs. SF Costs</t>
  </si>
  <si>
    <t>Division_bil</t>
  </si>
  <si>
    <t>Quota_Country_bil</t>
  </si>
  <si>
    <t>Purch_Country_bil</t>
  </si>
  <si>
    <t>invoice_id</t>
  </si>
  <si>
    <t>SO Confirmed</t>
  </si>
  <si>
    <t>Aleph USA</t>
  </si>
  <si>
    <t>Aleph Peru</t>
  </si>
  <si>
    <t>United States</t>
  </si>
  <si>
    <t>Aleph Argentina</t>
  </si>
  <si>
    <t>PO Confirmed</t>
  </si>
  <si>
    <t>T2987965</t>
  </si>
  <si>
    <t>Aleph Mexico</t>
  </si>
  <si>
    <t>T3081536</t>
  </si>
  <si>
    <t>T3120574</t>
  </si>
  <si>
    <t>ORION 25.0 - 2025 REGIONAL</t>
  </si>
  <si>
    <t>T3075367</t>
  </si>
  <si>
    <t>T3121228</t>
  </si>
  <si>
    <t>Minutes until refresh:</t>
  </si>
  <si>
    <t>Comment columns get hidden during the refresh.</t>
  </si>
  <si>
    <t>Billing Country</t>
  </si>
  <si>
    <t>Commision percentage</t>
  </si>
  <si>
    <t>Purch Country (SF-Bil)</t>
  </si>
  <si>
    <t>Bill To</t>
  </si>
  <si>
    <t>Account Spend Net</t>
  </si>
  <si>
    <t>Purch Spend Net</t>
  </si>
  <si>
    <t>Account Curr (inv-SF)</t>
  </si>
  <si>
    <t>Rev Dif (Inv - SF)</t>
  </si>
  <si>
    <t>Rev Dif (Inv - SF) USD</t>
  </si>
  <si>
    <t>Purch Curr (SF-Inv)</t>
  </si>
  <si>
    <t>Cost Dif (SF-Inv)</t>
  </si>
  <si>
    <t>Cost Dif (SF-Inv) USD</t>
  </si>
  <si>
    <t>Dif (SF-Stat) USD</t>
  </si>
  <si>
    <t>Margin Bil Rev vs. Bil Costs</t>
  </si>
  <si>
    <t>Margin SF - Margin Bil</t>
  </si>
  <si>
    <t>Tax - Tax Bil</t>
  </si>
  <si>
    <t>Tax - Tax Bil in USD</t>
  </si>
  <si>
    <t>(Cost Dif (SF-Bil)  USD) - (Tax - Tax Bil in USD)</t>
  </si>
  <si>
    <t>Check (Comm Percent - Bil Commision percentage)</t>
  </si>
  <si>
    <t>Billing_Country_Country_Name</t>
  </si>
  <si>
    <t>10573708</t>
  </si>
  <si>
    <t>10573709</t>
  </si>
  <si>
    <t>10573710</t>
  </si>
  <si>
    <t>T2823336</t>
  </si>
  <si>
    <t>10573711</t>
  </si>
  <si>
    <t>10573707</t>
  </si>
  <si>
    <t>10573619</t>
  </si>
  <si>
    <t>10573629</t>
  </si>
  <si>
    <t>10573656</t>
  </si>
  <si>
    <t>10573738</t>
  </si>
  <si>
    <t>10573701</t>
  </si>
  <si>
    <t>10573714</t>
  </si>
  <si>
    <t>10573720</t>
  </si>
  <si>
    <t>10573735</t>
  </si>
  <si>
    <t>10573724</t>
  </si>
  <si>
    <t>T3166123</t>
  </si>
  <si>
    <t>10573725</t>
  </si>
  <si>
    <t>10573652</t>
  </si>
  <si>
    <t>10573662</t>
  </si>
  <si>
    <t>10573626</t>
  </si>
  <si>
    <t>10573677</t>
  </si>
  <si>
    <t>T3204564</t>
  </si>
  <si>
    <t>10573678</t>
  </si>
  <si>
    <t>10573653</t>
  </si>
  <si>
    <t>10573679</t>
  </si>
  <si>
    <t>10573627</t>
  </si>
  <si>
    <t>10573717</t>
  </si>
  <si>
    <t>10573667</t>
  </si>
  <si>
    <t>10573736</t>
  </si>
  <si>
    <t>10573702</t>
  </si>
  <si>
    <t>10573692</t>
  </si>
  <si>
    <t>10573693</t>
  </si>
  <si>
    <t>10573699</t>
  </si>
  <si>
    <t>10573703</t>
  </si>
  <si>
    <t>10573647</t>
  </si>
  <si>
    <t>10573737</t>
  </si>
  <si>
    <t>10573704</t>
  </si>
  <si>
    <t>10573628</t>
  </si>
  <si>
    <t>10573648</t>
  </si>
  <si>
    <t>10573620</t>
  </si>
  <si>
    <t>10573649</t>
  </si>
  <si>
    <t>10573672</t>
  </si>
  <si>
    <t>10573666</t>
  </si>
  <si>
    <t>10573630</t>
  </si>
  <si>
    <t>10573696</t>
  </si>
  <si>
    <t>10573632</t>
  </si>
  <si>
    <t>10573671</t>
  </si>
  <si>
    <t>10573639</t>
  </si>
  <si>
    <t>10573641</t>
  </si>
  <si>
    <t>10573633</t>
  </si>
  <si>
    <t>10573655</t>
  </si>
  <si>
    <t>10573642</t>
  </si>
  <si>
    <t>10573643</t>
  </si>
  <si>
    <t>10573622</t>
  </si>
  <si>
    <t>Malta</t>
  </si>
  <si>
    <t>10572898</t>
  </si>
  <si>
    <t>10572880</t>
  </si>
  <si>
    <t>10573631</t>
  </si>
  <si>
    <t>10573673</t>
  </si>
  <si>
    <t>10573621</t>
  </si>
  <si>
    <t>10573624</t>
  </si>
  <si>
    <t>10573657</t>
  </si>
  <si>
    <t>10573688</t>
  </si>
  <si>
    <t>10573623</t>
  </si>
  <si>
    <t>10573729</t>
  </si>
  <si>
    <t>10573705</t>
  </si>
  <si>
    <t>10573712</t>
  </si>
  <si>
    <t>10573728</t>
  </si>
  <si>
    <t>10573645</t>
  </si>
  <si>
    <t>10573646</t>
  </si>
  <si>
    <t>10573713</t>
  </si>
  <si>
    <t>10573664</t>
  </si>
  <si>
    <t>10573683</t>
  </si>
  <si>
    <t>10573681</t>
  </si>
  <si>
    <t>10573651</t>
  </si>
  <si>
    <t>10573722</t>
  </si>
  <si>
    <t>10573682</t>
  </si>
  <si>
    <t>10573719</t>
  </si>
  <si>
    <t>10573680</t>
  </si>
  <si>
    <t>10573659</t>
  </si>
  <si>
    <t>10573684</t>
  </si>
  <si>
    <t>10573658</t>
  </si>
  <si>
    <t>10573697</t>
  </si>
  <si>
    <t>10573674</t>
  </si>
  <si>
    <t>10573675</t>
  </si>
  <si>
    <t>10573698</t>
  </si>
  <si>
    <t>OK. Diff. Bill. / Adv. Country</t>
  </si>
  <si>
    <t>All Lines</t>
  </si>
  <si>
    <t>Supply Deal</t>
  </si>
  <si>
    <t>Discount</t>
  </si>
  <si>
    <t>Value Add</t>
  </si>
  <si>
    <t>Adjustment</t>
  </si>
  <si>
    <t>Standard</t>
  </si>
  <si>
    <t>Draft</t>
  </si>
  <si>
    <t>Active</t>
  </si>
  <si>
    <t>Under Review</t>
  </si>
  <si>
    <t>Confirmed</t>
  </si>
  <si>
    <t>Paused</t>
  </si>
  <si>
    <t># &gt; 1 Standard Lines</t>
  </si>
  <si>
    <t>Closing_Month__c</t>
  </si>
  <si>
    <t>DT: Add to BQ in step2</t>
  </si>
  <si>
    <t>C1-Purch Country</t>
  </si>
  <si>
    <t>C2-Curr</t>
  </si>
  <si>
    <t>C3-Diff</t>
  </si>
  <si>
    <t>C4-Curr</t>
  </si>
  <si>
    <t>C6-Diff</t>
  </si>
  <si>
    <t>Finance Date</t>
  </si>
  <si>
    <t>Salesforce Project Number</t>
  </si>
  <si>
    <t>Line ID</t>
  </si>
  <si>
    <t>Opportunity ID</t>
  </si>
  <si>
    <t>Line Product Number</t>
  </si>
  <si>
    <t>Type of Line</t>
  </si>
  <si>
    <t>Status</t>
  </si>
  <si>
    <t>Order Line Status</t>
  </si>
  <si>
    <t>Company Name (Latin Name)</t>
  </si>
  <si>
    <t>Company To Invoice Legal Name</t>
  </si>
  <si>
    <t>Vendor: Company Name (Latin Name)</t>
  </si>
  <si>
    <t>Product Business Unit</t>
  </si>
  <si>
    <t>Purchase Entity</t>
  </si>
  <si>
    <t>Product Name</t>
  </si>
  <si>
    <t>Sales UOM</t>
  </si>
  <si>
    <t>Purchase UOM</t>
  </si>
  <si>
    <t>Billing Currency</t>
  </si>
  <si>
    <t>Purchase Currency</t>
  </si>
  <si>
    <t>Qualified Purchase Quantity</t>
  </si>
  <si>
    <t>Gross Discounted</t>
  </si>
  <si>
    <t>Gross Sales Price</t>
  </si>
  <si>
    <t>Net Sales Price</t>
  </si>
  <si>
    <t>Gross Purchase Price</t>
  </si>
  <si>
    <t>Net Purchase Price</t>
  </si>
  <si>
    <t>Client Discount</t>
  </si>
  <si>
    <t>Agency Commission</t>
  </si>
  <si>
    <t>Delivered Sales Quantity</t>
  </si>
  <si>
    <t>Delivered Purchase Quantity</t>
  </si>
  <si>
    <t>Net Budget Delivered (Billing Currency)</t>
  </si>
  <si>
    <t>Net Cost Delivered (Buying Currency)</t>
  </si>
  <si>
    <t>Net Cost Delivered w/o Tax (Buying Curr)</t>
  </si>
  <si>
    <t>Total Net Budget Delivered</t>
  </si>
  <si>
    <t>Total Net Budget Delivered in USD</t>
  </si>
  <si>
    <t>Total Net Cost Delivered in USD</t>
  </si>
  <si>
    <t>Margin Delivered (Billing Currency)</t>
  </si>
  <si>
    <t>Margin Amount (Delivered)</t>
  </si>
  <si>
    <t>Margin Amount Delivered in USD</t>
  </si>
  <si>
    <t>Margin % (Delivered)</t>
  </si>
  <si>
    <t>ERP Sales Order Item ID</t>
  </si>
  <si>
    <t>ERP Purchase Order Item ID</t>
  </si>
  <si>
    <t>Invoice Description</t>
  </si>
  <si>
    <t>Line Description</t>
  </si>
  <si>
    <t>Billing Exchange Rate</t>
  </si>
  <si>
    <t>Project Name</t>
  </si>
  <si>
    <t>Company to invoice: Company Name (Latin Name)</t>
  </si>
  <si>
    <t>Company To Invoice Tax Id</t>
  </si>
  <si>
    <t>Sales Manager</t>
  </si>
  <si>
    <t>Account Manager</t>
  </si>
  <si>
    <t>Campaign Manager</t>
  </si>
  <si>
    <t>Ratecard: Vendor Contract: Contract Name</t>
  </si>
  <si>
    <t>Vendor Contract</t>
  </si>
  <si>
    <t>Managing Entity</t>
  </si>
  <si>
    <t>Start Date</t>
  </si>
  <si>
    <t>End Date</t>
  </si>
  <si>
    <t>Company to invoice: Payment condition</t>
  </si>
  <si>
    <t>Company to invoice status (Opp)</t>
  </si>
  <si>
    <t>URL</t>
  </si>
  <si>
    <t>Httpool Line ID</t>
  </si>
  <si>
    <t>Partner Commission</t>
  </si>
  <si>
    <t>Partner Commision Amount</t>
  </si>
  <si>
    <t>Partner Commision Amount in USD</t>
  </si>
  <si>
    <t>Partner Commission Amount Purchase</t>
  </si>
  <si>
    <t>Gross Sales Budget</t>
  </si>
  <si>
    <t>Net Sales Budget</t>
  </si>
  <si>
    <t>Net Purchase Budget</t>
  </si>
  <si>
    <t>Net Cost Delivered (Billing Currency)</t>
  </si>
  <si>
    <t>Net Sales Price (Billing Currency)</t>
  </si>
  <si>
    <t>Net Sales Price in USD</t>
  </si>
  <si>
    <t>Gross Sales Price in USD</t>
  </si>
  <si>
    <t>Late Line</t>
  </si>
  <si>
    <t>Late Delivery</t>
  </si>
  <si>
    <t>Sales Channel</t>
  </si>
  <si>
    <t>Reporting Entity: Entity Name</t>
  </si>
  <si>
    <t>Client PO ID</t>
  </si>
  <si>
    <t>Net Budget Delivered (in USD)</t>
  </si>
  <si>
    <t>Net Cost Delivered (in USD)</t>
  </si>
  <si>
    <t>Billing Country (text only)</t>
  </si>
  <si>
    <t>Agency: Company Name (Know as + Country)</t>
  </si>
  <si>
    <t>Company to invoice: Aleph Account ID</t>
  </si>
  <si>
    <t>Company to invoice: Account No. Dynamics</t>
  </si>
  <si>
    <t>Company Name (Know as + Country): Tax ID</t>
  </si>
  <si>
    <t>Opp Branding Performance</t>
  </si>
  <si>
    <t>Last Updated Time</t>
  </si>
  <si>
    <t>Last Modified Time (UTC)</t>
  </si>
  <si>
    <t>Sales Delivery API Import</t>
  </si>
  <si>
    <t>Purchase Delivery API Import</t>
  </si>
  <si>
    <t>IO Type</t>
  </si>
  <si>
    <t>Fee Percentage</t>
  </si>
  <si>
    <t>Trade Deal</t>
  </si>
  <si>
    <t>Deal Status</t>
  </si>
  <si>
    <t>Plan Sales Qty Line- Group</t>
  </si>
  <si>
    <t>Qualified Sales Qty Line- Group</t>
  </si>
  <si>
    <t>Remaining budget/sales Qty Line- Group</t>
  </si>
  <si>
    <t>Amount of Coupon</t>
  </si>
  <si>
    <t>Purch Country OK? (SF-Del)</t>
  </si>
  <si>
    <t>Purch Curr OK? (SF-Del)</t>
  </si>
  <si>
    <t>Account ID platform</t>
  </si>
  <si>
    <t>Purch Curr OK? (SF-Bil)</t>
  </si>
  <si>
    <t>Dif (SF-Bil)</t>
  </si>
  <si>
    <t>Purch Curr OK? (SF-Inv)</t>
  </si>
  <si>
    <t>Account Spend</t>
  </si>
  <si>
    <t>Purch Curr OK? (SF-Stat)</t>
  </si>
  <si>
    <t>Dif (SF-Sta)</t>
  </si>
  <si>
    <t>Line_ID</t>
  </si>
  <si>
    <t>Vendor_Company_Name_Latin_Name</t>
  </si>
  <si>
    <t>Contract_Reporting_Country</t>
  </si>
  <si>
    <t>Billing_Entity_sf</t>
  </si>
  <si>
    <t>Product_Product_Name</t>
  </si>
  <si>
    <t>Purchase_Currency</t>
  </si>
  <si>
    <t>vendor_contract</t>
  </si>
  <si>
    <t>Purchase_Country_del</t>
  </si>
  <si>
    <t>Purch_Curr_bil</t>
  </si>
  <si>
    <t>Account_ID_bil_source</t>
  </si>
  <si>
    <t>Activated</t>
  </si>
  <si>
    <t>Promoted Tweet/Account</t>
  </si>
  <si>
    <t>Auction</t>
  </si>
  <si>
    <t>30D</t>
  </si>
  <si>
    <t>Traditional (Local Team)</t>
  </si>
  <si>
    <t>Brand Objectives</t>
  </si>
  <si>
    <t>90D</t>
  </si>
  <si>
    <t>Classic IO</t>
  </si>
  <si>
    <t>Client Performance Driven (ROI)</t>
  </si>
  <si>
    <t>15D</t>
  </si>
  <si>
    <t>0D</t>
  </si>
  <si>
    <t>Talia Anael Alzieu</t>
  </si>
  <si>
    <t>Promoted Tweet/Account | Twitter Rep | USD - U.S. Dollar</t>
  </si>
  <si>
    <t>SMB High Value</t>
  </si>
  <si>
    <t>00267049</t>
  </si>
  <si>
    <t>802Um00000EQBe5IAH</t>
  </si>
  <si>
    <t>006Uj00000HAf6ZIAT</t>
  </si>
  <si>
    <t>0004966541</t>
  </si>
  <si>
    <t>!X NESSY LLC</t>
  </si>
  <si>
    <t>!Blocked Nessy LLC USA</t>
  </si>
  <si>
    <t>AR00310258 TW - Lemon - US 2025</t>
  </si>
  <si>
    <t>872072282</t>
  </si>
  <si>
    <t>Jorge Osuna</t>
  </si>
  <si>
    <t>Promoted Tweet/Account | Twitter Rep | ARS</t>
  </si>
  <si>
    <t>Twitter Rep LATAM + WE</t>
  </si>
  <si>
    <t>https://alephholding.lightning.force.com/lightning/r/OrderItem/802Um00000EQBe5IAH/view</t>
  </si>
  <si>
    <t>AR00310258_TWR_001_015</t>
  </si>
  <si>
    <t>Orden IMS</t>
  </si>
  <si>
    <t>6OXMON0FEY</t>
  </si>
  <si>
    <t>Digital Native / Performance</t>
  </si>
  <si>
    <t>00197237</t>
  </si>
  <si>
    <t>802Um00000DJtMHIA1</t>
  </si>
  <si>
    <t>006Uj0000064EgsIAE</t>
  </si>
  <si>
    <t>0004903090</t>
  </si>
  <si>
    <t>Wobra S.A.S.</t>
  </si>
  <si>
    <t>SMB-X ARG - Banco de Cordoba - Ene - abril 24 UPSELL 5</t>
  </si>
  <si>
    <t>33716040149</t>
  </si>
  <si>
    <t>Bernabela Sol Costabile</t>
  </si>
  <si>
    <t>https://alephholding.lightning.force.com/lightning/r/OrderItem/802Um00000DJtMHIA1/view</t>
  </si>
  <si>
    <t>AR00223663_TWR_006_025</t>
  </si>
  <si>
    <t>interna</t>
  </si>
  <si>
    <t>IHV8XXR15Y</t>
  </si>
  <si>
    <t>00203404</t>
  </si>
  <si>
    <t>802Um00000DkfiDIAR</t>
  </si>
  <si>
    <t>006Uj00000NP21OIAT</t>
  </si>
  <si>
    <t>0004932363</t>
  </si>
  <si>
    <t>Almundo.com SRL</t>
  </si>
  <si>
    <t>X - almundo- 2025</t>
  </si>
  <si>
    <t>30659514628</t>
  </si>
  <si>
    <t>Twitter Rep | Promoted Tweet/Account | Argentina | ARS</t>
  </si>
  <si>
    <t>https://alephholding.lightning.force.com/lightning/r/OrderItem/802Um00000DkfiDIAR/view</t>
  </si>
  <si>
    <t>AR00226309_TWR_004_010</t>
  </si>
  <si>
    <t>OC interna</t>
  </si>
  <si>
    <t>7K8U7VN4GL</t>
  </si>
  <si>
    <t>45D</t>
  </si>
  <si>
    <t>IPG Media Brands SA (Arg)</t>
  </si>
  <si>
    <t>30693739698</t>
  </si>
  <si>
    <t>Juan Vilarino</t>
  </si>
  <si>
    <t>Twitter Billing | Promoted Tweet/Account | Twitter Billing | USD</t>
  </si>
  <si>
    <t>Twitter Billing LATAM + WE</t>
  </si>
  <si>
    <t>75D</t>
  </si>
  <si>
    <t>2ETAFBXN2W</t>
  </si>
  <si>
    <t>00217234</t>
  </si>
  <si>
    <t>802Um00000DilmvIAB</t>
  </si>
  <si>
    <t>006Uj000007WSuoIAG</t>
  </si>
  <si>
    <t>0004930298</t>
  </si>
  <si>
    <t>Bullmetrix SRL</t>
  </si>
  <si>
    <t>Bullmetrix SRL Argentina</t>
  </si>
  <si>
    <t>SMB-X ARG - Flybondi (may - jun 24)</t>
  </si>
  <si>
    <t>30715554530</t>
  </si>
  <si>
    <t>https://alephholding.lightning.force.com/lightning/r/OrderItem/802Um00000DilmvIAB/view</t>
  </si>
  <si>
    <t>AR00249217_TWR_001_022</t>
  </si>
  <si>
    <t>7BGTIOZVNX</t>
  </si>
  <si>
    <t>00229327</t>
  </si>
  <si>
    <t>802Uj00000PfsUIIAZ</t>
  </si>
  <si>
    <t>006Uj00000A65yYIAR</t>
  </si>
  <si>
    <t>0004886211</t>
  </si>
  <si>
    <t>FINTECH SOCIEDAD ANONIMA</t>
  </si>
  <si>
    <t>FINTECH Argentina</t>
  </si>
  <si>
    <t>TW - Satoshi Tango - Q3</t>
  </si>
  <si>
    <t>30716342790</t>
  </si>
  <si>
    <t>https://alephholding.lightning.force.com/lightning/r/OrderItem/802Uj00000PfsUIIAZ/view</t>
  </si>
  <si>
    <t>AR00260247_TWR_001_020</t>
  </si>
  <si>
    <t>OC-IMS</t>
  </si>
  <si>
    <t>2M0P7FJDUV</t>
  </si>
  <si>
    <t>Macarena Ramos Taky</t>
  </si>
  <si>
    <t>00241768</t>
  </si>
  <si>
    <t>802Um00000DqJyLIAV</t>
  </si>
  <si>
    <t>006Uj00000Cw5yHIAR</t>
  </si>
  <si>
    <t>0004948513</t>
  </si>
  <si>
    <t>IPROSPECT MEDIA SA</t>
  </si>
  <si>
    <t>SMB-X ARG - Liliana - Octubre 24</t>
  </si>
  <si>
    <t>30707117016</t>
  </si>
  <si>
    <t>https://alephholding.lightning.force.com/lightning/r/OrderItem/802Um00000DqJyLIAV/view</t>
  </si>
  <si>
    <t>AR00280197_TWR_001_017</t>
  </si>
  <si>
    <t>00020528 / 0</t>
  </si>
  <si>
    <t>WCZ7MBJD6T</t>
  </si>
  <si>
    <t>OC interna (no id)</t>
  </si>
  <si>
    <t>00258728</t>
  </si>
  <si>
    <t>802Um00000DkfQTIAZ</t>
  </si>
  <si>
    <t>006Uj00000ZmtZ7IAJ</t>
  </si>
  <si>
    <t>0004932338</t>
  </si>
  <si>
    <t>COCOS CAPITAL SA</t>
  </si>
  <si>
    <t>Cocos Capital Argentina</t>
  </si>
  <si>
    <t>AR00303899 | X | Cocos Cap | ENE 26</t>
  </si>
  <si>
    <t>30708424478</t>
  </si>
  <si>
    <t>https://alephholding.lightning.force.com/lightning/r/OrderItem/802Um00000DkfQTIAZ/view</t>
  </si>
  <si>
    <t>AR00397760_TWR_001_002</t>
  </si>
  <si>
    <t>oc interna</t>
  </si>
  <si>
    <t>HORCTEF93L</t>
  </si>
  <si>
    <t>0004025946</t>
  </si>
  <si>
    <t>POIME-000020902</t>
  </si>
  <si>
    <t>30543659734</t>
  </si>
  <si>
    <t>00262346</t>
  </si>
  <si>
    <t>802Um00000DpkpKIAR</t>
  </si>
  <si>
    <t>006Uj00000GvOvdIAF</t>
  </si>
  <si>
    <t>0004948190</t>
  </si>
  <si>
    <t>BALANZ CAPITAL VALORES Argentina</t>
  </si>
  <si>
    <t>SMB-X ARG - Balanz - Enero 2025</t>
  </si>
  <si>
    <t>30710630670</t>
  </si>
  <si>
    <t>https://alephholding.lightning.force.com/lightning/r/OrderItem/802Um00000DpkpKIAR/view</t>
  </si>
  <si>
    <t>AR00308588_TWR_001_014</t>
  </si>
  <si>
    <t>N6UMGK06ZE</t>
  </si>
  <si>
    <t>00273686</t>
  </si>
  <si>
    <t>802Um00000DplQQIAZ</t>
  </si>
  <si>
    <t>006Uj00000JDil3IAD</t>
  </si>
  <si>
    <t>0004948199</t>
  </si>
  <si>
    <t>RAPPI ARG S.A.S.</t>
  </si>
  <si>
    <t>T3025948 - Rappi Argentina 2025 LInea de Credito - 19/02/2025</t>
  </si>
  <si>
    <t>30715803891</t>
  </si>
  <si>
    <t>https://alephholding.lightning.force.com/lightning/r/OrderItem/802Um00000DplQQIAZ/view</t>
  </si>
  <si>
    <t>AR00321028_TWB_001_012</t>
  </si>
  <si>
    <t>ZZMK7BPX7O</t>
  </si>
  <si>
    <t>0004057779</t>
  </si>
  <si>
    <t>DIGITAL HIVE GROUP S.A.</t>
  </si>
  <si>
    <t>DIGITAL HIVE GROUP ARGENTINA</t>
  </si>
  <si>
    <t>SOIAR-000010352</t>
  </si>
  <si>
    <t>30715225537</t>
  </si>
  <si>
    <t>3NHZJ3EZX1</t>
  </si>
  <si>
    <t>OSA ONE STEP AHEAD S. A.</t>
  </si>
  <si>
    <t>OSA ONE STEP AHEAD Argentina</t>
  </si>
  <si>
    <t>30712014047</t>
  </si>
  <si>
    <t>WYWXHC78NY</t>
  </si>
  <si>
    <t>0004057850</t>
  </si>
  <si>
    <t>Assist Card Argentina Sociedad Anonima De Servicios</t>
  </si>
  <si>
    <t>Assist Card Argentina Argentina</t>
  </si>
  <si>
    <t>SOIAR-000010989</t>
  </si>
  <si>
    <t>POIME-000025157</t>
  </si>
  <si>
    <t>33547992429</t>
  </si>
  <si>
    <t>DOY0IHZIJF</t>
  </si>
  <si>
    <t>00285374</t>
  </si>
  <si>
    <t>006Uj00000O0gSuIAJ</t>
  </si>
  <si>
    <t>0004972289</t>
  </si>
  <si>
    <t>PROGMEDIA ARG SAS</t>
  </si>
  <si>
    <t>!Blocked PROGMEDIA ARG SAS</t>
  </si>
  <si>
    <t>X - YOY -  Branding - Tácticos</t>
  </si>
  <si>
    <t>!X PROGMEDIA ARG SAS</t>
  </si>
  <si>
    <t>30716369087</t>
  </si>
  <si>
    <t>OC INTERNA</t>
  </si>
  <si>
    <t>VP38BF4BLV</t>
  </si>
  <si>
    <t>802Um00000EihijIAB</t>
  </si>
  <si>
    <t>MEDIAMONKS BUENOS AIRES S.R.L. Argentina</t>
  </si>
  <si>
    <t>802Uj00000OpcOoIAJ</t>
  </si>
  <si>
    <t>0004839130</t>
  </si>
  <si>
    <t>https://alephholding.lightning.force.com/lightning/r/OrderItem/802Uj00000OpcOoIAJ/view</t>
  </si>
  <si>
    <t>AR00344572_TWR_001_009</t>
  </si>
  <si>
    <t>00288274</t>
  </si>
  <si>
    <t>802Um00000DnpTJIAZ</t>
  </si>
  <si>
    <t>006Uj00000OobeUIAR</t>
  </si>
  <si>
    <t>0004946044</t>
  </si>
  <si>
    <t>TW - MODO - Promo Día</t>
  </si>
  <si>
    <t>https://alephholding.lightning.force.com/lightning/r/OrderItem/802Um00000DnpTJIAZ/view</t>
  </si>
  <si>
    <t>AR00348122_TWR_001_009</t>
  </si>
  <si>
    <t>202506-0876 ver 001</t>
  </si>
  <si>
    <t>Raisa Quintana</t>
  </si>
  <si>
    <t>Carat Argentina SA</t>
  </si>
  <si>
    <t>30708983906</t>
  </si>
  <si>
    <t>Valentina Pulido</t>
  </si>
  <si>
    <t>BDZB3VONUN</t>
  </si>
  <si>
    <t>Tomas Poletto</t>
  </si>
  <si>
    <t>00310646</t>
  </si>
  <si>
    <t>802Uj00000MBp7OIAT</t>
  </si>
  <si>
    <t>006Uj00000VJCwTIAX</t>
  </si>
  <si>
    <t>0004449761</t>
  </si>
  <si>
    <t>BI MEDIA S.R.L.</t>
  </si>
  <si>
    <t>BI MEDIA ARGENTINA</t>
  </si>
  <si>
    <t>AR00380261-X-Betfun-Takeover-Q1 26</t>
  </si>
  <si>
    <t>30714243949</t>
  </si>
  <si>
    <t>Miguel Jose Torrealba Alfonzo</t>
  </si>
  <si>
    <t>https://alephholding.lightning.force.com/lightning/r/OrderItem/802Uj00000MBp7OIAT/view</t>
  </si>
  <si>
    <t>AR00380261_TWR_001_002</t>
  </si>
  <si>
    <t>IMS Interna</t>
  </si>
  <si>
    <t>XI4AP1YG9A</t>
  </si>
  <si>
    <t>00309657</t>
  </si>
  <si>
    <t>802Uj00000LwXp8IAF</t>
  </si>
  <si>
    <t>006Uj00000VJ8XuIAL</t>
  </si>
  <si>
    <t>0004419788</t>
  </si>
  <si>
    <t>AR00380263-X-Hipódromo Sala-Takeover-26</t>
  </si>
  <si>
    <t>https://alephholding.lightning.force.com/lightning/r/OrderItem/802Uj00000LwXp8IAF/view</t>
  </si>
  <si>
    <t>AR00380263_TWR_001_002</t>
  </si>
  <si>
    <t>00326417</t>
  </si>
  <si>
    <t>802Um00000DVQ0LIAX</t>
  </si>
  <si>
    <t>006Um00000d9iTBIAY</t>
  </si>
  <si>
    <t>0004910905</t>
  </si>
  <si>
    <t>T3163161 - MLA | Double Dates 2026 | Takeovers - ORDEN N°1</t>
  </si>
  <si>
    <t>https://alephholding.lightning.force.com/lightning/r/OrderItem/802Um00000DVQ0LIAX/view</t>
  </si>
  <si>
    <t>AR00402644_TWB_001_001</t>
  </si>
  <si>
    <t>1072311 / 1</t>
  </si>
  <si>
    <t>00313835</t>
  </si>
  <si>
    <t>802Um00000DlYwPIAV</t>
  </si>
  <si>
    <t>006Uj00000WckLyIAJ</t>
  </si>
  <si>
    <t>0004935767</t>
  </si>
  <si>
    <t>X | MODO | Promo Diarco</t>
  </si>
  <si>
    <t>https://alephholding.lightning.force.com/lightning/r/OrderItem/802Um00000DlYwPIAV/view</t>
  </si>
  <si>
    <t>AR00385631_TWR_001_004</t>
  </si>
  <si>
    <t>202511-0806 ver 001</t>
  </si>
  <si>
    <t>00313903</t>
  </si>
  <si>
    <t>802Um00000Dzk02IAB</t>
  </si>
  <si>
    <t>006Uj00000WhOKnIAN</t>
  </si>
  <si>
    <t>0004953697</t>
  </si>
  <si>
    <t>Eje Publicitaria S.A.</t>
  </si>
  <si>
    <t>Eje Publicitaria Argentina</t>
  </si>
  <si>
    <t>X - Arg - USAL - Q42025</t>
  </si>
  <si>
    <t>30614089241</t>
  </si>
  <si>
    <t>https://alephholding.lightning.force.com/lightning/r/OrderItem/802Um00000Dzk02IAB/view</t>
  </si>
  <si>
    <t>AR00386009_TWR_001_004</t>
  </si>
  <si>
    <t>35K845TUHL</t>
  </si>
  <si>
    <t>00314834</t>
  </si>
  <si>
    <t>802Um00000DlCZJIA3</t>
  </si>
  <si>
    <t>006Uj00000Wzu9JIAR</t>
  </si>
  <si>
    <t>0004932859</t>
  </si>
  <si>
    <t>X - Arg - Cinemark - Q42025</t>
  </si>
  <si>
    <t>https://alephholding.lightning.force.com/lightning/r/OrderItem/802Um00000DlCZJIA3/view</t>
  </si>
  <si>
    <t>AR00386903_TWR_001_004</t>
  </si>
  <si>
    <t>00326671</t>
  </si>
  <si>
    <t>802Um00000DXrR3IAL</t>
  </si>
  <si>
    <t>006Um00000dABi5IAG</t>
  </si>
  <si>
    <t>0004913273</t>
  </si>
  <si>
    <t>GroupM Argentina S.A.U.</t>
  </si>
  <si>
    <t>GroupM Argentina SAU Argentina</t>
  </si>
  <si>
    <t>T3203120 - Warner Argentina | La Novia - 25/01/2026</t>
  </si>
  <si>
    <t>30594476960</t>
  </si>
  <si>
    <t>https://alephholding.lightning.force.com/lightning/r/OrderItem/802Um00000DXrR3IAL/view</t>
  </si>
  <si>
    <t>AR00402667_TWB_001_001</t>
  </si>
  <si>
    <t>270347620/0 - 270347621/0 - 270347622/0</t>
  </si>
  <si>
    <t>DY30XCGZG6</t>
  </si>
  <si>
    <t>00323355</t>
  </si>
  <si>
    <t>802Uj00000PMtXKIA1</t>
  </si>
  <si>
    <t>006Uj00000ZhFsTIAV</t>
  </si>
  <si>
    <t>0004873308</t>
  </si>
  <si>
    <t>T3203811 - MLA | Verano | Takeover- 6/Enero, 4/Feb - 07/12/2025</t>
  </si>
  <si>
    <t>Luciana Bonifacio</t>
  </si>
  <si>
    <t>https://alephholding.lightning.force.com/lightning/r/OrderItem/802Uj00000PMtXKIA1/view</t>
  </si>
  <si>
    <t>AR00397355_TWB_001_002</t>
  </si>
  <si>
    <t>1070567 / 1 - 1070570 / 1</t>
  </si>
  <si>
    <t>Publicis Asociados SAC</t>
  </si>
  <si>
    <t>Publicis Asociados SAC, Peru</t>
  </si>
  <si>
    <t>20100335604</t>
  </si>
  <si>
    <t>0004878895</t>
  </si>
  <si>
    <t>POIME-000032410</t>
  </si>
  <si>
    <t>00330151</t>
  </si>
  <si>
    <t>802Um00000EPvz7IAD</t>
  </si>
  <si>
    <t>006Um00000ed2e1IAA</t>
  </si>
  <si>
    <t>0004966494</t>
  </si>
  <si>
    <t>T3207502 - Warner Argentina | La Novia - 19/02/2026</t>
  </si>
  <si>
    <t>https://alephholding.lightning.force.com/lightning/r/OrderItem/802Um00000EPvz7IAD/view</t>
  </si>
  <si>
    <t>AR00407834_TWB_001_001</t>
  </si>
  <si>
    <t>270348197/0 - 270348195/0 - 270348194/0 - 270348196/0</t>
  </si>
  <si>
    <t>00319318</t>
  </si>
  <si>
    <t>802Um00000DiLPTIA3</t>
  </si>
  <si>
    <t>006Uj00000ZhjaPIAR</t>
  </si>
  <si>
    <t>0004930221</t>
  </si>
  <si>
    <t>X | MODO | Cencosud 2026</t>
  </si>
  <si>
    <t>https://alephholding.lightning.force.com/lightning/r/OrderItem/802Um00000DiLPTIA3/view</t>
  </si>
  <si>
    <t>AR00392411_TWR_002_002</t>
  </si>
  <si>
    <t>202601-0242 ver 001; 202601-0241 ver 001; 202601-0240 ver 001</t>
  </si>
  <si>
    <t>00320080</t>
  </si>
  <si>
    <t>802Uj00000OWFNuIAP</t>
  </si>
  <si>
    <t>006Uj00000YcIunIAF</t>
  </si>
  <si>
    <t>0004781510</t>
  </si>
  <si>
    <t>X - Arg - Red Bull - Summer - Q1 2026</t>
  </si>
  <si>
    <t>https://alephholding.lightning.force.com/lightning/r/OrderItem/802Uj00000OWFNuIAP/view</t>
  </si>
  <si>
    <t>AR00393374_TWR_001_002</t>
  </si>
  <si>
    <t>00324597</t>
  </si>
  <si>
    <t>802Uj00000PlUViIAN</t>
  </si>
  <si>
    <t>006Uj00000Z4Dc1IAF</t>
  </si>
  <si>
    <t>0004889863</t>
  </si>
  <si>
    <t>Delivery Hero E-commerce SA</t>
  </si>
  <si>
    <t>Pedidosya SA Argentina</t>
  </si>
  <si>
    <t>X | PedidosYa AR | Bundles FEB-MAR 26</t>
  </si>
  <si>
    <t>30711985766</t>
  </si>
  <si>
    <t>https://alephholding.lightning.force.com/lightning/r/OrderItem/802Uj00000PlUViIAN/view</t>
  </si>
  <si>
    <t>AR00395011_TWR_001_001</t>
  </si>
  <si>
    <t>5FI5X0WWU7</t>
  </si>
  <si>
    <t>00321643</t>
  </si>
  <si>
    <t>802Um00000DlSvpIAF</t>
  </si>
  <si>
    <t>006Uj00000Z7VB0IAN</t>
  </si>
  <si>
    <t>0004934524</t>
  </si>
  <si>
    <t>Banco Santander Argentina S.A</t>
  </si>
  <si>
    <t>Banco Santander Rio Argentina</t>
  </si>
  <si>
    <t>X | Santander | Verano 2026</t>
  </si>
  <si>
    <t>30500008454</t>
  </si>
  <si>
    <t>https://alephholding.lightning.force.com/lightning/r/OrderItem/802Um00000DlSvpIAF/view</t>
  </si>
  <si>
    <t>AR00395348_TWR_001_003</t>
  </si>
  <si>
    <t>123280/000</t>
  </si>
  <si>
    <t>MMS Comunicaciones Argentina Argentina</t>
  </si>
  <si>
    <t>MITN4WILAG</t>
  </si>
  <si>
    <t>00329769</t>
  </si>
  <si>
    <t>802Um00000EJIUDIA5</t>
  </si>
  <si>
    <t>006Uj00000ZDyodIAD</t>
  </si>
  <si>
    <t>0004962589</t>
  </si>
  <si>
    <t>Telecom Argentina SA</t>
  </si>
  <si>
    <t>Telecom Argentina SA Argentina</t>
  </si>
  <si>
    <t>AR00395703 | X | Personal | Flow - Lollapalooza - Mar 26</t>
  </si>
  <si>
    <t>30639453738</t>
  </si>
  <si>
    <t>Nicolás Ferreiro</t>
  </si>
  <si>
    <t>https://alephholding.lightning.force.com/lightning/r/OrderItem/802Um00000EJIUDIA5/view</t>
  </si>
  <si>
    <t>AR00395703_TWR_001_001</t>
  </si>
  <si>
    <t>02279176/03279221-02/  03279221 / 03279221-03</t>
  </si>
  <si>
    <t>OBRG85JGS0</t>
  </si>
  <si>
    <t>00322723</t>
  </si>
  <si>
    <t>802Um00000DauvRIAR</t>
  </si>
  <si>
    <t>006Uj00000ZNlJpIAL</t>
  </si>
  <si>
    <t>0004914781</t>
  </si>
  <si>
    <t>YPF S.A.</t>
  </si>
  <si>
    <t>YPF S.A. ARGENTINA</t>
  </si>
  <si>
    <t>AR00396301-X-YPF-COMBUSTIBLES-VERANO-Dic/Ene 26</t>
  </si>
  <si>
    <t>30546689979</t>
  </si>
  <si>
    <t>https://alephholding.lightning.force.com/lightning/r/OrderItem/802Um00000DauvRIAR/view</t>
  </si>
  <si>
    <t>AR00396301_TWR_001_003</t>
  </si>
  <si>
    <t>00503587 / 0-00503588 / 0</t>
  </si>
  <si>
    <t>JNS8FCESJ5</t>
  </si>
  <si>
    <t>00323125</t>
  </si>
  <si>
    <t>802Uj00000PIdB5IAL</t>
  </si>
  <si>
    <t>006Uj00000ZbjrdIAB</t>
  </si>
  <si>
    <t>0004867906</t>
  </si>
  <si>
    <t>T3219531 - MLA | Campaña Verano - 28/12/2025</t>
  </si>
  <si>
    <t>https://alephholding.lightning.force.com/lightning/r/OrderItem/802Uj00000PIdB5IAL/view</t>
  </si>
  <si>
    <t>AR00396982_TWB_001_002</t>
  </si>
  <si>
    <t>1070568 / 1 - 1070571 / 1</t>
  </si>
  <si>
    <t>00323037</t>
  </si>
  <si>
    <t>802Um00000Dhwu5IAB</t>
  </si>
  <si>
    <t>006Uj00000ZSYtpIAH</t>
  </si>
  <si>
    <t>0004929714</t>
  </si>
  <si>
    <t>AR00396561-X-ABI ARG-SED DE BRAHMA VERANO-Ene-25</t>
  </si>
  <si>
    <t>https://alephholding.lightning.force.com/lightning/r/OrderItem/802Um00000Dhwu5IAB/view</t>
  </si>
  <si>
    <t>AR00396561_TWR_001_002</t>
  </si>
  <si>
    <t>00323038</t>
  </si>
  <si>
    <t>802Um00000DhxF3IAJ</t>
  </si>
  <si>
    <t>006Uj00000ZSXuXIAX</t>
  </si>
  <si>
    <t>0004929718</t>
  </si>
  <si>
    <t>AR00396558-X-ABI ARG-SED DE BRAHMA CARNAVAL-Ene-26</t>
  </si>
  <si>
    <t>https://alephholding.lightning.force.com/lightning/r/OrderItem/802Um00000DhxF3IAJ/view</t>
  </si>
  <si>
    <t>AR00396558_TWR_001_002</t>
  </si>
  <si>
    <t>00323372</t>
  </si>
  <si>
    <t>802Um00000EncvJIAR</t>
  </si>
  <si>
    <t>006Uj00000ZhqX3IAJ</t>
  </si>
  <si>
    <t>0004998656</t>
  </si>
  <si>
    <t>T3221580 - UIP Argentina | Hamnet - 01/01/2026</t>
  </si>
  <si>
    <t>https://alephholding.lightning.force.com/lightning/r/OrderItem/802Um00000EncvJIAR/view</t>
  </si>
  <si>
    <t>AR00397386_TWB_001_002</t>
  </si>
  <si>
    <t>00503816 / 0</t>
  </si>
  <si>
    <t>00323111</t>
  </si>
  <si>
    <t>802Um00000DiXnBIAV</t>
  </si>
  <si>
    <t>006Uj00000Zb7ZRIAZ</t>
  </si>
  <si>
    <t>0004930200</t>
  </si>
  <si>
    <t>X | MODO | AO Performance</t>
  </si>
  <si>
    <t>https://alephholding.lightning.force.com/lightning/r/OrderItem/802Um00000DiXnBIAV/view</t>
  </si>
  <si>
    <t>AR00396946_TWR_001_002</t>
  </si>
  <si>
    <t>202601-0170 ver 001</t>
  </si>
  <si>
    <t>00323327</t>
  </si>
  <si>
    <t>802Um00000DiFtVIAV</t>
  </si>
  <si>
    <t>006Uj00000ZfnNBIAZ</t>
  </si>
  <si>
    <t>0004930062</t>
  </si>
  <si>
    <t>AR00397255-X-Hipódromo de Palemro-Beturf-AON 26</t>
  </si>
  <si>
    <t>https://alephholding.lightning.force.com/lightning/r/OrderItem/802Um00000DiFtVIAV/view</t>
  </si>
  <si>
    <t>AR00397255_TWR_001_002</t>
  </si>
  <si>
    <t>00323329</t>
  </si>
  <si>
    <t>802Um00000DdMcIIAV</t>
  </si>
  <si>
    <t>006Uj00000ZfqXxIAJ</t>
  </si>
  <si>
    <t>0004916651</t>
  </si>
  <si>
    <t>AR00397261-X-Hipódromo de Palermo-Betfun-AON 26</t>
  </si>
  <si>
    <t>https://alephholding.lightning.force.com/lightning/r/OrderItem/802Um00000DdMcIIAV/view</t>
  </si>
  <si>
    <t>AR00397261_TWR_001_002</t>
  </si>
  <si>
    <t>00323328</t>
  </si>
  <si>
    <t>802Um00000DdQMXIA3</t>
  </si>
  <si>
    <t>006Uj00000ZfpX3IAJ</t>
  </si>
  <si>
    <t>0004916677</t>
  </si>
  <si>
    <t>AR00397257-X-Hipódromo de Palermo-Sala-AON 26</t>
  </si>
  <si>
    <t>https://alephholding.lightning.force.com/lightning/r/OrderItem/802Um00000DdQMXIA3/view</t>
  </si>
  <si>
    <t>AR00397257_TWR_001_002</t>
  </si>
  <si>
    <t>00300491</t>
  </si>
  <si>
    <t>802Um00000DdVpGIAV</t>
  </si>
  <si>
    <t>006Uj00000ZgkezIAB</t>
  </si>
  <si>
    <t>0004916772</t>
  </si>
  <si>
    <t>X | MODO | ChangoMás</t>
  </si>
  <si>
    <t>https://alephholding.lightning.force.com/lightning/r/OrderItem/802Um00000DdVpGIAV/view</t>
  </si>
  <si>
    <t>AR00367389_TWR_002_002</t>
  </si>
  <si>
    <t>202601-0223 ver 003</t>
  </si>
  <si>
    <t>00323725</t>
  </si>
  <si>
    <t>802Uj00000PT1vCIAT</t>
  </si>
  <si>
    <t>006Uj00000ZpjF3IAJ</t>
  </si>
  <si>
    <t>0004878881</t>
  </si>
  <si>
    <t>MMS Comunicaciones Argentina S.R.L</t>
  </si>
  <si>
    <t>AR00397993 | X | MCD ARG | CF-LITTLE MC - Ene/Feb 2026</t>
  </si>
  <si>
    <t>30630308557</t>
  </si>
  <si>
    <t>https://alephholding.lightning.force.com/lightning/r/OrderItem/802Uj00000PT1vCIAT/view</t>
  </si>
  <si>
    <t>AR00397993_TWR_001_002</t>
  </si>
  <si>
    <t>011247 - 020115</t>
  </si>
  <si>
    <t>RJ4OR8JONT</t>
  </si>
  <si>
    <t>00323896</t>
  </si>
  <si>
    <t>802Um00000Db3kDIAR</t>
  </si>
  <si>
    <t>006Uj00000ZllddIAB</t>
  </si>
  <si>
    <t>0004914873</t>
  </si>
  <si>
    <t>X | Banco Supervielle |  ENE 26</t>
  </si>
  <si>
    <t>https://alephholding.lightning.force.com/lightning/r/OrderItem/802Um00000Db3kDIAR/view</t>
  </si>
  <si>
    <t>AR00397734_TWR_001_002</t>
  </si>
  <si>
    <t>00323915</t>
  </si>
  <si>
    <t>802Uj00000PVKIiIAP</t>
  </si>
  <si>
    <t>006Uj00000ZsQsgIAF</t>
  </si>
  <si>
    <t>0004880423</t>
  </si>
  <si>
    <t>TARJETA NARANJA SA</t>
  </si>
  <si>
    <t>TARJETA NARANJA SA Argentina</t>
  </si>
  <si>
    <t>AR00398214-X-ARG-Naranja X-Verano-Ene/Feb 26</t>
  </si>
  <si>
    <t>30685376349</t>
  </si>
  <si>
    <t>https://alephholding.lightning.force.com/lightning/r/OrderItem/802Uj00000PVKIiIAP/view</t>
  </si>
  <si>
    <t>AR00398214_TWR_001_002</t>
  </si>
  <si>
    <t>IO interna</t>
  </si>
  <si>
    <t>DW8LKVCH2N</t>
  </si>
  <si>
    <t>00326437</t>
  </si>
  <si>
    <t>802Um00000DVg3VIAT</t>
  </si>
  <si>
    <t>006Um00000dAOH7IAO</t>
  </si>
  <si>
    <t>0004911007</t>
  </si>
  <si>
    <t>T3223536 - MPA | Somos Francos | Takeovers- 6/Feb, 4/Mar</t>
  </si>
  <si>
    <t>https://alephholding.lightning.force.com/lightning/r/OrderItem/802Um00000DVg3VIAT/view</t>
  </si>
  <si>
    <t>AR00402682_TWB_001_001</t>
  </si>
  <si>
    <t>1072667 / 1 - 1072666 / 1</t>
  </si>
  <si>
    <t>00324006</t>
  </si>
  <si>
    <t>802Uj00000PXUFSIA5</t>
  </si>
  <si>
    <t>006Uj00000ZuG2lIAF</t>
  </si>
  <si>
    <t>0004881634</t>
  </si>
  <si>
    <t>AR00398290 | X | Assist Card AR | 2026</t>
  </si>
  <si>
    <t>https://alephholding.lightning.force.com/lightning/r/OrderItem/802Uj00000PXUFSIA5/view</t>
  </si>
  <si>
    <t>AR00398290_TWR_001_002</t>
  </si>
  <si>
    <t>00324034</t>
  </si>
  <si>
    <t>802Uj00000PYiReIAL</t>
  </si>
  <si>
    <t>006Uj00000ZxfCfIAJ</t>
  </si>
  <si>
    <t>0004881773</t>
  </si>
  <si>
    <t>AR00398495 | X | PERSONAL | Ecosistema parte 2 | Ene-Feb 2026</t>
  </si>
  <si>
    <t>https://alephholding.lightning.force.com/lightning/r/OrderItem/802Uj00000PYiReIAL/view</t>
  </si>
  <si>
    <t>AR00398495_TWR_001_002</t>
  </si>
  <si>
    <t>01244005 - 02244001</t>
  </si>
  <si>
    <t>00324328</t>
  </si>
  <si>
    <t>802Um00000DdWDRIA3</t>
  </si>
  <si>
    <t>006Uj00000a5xp7IAA</t>
  </si>
  <si>
    <t>0004916686</t>
  </si>
  <si>
    <t>SUPER MEDIA S.A</t>
  </si>
  <si>
    <t>SUPER MEDIA S.A ARGENTINA</t>
  </si>
  <si>
    <t>X | Bapro | ENE 26</t>
  </si>
  <si>
    <t>30716209551</t>
  </si>
  <si>
    <t>https://alephholding.lightning.force.com/lightning/r/OrderItem/802Um00000DdWDRIA3/view</t>
  </si>
  <si>
    <t>AR00399019_TWR_001_002</t>
  </si>
  <si>
    <t>M01 - 2026 1003 / 0</t>
  </si>
  <si>
    <t>B491D3W8R7</t>
  </si>
  <si>
    <t>00325838</t>
  </si>
  <si>
    <t>802Um00000DMxRmIAL</t>
  </si>
  <si>
    <t>006Um00000cxmHHIAY</t>
  </si>
  <si>
    <t>0004905653</t>
  </si>
  <si>
    <t>T3225345 - MLA | LPF | video - 19/01/2026</t>
  </si>
  <si>
    <t>https://alephholding.lightning.force.com/lightning/r/OrderItem/802Um00000DMxRmIAL/view</t>
  </si>
  <si>
    <t>AR00401761_TWB_001_002</t>
  </si>
  <si>
    <t>1072151 / 1 - 1072152 / 1 - 1072153 / 1</t>
  </si>
  <si>
    <t>00326810</t>
  </si>
  <si>
    <t>802Um00000DarEPIAZ</t>
  </si>
  <si>
    <t>006Um00000dE9D4IAK</t>
  </si>
  <si>
    <t>0004914742</t>
  </si>
  <si>
    <t>T3225691 - MPA | Somos Francos - 26/01/2026</t>
  </si>
  <si>
    <t>https://alephholding.lightning.force.com/lightning/r/OrderItem/802Um00000DarEPIAZ/view</t>
  </si>
  <si>
    <t>AR00403003_TWB_001_001</t>
  </si>
  <si>
    <t>1072629 / 1- 1072626 / 1</t>
  </si>
  <si>
    <t>00325843</t>
  </si>
  <si>
    <t>802Um00000DN15aIAD</t>
  </si>
  <si>
    <t>006Um00000cxmIsIAI</t>
  </si>
  <si>
    <t>0004905688</t>
  </si>
  <si>
    <t>T3227274 - MLA | Fecha Doble 2/2 - 15/01/2026</t>
  </si>
  <si>
    <t>https://alephholding.lightning.force.com/lightning/r/OrderItem/802Um00000DN15aIAD/view</t>
  </si>
  <si>
    <t>AR00401768_TWB_001_002</t>
  </si>
  <si>
    <t>1072117 / 1 - 1072120 / 1</t>
  </si>
  <si>
    <t>00325429</t>
  </si>
  <si>
    <t>802Um00000DHmqMIAT</t>
  </si>
  <si>
    <t>006Uj00000aLGJbIAO</t>
  </si>
  <si>
    <t>X | Burger King - Cosquin Rock '26</t>
  </si>
  <si>
    <t>OP 504087, 00504297 / 0</t>
  </si>
  <si>
    <t>802Um00000DHmqOIAT</t>
  </si>
  <si>
    <t>0004900082</t>
  </si>
  <si>
    <t>https://alephholding.lightning.force.com/lightning/r/OrderItem/802Um00000DHmqOIAT/view</t>
  </si>
  <si>
    <t>AR00400121_TWR_002_002</t>
  </si>
  <si>
    <t>00325140</t>
  </si>
  <si>
    <t>802Um00000DiWvyIAF</t>
  </si>
  <si>
    <t>006Um00000ckP2LIAU</t>
  </si>
  <si>
    <t>0004930227</t>
  </si>
  <si>
    <t>AR00400737 X | MODO | Promo COTO</t>
  </si>
  <si>
    <t>https://alephholding.lightning.force.com/lightning/r/OrderItem/802Um00000DiWvyIAF/view</t>
  </si>
  <si>
    <t>AR00400737_TWR_001_002</t>
  </si>
  <si>
    <t>202601-0458 ver 001</t>
  </si>
  <si>
    <t>00325211</t>
  </si>
  <si>
    <t>802Um00000DFbkYIAT</t>
  </si>
  <si>
    <t>006Um00000cl08LIAQ</t>
  </si>
  <si>
    <t>0004897393</t>
  </si>
  <si>
    <t>Encender S.A.</t>
  </si>
  <si>
    <t>X - Arg - FieldView - Año 2026</t>
  </si>
  <si>
    <t>33707344089</t>
  </si>
  <si>
    <t>https://alephholding.lightning.force.com/lightning/r/OrderItem/802Um00000DFbkYIAT/view</t>
  </si>
  <si>
    <t>AR00400821_TWR_001_002</t>
  </si>
  <si>
    <t>1FORD6AITC</t>
  </si>
  <si>
    <t>00325620</t>
  </si>
  <si>
    <t>802Um00000DJwQcIAL</t>
  </si>
  <si>
    <t>006Um00000csaTdIAI</t>
  </si>
  <si>
    <t>0004903111</t>
  </si>
  <si>
    <t>WEDOIT S.R.L.</t>
  </si>
  <si>
    <t>WEDOIT S.R.L. ARGENTINA</t>
  </si>
  <si>
    <t>X | Arg | Honda | Q1 2026</t>
  </si>
  <si>
    <t>30711620857</t>
  </si>
  <si>
    <t>https://alephholding.lightning.force.com/lightning/r/OrderItem/802Um00000DJwQcIAL/view</t>
  </si>
  <si>
    <t>AR00401391_TWR_001_002</t>
  </si>
  <si>
    <t>202603-0008 ver 001, 202602-0021 ver 001, 202601-0063 ver 001</t>
  </si>
  <si>
    <t>UBOT77LTOA</t>
  </si>
  <si>
    <t>00325771</t>
  </si>
  <si>
    <t>802Um00000DsAFpIAN</t>
  </si>
  <si>
    <t>006Um00000cwQNdIAM</t>
  </si>
  <si>
    <t>0004949918</t>
  </si>
  <si>
    <t>AR00401632-X-YPF-COMBUSTIBLES-BENEFICIO BNA+MODO-Ene 26</t>
  </si>
  <si>
    <t>https://alephholding.lightning.force.com/lightning/r/OrderItem/802Um00000DsAFpIAN/view</t>
  </si>
  <si>
    <t>AR00401632_TWR_001_002</t>
  </si>
  <si>
    <t>00504532 / 0</t>
  </si>
  <si>
    <t>802Um00000Enav7IAB</t>
  </si>
  <si>
    <t>0004998642</t>
  </si>
  <si>
    <t>https://alephholding.lightning.force.com/lightning/r/OrderItem/802Um00000Enav7IAB/view</t>
  </si>
  <si>
    <t>AR00401632_TWR_001_004</t>
  </si>
  <si>
    <t>00326650</t>
  </si>
  <si>
    <t>802Um00000DXgU1IAL</t>
  </si>
  <si>
    <t>006Um00000d8szGIAQ</t>
  </si>
  <si>
    <t>0004913175</t>
  </si>
  <si>
    <t>AR00402568-X-Betfun-Takeover-Feb 26-CF</t>
  </si>
  <si>
    <t>https://alephholding.lightning.force.com/lightning/r/OrderItem/802Um00000DXgU1IAL/view</t>
  </si>
  <si>
    <t>AR00402568_TWR_001_001</t>
  </si>
  <si>
    <t>00326621</t>
  </si>
  <si>
    <t>802Um00000DXR3aIAH</t>
  </si>
  <si>
    <t>006Um00000dA4S5IAK</t>
  </si>
  <si>
    <t>0004912884</t>
  </si>
  <si>
    <t>WILD FI ARGENTINA S.A.</t>
  </si>
  <si>
    <t>WILD FI ARGENTINA ARGENTINA</t>
  </si>
  <si>
    <t>AR00402659-X ARG-Bodog Brasil-Q1/Q2-26</t>
  </si>
  <si>
    <t>30715907948</t>
  </si>
  <si>
    <t>https://alephholding.lightning.force.com/lightning/r/OrderItem/802Um00000DXR3aIAH/view</t>
  </si>
  <si>
    <t>AR00402659_TWR_001_002</t>
  </si>
  <si>
    <t>2026 / 2</t>
  </si>
  <si>
    <t>IG1WEIY2LL</t>
  </si>
  <si>
    <t>00326451</t>
  </si>
  <si>
    <t>802Um00000DVuGAIA1</t>
  </si>
  <si>
    <t>006Um00000dA3J7IAK</t>
  </si>
  <si>
    <t>0004911085</t>
  </si>
  <si>
    <t>AR00402658-X ARG-Bodog México-Q1/Q2-26</t>
  </si>
  <si>
    <t>https://alephholding.lightning.force.com/lightning/r/OrderItem/802Um00000DVuGAIA1/view</t>
  </si>
  <si>
    <t>AR00402658_TWR_001_002</t>
  </si>
  <si>
    <t>2026 / 1</t>
  </si>
  <si>
    <t>00326433</t>
  </si>
  <si>
    <t>802Um00000DVdATIA1</t>
  </si>
  <si>
    <t>006Um00000dA7HtIAK</t>
  </si>
  <si>
    <t>0004910996</t>
  </si>
  <si>
    <t>Havas Media Argentina S.A.</t>
  </si>
  <si>
    <t>Havas Media Argentina Argentina</t>
  </si>
  <si>
    <t>AR00402663-CCU-Schneider Remix Limón-Feb 26</t>
  </si>
  <si>
    <t>33695614549</t>
  </si>
  <si>
    <t>https://alephholding.lightning.force.com/lightning/r/OrderItem/802Um00000DVdATIA1/view</t>
  </si>
  <si>
    <t>AR00402663_TWR_001_001</t>
  </si>
  <si>
    <t>760699 / 0</t>
  </si>
  <si>
    <t>TGTSE08ECM</t>
  </si>
  <si>
    <t>00327171</t>
  </si>
  <si>
    <t>802Um00000DhqezIAB</t>
  </si>
  <si>
    <t>006Um00000dEPT8IAO</t>
  </si>
  <si>
    <t>0004929644</t>
  </si>
  <si>
    <t>AR00403015 | X | FLOW | Contenidos - LLQLL - Reserva - Feb 26</t>
  </si>
  <si>
    <t>https://alephholding.lightning.force.com/lightning/r/OrderItem/802Um00000DhqezIAB/view</t>
  </si>
  <si>
    <t>AR00403015_TWR_001_001</t>
  </si>
  <si>
    <t>00326951</t>
  </si>
  <si>
    <t>802Um00000DdKAfIAN</t>
  </si>
  <si>
    <t>006Um00000d4bXCIAY</t>
  </si>
  <si>
    <t>0004916625</t>
  </si>
  <si>
    <t>X | PedidosYa AR | Bundle 7MAR Correccion</t>
  </si>
  <si>
    <t>https://alephholding.lightning.force.com/lightning/r/OrderItem/802Um00000DdKAfIAN/view</t>
  </si>
  <si>
    <t>AR00402266_TWR_001_001</t>
  </si>
  <si>
    <t>00326816</t>
  </si>
  <si>
    <t>802Um00000DayqzIAB</t>
  </si>
  <si>
    <t>006Um00000dIKeXIAW</t>
  </si>
  <si>
    <t>0004914808</t>
  </si>
  <si>
    <t>Digital Soul SA</t>
  </si>
  <si>
    <t>Digital Soul Argentina</t>
  </si>
  <si>
    <t>X | Arg | Galicia | Febrero 2026</t>
  </si>
  <si>
    <t>30715825852</t>
  </si>
  <si>
    <t>https://alephholding.lightning.force.com/lightning/r/OrderItem/802Um00000DayqzIAB/view</t>
  </si>
  <si>
    <t>AR00403301_TWR_001_001</t>
  </si>
  <si>
    <t>GTV2NONT34</t>
  </si>
  <si>
    <t>00329750</t>
  </si>
  <si>
    <t>802Um00000EIoj3IAD</t>
  </si>
  <si>
    <t>006Uj00000ZuSqHIAV</t>
  </si>
  <si>
    <t>0004962448</t>
  </si>
  <si>
    <t>PIPOL SRL</t>
  </si>
  <si>
    <t>PIPOL ARGENTINA</t>
  </si>
  <si>
    <t>X | BetWarrior | Bundle 20FEB</t>
  </si>
  <si>
    <t>30716321033</t>
  </si>
  <si>
    <t>https://alephholding.lightning.force.com/lightning/r/OrderItem/802Um00000EIoj3IAD/view</t>
  </si>
  <si>
    <t>AR00398287_TWR_001_001</t>
  </si>
  <si>
    <t>9000-0238</t>
  </si>
  <si>
    <t>101J5NFKFK</t>
  </si>
  <si>
    <t>00327258</t>
  </si>
  <si>
    <t>802Um00000DiOQXIA3</t>
  </si>
  <si>
    <t>006Um00000dNDuAIAW</t>
  </si>
  <si>
    <t>0004930115</t>
  </si>
  <si>
    <t>X - Arg - Supervielle - Performance - COE | OB Individuos</t>
  </si>
  <si>
    <t>https://alephholding.lightning.force.com/lightning/r/OrderItem/802Um00000DiOQXIA3/view</t>
  </si>
  <si>
    <t>AR00403609_TWR_001_001</t>
  </si>
  <si>
    <t>00327208</t>
  </si>
  <si>
    <t>802Um00000Di2ZhIAJ</t>
  </si>
  <si>
    <t>006Um00000dTtNdIAK</t>
  </si>
  <si>
    <t>0004929817</t>
  </si>
  <si>
    <t>AR00403821-CCU-Heineken CREDENCIALES-Feb 26</t>
  </si>
  <si>
    <t>https://alephholding.lightning.force.com/lightning/r/OrderItem/802Um00000Di2ZhIAJ/view</t>
  </si>
  <si>
    <t>AR00403821_TWR_001_001</t>
  </si>
  <si>
    <t>761844 / 0</t>
  </si>
  <si>
    <t>00327502</t>
  </si>
  <si>
    <t>802Um00000DkjYvIAJ</t>
  </si>
  <si>
    <t>006Um00000dY4qjIAC</t>
  </si>
  <si>
    <t>0004932472</t>
  </si>
  <si>
    <t>AR00404195 | X | FLOW | Contenidos - LLQLL - Feb/Mar 26</t>
  </si>
  <si>
    <t>https://alephholding.lightning.force.com/lightning/r/OrderItem/802Um00000DkjYvIAJ/view</t>
  </si>
  <si>
    <t>AR00404195_TWR_001_001</t>
  </si>
  <si>
    <t>02278147 - 03278201</t>
  </si>
  <si>
    <t>00327548</t>
  </si>
  <si>
    <t>802Um00000DlGoDIAV</t>
  </si>
  <si>
    <t>006Um00000dZ6s5IAC</t>
  </si>
  <si>
    <t>0004932923</t>
  </si>
  <si>
    <t>X - Arg - Banco Nación - FEB 26</t>
  </si>
  <si>
    <t>https://alephholding.lightning.force.com/lightning/r/OrderItem/802Um00000DlGoDIAV/view</t>
  </si>
  <si>
    <t>AR00404274_TWR_001_001</t>
  </si>
  <si>
    <t>00025574 / 0</t>
  </si>
  <si>
    <t>00327751</t>
  </si>
  <si>
    <t>802Um00000DnavhIAB</t>
  </si>
  <si>
    <t>006Um00000dZoEnIAK</t>
  </si>
  <si>
    <t>0004946001</t>
  </si>
  <si>
    <t>Gustavo Quiroga EPM SA</t>
  </si>
  <si>
    <t>Gustavo Quiroga EPM SA Argentina</t>
  </si>
  <si>
    <t>X - Arg - GCBA - Feb26</t>
  </si>
  <si>
    <t>30707906959</t>
  </si>
  <si>
    <t>https://alephholding.lightning.force.com/lightning/r/OrderItem/802Um00000DnavhIAB/view</t>
  </si>
  <si>
    <t>AR00404296_TWR_001_001</t>
  </si>
  <si>
    <t>020244/000</t>
  </si>
  <si>
    <t>VLJUXIP8KP</t>
  </si>
  <si>
    <t>00328115</t>
  </si>
  <si>
    <t>802Um00000Ds1inIAB</t>
  </si>
  <si>
    <t>006Um00000djGjhIAE</t>
  </si>
  <si>
    <t>0004949799</t>
  </si>
  <si>
    <t>T3242792 - UIP Argentina | Scream 7 - 03/02/2026</t>
  </si>
  <si>
    <t>https://alephholding.lightning.force.com/lightning/r/OrderItem/802Um00000Ds1inIAB/view</t>
  </si>
  <si>
    <t>AR00404904_TWB_001_001</t>
  </si>
  <si>
    <t>00504952 / 0 - 00504962 / 0</t>
  </si>
  <si>
    <t>00327778</t>
  </si>
  <si>
    <t>802Um00000Do11RIAR</t>
  </si>
  <si>
    <t>006Um00000dd7ftIAA</t>
  </si>
  <si>
    <t>0004946242</t>
  </si>
  <si>
    <t>AR00404575-X|Samsung ARG-OWN|IM|BTS|-Feb 26-Campaña 1</t>
  </si>
  <si>
    <t>https://alephholding.lightning.force.com/lightning/r/OrderItem/802Um00000Do11RIAR/view</t>
  </si>
  <si>
    <t>AR00404575_TWR_001_001</t>
  </si>
  <si>
    <t>021616/000</t>
  </si>
  <si>
    <t>00327780</t>
  </si>
  <si>
    <t>802Um00000Do1SrIAJ</t>
  </si>
  <si>
    <t>006Um00000dcnkQIAQ</t>
  </si>
  <si>
    <t>0004946252</t>
  </si>
  <si>
    <t>AR00404576-X|Samsung ARG-OWN|IM|BTS|-Feb 26-Campaña 2</t>
  </si>
  <si>
    <t>https://alephholding.lightning.force.com/lightning/r/OrderItem/802Um00000Do1SrIAJ/view</t>
  </si>
  <si>
    <t>AR00404576_TWR_001_001</t>
  </si>
  <si>
    <t>021644/000</t>
  </si>
  <si>
    <t>00328419</t>
  </si>
  <si>
    <t>802Um00000Dx4MfIAJ</t>
  </si>
  <si>
    <t>006Um00000dsSSHIA2</t>
  </si>
  <si>
    <t>0004952219</t>
  </si>
  <si>
    <t>AR00405349 X | MODO | Transporte VQR</t>
  </si>
  <si>
    <t>https://alephholding.lightning.force.com/lightning/r/OrderItem/802Um00000Dx4MfIAJ/view</t>
  </si>
  <si>
    <t>AR00405349_TWR_001_001</t>
  </si>
  <si>
    <t>202602-0581 ver 001</t>
  </si>
  <si>
    <t>00328607</t>
  </si>
  <si>
    <t>802Um00000DznKTIAZ</t>
  </si>
  <si>
    <t>006Um00000dwcssIAA</t>
  </si>
  <si>
    <t>0004953737</t>
  </si>
  <si>
    <t>AR00405691-X-YPF-HAMBURGUESA+GUAPALETAS-Feb 26</t>
  </si>
  <si>
    <t>https://alephholding.lightning.force.com/lightning/r/OrderItem/802Um00000DznKTIAZ/view</t>
  </si>
  <si>
    <t>AR00405691_TWR_001_001</t>
  </si>
  <si>
    <t>00505214 / 0</t>
  </si>
  <si>
    <t>00328958</t>
  </si>
  <si>
    <t>802Um00000E59trIAB</t>
  </si>
  <si>
    <t>006Um00000dxSOPIA2</t>
  </si>
  <si>
    <t>0004956305</t>
  </si>
  <si>
    <t>X - Arg - Supervielle - Timeline TO Q12026</t>
  </si>
  <si>
    <t>https://alephholding.lightning.force.com/lightning/r/OrderItem/802Um00000E59trIAB/view</t>
  </si>
  <si>
    <t>AR00405715_TWR_001_001</t>
  </si>
  <si>
    <t>00328616</t>
  </si>
  <si>
    <t>802Um00000E09T3IAJ</t>
  </si>
  <si>
    <t>006Um00000dxpBJIAY</t>
  </si>
  <si>
    <t>0004953777</t>
  </si>
  <si>
    <t>AR00405725 | X | MCD ARG | Beef - CLUBHOUSE - Feb-Abr 2026</t>
  </si>
  <si>
    <t>https://alephholding.lightning.force.com/lightning/r/OrderItem/802Um00000E09T3IAJ/view</t>
  </si>
  <si>
    <t>AR00405725_TWR_001_001</t>
  </si>
  <si>
    <t>021916 - 030305 - 040117</t>
  </si>
  <si>
    <t>00328737</t>
  </si>
  <si>
    <t>802Um00000E1jsfIAB</t>
  </si>
  <si>
    <t>006Um00000e0BajIAE</t>
  </si>
  <si>
    <t>0004954804</t>
  </si>
  <si>
    <t>AR00405872 | X | FLOW | Contenidos Musicales - ADN Nacional - Feb 26</t>
  </si>
  <si>
    <t>https://alephholding.lightning.force.com/lightning/r/OrderItem/802Um00000E1jsfIAB/view</t>
  </si>
  <si>
    <t>AR00405872_TWR_001_001</t>
  </si>
  <si>
    <t>00328770</t>
  </si>
  <si>
    <t>802Um00000E2SL7IAN</t>
  </si>
  <si>
    <t>006Um00000e1aNNIAY</t>
  </si>
  <si>
    <t>0004954900</t>
  </si>
  <si>
    <t>X | Arg | Renault | FEB 26</t>
  </si>
  <si>
    <t>https://alephholding.lightning.force.com/lightning/r/OrderItem/802Um00000E2SL7IAN/view</t>
  </si>
  <si>
    <t>AR00405925_TWR_001_001</t>
  </si>
  <si>
    <t>762308 / 0</t>
  </si>
  <si>
    <t>00328768</t>
  </si>
  <si>
    <t>802Um00000E2OfhIAF</t>
  </si>
  <si>
    <t>006Um00000e1LeTIAU</t>
  </si>
  <si>
    <t>0004954898</t>
  </si>
  <si>
    <t>AR00405920-X-YPF-Boxes-Feb 26</t>
  </si>
  <si>
    <t>https://alephholding.lightning.force.com/lightning/r/OrderItem/802Um00000E2OfhIAF/view</t>
  </si>
  <si>
    <t>AR00405920_TWR_001_001</t>
  </si>
  <si>
    <t>00505324 / 0</t>
  </si>
  <si>
    <t>00329039</t>
  </si>
  <si>
    <t>802Um00000E6vd3IAB</t>
  </si>
  <si>
    <t>006Um00000e1tHxIAI</t>
  </si>
  <si>
    <t>0004956946</t>
  </si>
  <si>
    <t>X | Arg | Fernet Branca | Febrero 2026</t>
  </si>
  <si>
    <t>https://alephholding.lightning.force.com/lightning/r/OrderItem/802Um00000E6vd3IAB/view</t>
  </si>
  <si>
    <t>AR00405931_TWR_001_001</t>
  </si>
  <si>
    <t>1074008 / 4</t>
  </si>
  <si>
    <t>00328957</t>
  </si>
  <si>
    <t>802Um00000E5Cq6IAF</t>
  </si>
  <si>
    <t>006Um00000e5w7ZIAQ</t>
  </si>
  <si>
    <t>0004956304</t>
  </si>
  <si>
    <t>AR00406161-Unilever-CIF TRIVIPI-Feb 25</t>
  </si>
  <si>
    <t>https://alephholding.lightning.force.com/lightning/r/OrderItem/802Um00000E5Cq6IAF/view</t>
  </si>
  <si>
    <t>AR00406161_TWR_001_001</t>
  </si>
  <si>
    <t>1074714 / 1</t>
  </si>
  <si>
    <t>00329927</t>
  </si>
  <si>
    <t>802Um00000ELURFIA5</t>
  </si>
  <si>
    <t>006Um00000eW6CwIAK</t>
  </si>
  <si>
    <t>0004963685</t>
  </si>
  <si>
    <t>T3249044 - MLA | DD3 | Video - 17/02/2026</t>
  </si>
  <si>
    <t>https://alephholding.lightning.force.com/lightning/r/OrderItem/802Um00000ELURFIA5/view</t>
  </si>
  <si>
    <t>AR00407561_TWB_001_001</t>
  </si>
  <si>
    <t>1075441 / 1 - O1075442 / 1</t>
  </si>
  <si>
    <t>00329059</t>
  </si>
  <si>
    <t>802Um00000E7fsnIAB</t>
  </si>
  <si>
    <t>006Um00000e9oBRIAY</t>
  </si>
  <si>
    <t>0004957030</t>
  </si>
  <si>
    <t>AR00406357-X-YPF-FULL-COMBO FULL DOBLE CLASICA-Feb 26</t>
  </si>
  <si>
    <t>https://alephholding.lightning.force.com/lightning/r/OrderItem/802Um00000E7fsnIAB/view</t>
  </si>
  <si>
    <t>AR00406357_TWR_001_001</t>
  </si>
  <si>
    <t>00505412 / 0</t>
  </si>
  <si>
    <t>00329221</t>
  </si>
  <si>
    <t>802Um00000EBbPBIA1</t>
  </si>
  <si>
    <t>006Um00000eA68LIAS</t>
  </si>
  <si>
    <t>0004958426</t>
  </si>
  <si>
    <t>AR00406370 | X | MCD ARG | Beef - MCFLURRY M&amp;MS  - Feb-Mar 2026</t>
  </si>
  <si>
    <t>https://alephholding.lightning.force.com/lightning/r/OrderItem/802Um00000EBbPBIA1/view</t>
  </si>
  <si>
    <t>AR00406370_TWR_001_001</t>
  </si>
  <si>
    <t>022141 - 030369</t>
  </si>
  <si>
    <t>802Um00000Eq3mZIAR</t>
  </si>
  <si>
    <t>006Um00000eV09ZIAS</t>
  </si>
  <si>
    <t>0005000724</t>
  </si>
  <si>
    <t>https://alephholding.lightning.force.com/lightning/r/OrderItem/802Um00000Eq3mZIAR/view</t>
  </si>
  <si>
    <t>AR00402266_TWR_003_004</t>
  </si>
  <si>
    <t>00330152</t>
  </si>
  <si>
    <t>802Um00000EPwS9IAL</t>
  </si>
  <si>
    <t>006Um00000ecGfpIAE</t>
  </si>
  <si>
    <t>0004966497</t>
  </si>
  <si>
    <t>AR00407753-X-YPF-FULL PISTACHO-Feb 26</t>
  </si>
  <si>
    <t>https://alephholding.lightning.force.com/lightning/r/OrderItem/802Um00000EPwS9IAL/view</t>
  </si>
  <si>
    <t>AR00407753_TWR_001_001</t>
  </si>
  <si>
    <t>00505664 / 0</t>
  </si>
  <si>
    <t>00330355</t>
  </si>
  <si>
    <t>802Um00000ET3AXIA1</t>
  </si>
  <si>
    <t>006Um00000ei8SfIAI</t>
  </si>
  <si>
    <t>0004967890</t>
  </si>
  <si>
    <t>T3252500 - UIP Argentina | Reminder of Him - 23/02/2026</t>
  </si>
  <si>
    <t>https://alephholding.lightning.force.com/lightning/r/OrderItem/802Um00000ET3AXIA1/view</t>
  </si>
  <si>
    <t>AR00408247_TWB_001_001</t>
  </si>
  <si>
    <t>00505496 / 0 - 00505488 / 0</t>
  </si>
  <si>
    <t>00330531</t>
  </si>
  <si>
    <t>802Um00000EUuUXIA1</t>
  </si>
  <si>
    <t>006Um00000ekznpIAA</t>
  </si>
  <si>
    <t>0004970032</t>
  </si>
  <si>
    <t>ORION AGENCY S. R. L.</t>
  </si>
  <si>
    <t>ORION AGENCY ARGENTINA</t>
  </si>
  <si>
    <t>X | Cepas | Dr Lemon - Lolla</t>
  </si>
  <si>
    <t>30718739221</t>
  </si>
  <si>
    <t>https://alephholding.lightning.force.com/lightning/r/OrderItem/802Um00000EUuUXIA1/view</t>
  </si>
  <si>
    <t>AR00408441_TWR_001_001</t>
  </si>
  <si>
    <t>202602-0064; 202603-0051</t>
  </si>
  <si>
    <t>64AOXPAPWT</t>
  </si>
  <si>
    <t>Line Url</t>
  </si>
  <si>
    <t/>
  </si>
  <si>
    <t>Account_ID_bil</t>
  </si>
  <si>
    <t>Ad_Account_Id</t>
  </si>
  <si>
    <t>Invoice_No</t>
  </si>
  <si>
    <t># Accounts</t>
  </si>
  <si>
    <t>C3-Action</t>
  </si>
  <si>
    <t>Year &amp; month</t>
  </si>
  <si>
    <t>Organization ID</t>
  </si>
  <si>
    <t>Organization Name</t>
  </si>
  <si>
    <t>Ad Account Name</t>
  </si>
  <si>
    <t>Invoice number</t>
  </si>
  <si>
    <t>Due Date</t>
  </si>
  <si>
    <t>Invoice Date</t>
  </si>
  <si>
    <t>Vendor Company</t>
  </si>
  <si>
    <t>Tax Amount</t>
  </si>
  <si>
    <t>Coupon</t>
  </si>
  <si>
    <t>Purchase Curr</t>
  </si>
  <si>
    <t>Revenue deductions</t>
  </si>
  <si>
    <t>Excl Revenue</t>
  </si>
  <si>
    <t>Excl Cost</t>
  </si>
  <si>
    <t>Project Owner</t>
  </si>
  <si>
    <t>Excl Product Name</t>
  </si>
  <si>
    <t>Excl Type of Line</t>
  </si>
  <si>
    <t>Curr (Bil-SF)</t>
  </si>
  <si>
    <t>Diff Rev (Bil-SF)</t>
  </si>
  <si>
    <t>Diff Cost
 (Bil-SF)</t>
  </si>
  <si>
    <t>Diff Excl Rev (Bil-SF)</t>
  </si>
  <si>
    <t>Vendor (Bil - SF)</t>
  </si>
  <si>
    <t>Diff (Bil-Del)</t>
  </si>
  <si>
    <t>Del vs bil diff &gt;3%</t>
  </si>
  <si>
    <t>Diff (Bil-Inv)</t>
  </si>
  <si>
    <t>Diff (Bil-Sta)</t>
  </si>
  <si>
    <t>Year_Month_bil</t>
  </si>
  <si>
    <t>Business_Manager_ID_bil</t>
  </si>
  <si>
    <t>Business_Manager_Name_bil</t>
  </si>
  <si>
    <t>Account_Name_bil</t>
  </si>
  <si>
    <t>due_date_bil</t>
  </si>
  <si>
    <t>invoice_date</t>
  </si>
  <si>
    <t>Product_Name_bil</t>
  </si>
  <si>
    <t>Vendor_Company</t>
  </si>
  <si>
    <t>Tax_Amount</t>
  </si>
  <si>
    <t>True_Purch_Curr_bil</t>
  </si>
  <si>
    <t>Commision_bil</t>
  </si>
  <si>
    <t>Revenue_deductions_bil</t>
  </si>
  <si>
    <t>Excl_Revenue_bil</t>
  </si>
  <si>
    <t>Excl_Cost_bil</t>
  </si>
  <si>
    <t>excl_Product_Name</t>
  </si>
  <si>
    <t>excl_type_of_line</t>
  </si>
  <si>
    <t>excl_Qualified_Sales_Quantity</t>
  </si>
  <si>
    <t>excl_Qualified_Purchase_Quantity</t>
  </si>
  <si>
    <t>Curr_bil_SF</t>
  </si>
  <si>
    <t>Spend_dif_bil_SF_rev</t>
  </si>
  <si>
    <t>Spend_dif_bil_SF_cost</t>
  </si>
  <si>
    <t>Rev_dif_Excl_bil_Excl_SF</t>
  </si>
  <si>
    <t>Vendor_bil_SF</t>
  </si>
  <si>
    <t>Spend_dif_bil_del</t>
  </si>
  <si>
    <t>dif_del_bil_over_3_perc</t>
  </si>
  <si>
    <t>Invoice_number</t>
  </si>
  <si>
    <t>Spend_dif_bil_inv</t>
  </si>
  <si>
    <t>Spend_dif_bil_stat</t>
  </si>
  <si>
    <t>Project_Owner_sf</t>
  </si>
  <si>
    <t>dif_bil_del_over_3_perc</t>
  </si>
  <si>
    <t>2026-02-01</t>
  </si>
  <si>
    <t>Miss in bil</t>
  </si>
  <si>
    <t>No</t>
  </si>
  <si>
    <t>Miss in del</t>
  </si>
  <si>
    <t>IMM INTERNET MEDIA MEXICO S DE RL DE CV</t>
  </si>
  <si>
    <t>Approval</t>
  </si>
  <si>
    <t>Closed Won</t>
  </si>
  <si>
    <t>Under review</t>
  </si>
  <si>
    <t>SF</t>
  </si>
  <si>
    <t>If coupon line is in SF, then we need value, if not, then just aggregate it</t>
  </si>
  <si>
    <t>Please use your own filters!</t>
  </si>
  <si>
    <t>C1 - Stage</t>
  </si>
  <si>
    <t>C2 - Line exists?</t>
  </si>
  <si>
    <t>C3 - Line exists?</t>
  </si>
  <si>
    <t>C4-Line Status</t>
  </si>
  <si>
    <t>C5-# Lines</t>
  </si>
  <si>
    <t>C6-Miss Country</t>
  </si>
  <si>
    <t>C7-Curr</t>
  </si>
  <si>
    <t>C8-Diff (Del-SF)</t>
  </si>
  <si>
    <t>DT: Check the formula</t>
  </si>
  <si>
    <t>C9-Diff (Del-Bil)</t>
  </si>
  <si>
    <t>C10-Diff (Del-Inv)</t>
  </si>
  <si>
    <t>C11-Diff (Del-Stat)</t>
  </si>
  <si>
    <t>Saleforce Report</t>
  </si>
  <si>
    <t>Business Manager ID</t>
  </si>
  <si>
    <t>Business Manager Name</t>
  </si>
  <si>
    <t>Opp Stage</t>
  </si>
  <si>
    <t>Opp Url</t>
  </si>
  <si>
    <t>Company to Invoice</t>
  </si>
  <si>
    <t>CTI Status</t>
  </si>
  <si>
    <t>LG exist in This OR Previous Months</t>
  </si>
  <si>
    <t>LG Url</t>
  </si>
  <si>
    <t>Line ID for Current Month</t>
  </si>
  <si>
    <t>Line Status</t>
  </si>
  <si>
    <t>Purch Entity</t>
  </si>
  <si>
    <t>Purch Curr Correct?</t>
  </si>
  <si>
    <t>Dif (del-SF)</t>
  </si>
  <si>
    <t>Value add on line page? (don't delete formula)</t>
  </si>
  <si>
    <t>Dif (Del-Bil)</t>
  </si>
  <si>
    <t>Dif (Del-Inv)</t>
  </si>
  <si>
    <t>Dif (Del-Stat)</t>
  </si>
  <si>
    <t>BU_del</t>
  </si>
  <si>
    <t>Quota_Country_del</t>
  </si>
  <si>
    <t>Business_Manager_ID_del</t>
  </si>
  <si>
    <t>Business_Manager_Name_del</t>
  </si>
  <si>
    <t>Ad_squad_type_del</t>
  </si>
  <si>
    <t>sf_opp_stagename</t>
  </si>
  <si>
    <t>Opportunity_Link</t>
  </si>
  <si>
    <t>Company_Name_sf</t>
  </si>
  <si>
    <t>Com_status</t>
  </si>
  <si>
    <t>last_non_null_orderid</t>
  </si>
  <si>
    <t>Order_Link</t>
  </si>
  <si>
    <t>Line_Link</t>
  </si>
  <si>
    <t>order_line_status__c</t>
  </si>
  <si>
    <t>ppoid_instances</t>
  </si>
  <si>
    <t>Product_Name_sf</t>
  </si>
  <si>
    <t>Purch_curr_correct</t>
  </si>
  <si>
    <t>Spend_dif_del_SF</t>
  </si>
  <si>
    <t>Value_add_coupon_line</t>
  </si>
  <si>
    <t>Spend_dif_del_bil</t>
  </si>
  <si>
    <t>Spend_dif_del_inv</t>
  </si>
  <si>
    <t>Spend_dif_del_stat</t>
  </si>
  <si>
    <t>Account_ID_del_source</t>
  </si>
  <si>
    <t>AT</t>
  </si>
  <si>
    <t>null</t>
  </si>
  <si>
    <t>801Um00001JEBY3IAP</t>
  </si>
  <si>
    <t>https://alephholding.lightning.force.com/lightning/r/Orderitem/801Um00001JEBY3IAP/view</t>
  </si>
  <si>
    <t>https://alephholding.lightning.force.com/lightning/r/Orderitem/802Um00000EihijIAB/view</t>
  </si>
  <si>
    <t>801Um00001ENDqQIAX</t>
  </si>
  <si>
    <t>https://alephholding.lightning.force.com/lightning/r/Orderitem/801Um00001ENDqQIAX/view</t>
  </si>
  <si>
    <t>https://alephholding.lightning.force.com/lightning/r/Orderitem/802Um00000DHmqMIAT/view</t>
  </si>
  <si>
    <t>Blocked</t>
  </si>
  <si>
    <t>801Uj00000zHxzwIAC</t>
  </si>
  <si>
    <t>https://alephholding.lightning.force.com/lightning/r/Orderitem/801Uj00000zHxzwIAC/view</t>
  </si>
  <si>
    <t>https://alephholding.lightning.force.com/lightning/r/Orderitem/802Uj00000PYiReIAL/view</t>
  </si>
  <si>
    <t>801Um00001H7qsRIAR</t>
  </si>
  <si>
    <t>https://alephholding.lightning.force.com/lightning/r/Orderitem/801Um00001H7qsRIAR/view</t>
  </si>
  <si>
    <t>https://alephholding.lightning.force.com/lightning/r/Orderitem/802Um00000E5Cq6IAF/view</t>
  </si>
  <si>
    <t>801Um00001HHiQYIA1</t>
  </si>
  <si>
    <t>https://alephholding.lightning.force.com/lightning/r/Orderitem/801Um00001HHiQYIA1/view</t>
  </si>
  <si>
    <t>https://alephholding.lightning.force.com/lightning/r/Orderitem/802Um00000E7fsnIAB/view</t>
  </si>
  <si>
    <t>801Uj00000yth6kIAA</t>
  </si>
  <si>
    <t>https://alephholding.lightning.force.com/lightning/r/Orderitem/801Uj00000yth6kIAA/view</t>
  </si>
  <si>
    <t>https://alephholding.lightning.force.com/lightning/r/Orderitem/802Um00000DiLPTIA3/view</t>
  </si>
  <si>
    <t>801Um00001GytvyIAB</t>
  </si>
  <si>
    <t>https://alephholding.lightning.force.com/lightning/r/Orderitem/801Um00001GytvyIAB/view</t>
  </si>
  <si>
    <t>https://alephholding.lightning.force.com/lightning/r/Orderitem/802Um00000E2OfhIAF/view</t>
  </si>
  <si>
    <t>801Uj00000zF6N1IAK</t>
  </si>
  <si>
    <t>https://alephholding.lightning.force.com/lightning/r/Orderitem/801Uj00000zF6N1IAK/view</t>
  </si>
  <si>
    <t>https://alephholding.lightning.force.com/lightning/r/Orderitem/802Uj00000PXUFSIA5/view</t>
  </si>
  <si>
    <t>801Uj00000qsec1IAA</t>
  </si>
  <si>
    <t>https://alephholding.lightning.force.com/lightning/r/Orderitem/801Uj00000qsec1IAA/view</t>
  </si>
  <si>
    <t>https://alephholding.lightning.force.com/lightning/r/Orderitem/802Uj00000MBp7OIAT/view</t>
  </si>
  <si>
    <t>801Uj00000yeGZmIAM</t>
  </si>
  <si>
    <t>https://alephholding.lightning.force.com/lightning/r/Orderitem/801Uj00000yeGZmIAM/view</t>
  </si>
  <si>
    <t>https://alephholding.lightning.force.com/lightning/r/Orderitem/802Um00000DiXnBIAV/view</t>
  </si>
  <si>
    <t>801Uj00000ynLjuIAE</t>
  </si>
  <si>
    <t>https://alephholding.lightning.force.com/lightning/r/Orderitem/801Uj00000ynLjuIAE/view</t>
  </si>
  <si>
    <t>https://alephholding.lightning.force.com/lightning/r/Orderitem/802Um00000DdVpGIAV/view</t>
  </si>
  <si>
    <t>801Um00001GA28TIAT</t>
  </si>
  <si>
    <t>https://alephholding.lightning.force.com/lightning/r/Orderitem/801Um00001GA28TIAT/view</t>
  </si>
  <si>
    <t>https://alephholding.lightning.force.com/lightning/r/Orderitem/802Um00000Do1SrIAJ/view</t>
  </si>
  <si>
    <t>801Uj00000toR6zIAE</t>
  </si>
  <si>
    <t>https://alephholding.lightning.force.com/lightning/r/Orderitem/801Uj00000toR6zIAE/view</t>
  </si>
  <si>
    <t>https://alephholding.lightning.force.com/lightning/r/Orderitem/802Um00000DlCZJIA3/view</t>
  </si>
  <si>
    <t>801Um00001HDAaNIAX</t>
  </si>
  <si>
    <t>https://alephholding.lightning.force.com/lightning/r/Orderitem/801Um00001HDAaNIAX/view</t>
  </si>
  <si>
    <t>https://alephholding.lightning.force.com/lightning/r/Orderitem/802Um00000E6vd3IAB/view</t>
  </si>
  <si>
    <t>801Uj0000084jObIAI</t>
  </si>
  <si>
    <t>https://alephholding.lightning.force.com/lightning/r/Orderitem/801Uj0000084jObIAI/view</t>
  </si>
  <si>
    <t>https://alephholding.lightning.force.com/lightning/r/Orderitem/802Um00000DJtMHIA1/view</t>
  </si>
  <si>
    <t>801Um00001FEossIAD</t>
  </si>
  <si>
    <t>https://alephholding.lightning.force.com/lightning/r/Orderitem/801Um00001FEossIAD/view</t>
  </si>
  <si>
    <t>https://alephholding.lightning.force.com/lightning/r/Orderitem/802Um00000DXR3aIAH/view</t>
  </si>
  <si>
    <t>801Um00001H7n6fIAB</t>
  </si>
  <si>
    <t>https://alephholding.lightning.force.com/lightning/r/Orderitem/801Um00001H7n6fIAB/view</t>
  </si>
  <si>
    <t>https://alephholding.lightning.force.com/lightning/r/Orderitem/802Um00000E59trIAB/view</t>
  </si>
  <si>
    <t>801Um00001F7OcNIAV</t>
  </si>
  <si>
    <t>https://alephholding.lightning.force.com/lightning/r/Orderitem/801Um00001F7OcNIAV/view</t>
  </si>
  <si>
    <t>https://alephholding.lightning.force.com/lightning/r/Orderitem/802Um00000DVdATIA1/view</t>
  </si>
  <si>
    <t>801Um00001GekwtIAB</t>
  </si>
  <si>
    <t>https://alephholding.lightning.force.com/lightning/r/Orderitem/801Um00001GekwtIAB/view</t>
  </si>
  <si>
    <t>https://alephholding.lightning.force.com/lightning/r/Orderitem/802Um00000Dx4MfIAJ/view</t>
  </si>
  <si>
    <t>801Uj00000t1rk9IAA</t>
  </si>
  <si>
    <t>https://alephholding.lightning.force.com/lightning/r/Orderitem/801Uj00000t1rk9IAA/view</t>
  </si>
  <si>
    <t>https://alephholding.lightning.force.com/lightning/r/Orderitem/802Um00000Dzk02IAB/view</t>
  </si>
  <si>
    <t>801Uj00000FgqETIAZ</t>
  </si>
  <si>
    <t>https://alephholding.lightning.force.com/lightning/r/Orderitem/801Uj00000FgqETIAZ/view</t>
  </si>
  <si>
    <t>https://alephholding.lightning.force.com/lightning/r/Orderitem/802Uj00000PfsUIIAZ/view</t>
  </si>
  <si>
    <t>801Uj00000J4vCsIAJ</t>
  </si>
  <si>
    <t>https://alephholding.lightning.force.com/lightning/r/Orderitem/801Uj00000J4vCsIAJ/view</t>
  </si>
  <si>
    <t>https://alephholding.lightning.force.com/lightning/r/Orderitem/802Um00000DqJyLIAV/view</t>
  </si>
  <si>
    <t>801Um00001FyUZyIAN</t>
  </si>
  <si>
    <t>https://alephholding.lightning.force.com/lightning/r/Orderitem/801Um00001FyUZyIAN/view</t>
  </si>
  <si>
    <t>https://alephholding.lightning.force.com/lightning/r/Orderitem/802Um00000DkjYvIAJ/view</t>
  </si>
  <si>
    <t>801Uj00000z95RzIAI</t>
  </si>
  <si>
    <t>https://alephholding.lightning.force.com/lightning/r/Orderitem/801Uj00000z95RzIAI/view</t>
  </si>
  <si>
    <t>https://alephholding.lightning.force.com/lightning/r/Orderitem/802Um00000Db3kDIAR/view</t>
  </si>
  <si>
    <t>801Uj00000yYtyrIAC</t>
  </si>
  <si>
    <t>https://alephholding.lightning.force.com/lightning/r/Orderitem/801Uj00000yYtyrIAC/view</t>
  </si>
  <si>
    <t>https://alephholding.lightning.force.com/lightning/r/Orderitem/802Um00000Dhwu5IAB/view</t>
  </si>
  <si>
    <t>801Um00001Gz5QsIAJ</t>
  </si>
  <si>
    <t>https://alephholding.lightning.force.com/lightning/r/Orderitem/801Um00001Gz5QsIAJ/view</t>
  </si>
  <si>
    <t>https://alephholding.lightning.force.com/lightning/r/Orderitem/802Um00000E2SL7IAN/view</t>
  </si>
  <si>
    <t>801Uj00000eBYydIAG</t>
  </si>
  <si>
    <t>https://alephholding.lightning.force.com/lightning/r/Orderitem/801Uj00000eBYydIAG/view</t>
  </si>
  <si>
    <t>https://alephholding.lightning.force.com/lightning/r/Orderitem/802Um00000DnpTJIAZ/view</t>
  </si>
  <si>
    <t>801Uj00000yYzXxIAK</t>
  </si>
  <si>
    <t>https://alephholding.lightning.force.com/lightning/r/Orderitem/801Uj00000yYzXxIAK/view</t>
  </si>
  <si>
    <t>https://alephholding.lightning.force.com/lightning/r/Orderitem/802Um00000DhxF3IAJ/view</t>
  </si>
  <si>
    <t>801Uj00000zdbasIAA</t>
  </si>
  <si>
    <t>https://alephholding.lightning.force.com/lightning/r/Orderitem/801Uj00000zdbasIAA/view</t>
  </si>
  <si>
    <t>https://alephholding.lightning.force.com/lightning/r/Orderitem/802Um00000DdWDRIA3/view</t>
  </si>
  <si>
    <t>801Um00001I0VsAIAV</t>
  </si>
  <si>
    <t>https://alephholding.lightning.force.com/lightning/r/Orderitem/801Um00001I0VsAIAV/view</t>
  </si>
  <si>
    <t>https://alephholding.lightning.force.com/lightning/r/Orderitem/802Um00000Eq3mZIAR/view</t>
  </si>
  <si>
    <t>801Um00001EFp87IAD</t>
  </si>
  <si>
    <t>https://alephholding.lightning.force.com/lightning/r/Orderitem/801Um00001EFp87IAD/view</t>
  </si>
  <si>
    <t>https://alephholding.lightning.force.com/lightning/r/Orderitem/802Um00000DFbkYIAT/view</t>
  </si>
  <si>
    <t>801Uj00000bXzKNIA0</t>
  </si>
  <si>
    <t>https://alephholding.lightning.force.com/lightning/r/Orderitem/801Uj00000bXzKNIA0/view</t>
  </si>
  <si>
    <t>https://alephholding.lightning.force.com/lightning/r/Orderitem/802Um00000DkfiDIAR/view</t>
  </si>
  <si>
    <t>801Uj00000wrFXOIA2</t>
  </si>
  <si>
    <t>https://alephholding.lightning.force.com/lightning/r/Orderitem/801Uj00000wrFXOIA2/view</t>
  </si>
  <si>
    <t>https://alephholding.lightning.force.com/lightning/r/Orderitem/802Uj00000OWFNuIAP/view</t>
  </si>
  <si>
    <t>801Uj00000z9wXuIAI</t>
  </si>
  <si>
    <t>https://alephholding.lightning.force.com/lightning/r/Orderitem/801Uj00000z9wXuIAI/view</t>
  </si>
  <si>
    <t>https://alephholding.lightning.force.com/lightning/r/Orderitem/802Uj00000PVKIiIAP/view</t>
  </si>
  <si>
    <t>801Um00001HtpIwIAJ</t>
  </si>
  <si>
    <t>https://alephholding.lightning.force.com/lightning/r/Orderitem/801Um00001HtpIwIAJ/view</t>
  </si>
  <si>
    <t>https://alephholding.lightning.force.com/lightning/r/Orderitem/802Um00000EJIUDIA5/view</t>
  </si>
  <si>
    <t>801Uj00000zGzxHIAS</t>
  </si>
  <si>
    <t>https://alephholding.lightning.force.com/lightning/r/Orderitem/801Uj00000zGzxHIAS/view</t>
  </si>
  <si>
    <t>https://alephholding.lightning.force.com/lightning/r/Orderitem/802Um00000DkfQTIAZ/view</t>
  </si>
  <si>
    <t>801Uj00000ymVADIA2</t>
  </si>
  <si>
    <t>https://alephholding.lightning.force.com/lightning/r/Orderitem/801Uj00000ymVADIA2/view</t>
  </si>
  <si>
    <t>https://alephholding.lightning.force.com/lightning/r/Orderitem/802Um00000DdQMXIA3/view</t>
  </si>
  <si>
    <t>801Um00001G9UMzIAN</t>
  </si>
  <si>
    <t>https://alephholding.lightning.force.com/lightning/r/Orderitem/801Um00001G9UMzIAN/view</t>
  </si>
  <si>
    <t>https://alephholding.lightning.force.com/lightning/r/Orderitem/802Um00000Do11RIAR/view</t>
  </si>
  <si>
    <t>801Um00001Ee1T3IAJ</t>
  </si>
  <si>
    <t>https://alephholding.lightning.force.com/lightning/r/Orderitem/801Um00001Ee1T3IAJ/view</t>
  </si>
  <si>
    <t>https://alephholding.lightning.force.com/lightning/r/Orderitem/802Um00000Enav7IAB/view</t>
  </si>
  <si>
    <t>801Uj00000ymK9zIAE</t>
  </si>
  <si>
    <t>https://alephholding.lightning.force.com/lightning/r/Orderitem/801Uj00000ymK9zIAE/view</t>
  </si>
  <si>
    <t>https://alephholding.lightning.force.com/lightning/r/Orderitem/802Um00000DdMcIIAV/view</t>
  </si>
  <si>
    <t>801Um00001F9QTZIA3</t>
  </si>
  <si>
    <t>https://alephholding.lightning.force.com/lightning/r/Orderitem/801Um00001F9QTZIA3/view</t>
  </si>
  <si>
    <t>https://alephholding.lightning.force.com/lightning/r/Orderitem/802Um00000DVuGAIA1/view</t>
  </si>
  <si>
    <t>801Um00001GpH57IAF</t>
  </si>
  <si>
    <t>https://alephholding.lightning.force.com/lightning/r/Orderitem/801Um00001GpH57IAF/view</t>
  </si>
  <si>
    <t>https://alephholding.lightning.force.com/lightning/r/Orderitem/802Um00000DznKTIAZ/view</t>
  </si>
  <si>
    <t>801Um00001EDPzJIAX</t>
  </si>
  <si>
    <t>https://alephholding.lightning.force.com/lightning/r/Orderitem/801Um00001EDPzJIAX/view</t>
  </si>
  <si>
    <t>https://alephholding.lightning.force.com/lightning/r/Orderitem/802Um00000DiWvyIAF/view</t>
  </si>
  <si>
    <t>801Um00001Gw8YDIAZ</t>
  </si>
  <si>
    <t>https://alephholding.lightning.force.com/lightning/r/Orderitem/801Um00001Gw8YDIAZ/view</t>
  </si>
  <si>
    <t>https://alephholding.lightning.force.com/lightning/r/Orderitem/802Um00000E1jsfIAB/view</t>
  </si>
  <si>
    <t>801Um00001G7zg9IAB</t>
  </si>
  <si>
    <t>https://alephholding.lightning.force.com/lightning/r/Orderitem/801Um00001G7zg9IAB/view</t>
  </si>
  <si>
    <t>https://alephholding.lightning.force.com/lightning/r/Orderitem/802Um00000DnavhIAB/view</t>
  </si>
  <si>
    <t>801Um00001GqvF0IAJ</t>
  </si>
  <si>
    <t>https://alephholding.lightning.force.com/lightning/r/Orderitem/801Um00001GqvF0IAJ/view</t>
  </si>
  <si>
    <t>https://alephholding.lightning.force.com/lightning/r/Orderitem/802Um00000E09T3IAJ/view</t>
  </si>
  <si>
    <t>801Um00001HrZ5PIAV</t>
  </si>
  <si>
    <t>https://alephholding.lightning.force.com/lightning/r/Orderitem/801Um00001HrZ5PIAV/view</t>
  </si>
  <si>
    <t>https://alephholding.lightning.force.com/lightning/r/Orderitem/802Um00000EIoj3IAD/view</t>
  </si>
  <si>
    <t>801Um00001FqlsvIAB</t>
  </si>
  <si>
    <t>https://alephholding.lightning.force.com/lightning/r/Orderitem/801Um00001FqlsvIAB/view</t>
  </si>
  <si>
    <t>https://alephholding.lightning.force.com/lightning/r/Orderitem/802Um00000DiOQXIA3/view</t>
  </si>
  <si>
    <t>801Um00001EVdhFIAT</t>
  </si>
  <si>
    <t>https://alephholding.lightning.force.com/lightning/r/Orderitem/801Um00001EVdhFIAT/view</t>
  </si>
  <si>
    <t>https://alephholding.lightning.force.com/lightning/r/Orderitem/802Um00000DJwQcIAL/view</t>
  </si>
  <si>
    <t>801Um00001IWWEsIAP</t>
  </si>
  <si>
    <t>https://alephholding.lightning.force.com/lightning/r/Orderitem/801Um00001IWWEsIAP/view</t>
  </si>
  <si>
    <t>https://alephholding.lightning.force.com/lightning/r/Orderitem/802Um00000EUuUXIA1/view</t>
  </si>
  <si>
    <t>801Um00001FQxg3IAD</t>
  </si>
  <si>
    <t>https://alephholding.lightning.force.com/lightning/r/Orderitem/801Um00001FQxg3IAD/view</t>
  </si>
  <si>
    <t>https://alephholding.lightning.force.com/lightning/r/Orderitem/802Um00000DayqzIAB/view</t>
  </si>
  <si>
    <t>801Um00001FGGAxIAP</t>
  </si>
  <si>
    <t>https://alephholding.lightning.force.com/lightning/r/Orderitem/801Um00001FGGAxIAP/view</t>
  </si>
  <si>
    <t>https://alephholding.lightning.force.com/lightning/r/Orderitem/802Um00000DXgU1IAL/view</t>
  </si>
  <si>
    <t>801Uj00000qKdk3IAC</t>
  </si>
  <si>
    <t>https://alephholding.lightning.force.com/lightning/r/Orderitem/801Uj00000qKdk3IAC/view</t>
  </si>
  <si>
    <t>https://alephholding.lightning.force.com/lightning/r/Orderitem/802Uj00000LwXp8IAF/view</t>
  </si>
  <si>
    <t>801Um00001FoQxRIAV</t>
  </si>
  <si>
    <t>https://alephholding.lightning.force.com/lightning/r/Orderitem/801Um00001FoQxRIAV/view</t>
  </si>
  <si>
    <t>https://alephholding.lightning.force.com/lightning/r/Orderitem/802Um00000DhqezIAB/view</t>
  </si>
  <si>
    <t>801Uj00000zrflCIAQ</t>
  </si>
  <si>
    <t>https://alephholding.lightning.force.com/lightning/r/Orderitem/801Uj00000zrflCIAQ/view</t>
  </si>
  <si>
    <t>https://alephholding.lightning.force.com/lightning/r/Orderitem/802Uj00000PlUViIAN/view</t>
  </si>
  <si>
    <t>801Um00001IGH6rIAH</t>
  </si>
  <si>
    <t>https://alephholding.lightning.force.com/lightning/r/Orderitem/801Um00001IGH6rIAH/view</t>
  </si>
  <si>
    <t>https://alephholding.lightning.force.com/lightning/r/Orderitem/802Um00000EPwS9IAL/view</t>
  </si>
  <si>
    <t>801Uj00000Rz5jEIAR</t>
  </si>
  <si>
    <t>https://alephholding.lightning.force.com/lightning/r/Orderitem/801Uj00000Rz5jEIAR/view</t>
  </si>
  <si>
    <t>https://alephholding.lightning.force.com/lightning/r/Orderitem/802Um00000EQBe5IAH/view</t>
  </si>
  <si>
    <t>801Uj00000sxtm9IAA</t>
  </si>
  <si>
    <t>https://alephholding.lightning.force.com/lightning/r/Orderitem/801Uj00000sxtm9IAA/view</t>
  </si>
  <si>
    <t>https://alephholding.lightning.force.com/lightning/r/Orderitem/802Um00000DlYwPIAV/view</t>
  </si>
  <si>
    <t>801Uj00000yNoCsIAK</t>
  </si>
  <si>
    <t>https://alephholding.lightning.force.com/lightning/r/Orderitem/801Uj00000yNoCsIAK/view</t>
  </si>
  <si>
    <t>https://alephholding.lightning.force.com/lightning/r/Orderitem/802Um00000DauvRIAR/view</t>
  </si>
  <si>
    <t>801Um00001HUFddIAH</t>
  </si>
  <si>
    <t>https://alephholding.lightning.force.com/lightning/r/Orderitem/801Um00001HUFddIAH/view</t>
  </si>
  <si>
    <t>https://alephholding.lightning.force.com/lightning/r/Orderitem/802Um00000EBbPBIA1/view</t>
  </si>
  <si>
    <t>801Uj00000ymBugIAE</t>
  </si>
  <si>
    <t>https://alephholding.lightning.force.com/lightning/r/Orderitem/801Uj00000ymBugIAE/view</t>
  </si>
  <si>
    <t>https://alephholding.lightning.force.com/lightning/r/Orderitem/802Um00000DiFtVIAV/view</t>
  </si>
  <si>
    <t>801Uj00000PhPsnIAF</t>
  </si>
  <si>
    <t>https://alephholding.lightning.force.com/lightning/r/Orderitem/801Uj00000PhPsnIAF/view</t>
  </si>
  <si>
    <t>https://alephholding.lightning.force.com/lightning/r/Orderitem/802Um00000DpkpKIAR/view</t>
  </si>
  <si>
    <t>801Um00001FpDuvIAF</t>
  </si>
  <si>
    <t>https://alephholding.lightning.force.com/lightning/r/Orderitem/801Um00001FpDuvIAF/view</t>
  </si>
  <si>
    <t>https://alephholding.lightning.force.com/lightning/r/Orderitem/802Um00000Di2ZhIAJ/view</t>
  </si>
  <si>
    <t>801Um00001G03x6IAB</t>
  </si>
  <si>
    <t>https://alephholding.lightning.force.com/lightning/r/Orderitem/801Um00001G03x6IAB/view</t>
  </si>
  <si>
    <t>https://alephholding.lightning.force.com/lightning/r/Orderitem/802Um00000DlGoDIAV/view</t>
  </si>
  <si>
    <t>801Uj00000AQGZeIAP</t>
  </si>
  <si>
    <t>https://alephholding.lightning.force.com/lightning/r/Orderitem/801Uj00000AQGZeIAP/view</t>
  </si>
  <si>
    <t>https://alephholding.lightning.force.com/lightning/r/Orderitem/802Um00000DilmvIAB/view</t>
  </si>
  <si>
    <t>801Um00001FXiPNIA1</t>
  </si>
  <si>
    <t>https://alephholding.lightning.force.com/lightning/r/Orderitem/801Um00001FXiPNIA1/view</t>
  </si>
  <si>
    <t>https://alephholding.lightning.force.com/lightning/r/Orderitem/802Um00000DdKAfIAN/view</t>
  </si>
  <si>
    <t>801Uj00000z3O16IAE</t>
  </si>
  <si>
    <t>https://alephholding.lightning.force.com/lightning/r/Orderitem/801Uj00000z3O16IAE/view</t>
  </si>
  <si>
    <t>https://alephholding.lightning.force.com/lightning/r/Orderitem/802Uj00000PT1vCIAT/view</t>
  </si>
  <si>
    <t>801Uj00000xlf2iIAA</t>
  </si>
  <si>
    <t>https://alephholding.lightning.force.com/lightning/r/Orderitem/801Uj00000xlf2iIAA/view</t>
  </si>
  <si>
    <t>https://alephholding.lightning.force.com/lightning/r/Orderitem/802Um00000DlSvpIAF/view</t>
  </si>
  <si>
    <t>DT:change to BQ source (not priority)</t>
  </si>
  <si>
    <t>DT:We need to add Purchase country/Invoice receiver country</t>
  </si>
  <si>
    <t>this is SF field??</t>
  </si>
  <si>
    <t>C8-Diff</t>
  </si>
  <si>
    <t>Ad Account ID</t>
  </si>
  <si>
    <t>Invoice #</t>
  </si>
  <si>
    <t>Statement #</t>
  </si>
  <si>
    <t>Billing Period</t>
  </si>
  <si>
    <t>Amount Open Gross</t>
  </si>
  <si>
    <t>Amount Open Net</t>
  </si>
  <si>
    <t>Amount Open tax</t>
  </si>
  <si>
    <t>Month</t>
  </si>
  <si>
    <t>Invoice Receiver Country</t>
  </si>
  <si>
    <t>Amount Without VAT</t>
  </si>
  <si>
    <t>Agency Name</t>
  </si>
  <si>
    <t>Curr (Stat-SF)</t>
  </si>
  <si>
    <t>Dif (Stat-SF)</t>
  </si>
  <si>
    <t>Purch Country OK? (Stat-Del)</t>
  </si>
  <si>
    <t>Purch Curr OK? (Stat-Del)</t>
  </si>
  <si>
    <t>Dif (Stat-Del)</t>
  </si>
  <si>
    <t>Purch Curr OK? (Stat-Bil)</t>
  </si>
  <si>
    <t>Dif (Stat-Bil)</t>
  </si>
  <si>
    <t>Purch Curr OK? (Stat-Inv)</t>
  </si>
  <si>
    <t>Dif (Stat-Inv)</t>
  </si>
  <si>
    <t>Ad_Account_Name</t>
  </si>
  <si>
    <t>Statement_No</t>
  </si>
  <si>
    <t>Billing_Period</t>
  </si>
  <si>
    <t>Gross_Open_Balance_Transaction_Currency</t>
  </si>
  <si>
    <t>Stat_Tax</t>
  </si>
  <si>
    <t>Year_Month</t>
  </si>
  <si>
    <t>Address_Billing_Address_Country</t>
  </si>
  <si>
    <t>Amount_without_VAT</t>
  </si>
  <si>
    <t>Agency_Name</t>
  </si>
  <si>
    <t>Curr_stat_SF</t>
  </si>
  <si>
    <t>Spend_dif_stat_SF</t>
  </si>
  <si>
    <t>Purch_Country_stat_del</t>
  </si>
  <si>
    <t>Curr_stat_del</t>
  </si>
  <si>
    <t>Spend_dif_stat_del</t>
  </si>
  <si>
    <t>Curr_stat_bil</t>
  </si>
  <si>
    <t>Spend_dif_stat_bil</t>
  </si>
  <si>
    <t>Curr_stat_inv</t>
  </si>
  <si>
    <t>Spend_dif_stat_inv</t>
  </si>
  <si>
    <t>AR00397734 X | Banco Supervielle | ENE 26</t>
  </si>
  <si>
    <t>AR00404274 - X - Arg - Banco Nación - FEB 26</t>
  </si>
  <si>
    <t>AR00402266 X | PedidosYa AR | dmarts FEB26</t>
  </si>
  <si>
    <t>AR00402266 X | PedidosYa AR | dmarts MAR26 ok</t>
  </si>
  <si>
    <t>AR00408441 X | Cepas | Dr Lemon - Lolla</t>
  </si>
  <si>
    <t>UIP Argentina | Scream 7</t>
  </si>
  <si>
    <t>MPA | Somos Francos | Takeovers- 6/Feb, 4/Mar</t>
  </si>
  <si>
    <t>AR00260247 - TW - Satoshi Tango - Q3</t>
  </si>
  <si>
    <t>AR00396946 X | MODO | AO Performance</t>
  </si>
  <si>
    <t>AR00405925 - X | Arg | Renault | FEB 26</t>
  </si>
  <si>
    <t>MLA | LPF | video</t>
  </si>
  <si>
    <t>MLA | Verano | Takeover- 6/Enero, 4/Feb</t>
  </si>
  <si>
    <t>AR00405931 - X | Arg | Fernet Branca | Febrero 2026</t>
  </si>
  <si>
    <t>AR00395348 X | Santander | Verano 2026</t>
  </si>
  <si>
    <t>AR00344572 X - YOY - Branding - Tácticos</t>
  </si>
  <si>
    <t>AR00308588 SMB-X ARG - Balanz - Enero 2025</t>
  </si>
  <si>
    <t>MPA | Somos Francos</t>
  </si>
  <si>
    <t>AR00348122 TW - MODO - Promo Día</t>
  </si>
  <si>
    <t>AR00406370 | X | MCD ARG | Beef - MCFLURRY M&amp;MS - Feb-Mar 2026</t>
  </si>
  <si>
    <t>AR00404296 - X - Arg - GCBA - Feb26</t>
  </si>
  <si>
    <t>Rappi Argentina 2025 LInea de Credito</t>
  </si>
  <si>
    <t>CUC-00128065 - TW | Perfomance - Lemon Q3 23</t>
  </si>
  <si>
    <t>AR00223663 - SMB_ARG_BancoProvinciaCord_Enero24</t>
  </si>
  <si>
    <t>Warner Argentina | La Novia</t>
  </si>
  <si>
    <t>AR00392411 X | MODO | Cencosud</t>
  </si>
  <si>
    <t>AR00393374 - X - Arg - Red Bull - Summer - Q1 2026</t>
  </si>
  <si>
    <t>AR00399019 X | Bapro | ENE 26</t>
  </si>
  <si>
    <t>AR00280197 SMB-X ARG - Liliana - Octubre 24</t>
  </si>
  <si>
    <t>MLA | DD3 | Video</t>
  </si>
  <si>
    <t>AR00396284-X-YPF-COMBUSTIBLES-VERANO-Dic/Ene 26</t>
  </si>
  <si>
    <t>AR00395011 X | PedidosYa AR | Bundles Feb- Marzo 26</t>
  </si>
  <si>
    <t>AR00405872 | X | FLOW | ContMusicales- ADN Nacional - Feb 26</t>
  </si>
  <si>
    <t>AR00405715 - X - Arg - Supervielle - Timeline TO Q12026</t>
  </si>
  <si>
    <t>AR00403301 | X | Arg | Galicia | Febrero 2026</t>
  </si>
  <si>
    <t>AR00403015 | X | FLOW | Cont - LLQLL - Feb26</t>
  </si>
  <si>
    <t>AR00400821 - X - Arg - FieldView - Año 2026</t>
  </si>
  <si>
    <t>MLA | Campaña Verano</t>
  </si>
  <si>
    <t>AR00386009 - X - Arg - USAL - Q42025</t>
  </si>
  <si>
    <t>AR00367389 X | MODO | ChangoMás</t>
  </si>
  <si>
    <t>AR00400121 - X | Burger King - Cosquin Rock '26</t>
  </si>
  <si>
    <t>AR00401391 - X | Arg | Honda | Q1 2026</t>
  </si>
  <si>
    <t>UIP Argentina | Reminder of Him</t>
  </si>
  <si>
    <t>AR00398287 X | BetWarrior | Bundle 20FEB</t>
  </si>
  <si>
    <t>UIP Argentina | Hamnet</t>
  </si>
  <si>
    <t>AR00385631 X | MODO | Promo Diarco</t>
  </si>
  <si>
    <t>AR00226309 - SMB - ARG - X - Al Mundo - Febrero 2024</t>
  </si>
  <si>
    <t>MLA | Double Dates 2026 | Takeovers</t>
  </si>
  <si>
    <t>AR00303899 SMB-X ARG - Cocos Capital - Dic/Ene</t>
  </si>
  <si>
    <t>AR00386903 _X - Arg - Cinemark - Q42025</t>
  </si>
  <si>
    <t>AR00249217 SMB-X ARG - Flybondi (may - jun 24)</t>
  </si>
  <si>
    <t>MLA | Fecha Doble 2/2</t>
  </si>
  <si>
    <t>Publisher PO ID</t>
  </si>
  <si>
    <t>Date</t>
  </si>
  <si>
    <t>ARG</t>
  </si>
  <si>
    <t>Total Comm USD Curr</t>
  </si>
  <si>
    <t>Advertiser Country</t>
  </si>
  <si>
    <t>Commission</t>
  </si>
  <si>
    <t>Direct Tax</t>
  </si>
  <si>
    <t>With Tax</t>
  </si>
  <si>
    <t>Markup</t>
  </si>
  <si>
    <t>Only Rep BU</t>
  </si>
  <si>
    <t>ALL BUs</t>
  </si>
  <si>
    <t>Total Net Interco</t>
  </si>
  <si>
    <t>DEAL NAME</t>
  </si>
  <si>
    <t>DISCOUNT RATE</t>
  </si>
  <si>
    <t>ORION Argentina P1435 - 2024 #18</t>
  </si>
  <si>
    <t>Salesforce Reporting Exchange Rate</t>
  </si>
  <si>
    <t>Next Start Date</t>
  </si>
  <si>
    <t>Isocode</t>
  </si>
  <si>
    <t>USD - EUR_rer</t>
  </si>
  <si>
    <t>Last updated time of DatedConversionRate</t>
  </si>
  <si>
    <t>Product</t>
  </si>
  <si>
    <t>OK. Twitter Comm. ERR</t>
  </si>
  <si>
    <t>TAX AMMOUNT TWITTER</t>
  </si>
  <si>
    <t>DIFF IN COGS  WITHOUT TAX ERR</t>
  </si>
  <si>
    <t>TAX AMMOUNT TWITTER USD</t>
  </si>
  <si>
    <t>SO READY TO EXPORT</t>
  </si>
  <si>
    <t>PO READY TO EXPORT</t>
  </si>
  <si>
    <t>SO CONFIRMED</t>
  </si>
  <si>
    <t>Company</t>
  </si>
  <si>
    <t>Confirmed ship date</t>
  </si>
  <si>
    <t>Item number</t>
  </si>
  <si>
    <t>Text</t>
  </si>
  <si>
    <t>Unit</t>
  </si>
  <si>
    <t>Quantity</t>
  </si>
  <si>
    <t>Unit price</t>
  </si>
  <si>
    <t>Net amount</t>
  </si>
  <si>
    <t>Sales tax group</t>
  </si>
  <si>
    <t>Item sales tax group</t>
  </si>
  <si>
    <t>Insertion order line reference</t>
  </si>
  <si>
    <t>Customer requisition</t>
  </si>
  <si>
    <t>Line status</t>
  </si>
  <si>
    <t>imex</t>
  </si>
  <si>
    <t>IMEX</t>
  </si>
  <si>
    <t>IUSA</t>
  </si>
  <si>
    <t>Posting type</t>
  </si>
  <si>
    <t>Customer name</t>
  </si>
  <si>
    <t>Customer account</t>
  </si>
  <si>
    <t>Vendor name</t>
  </si>
  <si>
    <t>Vendor account</t>
  </si>
  <si>
    <t>SO / PO</t>
  </si>
  <si>
    <t>Ledger account</t>
  </si>
  <si>
    <t>Journal number</t>
  </si>
  <si>
    <t>Voucher</t>
  </si>
  <si>
    <t>Document date</t>
  </si>
  <si>
    <t>Ledger account2</t>
  </si>
  <si>
    <t>Main account</t>
  </si>
  <si>
    <t>Account name</t>
  </si>
  <si>
    <t>Amount in transaction currency</t>
  </si>
  <si>
    <t>Amount</t>
  </si>
  <si>
    <t>Amount in reporting currency</t>
  </si>
  <si>
    <t>Posting layer</t>
  </si>
  <si>
    <t>Created by</t>
  </si>
  <si>
    <t>ENTITY</t>
  </si>
  <si>
    <t>ACCOUNT</t>
  </si>
  <si>
    <t>Sales - packing slip revenue</t>
  </si>
  <si>
    <t>SOIAR-000016485, XI4AP1YG9A</t>
  </si>
  <si>
    <t>SOIAR-000016485</t>
  </si>
  <si>
    <t>4101011200-Twitter-ARG-IARG-ARG-Rep</t>
  </si>
  <si>
    <t>4101011200</t>
  </si>
  <si>
    <t>Representation</t>
  </si>
  <si>
    <t>Current</t>
  </si>
  <si>
    <t>pedro.ferrauti</t>
  </si>
  <si>
    <t>IARG</t>
  </si>
  <si>
    <t>REV</t>
  </si>
  <si>
    <t>SOIAR-000016484, XI4AP1YG9A</t>
  </si>
  <si>
    <t>SOIAR-000016484</t>
  </si>
  <si>
    <t>SOIAR-000016483, XI4AP1YG9A</t>
  </si>
  <si>
    <t>SOIAR-000016483</t>
  </si>
  <si>
    <t>SOIAR-000016474, XI4AP1YG9A</t>
  </si>
  <si>
    <t>SOIAR-000016474</t>
  </si>
  <si>
    <t>SOIAR-000015288</t>
  </si>
  <si>
    <t>SOIAR-000002794, 33716040149</t>
  </si>
  <si>
    <t>SOIAR-000002794</t>
  </si>
  <si>
    <t>SOIAR-000016503, 33707344089</t>
  </si>
  <si>
    <t>SOIAR-000016503</t>
  </si>
  <si>
    <t>SOIAR-000004457</t>
  </si>
  <si>
    <t>SOIAR-000016507</t>
  </si>
  <si>
    <t>SOIAR-000016498</t>
  </si>
  <si>
    <t>SOIAR-000016496</t>
  </si>
  <si>
    <t>SOIAR-000016497, 33547992429</t>
  </si>
  <si>
    <t>SOIAR-000016497</t>
  </si>
  <si>
    <t>SOIAR-000011082, 30716369087</t>
  </si>
  <si>
    <t>SOIAR-000011082</t>
  </si>
  <si>
    <t>SOIAR-000005460, 30716342790</t>
  </si>
  <si>
    <t>SOIAR-000005460</t>
  </si>
  <si>
    <t>SOIAR-000016504, 30716209551</t>
  </si>
  <si>
    <t>SOIAR-000016504</t>
  </si>
  <si>
    <t>SOIAR-000016493, 30715907948</t>
  </si>
  <si>
    <t>SOIAR-000016493</t>
  </si>
  <si>
    <t>4101011200-Twitter-ALL-IARG-ARG-Rep</t>
  </si>
  <si>
    <t>SOIAR-000016490</t>
  </si>
  <si>
    <t>SOIAR-000009798, 30715803891</t>
  </si>
  <si>
    <t>SOIAR-000009798</t>
  </si>
  <si>
    <t>4101011200-Twitter Billing-ARG-IARG-ARG-Rep</t>
  </si>
  <si>
    <t>SOIAR-000015196, 30715554530</t>
  </si>
  <si>
    <t>SOIAR-000015196</t>
  </si>
  <si>
    <t>SOIAR-000004486, 30715554530</t>
  </si>
  <si>
    <t>SOIAR-000004486</t>
  </si>
  <si>
    <t>SOIAR-000016491, 30715225537</t>
  </si>
  <si>
    <t>SOIAR-000016491</t>
  </si>
  <si>
    <t>SOIAR-000016481</t>
  </si>
  <si>
    <t>SOIAR-000016479, 30715225537</t>
  </si>
  <si>
    <t>SOIAR-000016479</t>
  </si>
  <si>
    <t>SOIAR-000016478, 30715225537</t>
  </si>
  <si>
    <t>SOIAR-000016478</t>
  </si>
  <si>
    <t>SOIAR-000016476, 30715225537</t>
  </si>
  <si>
    <t>SOIAR-000016476</t>
  </si>
  <si>
    <t>SOIAR-000016500, 30712014047</t>
  </si>
  <si>
    <t>SOIAR-000016500</t>
  </si>
  <si>
    <t>SOIAR-000016477, 30712014047</t>
  </si>
  <si>
    <t>SOIAR-000016477</t>
  </si>
  <si>
    <t>SOIAR-000015308, 30712014047</t>
  </si>
  <si>
    <t>SOIAR-000015308</t>
  </si>
  <si>
    <t>SOIAR-000015200, 30712014047</t>
  </si>
  <si>
    <t>SOIAR-000015200</t>
  </si>
  <si>
    <t>SOIAR-000015194</t>
  </si>
  <si>
    <t>SOIAR-000013026, 30712014047</t>
  </si>
  <si>
    <t>SOIAR-000013026</t>
  </si>
  <si>
    <t>SOIAR-000011645, 30712014047</t>
  </si>
  <si>
    <t>SOIAR-000011645</t>
  </si>
  <si>
    <t>SOIAR-000016494, 30711620857</t>
  </si>
  <si>
    <t>SOIAR-000016494</t>
  </si>
  <si>
    <t>SOIAR-000008711, 30710630670</t>
  </si>
  <si>
    <t>SOIAR-000008711</t>
  </si>
  <si>
    <t>SOIAR-000012331</t>
  </si>
  <si>
    <t>SOIAR-000016510, 30708983906</t>
  </si>
  <si>
    <t>SOIAR-000016510</t>
  </si>
  <si>
    <t>SOIAR-000016472, 30708983906</t>
  </si>
  <si>
    <t>SOIAR-000016472</t>
  </si>
  <si>
    <t>SOIAR-000015325</t>
  </si>
  <si>
    <t>SOIAR-000015323</t>
  </si>
  <si>
    <t>SOIAR-000008235, 30708424478</t>
  </si>
  <si>
    <t>SOIAR-000008235</t>
  </si>
  <si>
    <t>SOIAR-000016482</t>
  </si>
  <si>
    <t>SOIAR-000016486</t>
  </si>
  <si>
    <t>SOIAR-000015305</t>
  </si>
  <si>
    <t>SOIAR-000007132, 30707117016</t>
  </si>
  <si>
    <t>SOIAR-000007132</t>
  </si>
  <si>
    <t>SOIAR-000016473, 30693739698</t>
  </si>
  <si>
    <t>SOIAR-000016473</t>
  </si>
  <si>
    <t>SOIAR-000016471, 30693739698</t>
  </si>
  <si>
    <t>SOIAR-000016471</t>
  </si>
  <si>
    <t>SOIAR-000016470</t>
  </si>
  <si>
    <t>SOIAR-000016469, 30693739698</t>
  </si>
  <si>
    <t>SOIAR-000016469</t>
  </si>
  <si>
    <t>SOIAR-000016468, 30693739698</t>
  </si>
  <si>
    <t>SOIAR-000016468</t>
  </si>
  <si>
    <t>SOIAR-000016499</t>
  </si>
  <si>
    <t>SOIAR-000016488</t>
  </si>
  <si>
    <t>SOIAR-000015317</t>
  </si>
  <si>
    <t>SOIAR-000016502, 30685376349</t>
  </si>
  <si>
    <t>SOIAR-000016502</t>
  </si>
  <si>
    <t>SOIAR-000003203, 30659514628</t>
  </si>
  <si>
    <t>SOIAR-000003203</t>
  </si>
  <si>
    <t>SOIAR-000016509</t>
  </si>
  <si>
    <t>SOIAR-000016508, 30639453738</t>
  </si>
  <si>
    <t>SOIAR-000016505</t>
  </si>
  <si>
    <t>SOIAR-000015131</t>
  </si>
  <si>
    <t>SOIAR-000016506</t>
  </si>
  <si>
    <t>SOIAR-000016492, 30630308557</t>
  </si>
  <si>
    <t>SOIAR-000016492</t>
  </si>
  <si>
    <t>SOIAR-000015295</t>
  </si>
  <si>
    <t>SOIAR-000016511, 30546689979</t>
  </si>
  <si>
    <t>SOIAR-000016511</t>
  </si>
  <si>
    <t>SOIAR-000016501</t>
  </si>
  <si>
    <t>SOIAR-000016495</t>
  </si>
  <si>
    <t>SOIAR-000016489</t>
  </si>
  <si>
    <t>SOIAR-000016487</t>
  </si>
  <si>
    <t>SOIAR-000015320, 30546689979</t>
  </si>
  <si>
    <t>SOIAR-000015320</t>
  </si>
  <si>
    <t>SOIAR-000016475</t>
  </si>
  <si>
    <t>SOIAR-000015321, 30500008454</t>
  </si>
  <si>
    <t>SOIAR-000015321</t>
  </si>
  <si>
    <t>SOIAR-000015911</t>
  </si>
  <si>
    <t>SOIAR-000015941, 30693739698</t>
  </si>
  <si>
    <t>SOIAR-000015941</t>
  </si>
  <si>
    <t>henry.hernandez</t>
  </si>
  <si>
    <t>SOIAR-000015162, 30693739698</t>
  </si>
  <si>
    <t>SOIAR-000015162</t>
  </si>
  <si>
    <t>SOIAR-000015169, 30693739698</t>
  </si>
  <si>
    <t>SOIAR-000015169</t>
  </si>
  <si>
    <t>Sales order revenue</t>
  </si>
  <si>
    <t>ana.scotti</t>
  </si>
  <si>
    <t>Digital Age S.A.</t>
  </si>
  <si>
    <t>30717552047</t>
  </si>
  <si>
    <t>4101011200-Twitter--IARG-ARG-Rep</t>
  </si>
  <si>
    <t>SOIAR-000015325, 30708983906, Carat Argentina SA</t>
  </si>
  <si>
    <t>SOIAR-000015323, 30708983906, Carat Argentina SA</t>
  </si>
  <si>
    <t>SOIAR-000009798, 30715803891, RAPPI ARG S.A.S.</t>
  </si>
  <si>
    <t>YPF SA</t>
  </si>
  <si>
    <t>SOIAR-000015320, 30546689979, YPF SA</t>
  </si>
  <si>
    <t>SOIAR-000007132, 30707117016, IPROSPECT MEDIA SA</t>
  </si>
  <si>
    <t>SOIAR-000015305, 30707117016, IPROSPECT MEDIA SA</t>
  </si>
  <si>
    <t>SOIAR-000015321, 30500008454, Banco Santander Argentina S.A</t>
  </si>
  <si>
    <t>OSA ONE STEP AHEAD SA</t>
  </si>
  <si>
    <t>SOIAR-000013026, 30712014047, OSA ONE STEP AHEAD SA</t>
  </si>
  <si>
    <t>SOIAR-000015200, 30712014047, OSA ONE STEP AHEAD SA</t>
  </si>
  <si>
    <t>SOIAR-000015194, 30712014047, OSA ONE STEP AHEAD SA</t>
  </si>
  <si>
    <t>SOIAR-000011645, 30712014047, OSA ONE STEP AHEAD SA</t>
  </si>
  <si>
    <t>SOIAR-000015308, 30712014047, OSA ONE STEP AHEAD SA</t>
  </si>
  <si>
    <t>SOIAR-000008711, 30710630670, BALANZ CAPITAL VALORES SAU</t>
  </si>
  <si>
    <t>BRANDLIVE S.A.</t>
  </si>
  <si>
    <t>30709964360</t>
  </si>
  <si>
    <t>SOIAR-000015196, 30715554530, Bullmetrix SRL</t>
  </si>
  <si>
    <t>SOIAR-000004486, 30715554530, Bullmetrix SRL</t>
  </si>
  <si>
    <t>Cocos Capital SA</t>
  </si>
  <si>
    <t>SOIAR-000008235, 30708424478, Cocos Capital SA</t>
  </si>
  <si>
    <t>SOIAR-000015192</t>
  </si>
  <si>
    <t>SOIAR-000004457, 33707344089, Encender S.A.</t>
  </si>
  <si>
    <t>PREX CARD SAS</t>
  </si>
  <si>
    <t>33716797959</t>
  </si>
  <si>
    <t>SOIAR-000015288, 33716797959, PREX CARD SAS</t>
  </si>
  <si>
    <t>SOIAR-000002794, 33716040149, Wobra S.A.S.</t>
  </si>
  <si>
    <t>OMD Argentina SA</t>
  </si>
  <si>
    <t>30691546833</t>
  </si>
  <si>
    <t>SOIAR-000015317, 30691546833, OMD Argentina SA</t>
  </si>
  <si>
    <t>SOIAR-000015295, 30630308557, MMS Comunicaciones Argentina S.R.L</t>
  </si>
  <si>
    <t>SOIAR-000010989, 33547992429, Assist Card Argentina Sociedad Anonima De Servicios</t>
  </si>
  <si>
    <t>SOIAR-000003203, 30659514628, Almundo.com SRL</t>
  </si>
  <si>
    <t>IPG Media Brands SA</t>
  </si>
  <si>
    <t>SOIAR-000015131, 30639453738, Telecom Argentina SA</t>
  </si>
  <si>
    <t>roman.villanueva</t>
  </si>
  <si>
    <t>Admin</t>
  </si>
  <si>
    <t>Purchase expenditure, un-invoiced</t>
  </si>
  <si>
    <t>5101011200</t>
  </si>
  <si>
    <t>COGS</t>
  </si>
  <si>
    <t>POIME-000032159, 208913779</t>
  </si>
  <si>
    <t>POIME-000032159</t>
  </si>
  <si>
    <t>5101011200-Twitter-ARG-IARG-ARG-Rep</t>
  </si>
  <si>
    <t>5101011850-Twitter-ARG-IARG-ARG-Rep</t>
  </si>
  <si>
    <t>5101011850</t>
  </si>
  <si>
    <t>WITHHOLDING TAX RECOVERY</t>
  </si>
  <si>
    <t>POIME-000032158, 208913779</t>
  </si>
  <si>
    <t>POIME-000032158</t>
  </si>
  <si>
    <t>POIME-000032153, 208913779</t>
  </si>
  <si>
    <t>POIME-000032153</t>
  </si>
  <si>
    <t>POIME-000032152, 208913779</t>
  </si>
  <si>
    <t>POIME-000032152</t>
  </si>
  <si>
    <t>POIME-000032151, 208913779</t>
  </si>
  <si>
    <t>POIME-000032151</t>
  </si>
  <si>
    <t>5101011850-Twitter-ALL-IARG-ARG-Rep</t>
  </si>
  <si>
    <t>5101011200-Twitter-ALL-IARG-ARG-Rep</t>
  </si>
  <si>
    <t>POIME-000032144, 208913779</t>
  </si>
  <si>
    <t>POIME-000032144</t>
  </si>
  <si>
    <t>POIME-000032116, 208913779</t>
  </si>
  <si>
    <t>POIME-000032116</t>
  </si>
  <si>
    <t>POIME-000032110, 208913779</t>
  </si>
  <si>
    <t>POIME-000032110</t>
  </si>
  <si>
    <t>POIME-000032108, 208913779</t>
  </si>
  <si>
    <t>POIME-000032108</t>
  </si>
  <si>
    <t>POIME-000032104, 208913779</t>
  </si>
  <si>
    <t>POIME-000032104</t>
  </si>
  <si>
    <t>POIME-000032094, 208913779</t>
  </si>
  <si>
    <t>POIME-000032094</t>
  </si>
  <si>
    <t>POIME-000032093, 208913779</t>
  </si>
  <si>
    <t>POIME-000032093</t>
  </si>
  <si>
    <t>POIME-000032084, 208913779</t>
  </si>
  <si>
    <t>POIME-000032084</t>
  </si>
  <si>
    <t>POIME-000032083, 208913779</t>
  </si>
  <si>
    <t>POIME-000032083</t>
  </si>
  <si>
    <t>POIME-000032078, 208913779</t>
  </si>
  <si>
    <t>POIME-000032078</t>
  </si>
  <si>
    <t>POIME-000032077, 208913779</t>
  </si>
  <si>
    <t>POIME-000032077</t>
  </si>
  <si>
    <t>POIME-000032075, 208913779</t>
  </si>
  <si>
    <t>POIME-000032075</t>
  </si>
  <si>
    <t>POIME-000032073, 208913779</t>
  </si>
  <si>
    <t>POIME-000032073</t>
  </si>
  <si>
    <t>POIME-000032058, 208913779</t>
  </si>
  <si>
    <t>POIME-000032058</t>
  </si>
  <si>
    <t>POIME-000032057, 208913779</t>
  </si>
  <si>
    <t>POIME-000032057</t>
  </si>
  <si>
    <t>POIME-000032055, 208913779</t>
  </si>
  <si>
    <t>POIME-000032055</t>
  </si>
  <si>
    <t>5101011200-Twitter Billing-ARG-IARG-ARG-Rep</t>
  </si>
  <si>
    <t>5101011850-Twitter Billing-ARG-IARG-ARG-Rep</t>
  </si>
  <si>
    <t>POIME-000032052, 208913779</t>
  </si>
  <si>
    <t>POIME-000032052</t>
  </si>
  <si>
    <t>POIME-000032048, 208913779</t>
  </si>
  <si>
    <t>POIME-000032048</t>
  </si>
  <si>
    <t>POIME-000032047, 208913779</t>
  </si>
  <si>
    <t>POIME-000032047</t>
  </si>
  <si>
    <t>POIME-000032046, 208913779</t>
  </si>
  <si>
    <t>POIME-000032046</t>
  </si>
  <si>
    <t>POIME-000031499, 208913779</t>
  </si>
  <si>
    <t>POIME-000031499</t>
  </si>
  <si>
    <t>POIME-000031476, 208913779</t>
  </si>
  <si>
    <t>POIME-000031476</t>
  </si>
  <si>
    <t>POIME-000031455, 208913779</t>
  </si>
  <si>
    <t>POIME-000031455</t>
  </si>
  <si>
    <t>POIME-000030815, 208913779</t>
  </si>
  <si>
    <t>POIME-000030815</t>
  </si>
  <si>
    <t>POIME-000030764, 208913779</t>
  </si>
  <si>
    <t>POIME-000030764</t>
  </si>
  <si>
    <t>POIME-000028274, 208913779</t>
  </si>
  <si>
    <t>POIME-000028274</t>
  </si>
  <si>
    <t>POIME-000026272, 208913779</t>
  </si>
  <si>
    <t>POIME-000026272</t>
  </si>
  <si>
    <t>POIME-000025949, 208913779</t>
  </si>
  <si>
    <t>POIME-000025949</t>
  </si>
  <si>
    <t>POIME-000023168, 208913779</t>
  </si>
  <si>
    <t>POIME-000023168</t>
  </si>
  <si>
    <t>POIME-000020944, 208913779</t>
  </si>
  <si>
    <t>POIME-000020944</t>
  </si>
  <si>
    <t>POIME-000019538, 208913779</t>
  </si>
  <si>
    <t>POIME-000019538</t>
  </si>
  <si>
    <t>POIME-000016619, 208913779</t>
  </si>
  <si>
    <t>POIME-000016619</t>
  </si>
  <si>
    <t>POIME-000013752, 208913779</t>
  </si>
  <si>
    <t>POIME-000013752</t>
  </si>
  <si>
    <t>POIME-000009767, 208913779</t>
  </si>
  <si>
    <t>POIME-000009767</t>
  </si>
  <si>
    <t>POIME-000005831, 208913779</t>
  </si>
  <si>
    <t>POIME-000005831</t>
  </si>
  <si>
    <t>POIME-000005014, 208913779</t>
  </si>
  <si>
    <t>POIME-000005014</t>
  </si>
  <si>
    <t>Company Code</t>
  </si>
  <si>
    <t>Posting Date</t>
  </si>
  <si>
    <t>Customer</t>
  </si>
  <si>
    <t>Name of Customer</t>
  </si>
  <si>
    <t>Sales Document</t>
  </si>
  <si>
    <t>Purchasing Document</t>
  </si>
  <si>
    <t>G/L Account</t>
  </si>
  <si>
    <t>WBS Element</t>
  </si>
  <si>
    <t>Transaction Currency</t>
  </si>
  <si>
    <t>Amount in Transaction Currency</t>
  </si>
  <si>
    <t>Company Code Currency</t>
  </si>
  <si>
    <t>Amount in Company Code Currency</t>
  </si>
  <si>
    <t>Amount in Global Currency</t>
  </si>
  <si>
    <t>Assignment Reference</t>
  </si>
  <si>
    <t>Journal Entry</t>
  </si>
  <si>
    <t>Journal Entry Type</t>
  </si>
  <si>
    <t>Posting Key</t>
  </si>
  <si>
    <t>Tax Code</t>
  </si>
  <si>
    <t>Clearing Journal Entry</t>
  </si>
  <si>
    <t>Profit Center</t>
  </si>
  <si>
    <t>Segment</t>
  </si>
  <si>
    <t>Journal Entry Item Text</t>
  </si>
  <si>
    <t>Number of Items</t>
  </si>
  <si>
    <t>Creation Date Time (UTC)</t>
  </si>
  <si>
    <t>Journal Entry Created By</t>
  </si>
  <si>
    <t>Year</t>
  </si>
  <si>
    <t>Line Month</t>
  </si>
  <si>
    <t>Project : Opportunity : Aleph Campaign ID</t>
  </si>
  <si>
    <t>Company Name (Know as + Country)</t>
  </si>
  <si>
    <t>Vendor</t>
  </si>
  <si>
    <t>Delivery Country</t>
  </si>
  <si>
    <t>Total Net Budget (Delivered) (converted)</t>
  </si>
  <si>
    <t>Total Net Cost (Delivered) (converted)</t>
  </si>
  <si>
    <t>Margin Amount (Delivered) (converted)</t>
  </si>
  <si>
    <t>Company to invoice</t>
  </si>
  <si>
    <t>Branding/Performance</t>
  </si>
  <si>
    <t>Project : Company to invoice : Payment condition</t>
  </si>
  <si>
    <t>Rev. Act. FX / Closing FX</t>
  </si>
  <si>
    <t>2025</t>
  </si>
  <si>
    <t>31/1/2026</t>
  </si>
  <si>
    <t>Auction / Budget</t>
  </si>
  <si>
    <t>75 days</t>
  </si>
  <si>
    <t>Purchase order</t>
  </si>
  <si>
    <t>Line number</t>
  </si>
  <si>
    <t>Procurement category</t>
  </si>
  <si>
    <t>Vendor reference</t>
  </si>
  <si>
    <t>Financial dimensions.BusinessUnitGroup</t>
  </si>
  <si>
    <t>Financial dimensions.DeliveryCountry</t>
  </si>
  <si>
    <t>Financial dimensions.Intercompany</t>
  </si>
  <si>
    <t>Financial dimensions.ReportingCountry</t>
  </si>
  <si>
    <t>Financial dimensions.Item</t>
  </si>
  <si>
    <t>Financial dimensions.CostCenter</t>
  </si>
  <si>
    <t>Financial dimensions.Scope</t>
  </si>
  <si>
    <t>Financial dimensions.Campaign</t>
  </si>
  <si>
    <t>Delivery date</t>
  </si>
  <si>
    <t>Rep</t>
  </si>
  <si>
    <t>IVAVIRTUAL</t>
  </si>
  <si>
    <t>C-TODOS</t>
  </si>
  <si>
    <t>Open Order</t>
  </si>
  <si>
    <t>ERP</t>
  </si>
  <si>
    <t>CRM</t>
  </si>
  <si>
    <t>CRM PREV_M</t>
  </si>
  <si>
    <t>∆</t>
  </si>
  <si>
    <t>CONC_PREV</t>
  </si>
  <si>
    <t>A&amp;R</t>
  </si>
  <si>
    <t>Suma de Net Budget Delivered (Billing Currency)</t>
  </si>
  <si>
    <t>SOIAR-000016480</t>
  </si>
  <si>
    <t>30714474150</t>
  </si>
  <si>
    <t>TODO REV</t>
  </si>
  <si>
    <t>TODO COST</t>
  </si>
  <si>
    <t>OK. Twitter tax err.</t>
  </si>
  <si>
    <t>SOIUS-000002102</t>
  </si>
  <si>
    <t>POIME-000023839</t>
  </si>
  <si>
    <t>SOIAR-000017106</t>
  </si>
  <si>
    <t>POIME-000032573</t>
  </si>
  <si>
    <t>SOIAR-000017098</t>
  </si>
  <si>
    <t>POIME-000032565</t>
  </si>
  <si>
    <t>POIME-000030778</t>
  </si>
  <si>
    <t>SOIAR-000017099</t>
  </si>
  <si>
    <t>POIME-000032566</t>
  </si>
  <si>
    <t>SOIAR-000017102</t>
  </si>
  <si>
    <t>POIME-000032572</t>
  </si>
  <si>
    <t>SOIAR-000017120</t>
  </si>
  <si>
    <t>POIME-000032576</t>
  </si>
  <si>
    <t>POIME-000032660</t>
  </si>
  <si>
    <t>SOIAR-000017104</t>
  </si>
  <si>
    <t>POIME-000032564</t>
  </si>
  <si>
    <t>SOIAR-000017100</t>
  </si>
  <si>
    <t>POIME-000032562</t>
  </si>
  <si>
    <t>SOIAR-000017125</t>
  </si>
  <si>
    <t>POIME-000032579</t>
  </si>
  <si>
    <t>SOIAR-000017113</t>
  </si>
  <si>
    <t>POIME-000032580</t>
  </si>
  <si>
    <t>SOIAR-000017109</t>
  </si>
  <si>
    <t>POIME-000032581</t>
  </si>
  <si>
    <t>POIME-000032596</t>
  </si>
  <si>
    <t>SOIAR-000017127</t>
  </si>
  <si>
    <t>POIME-000032603</t>
  </si>
  <si>
    <t>SOIAR-000017123</t>
  </si>
  <si>
    <t>POIME-000032597</t>
  </si>
  <si>
    <t>SOIAR-000017111</t>
  </si>
  <si>
    <t>POIME-000032644</t>
  </si>
  <si>
    <t>SOIAR-000017107</t>
  </si>
  <si>
    <t>POIME-000032592</t>
  </si>
  <si>
    <t>SOIAR-000017108</t>
  </si>
  <si>
    <t>POIME-000032595</t>
  </si>
  <si>
    <t>POIME-000032593</t>
  </si>
  <si>
    <t>SOIAR-000017116</t>
  </si>
  <si>
    <t>POIME-000032600</t>
  </si>
  <si>
    <t>SOIAR-000017114</t>
  </si>
  <si>
    <t>POIME-000032614</t>
  </si>
  <si>
    <t>SOIAR-000017101</t>
  </si>
  <si>
    <t>POIME-000032567</t>
  </si>
  <si>
    <t>SOIAR-000017112</t>
  </si>
  <si>
    <t>POIME-000032609</t>
  </si>
  <si>
    <t>SOIAR-000017122</t>
  </si>
  <si>
    <t>POIME-000032636</t>
  </si>
  <si>
    <t>SOIAR-000017124</t>
  </si>
  <si>
    <t>POIME-000032627</t>
  </si>
  <si>
    <t>SOIAR-000017121</t>
  </si>
  <si>
    <t>POIME-000032610</t>
  </si>
  <si>
    <t>SOIAR-000017131</t>
  </si>
  <si>
    <t>POIME-000032623</t>
  </si>
  <si>
    <t>SOIAR-000017119</t>
  </si>
  <si>
    <t>POIME-000032604</t>
  </si>
  <si>
    <t>POIME-000032618</t>
  </si>
  <si>
    <t>SOIAR-000017128</t>
  </si>
  <si>
    <t>POIME-000032620</t>
  </si>
  <si>
    <t>SOIAR-000017118</t>
  </si>
  <si>
    <t>POIME-000032625</t>
  </si>
  <si>
    <t>SOIAR-000017126</t>
  </si>
  <si>
    <t>POIME-000032626</t>
  </si>
  <si>
    <t>SOIAR-000017130</t>
  </si>
  <si>
    <t>POIME-000032624</t>
  </si>
  <si>
    <t>SOIAR-000017103</t>
  </si>
  <si>
    <t>POIME-000032568</t>
  </si>
  <si>
    <t>SOIAR-000017129</t>
  </si>
  <si>
    <t>POIME-000032645</t>
  </si>
  <si>
    <t>SOIAR-000017115</t>
  </si>
  <si>
    <t>POIME-000032637</t>
  </si>
  <si>
    <t>SOIAR-000017110</t>
  </si>
  <si>
    <t>POIME-000032646</t>
  </si>
  <si>
    <t>SOIAR-000017105</t>
  </si>
  <si>
    <t>POIME-000032570</t>
  </si>
  <si>
    <t>SOIAR-000017117</t>
  </si>
  <si>
    <t>POIME-000032659</t>
  </si>
  <si>
    <t>SOIAR-000017125, XI4AP1YG9A</t>
  </si>
  <si>
    <t>GJT230644</t>
  </si>
  <si>
    <t>PS021002</t>
  </si>
  <si>
    <t>SOIAR-000017106, XI4AP1YG9A</t>
  </si>
  <si>
    <t>GJT230643</t>
  </si>
  <si>
    <t>PS021001</t>
  </si>
  <si>
    <t>GJT230642</t>
  </si>
  <si>
    <t>PS021000</t>
  </si>
  <si>
    <t>GJT230641</t>
  </si>
  <si>
    <t>PS020999</t>
  </si>
  <si>
    <t>GJT230640</t>
  </si>
  <si>
    <t>PS020998</t>
  </si>
  <si>
    <t>GJT230639</t>
  </si>
  <si>
    <t>PS020997</t>
  </si>
  <si>
    <t>SOIAR-000017117, 64AOXPAPWT</t>
  </si>
  <si>
    <t>GJT230638</t>
  </si>
  <si>
    <t>PS020996</t>
  </si>
  <si>
    <t>GJT230637</t>
  </si>
  <si>
    <t>PS020995</t>
  </si>
  <si>
    <t>GJT230636</t>
  </si>
  <si>
    <t>PS020994</t>
  </si>
  <si>
    <t>SOIAR-000017128, 33695614549</t>
  </si>
  <si>
    <t>GJT230635</t>
  </si>
  <si>
    <t>PS020993</t>
  </si>
  <si>
    <t>SOIAR-000017109, 33695614549</t>
  </si>
  <si>
    <t>GJT230634</t>
  </si>
  <si>
    <t>PS020992</t>
  </si>
  <si>
    <t>SOIAR-000017108, 33695614549</t>
  </si>
  <si>
    <t>GJT230633</t>
  </si>
  <si>
    <t>PS020991</t>
  </si>
  <si>
    <t>GJT230632</t>
  </si>
  <si>
    <t>PS020990</t>
  </si>
  <si>
    <t>GJT230631</t>
  </si>
  <si>
    <t>PS020989</t>
  </si>
  <si>
    <t>GJT230630</t>
  </si>
  <si>
    <t>PS020988</t>
  </si>
  <si>
    <t>SOIAR-000017111, 30716321033</t>
  </si>
  <si>
    <t>GJT230629</t>
  </si>
  <si>
    <t>PS020987</t>
  </si>
  <si>
    <t>GJT230628</t>
  </si>
  <si>
    <t>PS020986</t>
  </si>
  <si>
    <t>SOIAR-000017113, 30715907948</t>
  </si>
  <si>
    <t>GJT230627</t>
  </si>
  <si>
    <t>PS020985</t>
  </si>
  <si>
    <t>GJT230626</t>
  </si>
  <si>
    <t>PS020984</t>
  </si>
  <si>
    <t>SOIAR-000017123, 30715825852</t>
  </si>
  <si>
    <t>GJT230625</t>
  </si>
  <si>
    <t>PS020983</t>
  </si>
  <si>
    <t>GJT230624</t>
  </si>
  <si>
    <t>PS020982</t>
  </si>
  <si>
    <t>GJT230623</t>
  </si>
  <si>
    <t>PS020981</t>
  </si>
  <si>
    <t>GJT230622</t>
  </si>
  <si>
    <t>PS020980</t>
  </si>
  <si>
    <t>SOIAR-000017131, 30715225537</t>
  </si>
  <si>
    <t>GJT230621</t>
  </si>
  <si>
    <t>PS020979</t>
  </si>
  <si>
    <t>SOIAR-000017107, 30715225537</t>
  </si>
  <si>
    <t>GJT230620</t>
  </si>
  <si>
    <t>PS020978</t>
  </si>
  <si>
    <t>GJT230619</t>
  </si>
  <si>
    <t>PS020977</t>
  </si>
  <si>
    <t>GJT230618</t>
  </si>
  <si>
    <t>PS020976</t>
  </si>
  <si>
    <t>GJT230617</t>
  </si>
  <si>
    <t>PS020975</t>
  </si>
  <si>
    <t>GJT230616</t>
  </si>
  <si>
    <t>PS020974</t>
  </si>
  <si>
    <t>SOIAR-000017124, 30712014047</t>
  </si>
  <si>
    <t>GJT230615</t>
  </si>
  <si>
    <t>PS020973</t>
  </si>
  <si>
    <t>GJT230614</t>
  </si>
  <si>
    <t>PS020972</t>
  </si>
  <si>
    <t>GJT230613</t>
  </si>
  <si>
    <t>PS020971</t>
  </si>
  <si>
    <t>GJT230612</t>
  </si>
  <si>
    <t>PS020970</t>
  </si>
  <si>
    <t>GJT230611</t>
  </si>
  <si>
    <t>PS020969</t>
  </si>
  <si>
    <t>GJT230610</t>
  </si>
  <si>
    <t>PS020968</t>
  </si>
  <si>
    <t>GJT230609</t>
  </si>
  <si>
    <t>PS020967</t>
  </si>
  <si>
    <t>SOIAR-000017127, 30711985766</t>
  </si>
  <si>
    <t>GJT230608</t>
  </si>
  <si>
    <t>PS020966</t>
  </si>
  <si>
    <t>SOIAR-000017120, 30711985766</t>
  </si>
  <si>
    <t>GJT230607</t>
  </si>
  <si>
    <t>PS020965</t>
  </si>
  <si>
    <t>GJT230606</t>
  </si>
  <si>
    <t>PS020964</t>
  </si>
  <si>
    <t>GJT230605</t>
  </si>
  <si>
    <t>PS020963</t>
  </si>
  <si>
    <t>SOIAR-000017105, 30708983906</t>
  </si>
  <si>
    <t>GJT230604</t>
  </si>
  <si>
    <t>PS020962</t>
  </si>
  <si>
    <t>SOIAR-000017101, 30708983906</t>
  </si>
  <si>
    <t>GJT230603</t>
  </si>
  <si>
    <t>PS020961</t>
  </si>
  <si>
    <t>GJT230602</t>
  </si>
  <si>
    <t>PS020960</t>
  </si>
  <si>
    <t>GJT230601</t>
  </si>
  <si>
    <t>PS020959</t>
  </si>
  <si>
    <t>GJT230600</t>
  </si>
  <si>
    <t>PS020958</t>
  </si>
  <si>
    <t>SOIAR-000017114, 30707906959</t>
  </si>
  <si>
    <t>GJT230599</t>
  </si>
  <si>
    <t>PS020957</t>
  </si>
  <si>
    <t>SOIAR-000017116, 30707117016</t>
  </si>
  <si>
    <t>GJT230598</t>
  </si>
  <si>
    <t>PS020956</t>
  </si>
  <si>
    <t>GJT230597</t>
  </si>
  <si>
    <t>PS020955</t>
  </si>
  <si>
    <t>SOIAR-000017130, 30693739698</t>
  </si>
  <si>
    <t>GJT230596</t>
  </si>
  <si>
    <t>PS020954</t>
  </si>
  <si>
    <t>SOIAR-000017126, 30693739698</t>
  </si>
  <si>
    <t>GJT230595</t>
  </si>
  <si>
    <t>PS020953</t>
  </si>
  <si>
    <t>SOIAR-000017104, 30693739698</t>
  </si>
  <si>
    <t>GJT230594</t>
  </si>
  <si>
    <t>PS020952</t>
  </si>
  <si>
    <t>SOIAR-000017103, 30693739698</t>
  </si>
  <si>
    <t>GJT230593</t>
  </si>
  <si>
    <t>PS020951</t>
  </si>
  <si>
    <t>SOIAR-000017100, 30693739698</t>
  </si>
  <si>
    <t>GJT230592</t>
  </si>
  <si>
    <t>PS020950</t>
  </si>
  <si>
    <t>SOIAR-000017098, 30693739698</t>
  </si>
  <si>
    <t>GJT230591</t>
  </si>
  <si>
    <t>PS020949</t>
  </si>
  <si>
    <t>GJT230590</t>
  </si>
  <si>
    <t>PS020948</t>
  </si>
  <si>
    <t>GJT230589</t>
  </si>
  <si>
    <t>PS020947</t>
  </si>
  <si>
    <t>GJT230588</t>
  </si>
  <si>
    <t>PS020946</t>
  </si>
  <si>
    <t>GJT230587</t>
  </si>
  <si>
    <t>PS020945</t>
  </si>
  <si>
    <t>GJT230586</t>
  </si>
  <si>
    <t>PS020944</t>
  </si>
  <si>
    <t>GJT230585</t>
  </si>
  <si>
    <t>PS020943</t>
  </si>
  <si>
    <t>SOIAR-000017122, 30630308557</t>
  </si>
  <si>
    <t>GJT230584</t>
  </si>
  <si>
    <t>PS020942</t>
  </si>
  <si>
    <t>SOIAR-000017119, 30630308557</t>
  </si>
  <si>
    <t>GJT230583</t>
  </si>
  <si>
    <t>PS020941</t>
  </si>
  <si>
    <t>SOIAR-000017115, 30630308557</t>
  </si>
  <si>
    <t>GJT230582</t>
  </si>
  <si>
    <t>PS020940</t>
  </si>
  <si>
    <t>SOIAR-000017112, 30630308557</t>
  </si>
  <si>
    <t>GJT230581</t>
  </si>
  <si>
    <t>PS020939</t>
  </si>
  <si>
    <t>GJT230580</t>
  </si>
  <si>
    <t>PS020938</t>
  </si>
  <si>
    <t>SOIAR-000015192, 30614089241</t>
  </si>
  <si>
    <t>GJT230579</t>
  </si>
  <si>
    <t>PS020937</t>
  </si>
  <si>
    <t>SOIAR-000017102, 30594476960</t>
  </si>
  <si>
    <t>GJT230578</t>
  </si>
  <si>
    <t>PS020936</t>
  </si>
  <si>
    <t>SOIAR-000017099, 30594476960</t>
  </si>
  <si>
    <t>GJT230577</t>
  </si>
  <si>
    <t>PS020935</t>
  </si>
  <si>
    <t>SOIAR-000017129, 30546689979</t>
  </si>
  <si>
    <t>GJT230576</t>
  </si>
  <si>
    <t>PS020934</t>
  </si>
  <si>
    <t>SOIAR-000017121, 30546689979</t>
  </si>
  <si>
    <t>GJT230575</t>
  </si>
  <si>
    <t>PS020933</t>
  </si>
  <si>
    <t>SOIAR-000017118, 30546689979</t>
  </si>
  <si>
    <t>GJT230574</t>
  </si>
  <si>
    <t>PS020932</t>
  </si>
  <si>
    <t>SOIAR-000017110, 30546689979</t>
  </si>
  <si>
    <t>GJT230573</t>
  </si>
  <si>
    <t>PS020931</t>
  </si>
  <si>
    <t>GJT230572</t>
  </si>
  <si>
    <t>PS020930</t>
  </si>
  <si>
    <t>GJT230571</t>
  </si>
  <si>
    <t>PS020929</t>
  </si>
  <si>
    <t>GJT230570</t>
  </si>
  <si>
    <t>PS020928</t>
  </si>
  <si>
    <t>SOIAR-000017097, 30639453738</t>
  </si>
  <si>
    <t>GJT228696</t>
  </si>
  <si>
    <t>PS020927</t>
  </si>
  <si>
    <t>SOIAR-000017096, 30639453738</t>
  </si>
  <si>
    <t>GJT228695</t>
  </si>
  <si>
    <t>PS020926</t>
  </si>
  <si>
    <t>SOIAR-000017095, 30639453738</t>
  </si>
  <si>
    <t>GJT228694</t>
  </si>
  <si>
    <t>PS020925</t>
  </si>
  <si>
    <t>SOIAR-000017094, 30639453738</t>
  </si>
  <si>
    <t>GJT228693</t>
  </si>
  <si>
    <t>PS020924</t>
  </si>
  <si>
    <t>GJT228691</t>
  </si>
  <si>
    <t>PS020923</t>
  </si>
  <si>
    <t>GJT219595</t>
  </si>
  <si>
    <t>PSCV000301</t>
  </si>
  <si>
    <t>GJT219593</t>
  </si>
  <si>
    <t>PSCV000300</t>
  </si>
  <si>
    <t>GJT219591</t>
  </si>
  <si>
    <t>PSCV000299</t>
  </si>
  <si>
    <t>GJT219590</t>
  </si>
  <si>
    <t>PS019580</t>
  </si>
  <si>
    <t>GJT219589</t>
  </si>
  <si>
    <t>PS019579</t>
  </si>
  <si>
    <t>GJT219588</t>
  </si>
  <si>
    <t>PS019578</t>
  </si>
  <si>
    <t>GJT226407</t>
  </si>
  <si>
    <t>IARG_CI_00018674</t>
  </si>
  <si>
    <t>SOIAR-000012402, 30693739698, IPG Media Brands SA</t>
  </si>
  <si>
    <t>GJT226252</t>
  </si>
  <si>
    <t>IARG_CI_00018672</t>
  </si>
  <si>
    <t>GJT226221</t>
  </si>
  <si>
    <t>IARG_CI_00018671</t>
  </si>
  <si>
    <t>SOIAR-000010352, 30715225537</t>
  </si>
  <si>
    <t>GJT226208</t>
  </si>
  <si>
    <t>PS020321</t>
  </si>
  <si>
    <t>SOIAR-000016511, 30546689979, YPF SA</t>
  </si>
  <si>
    <t>GJT225798</t>
  </si>
  <si>
    <t>IARG_CI_00018662</t>
  </si>
  <si>
    <t>SOIAR-000016501, 30546689979, YPF SA</t>
  </si>
  <si>
    <t>GJT225784</t>
  </si>
  <si>
    <t>IARG_CI_00018661</t>
  </si>
  <si>
    <t>SOIAR-000016495, 30546689979, YPF SA</t>
  </si>
  <si>
    <t>GJT225783</t>
  </si>
  <si>
    <t>IARG_CI_00018660</t>
  </si>
  <si>
    <t>GJT225782</t>
  </si>
  <si>
    <t>IARG_CI_00018659</t>
  </si>
  <si>
    <t>SOIAR-000016487, 30546689979, YPF SA</t>
  </si>
  <si>
    <t>GJT225780</t>
  </si>
  <si>
    <t>IARG_CI_00018658</t>
  </si>
  <si>
    <t>SOIAR-000008698, 30543659734</t>
  </si>
  <si>
    <t>GJT225598</t>
  </si>
  <si>
    <t>PS020316</t>
  </si>
  <si>
    <t>SOIAR-000010989, 33547992429</t>
  </si>
  <si>
    <t>GJT225597</t>
  </si>
  <si>
    <t>PS020315</t>
  </si>
  <si>
    <t>SOIAR-000015911, 30716321033, PIPOL SRL</t>
  </si>
  <si>
    <t>GJT225356</t>
  </si>
  <si>
    <t>IARG_CI_00018647</t>
  </si>
  <si>
    <t>SOIAR-000014369, 30708983906, Carat Argentina SA</t>
  </si>
  <si>
    <t>GJT225351</t>
  </si>
  <si>
    <t>IARG_CI_00018644</t>
  </si>
  <si>
    <t>SOIAR-000016489, 30546689979, YPF SA</t>
  </si>
  <si>
    <t>GJT224830</t>
  </si>
  <si>
    <t>IARG_CI_00018626</t>
  </si>
  <si>
    <t>SOIAR-000016538, 30708983906</t>
  </si>
  <si>
    <t>GJT224805</t>
  </si>
  <si>
    <t>PS020310</t>
  </si>
  <si>
    <t>GJT224794</t>
  </si>
  <si>
    <t>IARG_CI_00018610</t>
  </si>
  <si>
    <t>GJT224791</t>
  </si>
  <si>
    <t>IARG_CI_00018607</t>
  </si>
  <si>
    <t>SOIAR-000016348, 30708983906, Carat Argentina SA</t>
  </si>
  <si>
    <t>GJT224788</t>
  </si>
  <si>
    <t>IARG_CI_00018604</t>
  </si>
  <si>
    <t>SOIAR-000016507, 33695614549, Havas Media Argentina S.A.</t>
  </si>
  <si>
    <t>GJT224531</t>
  </si>
  <si>
    <t>IARG_CI_00018597</t>
  </si>
  <si>
    <t>SOIAR-000016510, 30708983906, Carat Argentina SA</t>
  </si>
  <si>
    <t>GJT224530</t>
  </si>
  <si>
    <t>IARG_CI_00018596</t>
  </si>
  <si>
    <t>SOIAR-000016486, 30707117016, IPROSPECT MEDIA SA</t>
  </si>
  <si>
    <t>GJT224529</t>
  </si>
  <si>
    <t>IARG_CI_00018595</t>
  </si>
  <si>
    <t>GJT224528</t>
  </si>
  <si>
    <t>IARG_CI_00018594</t>
  </si>
  <si>
    <t>GJT224527</t>
  </si>
  <si>
    <t>IARG_CI_00018593</t>
  </si>
  <si>
    <t>SOIAR-000016498, 33695614549, Havas Media Argentina S.A.</t>
  </si>
  <si>
    <t>GJT224489</t>
  </si>
  <si>
    <t>IARG_CI_00018582</t>
  </si>
  <si>
    <t>SOIAR-000016496, 33695614549, Havas Media Argentina S.A.</t>
  </si>
  <si>
    <t>GJT224488</t>
  </si>
  <si>
    <t>IARG_CI_00018581</t>
  </si>
  <si>
    <t>SOIAR-000016468, 30693739698, IPG Media Brands SA</t>
  </si>
  <si>
    <t>GJT224486</t>
  </si>
  <si>
    <t>IARG_CI_00018579</t>
  </si>
  <si>
    <t>SOIAR-000016473, 30693739698, IPG Media Brands SA</t>
  </si>
  <si>
    <t>GJT224485</t>
  </si>
  <si>
    <t>IARG_CI_00018578</t>
  </si>
  <si>
    <t>SOIAR-000016470, 30693739698, IPG Media Brands SA</t>
  </si>
  <si>
    <t>GJT224484</t>
  </si>
  <si>
    <t>IARG_CI_00018577</t>
  </si>
  <si>
    <t>SOIAR-000016469, 30693739698, IPG Media Brands SA</t>
  </si>
  <si>
    <t>GJT224483</t>
  </si>
  <si>
    <t>IARG_CI_00018576</t>
  </si>
  <si>
    <t>SOIAR-000016471, 30693739698, IPG Media Brands SA</t>
  </si>
  <si>
    <t>GJT224482</t>
  </si>
  <si>
    <t>IARG_CI_00018575</t>
  </si>
  <si>
    <t>GJT224192</t>
  </si>
  <si>
    <t>IARG_CI_00018546</t>
  </si>
  <si>
    <t>GJT224191</t>
  </si>
  <si>
    <t>IARG_CI_00018545</t>
  </si>
  <si>
    <t>GJT224190</t>
  </si>
  <si>
    <t>IARG_CI_00018544</t>
  </si>
  <si>
    <t>SOIAR-000016500, 30712014047, OSA ONE STEP AHEAD SA</t>
  </si>
  <si>
    <t>GJT224189</t>
  </si>
  <si>
    <t>IARG_CI_00018543</t>
  </si>
  <si>
    <t>GJT224188</t>
  </si>
  <si>
    <t>IARG_CI_00018542</t>
  </si>
  <si>
    <t>GJT224187</t>
  </si>
  <si>
    <t>IARG_CI_00018541</t>
  </si>
  <si>
    <t>GJT224186</t>
  </si>
  <si>
    <t>IARG_CI_00018540</t>
  </si>
  <si>
    <t>GJT224178</t>
  </si>
  <si>
    <t>IARG_CI_00018539</t>
  </si>
  <si>
    <t>SOIAR-000016477, 30712014047, OSA ONE STEP AHEAD SA</t>
  </si>
  <si>
    <t>GJT224177</t>
  </si>
  <si>
    <t>IARG_CI_00018538</t>
  </si>
  <si>
    <t>SOIAR-000016506, 30630308557, MMS Comunicaciones Argentina S.R.L</t>
  </si>
  <si>
    <t>GJT224053</t>
  </si>
  <si>
    <t>IARG_CI_00018512</t>
  </si>
  <si>
    <t>SOIAR-000016492, 30630308557, MMS Comunicaciones Argentina S.R.L</t>
  </si>
  <si>
    <t>GJT224052</t>
  </si>
  <si>
    <t>IARG_CI_00018511</t>
  </si>
  <si>
    <t>GJT224051</t>
  </si>
  <si>
    <t>IARG_CI_00018510</t>
  </si>
  <si>
    <t>GJT224035</t>
  </si>
  <si>
    <t>IARG_CI_00018497</t>
  </si>
  <si>
    <t>SOIAR-000016504, 30716209551, SUPER MEDIA S.A</t>
  </si>
  <si>
    <t>GJT224030</t>
  </si>
  <si>
    <t>IARG_CI_00018493</t>
  </si>
  <si>
    <t>SOIAR-000016494, 30711620857, WEDOIT S.R.L.</t>
  </si>
  <si>
    <t>GJT224025</t>
  </si>
  <si>
    <t>IARG_CI_00018488</t>
  </si>
  <si>
    <t>SOIAR-000016493, 30715907948, WILD FI ARGENTINA S.A.</t>
  </si>
  <si>
    <t>GJT224024</t>
  </si>
  <si>
    <t>IARG_CI_00018487</t>
  </si>
  <si>
    <t>GJT224023</t>
  </si>
  <si>
    <t>IARG_CI_00018486</t>
  </si>
  <si>
    <t>SOIAR-000005460, 30716342790, FINTECH SOCIEDAD ANONIMA</t>
  </si>
  <si>
    <t>GJT223839</t>
  </si>
  <si>
    <t>IARG_CI_00018480</t>
  </si>
  <si>
    <t>GJT223837</t>
  </si>
  <si>
    <t>IARG_CI_00018479</t>
  </si>
  <si>
    <t>SOIAR-000016490, 30715825852, Digital Soul SA</t>
  </si>
  <si>
    <t>GJT223835</t>
  </si>
  <si>
    <t>IARG_CI_00018477</t>
  </si>
  <si>
    <t>SOIAR-000016481, 30715225537, DIGITAL HIVE GROUP S.A.</t>
  </si>
  <si>
    <t>GJT223834</t>
  </si>
  <si>
    <t>IARG_CI_00018476</t>
  </si>
  <si>
    <t>SOIAR-000016478, 30715225537, DIGITAL HIVE GROUP S.A.</t>
  </si>
  <si>
    <t>GJT223833</t>
  </si>
  <si>
    <t>IARG_CI_00018475</t>
  </si>
  <si>
    <t>SOIAR-000016479, 30715225537, DIGITAL HIVE GROUP S.A.</t>
  </si>
  <si>
    <t>GJT223828</t>
  </si>
  <si>
    <t>IARG_CI_00018474</t>
  </si>
  <si>
    <t>SOIAR-000016476, 30715225537, DIGITAL HIVE GROUP S.A.</t>
  </si>
  <si>
    <t>GJT223827</t>
  </si>
  <si>
    <t>IARG_CI_00018473</t>
  </si>
  <si>
    <t>SOIAR-000016491, 30715225537, DIGITAL HIVE GROUP S.A.</t>
  </si>
  <si>
    <t>GJT223826</t>
  </si>
  <si>
    <t>IARG_CI_00018472</t>
  </si>
  <si>
    <t>GJT223822</t>
  </si>
  <si>
    <t>IARG_CI_00018471</t>
  </si>
  <si>
    <t>GJT223821</t>
  </si>
  <si>
    <t>IARG_CI_00018470</t>
  </si>
  <si>
    <t>GJT223820</t>
  </si>
  <si>
    <t>IARG_CI_00018469</t>
  </si>
  <si>
    <t>SOIAR-000012331, 30709964360, BRANDLIVE S.A.</t>
  </si>
  <si>
    <t>GJT223819</t>
  </si>
  <si>
    <t>IARG_CI_00018468</t>
  </si>
  <si>
    <t>BI MEDIA S.R.L</t>
  </si>
  <si>
    <t>SOIAR-000016484, XI4AP1YG9A, BI MEDIA S.R.L</t>
  </si>
  <si>
    <t>GJT223818</t>
  </si>
  <si>
    <t>IARG_CI_00018467</t>
  </si>
  <si>
    <t>SOIAR-000016485, XI4AP1YG9A, BI MEDIA S.R.L</t>
  </si>
  <si>
    <t>GJT223817</t>
  </si>
  <si>
    <t>IARG_CI_00018466</t>
  </si>
  <si>
    <t>SOIAR-000016483, XI4AP1YG9A, BI MEDIA S.R.L</t>
  </si>
  <si>
    <t>GJT223816</t>
  </si>
  <si>
    <t>IARG_CI_00018465</t>
  </si>
  <si>
    <t>SOIAR-000016474, XI4AP1YG9A, BI MEDIA S.R.L</t>
  </si>
  <si>
    <t>GJT223815</t>
  </si>
  <si>
    <t>IARG_CI_00018464</t>
  </si>
  <si>
    <t>GJT223811</t>
  </si>
  <si>
    <t>IARG_CI_00018460</t>
  </si>
  <si>
    <t>SOIAR-000016475, 30500008454, Banco Santander Argentina S.A</t>
  </si>
  <si>
    <t>GJT223810</t>
  </si>
  <si>
    <t>IARG_CI_00018459</t>
  </si>
  <si>
    <t>GJT223809</t>
  </si>
  <si>
    <t>IARG_CI_00018458</t>
  </si>
  <si>
    <t>SOIAR-000016497, 33547992429, Assist Card Argentina Sociedad Anonima De Servicios</t>
  </si>
  <si>
    <t>GJT223804</t>
  </si>
  <si>
    <t>IARG_CI_00018453</t>
  </si>
  <si>
    <t>GJT223803</t>
  </si>
  <si>
    <t>IARG_CI_00018452</t>
  </si>
  <si>
    <t>SOIAR-000016482, 30707906959, Gustavo Quiroga EPM SA</t>
  </si>
  <si>
    <t>GJT223797</t>
  </si>
  <si>
    <t>IARG_CI_00018447</t>
  </si>
  <si>
    <t>GJT223796</t>
  </si>
  <si>
    <t>IARG_CI_00018446</t>
  </si>
  <si>
    <t>SOIAR-000016499, 30691546833, OMD Argentina SA</t>
  </si>
  <si>
    <t>GJT223795</t>
  </si>
  <si>
    <t>IARG_CI_00018445</t>
  </si>
  <si>
    <t>SOIAR-000016488, 30691546833, OMD Argentina SA</t>
  </si>
  <si>
    <t>GJT223794</t>
  </si>
  <si>
    <t>IARG_CI_00018444</t>
  </si>
  <si>
    <t>SOIAR-000016502, 30685376349, TARJETA NARANJA SA</t>
  </si>
  <si>
    <t>GJT223747</t>
  </si>
  <si>
    <t>IARG_CI_00018430</t>
  </si>
  <si>
    <t>SOIAR-000000476, 30702020944, Digital Age S.A.</t>
  </si>
  <si>
    <t>GJT223653</t>
  </si>
  <si>
    <t>IARG_CI_00018419</t>
  </si>
  <si>
    <t>SOIAR-000016509, 30639453738, Telecom Argentina SA</t>
  </si>
  <si>
    <t>GJT223154</t>
  </si>
  <si>
    <t>IARG_CI_00018418</t>
  </si>
  <si>
    <t>SOIAR-000016505, 30639453738, Telecom Argentina SA</t>
  </si>
  <si>
    <t>GJT221206</t>
  </si>
  <si>
    <t>IARG_CI_00018415</t>
  </si>
  <si>
    <t>SOIAR-000016508, 30639453738, Telecom Argentina SA</t>
  </si>
  <si>
    <t>GJT221205</t>
  </si>
  <si>
    <t>IARG_CI_00018414</t>
  </si>
  <si>
    <t>GJT221204</t>
  </si>
  <si>
    <t>IARG_CI_00018413</t>
  </si>
  <si>
    <t>Kickads SRL</t>
  </si>
  <si>
    <t>SOIAR-000016480, 30714474150, Kickads SRL</t>
  </si>
  <si>
    <t>GJT221109</t>
  </si>
  <si>
    <t>IARG_CI_00018410</t>
  </si>
  <si>
    <t>SOIAR-000015941, 30693739698, IPG Media Brands SA</t>
  </si>
  <si>
    <t>GJT219870</t>
  </si>
  <si>
    <t>IARG_CI_00017931</t>
  </si>
  <si>
    <t>SOIAR-000015162, 30693739698, IPG Media Brands SA</t>
  </si>
  <si>
    <t>GJT219869</t>
  </si>
  <si>
    <t>IARG_CI_00017930</t>
  </si>
  <si>
    <t>SOIAR-000015169, 30693739698, IPG Media Brands SA</t>
  </si>
  <si>
    <t>GJT219868</t>
  </si>
  <si>
    <t>IARG_CI_00017929</t>
  </si>
  <si>
    <t>SOIUS-000002102, 6OXMON0FEY</t>
  </si>
  <si>
    <t>4101011200-Twitter-ARG-IUSA-ARG-Rep</t>
  </si>
  <si>
    <t>GJT074159</t>
  </si>
  <si>
    <t>PS005401</t>
  </si>
  <si>
    <t>POIME-000032660, 208913779</t>
  </si>
  <si>
    <t>GJT378666</t>
  </si>
  <si>
    <t>PR069256</t>
  </si>
  <si>
    <t>POIME-000032659, 208913779</t>
  </si>
  <si>
    <t>GJT378665</t>
  </si>
  <si>
    <t>PR069255</t>
  </si>
  <si>
    <t>POIME-000032646, 208913779</t>
  </si>
  <si>
    <t>GJT378652</t>
  </si>
  <si>
    <t>PR069242</t>
  </si>
  <si>
    <t>POIME-000032645, 208913779</t>
  </si>
  <si>
    <t>GJT378651</t>
  </si>
  <si>
    <t>PR069241</t>
  </si>
  <si>
    <t>POIME-000032644, 208913779</t>
  </si>
  <si>
    <t>GJT378650</t>
  </si>
  <si>
    <t>PR069240</t>
  </si>
  <si>
    <t>POIME-000032637, 208913779</t>
  </si>
  <si>
    <t>GJT378643</t>
  </si>
  <si>
    <t>PR069233</t>
  </si>
  <si>
    <t>POIME-000032636, 208913779</t>
  </si>
  <si>
    <t>GJT378642</t>
  </si>
  <si>
    <t>PR069232</t>
  </si>
  <si>
    <t>POIME-000032627, 208913779</t>
  </si>
  <si>
    <t>GJT378633</t>
  </si>
  <si>
    <t>PR069223</t>
  </si>
  <si>
    <t>POIME-000032626, 208913779</t>
  </si>
  <si>
    <t>GJT378632</t>
  </si>
  <si>
    <t>PR069222</t>
  </si>
  <si>
    <t>POIME-000032625, 208913779</t>
  </si>
  <si>
    <t>GJT378631</t>
  </si>
  <si>
    <t>PR069221</t>
  </si>
  <si>
    <t>POIME-000032624, 208913779</t>
  </si>
  <si>
    <t>GJT378630</t>
  </si>
  <si>
    <t>PR069220</t>
  </si>
  <si>
    <t>POIME-000032623, 208913779</t>
  </si>
  <si>
    <t>GJT378629</t>
  </si>
  <si>
    <t>PR069219</t>
  </si>
  <si>
    <t>POIME-000032620, 208913779</t>
  </si>
  <si>
    <t>GJT378626</t>
  </si>
  <si>
    <t>PR069216</t>
  </si>
  <si>
    <t>POIME-000032618, 208913779</t>
  </si>
  <si>
    <t>GJT378624</t>
  </si>
  <si>
    <t>PR069214</t>
  </si>
  <si>
    <t>POIME-000032614, 208913779</t>
  </si>
  <si>
    <t>GJT378620</t>
  </si>
  <si>
    <t>PR069210</t>
  </si>
  <si>
    <t>POIME-000032610, 208913779</t>
  </si>
  <si>
    <t>GJT378616</t>
  </si>
  <si>
    <t>PR069206</t>
  </si>
  <si>
    <t>POIME-000032609, 208913779</t>
  </si>
  <si>
    <t>GJT378615</t>
  </si>
  <si>
    <t>PR069205</t>
  </si>
  <si>
    <t>POIME-000032604, 208913779</t>
  </si>
  <si>
    <t>GJT378610</t>
  </si>
  <si>
    <t>PR069200</t>
  </si>
  <si>
    <t>POIME-000032603, 208913779</t>
  </si>
  <si>
    <t>GJT378609</t>
  </si>
  <si>
    <t>PR069199</t>
  </si>
  <si>
    <t>POIME-000032600, 208913779</t>
  </si>
  <si>
    <t>GJT378606</t>
  </si>
  <si>
    <t>PR069196</t>
  </si>
  <si>
    <t>POIME-000032597, 208913779</t>
  </si>
  <si>
    <t>GJT378603</t>
  </si>
  <si>
    <t>PR069193</t>
  </si>
  <si>
    <t>POIME-000032596, 208913779</t>
  </si>
  <si>
    <t>GJT378602</t>
  </si>
  <si>
    <t>PR069192</t>
  </si>
  <si>
    <t>POIME-000032595, 208913779</t>
  </si>
  <si>
    <t>GJT378601</t>
  </si>
  <si>
    <t>PR069191</t>
  </si>
  <si>
    <t>POIME-000032593, 208913779</t>
  </si>
  <si>
    <t>GJT378599</t>
  </si>
  <si>
    <t>PR069189</t>
  </si>
  <si>
    <t>POIME-000032592, 208913779</t>
  </si>
  <si>
    <t>GJT378598</t>
  </si>
  <si>
    <t>PR069188</t>
  </si>
  <si>
    <t>POIME-000032581, 208913779</t>
  </si>
  <si>
    <t>GJT378587</t>
  </si>
  <si>
    <t>PR069177</t>
  </si>
  <si>
    <t>POIME-000032580, 208913779</t>
  </si>
  <si>
    <t>GJT378586</t>
  </si>
  <si>
    <t>PR069176</t>
  </si>
  <si>
    <t>POIME-000032579, 208913779</t>
  </si>
  <si>
    <t>GJT378585</t>
  </si>
  <si>
    <t>PR069175</t>
  </si>
  <si>
    <t>POIME-000032576, 208913779</t>
  </si>
  <si>
    <t>GJT378582</t>
  </si>
  <si>
    <t>PR069172</t>
  </si>
  <si>
    <t>POIME-000032573, 208913779</t>
  </si>
  <si>
    <t>GJT378579</t>
  </si>
  <si>
    <t>PR069169</t>
  </si>
  <si>
    <t>POIME-000032572, 208913779</t>
  </si>
  <si>
    <t>GJT378578</t>
  </si>
  <si>
    <t>PR069168</t>
  </si>
  <si>
    <t>POIME-000032570, 208913779</t>
  </si>
  <si>
    <t>GJT378576</t>
  </si>
  <si>
    <t>PR069166</t>
  </si>
  <si>
    <t>POIME-000032568, 208913779</t>
  </si>
  <si>
    <t>GJT378574</t>
  </si>
  <si>
    <t>PR069164</t>
  </si>
  <si>
    <t>POIME-000032567, 208913779</t>
  </si>
  <si>
    <t>GJT378573</t>
  </si>
  <si>
    <t>PR069163</t>
  </si>
  <si>
    <t>POIME-000032566, 208913779</t>
  </si>
  <si>
    <t>GJT378572</t>
  </si>
  <si>
    <t>PR069162</t>
  </si>
  <si>
    <t>POIME-000032565, 208913779</t>
  </si>
  <si>
    <t>GJT378571</t>
  </si>
  <si>
    <t>PR069161</t>
  </si>
  <si>
    <t>POIME-000032564, 208913779</t>
  </si>
  <si>
    <t>GJT378570</t>
  </si>
  <si>
    <t>PR069160</t>
  </si>
  <si>
    <t>POIME-000032562, 208913779</t>
  </si>
  <si>
    <t>GJT378568</t>
  </si>
  <si>
    <t>PR069158</t>
  </si>
  <si>
    <t>GJT378566</t>
  </si>
  <si>
    <t>PR069156</t>
  </si>
  <si>
    <t>GJT378565</t>
  </si>
  <si>
    <t>PR069155</t>
  </si>
  <si>
    <t>GJT378562</t>
  </si>
  <si>
    <t>PR069152</t>
  </si>
  <si>
    <t>GJT378561</t>
  </si>
  <si>
    <t>PR069151</t>
  </si>
  <si>
    <t>GJT378560</t>
  </si>
  <si>
    <t>PR069150</t>
  </si>
  <si>
    <t>GJT378559</t>
  </si>
  <si>
    <t>PR069149</t>
  </si>
  <si>
    <t>GJT378549</t>
  </si>
  <si>
    <t>PR069139</t>
  </si>
  <si>
    <t>GJT378546</t>
  </si>
  <si>
    <t>PR069136</t>
  </si>
  <si>
    <t>GJT378545</t>
  </si>
  <si>
    <t>PR069135</t>
  </si>
  <si>
    <t>GJT378543</t>
  </si>
  <si>
    <t>PR069133</t>
  </si>
  <si>
    <t>GJT378538</t>
  </si>
  <si>
    <t>PR069128</t>
  </si>
  <si>
    <t>GJT378537</t>
  </si>
  <si>
    <t>PR069127</t>
  </si>
  <si>
    <t>GJT378534</t>
  </si>
  <si>
    <t>PR069124</t>
  </si>
  <si>
    <t>GJT378533</t>
  </si>
  <si>
    <t>PR069123</t>
  </si>
  <si>
    <t>GJT378532</t>
  </si>
  <si>
    <t>PR069122</t>
  </si>
  <si>
    <t>GJT378531</t>
  </si>
  <si>
    <t>PR069121</t>
  </si>
  <si>
    <t>GJT378530</t>
  </si>
  <si>
    <t>PR069120</t>
  </si>
  <si>
    <t>GJT378528</t>
  </si>
  <si>
    <t>PR069118</t>
  </si>
  <si>
    <t>GJT378522</t>
  </si>
  <si>
    <t>PR069112</t>
  </si>
  <si>
    <t>GJT378521</t>
  </si>
  <si>
    <t>PR069111</t>
  </si>
  <si>
    <t>GJT378519</t>
  </si>
  <si>
    <t>PR069109</t>
  </si>
  <si>
    <t>GJT378516</t>
  </si>
  <si>
    <t>PR069106</t>
  </si>
  <si>
    <t>GJT378513</t>
  </si>
  <si>
    <t>PR069103</t>
  </si>
  <si>
    <t>GJT378512</t>
  </si>
  <si>
    <t>PR069102</t>
  </si>
  <si>
    <t>GJT378511</t>
  </si>
  <si>
    <t>PR069101</t>
  </si>
  <si>
    <t>GJT378510</t>
  </si>
  <si>
    <t>PR069100</t>
  </si>
  <si>
    <t>GJT378509</t>
  </si>
  <si>
    <t>PR069099</t>
  </si>
  <si>
    <t>GJT378508</t>
  </si>
  <si>
    <t>PR069098</t>
  </si>
  <si>
    <t>GJT378504</t>
  </si>
  <si>
    <t>PR069094</t>
  </si>
  <si>
    <t>POIME-000030778, 208913779</t>
  </si>
  <si>
    <t>GJT378502</t>
  </si>
  <si>
    <t>PR069092</t>
  </si>
  <si>
    <t>GJT378501</t>
  </si>
  <si>
    <t>PR069091</t>
  </si>
  <si>
    <t>GJT378496</t>
  </si>
  <si>
    <t>PR069086</t>
  </si>
  <si>
    <t>GJT378494</t>
  </si>
  <si>
    <t>PR069084</t>
  </si>
  <si>
    <t>GJT378493</t>
  </si>
  <si>
    <t>PR069083</t>
  </si>
  <si>
    <t>POIME-000023839, 208913779</t>
  </si>
  <si>
    <t>5101011200-Twitter-ARG-IUSA-ARG-Rep</t>
  </si>
  <si>
    <t>GJT378490</t>
  </si>
  <si>
    <t>PR069080</t>
  </si>
  <si>
    <t>GJT378489</t>
  </si>
  <si>
    <t>PR069079</t>
  </si>
  <si>
    <t>GJT378488</t>
  </si>
  <si>
    <t>PR069078</t>
  </si>
  <si>
    <t>GJT378486</t>
  </si>
  <si>
    <t>PR069076</t>
  </si>
  <si>
    <t>GJT378485</t>
  </si>
  <si>
    <t>PR069075</t>
  </si>
  <si>
    <t>GJT378483</t>
  </si>
  <si>
    <t>PR069073</t>
  </si>
  <si>
    <t>GJT378482</t>
  </si>
  <si>
    <t>PR069072</t>
  </si>
  <si>
    <t>GJT378479</t>
  </si>
  <si>
    <t>PR069069</t>
  </si>
  <si>
    <t>GJT378478</t>
  </si>
  <si>
    <t>PR069068</t>
  </si>
  <si>
    <t>Functional Area</t>
  </si>
  <si>
    <t>SOIAR-000012402</t>
  </si>
  <si>
    <t>SOIAR-000008698</t>
  </si>
  <si>
    <t>SOIAR-000014369</t>
  </si>
  <si>
    <t>SOIAR-000016538</t>
  </si>
  <si>
    <t>SOIAR-000016348</t>
  </si>
  <si>
    <t>SOIAR-000000476</t>
  </si>
  <si>
    <t>SOIPE-000010199</t>
  </si>
  <si>
    <t>POIME-000029131</t>
  </si>
  <si>
    <t>POIME-000024181</t>
  </si>
  <si>
    <t>POIME-000032411</t>
  </si>
  <si>
    <t>2026</t>
  </si>
  <si>
    <t>January</t>
  </si>
  <si>
    <t>28/2/2026</t>
  </si>
  <si>
    <t>802Um00000EXSYX</t>
  </si>
  <si>
    <t>Industrial And Comercial Bank Of China - Argentina</t>
  </si>
  <si>
    <t>30 days</t>
  </si>
  <si>
    <t>COGS Conc. Jul25</t>
  </si>
  <si>
    <t>COGS Conc. Jun25</t>
  </si>
  <si>
    <t>0004025946_POT_CONC</t>
  </si>
  <si>
    <t>COGS Conc. May25</t>
  </si>
  <si>
    <t>0004025946_POT_CONC_2</t>
  </si>
  <si>
    <t>0004122820_CONC_260223</t>
  </si>
  <si>
    <t>0004057850_CONC_260223</t>
  </si>
  <si>
    <t>0004204573_CONC_260223_01</t>
  </si>
  <si>
    <t>COGS Conc. Aug25</t>
  </si>
  <si>
    <t>0004204573_CONC_260223_02</t>
  </si>
  <si>
    <t>June</t>
  </si>
  <si>
    <t>00260761</t>
  </si>
  <si>
    <t>802Uj00000Eb095</t>
  </si>
  <si>
    <t>AR00306711</t>
  </si>
  <si>
    <t>ELECTRONICA MEGATONE ARGENTINA</t>
  </si>
  <si>
    <t>ELECTRONICA MEGATONE S.R.L.</t>
  </si>
  <si>
    <t>SMB - X - ARG - On City - Enero 2025</t>
  </si>
  <si>
    <t>30/6/2025</t>
  </si>
  <si>
    <t>00279624</t>
  </si>
  <si>
    <t>802Uj00000FVB4z</t>
  </si>
  <si>
    <t>AR00336103</t>
  </si>
  <si>
    <t>BANCO SUPERVIELLE ARGENTINA</t>
  </si>
  <si>
    <t>SMB-X ARG - Banco Supervielle - Abril 2025</t>
  </si>
  <si>
    <t>45 days</t>
  </si>
  <si>
    <t>00281877</t>
  </si>
  <si>
    <t>802Uj00000FVQFJ</t>
  </si>
  <si>
    <t>AR00339250</t>
  </si>
  <si>
    <t>SMB - X - ARG - Assist Card - Hot Sale</t>
  </si>
  <si>
    <t>December</t>
  </si>
  <si>
    <t>00323727</t>
  </si>
  <si>
    <t>802Uj00000PTAdV</t>
  </si>
  <si>
    <t>PE00398024</t>
  </si>
  <si>
    <t>TIB CONSULT Peru</t>
  </si>
  <si>
    <t>PE00392115_X_Palmsbet_Pe - Casino Online - DIC25 rev</t>
  </si>
  <si>
    <t>20/12/2025</t>
  </si>
  <si>
    <t>00325826</t>
  </si>
  <si>
    <t>802Um00000DMnyf</t>
  </si>
  <si>
    <t>AR00401743</t>
  </si>
  <si>
    <t>0004905588</t>
  </si>
  <si>
    <t>UIP Argentina</t>
  </si>
  <si>
    <t>T3166123-Universal Argentina | 12/11 Takeover - 16/10/2025</t>
  </si>
  <si>
    <t>11/12/2025</t>
  </si>
  <si>
    <t>Suma de Amount in transaction currency</t>
  </si>
  <si>
    <t>LC</t>
  </si>
  <si>
    <t>SalesForce</t>
  </si>
  <si>
    <t>Diferencia</t>
  </si>
  <si>
    <t>SO</t>
  </si>
  <si>
    <t>PO</t>
  </si>
  <si>
    <t>Advertisement cost- Twitter - Feb2026</t>
  </si>
  <si>
    <t>Advertisement fee- Twitter -Feb2026</t>
  </si>
  <si>
    <t>Int. COGS TW Feb26</t>
  </si>
  <si>
    <t>SOIME-000003529</t>
  </si>
  <si>
    <t>POIAR-000001938</t>
  </si>
  <si>
    <t>SOIME-000003540</t>
  </si>
  <si>
    <t>POIAR-000001940</t>
  </si>
  <si>
    <t>SOIME-000003532</t>
  </si>
  <si>
    <t>POIUS-000005729</t>
  </si>
  <si>
    <t>Grand Total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</si>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</sst>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yyyy\-mm\-dd\ h:mm"/>
    <numFmt numFmtId="165" formatCode="yyyy\-mm"/>
    <numFmt numFmtId="166" formatCode="0.000%"/>
    <numFmt numFmtId="167" formatCode="d\.\ m\.\ yyyy"/>
    <numFmt numFmtId="168" formatCode="yyyy\-m"/>
    <numFmt numFmtId="169" formatCode="mmmm/yyyy"/>
    <numFmt numFmtId="170" formatCode="yyyy&quot;-&quot;mm"/>
    <numFmt numFmtId="171" formatCode="yyyy&quot;-&quot;mm&quot;-&quot;dd&quot; &quot;hh&quot;:&quot;mm"/>
    <numFmt numFmtId="172" formatCode="mmmm"/>
    <numFmt numFmtId="173" formatCode="yyyy\-mm\-dd"/>
    <numFmt numFmtId="174" formatCode="yyyy/m"/>
    <numFmt numFmtId="175" formatCode="mmmm\ yyyy"/>
    <numFmt numFmtId="176" formatCode="#,##0.00000000"/>
    <numFmt numFmtId="177" formatCode="mm/dd/yyyy"/>
    <numFmt numFmtId="178" formatCode="* #,##0.00_0\ &quot;USD&quot;;* \-\ #,##0.00_0\ &quot;USD&quot;"/>
    <numFmt numFmtId="179" formatCode="mm/dd/yyyy\ hh:mm:ss"/>
    <numFmt numFmtId="180" formatCode="* #,##0.00_0\ &quot;CRC&quot;;* \-\ #,##0.00_0\ &quot;CRC&quot;"/>
    <numFmt numFmtId="181" formatCode="_ * #,##0.00_)_ ;_ * \(#,##0.00\)_ ;_ * &quot;-&quot;??_)_ ;_ @_ "/>
    <numFmt numFmtId="182" formatCode="_-* #,##0.00_-;\-* #,##0.00_-;_-* &quot;-&quot;??_-;_-@"/>
    <numFmt numFmtId="183" formatCode="_-* #,##0_-;\-* #,##0_-;_-* &quot;-&quot;??_-;_-@"/>
  </numFmts>
  <fonts count="41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FF0000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4285F4"/>
      <name val="Arial"/>
      <family val="2"/>
    </font>
    <font>
      <i/>
      <sz val="10"/>
      <color rgb="FFFF000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u/>
      <sz val="10"/>
      <color rgb="FF000000"/>
      <name val="Arial"/>
      <family val="2"/>
    </font>
    <font>
      <sz val="10"/>
      <color theme="1"/>
      <name val="Aptos Narrow"/>
      <family val="2"/>
    </font>
    <font>
      <sz val="10"/>
      <color rgb="FFFF0000"/>
      <name val="Arial"/>
      <family val="2"/>
    </font>
    <font>
      <b/>
      <sz val="10"/>
      <color rgb="FF4285F4"/>
      <name val="Arial"/>
      <family val="2"/>
    </font>
    <font>
      <sz val="10"/>
      <color rgb="FFFF00FF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  <scheme val="minor"/>
    </font>
    <font>
      <b/>
      <sz val="10"/>
      <color rgb="FF56585B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u/>
      <sz val="10"/>
      <color rgb="FF0000FF"/>
      <name val="Arial"/>
      <family val="2"/>
    </font>
    <font>
      <b/>
      <sz val="10"/>
      <color theme="1"/>
      <name val="Arial"/>
      <family val="2"/>
      <scheme val="minor"/>
    </font>
    <font>
      <b/>
      <sz val="10"/>
      <color rgb="FF0D0D0D"/>
      <name val="Arial"/>
      <family val="2"/>
    </font>
    <font>
      <sz val="10"/>
      <color rgb="FFFFFFFF"/>
      <name val="Arial"/>
      <family val="2"/>
    </font>
    <font>
      <u/>
      <sz val="10"/>
      <color rgb="FF000000"/>
      <name val="Arial"/>
      <family val="2"/>
    </font>
    <font>
      <u/>
      <sz val="10"/>
      <color rgb="FF000000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rgb="FF56585B"/>
      <name val="Calibri"/>
      <family val="2"/>
    </font>
    <font>
      <b/>
      <sz val="11"/>
      <color theme="0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Aptos Narrow"/>
      <family val="2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</font>
    <font>
      <sz val="11"/>
      <color rgb="FF222222"/>
      <name val="Arial"/>
      <family val="2"/>
    </font>
    <font>
      <b/>
      <sz val="11"/>
      <color theme="1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76A5AF"/>
        <bgColor rgb="FF76A5AF"/>
      </patternFill>
    </fill>
    <fill>
      <patternFill patternType="solid">
        <fgColor rgb="FFC27BA0"/>
        <bgColor rgb="FFC27BA0"/>
      </patternFill>
    </fill>
    <fill>
      <patternFill patternType="solid">
        <fgColor rgb="FFF6B26B"/>
        <bgColor rgb="FFF6B26B"/>
      </patternFill>
    </fill>
    <fill>
      <patternFill patternType="solid">
        <fgColor rgb="FF8E7CC3"/>
        <bgColor rgb="FF8E7CC3"/>
      </patternFill>
    </fill>
    <fill>
      <patternFill patternType="solid">
        <fgColor rgb="FFFFF2CC"/>
        <bgColor rgb="FFFFF2CC"/>
      </patternFill>
    </fill>
    <fill>
      <patternFill patternType="solid">
        <fgColor rgb="FFB7B7B7"/>
        <bgColor rgb="FFB7B7B7"/>
      </patternFill>
    </fill>
    <fill>
      <patternFill patternType="solid">
        <fgColor rgb="FFEAD1DC"/>
        <bgColor rgb="FFEAD1DC"/>
      </patternFill>
    </fill>
    <fill>
      <patternFill patternType="solid">
        <fgColor rgb="FFE06666"/>
        <bgColor rgb="FFE06666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A2C4C9"/>
        <bgColor rgb="FFA2C4C9"/>
      </patternFill>
    </fill>
    <fill>
      <patternFill patternType="solid">
        <fgColor rgb="FFB4A7D6"/>
        <bgColor rgb="FFB4A7D6"/>
      </patternFill>
    </fill>
    <fill>
      <patternFill patternType="solid">
        <fgColor rgb="FFEA9999"/>
        <bgColor rgb="FFEA9999"/>
      </patternFill>
    </fill>
    <fill>
      <patternFill patternType="solid">
        <fgColor rgb="FFF3F3F3"/>
        <bgColor rgb="FFF3F3F3"/>
      </patternFill>
    </fill>
    <fill>
      <patternFill patternType="solid">
        <fgColor theme="9" tint="0.59999389629810485"/>
        <bgColor rgb="FFC27BA0"/>
      </patternFill>
    </fill>
    <fill>
      <patternFill patternType="solid">
        <fgColor rgb="FFFEF1CC"/>
        <bgColor rgb="FFFEF1CC"/>
      </patternFill>
    </fill>
    <fill>
      <patternFill patternType="solid">
        <fgColor theme="5"/>
        <bgColor theme="5"/>
      </patternFill>
    </fill>
    <fill>
      <patternFill patternType="solid">
        <fgColor theme="4"/>
        <bgColor theme="4"/>
      </patternFill>
    </fill>
    <fill>
      <patternFill patternType="solid">
        <fgColor rgb="FFD9E6FC"/>
        <bgColor rgb="FFD9E6FC"/>
      </patternFill>
    </fill>
    <fill>
      <patternFill patternType="solid">
        <fgColor rgb="FFB4E4E8"/>
        <bgColor rgb="FFB4E4E8"/>
      </patternFill>
    </fill>
    <fill>
      <patternFill patternType="solid">
        <fgColor rgb="FFF7F7F7"/>
        <bgColor rgb="FFF7F7F7"/>
      </patternFill>
    </fill>
    <fill>
      <patternFill patternType="solid">
        <fgColor rgb="FFE9E8E5"/>
        <bgColor rgb="FFE9E8E5"/>
      </patternFill>
    </fill>
    <fill>
      <patternFill patternType="solid">
        <fgColor rgb="FFF6B3AE"/>
        <bgColor rgb="FFF6B3AE"/>
      </patternFill>
    </fill>
    <fill>
      <patternFill patternType="solid">
        <fgColor rgb="FFF28E85"/>
        <bgColor rgb="FFF28E85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/>
      <right/>
      <top style="thin">
        <color rgb="FFD5D3D1"/>
      </top>
      <bottom style="thin">
        <color rgb="FFD5D3D1"/>
      </bottom>
      <diagonal/>
    </border>
    <border>
      <left/>
      <right/>
      <top style="thin">
        <color rgb="FFD5D3D1"/>
      </top>
      <bottom/>
      <diagonal/>
    </border>
    <border>
      <left style="thin">
        <color rgb="FFD5D3D1"/>
      </left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5D3D1"/>
      </left>
      <right style="thin">
        <color rgb="FFD5D3D1"/>
      </right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</borders>
  <cellStyleXfs count="3">
    <xf numFmtId="0" fontId="0" fillId="0" borderId="0"/>
    <xf numFmtId="0" fontId="30" fillId="0" borderId="1"/>
    <xf numFmtId="0" fontId="37" fillId="0" borderId="1"/>
  </cellStyleXfs>
  <cellXfs count="34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3" fillId="0" borderId="0" xfId="0" applyFont="1" applyAlignment="1">
      <alignment vertical="top"/>
    </xf>
    <xf numFmtId="0" fontId="5" fillId="0" borderId="0" xfId="0" applyFont="1"/>
    <xf numFmtId="4" fontId="6" fillId="0" borderId="0" xfId="0" applyNumberFormat="1" applyFont="1" applyAlignment="1">
      <alignment wrapText="1"/>
    </xf>
    <xf numFmtId="4" fontId="1" fillId="0" borderId="0" xfId="0" applyNumberFormat="1" applyFont="1" applyAlignment="1">
      <alignment horizontal="right"/>
    </xf>
    <xf numFmtId="4" fontId="6" fillId="0" borderId="0" xfId="0" applyNumberFormat="1" applyFont="1"/>
    <xf numFmtId="4" fontId="1" fillId="0" borderId="0" xfId="0" applyNumberFormat="1" applyFont="1"/>
    <xf numFmtId="4" fontId="8" fillId="0" borderId="0" xfId="0" applyNumberFormat="1" applyFont="1" applyAlignment="1">
      <alignment horizontal="right"/>
    </xf>
    <xf numFmtId="4" fontId="8" fillId="9" borderId="0" xfId="0" applyNumberFormat="1" applyFont="1" applyFill="1" applyAlignment="1">
      <alignment horizontal="right" vertical="top" wrapText="1"/>
    </xf>
    <xf numFmtId="3" fontId="8" fillId="9" borderId="0" xfId="0" applyNumberFormat="1" applyFont="1" applyFill="1" applyAlignment="1">
      <alignment horizontal="center" vertical="top" wrapText="1"/>
    </xf>
    <xf numFmtId="0" fontId="8" fillId="9" borderId="0" xfId="0" applyFont="1" applyFill="1" applyAlignment="1">
      <alignment horizontal="center" vertical="top" wrapText="1"/>
    </xf>
    <xf numFmtId="164" fontId="9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3" fontId="1" fillId="0" borderId="0" xfId="0" applyNumberFormat="1" applyFont="1" applyAlignment="1">
      <alignment horizontal="right"/>
    </xf>
    <xf numFmtId="4" fontId="8" fillId="9" borderId="0" xfId="0" applyNumberFormat="1" applyFont="1" applyFill="1" applyAlignment="1">
      <alignment horizontal="center" vertical="top" wrapText="1"/>
    </xf>
    <xf numFmtId="0" fontId="3" fillId="9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2" fillId="3" borderId="0" xfId="0" applyFont="1" applyFill="1" applyAlignment="1">
      <alignment horizontal="center" vertical="top" wrapText="1"/>
    </xf>
    <xf numFmtId="4" fontId="12" fillId="3" borderId="0" xfId="0" applyNumberFormat="1" applyFont="1" applyFill="1" applyAlignment="1">
      <alignment horizontal="center" vertical="top" wrapText="1"/>
    </xf>
    <xf numFmtId="4" fontId="12" fillId="4" borderId="0" xfId="0" applyNumberFormat="1" applyFont="1" applyFill="1" applyAlignment="1">
      <alignment horizontal="center" vertical="top" wrapText="1"/>
    </xf>
    <xf numFmtId="4" fontId="12" fillId="9" borderId="0" xfId="0" applyNumberFormat="1" applyFont="1" applyFill="1" applyAlignment="1">
      <alignment horizontal="center" vertical="top" wrapText="1"/>
    </xf>
    <xf numFmtId="0" fontId="12" fillId="5" borderId="0" xfId="0" applyFont="1" applyFill="1" applyAlignment="1">
      <alignment horizontal="center" vertical="top" wrapText="1"/>
    </xf>
    <xf numFmtId="4" fontId="12" fillId="5" borderId="0" xfId="0" applyNumberFormat="1" applyFont="1" applyFill="1" applyAlignment="1">
      <alignment horizontal="center" vertical="top" wrapText="1"/>
    </xf>
    <xf numFmtId="4" fontId="11" fillId="5" borderId="0" xfId="0" applyNumberFormat="1" applyFont="1" applyFill="1" applyAlignment="1">
      <alignment horizontal="center" vertical="top" wrapText="1"/>
    </xf>
    <xf numFmtId="0" fontId="3" fillId="9" borderId="0" xfId="0" applyFont="1" applyFill="1" applyAlignment="1">
      <alignment horizontal="center" vertical="top" wrapText="1"/>
    </xf>
    <xf numFmtId="4" fontId="3" fillId="9" borderId="0" xfId="0" applyNumberFormat="1" applyFont="1" applyFill="1" applyAlignment="1">
      <alignment horizontal="center" vertical="top" wrapText="1"/>
    </xf>
    <xf numFmtId="0" fontId="11" fillId="5" borderId="0" xfId="0" applyFont="1" applyFill="1" applyAlignment="1">
      <alignment horizontal="center" vertical="top" wrapText="1"/>
    </xf>
    <xf numFmtId="0" fontId="12" fillId="6" borderId="0" xfId="0" applyFont="1" applyFill="1" applyAlignment="1">
      <alignment horizontal="center" vertical="top" wrapText="1"/>
    </xf>
    <xf numFmtId="4" fontId="12" fillId="6" borderId="0" xfId="0" applyNumberFormat="1" applyFont="1" applyFill="1" applyAlignment="1">
      <alignment horizontal="center" vertical="top" wrapText="1"/>
    </xf>
    <xf numFmtId="0" fontId="12" fillId="9" borderId="0" xfId="0" applyFont="1" applyFill="1" applyAlignment="1">
      <alignment horizontal="center" vertical="top" wrapText="1"/>
    </xf>
    <xf numFmtId="4" fontId="12" fillId="7" borderId="0" xfId="0" applyNumberFormat="1" applyFont="1" applyFill="1" applyAlignment="1">
      <alignment horizontal="center" vertical="top" wrapText="1"/>
    </xf>
    <xf numFmtId="4" fontId="12" fillId="9" borderId="0" xfId="0" applyNumberFormat="1" applyFont="1" applyFill="1" applyAlignment="1">
      <alignment vertical="top" wrapText="1"/>
    </xf>
    <xf numFmtId="49" fontId="12" fillId="10" borderId="0" xfId="0" applyNumberFormat="1" applyFont="1" applyFill="1" applyAlignment="1">
      <alignment horizontal="center" vertical="top" wrapText="1"/>
    </xf>
    <xf numFmtId="49" fontId="3" fillId="0" borderId="0" xfId="0" applyNumberFormat="1" applyFont="1"/>
    <xf numFmtId="49" fontId="1" fillId="0" borderId="0" xfId="0" applyNumberFormat="1" applyFont="1" applyAlignment="1">
      <alignment horizontal="left"/>
    </xf>
    <xf numFmtId="49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4" fontId="1" fillId="0" borderId="0" xfId="0" applyNumberFormat="1" applyFont="1" applyAlignment="1">
      <alignment horizontal="left"/>
    </xf>
    <xf numFmtId="4" fontId="8" fillId="0" borderId="0" xfId="0" applyNumberFormat="1" applyFont="1" applyAlignment="1">
      <alignment horizontal="left"/>
    </xf>
    <xf numFmtId="49" fontId="1" fillId="0" borderId="0" xfId="0" applyNumberFormat="1" applyFont="1"/>
    <xf numFmtId="0" fontId="8" fillId="0" borderId="0" xfId="0" applyFont="1"/>
    <xf numFmtId="4" fontId="8" fillId="0" borderId="0" xfId="0" applyNumberFormat="1" applyFont="1"/>
    <xf numFmtId="164" fontId="1" fillId="0" borderId="0" xfId="0" applyNumberFormat="1" applyFont="1"/>
    <xf numFmtId="0" fontId="13" fillId="0" borderId="0" xfId="0" applyFont="1"/>
    <xf numFmtId="165" fontId="1" fillId="0" borderId="0" xfId="0" applyNumberFormat="1" applyFont="1"/>
    <xf numFmtId="4" fontId="3" fillId="0" borderId="0" xfId="0" applyNumberFormat="1" applyFont="1"/>
    <xf numFmtId="9" fontId="3" fillId="0" borderId="0" xfId="0" applyNumberFormat="1" applyFont="1"/>
    <xf numFmtId="4" fontId="14" fillId="0" borderId="0" xfId="0" applyNumberFormat="1" applyFont="1"/>
    <xf numFmtId="4" fontId="15" fillId="0" borderId="0" xfId="0" applyNumberFormat="1" applyFont="1" applyAlignment="1">
      <alignment horizontal="right"/>
    </xf>
    <xf numFmtId="0" fontId="3" fillId="9" borderId="0" xfId="0" applyFont="1" applyFill="1" applyAlignment="1">
      <alignment vertical="top"/>
    </xf>
    <xf numFmtId="0" fontId="15" fillId="0" borderId="0" xfId="0" applyFont="1" applyAlignment="1">
      <alignment horizontal="right"/>
    </xf>
    <xf numFmtId="4" fontId="3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right"/>
    </xf>
    <xf numFmtId="10" fontId="3" fillId="0" borderId="0" xfId="0" applyNumberFormat="1" applyFont="1" applyAlignment="1">
      <alignment horizontal="right"/>
    </xf>
    <xf numFmtId="4" fontId="17" fillId="0" borderId="0" xfId="0" applyNumberFormat="1" applyFont="1" applyAlignment="1">
      <alignment horizontal="right"/>
    </xf>
    <xf numFmtId="167" fontId="15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4" fontId="15" fillId="0" borderId="0" xfId="0" applyNumberFormat="1" applyFont="1"/>
    <xf numFmtId="0" fontId="3" fillId="0" borderId="0" xfId="0" applyFont="1" applyAlignment="1">
      <alignment horizontal="right"/>
    </xf>
    <xf numFmtId="9" fontId="3" fillId="0" borderId="0" xfId="0" applyNumberFormat="1" applyFont="1" applyAlignment="1">
      <alignment horizontal="center"/>
    </xf>
    <xf numFmtId="0" fontId="3" fillId="9" borderId="0" xfId="0" applyFont="1" applyFill="1" applyAlignment="1">
      <alignment horizontal="center" wrapText="1"/>
    </xf>
    <xf numFmtId="4" fontId="3" fillId="9" borderId="0" xfId="0" applyNumberFormat="1" applyFont="1" applyFill="1" applyAlignment="1">
      <alignment horizontal="center" wrapText="1"/>
    </xf>
    <xf numFmtId="0" fontId="3" fillId="9" borderId="0" xfId="0" applyFont="1" applyFill="1"/>
    <xf numFmtId="166" fontId="6" fillId="0" borderId="0" xfId="0" applyNumberFormat="1" applyFont="1" applyAlignment="1">
      <alignment horizontal="right"/>
    </xf>
    <xf numFmtId="4" fontId="6" fillId="0" borderId="0" xfId="0" applyNumberFormat="1" applyFont="1" applyAlignment="1">
      <alignment horizontal="right"/>
    </xf>
    <xf numFmtId="10" fontId="6" fillId="0" borderId="0" xfId="0" applyNumberFormat="1" applyFont="1" applyAlignment="1">
      <alignment horizontal="right"/>
    </xf>
    <xf numFmtId="0" fontId="7" fillId="0" borderId="0" xfId="0" applyFont="1" applyAlignment="1">
      <alignment horizontal="left"/>
    </xf>
    <xf numFmtId="0" fontId="12" fillId="11" borderId="0" xfId="0" applyFont="1" applyFill="1" applyAlignment="1">
      <alignment horizontal="left" vertical="top" wrapText="1"/>
    </xf>
    <xf numFmtId="0" fontId="12" fillId="3" borderId="0" xfId="0" applyFont="1" applyFill="1" applyAlignment="1">
      <alignment horizontal="left" vertical="top" wrapText="1"/>
    </xf>
    <xf numFmtId="0" fontId="12" fillId="3" borderId="2" xfId="0" applyFont="1" applyFill="1" applyBorder="1" applyAlignment="1">
      <alignment vertical="top" wrapText="1"/>
    </xf>
    <xf numFmtId="4" fontId="12" fillId="3" borderId="0" xfId="0" applyNumberFormat="1" applyFont="1" applyFill="1" applyAlignment="1">
      <alignment horizontal="left" vertical="top" wrapText="1"/>
    </xf>
    <xf numFmtId="4" fontId="11" fillId="3" borderId="0" xfId="0" applyNumberFormat="1" applyFont="1" applyFill="1" applyAlignment="1">
      <alignment horizontal="center" vertical="top" wrapText="1"/>
    </xf>
    <xf numFmtId="9" fontId="12" fillId="3" borderId="0" xfId="0" applyNumberFormat="1" applyFont="1" applyFill="1" applyAlignment="1">
      <alignment horizontal="center" vertical="top" wrapText="1"/>
    </xf>
    <xf numFmtId="0" fontId="12" fillId="5" borderId="0" xfId="0" applyFont="1" applyFill="1" applyAlignment="1">
      <alignment horizontal="left" vertical="top" wrapText="1"/>
    </xf>
    <xf numFmtId="4" fontId="12" fillId="5" borderId="0" xfId="0" applyNumberFormat="1" applyFont="1" applyFill="1" applyAlignment="1">
      <alignment horizontal="left" vertical="top" wrapText="1"/>
    </xf>
    <xf numFmtId="0" fontId="3" fillId="9" borderId="0" xfId="0" applyFont="1" applyFill="1" applyAlignment="1">
      <alignment horizontal="left" vertical="top" wrapText="1"/>
    </xf>
    <xf numFmtId="4" fontId="3" fillId="9" borderId="0" xfId="0" applyNumberFormat="1" applyFont="1" applyFill="1" applyAlignment="1">
      <alignment horizontal="left" vertical="top" wrapText="1"/>
    </xf>
    <xf numFmtId="0" fontId="12" fillId="7" borderId="0" xfId="0" applyFont="1" applyFill="1" applyAlignment="1">
      <alignment horizontal="left" vertical="top" wrapText="1"/>
    </xf>
    <xf numFmtId="4" fontId="12" fillId="7" borderId="0" xfId="0" applyNumberFormat="1" applyFont="1" applyFill="1" applyAlignment="1">
      <alignment horizontal="left" vertical="top" wrapText="1"/>
    </xf>
    <xf numFmtId="10" fontId="12" fillId="13" borderId="0" xfId="0" applyNumberFormat="1" applyFont="1" applyFill="1" applyAlignment="1">
      <alignment horizontal="left" vertical="top" wrapText="1"/>
    </xf>
    <xf numFmtId="4" fontId="12" fillId="13" borderId="0" xfId="0" applyNumberFormat="1" applyFont="1" applyFill="1" applyAlignment="1">
      <alignment horizontal="left" vertical="top" wrapText="1"/>
    </xf>
    <xf numFmtId="166" fontId="12" fillId="14" borderId="0" xfId="0" applyNumberFormat="1" applyFont="1" applyFill="1" applyAlignment="1">
      <alignment horizontal="left" vertical="top" wrapText="1"/>
    </xf>
    <xf numFmtId="4" fontId="12" fillId="14" borderId="0" xfId="0" applyNumberFormat="1" applyFont="1" applyFill="1" applyAlignment="1">
      <alignment horizontal="left" vertical="top" wrapText="1"/>
    </xf>
    <xf numFmtId="10" fontId="12" fillId="14" borderId="0" xfId="0" applyNumberFormat="1" applyFont="1" applyFill="1" applyAlignment="1">
      <alignment horizontal="left" vertical="top" wrapText="1"/>
    </xf>
    <xf numFmtId="10" fontId="12" fillId="12" borderId="0" xfId="0" applyNumberFormat="1" applyFont="1" applyFill="1" applyAlignment="1">
      <alignment horizontal="left" vertical="top" wrapText="1"/>
    </xf>
    <xf numFmtId="49" fontId="12" fillId="10" borderId="0" xfId="0" applyNumberFormat="1" applyFont="1" applyFill="1" applyAlignment="1">
      <alignment horizontal="left" vertical="top" wrapText="1"/>
    </xf>
    <xf numFmtId="49" fontId="5" fillId="0" borderId="0" xfId="0" applyNumberFormat="1" applyFont="1"/>
    <xf numFmtId="4" fontId="5" fillId="0" borderId="0" xfId="0" applyNumberFormat="1" applyFont="1"/>
    <xf numFmtId="10" fontId="3" fillId="0" borderId="0" xfId="0" applyNumberFormat="1" applyFont="1"/>
    <xf numFmtId="10" fontId="3" fillId="0" borderId="0" xfId="0" applyNumberFormat="1" applyFont="1" applyAlignment="1">
      <alignment horizontal="right" vertical="top" wrapText="1"/>
    </xf>
    <xf numFmtId="9" fontId="5" fillId="0" borderId="0" xfId="0" applyNumberFormat="1" applyFont="1"/>
    <xf numFmtId="10" fontId="15" fillId="0" borderId="0" xfId="0" applyNumberFormat="1" applyFont="1" applyAlignment="1">
      <alignment horizontal="right"/>
    </xf>
    <xf numFmtId="164" fontId="16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left"/>
    </xf>
    <xf numFmtId="4" fontId="3" fillId="0" borderId="0" xfId="0" applyNumberFormat="1" applyFont="1" applyAlignment="1">
      <alignment horizontal="center"/>
    </xf>
    <xf numFmtId="0" fontId="12" fillId="3" borderId="0" xfId="0" applyFont="1" applyFill="1" applyAlignment="1">
      <alignment vertical="top" wrapText="1"/>
    </xf>
    <xf numFmtId="49" fontId="12" fillId="3" borderId="0" xfId="0" applyNumberFormat="1" applyFont="1" applyFill="1" applyAlignment="1">
      <alignment horizontal="left" vertical="top" wrapText="1"/>
    </xf>
    <xf numFmtId="10" fontId="12" fillId="15" borderId="0" xfId="0" applyNumberFormat="1" applyFont="1" applyFill="1" applyAlignment="1">
      <alignment horizontal="left" vertical="top" wrapText="1"/>
    </xf>
    <xf numFmtId="4" fontId="12" fillId="15" borderId="0" xfId="0" applyNumberFormat="1" applyFont="1" applyFill="1" applyAlignment="1">
      <alignment horizontal="left" vertical="top" wrapText="1"/>
    </xf>
    <xf numFmtId="0" fontId="12" fillId="12" borderId="0" xfId="0" applyFont="1" applyFill="1" applyAlignment="1">
      <alignment horizontal="left" vertical="top" wrapText="1"/>
    </xf>
    <xf numFmtId="0" fontId="12" fillId="16" borderId="0" xfId="0" applyFont="1" applyFill="1" applyAlignment="1">
      <alignment horizontal="left" vertical="top" wrapText="1"/>
    </xf>
    <xf numFmtId="10" fontId="18" fillId="2" borderId="0" xfId="0" applyNumberFormat="1" applyFont="1" applyFill="1"/>
    <xf numFmtId="4" fontId="18" fillId="2" borderId="0" xfId="0" applyNumberFormat="1" applyFont="1" applyFill="1"/>
    <xf numFmtId="4" fontId="3" fillId="0" borderId="0" xfId="0" applyNumberFormat="1" applyFont="1" applyAlignment="1">
      <alignment horizontal="left" vertical="top" wrapText="1"/>
    </xf>
    <xf numFmtId="10" fontId="3" fillId="0" borderId="0" xfId="0" applyNumberFormat="1" applyFont="1" applyAlignment="1">
      <alignment horizontal="left" vertical="top" wrapText="1"/>
    </xf>
    <xf numFmtId="0" fontId="5" fillId="17" borderId="0" xfId="0" applyFont="1" applyFill="1"/>
    <xf numFmtId="0" fontId="11" fillId="5" borderId="0" xfId="0" applyFont="1" applyFill="1" applyAlignment="1">
      <alignment horizontal="left" vertical="top" wrapText="1"/>
    </xf>
    <xf numFmtId="0" fontId="20" fillId="0" borderId="0" xfId="0" applyFont="1"/>
    <xf numFmtId="0" fontId="21" fillId="0" borderId="0" xfId="0" applyFont="1"/>
    <xf numFmtId="4" fontId="20" fillId="0" borderId="0" xfId="0" applyNumberFormat="1" applyFont="1"/>
    <xf numFmtId="4" fontId="21" fillId="0" borderId="0" xfId="0" applyNumberFormat="1" applyFont="1"/>
    <xf numFmtId="1" fontId="3" fillId="9" borderId="0" xfId="0" applyNumberFormat="1" applyFont="1" applyFill="1" applyAlignment="1">
      <alignment horizontal="center" wrapText="1"/>
    </xf>
    <xf numFmtId="171" fontId="1" fillId="0" borderId="0" xfId="0" applyNumberFormat="1" applyFont="1"/>
    <xf numFmtId="170" fontId="1" fillId="0" borderId="0" xfId="0" applyNumberFormat="1" applyFont="1"/>
    <xf numFmtId="172" fontId="20" fillId="0" borderId="0" xfId="0" applyNumberFormat="1" applyFont="1"/>
    <xf numFmtId="3" fontId="1" fillId="9" borderId="0" xfId="0" applyNumberFormat="1" applyFont="1" applyFill="1" applyAlignment="1">
      <alignment horizontal="center"/>
    </xf>
    <xf numFmtId="1" fontId="3" fillId="9" borderId="0" xfId="0" applyNumberFormat="1" applyFont="1" applyFill="1" applyAlignment="1">
      <alignment horizontal="center"/>
    </xf>
    <xf numFmtId="1" fontId="5" fillId="0" borderId="0" xfId="0" applyNumberFormat="1" applyFont="1"/>
    <xf numFmtId="0" fontId="11" fillId="7" borderId="0" xfId="0" applyFont="1" applyFill="1" applyAlignment="1">
      <alignment horizontal="center" vertical="top" wrapText="1"/>
    </xf>
    <xf numFmtId="0" fontId="2" fillId="3" borderId="3" xfId="0" applyFont="1" applyFill="1" applyBorder="1" applyAlignment="1">
      <alignment vertical="top" wrapText="1"/>
    </xf>
    <xf numFmtId="4" fontId="2" fillId="3" borderId="3" xfId="0" applyNumberFormat="1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1" fontId="11" fillId="3" borderId="2" xfId="0" applyNumberFormat="1" applyFont="1" applyFill="1" applyBorder="1" applyAlignment="1">
      <alignment vertical="top" wrapText="1"/>
    </xf>
    <xf numFmtId="3" fontId="11" fillId="3" borderId="2" xfId="0" applyNumberFormat="1" applyFont="1" applyFill="1" applyBorder="1" applyAlignment="1">
      <alignment vertical="top" wrapText="1"/>
    </xf>
    <xf numFmtId="4" fontId="11" fillId="3" borderId="2" xfId="0" applyNumberFormat="1" applyFont="1" applyFill="1" applyBorder="1" applyAlignment="1">
      <alignment vertical="top" wrapText="1"/>
    </xf>
    <xf numFmtId="0" fontId="11" fillId="3" borderId="2" xfId="0" applyFont="1" applyFill="1" applyBorder="1" applyAlignment="1">
      <alignment vertical="top" wrapText="1"/>
    </xf>
    <xf numFmtId="49" fontId="11" fillId="3" borderId="2" xfId="0" applyNumberFormat="1" applyFont="1" applyFill="1" applyBorder="1" applyAlignment="1">
      <alignment vertical="top" wrapText="1"/>
    </xf>
    <xf numFmtId="171" fontId="11" fillId="3" borderId="2" xfId="0" applyNumberFormat="1" applyFont="1" applyFill="1" applyBorder="1" applyAlignment="1">
      <alignment vertical="top" wrapText="1"/>
    </xf>
    <xf numFmtId="170" fontId="11" fillId="3" borderId="2" xfId="0" applyNumberFormat="1" applyFont="1" applyFill="1" applyBorder="1" applyAlignment="1">
      <alignment vertical="top" wrapText="1"/>
    </xf>
    <xf numFmtId="4" fontId="7" fillId="5" borderId="0" xfId="0" applyNumberFormat="1" applyFont="1" applyFill="1" applyAlignment="1">
      <alignment horizontal="center"/>
    </xf>
    <xf numFmtId="4" fontId="12" fillId="3" borderId="2" xfId="0" applyNumberFormat="1" applyFont="1" applyFill="1" applyBorder="1" applyAlignment="1">
      <alignment vertical="top" wrapText="1"/>
    </xf>
    <xf numFmtId="3" fontId="11" fillId="3" borderId="0" xfId="0" applyNumberFormat="1" applyFont="1" applyFill="1" applyAlignment="1">
      <alignment horizontal="left" vertical="top" wrapText="1"/>
    </xf>
    <xf numFmtId="1" fontId="11" fillId="3" borderId="0" xfId="0" applyNumberFormat="1" applyFont="1" applyFill="1" applyAlignment="1">
      <alignment horizontal="left" vertical="top" wrapText="1"/>
    </xf>
    <xf numFmtId="171" fontId="12" fillId="3" borderId="0" xfId="0" applyNumberFormat="1" applyFont="1" applyFill="1" applyAlignment="1">
      <alignment vertical="top" wrapText="1"/>
    </xf>
    <xf numFmtId="171" fontId="11" fillId="3" borderId="0" xfId="0" applyNumberFormat="1" applyFont="1" applyFill="1" applyAlignment="1">
      <alignment vertical="top" wrapText="1"/>
    </xf>
    <xf numFmtId="0" fontId="12" fillId="3" borderId="4" xfId="0" applyFont="1" applyFill="1" applyBorder="1" applyAlignment="1">
      <alignment vertical="top" wrapText="1"/>
    </xf>
    <xf numFmtId="170" fontId="11" fillId="3" borderId="0" xfId="0" applyNumberFormat="1" applyFont="1" applyFill="1" applyAlignment="1">
      <alignment vertical="top" wrapText="1"/>
    </xf>
    <xf numFmtId="170" fontId="12" fillId="3" borderId="0" xfId="0" applyNumberFormat="1" applyFont="1" applyFill="1" applyAlignment="1">
      <alignment vertical="top" wrapText="1"/>
    </xf>
    <xf numFmtId="170" fontId="12" fillId="3" borderId="2" xfId="0" applyNumberFormat="1" applyFont="1" applyFill="1" applyBorder="1" applyAlignment="1">
      <alignment vertical="top" wrapText="1"/>
    </xf>
    <xf numFmtId="0" fontId="11" fillId="4" borderId="0" xfId="0" applyFont="1" applyFill="1" applyAlignment="1">
      <alignment horizontal="center" vertical="top" wrapText="1"/>
    </xf>
    <xf numFmtId="4" fontId="11" fillId="4" borderId="0" xfId="0" applyNumberFormat="1" applyFont="1" applyFill="1" applyAlignment="1">
      <alignment horizontal="center" vertical="top" wrapText="1"/>
    </xf>
    <xf numFmtId="0" fontId="11" fillId="6" borderId="0" xfId="0" applyFont="1" applyFill="1" applyAlignment="1">
      <alignment horizontal="center" vertical="top" wrapText="1"/>
    </xf>
    <xf numFmtId="4" fontId="11" fillId="6" borderId="0" xfId="0" applyNumberFormat="1" applyFont="1" applyFill="1" applyAlignment="1">
      <alignment horizontal="center" vertical="top" wrapText="1"/>
    </xf>
    <xf numFmtId="4" fontId="11" fillId="7" borderId="0" xfId="0" applyNumberFormat="1" applyFont="1" applyFill="1" applyAlignment="1">
      <alignment horizontal="center" vertical="top" wrapText="1"/>
    </xf>
    <xf numFmtId="49" fontId="8" fillId="2" borderId="0" xfId="0" applyNumberFormat="1" applyFont="1" applyFill="1"/>
    <xf numFmtId="1" fontId="1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Alignment="1">
      <alignment horizontal="right"/>
    </xf>
    <xf numFmtId="3" fontId="1" fillId="0" borderId="0" xfId="0" applyNumberFormat="1" applyFont="1"/>
    <xf numFmtId="14" fontId="1" fillId="0" borderId="0" xfId="0" applyNumberFormat="1" applyFont="1"/>
    <xf numFmtId="173" fontId="1" fillId="0" borderId="0" xfId="0" applyNumberFormat="1" applyFont="1"/>
    <xf numFmtId="4" fontId="23" fillId="0" borderId="0" xfId="0" applyNumberFormat="1" applyFont="1"/>
    <xf numFmtId="4" fontId="1" fillId="18" borderId="0" xfId="0" applyNumberFormat="1" applyFont="1" applyFill="1"/>
    <xf numFmtId="168" fontId="1" fillId="0" borderId="0" xfId="0" applyNumberFormat="1" applyFont="1"/>
    <xf numFmtId="4" fontId="1" fillId="2" borderId="0" xfId="0" applyNumberFormat="1" applyFont="1" applyFill="1"/>
    <xf numFmtId="174" fontId="1" fillId="0" borderId="0" xfId="0" applyNumberFormat="1" applyFont="1"/>
    <xf numFmtId="169" fontId="1" fillId="0" borderId="0" xfId="0" applyNumberFormat="1" applyFont="1"/>
    <xf numFmtId="0" fontId="24" fillId="0" borderId="0" xfId="0" applyFont="1"/>
    <xf numFmtId="170" fontId="1" fillId="0" borderId="0" xfId="0" applyNumberFormat="1" applyFont="1" applyAlignment="1">
      <alignment horizontal="center"/>
    </xf>
    <xf numFmtId="4" fontId="11" fillId="9" borderId="0" xfId="0" applyNumberFormat="1" applyFont="1" applyFill="1" applyAlignment="1">
      <alignment horizontal="center" vertical="top" wrapText="1"/>
    </xf>
    <xf numFmtId="17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" fontId="6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right" vertical="center"/>
    </xf>
    <xf numFmtId="4" fontId="1" fillId="0" borderId="0" xfId="0" applyNumberFormat="1" applyFont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4" fontId="3" fillId="9" borderId="0" xfId="0" applyNumberFormat="1" applyFont="1" applyFill="1" applyAlignment="1">
      <alignment horizontal="center" vertical="center"/>
    </xf>
    <xf numFmtId="170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49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left"/>
    </xf>
    <xf numFmtId="4" fontId="2" fillId="3" borderId="0" xfId="0" applyNumberFormat="1" applyFont="1" applyFill="1" applyAlignment="1">
      <alignment horizontal="center" vertical="top"/>
    </xf>
    <xf numFmtId="4" fontId="2" fillId="4" borderId="0" xfId="0" applyNumberFormat="1" applyFont="1" applyFill="1" applyAlignment="1">
      <alignment horizontal="center"/>
    </xf>
    <xf numFmtId="170" fontId="11" fillId="5" borderId="0" xfId="0" applyNumberFormat="1" applyFont="1" applyFill="1" applyAlignment="1">
      <alignment horizontal="center" vertical="top" wrapText="1"/>
    </xf>
    <xf numFmtId="49" fontId="12" fillId="5" borderId="0" xfId="0" applyNumberFormat="1" applyFont="1" applyFill="1" applyAlignment="1">
      <alignment horizontal="center" vertical="top" wrapText="1"/>
    </xf>
    <xf numFmtId="0" fontId="25" fillId="3" borderId="0" xfId="0" applyFont="1" applyFill="1" applyAlignment="1">
      <alignment horizontal="center" vertical="top" wrapText="1"/>
    </xf>
    <xf numFmtId="49" fontId="12" fillId="6" borderId="0" xfId="0" applyNumberFormat="1" applyFont="1" applyFill="1" applyAlignment="1">
      <alignment horizontal="left" vertical="top" wrapText="1"/>
    </xf>
    <xf numFmtId="170" fontId="8" fillId="0" borderId="0" xfId="0" applyNumberFormat="1" applyFont="1" applyAlignment="1">
      <alignment horizontal="left"/>
    </xf>
    <xf numFmtId="4" fontId="11" fillId="9" borderId="0" xfId="0" applyNumberFormat="1" applyFont="1" applyFill="1" applyAlignment="1">
      <alignment horizontal="left" vertical="top" wrapText="1"/>
    </xf>
    <xf numFmtId="0" fontId="11" fillId="9" borderId="0" xfId="0" applyFont="1" applyFill="1" applyAlignment="1">
      <alignment horizontal="center" vertical="top" wrapText="1"/>
    </xf>
    <xf numFmtId="0" fontId="8" fillId="9" borderId="0" xfId="0" applyFont="1" applyFill="1" applyAlignment="1">
      <alignment horizontal="center" vertical="center" wrapText="1"/>
    </xf>
    <xf numFmtId="0" fontId="15" fillId="0" borderId="0" xfId="0" applyFont="1"/>
    <xf numFmtId="170" fontId="2" fillId="4" borderId="0" xfId="0" applyNumberFormat="1" applyFont="1" applyFill="1" applyAlignment="1">
      <alignment horizontal="center"/>
    </xf>
    <xf numFmtId="4" fontId="2" fillId="4" borderId="0" xfId="0" applyNumberFormat="1" applyFont="1" applyFill="1" applyAlignment="1">
      <alignment horizontal="left"/>
    </xf>
    <xf numFmtId="4" fontId="3" fillId="5" borderId="0" xfId="0" applyNumberFormat="1" applyFont="1" applyFill="1" applyAlignment="1">
      <alignment vertical="top"/>
    </xf>
    <xf numFmtId="170" fontId="11" fillId="4" borderId="0" xfId="0" applyNumberFormat="1" applyFont="1" applyFill="1" applyAlignment="1">
      <alignment horizontal="left" vertical="top" wrapText="1"/>
    </xf>
    <xf numFmtId="0" fontId="11" fillId="4" borderId="0" xfId="0" applyFont="1" applyFill="1" applyAlignment="1">
      <alignment horizontal="left" vertical="top" wrapText="1"/>
    </xf>
    <xf numFmtId="49" fontId="11" fillId="4" borderId="0" xfId="0" applyNumberFormat="1" applyFont="1" applyFill="1" applyAlignment="1">
      <alignment horizontal="left" vertical="top" wrapText="1"/>
    </xf>
    <xf numFmtId="4" fontId="11" fillId="4" borderId="0" xfId="0" applyNumberFormat="1" applyFont="1" applyFill="1" applyAlignment="1">
      <alignment horizontal="left" vertical="top" wrapText="1"/>
    </xf>
    <xf numFmtId="0" fontId="11" fillId="3" borderId="0" xfId="0" applyFont="1" applyFill="1" applyAlignment="1">
      <alignment horizontal="left" vertical="top" wrapText="1"/>
    </xf>
    <xf numFmtId="0" fontId="12" fillId="9" borderId="0" xfId="0" applyFont="1" applyFill="1" applyAlignment="1">
      <alignment vertical="top" wrapText="1"/>
    </xf>
    <xf numFmtId="49" fontId="12" fillId="6" borderId="0" xfId="0" applyNumberFormat="1" applyFont="1" applyFill="1" applyAlignment="1">
      <alignment horizontal="center" vertical="top" wrapText="1"/>
    </xf>
    <xf numFmtId="49" fontId="27" fillId="0" borderId="0" xfId="0" applyNumberFormat="1" applyFont="1"/>
    <xf numFmtId="0" fontId="5" fillId="0" borderId="0" xfId="0" applyFont="1" applyAlignment="1">
      <alignment horizontal="right"/>
    </xf>
    <xf numFmtId="170" fontId="8" fillId="0" borderId="0" xfId="0" applyNumberFormat="1" applyFont="1"/>
    <xf numFmtId="0" fontId="28" fillId="0" borderId="0" xfId="0" applyFont="1"/>
    <xf numFmtId="0" fontId="29" fillId="0" borderId="0" xfId="0" applyFont="1"/>
    <xf numFmtId="0" fontId="19" fillId="0" borderId="0" xfId="0" applyFont="1"/>
    <xf numFmtId="4" fontId="7" fillId="7" borderId="0" xfId="0" applyNumberFormat="1" applyFont="1" applyFill="1" applyAlignment="1">
      <alignment horizontal="center" vertical="top"/>
    </xf>
    <xf numFmtId="49" fontId="4" fillId="7" borderId="0" xfId="0" applyNumberFormat="1" applyFont="1" applyFill="1" applyAlignment="1">
      <alignment horizontal="left" vertical="top" wrapText="1"/>
    </xf>
    <xf numFmtId="49" fontId="12" fillId="7" borderId="0" xfId="0" applyNumberFormat="1" applyFont="1" applyFill="1" applyAlignment="1">
      <alignment horizontal="center" vertical="top" wrapText="1"/>
    </xf>
    <xf numFmtId="49" fontId="4" fillId="7" borderId="0" xfId="0" applyNumberFormat="1" applyFont="1" applyFill="1" applyAlignment="1">
      <alignment vertical="top" wrapText="1"/>
    </xf>
    <xf numFmtId="49" fontId="12" fillId="7" borderId="0" xfId="0" applyNumberFormat="1" applyFont="1" applyFill="1" applyAlignment="1">
      <alignment vertical="top" wrapText="1"/>
    </xf>
    <xf numFmtId="49" fontId="12" fillId="3" borderId="0" xfId="0" applyNumberFormat="1" applyFont="1" applyFill="1" applyAlignment="1">
      <alignment horizontal="center" vertical="top" wrapText="1"/>
    </xf>
    <xf numFmtId="49" fontId="25" fillId="3" borderId="0" xfId="0" applyNumberFormat="1" applyFont="1" applyFill="1" applyAlignment="1">
      <alignment horizontal="center" vertical="top" wrapText="1"/>
    </xf>
    <xf numFmtId="49" fontId="12" fillId="9" borderId="0" xfId="0" applyNumberFormat="1" applyFont="1" applyFill="1" applyAlignment="1">
      <alignment horizontal="center" vertical="top" wrapText="1"/>
    </xf>
    <xf numFmtId="49" fontId="12" fillId="4" borderId="5" xfId="0" applyNumberFormat="1" applyFont="1" applyFill="1" applyBorder="1" applyAlignment="1">
      <alignment horizontal="center" vertical="top" wrapText="1"/>
    </xf>
    <xf numFmtId="49" fontId="12" fillId="4" borderId="0" xfId="0" applyNumberFormat="1" applyFont="1" applyFill="1" applyAlignment="1">
      <alignment horizontal="center" vertical="top" wrapText="1"/>
    </xf>
    <xf numFmtId="49" fontId="0" fillId="2" borderId="0" xfId="0" applyNumberFormat="1" applyFill="1"/>
    <xf numFmtId="49" fontId="3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left"/>
    </xf>
    <xf numFmtId="0" fontId="8" fillId="0" borderId="0" xfId="0" applyFont="1" applyAlignment="1">
      <alignment horizontal="right"/>
    </xf>
    <xf numFmtId="175" fontId="8" fillId="0" borderId="0" xfId="0" applyNumberFormat="1" applyFont="1"/>
    <xf numFmtId="168" fontId="8" fillId="0" borderId="0" xfId="0" applyNumberFormat="1" applyFont="1"/>
    <xf numFmtId="165" fontId="8" fillId="0" borderId="0" xfId="0" applyNumberFormat="1" applyFont="1"/>
    <xf numFmtId="0" fontId="24" fillId="0" borderId="0" xfId="0" applyFont="1" applyAlignment="1">
      <alignment vertical="top" wrapText="1"/>
    </xf>
    <xf numFmtId="0" fontId="3" fillId="8" borderId="0" xfId="0" applyFont="1" applyFill="1" applyAlignment="1">
      <alignment vertical="top" wrapText="1"/>
    </xf>
    <xf numFmtId="10" fontId="3" fillId="8" borderId="0" xfId="0" applyNumberFormat="1" applyFont="1" applyFill="1" applyAlignment="1">
      <alignment vertical="top" wrapText="1"/>
    </xf>
    <xf numFmtId="0" fontId="5" fillId="8" borderId="0" xfId="0" applyFont="1" applyFill="1" applyAlignment="1">
      <alignment vertical="top"/>
    </xf>
    <xf numFmtId="9" fontId="3" fillId="0" borderId="0" xfId="0" applyNumberFormat="1" applyFont="1" applyAlignment="1">
      <alignment horizontal="right"/>
    </xf>
    <xf numFmtId="10" fontId="5" fillId="0" borderId="0" xfId="0" applyNumberFormat="1" applyFont="1"/>
    <xf numFmtId="0" fontId="5" fillId="0" borderId="0" xfId="0" applyFont="1" applyAlignment="1">
      <alignment vertical="top" wrapText="1"/>
    </xf>
    <xf numFmtId="0" fontId="2" fillId="3" borderId="0" xfId="0" applyFont="1" applyFill="1" applyAlignment="1">
      <alignment horizontal="center" vertical="top" wrapText="1"/>
    </xf>
    <xf numFmtId="0" fontId="11" fillId="3" borderId="0" xfId="0" applyFont="1" applyFill="1" applyAlignment="1">
      <alignment vertical="top" wrapText="1"/>
    </xf>
    <xf numFmtId="0" fontId="4" fillId="3" borderId="0" xfId="0" applyFont="1" applyFill="1" applyAlignment="1">
      <alignment vertical="top" wrapText="1"/>
    </xf>
    <xf numFmtId="176" fontId="4" fillId="3" borderId="0" xfId="0" applyNumberFormat="1" applyFont="1" applyFill="1" applyAlignment="1">
      <alignment vertical="top" wrapText="1"/>
    </xf>
    <xf numFmtId="14" fontId="1" fillId="2" borderId="0" xfId="0" applyNumberFormat="1" applyFont="1" applyFill="1" applyAlignment="1">
      <alignment horizontal="right" wrapText="1"/>
    </xf>
    <xf numFmtId="176" fontId="1" fillId="0" borderId="0" xfId="0" applyNumberFormat="1" applyFont="1"/>
    <xf numFmtId="0" fontId="30" fillId="0" borderId="0" xfId="0" applyFont="1"/>
    <xf numFmtId="0" fontId="4" fillId="19" borderId="0" xfId="0" applyFont="1" applyFill="1" applyAlignment="1">
      <alignment horizontal="left" vertical="top" wrapText="1"/>
    </xf>
    <xf numFmtId="4" fontId="0" fillId="0" borderId="0" xfId="0" applyNumberFormat="1"/>
    <xf numFmtId="3" fontId="0" fillId="0" borderId="0" xfId="0" applyNumberFormat="1"/>
    <xf numFmtId="0" fontId="31" fillId="0" borderId="1" xfId="1" applyFont="1"/>
    <xf numFmtId="0" fontId="30" fillId="0" borderId="1" xfId="1"/>
    <xf numFmtId="0" fontId="32" fillId="23" borderId="1" xfId="1" applyFont="1" applyFill="1"/>
    <xf numFmtId="0" fontId="32" fillId="24" borderId="1" xfId="1" applyFont="1" applyFill="1"/>
    <xf numFmtId="49" fontId="31" fillId="0" borderId="1" xfId="1" applyNumberFormat="1" applyFont="1" applyAlignment="1">
      <alignment horizontal="left"/>
    </xf>
    <xf numFmtId="14" fontId="31" fillId="0" borderId="1" xfId="1" applyNumberFormat="1" applyFont="1" applyAlignment="1">
      <alignment horizontal="left"/>
    </xf>
    <xf numFmtId="4" fontId="31" fillId="0" borderId="1" xfId="1" applyNumberFormat="1" applyFont="1" applyAlignment="1">
      <alignment horizontal="left"/>
    </xf>
    <xf numFmtId="0" fontId="32" fillId="25" borderId="1" xfId="1" applyFont="1" applyFill="1"/>
    <xf numFmtId="0" fontId="8" fillId="0" borderId="1" xfId="1" applyFont="1" applyAlignment="1">
      <alignment horizontal="left"/>
    </xf>
    <xf numFmtId="177" fontId="8" fillId="0" borderId="1" xfId="1" applyNumberFormat="1" applyFont="1" applyAlignment="1">
      <alignment horizontal="right"/>
    </xf>
    <xf numFmtId="178" fontId="8" fillId="0" borderId="1" xfId="1" applyNumberFormat="1" applyFont="1"/>
    <xf numFmtId="179" fontId="8" fillId="0" borderId="1" xfId="1" applyNumberFormat="1" applyFont="1" applyAlignment="1">
      <alignment horizontal="right"/>
    </xf>
    <xf numFmtId="0" fontId="5" fillId="0" borderId="1" xfId="1" applyFont="1"/>
    <xf numFmtId="0" fontId="31" fillId="0" borderId="1" xfId="1" applyFont="1" applyAlignment="1">
      <alignment horizontal="left"/>
    </xf>
    <xf numFmtId="177" fontId="31" fillId="0" borderId="1" xfId="1" applyNumberFormat="1" applyFont="1" applyAlignment="1">
      <alignment horizontal="right"/>
    </xf>
    <xf numFmtId="178" fontId="31" fillId="0" borderId="1" xfId="1" applyNumberFormat="1" applyFont="1"/>
    <xf numFmtId="180" fontId="31" fillId="0" borderId="1" xfId="1" applyNumberFormat="1" applyFont="1"/>
    <xf numFmtId="179" fontId="31" fillId="0" borderId="1" xfId="1" applyNumberFormat="1" applyFont="1" applyAlignment="1">
      <alignment horizontal="right"/>
    </xf>
    <xf numFmtId="0" fontId="33" fillId="26" borderId="6" xfId="1" applyFont="1" applyFill="1" applyBorder="1" applyAlignment="1">
      <alignment horizontal="center" vertical="center" wrapText="1"/>
    </xf>
    <xf numFmtId="0" fontId="33" fillId="27" borderId="6" xfId="1" applyFont="1" applyFill="1" applyBorder="1" applyAlignment="1">
      <alignment horizontal="center" vertical="center" wrapText="1"/>
    </xf>
    <xf numFmtId="0" fontId="33" fillId="27" borderId="8" xfId="1" applyFont="1" applyFill="1" applyBorder="1"/>
    <xf numFmtId="4" fontId="34" fillId="21" borderId="7" xfId="1" applyNumberFormat="1" applyFont="1" applyFill="1" applyBorder="1" applyAlignment="1">
      <alignment horizontal="left" vertical="top" wrapText="1"/>
    </xf>
    <xf numFmtId="4" fontId="34" fillId="22" borderId="7" xfId="1" applyNumberFormat="1" applyFont="1" applyFill="1" applyBorder="1" applyAlignment="1">
      <alignment horizontal="left" vertical="top" wrapText="1"/>
    </xf>
    <xf numFmtId="0" fontId="34" fillId="28" borderId="7" xfId="1" applyFont="1" applyFill="1" applyBorder="1" applyAlignment="1">
      <alignment vertical="top" wrapText="1"/>
    </xf>
    <xf numFmtId="0" fontId="34" fillId="22" borderId="7" xfId="1" applyFont="1" applyFill="1" applyBorder="1" applyAlignment="1">
      <alignment horizontal="right" vertical="top" wrapText="1"/>
    </xf>
    <xf numFmtId="49" fontId="34" fillId="21" borderId="7" xfId="1" applyNumberFormat="1" applyFont="1" applyFill="1" applyBorder="1" applyAlignment="1">
      <alignment horizontal="right" vertical="top" wrapText="1"/>
    </xf>
    <xf numFmtId="49" fontId="34" fillId="22" borderId="7" xfId="1" applyNumberFormat="1" applyFont="1" applyFill="1" applyBorder="1" applyAlignment="1">
      <alignment horizontal="right" vertical="top" wrapText="1"/>
    </xf>
    <xf numFmtId="49" fontId="34" fillId="21" borderId="7" xfId="1" applyNumberFormat="1" applyFont="1" applyFill="1" applyBorder="1" applyAlignment="1">
      <alignment horizontal="left" vertical="top" wrapText="1"/>
    </xf>
    <xf numFmtId="0" fontId="34" fillId="22" borderId="7" xfId="1" applyFont="1" applyFill="1" applyBorder="1" applyAlignment="1">
      <alignment vertical="top" wrapText="1"/>
    </xf>
    <xf numFmtId="49" fontId="31" fillId="23" borderId="7" xfId="1" applyNumberFormat="1" applyFont="1" applyFill="1" applyBorder="1" applyAlignment="1">
      <alignment horizontal="left"/>
    </xf>
    <xf numFmtId="0" fontId="31" fillId="23" borderId="7" xfId="1" applyFont="1" applyFill="1" applyBorder="1" applyAlignment="1">
      <alignment horizontal="left"/>
    </xf>
    <xf numFmtId="173" fontId="31" fillId="23" borderId="7" xfId="1" applyNumberFormat="1" applyFont="1" applyFill="1" applyBorder="1" applyAlignment="1">
      <alignment horizontal="left"/>
    </xf>
    <xf numFmtId="49" fontId="31" fillId="23" borderId="7" xfId="1" applyNumberFormat="1" applyFont="1" applyFill="1" applyBorder="1" applyAlignment="1">
      <alignment horizontal="right"/>
    </xf>
    <xf numFmtId="0" fontId="31" fillId="23" borderId="7" xfId="1" applyFont="1" applyFill="1" applyBorder="1" applyAlignment="1">
      <alignment horizontal="right"/>
    </xf>
    <xf numFmtId="49" fontId="31" fillId="23" borderId="7" xfId="1" applyNumberFormat="1" applyFont="1" applyFill="1" applyBorder="1"/>
    <xf numFmtId="49" fontId="31" fillId="23" borderId="7" xfId="1" applyNumberFormat="1" applyFont="1" applyFill="1" applyBorder="1" applyAlignment="1">
      <alignment vertical="top"/>
    </xf>
    <xf numFmtId="49" fontId="31" fillId="0" borderId="7" xfId="1" applyNumberFormat="1" applyFont="1" applyBorder="1" applyAlignment="1">
      <alignment horizontal="left"/>
    </xf>
    <xf numFmtId="173" fontId="31" fillId="0" borderId="7" xfId="1" applyNumberFormat="1" applyFont="1" applyBorder="1" applyAlignment="1">
      <alignment horizontal="left"/>
    </xf>
    <xf numFmtId="0" fontId="31" fillId="0" borderId="7" xfId="1" applyFont="1" applyBorder="1" applyAlignment="1">
      <alignment horizontal="left"/>
    </xf>
    <xf numFmtId="49" fontId="31" fillId="0" borderId="7" xfId="1" applyNumberFormat="1" applyFont="1" applyBorder="1" applyAlignment="1">
      <alignment horizontal="right"/>
    </xf>
    <xf numFmtId="0" fontId="31" fillId="0" borderId="7" xfId="1" applyFont="1" applyBorder="1" applyAlignment="1">
      <alignment horizontal="right"/>
    </xf>
    <xf numFmtId="49" fontId="31" fillId="0" borderId="7" xfId="1" applyNumberFormat="1" applyFont="1" applyBorder="1"/>
    <xf numFmtId="49" fontId="31" fillId="0" borderId="7" xfId="1" applyNumberFormat="1" applyFont="1" applyBorder="1" applyAlignment="1">
      <alignment vertical="top"/>
    </xf>
    <xf numFmtId="0" fontId="35" fillId="0" borderId="1" xfId="1" applyFont="1" applyAlignment="1">
      <alignment horizontal="center"/>
    </xf>
    <xf numFmtId="0" fontId="36" fillId="0" borderId="1" xfId="1" applyFont="1" applyAlignment="1">
      <alignment horizontal="center"/>
    </xf>
    <xf numFmtId="181" fontId="8" fillId="0" borderId="1" xfId="1" applyNumberFormat="1" applyFont="1"/>
    <xf numFmtId="0" fontId="8" fillId="0" borderId="1" xfId="1" applyFont="1"/>
    <xf numFmtId="0" fontId="11" fillId="20" borderId="1" xfId="0" applyFont="1" applyFill="1" applyBorder="1" applyAlignment="1">
      <alignment horizontal="center" vertical="center" wrapText="1"/>
    </xf>
    <xf numFmtId="0" fontId="33" fillId="27" borderId="8" xfId="0" applyFont="1" applyFill="1" applyBorder="1" applyAlignment="1">
      <alignment wrapText="1"/>
    </xf>
    <xf numFmtId="4" fontId="31" fillId="23" borderId="7" xfId="1" applyNumberFormat="1" applyFont="1" applyFill="1" applyBorder="1" applyAlignment="1">
      <alignment horizontal="right"/>
    </xf>
    <xf numFmtId="4" fontId="31" fillId="0" borderId="7" xfId="1" applyNumberFormat="1" applyFont="1" applyBorder="1" applyAlignment="1">
      <alignment horizontal="right"/>
    </xf>
    <xf numFmtId="0" fontId="38" fillId="0" borderId="1" xfId="2" applyFont="1"/>
    <xf numFmtId="182" fontId="38" fillId="0" borderId="1" xfId="2" applyNumberFormat="1" applyFont="1"/>
    <xf numFmtId="182" fontId="39" fillId="0" borderId="1" xfId="2" applyNumberFormat="1" applyFont="1"/>
    <xf numFmtId="0" fontId="37" fillId="0" borderId="1" xfId="2"/>
    <xf numFmtId="9" fontId="38" fillId="0" borderId="1" xfId="2" applyNumberFormat="1" applyFont="1"/>
    <xf numFmtId="182" fontId="40" fillId="0" borderId="1" xfId="2" applyNumberFormat="1" applyFont="1"/>
    <xf numFmtId="183" fontId="38" fillId="0" borderId="1" xfId="2" applyNumberFormat="1" applyFont="1"/>
    <xf numFmtId="3" fontId="38" fillId="0" borderId="1" xfId="2" applyNumberFormat="1" applyFont="1"/>
    <xf numFmtId="3" fontId="8" fillId="0" borderId="1" xfId="2" applyNumberFormat="1" applyFont="1"/>
    <xf numFmtId="0" fontId="8" fillId="0" borderId="1" xfId="2" applyFont="1"/>
    <xf numFmtId="0" fontId="8" fillId="29" borderId="1" xfId="2" applyFont="1" applyFill="1"/>
    <xf numFmtId="49" fontId="7" fillId="10" borderId="0" xfId="0" applyNumberFormat="1" applyFont="1" applyFill="1" applyAlignment="1">
      <alignment horizontal="center"/>
    </xf>
    <xf numFmtId="0" fontId="0" fillId="0" borderId="0" xfId="0"/>
    <xf numFmtId="0" fontId="2" fillId="3" borderId="3" xfId="0" applyFont="1" applyFill="1" applyBorder="1" applyAlignment="1">
      <alignment vertical="top" wrapText="1"/>
    </xf>
    <xf numFmtId="0" fontId="22" fillId="0" borderId="3" xfId="0" applyFont="1" applyBorder="1"/>
    <xf numFmtId="4" fontId="7" fillId="4" borderId="0" xfId="0" applyNumberFormat="1" applyFont="1" applyFill="1" applyAlignment="1">
      <alignment horizontal="center"/>
    </xf>
    <xf numFmtId="4" fontId="7" fillId="5" borderId="0" xfId="0" applyNumberFormat="1" applyFont="1" applyFill="1" applyAlignment="1">
      <alignment horizontal="center"/>
    </xf>
    <xf numFmtId="4" fontId="7" fillId="6" borderId="0" xfId="0" applyNumberFormat="1" applyFont="1" applyFill="1" applyAlignment="1">
      <alignment horizontal="center"/>
    </xf>
    <xf numFmtId="4" fontId="7" fillId="7" borderId="0" xfId="0" applyNumberFormat="1" applyFont="1" applyFill="1" applyAlignment="1">
      <alignment horizontal="center"/>
    </xf>
    <xf numFmtId="4" fontId="2" fillId="3" borderId="0" xfId="0" applyNumberFormat="1" applyFont="1" applyFill="1" applyAlignment="1">
      <alignment horizontal="center" vertical="top"/>
    </xf>
    <xf numFmtId="4" fontId="2" fillId="4" borderId="0" xfId="0" applyNumberFormat="1" applyFont="1" applyFill="1" applyAlignment="1">
      <alignment horizontal="center"/>
    </xf>
    <xf numFmtId="49" fontId="2" fillId="6" borderId="0" xfId="0" applyNumberFormat="1" applyFont="1" applyFill="1" applyAlignment="1">
      <alignment horizontal="left" vertical="top"/>
    </xf>
    <xf numFmtId="4" fontId="2" fillId="7" borderId="0" xfId="0" applyNumberFormat="1" applyFont="1" applyFill="1" applyAlignment="1">
      <alignment horizontal="center"/>
    </xf>
    <xf numFmtId="0" fontId="26" fillId="3" borderId="0" xfId="0" applyFont="1" applyFill="1" applyAlignment="1">
      <alignment horizontal="center" vertical="top" wrapText="1"/>
    </xf>
    <xf numFmtId="0" fontId="7" fillId="9" borderId="0" xfId="0" applyFont="1" applyFill="1" applyAlignment="1">
      <alignment horizontal="center" vertical="top" wrapText="1"/>
    </xf>
    <xf numFmtId="4" fontId="7" fillId="5" borderId="0" xfId="0" applyNumberFormat="1" applyFont="1" applyFill="1" applyAlignment="1">
      <alignment horizontal="center" vertical="top"/>
    </xf>
    <xf numFmtId="49" fontId="7" fillId="6" borderId="0" xfId="0" applyNumberFormat="1" applyFont="1" applyFill="1" applyAlignment="1">
      <alignment horizontal="center" vertical="top" wrapText="1"/>
    </xf>
    <xf numFmtId="4" fontId="7" fillId="7" borderId="0" xfId="0" applyNumberFormat="1" applyFont="1" applyFill="1" applyAlignment="1">
      <alignment horizontal="center" vertical="top" wrapText="1"/>
    </xf>
    <xf numFmtId="49" fontId="7" fillId="6" borderId="0" xfId="0" applyNumberFormat="1" applyFont="1" applyFill="1" applyAlignment="1">
      <alignment horizontal="center"/>
    </xf>
    <xf numFmtId="4" fontId="6" fillId="0" borderId="0" xfId="0" applyNumberFormat="1" applyFont="1" applyAlignment="1">
      <alignment wrapText="1"/>
    </xf>
    <xf numFmtId="49" fontId="2" fillId="7" borderId="0" xfId="0" applyNumberFormat="1" applyFont="1" applyFill="1" applyAlignment="1">
      <alignment horizontal="center"/>
    </xf>
    <xf numFmtId="4" fontId="7" fillId="3" borderId="0" xfId="0" applyNumberFormat="1" applyFont="1" applyFill="1" applyAlignment="1">
      <alignment horizontal="center" vertical="top"/>
    </xf>
    <xf numFmtId="49" fontId="7" fillId="4" borderId="0" xfId="0" applyNumberFormat="1" applyFont="1" applyFill="1" applyAlignment="1">
      <alignment horizontal="center"/>
    </xf>
    <xf numFmtId="49" fontId="7" fillId="5" borderId="0" xfId="0" applyNumberFormat="1" applyFont="1" applyFill="1" applyAlignment="1">
      <alignment horizontal="center"/>
    </xf>
    <xf numFmtId="0" fontId="7" fillId="3" borderId="3" xfId="0" applyFont="1" applyFill="1" applyBorder="1" applyAlignment="1">
      <alignment vertical="top" wrapText="1"/>
    </xf>
    <xf numFmtId="0" fontId="2" fillId="3" borderId="0" xfId="0" applyFont="1" applyFill="1" applyAlignment="1">
      <alignment horizontal="center" vertical="top" wrapText="1"/>
    </xf>
    <xf numFmtId="0" fontId="0" fillId="0" borderId="9" xfId="0" pivotButton="1" applyBorder="1"/>
    <xf numFmtId="0" fontId="0" fillId="0" borderId="10" xfId="0" applyBorder="1"/>
    <xf numFmtId="49" fontId="0" fillId="0" borderId="9" xfId="0" applyNumberFormat="1" applyBorder="1"/>
    <xf numFmtId="0" fontId="0" fillId="0" borderId="10" xfId="0" applyNumberFormat="1" applyBorder="1"/>
    <xf numFmtId="0" fontId="0" fillId="0" borderId="11" xfId="0" applyBorder="1"/>
    <xf numFmtId="49" fontId="0" fillId="0" borderId="12" xfId="0" applyNumberFormat="1" applyBorder="1"/>
    <xf numFmtId="0" fontId="0" fillId="0" borderId="13" xfId="0" applyBorder="1"/>
    <xf numFmtId="0" fontId="0" fillId="0" borderId="14" xfId="0" applyNumberFormat="1" applyBorder="1"/>
    <xf numFmtId="0" fontId="0" fillId="0" borderId="14" xfId="0" pivotButton="1" applyBorder="1"/>
    <xf numFmtId="0" fontId="0" fillId="0" borderId="14" xfId="0" applyBorder="1"/>
    <xf numFmtId="0" fontId="0" fillId="0" borderId="15" xfId="0" applyBorder="1"/>
    <xf numFmtId="49" fontId="0" fillId="0" borderId="14" xfId="0" applyNumberFormat="1" applyBorder="1"/>
    <xf numFmtId="0" fontId="0" fillId="0" borderId="9" xfId="0" applyBorder="1"/>
    <xf numFmtId="4" fontId="0" fillId="0" borderId="9" xfId="0" applyNumberFormat="1" applyBorder="1"/>
    <xf numFmtId="49" fontId="0" fillId="0" borderId="11" xfId="0" applyNumberFormat="1" applyBorder="1"/>
    <xf numFmtId="0" fontId="0" fillId="0" borderId="12" xfId="0" applyBorder="1"/>
    <xf numFmtId="4" fontId="0" fillId="0" borderId="12" xfId="0" applyNumberFormat="1" applyBorder="1"/>
    <xf numFmtId="3" fontId="0" fillId="0" borderId="10" xfId="0" applyNumberFormat="1" applyBorder="1"/>
    <xf numFmtId="3" fontId="0" fillId="0" borderId="14" xfId="0" applyNumberFormat="1" applyBorder="1"/>
  </cellXfs>
  <cellStyles count="3">
    <cellStyle name="Normal" xfId="0" builtinId="0"/>
    <cellStyle name="Normal 2" xfId="1" xr:uid="{548290C8-8CD4-4172-9DCF-7553D80F4718}"/>
    <cellStyle name="Normal 3" xfId="2" xr:uid="{69161E83-04F4-45A6-9663-00E36891BC88}"/>
  </cellStyles>
  <dxfs count="22">
    <dxf>
      <font>
        <color rgb="FFFF00FF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ont>
        <color rgb="FFFF00FF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solid">
          <fgColor theme="5"/>
          <bgColor theme="5"/>
        </patternFill>
      </fill>
    </dxf>
    <dxf>
      <font>
        <color rgb="FFFF00FF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FF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ont>
        <color rgb="FFFF00FF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ocumenttasks/documenttask1.xml><?xml version="1.0" encoding="utf-8"?>
<Tasks xmlns="http://schemas.microsoft.com/office/tasks/2019/documenttasks">
  <Task id="{A616F0BF-3624-4F37-B39D-BFF8619A93FB}">
    <Anchor>
      <Comment id="{8D4EB436-5828-499C-AF19-2F2885F40EB3}"/>
    </Anchor>
    <History>
      <Event time="2025-02-05T18:13:11.0" id="{BD73CFF0-8E11-47AF-BE80-F7E32794763C}">
        <Attribution userId="placeholder@email.com" userName="Aleksandar Vujinović" userProvider="google-sheets"/>
        <Anchor>
          <Comment id="{8D4EB436-5828-499C-AF19-2F2885F40EB3}"/>
        </Anchor>
        <Create/>
      </Event>
      <Event time="2025-02-05T18:13:11.0" id="{4509D582-B364-4B88-ACA4-10ADD1C33688}">
        <Attribution userId="placeholder@email.com" userName="Aleksandar Vujinović" userProvider="google-sheets"/>
        <Anchor>
          <Comment id="{8D4EB436-5828-499C-AF19-2F2885F40EB3}"/>
        </Anchor>
        <Assign userId="aleksandar.vujinovic@alephholding.com" userName="aleksandar.vujinovic@alephholding.com" userProvider="google-sheets"/>
      </Event>
    </History>
  </Task>
</Tasks>
</file>

<file path=xl/documenttasks/documenttask2.xml><?xml version="1.0" encoding="utf-8"?>
<Tasks xmlns="http://schemas.microsoft.com/office/tasks/2019/documenttasks">
  <Task id="{637A2E86-CAB1-476C-AEA1-56442246BC9C}">
    <Anchor>
      <Comment id="{08E5C5A9-46D3-460B-ADB9-4F58B3A4878C}"/>
    </Anchor>
    <History>
      <Event time="2025-04-18T08:52:41.0" id="{CFE41206-2D85-428D-B181-89E060784316}">
        <Attribution userId="placeholder@email.com" userName="Aleksandar Vujinović" userProvider="google-sheets"/>
        <Anchor>
          <Comment id="{08E5C5A9-46D3-460B-ADB9-4F58B3A4878C}"/>
        </Anchor>
        <Create/>
      </Event>
      <Event time="2025-04-18T08:52:41.0" id="{65D2F14B-8085-4D22-A2A5-4708BC628648}">
        <Attribution userId="placeholder@email.com" userName="Aleksandar Vujinović" userProvider="google-sheets"/>
        <Anchor>
          <Comment id="{08E5C5A9-46D3-460B-ADB9-4F58B3A4878C}"/>
        </Anchor>
        <Assign userId="aleksandar.vujinovic@alephholding.com" userName="aleksandar.vujinovic@alephholding.com" userProvider="google-sheets"/>
      </Event>
    </History>
  </Task>
  <Task id="{D478F2ED-35C5-4CBD-9A7A-5881F18D64F7}">
    <Anchor>
      <Comment id="{EEF62D54-529B-4886-BA7E-D9617C5F4783}"/>
    </Anchor>
    <History>
      <Event time="2025-04-18T08:36:52.0" id="{789061A1-98C4-4151-B4A7-05EBD2C25BE6}">
        <Attribution userId="placeholder@email.com" userName="Aleksandar Vujinović" userProvider="google-sheets"/>
        <Anchor>
          <Comment id="{EEF62D54-529B-4886-BA7E-D9617C5F4783}"/>
        </Anchor>
        <Create/>
      </Event>
      <Event time="2025-04-18T08:36:52.0" id="{71F69C08-0745-4B3B-8DAD-DFE84073C3C8}">
        <Attribution userId="placeholder@email.com" userName="Aleksandar Vujinović" userProvider="google-sheets"/>
        <Anchor>
          <Comment id="{EEF62D54-529B-4886-BA7E-D9617C5F4783}"/>
        </Anchor>
        <Assign userId="aleksandar.vujinovic@alephholding.com" userName="aleksandar.vujinovic@alephholding.com" userProvider="google-sheets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Matic Turk" id="{B486C6E1-EC82-4965-B6CD-96F4D11077C5}" userId="" providerId="google-sheets"/>
  <person displayName="Katja Ožbolt" id="{B3A62621-4040-46C7-983B-05F5EF27BA81}" userId="" providerId="google-sheets"/>
  <person displayName="Aleksandar Vujinović" id="{37386E05-3FD9-4247-A0A7-7E1424B8CA8E}" userId="" providerId="google-sheets"/>
  <person displayName="matic.turk@alephholding.com" id="{A8CB7C55-1A3E-42EA-AD36-FCBC1136E9CC}" userId="matic.turk@alephholding.com" providerId="PeoplePicker"/>
  <person displayName="katja.ozbolt@alephholding.com" id="{CB27A50B-6CE9-4AC5-B7F9-7AF4FD48FE91}" userId="katja.ozbolt@alephholding.com" providerId="PeoplePicker"/>
  <person displayName="aleksandar.vujinovic@alephholding.com" id="{821715F1-8747-4D72-B9E2-60FFE4CAD0DB}" userId="aleksandar.vujinovic@alephholding.com" providerId="PeoplePicker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Mariana.Tunno" refreshedDate="46104.494892708331" refreshedVersion="8" recordCount="82" xr:uid="{00000000-000A-0000-FFFF-FFFF00000000}">
  <cacheSource type="worksheet">
    <worksheetSource ref="A5:BL87" sheet="con 1"/>
  </cacheSource>
  <cacheFields count="64">
    <cacheField name="Account ID" numFmtId="49">
      <sharedItems/>
    </cacheField>
    <cacheField name="BU Name" numFmtId="49">
      <sharedItems containsBlank="1" count="6">
        <s v="Twitter Rep"/>
        <s v="Twitter Billing"/>
        <s v="BU" u="1"/>
        <s v="Twitter" u="1"/>
        <s v="Twitter Direct" u="1"/>
        <m u="1"/>
      </sharedItems>
    </cacheField>
    <cacheField name="Division" numFmtId="49">
      <sharedItems/>
    </cacheField>
    <cacheField name="Structured Name" numFmtId="49">
      <sharedItems/>
    </cacheField>
    <cacheField name="SO Status" numFmtId="49">
      <sharedItems containsBlank="1"/>
    </cacheField>
    <cacheField name="PO Status" numFmtId="49">
      <sharedItems containsNonDate="0" containsString="0" containsBlank="1"/>
    </cacheField>
    <cacheField name="Reporting Country" numFmtId="4">
      <sharedItems containsBlank="1" count="45">
        <s v="Argentina"/>
        <s v="Uruguay" u="1"/>
        <s v="Ecuador" u="1"/>
        <s v="Chile" u="1"/>
        <s v="Peru" u="1"/>
        <s v="Mexico" u="1"/>
        <s v="Colombia" u="1"/>
        <m u="1"/>
        <s v="Panama" u="1"/>
        <s v="Guatemala" u="1"/>
        <s v="Costa Rica" u="1"/>
        <s v="Dominican Republic" u="1"/>
        <s v="Contract_Reporting_Country_sf" u="1"/>
        <s v="Czech Republic" u="1"/>
        <s v="Saudi Arabia" u="1"/>
        <s v="Türkiye" u="1"/>
        <s v="United Arab Emirates" u="1"/>
        <s v="Bulgaria" u="1"/>
        <s v="Qatar" u="1"/>
        <s v="Indonesia" u="1"/>
        <s v="South Korea" u="1"/>
        <s v="Kuwait" u="1"/>
        <s v="Cyprus" u="1"/>
        <s v="India" u="1"/>
        <s v="Vietnam" u="1"/>
        <s v="Nigeria" u="1"/>
        <s v="South Africa" u="1"/>
        <s v="Latvia" u="1"/>
        <s v="Thailand" u="1"/>
        <s v="Lithuania" u="1"/>
        <s v="Malaysia" u="1"/>
        <s v="Poland" u="1"/>
        <s v="Ghana" u="1"/>
        <s v="Egypt" u="1"/>
        <s v="Morocco" u="1"/>
        <s v="Oman" u="1"/>
        <s v="Kenya" u="1"/>
        <s v="Philippines" u="1"/>
        <s v="Slovakia" u="1"/>
        <s v="Romania" u="1"/>
        <s v="Serbia" u="1"/>
        <s v="Slovenia" u="1"/>
        <s v="Hungary" u="1"/>
        <s v="Croatia" u="1"/>
        <s v="North Macedonia" u="1"/>
      </sharedItems>
    </cacheField>
    <cacheField name="Billing Entity" numFmtId="49">
      <sharedItems containsBlank="1" count="42">
        <s v="Aleph USA"/>
        <s v="Aleph Argentina"/>
        <s v="Aleph Uruguay" u="1"/>
        <s v="Aleph Ecuador" u="1"/>
        <s v="Aleph Chile" u="1"/>
        <s v="Aleph Peru" u="1"/>
        <s v="Aleph Mexico" u="1"/>
        <s v="Aleph Colombia" u="1"/>
        <m u="1"/>
        <s v="Aleph Puerto Rico" u="1"/>
        <s v="Aleph Panama" u="1"/>
        <s v="Billing_Entity_with_division_sf" u="1"/>
        <s v="Aleph Czech Republic" u="1"/>
        <s v="Aleph Saudi Arabia" u="1"/>
        <s v="Aleph Turkey" u="1"/>
        <s v="Aleph UAE (Connect Ads)" u="1"/>
        <s v="Aleph Bulgaria" u="1"/>
        <s v="EXTERNAL LinkDotNet Qatar" u="1"/>
        <s v="Aleph Indonesia" u="1"/>
        <s v="MediaDonuts Singapore" u="1"/>
        <s v="Aleph UK (Httpool)" u="1"/>
        <s v="Aleph India" u="1"/>
        <s v="Aleph UK (Ad Dynamo)" u="1"/>
        <s v="Aleph Cyprus" u="1"/>
        <s v="Aleph South Africa" u="1"/>
        <s v="Aleph Latvia" u="1"/>
        <s v="MediaDonuts Thailand" u="1"/>
        <s v="Aleph Lithuania" u="1"/>
        <s v="Aleph Malaysia" u="1"/>
        <s v="Aleph Poland" u="1"/>
        <s v="Aleph Morocco" u="1"/>
        <s v="Entravision Philippines" u="1"/>
        <s v="Aleph Slovakia" u="1"/>
        <s v="Aleph Romania" u="1"/>
        <s v="MediaDonuts Vietnam" u="1"/>
        <s v="Aleph Serbia" u="1"/>
        <s v="Aleph Kenya" u="1"/>
        <s v="Aleph Slovenia" u="1"/>
        <s v="Aleph Hungary" u="1"/>
        <s v="Aleph Croatia" u="1"/>
        <s v="Aleph Egypt" u="1"/>
        <s v="Aleph Macedonia" u="1"/>
      </sharedItems>
    </cacheField>
    <cacheField name="Billing Country" numFmtId="4">
      <sharedItems/>
    </cacheField>
    <cacheField name="Revenue (Net Budget Delivered (Billing Currency))" numFmtId="4">
      <sharedItems containsSemiMixedTypes="0" containsString="0" containsNumber="1" minValue="343.25" maxValue="16336337.960000001"/>
    </cacheField>
    <cacheField name="Revenue (Net Budget Delivered (Billing Currency)) w/o deals" numFmtId="4">
      <sharedItems containsSemiMixedTypes="0" containsString="0" containsNumber="1" minValue="343.25" maxValue="16336337.960000001"/>
    </cacheField>
    <cacheField name="Bill Curr" numFmtId="4">
      <sharedItems/>
    </cacheField>
    <cacheField name="Total Net Budget (Delivered)" numFmtId="4">
      <sharedItems containsSemiMixedTypes="0" containsString="0" containsNumber="1" minValue="8.35" maxValue="16336337.960000001"/>
    </cacheField>
    <cacheField name="Account Curr" numFmtId="4">
      <sharedItems/>
    </cacheField>
    <cacheField name="Qualified Purch Qty" numFmtId="4">
      <sharedItems containsSemiMixedTypes="0" containsString="0" containsNumber="1" minValue="-5706787" maxValue="404439698.38999999" count="2156">
        <n v="911867.62"/>
        <n v="3855555.79"/>
        <n v="3113913.08"/>
        <n v="2687841.46"/>
        <n v="1055530.21"/>
        <n v="1269863.22"/>
        <n v="1900327.95"/>
        <n v="81926.990000000005"/>
        <n v="16336337.960000001"/>
        <n v="610190.21"/>
        <n v="2007664.48"/>
        <n v="3110400"/>
        <n v="2304000"/>
        <n v="718276.95"/>
        <n v="1206718.48"/>
        <n v="2431431.12"/>
        <n v="4454635.05"/>
        <n v="1192935.18"/>
        <n v="6210184.3200000003"/>
        <n v="5546437.7000000002"/>
        <n v="6912000"/>
        <n v="9005104.1400000006"/>
        <n v="241926.19"/>
        <n v="1677857.16"/>
        <n v="1952420.44"/>
        <n v="9577518.6799999997"/>
        <n v="894756.91"/>
        <n v="1353203.44"/>
        <n v="2414312.9700000002"/>
        <n v="3962972.34"/>
        <n v="893323.9"/>
        <n v="4055968.32"/>
        <n v="1699231.77"/>
        <n v="4381827.7699999996"/>
        <n v="4712962.42"/>
        <n v="7779983.4400000004"/>
        <n v="2937600"/>
        <n v="1651074.28"/>
        <n v="7514153.1299999999"/>
        <n v="7991501.8099999996"/>
        <n v="8088113.9100000001"/>
        <n v="4701458.79"/>
        <n v="1745729.16"/>
        <n v="92012.77"/>
        <n v="4109964.98"/>
        <n v="798524.61"/>
        <n v="2028302.04"/>
        <n v="1419697.03"/>
        <n v="8.35"/>
        <n v="1722"/>
        <n v="5000000"/>
        <n v="4884766"/>
        <n v="12365642.550000001"/>
        <n v="2489548.4"/>
        <n v="4396289.4000000004"/>
        <n v="2000000"/>
        <n v="4000000"/>
        <n v="997649.16"/>
        <n v="7445541.0300000003"/>
        <n v="839339.96"/>
        <n v="2890408.14"/>
        <n v="2906163.1"/>
        <n v="2327584.0699999998"/>
        <n v="4558905.76"/>
        <n v="22444.51"/>
        <n v="3625356"/>
        <n v="2113734.34"/>
        <n v="999321.21"/>
        <n v="2499831.17"/>
        <n v="6195989.9900000002"/>
        <n v="4901475.9400000004"/>
        <n v="2300000"/>
        <n v="9224933.0199999996"/>
        <n v="232244.92"/>
        <n v="298515.78999999998"/>
        <n v="343.25"/>
        <n v="1585096.5"/>
        <n v="540391.47"/>
        <n v="1065199.8799999999"/>
        <n v="901.48" u="1"/>
        <n v="1181.26" u="1"/>
        <n v="1722.11" u="1"/>
        <n v="468401.29" u="1"/>
        <n v="7152.72" u="1"/>
        <n v="17200.830000000002" u="1"/>
        <n v="16134.01" u="1"/>
        <n v="35106.160000000003" u="1"/>
        <n v="268.61" u="1"/>
        <n v="313194.46999999997" u="1"/>
        <n v="29128.75" u="1"/>
        <n v="5042031.95" u="1"/>
        <n v="401.18" u="1"/>
        <n v="12607.44" u="1"/>
        <n v="200.79" u="1"/>
        <n v="3116.98" u="1"/>
        <n v="8754.07" u="1"/>
        <n v="5025" u="1"/>
        <n v="6637156.6299999999" u="1"/>
        <n v="2303.2800000000002" u="1"/>
        <n v="3000000" u="1"/>
        <n v="216.06" u="1"/>
        <n v="14980084.59" u="1"/>
        <n v="10257.01" u="1"/>
        <n v="19280000" u="1"/>
        <n v="3832.59" u="1"/>
        <n v="5628.88" u="1"/>
        <n v="131865.79999999999" u="1"/>
        <n v="4630791.59" u="1"/>
        <n v="236.55" u="1"/>
        <n v="712.44" u="1"/>
        <n v="638.16999999999996" u="1"/>
        <n v="712.08" u="1"/>
        <n v="657.22" u="1"/>
        <n v="980.64" u="1"/>
        <n v="5428579.4400000004" u="1"/>
        <n v="6276.21" u="1"/>
        <n v="104255.14" u="1"/>
        <n v="737.28" u="1"/>
        <n v="275.62" u="1"/>
        <n v="5986.3" u="1"/>
        <n v="6846.28" u="1"/>
        <n v="395.22" u="1"/>
        <n v="482331.62" u="1"/>
        <n v="4322757.92" u="1"/>
        <n v="303.74" u="1"/>
        <n v="3440" u="1"/>
        <n v="3276.26" u="1"/>
        <n v="8495919" u="1"/>
        <n v="12.79" u="1"/>
        <n v="239.14" u="1"/>
        <n v="1265477.42" u="1"/>
        <n v="5500000" u="1"/>
        <n v="240930.33" u="1"/>
        <n v="312000" u="1"/>
        <n v="1201812.69" u="1"/>
        <n v="1498000" u="1"/>
        <n v="4995.93" u="1"/>
        <n v="3000" u="1"/>
        <n v="21000000" u="1"/>
        <n v="7016.18" u="1"/>
        <n v="34999994.060000002" u="1"/>
        <n v="19323.64" u="1"/>
        <n v="2734.46" u="1"/>
        <n v="399.49" u="1"/>
        <n v="1600" u="1"/>
        <n v="2708.49" u="1"/>
        <n v="1680672" u="1"/>
        <n v="1999780.32" u="1"/>
        <n v="5000" u="1"/>
        <n v="7745.99" u="1"/>
        <n v="20000000" u="1"/>
        <n v="19338432.09" u="1"/>
        <n v="3992647.51" u="1"/>
        <n v="8241" u="1"/>
        <n v="250" u="1"/>
        <n v="5982368.1399999997" u="1"/>
        <n v="1759.16" u="1"/>
        <n v="500000" u="1"/>
        <n v="11000000" u="1"/>
        <n v="2445.5" u="1"/>
        <n v="20979117.050000001" u="1"/>
        <n v="7011490.4000000004" u="1"/>
        <n v="18248286.449999999" u="1"/>
        <n v="2400" u="1"/>
        <n v="6000000" u="1"/>
        <n v="3781513" u="1"/>
        <n v="567.89" u="1"/>
        <n v="9476925" u="1"/>
        <n v="449.72" u="1"/>
        <n v="4038269.29" u="1"/>
        <n v="239914.76" u="1"/>
        <n v="62318270.210000001" u="1"/>
        <n v="1435967.3" u="1"/>
        <n v="898369.16" u="1"/>
        <n v="667.3" u="1"/>
        <n v="1668108.68" u="1"/>
        <n v="1995.6" u="1"/>
        <n v="1084.1300000000001" u="1"/>
        <n v="263237.68" u="1"/>
        <n v="333.27" u="1"/>
        <n v="184.35" u="1"/>
        <n v="1141235.45" u="1"/>
        <n v="72.45" u="1"/>
        <n v="120.47" u="1"/>
        <n v="278524.21000000002" u="1"/>
        <n v="279.99" u="1"/>
        <n v="350789.69" u="1"/>
        <n v="112.82" u="1"/>
        <n v="64212.31" u="1"/>
        <n v="160.16999999999999" u="1"/>
        <n v="7105.2" u="1"/>
        <n v="18748.34" u="1"/>
        <n v="8188.52" u="1"/>
        <n v="3739.7" u="1"/>
        <n v="0" u="1"/>
        <n v="80.94" u="1"/>
        <n v="1754.15" u="1"/>
        <n v="1779.85" u="1"/>
        <n v="1207.43" u="1"/>
        <n v="1918.26" u="1"/>
        <n v="80962529.609999999" u="1"/>
        <n v="15606.06" u="1"/>
        <n v="4958.26" u="1"/>
        <n v="5668.67" u="1"/>
        <n v="99904.47" u="1"/>
        <n v="701609.31" u="1"/>
        <n v="3610.54" u="1"/>
        <n v="1000.89" u="1"/>
        <n v="1432.22" u="1"/>
        <n v="199.97" u="1"/>
        <n v="866.89" u="1"/>
        <n v="26292.62" u="1"/>
        <n v="1273.82" u="1"/>
        <n v="2800000" u="1"/>
        <n v="151.94" u="1"/>
        <n v="152581229.25999999" u="1"/>
        <n v="54221.63" u="1"/>
        <n v="28029.57" u="1"/>
        <n v="2615.4899999999998" u="1"/>
        <n v="1742.53" u="1"/>
        <n v="71143.09" u="1"/>
        <n v="144907.60999999999" u="1"/>
        <n v="50039.66" u="1"/>
        <n v="917.94" u="1"/>
        <n v="290733.76" u="1"/>
        <n v="632.94000000000005" u="1"/>
        <n v="10442.75" u="1"/>
        <n v="65764" u="1"/>
        <n v="27807.239999999998" u="1"/>
        <n v="2531860.06" u="1"/>
        <n v="140" u="1"/>
        <n v="137.15" u="1"/>
        <n v="12099.01" u="1"/>
        <n v="3405.28" u="1"/>
        <n v="32444.66" u="1"/>
        <n v="7205.1" u="1"/>
        <n v="79.97" u="1"/>
        <n v="179.77" u="1"/>
        <n v="405000.56" u="1"/>
        <n v="1171.6199999999999" u="1"/>
        <n v="4218335.93" u="1"/>
        <n v="4308036.62" u="1"/>
        <n v="285.98" u="1"/>
        <n v="13937.26" u="1"/>
        <n v="39604.11" u="1"/>
        <n v="44487.55" u="1"/>
        <n v="41925.800000000003" u="1"/>
        <n v="88.42" u="1"/>
        <n v="6.71" u="1"/>
        <n v="34960.339999999997" u="1"/>
        <n v="20865.849999999999" u="1"/>
        <n v="8765.3799999999992" u="1"/>
        <n v="599.24" u="1"/>
        <n v="208.18" u="1"/>
        <n v="1995.59" u="1"/>
        <n v="2903.31" u="1"/>
        <n v="182.04" u="1"/>
        <n v="2830" u="1"/>
        <n v="132.22999999999999" u="1"/>
        <n v="2042109.07" u="1"/>
        <n v="905.87" u="1"/>
        <n v="2926" u="1"/>
        <n v="12189.59" u="1"/>
        <n v="498.13" u="1"/>
        <n v="5798.6" u="1"/>
        <n v="29193.82" u="1"/>
        <n v="73559.17" u="1"/>
        <n v="436.88" u="1"/>
        <n v="1000.06" u="1"/>
        <n v="8761.5400000000009" u="1"/>
        <n v="15643631.140000001" u="1"/>
        <n v="597.52" u="1"/>
        <n v="21368.87" u="1"/>
        <n v="3529.83" u="1"/>
        <n v="319048.89" u="1"/>
        <n v="100044.15" u="1"/>
        <n v="6000" u="1"/>
        <n v="2186898.34" u="1"/>
        <n v="16867031.640000001" u="1"/>
        <n v="3600.37" u="1"/>
        <n v="1023.57" u="1"/>
        <n v="15008.35" u="1"/>
        <n v="6263.74" u="1"/>
        <n v="1567.71" u="1"/>
        <n v="342.73" u="1"/>
        <n v="5926.61" u="1"/>
        <n v="144.19" u="1"/>
        <n v="3931.43" u="1"/>
        <n v="3626.05" u="1"/>
        <n v="2060.7199999999998" u="1"/>
        <n v="15400" u="1"/>
        <n v="11845108.720000001" u="1"/>
        <n v="89988.26" u="1"/>
        <n v="5860.25" u="1"/>
        <n v="12334.39" u="1"/>
        <n v="1000000" u="1"/>
        <n v="419.54" u="1"/>
        <n v="10310.44" u="1"/>
        <n v="1479.99" u="1"/>
        <n v="974.04" u="1"/>
        <n v="501.78" u="1"/>
        <n v="969000" u="1"/>
        <n v="6382.55" u="1"/>
        <n v="37830591.090000004" u="1"/>
        <n v="490.9" u="1"/>
        <n v="4497.2700000000004" u="1"/>
        <n v="1178.27" u="1"/>
        <n v="4584134" u="1"/>
        <n v="9568.4699999999993" u="1"/>
        <n v="15205.5" u="1"/>
        <n v="176838" u="1"/>
        <n v="141127.4" u="1"/>
        <n v="34797.75" u="1"/>
        <n v="21263.38" u="1"/>
        <n v="47678.52" u="1"/>
        <n v="78523.149999999994" u="1"/>
        <n v="39.01" u="1"/>
        <n v="474072.1" u="1"/>
        <n v="125727.47" u="1"/>
        <n v="186429.51" u="1"/>
        <n v="2468.4299999999998" u="1"/>
        <n v="2184.5100000000002" u="1"/>
        <n v="24664.71" u="1"/>
        <n v="46101.87" u="1"/>
        <n v="1645610.53" u="1"/>
        <n v="63556.37" u="1"/>
        <n v="117266.41" u="1"/>
        <n v="1962.28" u="1"/>
        <n v="65415.3" u="1"/>
        <n v="1302837.08" u="1"/>
        <n v="4936.8599999999997" u="1"/>
        <n v="180.74" u="1"/>
        <n v="44755.93" u="1"/>
        <n v="2111582.2599999998" u="1"/>
        <n v="13812.78" u="1"/>
        <n v="355053.77" u="1"/>
        <n v="32366.53" u="1"/>
        <n v="22786416.350000001" u="1"/>
        <n v="2409.6" u="1"/>
        <n v="209607.03" u="1"/>
        <n v="164.78" u="1"/>
        <n v="16326.65" u="1"/>
        <n v="61819.92" u="1"/>
        <n v="560002.42000000004" u="1"/>
        <n v="51469.15" u="1"/>
        <n v="19756.330000000002" u="1"/>
        <n v="47833.91" u="1"/>
        <n v="2668751.7200000002" u="1"/>
        <n v="15985.94" u="1"/>
        <n v="3978.24" u="1"/>
        <n v="299400.05" u="1"/>
        <n v="544451.11" u="1"/>
        <n v="3463.22" u="1"/>
        <n v="22787.08" u="1"/>
        <n v="76547.649999999994" u="1"/>
        <n v="22876.52" u="1"/>
        <n v="13089.49" u="1"/>
        <n v="22391.56" u="1"/>
        <n v="4.41" u="1"/>
        <n v="31375.43" u="1"/>
        <n v="37802.639999999999" u="1"/>
        <n v="54268.25" u="1"/>
        <n v="106761.64" u="1"/>
        <n v="31579.51" u="1"/>
        <n v="4241563.6100000003" u="1"/>
        <n v="8333" u="1"/>
        <n v="448.66" u="1"/>
        <n v="3443.88" u="1"/>
        <n v="0.49" u="1"/>
        <n v="4136.41" u="1"/>
        <n v="5013.68" u="1"/>
        <n v="14368.58" u="1"/>
        <n v="18238.47" u="1"/>
        <n v="6780.27" u="1"/>
        <n v="6763.07" u="1"/>
        <n v="1991.39" u="1"/>
        <n v="31270.52" u="1"/>
        <n v="17394.27" u="1"/>
        <n v="630086.64" u="1"/>
        <n v="84747.59" u="1"/>
        <n v="1101954.57" u="1"/>
        <n v="28435.41" u="1"/>
        <n v="10136.379999999999" u="1"/>
        <n v="1343965.19" u="1"/>
        <n v="2801.68" u="1"/>
        <n v="4991.83" u="1"/>
        <n v="1387.88" u="1"/>
        <n v="1713.66" u="1"/>
        <n v="170836.12" u="1"/>
        <n v="918.45" u="1"/>
        <n v="7845.63" u="1"/>
        <n v="7105.71" u="1"/>
        <n v="636.35" u="1"/>
        <n v="2359332.56" u="1"/>
        <n v="2862.63" u="1"/>
        <n v="21286.87" u="1"/>
        <n v="1436130.92" u="1"/>
        <n v="158043.91" u="1"/>
        <n v="73527.38" u="1"/>
        <n v="607293.78" u="1"/>
        <n v="21301.11" u="1"/>
        <n v="1597.8" u="1"/>
        <n v="35339.81" u="1"/>
        <n v="979218.16" u="1"/>
        <n v="114.02" u="1"/>
        <n v="91789.13" u="1"/>
        <n v="4804366.6900000004" u="1"/>
        <n v="362.67" u="1"/>
        <n v="36333.47" u="1"/>
        <n v="149525.72" u="1"/>
        <n v="-149525.72" u="1"/>
        <n v="3786.13" u="1"/>
        <n v="17661.07" u="1"/>
        <n v="4107396.16" u="1"/>
        <n v="3070.34" u="1"/>
        <n v="182.98" u="1"/>
        <n v="2734.71" u="1"/>
        <n v="2131099.71" u="1"/>
        <n v="4130854.87" u="1"/>
        <n v="10912509.689999999" u="1"/>
        <n v="3553171.75" u="1"/>
        <n v="15984.11" u="1"/>
        <n v="46815.27" u="1"/>
        <n v="1519408.84" u="1"/>
        <n v="4527.7700000000004" u="1"/>
        <n v="1830127.19" u="1"/>
        <n v="57508.61" u="1"/>
        <n v="99113.41" u="1"/>
        <n v="5860.73" u="1"/>
        <n v="1223.28" u="1"/>
        <n v="3819.16" u="1"/>
        <n v="120296.54" u="1"/>
        <n v="8.75" u="1"/>
        <n v="5564.67" u="1"/>
        <n v="35645.910000000003" u="1"/>
        <n v="2801.9" u="1"/>
        <n v="2012478.82" u="1"/>
        <n v="4950739.62" u="1"/>
        <n v="1959547.67" u="1"/>
        <n v="609215.18000000005" u="1"/>
        <n v="43985.77" u="1"/>
        <n v="19657.98" u="1"/>
        <n v="60215.56" u="1"/>
        <n v="1558.6" u="1"/>
        <n v="59477.63" u="1"/>
        <n v="3116.22" u="1"/>
        <n v="-1260" u="1"/>
        <n v="81805.210000000006" u="1"/>
        <n v="359.92" u="1"/>
        <n v="16393.57" u="1"/>
        <n v="1737.48" u="1"/>
        <n v="899719.23" u="1"/>
        <n v="30192.83" u="1"/>
        <n v="3920.85" u="1"/>
        <n v="1284.68" u="1"/>
        <n v="3356.58" u="1"/>
        <n v="100" u="1"/>
        <n v="2303206.5099999998" u="1"/>
        <n v="210.65" u="1"/>
        <n v="237641.56" u="1"/>
        <n v="1007719.39" u="1"/>
        <n v="6839.51" u="1"/>
        <n v="8943.82" u="1"/>
        <n v="47717.599999999999" u="1"/>
        <n v="104702.88" u="1"/>
        <n v="5975262.1900000004" u="1"/>
        <n v="47178.9" u="1"/>
        <n v="7798.66" u="1"/>
        <n v="8075.79" u="1"/>
        <n v="7722.84" u="1"/>
        <n v="1308.69" u="1"/>
        <n v="2364.94" u="1"/>
        <n v="7870.63" u="1"/>
        <n v="6721842.0999999996" u="1"/>
        <n v="43486.81" u="1"/>
        <n v="83579.13" u="1"/>
        <n v="34816.370000000003" u="1"/>
        <n v="498.26" u="1"/>
        <n v="106585.22" u="1"/>
        <n v="3717.6" u="1"/>
        <n v="1473267.33" u="1"/>
        <n v="508513.89" u="1"/>
        <n v="160245.51999999999" u="1"/>
        <n v="5257517.91" u="1"/>
        <n v="123257.75" u="1"/>
        <n v="105193.48" u="1"/>
        <n v="2084402" u="1"/>
        <n v="392.5" u="1"/>
        <n v="1850.17" u="1"/>
        <n v="1059252.47" u="1"/>
        <n v="4346.18" u="1"/>
        <n v="2367.4499999999998" u="1"/>
        <n v="140.51" u="1"/>
        <n v="461436.22" u="1"/>
        <n v="428782.62" u="1"/>
        <n v="38022.07" u="1"/>
        <n v="2388.65" u="1"/>
        <n v="36365.78" u="1"/>
        <n v="7827.52" u="1"/>
        <n v="13315.76" u="1"/>
        <n v="78.959999999999994" u="1"/>
        <n v="390.98" u="1"/>
        <n v="2042.86" u="1"/>
        <n v="16547.16" u="1"/>
        <n v="12138.11" u="1"/>
        <n v="417.22" u="1"/>
        <n v="123.42" u="1"/>
        <n v="104915.45" u="1"/>
        <n v="-12587.03" u="1"/>
        <n v="-12405.52" u="1"/>
        <n v="19725.64" u="1"/>
        <n v="38627.370000000003" u="1"/>
        <n v="4003.89" u="1"/>
        <n v="51088.08" u="1"/>
        <n v="6052.35" u="1"/>
        <n v="11321.84" u="1"/>
        <n v="79879.62" u="1"/>
        <n v="108463.01" u="1"/>
        <n v="144988.46" u="1"/>
        <n v="125058.43" u="1"/>
        <n v="67124.539999999994" u="1"/>
        <n v="374734.8" u="1"/>
        <n v="16169.72" u="1"/>
        <n v="151203.62" u="1"/>
        <n v="10465.129999999999" u="1"/>
        <n v="890895.27" u="1"/>
        <n v="24668.94" u="1"/>
        <n v="7956.85" u="1"/>
        <n v="291311.07" u="1"/>
        <n v="2228.42" u="1"/>
        <n v="21774.46" u="1"/>
        <n v="7000" u="1"/>
        <n v="489857.78" u="1"/>
        <n v="3225.58" u="1"/>
        <n v="1001.96" u="1"/>
        <n v="10531.68" u="1"/>
        <n v="153418.03" u="1"/>
        <n v="1488.21" u="1"/>
        <n v="5015.6499999999996" u="1"/>
        <n v="150257.04" u="1"/>
        <n v="-264080.7" u="1"/>
        <n v="15895.61" u="1"/>
        <n v="987.71" u="1"/>
        <n v="5534.39" u="1"/>
        <n v="-24691.67" u="1"/>
        <n v="-24999.99" u="1"/>
        <n v="285.38" u="1"/>
        <n v="823.69" u="1"/>
        <n v="19455.45" u="1"/>
        <n v="798886.84" u="1"/>
        <n v="4266.63" u="1"/>
        <n v="793974.08" u="1"/>
        <n v="10823.48" u="1"/>
        <n v="247139.24" u="1"/>
        <n v="7012.58" u="1"/>
        <n v="481.21" u="1"/>
        <n v="15761.82" u="1"/>
        <n v="16521.02" u="1"/>
        <n v="594.46" u="1"/>
        <n v="479.16" u="1"/>
        <n v="812.97" u="1"/>
        <n v="151127.31" u="1"/>
        <n v="871.69" u="1"/>
        <n v="688012.32" u="1"/>
        <n v="30450.02" u="1"/>
        <n v="310.45999999999998" u="1"/>
        <n v="182595.33" u="1"/>
        <n v="6712.5" u="1"/>
        <n v="1581183.77" u="1"/>
        <n v="119.9" u="1"/>
        <n v="902320.9" u="1"/>
        <n v="1255615.83" u="1"/>
        <n v="35.270000000000003" u="1"/>
        <n v="1625205.77" u="1"/>
        <n v="631.03" u="1"/>
        <n v="41955.07" u="1"/>
        <n v="1088.02" u="1"/>
        <n v="44541589.170000002" u="1"/>
        <n v="1946.11" u="1"/>
        <n v="10748.67" u="1"/>
        <n v="5313.76" u="1"/>
        <n v="361557.07" u="1"/>
        <n v="256577.64" u="1"/>
        <n v="93287.360000000001" u="1"/>
        <n v="15.62" u="1"/>
        <n v="1298955.97" u="1"/>
        <n v="17796.830000000002" u="1"/>
        <n v="2485.77" u="1"/>
        <n v="2455150" u="1"/>
        <n v="22456.17" u="1"/>
        <n v="1380653.15" u="1"/>
        <n v="5342.98" u="1"/>
        <n v="281.24" u="1"/>
        <n v="1484147.55" u="1"/>
        <n v="37.299999999999997" u="1"/>
        <n v="1106.18" u="1"/>
        <n v="22193.8" u="1"/>
        <n v="13014.65" u="1"/>
        <n v="5045.5" u="1"/>
        <n v="945.91" u="1"/>
        <n v="316659.84000000003" u="1"/>
        <n v="479.55" u="1"/>
        <n v="10446.700000000001" u="1"/>
        <n v="3559.84" u="1"/>
        <n v="590.42999999999995" u="1"/>
        <n v="5000.0600000000004" u="1"/>
        <n v="43846.19" u="1"/>
        <n v="7050.42" u="1"/>
        <n v="-5706787" u="1"/>
        <n v="7836.24" u="1"/>
        <n v="1398.96" u="1"/>
        <n v="1333576" u="1"/>
        <n v="691.81" u="1"/>
        <n v="283.18" u="1"/>
        <n v="2254.98" u="1"/>
        <n v="1916.18" u="1"/>
        <n v="154.11000000000001" u="1"/>
        <n v="6488.33" u="1"/>
        <n v="715.39" u="1"/>
        <n v="47.55" u="1"/>
        <n v="1478.28" u="1"/>
        <n v="100168" u="1"/>
        <n v="500" u="1"/>
        <n v="13935.46" u="1"/>
        <n v="46514.5" u="1"/>
        <n v="4291.6899999999996" u="1"/>
        <n v="17595.91" u="1"/>
        <n v="13916.04" u="1"/>
        <n v="3535663.91" u="1"/>
        <n v="4014.33" u="1"/>
        <n v="573.9" u="1"/>
        <n v="23068.799999999999" u="1"/>
        <n v="262865.37" u="1"/>
        <n v="1049.74" u="1"/>
        <n v="3761.16" u="1"/>
        <n v="41507.75" u="1"/>
        <n v="286.63" u="1"/>
        <n v="149.21" u="1"/>
        <n v="99435.88" u="1"/>
        <n v="494721.89" u="1"/>
        <n v="237827.99" u="1"/>
        <n v="44026.15" u="1"/>
        <n v="28491.07" u="1"/>
        <n v="447.67" u="1"/>
        <n v="321061.90000000002" u="1"/>
        <n v="6544.94" u="1"/>
        <n v="65022.32" u="1"/>
        <n v="99481.65" u="1"/>
        <n v="11014820.16" u="1"/>
        <n v="24.38" u="1"/>
        <n v="113.27" u="1"/>
        <n v="793.94" u="1"/>
        <n v="377600.92" u="1"/>
        <n v="54290.73" u="1"/>
        <n v="85650.75" u="1"/>
        <n v="-398235.69" u="1"/>
        <n v="3132716.01" u="1"/>
        <n v="4251595.03" u="1"/>
        <n v="588132.24" u="1"/>
        <n v="57839.34" u="1"/>
        <n v="107809.21" u="1"/>
        <n v="961.2" u="1"/>
        <n v="241.41" u="1"/>
        <n v="152730.23000000001" u="1"/>
        <n v="829393.16" u="1"/>
        <n v="2066018.99" u="1"/>
        <n v="45204.959999999999" u="1"/>
        <n v="241.03" u="1"/>
        <n v="640744.57999999996" u="1"/>
        <n v="23670.85" u="1"/>
        <n v="128.62" u="1"/>
        <n v="6945165.6600000001" u="1"/>
        <n v="49955.47" u="1"/>
        <n v="277051.82" u="1"/>
        <n v="643458.76" u="1"/>
        <n v="11008.01" u="1"/>
        <n v="29653.06" u="1"/>
        <n v="101171.84" u="1"/>
        <n v="177988.75" u="1"/>
        <n v="872.92" u="1"/>
        <n v="495.45" u="1"/>
        <n v="1000078.48" u="1"/>
        <n v="1762540.79" u="1"/>
        <n v="8240675.25" u="1"/>
        <n v="19496.13" u="1"/>
        <n v="41294" u="1"/>
        <n v="14.23" u="1"/>
        <n v="296.94" u="1"/>
        <n v="201150.49" u="1"/>
        <n v="98.79" u="1"/>
        <n v="84.22" u="1"/>
        <n v="581.20000000000005" u="1"/>
        <n v="307.77999999999997" u="1"/>
        <n v="1717421.24" u="1"/>
        <n v="699.56" u="1"/>
        <n v="10299.23" u="1"/>
        <n v="22714.25" u="1"/>
        <n v="8363301.6200000001" u="1"/>
        <n v="1680836.83" u="1"/>
        <n v="1327477.26" u="1"/>
        <n v="2924819.6" u="1"/>
        <n v="75223.490000000005" u="1"/>
        <n v="3503.89" u="1"/>
        <n v="260130.29" u="1"/>
        <n v="433.19" u="1"/>
        <n v="339381.6" u="1"/>
        <n v="19885466" u="1"/>
        <n v="122667.3" u="1"/>
        <n v="217.83" u="1"/>
        <n v="1728.95" u="1"/>
        <n v="4001.63" u="1"/>
        <n v="347777.72" u="1"/>
        <n v="-1.1641532182693481E-10" u="1"/>
        <n v="0.70000000018626451" u="1"/>
        <n v="2783.16" u="1"/>
        <n v="598.11" u="1"/>
        <n v="5421.18" u="1"/>
        <n v="30124.86" u="1"/>
        <n v="377563.91" u="1"/>
        <n v="161368.78" u="1"/>
        <n v="3478.68" u="1"/>
        <n v="60730.6" u="1"/>
        <n v="284.85000000000002" u="1"/>
        <n v="389246.99" u="1"/>
        <n v="873589.45" u="1"/>
        <n v="1108129.8799999999" u="1"/>
        <n v="1969694.77" u="1"/>
        <n v="1320000" u="1"/>
        <n v="19502.8" u="1"/>
        <n v="132.32" u="1"/>
        <n v="10272694.91" u="1"/>
        <n v="1641.61" u="1"/>
        <n v="2041.78" u="1"/>
        <n v="134803.10999999999" u="1"/>
        <n v="1113583.1399999999" u="1"/>
        <n v="301.2" u="1"/>
        <n v="4675.99" u="1"/>
        <n v="15544070.939999999" u="1"/>
        <n v="18.02" u="1"/>
        <n v="891.14" u="1"/>
        <n v="11606.77" u="1"/>
        <n v="3878.57" u="1"/>
        <n v="200" u="1"/>
        <n v="368.05" u="1"/>
        <n v="50147.98" u="1"/>
        <n v="7706.14" u="1"/>
        <n v="356.57" u="1"/>
        <n v="421" u="1"/>
        <n v="297999.58" u="1"/>
        <n v="34.869999999999997" u="1"/>
        <n v="3.63" u="1"/>
        <n v="102.95" u="1"/>
        <n v="2116.41" u="1"/>
        <n v="45649233.310000002" u="1"/>
        <n v="413.65" u="1"/>
        <n v="0.24" u="1"/>
        <n v="158.4" u="1"/>
        <n v="4297.59" u="1"/>
        <n v="8017.92" u="1"/>
        <n v="776.17" u="1"/>
        <n v="172552.57" u="1"/>
        <n v="37118.5" u="1"/>
        <n v="4937.3100000000004" u="1"/>
        <n v="-9.999999962747097E-2" u="1"/>
        <n v="-6.9999999832361937E-2" u="1"/>
        <n v="2542134.2000000002" u="1"/>
        <n v="554.05999999999995" u="1"/>
        <n v="3720931.03" u="1"/>
        <n v="8571.2199999999993" u="1"/>
        <n v="1393697.67" u="1"/>
        <n v="86476.2" u="1"/>
        <n v="699857.12" u="1"/>
        <n v="32308.01" u="1"/>
        <n v="4783.78" u="1"/>
        <n v="10702.86" u="1"/>
        <n v="71401.509999999995" u="1"/>
        <n v="398.65" u="1"/>
        <n v="420483.51" u="1"/>
        <n v="288" u="1"/>
        <n v="14164.6" u="1"/>
        <n v="139.57" u="1"/>
        <n v="100788.13" u="1"/>
        <n v="1632584.39" u="1"/>
        <n v="26802354.579999998" u="1"/>
        <n v="16126017.869999999" u="1"/>
        <n v="109345.33" u="1"/>
        <n v="34911.660000000003" u="1"/>
        <n v="966.63" u="1"/>
        <n v="1026.3499999999999" u="1"/>
        <n v="15774.98" u="1"/>
        <n v="33162.6" u="1"/>
        <n v="6181931.1900000004" u="1"/>
        <n v="1802.42" u="1"/>
        <n v="1319051.5" u="1"/>
        <n v="3656.29" u="1"/>
        <n v="1469367.32" u="1"/>
        <n v="1191246.79" u="1"/>
        <n v="28227.68" u="1"/>
        <n v="82371.59" u="1"/>
        <n v="4000.08" u="1"/>
        <n v="-0.44000000000232831" u="1"/>
        <n v="-9.4499999999970896" u="1"/>
        <n v="0.34000000002561137" u="1"/>
        <n v="-0.33999999999650754" u="1"/>
        <n v="1808017.48" u="1"/>
        <n v="57.76" u="1"/>
        <n v="7604.51" u="1"/>
        <n v="44709.75" u="1"/>
        <n v="2400000" u="1"/>
        <n v="19553.419999999998" u="1"/>
        <n v="821426.22" u="1"/>
        <n v="1417483.06" u="1"/>
        <n v="138924.92000000001" u="1"/>
        <n v="11795.16" u="1"/>
        <n v="10135.11" u="1"/>
        <n v="530596.6" u="1"/>
        <n v="1056.31" u="1"/>
        <n v="2966.34" u="1"/>
        <n v="21544.69" u="1"/>
        <n v="5974.35" u="1"/>
        <n v="7725" u="1"/>
        <n v="289.39999999999998" u="1"/>
        <n v="499.37" u="1"/>
        <n v="152.80000000000001" u="1"/>
        <n v="104.23" u="1"/>
        <n v="141.19999999999999" u="1"/>
        <n v="97.93" u="1"/>
        <n v="274.73" u="1"/>
        <n v="-2970219.07" u="1"/>
        <n v="7.0000000006984919E-2" u="1"/>
        <n v="6381.57" u="1"/>
        <n v="99525.06" u="1"/>
        <n v="1841760.72" u="1"/>
        <n v="3339724.2" u="1"/>
        <n v="313471.90999999997" u="1"/>
        <n v="1178.95" u="1"/>
        <n v="498186.38" u="1"/>
        <n v="-355638.5833" u="1"/>
        <n v="99065.88" u="1"/>
        <n v="49944.76" u="1"/>
        <n v="424.95" u="1"/>
        <n v="695432.55" u="1"/>
        <n v="4864770.8099999996" u="1"/>
        <n v="3093.56" u="1"/>
        <n v="14591.45" u="1"/>
        <n v="154116.53" u="1"/>
        <n v="8782.2800000000007" u="1"/>
        <n v="1067.47" u="1"/>
        <n v="222559.05" u="1"/>
        <n v="39.159999999999997" u="1"/>
        <n v="80838.070000000007" u="1"/>
        <n v="763662.25" u="1"/>
        <n v="117728.13" u="1"/>
        <n v="72865.070000000007" u="1"/>
        <n v="191219.83" u="1"/>
        <n v="139854.16" u="1"/>
        <n v="1042.55" u="1"/>
        <n v="201093.19" u="1"/>
        <n v="1848602.81" u="1"/>
        <n v="404061.74" u="1"/>
        <n v="17557.560000000001" u="1"/>
        <n v="14293.43" u="1"/>
        <n v="3151.06" u="1"/>
        <n v="11800.28" u="1"/>
        <n v="8522.92" u="1"/>
        <n v="32208.91" u="1"/>
        <n v="32767.19" u="1"/>
        <n v="36445.39" u="1"/>
        <n v="164.58" u="1"/>
        <n v="7092.48" u="1"/>
        <n v="315521.21000000002" u="1"/>
        <n v="29.4" u="1"/>
        <n v="837.8" u="1"/>
        <n v="18524.93" u="1"/>
        <n v="13452.46" u="1"/>
        <n v="3680.47" u="1"/>
        <n v="20367.03" u="1"/>
        <n v="14451.86" u="1"/>
        <n v="9948.89" u="1"/>
        <n v="1005641.63" u="1"/>
        <n v="883.49" u="1"/>
        <n v="8.31" u="1"/>
        <n v="88.77" u="1"/>
        <n v="2215.52" u="1"/>
        <n v="1514.67" u="1"/>
        <n v="514.51" u="1"/>
        <n v="279.19" u="1"/>
        <n v="461.52" u="1"/>
        <n v="333.33" u="1"/>
        <n v="136.29" u="1"/>
        <n v="609.92999999999995" u="1"/>
        <n v="2655.98" u="1"/>
        <n v="9666614.0500000007" u="1"/>
        <n v="1007455.56" u="1"/>
        <n v="27979.98" u="1"/>
        <n v="75633.36" u="1"/>
        <n v="1573.32" u="1"/>
        <n v="10000" u="1"/>
        <n v="112.53" u="1"/>
        <n v="287.22000000000003" u="1"/>
        <n v="200.09" u="1"/>
        <n v="39757.620000000003" u="1"/>
        <n v="231.38" u="1"/>
        <n v="1299.93" u="1"/>
        <n v="1331.62" u="1"/>
        <n v="1781.82" u="1"/>
        <n v="73655.95" u="1"/>
        <n v="245515.95" u="1"/>
        <n v="53029.85" u="1"/>
        <n v="444.95" u="1"/>
        <n v="2400.6" u="1"/>
        <n v="72560.39" u="1"/>
        <n v="225336" u="1"/>
        <n v="5720" u="1"/>
        <n v="68423.3" u="1"/>
        <n v="39760.879999999997" u="1"/>
        <n v="439866" u="1"/>
        <n v="1587.43" u="1"/>
        <n v="189.78" u="1"/>
        <n v="14" u="1"/>
        <n v="213681.53" u="1"/>
        <n v="4807.32" u="1"/>
        <n v="5948.3" u="1"/>
        <n v="360250" u="1"/>
        <n v="55917.23" u="1"/>
        <n v="39484.49" u="1"/>
        <n v="7200" u="1"/>
        <n v="16311.5" u="1"/>
        <n v="14400" u="1"/>
        <n v="8840" u="1"/>
        <n v="148692.81" u="1"/>
        <n v="39603.56" u="1"/>
        <n v="1200" u="1"/>
        <n v="16783217" u="1"/>
        <n v="-2590440" u="1"/>
        <n v="1609010" u="1"/>
        <n v="10802.21" u="1"/>
        <n v="9.1300000000000008" u="1"/>
        <n v="48076.89" u="1"/>
        <n v="345534.49" u="1"/>
        <n v="927.33" u="1"/>
        <n v="3994.07" u="1"/>
        <n v="6246.08" u="1"/>
        <n v="3727.89" u="1"/>
        <n v="4243.04" u="1"/>
        <n v="2033866.64" u="1"/>
        <n v="62259" u="1"/>
        <n v="459783.38" u="1"/>
        <n v="182541361.19" u="1"/>
        <n v="254.85" u="1"/>
        <n v="95725.01" u="1"/>
        <n v="2106" u="1"/>
        <n v="551798.18999999994" u="1"/>
        <n v="238187.43" u="1"/>
        <n v="163024.79999999999" u="1"/>
        <n v="3300" u="1"/>
        <n v="120000.53" u="1"/>
        <n v="792.74" u="1"/>
        <n v="369.29" u="1"/>
        <n v="3211.79" u="1"/>
        <n v="758.33" u="1"/>
        <n v="334.88" u="1"/>
        <n v="13346.66" u="1"/>
        <n v="198024.6" u="1"/>
        <n v="18562.14" u="1"/>
        <n v="4917.9799999999996" u="1"/>
        <n v="755803.98" u="1"/>
        <n v="60119.57" u="1"/>
        <n v="5202.04" u="1"/>
        <n v="2343.5700000000002" u="1"/>
        <n v="19343.64" u="1"/>
        <n v="1571029.75" u="1"/>
        <n v="3297726.14" u="1"/>
        <n v="262463.32" u="1"/>
        <n v="6622.66" u="1"/>
        <n v="29.36" u="1"/>
        <n v="16748.939999999999" u="1"/>
        <n v="1090" u="1"/>
        <n v="24996.36" u="1"/>
        <n v="1310.32" u="1"/>
        <n v="1150815" u="1"/>
        <n v="-13819.82" u="1"/>
        <n v="429895.33" u="1"/>
        <n v="2597.5" u="1"/>
        <n v="20277.84" u="1"/>
        <n v="2929751.42" u="1"/>
        <n v="10641.02" u="1"/>
        <n v="117.33" u="1"/>
        <n v="1473.97" u="1"/>
        <n v="9759.41" u="1"/>
        <n v="17998.599999999999" u="1"/>
        <n v="62468.2" u="1"/>
        <n v="48359.07" u="1"/>
        <n v="71985.37" u="1"/>
        <n v="35204.01" u="1"/>
        <n v="86624.01" u="1"/>
        <n v="75650.8" u="1"/>
        <n v="68988.41" u="1"/>
        <n v="39452.67" u="1"/>
        <n v="44988.06" u="1"/>
        <n v="107772.81" u="1"/>
        <n v="238304.46" u="1"/>
        <n v="62999.05" u="1"/>
        <n v="16178.99" u="1"/>
        <n v="30000" u="1"/>
        <n v="41311.980000000003" u="1"/>
        <n v="38648.519999999997" u="1"/>
        <n v="8071.97" u="1"/>
        <n v="602" u="1"/>
        <n v="287.64999999999998" u="1"/>
        <n v="98.41" u="1"/>
        <n v="196.02" u="1"/>
        <n v="455.77" u="1"/>
        <n v="8544.44" u="1"/>
        <n v="38421.760000000002" u="1"/>
        <n v="9478.86" u="1"/>
        <n v="203857.42" u="1"/>
        <n v="92000.91" u="1"/>
        <n v="5337.62" u="1"/>
        <n v="687959.62" u="1"/>
        <n v="0.86" u="1"/>
        <n v="12.96" u="1"/>
        <n v="9001.24" u="1"/>
        <n v="636.58000000000004" u="1"/>
        <n v="21988.76" u="1"/>
        <n v="17988.7" u="1"/>
        <n v="22344.16" u="1"/>
        <n v="20001.93" u="1"/>
        <n v="595.38" u="1"/>
        <n v="1996819.19" u="1"/>
        <n v="932374.28" u="1"/>
        <n v="52677.87" u="1"/>
        <n v="105.84" u="1"/>
        <n v="173.86" u="1"/>
        <n v="12191.91" u="1"/>
        <n v="1392.74" u="1"/>
        <n v="325607520" u="1"/>
        <n v="11453.26" u="1"/>
        <n v="8241.0400000000009" u="1"/>
        <n v="23.1" u="1"/>
        <n v="8086.7" u="1"/>
        <n v="2758.41" u="1"/>
        <n v="8901760.1099999994" u="1"/>
        <n v="138983.48000000001" u="1"/>
        <n v="85594.11" u="1"/>
        <n v="84000" u="1"/>
        <n v="137438.81" u="1"/>
        <n v="21967.22" u="1"/>
        <n v="10971134.060000001" u="1"/>
        <n v="9869.86" u="1"/>
        <n v="2247.1" u="1"/>
        <n v="55.83" u="1"/>
        <n v="93499.68" u="1"/>
        <n v="12099997.08" u="1"/>
        <n v="18612.75" u="1"/>
        <n v="8152.95" u="1"/>
        <n v="20000.009999999998" u="1"/>
        <n v="4402.3" u="1"/>
        <n v="196000" u="1"/>
        <n v="4017.12" u="1"/>
        <n v="826.79" u="1"/>
        <n v="4129.25" u="1"/>
        <n v="277116" u="1"/>
        <n v="516981.18" u="1"/>
        <n v="29282.99" u="1"/>
        <n v="438.27" u="1"/>
        <n v="380271.66" u="1"/>
        <n v="64068.24" u="1"/>
        <n v="208739.02" u="1"/>
        <n v="25809.31" u="1"/>
        <n v="61589.56" u="1"/>
        <n v="4800258.8499999996" u="1"/>
        <n v="450.38" u="1"/>
        <n v="505949.69" u="1"/>
        <n v="257.95" u="1"/>
        <n v="225754.17" u="1"/>
        <n v="25410.77" u="1"/>
        <n v="90000" u="1"/>
        <n v="57164.39" u="1"/>
        <n v="699457.65" u="1"/>
        <n v="565937.47" u="1"/>
        <n v="330.8" u="1"/>
        <n v="10316.5" u="1"/>
        <n v="1881900" u="1"/>
        <n v="53430.66" u="1"/>
        <n v="459047.99" u="1"/>
        <n v="477493.35" u="1"/>
        <n v="317.12" u="1"/>
        <n v="30069.52" u="1"/>
        <n v="12339.44" u="1"/>
        <n v="4585.1000000000004" u="1"/>
        <n v="1500" u="1"/>
        <n v="3887.26" u="1"/>
        <n v="2886" u="1"/>
        <n v="3362" u="1"/>
        <n v="11475.03" u="1"/>
        <n v="1500000" u="1"/>
        <n v="200566.56" u="1"/>
        <n v="18080.62" u="1"/>
        <n v="79763.23" u="1"/>
        <n v="293.87" u="1"/>
        <n v="100000" u="1"/>
        <n v="1383.16" u="1"/>
        <n v="1538.03" u="1"/>
        <n v="293581.32" u="1"/>
        <n v="42342.07" u="1"/>
        <n v="50000" u="1"/>
        <n v="114469.42" u="1"/>
        <n v="693492.88" u="1"/>
        <n v="5679741.4000000004" u="1"/>
        <n v="5089198.9000000004" u="1"/>
        <n v="11558.06" u="1"/>
        <n v="42086.2" u="1"/>
        <n v="7009.16" u="1"/>
        <n v="4420" u="1"/>
        <n v="94989.53" u="1"/>
        <n v="77362.11" u="1"/>
        <n v="1210.69" u="1"/>
        <n v="769.65" u="1"/>
        <n v="49925.279999999999" u="1"/>
        <n v="58085.59" u="1"/>
        <n v="199.24" u="1"/>
        <n v="599999.57999999996" u="1"/>
        <n v="22421.06" u="1"/>
        <n v="6988.22" u="1"/>
        <n v="144" u="1"/>
        <n v="1855.95" u="1"/>
        <n v="124999.98" u="1"/>
        <n v="27976.71" u="1"/>
        <n v="2672.01" u="1"/>
        <n v="463.3" u="1"/>
        <n v="74998.509999999995" u="1"/>
        <n v="72856.97" u="1"/>
        <n v="262.27999999999997" u="1"/>
        <n v="2338007.39" u="1"/>
        <n v="690.65" u="1"/>
        <n v="2553.25" u="1"/>
        <n v="296303.74" u="1"/>
        <n v="312186.12" u="1"/>
        <n v="386216.15" u="1"/>
        <n v="1381.35" u="1"/>
        <n v="617.23" u="1"/>
        <n v="973.43" u="1"/>
        <n v="8958.91" u="1"/>
        <n v="3058.37" u="1"/>
        <n v="45111548.670000002" u="1"/>
        <n v="1532053.88" u="1"/>
        <n v="3292.31" u="1"/>
        <n v="3300.49" u="1"/>
        <n v="19980.32" u="1"/>
        <n v="54578.6" u="1"/>
        <n v="93996.160000000003" u="1"/>
        <n v="173381.76000000001" u="1"/>
        <n v="31764.400000000001" u="1"/>
        <n v="43753.48" u="1"/>
        <n v="14047" u="1"/>
        <n v="10326.56" u="1"/>
        <n v="981799.67" u="1"/>
        <n v="51224.18" u="1"/>
        <n v="186550.94" u="1"/>
        <n v="5756.22" u="1"/>
        <n v="45996.480000000003" u="1"/>
        <n v="34871.65" u="1"/>
        <n v="21759.51" u="1"/>
        <n v="414197.58" u="1"/>
        <n v="1669433.97" u="1"/>
        <n v="4555.51" u="1"/>
        <n v="276317.65000000002" u="1"/>
        <n v="31699.61" u="1"/>
        <n v="1288545.19" u="1"/>
        <n v="50874.47" u="1"/>
        <n v="53506.09" u="1"/>
        <n v="84801.99" u="1"/>
        <n v="842.29" u="1"/>
        <n v="285000" u="1"/>
        <n v="60735.96" u="1"/>
        <n v="25478.400000000001" u="1"/>
        <n v="7835.4" u="1"/>
        <n v="859528.51" u="1"/>
        <n v="65936.69" u="1"/>
        <n v="434643.05" u="1"/>
        <n v="2518.89" u="1"/>
        <n v="15011.15" u="1"/>
        <n v="121931" u="1"/>
        <n v="1187.8399999999999" u="1"/>
        <n v="1803.67" u="1"/>
        <n v="20351.22" u="1"/>
        <n v="30123.51" u="1"/>
        <n v="4535.91" u="1"/>
        <n v="1972.3" u="1"/>
        <n v="8033.85" u="1"/>
        <n v="3000.83" u="1"/>
        <n v="23401.81" u="1"/>
        <n v="13357.34" u="1"/>
        <n v="210.37" u="1"/>
        <n v="487.11" u="1"/>
        <n v="175.63" u="1"/>
        <n v="58591.31" u="1"/>
        <n v="29559.49" u="1"/>
        <n v="152916.22" u="1"/>
        <n v="40253.57" u="1"/>
        <n v="19442.599999999999" u="1"/>
        <n v="8253.34" u="1"/>
        <n v="12621.39" u="1"/>
        <n v="48800.65" u="1"/>
        <n v="5608.45" u="1"/>
        <n v="103337.92" u="1"/>
        <n v="-3433.02" u="1"/>
        <n v="41669573.159999996" u="1"/>
        <n v="14389207.210000001" u="1"/>
        <n v="304.66000000000003" u="1"/>
        <n v="99945.52" u="1"/>
        <n v="39580.6" u="1"/>
        <n v="414882.08" u="1"/>
        <n v="339701" u="1"/>
        <n v="20363.98" u="1"/>
        <n v="29983.57" u="1"/>
        <n v="40.75" u="1"/>
        <n v="347219.1" u="1"/>
        <n v="50743.69" u="1"/>
        <n v="85996.06" u="1"/>
        <n v="439984.16" u="1"/>
        <n v="826.74" u="1"/>
        <n v="370545.9" u="1"/>
        <n v="112818.79" u="1"/>
        <n v="52676.83" u="1"/>
        <n v="20517.36" u="1"/>
        <n v="46847.43" u="1"/>
        <n v="10021.469999999999" u="1"/>
        <n v="3854.08" u="1"/>
        <n v="21890.75" u="1"/>
        <n v="186655.21" u="1"/>
        <n v="142380.32" u="1"/>
        <n v="13253.25" u="1"/>
        <n v="212064.97" u="1"/>
        <n v="33567.67" u="1"/>
        <n v="292272.87" u="1"/>
        <n v="17138" u="1"/>
        <n v="13749.07" u="1"/>
        <n v="780154.39" u="1"/>
        <n v="43475.1" u="1"/>
        <n v="228.99" u="1"/>
        <n v="794281.37" u="1"/>
        <n v="48927.64" u="1"/>
        <n v="114541.56" u="1"/>
        <n v="85.67" u="1"/>
        <n v="40.28" u="1"/>
        <n v="659799" u="1"/>
        <n v="12855.75" u="1"/>
        <n v="992.94" u="1"/>
        <n v="6483.69" u="1"/>
        <n v="1290.27" u="1"/>
        <n v="14557.13" u="1"/>
        <n v="2869.24" u="1"/>
        <n v="19740.88" u="1"/>
        <n v="5024.91" u="1"/>
        <n v="25671.64" u="1"/>
        <n v="65522.91" u="1"/>
        <n v="39220.79" u="1"/>
        <n v="21399.97" u="1"/>
        <n v="22088.05" u="1"/>
        <n v="561683.99" u="1"/>
        <n v="4280314.1100000003" u="1"/>
        <n v="962.78" u="1"/>
        <n v="111428.01" u="1"/>
        <n v="79171" u="1"/>
        <n v="8391.5300000000007" u="1"/>
        <n v="32224.1" u="1"/>
        <n v="22306.75" u="1"/>
        <n v="31018" u="1"/>
        <n v="140000" u="1"/>
        <n v="164447.57" u="1"/>
        <n v="169419.2" u="1"/>
        <n v="1992.31" u="1"/>
        <n v="259786" u="1"/>
        <n v="7204.51" u="1"/>
        <n v="9028.31" u="1"/>
        <n v="484791.24" u="1"/>
        <n v="229910.02" u="1"/>
        <n v="180.42" u="1"/>
        <n v="1418.71" u="1"/>
        <n v="197900.76" u="1"/>
        <n v="1212536.05" u="1"/>
        <n v="61383.86" u="1"/>
        <n v="3173655" u="1"/>
        <n v="16600939.689999999" u="1"/>
        <n v="20511601.84" u="1"/>
        <n v="343291.18" u="1"/>
        <n v="1254410.05" u="1"/>
        <n v="88000" u="1"/>
        <n v="5334.62" u="1"/>
        <n v="1516483.09" u="1"/>
        <n v="543521.6" u="1"/>
        <n v="5145.55" u="1"/>
        <n v="609292.14" u="1"/>
        <n v="65185.97" u="1"/>
        <n v="259.87" u="1"/>
        <n v="933.22" u="1"/>
        <n v="177.95" u="1"/>
        <n v="534.13" u="1"/>
        <n v="6598.73" u="1"/>
        <n v="1912528.04" u="1"/>
        <n v="1794832.5" u="1"/>
        <n v="63714.77" u="1"/>
        <n v="2475.8000000000002" u="1"/>
        <n v="95935.97" u="1"/>
        <n v="182074.59" u="1"/>
        <n v="5693.2" u="1"/>
        <n v="97745.66" u="1"/>
        <n v="5495.61" u="1"/>
        <n v="10058.32" u="1"/>
        <n v="2432.89" u="1"/>
        <n v="468.36" u="1"/>
        <n v="48566.93" u="1"/>
        <n v="56458.89" u="1"/>
        <n v="325" u="1"/>
        <n v="77420.69" u="1"/>
        <n v="80574.2" u="1"/>
        <n v="56032.11" u="1"/>
        <n v="27660.38" u="1"/>
        <n v="33657.11" u="1"/>
        <n v="13027.01" u="1"/>
        <n v="328275.07" u="1"/>
        <n v="46032.84" u="1"/>
        <n v="469.18" u="1"/>
        <n v="493158.28" u="1"/>
        <n v="54696.72" u="1"/>
        <n v="300000" u="1"/>
        <n v="831.44" u="1"/>
        <n v="1675.04" u="1"/>
        <n v="42180.959999999999" u="1"/>
        <n v="37937.68" u="1"/>
        <n v="51394.18" u="1"/>
        <n v="3600" u="1"/>
        <n v="23532.95" u="1"/>
        <n v="19791.78" u="1"/>
        <n v="6390.67" u="1"/>
        <n v="20.25" u="1"/>
        <n v="1549.9" u="1"/>
        <n v="37244.19" u="1"/>
        <n v="3334.58" u="1"/>
        <n v="14306.76" u="1"/>
        <n v="102202.33" u="1"/>
        <n v="270804.49" u="1"/>
        <n v="652365.56000000006" u="1"/>
        <n v="1350704.91" u="1"/>
        <n v="278162.62" u="1"/>
        <n v="2519.7800000000002" u="1"/>
        <n v="82524.38" u="1"/>
        <n v="79578.289999999994" u="1"/>
        <n v="623768.69999999995" u="1"/>
        <n v="5988.92" u="1"/>
        <n v="33740.71" u="1"/>
        <n v="1327.8" u="1"/>
        <n v="2161.64" u="1"/>
        <n v="2147.35" u="1"/>
        <n v="2198.37" u="1"/>
        <n v="231543.17" u="1"/>
        <n v="115118.91" u="1"/>
        <n v="7938.85" u="1"/>
        <n v="17804.28" u="1"/>
        <n v="264290.01" u="1"/>
        <n v="5640.59" u="1"/>
        <n v="15237.75" u="1"/>
        <n v="4833.0200000000004" u="1"/>
        <n v="5850.01" u="1"/>
        <n v="4572.0200000000004" u="1"/>
        <n v="40000" u="1"/>
        <n v="237799.52" u="1"/>
        <n v="355.33" u="1"/>
        <n v="1678184.19" u="1"/>
        <n v="27254.959999999999" u="1"/>
        <n v="0.38" u="1"/>
        <n v="91.93" u="1"/>
        <n v="18166.02" u="1"/>
        <n v="1318582.5" u="1"/>
        <n v="1060000" u="1"/>
        <n v="5444.97" u="1"/>
        <n v="10881.78" u="1"/>
        <n v="129319.67999999999" u="1"/>
        <n v="797.17" u="1"/>
        <n v="13021.54" u="1"/>
        <n v="13010.36" u="1"/>
        <n v="684.61" u="1"/>
        <n v="993447.93" u="1"/>
        <n v="24945.5" u="1"/>
        <n v="43897.25" u="1"/>
        <n v="54742.62" u="1"/>
        <n v="225240" u="1"/>
        <n v="2362.21" u="1"/>
        <n v="252978" u="1"/>
        <n v="66422.89" u="1"/>
        <n v="1400264.52" u="1"/>
        <n v="830.86" u="1"/>
        <n v="22354.37" u="1"/>
        <n v="13612.84" u="1"/>
        <n v="17981.52" u="1"/>
        <n v="49989.66" u="1"/>
        <n v="131752.92000000001" u="1"/>
        <n v="705.9" u="1"/>
        <n v="40342.19" u="1"/>
        <n v="93310.86" u="1"/>
        <n v="11821.88" u="1"/>
        <n v="163.71" u="1"/>
        <n v="1087043.2" u="1"/>
        <n v="48117.95" u="1"/>
        <n v="1200.06" u="1"/>
        <n v="24269.439999999999" u="1"/>
        <n v="14605.84" u="1"/>
        <n v="4196.93" u="1"/>
        <n v="18538.38" u="1"/>
        <n v="70.069999999999993" u="1"/>
        <n v="60274459.939999998" u="1"/>
        <n v="24964023.190000001" u="1"/>
        <n v="36267.040000000001" u="1"/>
        <n v="29134515.890000001" u="1"/>
        <n v="16114688.66" u="1"/>
        <n v="9512506.2200000007" u="1"/>
        <n v="777.97" u="1"/>
        <n v="29821361.07" u="1"/>
        <n v="11468.46" u="1"/>
        <n v="13989708.109999999" u="1"/>
        <n v="18480000.030000001" u="1"/>
        <n v="11322.15" u="1"/>
        <n v="185929.21" u="1"/>
        <n v="151038.12" u="1"/>
        <n v="140449.85999999999" u="1"/>
        <n v="278895.63" u="1"/>
        <n v="22399.99" u="1"/>
        <n v="2824.11" u="1"/>
        <n v="1996.02" u="1"/>
        <n v="22171.98" u="1"/>
        <n v="5242.45" u="1"/>
        <n v="10244.129999999999" u="1"/>
        <n v="4201.01" u="1"/>
        <n v="299.37" u="1"/>
        <n v="1058.95" u="1"/>
        <n v="68921208.579999998" u="1"/>
        <n v="223088.27" u="1"/>
        <n v="191328902.37990001" u="1"/>
        <n v="2456250.7599999998" u="1"/>
        <n v="2342619.91" u="1"/>
        <n v="603.16" u="1"/>
        <n v="23306.95" u="1"/>
        <n v="5663.77" u="1"/>
        <n v="612.26" u="1"/>
        <n v="642.03" u="1"/>
        <n v="13380.1" u="1"/>
        <n v="130886.56" u="1"/>
        <n v="3036268.15" u="1"/>
        <n v="9687.42" u="1"/>
        <n v="49778.27" u="1"/>
        <n v="8169.46" u="1"/>
        <n v="1920.65" u="1"/>
        <n v="32754.7" u="1"/>
        <n v="516.74" u="1"/>
        <n v="28006756.870000001" u="1"/>
        <n v="39783.06" u="1"/>
        <n v="92568.86" u="1"/>
        <n v="527.15" u="1"/>
        <n v="9428.6200000000008" u="1"/>
        <n v="352.81" u="1"/>
        <n v="4355.6400000000003" u="1"/>
        <n v="729339.96" u="1"/>
        <n v="15408.19" u="1"/>
        <n v="30812.58" u="1"/>
        <n v="1230.1400000000001" u="1"/>
        <n v="1684.25" u="1"/>
        <n v="-1230.1400000000001" u="1"/>
        <n v="19999.990000000002" u="1"/>
        <n v="945.94" u="1"/>
        <n v="326910.3" u="1"/>
        <n v="2682.19" u="1"/>
        <n v="3349.88" u="1"/>
        <n v="24000000.289999999" u="1"/>
        <n v="15145874.67" u="1"/>
        <n v="60197352.229999997" u="1"/>
        <n v="38557.93" u="1"/>
        <n v="10575.25" u="1"/>
        <n v="81191534.620000005" u="1"/>
        <n v="20000000.329999998" u="1"/>
        <n v="8500000" u="1"/>
        <n v="190000" u="1"/>
        <n v="1057630.97" u="1"/>
        <n v="24309.279999999999" u="1"/>
        <n v="135.22" u="1"/>
        <n v="379951.4" u="1"/>
        <n v="1271186" u="1"/>
        <n v="480000" u="1"/>
        <n v="1800.37" u="1"/>
        <n v="20319.599999999999" u="1"/>
        <n v="1732518.16" u="1"/>
        <n v="257436.42" u="1"/>
        <n v="9964.4599999999991" u="1"/>
        <n v="56209.09" u="1"/>
        <n v="24048.38" u="1"/>
        <n v="105.79" u="1"/>
        <n v="696948.84" u="1"/>
        <n v="79300" u="1"/>
        <n v="62712.08" u="1"/>
        <n v="275110.19" u="1"/>
        <n v="712575.99" u="1"/>
        <n v="39272.199999999997" u="1"/>
        <n v="1101938.71" u="1"/>
        <n v="183616.44" u="1"/>
        <n v="9360.82" u="1"/>
        <n v="632.6" u="1"/>
        <n v="7902097" u="1"/>
        <n v="231895.04000000001" u="1"/>
        <n v="138578.54999999999" u="1"/>
        <n v="899999.99" u="1"/>
        <n v="796.85" u="1"/>
        <n v="3923.1" u="1"/>
        <n v="252" u="1"/>
        <n v="3450.28" u="1"/>
        <n v="14773.52" u="1"/>
        <n v="452760" u="1"/>
        <n v="4638.32" u="1"/>
        <n v="1187.32" u="1"/>
        <n v="325.76" u="1"/>
        <n v="1377683.63" u="1"/>
        <n v="330.31" u="1"/>
        <n v="12381.97" u="1"/>
        <n v="8205.9199999999983" u="1"/>
        <n v="73305.570000000007" u="1"/>
        <n v="2037153.81" u="1"/>
        <n v="90052.6" u="1"/>
        <n v="6508.06" u="1"/>
        <n v="220.37" u="1"/>
        <n v="30" u="1"/>
        <n v="1966732.69" u="1"/>
        <n v="2000" u="1"/>
        <n v="17835140" u="1"/>
        <n v="32.43" u="1"/>
        <n v="368000" u="1"/>
        <n v="844.54" u="1"/>
        <n v="15119" u="1"/>
        <n v="42656.88" u="1"/>
        <n v="2468261.62" u="1"/>
        <n v="427078.39" u="1"/>
        <n v="313562.94" u="1"/>
        <n v="6926.4" u="1"/>
        <n v="122609877.40000001" u="1"/>
        <n v="24350656.010000002" u="1"/>
        <n v="2026.15" u="1"/>
        <n v="603.77" u="1"/>
        <n v="263399.43" u="1"/>
        <n v="15073.45" u="1"/>
        <n v="1964164.69" u="1"/>
        <n v="527.88" u="1"/>
        <n v="924.82" u="1"/>
        <n v="840.37" u="1"/>
        <n v="24373.88" u="1"/>
        <n v="27762.23" u="1"/>
        <n v="2489" u="1"/>
        <n v="3546.29" u="1"/>
        <n v="984.85" u="1"/>
        <n v="259999.99" u="1"/>
        <n v="7036.87" u="1"/>
        <n v="127003.72" u="1"/>
        <n v="2552222.16" u="1"/>
        <n v="34880.550000000003" u="1"/>
        <n v="54908.85" u="1"/>
        <n v="169837.08" u="1"/>
        <n v="15000" u="1"/>
        <n v="32066.1" u="1"/>
        <n v="33138.39" u="1"/>
        <n v="32881.49" u="1"/>
        <n v="546.23" u="1"/>
        <n v="6990128.6600000001" u="1"/>
        <n v="92648.91" u="1"/>
        <n v="1641775.43" u="1"/>
        <n v="353.3" u="1"/>
        <n v="12336.37" u="1"/>
        <n v="42898.87" u="1"/>
        <n v="1425.83" u="1"/>
        <n v="4767.54" u="1"/>
        <n v="2590" u="1"/>
        <n v="1448.46" u="1"/>
        <n v="1870.79" u="1"/>
        <n v="9559002.3699999992" u="1"/>
        <n v="31873.68" u="1"/>
        <n v="27419.759999999998" u="1"/>
        <n v="219933" u="1"/>
        <n v="11194.47" u="1"/>
        <n v="12827.12" u="1"/>
        <n v="1141.29" u="1"/>
        <n v="194317.93" u="1"/>
        <n v="31.75" u="1"/>
        <n v="33495.120000000003" u="1"/>
        <n v="2706474.74" u="1"/>
        <n v="2788047.61" u="1"/>
        <n v="298752.90999999997" u="1"/>
        <n v="393096.57" u="1"/>
        <n v="382024.44" u="1"/>
        <n v="3747.97" u="1"/>
        <n v="1468.73" u="1"/>
        <n v="576.84" u="1"/>
        <n v="2215.59" u="1"/>
        <n v="1098.31" u="1"/>
        <n v="6240.01" u="1"/>
        <n v="5238.26" u="1"/>
        <n v="8870.68" u="1"/>
        <n v="33997.74" u="1"/>
        <n v="90062.66" u="1"/>
        <n v="1544978.77" u="1"/>
        <n v="14747.5" u="1"/>
        <n v="26169.53" u="1"/>
        <n v="9221.89" u="1"/>
        <n v="512.13" u="1"/>
        <n v="4800" u="1"/>
        <n v="23239.16" u="1"/>
        <n v="183821.31" u="1"/>
        <n v="468420.32" u="1"/>
        <n v="4121.12" u="1"/>
        <n v="25178.95" u="1"/>
        <n v="1697131.75" u="1"/>
        <n v="222.61" u="1"/>
        <n v="0.34" u="1"/>
        <n v="13.48" u="1"/>
        <n v="23.73" u="1"/>
        <n v="361800" u="1"/>
        <n v="3611877.1" u="1"/>
        <n v="4190" u="1"/>
        <n v="17199.91" u="1"/>
        <n v="33333.31" u="1"/>
        <n v="39838.550000000003" u="1"/>
        <n v="2949.34" u="1"/>
        <n v="103999.2" u="1"/>
        <n v="24268.32" u="1"/>
        <n v="57694.82" u="1"/>
        <n v="58610.31" u="1"/>
        <n v="39274.01" u="1"/>
        <n v="2294.08" u="1"/>
        <n v="45163.43" u="1"/>
        <n v="50054.31" u="1"/>
        <n v="1728.79" u="1"/>
        <n v="5772" u="1"/>
        <n v="23228.799999999999" u="1"/>
        <n v="650048.68000000005" u="1"/>
        <n v="5903136.1299999999" u="1"/>
        <n v="388061.76" u="1"/>
        <n v="1" u="1"/>
        <n v="8181.83" u="1"/>
        <n v="3500" u="1"/>
        <n v="33099.199999999997" u="1"/>
        <n v="25002.400000000001" u="1"/>
        <n v="1696.09" u="1"/>
        <n v="19199.87" u="1"/>
        <n v="17157.189999999999" u="1"/>
        <n v="18551.63" u="1"/>
        <n v="142.85" u="1"/>
        <n v="2062.65" u="1"/>
        <n v="1730.21" u="1"/>
        <n v="21333.279999999999" u="1"/>
        <n v="5404.85" u="1"/>
        <n v="290000" u="1"/>
        <n v="156313.57" u="1"/>
        <n v="8992.8700000000008" u="1"/>
        <n v="64113.71" u="1"/>
        <n v="2804.39" u="1"/>
        <n v="767.1" u="1"/>
        <n v="396637.5" u="1"/>
        <n v="13232.2" u="1"/>
        <n v="766269.13" u="1"/>
        <n v="124646.69" u="1"/>
        <n v="3345408.52" u="1"/>
        <n v="332656.67" u="1"/>
        <n v="5041.63" u="1"/>
        <n v="150000" u="1"/>
        <n v="11993.67" u="1"/>
        <n v="4686.4799999999996" u="1"/>
        <n v="94.73" u="1"/>
        <n v="1841.55" u="1"/>
        <n v="483.15" u="1"/>
        <n v="87232.21" u="1"/>
        <n v="892.62" u="1"/>
        <n v="3459.99" u="1"/>
        <n v="1992.67" u="1"/>
        <n v="21955.439999999999" u="1"/>
        <n v="120.38" u="1"/>
        <n v="1006.82" u="1"/>
        <n v="21227.03" u="1"/>
        <n v="276.08" u="1"/>
        <n v="19463.73" u="1"/>
        <n v="5332.35" u="1"/>
        <n v="14636.82" u="1"/>
        <n v="78.540000000000006" u="1"/>
        <n v="30002000.34" u="1"/>
        <n v="133002.47" u="1"/>
        <n v="70867" u="1"/>
        <n v="2241.92" u="1"/>
        <n v="1516.76" u="1"/>
        <n v="386777.33" u="1"/>
        <n v="214217.68" u="1"/>
        <n v="1013.52" u="1"/>
        <n v="204218.67" u="1"/>
        <n v="70977.399999999994" u="1"/>
        <n v="38605.11" u="1"/>
        <n v="9910.2800000000007" u="1"/>
        <n v="450312.47" u="1"/>
        <n v="431.12" u="1"/>
        <n v="6904" u="1"/>
        <n v="454.53" u="1"/>
        <n v="419.5" u="1"/>
        <n v="1172995.54" u="1"/>
        <n v="18871.09" u="1"/>
        <n v="8372.58" u="1"/>
        <n v="970789.73" u="1"/>
        <n v="147356.34" u="1"/>
        <n v="12231.38" u="1"/>
        <n v="5388366.96" u="1"/>
        <n v="61685.39" u="1"/>
        <n v="448992.52" u="1"/>
        <n v="6784126.0300000003" u="1"/>
        <n v="3725323.91" u="1"/>
        <n v="199749.16" u="1"/>
        <n v="1839174.3" u="1"/>
        <n v="3493145.23" u="1"/>
        <n v="1884574.95" u="1"/>
        <n v="2612791.16" u="1"/>
        <n v="1655.57" u="1"/>
        <n v="7390.31" u="1"/>
        <n v="55518.49" u="1"/>
        <n v="2017.15" u="1"/>
        <n v="2323.7199999999998" u="1"/>
        <n v="644.22" u="1"/>
        <n v="12499603.539999999" u="1"/>
        <n v="3371768.95" u="1"/>
        <n v="9022.7099999999991" u="1"/>
        <n v="1936.04" u="1"/>
        <n v="4108.41" u="1"/>
        <n v="17701.86" u="1"/>
        <n v="427.2" u="1"/>
        <n v="448891" u="1"/>
        <n v="46658.04" u="1"/>
        <n v="1416.9" u="1"/>
        <n v="16024" u="1"/>
        <n v="8397.01" u="1"/>
        <n v="1308.8" u="1"/>
        <n v="35101.43" u="1"/>
        <n v="174536.85" u="1"/>
        <n v="1108.74" u="1"/>
        <n v="70014.19" u="1"/>
        <n v="5979.23" u="1"/>
        <n v="128070.27" u="1"/>
        <n v="1813628.26" u="1"/>
        <n v="163461.37" u="1"/>
        <n v="4629.49" u="1"/>
        <n v="25793.25" u="1"/>
        <n v="7470.25" u="1"/>
        <n v="6555.75" u="1"/>
        <n v="80236.479999999996" u="1"/>
        <n v="551.49" u="1"/>
        <n v="9600" u="1"/>
        <n v="27000" u="1"/>
        <n v="270000" u="1"/>
        <n v="610.15" u="1"/>
        <n v="1504.83" u="1"/>
        <n v="9992.48" u="1"/>
        <n v="87992.07" u="1"/>
        <n v="70164.679999999993" u="1"/>
        <n v="1707151.63" u="1"/>
        <n v="3129687" u="1"/>
        <n v="786.74" u="1"/>
        <n v="8970.2199999999993" u="1"/>
        <n v="2471211.4900000002" u="1"/>
        <n v="11241.24" u="1"/>
        <n v="1564.95" u="1"/>
        <n v="5424.7" u="1"/>
        <n v="25526.42" u="1"/>
        <n v="12076.97" u="1"/>
        <n v="2491.5700000000002" u="1"/>
        <n v="550000" u="1"/>
        <n v="3215.13" u="1"/>
        <n v="7952.86" u="1"/>
        <n v="336.2" u="1"/>
        <n v="22029.53" u="1"/>
        <n v="56801.61" u="1"/>
        <n v="1694915.25" u="1"/>
        <n v="7179.49" u="1"/>
        <n v="1973.42" u="1"/>
        <n v="3359.55" u="1"/>
        <n v="5559.11" u="1"/>
        <n v="815.8" u="1"/>
        <n v="186524.01" u="1"/>
        <n v="1968.48" u="1"/>
        <n v="2941.09" u="1"/>
        <n v="28829.07" u="1"/>
        <n v="52302" u="1"/>
        <n v="103290.48" u="1"/>
        <n v="3477.75" u="1"/>
        <n v="5057.8500000000004" u="1"/>
        <n v="3049.03" u="1"/>
        <n v="1800847" u="1"/>
        <n v="9536.82" u="1"/>
        <n v="36250" u="1"/>
        <n v="0.01" u="1"/>
        <n v="14382.29" u="1"/>
        <n v="55000" u="1"/>
        <n v="70000" u="1"/>
        <n v="247079.85" u="1"/>
        <n v="10474.99" u="1"/>
        <n v="230000" u="1"/>
        <n v="1766.19" u="1"/>
        <n v="16007.98" u="1"/>
        <n v="17797.89" u="1"/>
        <n v="1453.84" u="1"/>
        <n v="25023.96" u="1"/>
        <n v="43419.64" u="1"/>
        <n v="2202.58" u="1"/>
        <n v="834.51" u="1"/>
        <n v="7465.72" u="1"/>
        <n v="2012.82" u="1"/>
        <n v="2970.32" u="1"/>
        <n v="11.84" u="1"/>
        <n v="7935.39" u="1"/>
        <n v="10639.5" u="1"/>
        <n v="300.8" u="1"/>
        <n v="178491.61" u="1"/>
        <n v="11116269.529999999" u="1"/>
        <n v="10447063.42" u="1"/>
        <n v="220000" u="1"/>
        <n v="1100" u="1"/>
        <n v="146539.10999999999" u="1"/>
        <n v="24833.43" u="1"/>
        <n v="33219.730000000003" u="1"/>
        <n v="15001" u="1"/>
        <n v="444.23" u="1"/>
        <n v="321.86" u="1"/>
        <n v="25000" u="1"/>
        <n v="11954.46" u="1"/>
        <n v="27272.73" u="1"/>
        <n v="1412.66" u="1"/>
        <n v="10365.32" u="1"/>
        <n v="1478.16" u="1"/>
        <n v="995.13" u="1"/>
        <n v="1462.66" u="1"/>
        <n v="8201.7000000000007" u="1"/>
        <n v="31352.799999999999" u="1"/>
        <n v="2308.8000000000002" u="1"/>
        <n v="47809.29" u="1"/>
        <n v="7282.3" u="1"/>
        <n v="36282.07" u="1"/>
        <n v="20454.55" u="1"/>
        <n v="277117" u="1"/>
        <n v="90000.01" u="1"/>
        <n v="59157.39" u="1"/>
        <n v="155347.49" u="1"/>
        <n v="25905.97" u="1"/>
        <n v="2299836.17" u="1"/>
        <n v="19284.849999999999" u="1"/>
        <n v="39991.57" u="1"/>
        <n v="547.80999999999995" u="1"/>
        <n v="79999.990000000005" u="1"/>
        <n v="56869.47" u="1"/>
        <n v="171305.83" u="1"/>
        <n v="1691014.01" u="1"/>
        <n v="2210.87" u="1"/>
        <n v="85785.56" u="1"/>
        <n v="115578.01" u="1"/>
        <n v="2800" u="1"/>
        <n v="1510.83" u="1"/>
        <n v="29900.57" u="1"/>
        <n v="28659.59" u="1"/>
        <n v="2263.29" u="1"/>
        <n v="286982.21000000002" u="1"/>
        <n v="44484.55" u="1"/>
        <n v="32000" u="1"/>
        <n v="18418.36" u="1"/>
        <n v="20000" u="1"/>
        <n v="3549750.54" u="1"/>
        <n v="539100" u="1"/>
        <n v="5408.03" u="1"/>
        <n v="179652.64" u="1"/>
        <n v="15799.2" u="1"/>
        <n v="13260" u="1"/>
        <n v="157187.48000000001" u="1"/>
        <n v="87998.57" u="1"/>
        <n v="5602.46" u="1"/>
        <n v="7837.07" u="1"/>
        <n v="195272.93" u="1"/>
        <n v="4508.6899999999996" u="1"/>
        <n v="10.46" u="1"/>
        <n v="6800" u="1"/>
        <n v="291.06" u="1"/>
        <n v="882.41" u="1"/>
        <n v="7505" u="1"/>
        <n v="792" u="1"/>
        <n v="62868.88" u="1"/>
        <n v="6110.7" u="1"/>
        <n v="1404.96" u="1"/>
        <n v="404439698.38999999" u="1"/>
        <n v="77460.960000000006" u="1"/>
        <n v="19364.97" u="1"/>
        <n v="150224" u="1"/>
        <n v="12129.99" u="1"/>
        <n v="16041.03" u="1"/>
        <n v="1860.74" u="1"/>
        <n v="310000.02" u="1"/>
        <n v="108655.12" u="1"/>
        <n v="1197.96" u="1"/>
        <n v="3608320.46" u="1"/>
        <n v="3911.38" u="1"/>
        <n v="167510000.15000001" u="1"/>
        <n v="2799.18" u="1"/>
        <n v="62307.54" u="1"/>
        <n v="1972115.47" u="1"/>
        <n v="102267.95" u="1"/>
        <n v="17189.669999999998" u="1"/>
        <n v="21498.35" u="1"/>
        <n v="1881.87" u="1"/>
        <n v="138.27000000000001" u="1"/>
        <n v="1326740.43" u="1"/>
        <n v="35668.620000000003" u="1"/>
        <n v="2219.4" u="1"/>
        <n v="11802.39" u="1"/>
        <n v="39999.99" u="1"/>
        <n v="1944.36" u="1"/>
        <n v="15210.47" u="1"/>
        <n v="4713.1000000000004" u="1"/>
        <n v="9848" u="1"/>
        <n v="6051.7" u="1"/>
        <n v="512899.69" u="1"/>
        <n v="310134.33" u="1"/>
        <n v="2892357.19" u="1"/>
        <n v="628068.14" u="1"/>
        <n v="1381.68" u="1"/>
        <n v="70916.36" u="1"/>
        <n v="17003.580000000002" u="1"/>
        <n v="45589.87" u="1"/>
        <n v="14878.52" u="1"/>
        <n v="397.41" u="1"/>
        <n v="1972.72" u="1"/>
        <n v="12952.03" u="1"/>
        <n v="8636.17" u="1"/>
        <n v="7248.67" u="1"/>
        <n v="8654.99" u="1"/>
        <n v="996514.4" u="1"/>
        <n v="491.42" u="1"/>
        <n v="72.39" u="1"/>
        <n v="56000" u="1"/>
        <n v="4076.69" u="1"/>
        <n v="249765.48" u="1"/>
        <n v="8397.26" u="1"/>
        <n v="8854.83" u="1"/>
        <n v="4674" u="1"/>
        <n v="13117.19" u="1"/>
        <n v="404526.73" u="1"/>
        <n v="43321.440000000002" u="1"/>
        <n v="575815.55000000005" u="1"/>
        <n v="9997.91" u="1"/>
        <n v="2721.74" u="1"/>
        <n v="48701.01" u="1"/>
        <n v="16783.7" u="1"/>
        <n v="924" u="1"/>
        <n v="12514.94" u="1"/>
        <n v="1203.8800000000001" u="1"/>
        <n v="407.45" u="1"/>
        <n v="94.9" u="1"/>
        <n v="158600" u="1"/>
        <n v="106726.54" u="1"/>
        <n v="176015.71" u="1"/>
        <n v="800918.39" u="1"/>
        <n v="336000" u="1"/>
        <n v="3728.21" u="1"/>
        <n v="1554694.96" u="1"/>
        <n v="38791662.390000001" u="1"/>
        <n v="14179.23" u="1"/>
        <n v="338704.31" u="1"/>
        <n v="6949.58" u="1"/>
        <n v="14963109.140000001" u="1"/>
        <n v="6998009.0700000003" u="1"/>
        <n v="180000" u="1"/>
        <n v="666.92" u="1"/>
        <n v="84123.44" u="1"/>
        <n v="295.83999999999997" u="1"/>
        <n v="43590" u="1"/>
        <n v="2698.36" u="1"/>
        <n v="530.83000000000004" u="1"/>
        <n v="20126.62" u="1"/>
        <n v="1992.43" u="1"/>
        <n v="1040019.46" u="1"/>
        <n v="1752.86" u="1"/>
        <n v="7215.45" u="1"/>
        <n v="3356.78" u="1"/>
        <n v="683.96" u="1"/>
        <n v="3236767.06" u="1"/>
        <n v="17.21" u="1"/>
        <n v="14480.83" u="1"/>
        <n v="1493072.7" u="1"/>
        <n v="48265" u="1"/>
        <n v="30984.69" u="1"/>
        <n v="33649.06" u="1"/>
        <n v="13498.7" u="1"/>
        <n v="8546.17" u="1"/>
        <n v="4468.3599999999997" u="1"/>
        <n v="291356.49" u="1"/>
        <n v="30000.14" u="1"/>
        <n v="884559.26" u="1"/>
        <n v="44842.41" u="1"/>
        <n v="501822.68" u="1"/>
        <n v="9695.5300000000007" u="1"/>
        <n v="11888.03" u="1"/>
        <n v="1248.08" u="1"/>
        <n v="37522.58" u="1"/>
        <n v="34011.25" u="1"/>
        <n v="1264.02" u="1"/>
        <n v="41881.53" u="1"/>
        <n v="538815.04" u="1"/>
        <n v="29255.79" u="1"/>
        <n v="4283.04" u="1"/>
        <n v="1113.6400000000001" u="1"/>
        <n v="78712.28" u="1"/>
        <n v="176000" u="1"/>
        <n v="803403.32" u="1"/>
        <n v="103105.86" u="1"/>
        <n v="19203.509999999998" u="1"/>
        <n v="134546.65" u="1"/>
        <n v="29999.94" u="1"/>
        <n v="49990.82" u="1"/>
        <n v="38194.199999999997" u="1"/>
        <n v="45632.73" u="1"/>
        <n v="850.4" u="1"/>
        <n v="5415.74" u="1"/>
        <n v="29392.34" u="1"/>
        <n v="358092.26" u="1"/>
        <n v="15279.18" u="1"/>
        <n v="6512.69" u="1"/>
        <n v="30595.16" u="1"/>
        <n v="100000.01" u="1"/>
        <n v="3435.5" u="1"/>
        <n v="13820.43" u="1"/>
        <n v="15976.26" u="1"/>
        <n v="745.8" u="1"/>
        <n v="305.86" u="1"/>
        <n v="8002.92" u="1"/>
        <n v="1827.5" u="1"/>
        <n v="697.42" u="1"/>
        <n v="10800" u="1"/>
        <n v="99.47" u="1"/>
        <n v="22521.46" u="1"/>
        <n v="20195.580000000002" u="1"/>
        <n v="297236.84000000003" u="1"/>
        <n v="3359.97" u="1"/>
        <n v="847457.63" u="1"/>
        <n v="471.76" u="1"/>
        <n v="935.5" u="1"/>
        <n v="1185.96" u="1"/>
        <n v="473.96" u="1"/>
        <n v="99389.3" u="1"/>
        <n v="48236.26" u="1"/>
        <n v="26257.72" u="1"/>
        <n v="10705.24" u="1"/>
        <n v="18986.07" u="1"/>
        <n v="5815.57" u="1"/>
        <n v="5157.05" u="1"/>
        <n v="1887.45" u="1"/>
        <n v="641.11" u="1"/>
        <n v="3243.3" u="1"/>
        <n v="9738.52" u="1"/>
        <n v="99700.6" u="1"/>
        <n v="59.35" u="1"/>
        <n v="498615.81" u="1"/>
        <n v="7375.77" u="1"/>
        <n v="34945.06" u="1"/>
        <n v="86162.67" u="1"/>
        <n v="1033609.85" u="1"/>
        <n v="841.21" u="1"/>
        <n v="25949.42" u="1"/>
        <n v="44339.45" u="1"/>
        <n v="2274.81" u="1"/>
        <n v="2890.48" u="1"/>
        <n v="1942.62" u="1"/>
        <n v="425.44" u="1"/>
        <n v="2244.2800000000002" u="1"/>
        <n v="958" u="1"/>
        <n v="9933.48" u="1"/>
        <n v="819.82" u="1"/>
        <n v="1800" u="1"/>
        <n v="641.02" u="1"/>
        <n v="65901.02" u="1"/>
        <n v="2165.81" u="1"/>
        <n v="148.53" u="1"/>
        <n v="311433.02" u="1"/>
        <n v="12506212.68" u="1"/>
        <n v="410" u="1"/>
        <n v="1909.34" u="1"/>
        <n v="2947.16" u="1"/>
        <n v="4231.0600000000004" u="1"/>
        <n v="257.27" u="1"/>
        <n v="20.010000000000002" u="1"/>
        <n v="36130.25" u="1"/>
        <n v="17840.8" u="1"/>
        <n v="203504700" u="1"/>
        <n v="61627.3" u="1"/>
        <n v="35012.980000000003" u="1"/>
        <n v="49982.71" u="1"/>
        <n v="198654.33" u="1"/>
        <n v="124726.97" u="1"/>
        <n v="98653.84" u="1"/>
        <n v="15365.17" u="1"/>
        <n v="598.45000000000005" u="1"/>
        <n v="23816.2" u="1"/>
        <n v="12000" u="1"/>
        <n v="0.51" u="1"/>
        <n v="1571.11" u="1"/>
        <n v="1580.48" u="1"/>
        <n v="1957.49" u="1"/>
        <n v="143413.76999999999" u="1"/>
        <n v="89.47" u="1"/>
        <n v="25238311.09" u="1"/>
        <n v="24988.12" u="1"/>
        <n v="3037.28" u="1"/>
        <n v="14503.79" u="1"/>
        <n v="979.5" u="1"/>
        <n v="1.06" u="1"/>
        <n v="4900" u="1"/>
        <n v="334.06" u="1"/>
        <n v="1993.99" u="1"/>
        <n v="37680.47" u="1"/>
        <n v="1086.1600000000001" u="1"/>
        <n v="751.79" u="1"/>
        <n v="10533.4" u="1"/>
        <n v="90456.27" u="1"/>
        <n v="4844.42" u="1"/>
        <n v="94453.24" u="1"/>
        <n v="1999990.57" u="1"/>
        <n v="99726.29" u="1"/>
        <n v="8791.2900000000009" u="1"/>
        <n v="946339.21" u="1"/>
        <n v="1838.71" u="1"/>
        <n v="399795.76" u="1"/>
        <n v="234" u="1"/>
        <n v="987.32" u="1"/>
        <n v="22014.31" u="1"/>
        <n v="13566.38" u="1"/>
        <n v="23890.48" u="1"/>
        <n v="6658.56" u="1"/>
        <n v="5711.49" u="1"/>
        <n v="1371.6" u="1"/>
        <n v="1079.75" u="1"/>
        <n v="74.05" u="1"/>
        <n v="39.340000000000003" u="1"/>
        <n v="2507.11" u="1"/>
        <n v="1545.25" u="1"/>
        <n v="894.37" u="1"/>
        <n v="7693.89" u="1"/>
        <n v="2099.5300000000002" u="1"/>
        <n v="1740.79" u="1"/>
        <n v="3994246.18" u="1"/>
        <n v="77.78" u="1"/>
        <n v="3327.81" u="1"/>
        <n v="4000.43" u="1"/>
        <n v="471.48" u="1"/>
        <n v="2513.36" u="1"/>
      </sharedItems>
    </cacheField>
    <cacheField name="Costs" numFmtId="4">
      <sharedItems containsSemiMixedTypes="0" containsString="0" containsNumber="1" minValue="5.5" maxValue="10781901.369999999"/>
    </cacheField>
    <cacheField name="Purch Curr" numFmtId="49">
      <sharedItems containsBlank="1" count="21">
        <s v="ARS"/>
        <s v="USD"/>
        <s v="CLP" u="1"/>
        <s v="PEN" u="1"/>
        <s v="MXN" u="1"/>
        <s v="COP" u="1"/>
        <m u="1"/>
        <s v="purchase_currency__c" u="1"/>
        <s v="EUR" u="1"/>
        <s v="SAR" u="1"/>
        <s v="TRY" u="1"/>
        <s v="IDR" u="1"/>
        <s v="KRW" u="1"/>
        <s v="INR" u="1"/>
        <s v="NGN" u="1"/>
        <s v="ZAR" u="1"/>
        <s v="THB" u="1"/>
        <s v="MYR" u="1"/>
        <s v="PLN" u="1"/>
        <s v="VND" u="1"/>
        <s v="AED" u="1"/>
      </sharedItems>
    </cacheField>
    <cacheField name="Purch Country" numFmtId="4">
      <sharedItems containsBlank="1" count="13">
        <s v="Mexico"/>
        <m u="1"/>
        <s v="Purchase_Entity_sf" u="1"/>
        <s v="Slovenia" u="1"/>
        <s v="Saudi Arabia" u="1"/>
        <s v="United Arab Emirates" u="1"/>
        <s v="Qatar" u="1"/>
        <s v="Indonesia" u="1"/>
        <s v="Singapore" u="1"/>
        <s v="India" u="1"/>
        <s v="South Africa" u="1"/>
        <s v="Malaysia" u="1"/>
        <s v="Egypt" u="1"/>
      </sharedItems>
    </cacheField>
    <cacheField name="Deal Name" numFmtId="4">
      <sharedItems containsNonDate="0" containsString="0" containsBlank="1"/>
    </cacheField>
    <cacheField name="Expected Discount %" numFmtId="4">
      <sharedItems containsNonDate="0" containsString="0" containsBlank="1"/>
    </cacheField>
    <cacheField name="Real Discount %" numFmtId="4">
      <sharedItems containsSemiMixedTypes="0" containsString="0" containsNumber="1" containsInteger="1" minValue="0" maxValue="0"/>
    </cacheField>
    <cacheField name="Year Month" numFmtId="49">
      <sharedItems/>
    </cacheField>
    <cacheField name="Posting Period" numFmtId="0">
      <sharedItems/>
    </cacheField>
    <cacheField name="Division2" numFmtId="4">
      <sharedItems/>
    </cacheField>
    <cacheField name="Quota Country" numFmtId="4">
      <sharedItems/>
    </cacheField>
    <cacheField name="Purchase Country" numFmtId="4">
      <sharedItems containsBlank="1" count="13">
        <s v="Mexico"/>
        <s v="Purch_Country_bil" u="1"/>
        <m u="1"/>
        <s v="Slovenia" u="1"/>
        <s v="Saudi Arabia" u="1"/>
        <s v="United Arab Emirates" u="1"/>
        <s v="Qatar" u="1"/>
        <s v="Indonesia" u="1"/>
        <s v="Singapore" u="1"/>
        <s v="India" u="1"/>
        <s v="South Africa" u="1"/>
        <s v="Malaysia" u="1"/>
        <s v="Egypt" u="1"/>
      </sharedItems>
    </cacheField>
    <cacheField name="Account Curr2" numFmtId="4">
      <sharedItems/>
    </cacheField>
    <cacheField name="Revenue" numFmtId="4">
      <sharedItems containsSemiMixedTypes="0" containsString="0" containsNumber="1" minValue="8.35" maxValue="16336337.960000001"/>
    </cacheField>
    <cacheField name="Purch Curr2" numFmtId="4">
      <sharedItems/>
    </cacheField>
    <cacheField name="Cost" numFmtId="4">
      <sharedItems containsSemiMixedTypes="0" containsString="0" containsNumber="1" minValue="7.1" maxValue="10782309.779999999"/>
    </cacheField>
    <cacheField name="Commision percentage" numFmtId="4">
      <sharedItems containsSemiMixedTypes="0" containsString="0" containsNumber="1" minValue="15" maxValue="39.549999999999997"/>
    </cacheField>
    <cacheField name="Purch Curr (SF-Bil)" numFmtId="4">
      <sharedItems/>
    </cacheField>
    <cacheField name="Rev Dif (SF-Bil)" numFmtId="4">
      <sharedItems containsSemiMixedTypes="0" containsString="0" containsNumber="1" minValue="-0.1" maxValue="0"/>
    </cacheField>
    <cacheField name="Rev Dif (SF-Bil) USD" numFmtId="4">
      <sharedItems containsSemiMixedTypes="0" containsString="0" containsNumber="1" containsInteger="1" minValue="0" maxValue="0"/>
    </cacheField>
    <cacheField name="Cost Dif (SF-Bil)" numFmtId="4">
      <sharedItems containsSemiMixedTypes="0" containsString="0" containsNumber="1" minValue="-1306878.29" maxValue="160055.56"/>
    </cacheField>
    <cacheField name="Cost Dif (SF-Bil)  USD" numFmtId="4">
      <sharedItems containsSemiMixedTypes="0" containsString="0" containsNumber="1" minValue="-935.49" maxValue="114.57"/>
    </cacheField>
    <cacheField name="Margin _x000a_(SF Rev-Cogs)" numFmtId="4">
      <sharedItems containsSemiMixedTypes="0" containsString="0" containsNumber="1" minValue="0.34000499674800566" maxValue="0.43602157330847224"/>
    </cacheField>
    <cacheField name="Purch Country (SF-Bil)" numFmtId="4">
      <sharedItems/>
    </cacheField>
    <cacheField name="Invoice Number" numFmtId="49">
      <sharedItems/>
    </cacheField>
    <cacheField name="Action Point" numFmtId="4">
      <sharedItems containsBlank="1"/>
    </cacheField>
    <cacheField name="Bill To" numFmtId="4">
      <sharedItems/>
    </cacheField>
    <cacheField name="Account Curr3" numFmtId="4">
      <sharedItems/>
    </cacheField>
    <cacheField name="Account Spend Net" numFmtId="4">
      <sharedItems containsNonDate="0" containsString="0" containsBlank="1"/>
    </cacheField>
    <cacheField name="Purch Curr3" numFmtId="4">
      <sharedItems/>
    </cacheField>
    <cacheField name="Purch Spend Net" numFmtId="4">
      <sharedItems containsNonDate="0" containsString="0" containsBlank="1"/>
    </cacheField>
    <cacheField name="Account Curr (inv-SF)" numFmtId="4">
      <sharedItems/>
    </cacheField>
    <cacheField name="Rev Dif (Inv - SF)" numFmtId="4">
      <sharedItems containsSemiMixedTypes="0" containsString="0" containsNumber="1" minValue="8.35" maxValue="16336337.960000001"/>
    </cacheField>
    <cacheField name="Rev Dif (Inv - SF) USD" numFmtId="4">
      <sharedItems containsSemiMixedTypes="0" containsString="0" containsNumber="1" containsInteger="1" minValue="-2" maxValue="11692"/>
    </cacheField>
    <cacheField name="Purch Curr (SF-Inv)" numFmtId="4">
      <sharedItems/>
    </cacheField>
    <cacheField name="Cost Dif (SF-Inv)" numFmtId="4">
      <sharedItems containsSemiMixedTypes="0" containsString="0" containsNumber="1" minValue="8.35" maxValue="16336337.960000001"/>
    </cacheField>
    <cacheField name="Cost Dif (SF-Inv) USD" numFmtId="4">
      <sharedItems containsSemiMixedTypes="0" containsString="0" containsNumber="1" minValue="0.25" maxValue="11693.87"/>
    </cacheField>
    <cacheField name="Purch Curr4" numFmtId="4">
      <sharedItems/>
    </cacheField>
    <cacheField name="Spend Amount" numFmtId="4">
      <sharedItems containsSemiMixedTypes="0" containsString="0" containsNumber="1" minValue="7.1" maxValue="10782309.779999999"/>
    </cacheField>
    <cacheField name="Curr (SF-Stat)" numFmtId="4">
      <sharedItems/>
    </cacheField>
    <cacheField name="Dif (SF-Stat)" numFmtId="4">
      <sharedItems containsSemiMixedTypes="0" containsString="0" containsNumber="1" minValue="-1306878.29" maxValue="160055.56"/>
    </cacheField>
    <cacheField name="Dif (SF-Stat) USD" numFmtId="4">
      <sharedItems containsSemiMixedTypes="0" containsString="0" containsNumber="1" minValue="-935.49" maxValue="114.57"/>
    </cacheField>
    <cacheField name="Comm Percent" numFmtId="10">
      <sharedItems containsSemiMixedTypes="0" containsString="0" containsNumber="1" minValue="0.15" maxValue="0.15"/>
    </cacheField>
    <cacheField name="Comm Purch Curr" numFmtId="4">
      <sharedItems containsSemiMixedTypes="0" containsString="0" containsNumber="1" minValue="1.2524999999999999" maxValue="2450450.6940000001"/>
    </cacheField>
    <cacheField name="Comm USD Curr" numFmtId="4">
      <sharedItems containsSemiMixedTypes="0" containsString="0" containsNumber="1" minValue="3.6855762347888329E-2" maxValue="1754.080668575519"/>
    </cacheField>
    <cacheField name="Net Interco" numFmtId="4">
      <sharedItems containsSemiMixedTypes="0" containsString="0" containsNumber="1" minValue="-2450450.6940000001" maxValue="-1.2524999999999999"/>
    </cacheField>
    <cacheField name="Direct Tax Percent" numFmtId="166">
      <sharedItems containsSemiMixedTypes="0" containsString="0" containsNumber="1" minValue="0" maxValue="4.9000000000000002E-2"/>
    </cacheField>
    <cacheField name="Direct Tax Purch Curr" numFmtId="4">
      <sharedItems containsSemiMixedTypes="0" containsString="0" containsNumber="1" minValue="0" maxValue="680408.47603400005"/>
    </cacheField>
    <cacheField name="Direct Tax USD Curr" numFmtId="4">
      <sharedItems containsSemiMixedTypes="0" containsString="0" containsNumber="1" minValue="0" maxValue="487.04973230780246"/>
    </cacheField>
    <cacheField name="With Tax Percent" numFmtId="10">
      <sharedItems containsSemiMixedTypes="0" containsString="0" containsNumber="1" minValue="0" maxValue="0.15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Mariana.Tunno" refreshedDate="46104.494896990742" createdVersion="8" refreshedVersion="8" minRefreshableVersion="3" recordCount="83" xr:uid="{5ED34CD8-F063-498A-B0F5-2EE56CAAB1AD}">
  <cacheSource type="worksheet">
    <worksheetSource ref="A5:EG88" sheet="sf"/>
  </cacheSource>
  <cacheFields count="137">
    <cacheField name="Division" numFmtId="49">
      <sharedItems/>
    </cacheField>
    <cacheField name="PPO ID" numFmtId="49">
      <sharedItems/>
    </cacheField>
    <cacheField name="Year Month" numFmtId="49">
      <sharedItems/>
    </cacheField>
    <cacheField name="Posting Period" numFmtId="49">
      <sharedItems/>
    </cacheField>
    <cacheField name="Finance Date" numFmtId="14">
      <sharedItems containsSemiMixedTypes="0" containsNonDate="0" containsDate="1" containsString="0" minDate="2026-02-28T00:00:00" maxDate="2026-03-01T00:00:00"/>
    </cacheField>
    <cacheField name="Salesforce Project Number" numFmtId="49">
      <sharedItems count="191">
        <s v="00267049"/>
        <s v="00197237"/>
        <s v="00203404"/>
        <s v="00217234"/>
        <s v="00229327"/>
        <s v="00241768"/>
        <s v="00258728"/>
        <s v="00262346"/>
        <s v="00273686"/>
        <s v="00285374"/>
        <s v="00288274"/>
        <s v="00310646"/>
        <s v="00309657"/>
        <s v="00326417"/>
        <s v="00313835"/>
        <s v="00313903"/>
        <s v="00314834"/>
        <s v="00326671"/>
        <s v="00323355"/>
        <s v="00330151"/>
        <s v="00319318"/>
        <s v="00320080"/>
        <s v="00324597"/>
        <s v="00321643"/>
        <s v="00329769"/>
        <s v="00322723"/>
        <s v="00323125"/>
        <s v="00323037"/>
        <s v="00323038"/>
        <s v="00323372"/>
        <s v="00323111"/>
        <s v="00323327"/>
        <s v="00323329"/>
        <s v="00323328"/>
        <s v="00300491"/>
        <s v="00323725"/>
        <s v="00323896"/>
        <s v="00323915"/>
        <s v="00326437"/>
        <s v="00324006"/>
        <s v="00324034"/>
        <s v="00324328"/>
        <s v="00325838"/>
        <s v="00326810"/>
        <s v="00325843"/>
        <s v="00325429"/>
        <s v="00325140"/>
        <s v="00325211"/>
        <s v="00325620"/>
        <s v="00325771"/>
        <s v="00326650"/>
        <s v="00326621"/>
        <s v="00326451"/>
        <s v="00326433"/>
        <s v="00327171"/>
        <s v="00326951"/>
        <s v="00326816"/>
        <s v="00329750"/>
        <s v="00327258"/>
        <s v="00327208"/>
        <s v="00327502"/>
        <s v="00327548"/>
        <s v="00327751"/>
        <s v="00328115"/>
        <s v="00327778"/>
        <s v="00327780"/>
        <s v="00328419"/>
        <s v="00328607"/>
        <s v="00328958"/>
        <s v="00328616"/>
        <s v="00328737"/>
        <s v="00328770"/>
        <s v="00328768"/>
        <s v="00329039"/>
        <s v="00328957"/>
        <s v="00329927"/>
        <s v="00329059"/>
        <s v="00329221"/>
        <s v="00330152"/>
        <s v="00330355"/>
        <s v="00330531"/>
        <s v="00186226" u="1"/>
        <s v="00211905" u="1"/>
        <s v="00211903" u="1"/>
        <s v="00240200" u="1"/>
        <s v="00253752" u="1"/>
        <s v="00278547" u="1"/>
        <s v="00280178" u="1"/>
        <s v="00280177" u="1"/>
        <s v="00291494" u="1"/>
        <s v="00302075" u="1"/>
        <s v="00306131" u="1"/>
        <s v="00308815" u="1"/>
        <s v="00310681" u="1"/>
        <s v="00310916" u="1"/>
        <s v="00313896" u="1"/>
        <s v="00314286" u="1"/>
        <s v="00318858" u="1"/>
        <s v="00322485" u="1"/>
        <s v="00320826" u="1"/>
        <s v="00320655" u="1"/>
        <s v="00321892" u="1"/>
        <s v="00323124" u="1"/>
        <s v="00324993" u="1"/>
        <s v="00323035" u="1"/>
        <s v="00326669" u="1"/>
        <s v="00323036" u="1"/>
        <s v="00323034" u="1"/>
        <s v="00322958" u="1"/>
        <s v="00323107" u="1"/>
        <s v="00323386" u="1"/>
        <s v="00323599" u="1"/>
        <s v="00323600" u="1"/>
        <s v="00323601" u="1"/>
        <s v="00323603" u="1"/>
        <s v="00323907" u="1"/>
        <s v="00323605" u="1"/>
        <s v="00324021" u="1"/>
        <s v="00324025" u="1"/>
        <s v="00324037" u="1"/>
        <s v="00324035" u="1"/>
        <s v="00324322" u="1"/>
        <s v="00326422" u="1"/>
        <s v="00324493" u="1"/>
        <s v="00324523" u="1"/>
        <s v="00324529" u="1"/>
        <s v="00324601" u="1"/>
        <s v="00324603" u="1"/>
        <s v="00324643" u="1"/>
        <s v="00325845" u="1"/>
        <s v="00325186" u="1"/>
        <s v="00325222" u="1"/>
        <s v="00329644" u="1"/>
        <s v="00327598" u="1"/>
        <s v="00326689" u="1"/>
        <s v="00326691" u="1"/>
        <s v="00326692" u="1"/>
        <s v="00326812" u="1"/>
        <s v="00326910" u="1"/>
        <s v="00326927" u="1"/>
        <s v="00326926" u="1"/>
        <s v="00327333" u="1"/>
        <s v="00327302" u="1"/>
        <s v="00327310" u="1"/>
        <s v="00327270" u="1"/>
        <s v="00327501" u="1"/>
        <s v="00327459" u="1"/>
        <s v="00327457" u="1"/>
        <s v="00327562" u="1"/>
        <s v="00327565" u="1"/>
        <s v="00327568" u="1"/>
        <s v="00327583" u="1"/>
        <s v="00327772" u="1"/>
        <s v="00327755" u="1"/>
        <s v="00327765" u="1"/>
        <s v="00327766" u="1"/>
        <s v="00327767" u="1"/>
        <s v="00327783" u="1"/>
        <s v="00327975" u="1"/>
        <s v="00328776" u="1"/>
        <s v="00327994" u="1"/>
        <s v="00328024" u="1"/>
        <s v="00328403" u="1"/>
        <s v="00328169" u="1"/>
        <s v="00328171" u="1"/>
        <s v="00328176" u="1"/>
        <s v="00329220" u="1"/>
        <s v="00328460" u="1"/>
        <s v="00328556" u="1"/>
        <s v="00328433" u="1"/>
        <s v="00328440" u="1"/>
        <s v="00328453" u="1"/>
        <s v="00328459" u="1"/>
        <s v="00328624" u="1"/>
        <s v="00328629" u="1"/>
        <s v="00328753" u="1"/>
        <s v="00328762" u="1"/>
        <s v="00328936" u="1"/>
        <s v="00329440" u="1"/>
        <s v="00329060" u="1"/>
        <s v="00329246" u="1"/>
        <s v="00330336" u="1"/>
        <s v="00329417" u="1"/>
        <s v="00329751" u="1"/>
        <s v="00329935" u="1"/>
        <s v="00330159" u="1"/>
        <s v="00330185" u="1"/>
        <s v="00330330" u="1"/>
        <s v="00330378" u="1"/>
        <s v="00330805" u="1"/>
        <s v="00330840" u="1"/>
      </sharedItems>
    </cacheField>
    <cacheField name="Line ID" numFmtId="49">
      <sharedItems/>
    </cacheField>
    <cacheField name="Opportunity: Aleph Campaign ID" numFmtId="49">
      <sharedItems/>
    </cacheField>
    <cacheField name="Opportunity ID" numFmtId="49">
      <sharedItems/>
    </cacheField>
    <cacheField name="Line Product Number" numFmtId="49">
      <sharedItems/>
    </cacheField>
    <cacheField name="Type of Line" numFmtId="49">
      <sharedItems count="3">
        <s v="Standard"/>
        <s v="Adjustment"/>
        <s v="Supply Deal" u="1"/>
      </sharedItems>
    </cacheField>
    <cacheField name="Status" numFmtId="49">
      <sharedItems/>
    </cacheField>
    <cacheField name="Order Line Status" numFmtId="0">
      <sharedItems/>
    </cacheField>
    <cacheField name="Company Name (Latin Name)" numFmtId="49">
      <sharedItems/>
    </cacheField>
    <cacheField name="Company To Invoice Legal Name" numFmtId="49">
      <sharedItems count="100">
        <s v="!Blocked Nessy LLC USA"/>
        <s v="Wobra S.A.S."/>
        <s v="Almundo.com SRL"/>
        <s v="Bullmetrix SRL Argentina"/>
        <s v="FINTECH Argentina"/>
        <s v="IPROSPECT MEDIA SA"/>
        <s v="Cocos Capital Argentina"/>
        <s v="BALANZ CAPITAL VALORES Argentina"/>
        <s v="RAPPI ARG S.A.S."/>
        <s v="!Blocked PROGMEDIA ARG SAS"/>
        <s v="OSA ONE STEP AHEAD Argentina"/>
        <s v="BI MEDIA ARGENTINA"/>
        <s v="IPG Media Brands SA (Arg)"/>
        <s v="Eje Publicitaria Argentina"/>
        <s v="GroupM Argentina SAU Argentina"/>
        <s v="DIGITAL HIVE GROUP ARGENTINA"/>
        <s v="Pedidosya SA Argentina"/>
        <s v="Banco Santander Rio Argentina"/>
        <s v="Telecom Argentina SA Argentina"/>
        <s v="YPF S.A. ARGENTINA"/>
        <s v="Carat Argentina SA"/>
        <s v="MMS Comunicaciones Argentina Argentina"/>
        <s v="TARJETA NARANJA SA Argentina"/>
        <s v="Assist Card Argentina Argentina"/>
        <s v="SUPER MEDIA S.A ARGENTINA"/>
        <s v="Encender S.A."/>
        <s v="WEDOIT S.R.L. ARGENTINA"/>
        <s v="WILD FI ARGENTINA ARGENTINA"/>
        <s v="Havas Media Argentina Argentina"/>
        <s v="Digital Soul Argentina"/>
        <s v="PIPOL ARGENTINA"/>
        <s v="Gustavo Quiroga EPM SA Argentina"/>
        <s v="ORION AGENCY ARGENTINA"/>
        <s v="Renier URUGUAY" u="1"/>
        <s v="COOPERATIVA DE AHORRO Y CREDITO JUVENTUD ECUATORIANA PROGRESISTA Ecuador" u="1"/>
        <s v="MOOVMEDIA CHILE" u="1"/>
        <s v="Mullen Lowe Ecuador" u="1"/>
        <s v="Rappi PERU" u="1"/>
        <s v="LIKEABLE MEDIA MÉXICO" u="1"/>
        <s v="Media Analytics Perú" u="1"/>
        <s v="MKTDOSO MEXICO" u="1"/>
        <s v="MULLEN LOWE SSP3 S.A.S., Colombia" u="1"/>
        <s v="SERVICIOS NACIONALES DE ASISTENCIA, SOCIEDAD ANONIMA DE CAPITAL VARIABLE" u="1"/>
        <s v="Blu Digit Mexico" u="1"/>
        <s v="Metrocentro S.A." u="1"/>
        <s v="Autoridad Del Canal De Panama" u="1"/>
        <s v="SPORTBET Ecuador" u="1"/>
        <s v="OMD COLOMBIA COLOMBIA" u="1"/>
        <s v="TBO-SOLUCIONES DIGITALES Ecuador" u="1"/>
        <s v="Empresa Nacional de Energía Enex Chile" u="1"/>
        <s v="IPG MEDIA BRANDS S.A. Uruguay" u="1"/>
        <s v="MMS COMUNICACIONES COLOMBIA COLOMBIA" u="1"/>
        <s v="Renovatio  UNITED STATES" u="1"/>
        <s v="UNIVERSAL MCCAN SERVICIOS DE MEDIOS LTDA Colombia" u="1"/>
        <s v="INSTITUTO ELECTORAL DE LA CIUDAD DE MEXICO" u="1"/>
        <s v="DIGIMARKETING COLOMBIA" u="1"/>
        <s v="XiY Ecuador" u="1"/>
        <s v="INTERASOCIAL Ecuador" u="1"/>
        <s v="Banco Guayaquil Ecuador" u="1"/>
        <s v="Banco Agricola S.A" u="1"/>
        <s v="Seguros Falabella Corredores Limitada Chile" u="1"/>
        <s v="Administracion Nacional de Telecomunicaciones (Antel) Uruguay" u="1"/>
        <s v="COMERCIAL CITY FRESKO México" u="1"/>
        <s v="ASSIST CARD PERU SAC" u="1"/>
        <s v="Garden Automotores PARAGUAY" u="1"/>
        <s v="Compañia de Asistencia al Viajero de Chile Ltda." u="1"/>
        <s v="Assist Card de Colombia Colombia" u="1"/>
        <s v="OPTMIZACIÓN DE MEDIOS DIRECTOS OPMED ECUADOR" u="1"/>
        <s v="Servicios Especializados en Telecomunicaciones, S.A. (SESTEL)" u="1"/>
        <s v="E-CHANNEL ECUADOR" u="1"/>
        <s v="Acomedios Publicidad y Mercadeo Colombia" u="1"/>
        <s v="CARAT COLOMBIA S A S" u="1"/>
        <s v="INTERPUBLIC COLOMBIA COLOMBIA" u="1"/>
        <s v="AEROVIAS DE MEXICO" u="1"/>
        <s v="SISTEMAS COLOMBIA COLOMBIA" u="1"/>
        <s v="OMD Chile SPA Chile" u="1"/>
        <s v="Norlop VML (GroupM) Ecuador" u="1"/>
        <s v="Dentsu Colombia SAS" u="1"/>
        <s v="Publicis Asociados SAC, Peru" u="1"/>
        <s v="W INTERACTIVE MARKETING" u="1"/>
        <s v="Sajo McCann Puerto Rico" u="1"/>
        <s v="McCann Erickson Centroaméricana Costa Rica" u="1"/>
        <s v="ARIADNAECU Ecuador" u="1"/>
        <s v="Cheil Colombia" u="1"/>
        <s v="ALL MEDIA Dominican Republic" u="1"/>
        <s v="HAVAS MEDIA COLOMBIA COLOMBIA" u="1"/>
        <s v="SPORTEK S.A.S. ECUADOR" u="1"/>
        <s v="T.LG. PANAMA" u="1"/>
        <s v="HAVAS + COLOLMBIA" u="1"/>
        <s v="Mindshare del Ecuador C Ltda" u="1"/>
        <s v="BANCOLOMBIA S.A." u="1"/>
        <s v="COMUNICACION CELULAR S A COMCEL S A" u="1"/>
        <s v="Cheil Peru PERU" u="1"/>
        <s v="MEDIAWISE SOLUTIONS SAS, Colombia" u="1"/>
        <s v="MKP-Ecuador Ecuador" u="1"/>
        <s v="BAC Credomatic Panama" u="1"/>
        <s v="Paradais DDB Ecuador" u="1"/>
        <s v="Banco Falabella Chile S.A." u="1"/>
        <s v="Grupo Creativo Herrera Ecuador" u="1"/>
        <s v="MMS Communications Chile Chile" u="1"/>
      </sharedItems>
    </cacheField>
    <cacheField name="Vendor: Company Name (Latin Name)" numFmtId="49">
      <sharedItems/>
    </cacheField>
    <cacheField name="Product Business Unit" numFmtId="49">
      <sharedItems/>
    </cacheField>
    <cacheField name="Reporting Region" numFmtId="49">
      <sharedItems/>
    </cacheField>
    <cacheField name="Reporting Country" numFmtId="49">
      <sharedItems/>
    </cacheField>
    <cacheField name="Billing Country" numFmtId="49">
      <sharedItems/>
    </cacheField>
    <cacheField name="Billing Entity" numFmtId="49">
      <sharedItems count="10">
        <s v="Aleph USA"/>
        <s v="Aleph Argentina"/>
        <s v="Aleph Uruguay" u="1"/>
        <s v="Aleph Ecuador" u="1"/>
        <s v="Aleph Chile" u="1"/>
        <s v="Aleph Peru" u="1"/>
        <s v="Aleph Mexico" u="1"/>
        <s v="Aleph Colombia" u="1"/>
        <s v="Aleph Puerto Rico" u="1"/>
        <s v="Aleph Panama" u="1"/>
      </sharedItems>
    </cacheField>
    <cacheField name="Purchase Country" numFmtId="49">
      <sharedItems/>
    </cacheField>
    <cacheField name="Purchase Entity" numFmtId="49">
      <sharedItems/>
    </cacheField>
    <cacheField name="Product Name" numFmtId="49">
      <sharedItems/>
    </cacheField>
    <cacheField name="Sales UOM" numFmtId="49">
      <sharedItems/>
    </cacheField>
    <cacheField name="Purchase UOM" numFmtId="49">
      <sharedItems/>
    </cacheField>
    <cacheField name="Billing Currency" numFmtId="49">
      <sharedItems count="6">
        <s v="USD"/>
        <s v="ARS"/>
        <s v="CLP" u="1"/>
        <s v="PEN" u="1"/>
        <s v="MXN" u="1"/>
        <s v="COP" u="1"/>
      </sharedItems>
    </cacheField>
    <cacheField name="Purchase Currency" numFmtId="4">
      <sharedItems/>
    </cacheField>
    <cacheField name="Qualified Sales Quantity" numFmtId="4">
      <sharedItems containsSemiMixedTypes="0" containsString="0" containsNumber="1" minValue="0" maxValue="16336337.960000001"/>
    </cacheField>
    <cacheField name="Qualified Purchase Quantity" numFmtId="4">
      <sharedItems containsSemiMixedTypes="0" containsString="0" containsNumber="1" minValue="8.35" maxValue="16336337.960000001"/>
    </cacheField>
    <cacheField name="Gross Discounted" numFmtId="4">
      <sharedItems containsSemiMixedTypes="0" containsString="0" containsNumber="1" minValue="9.8999999999999999E-4" maxValue="1550"/>
    </cacheField>
    <cacheField name="Gross Sales Price" numFmtId="4">
      <sharedItems containsSemiMixedTypes="0" containsString="0" containsNumber="1" containsInteger="1" minValue="1" maxValue="1"/>
    </cacheField>
    <cacheField name="Net Sales Price" numFmtId="4">
      <sharedItems containsSemiMixedTypes="0" containsString="0" containsNumber="1" containsInteger="1" minValue="1" maxValue="1"/>
    </cacheField>
    <cacheField name="Gross Purchase Price" numFmtId="4">
      <sharedItems containsSemiMixedTypes="0" containsString="0" containsNumber="1" minValue="0.78" maxValue="0.85"/>
    </cacheField>
    <cacheField name="Net Purchase Price" numFmtId="4">
      <sharedItems containsSemiMixedTypes="0" containsString="0" containsNumber="1" minValue="0.78" maxValue="0.85"/>
    </cacheField>
    <cacheField name="Client Discount" numFmtId="4">
      <sharedItems containsSemiMixedTypes="0" containsString="0" containsNumber="1" containsInteger="1" minValue="0" maxValue="0"/>
    </cacheField>
    <cacheField name="Agency Commission" numFmtId="4">
      <sharedItems containsNonDate="0" containsString="0" containsBlank="1"/>
    </cacheField>
    <cacheField name="Delivered Sales Quantity" numFmtId="4">
      <sharedItems containsSemiMixedTypes="0" containsString="0" containsNumber="1" minValue="0" maxValue="16336337.960000001"/>
    </cacheField>
    <cacheField name="Delivered Purchase Quantity" numFmtId="4">
      <sharedItems containsSemiMixedTypes="0" containsString="0" containsNumber="1" minValue="0" maxValue="16336337.960000001"/>
    </cacheField>
    <cacheField name="Net Budget Delivered (Billing Currency)" numFmtId="4">
      <sharedItems containsSemiMixedTypes="0" containsString="0" containsNumber="1" minValue="0" maxValue="16336337.960000001"/>
    </cacheField>
    <cacheField name="Net Cost Delivered (Buying Currency)" numFmtId="4">
      <sharedItems containsSemiMixedTypes="0" containsString="0" containsNumber="1" minValue="7.0975000000000001" maxValue="13885887.266000001"/>
    </cacheField>
    <cacheField name="Net Cost Delivered w/o Tax (Buying Curr)" numFmtId="4">
      <sharedItems containsSemiMixedTypes="0" containsString="0" containsNumber="1" minValue="5.5" maxValue="10781901.369999999"/>
    </cacheField>
    <cacheField name="Activation Exchange Rate" numFmtId="4">
      <sharedItems containsString="0" containsBlank="1" containsNumber="1" minValue="9.8999999999999999E-4" maxValue="1550"/>
    </cacheField>
    <cacheField name="Total Net Budget Delivered" numFmtId="4">
      <sharedItems containsSemiMixedTypes="0" containsString="0" containsNumber="1" minValue="0" maxValue="16336337.960000001"/>
    </cacheField>
    <cacheField name="Total Net Budget Delivered in USD" numFmtId="4">
      <sharedItems containsSemiMixedTypes="0" containsString="0" containsNumber="1" minValue="0" maxValue="11693.871123836794"/>
    </cacheField>
    <cacheField name="Total Net Cost Delivered in USD" numFmtId="4">
      <sharedItems containsSemiMixedTypes="0" containsString="0" containsNumber="1" minValue="0.19164996420901934" maxValue="9939.7904552612745"/>
    </cacheField>
    <cacheField name="Margin Delivered (Billing Currency)" numFmtId="4">
      <sharedItems containsSemiMixedTypes="0" containsString="0" containsNumber="1" minValue="-924062.12340000004" maxValue="2720441.361"/>
    </cacheField>
    <cacheField name="Margin Amount (Delivered)" numFmtId="4">
      <sharedItems containsSemiMixedTypes="0" containsString="0" containsNumber="1" minValue="-924062.12340000004" maxValue="2720441.361"/>
    </cacheField>
    <cacheField name="Margin Amount Delivered in USD" numFmtId="4">
      <sharedItems containsSemiMixedTypes="0" containsString="0" containsNumber="1" minValue="-661.46179198282039" maxValue="1947.345283464567"/>
    </cacheField>
    <cacheField name="Margin % (Delivered)" numFmtId="4">
      <sharedItems containsSemiMixedTypes="0" containsString="0" containsNumber="1" minValue="0" maxValue="87.09"/>
    </cacheField>
    <cacheField name="Sales Order Number" numFmtId="0">
      <sharedItems count="190">
        <s v="SOIUS-000002102"/>
        <s v="SOIAR-000002794"/>
        <s v="SOIAR-000003203"/>
        <s v="SOIAR-000004486"/>
        <s v="SOIAR-000005460"/>
        <s v="SOIAR-000007132"/>
        <s v="SOIAR-000008235"/>
        <s v="SOIAR-000008711"/>
        <s v="SOIAR-000009798"/>
        <s v="SOIAR-000011082"/>
        <s v="SOIAR-000011645"/>
        <s v="SOIAR-000016474"/>
        <s v="SOIAR-000017106"/>
        <s v="SOIAR-000017098"/>
        <s v="SOIAR-000015200"/>
        <s v="SOIAR-000015192"/>
        <s v="SOIAR-000015196"/>
        <s v="SOIAR-000017099"/>
        <s v="SOIAR-000016473"/>
        <s v="SOIAR-000017102"/>
        <s v="SOIAR-000015308"/>
        <s v="SOIAR-000016478"/>
        <s v="SOIAR-000017120"/>
        <s v="SOIAR-000015321"/>
        <s v="SOIAR-000017097"/>
        <s v="SOIAR-000015320"/>
        <s v="SOIAR-000016471"/>
        <s v="SOIAR-000016476"/>
        <s v="SOIAR-000016479"/>
        <s v="SOIAR-000016472"/>
        <s v="SOIAR-000016477"/>
        <s v="SOIAR-000016485"/>
        <s v="SOIAR-000016484"/>
        <s v="SOIAR-000016483"/>
        <s v="SOIAR-000013026"/>
        <s v="SOIAR-000016492"/>
        <s v="SOIAR-000016491"/>
        <s v="SOIAR-000016502"/>
        <s v="SOIAR-000017104"/>
        <s v="SOIAR-000016497"/>
        <s v="SOIAR-000016508"/>
        <s v="SOIAR-000016504"/>
        <s v="SOIAR-000016469"/>
        <s v="SOIAR-000017100"/>
        <s v="SOIAR-000016468"/>
        <s v="SOIAR-000016510"/>
        <s v="SOIAR-000016500"/>
        <s v="SOIAR-000016503"/>
        <s v="SOIAR-000016494"/>
        <s v="SOIAR-000016511"/>
        <s v=""/>
        <s v="SOIAR-000017125"/>
        <s v="SOIAR-000017113"/>
        <s v="SOIAR-000016493"/>
        <s v="SOIAR-000017109"/>
        <s v="SOIAR-000017096"/>
        <s v="SOIAR-000017127"/>
        <s v="SOIAR-000017123"/>
        <s v="SOIAR-000017111"/>
        <s v="SOIAR-000017107"/>
        <s v="SOIAR-000017108"/>
        <s v="SOIAR-000017095"/>
        <s v="SOIAR-000017116"/>
        <s v="SOIAR-000017114"/>
        <s v="SOIAR-000017101"/>
        <s v="SOIAR-000017112"/>
        <s v="SOIAR-000017122"/>
        <s v="SOIAR-000017124"/>
        <s v="SOIAR-000017121"/>
        <s v="SOIAR-000017131"/>
        <s v="SOIAR-000017119"/>
        <s v="SOIAR-000017094"/>
        <s v="SOIAR-000017128"/>
        <s v="SOIAR-000017118"/>
        <s v="SOIAR-000017126"/>
        <s v="SOIAR-000017130"/>
        <s v="SOIAR-000017103"/>
        <s v="SOIAR-000017129"/>
        <s v="SOIAR-000017115"/>
        <s v="SOIAR-000017110"/>
        <s v="SOIAR-000017105"/>
        <s v="SOIAR-000017117"/>
        <s v="SORUR-000000276" u="1"/>
        <s v="SOIEC-000001600" u="1"/>
        <s v="SOIEC-000001601" u="1"/>
        <s v="SOICH-000006221" u="1"/>
        <s v="SOIEC-000003702" u="1"/>
        <s v="SOIPE-000010159" u="1"/>
        <s v="SOIME-000002391" u="1"/>
        <s v="SOIME-000002390" u="1"/>
        <s v="SOIPE-000008337" u="1"/>
        <s v="SOIME-000002958" u="1"/>
        <s v="SOIME-000003072" u="1"/>
        <s v="SOICO-000003540" u="1"/>
        <s v="SOIME-000003405" u="1"/>
        <s v="SOIME-000003075" u="1"/>
        <s v="SOIPE-000009982" u="1"/>
        <s v="SOIEC-000005305" u="1"/>
        <s v="SOIUS-000002830" u="1"/>
        <s v="SOIEC-000005700" u="1"/>
        <s v="SOICO-000003802" u="1"/>
        <s v="SOIEC-000005360" u="1"/>
        <s v="SOICH-000010150" u="1"/>
        <s v="SORUR-000001985" u="1"/>
        <s v="SOICO-000003894" u="1"/>
        <s v="SOIUS-000002948" u="1"/>
        <s v="SOICO-000003968" u="1"/>
        <s v="SOIUS-000002947" u="1"/>
        <s v="SOIUS-000002950" u="1"/>
        <s v="SOIME-000003403" u="1"/>
        <s v="SOICO-000003898" u="1"/>
        <s v="SOIEC-000005591" u="1"/>
        <s v="SOIEC-000005594" u="1"/>
        <s v="SOIEC-000005589" u="1"/>
        <s v="SOIEC-000005592" u="1"/>
        <s v="SOIEC-000005590" u="1"/>
        <s v="SOIUS-000002954" u="1"/>
        <s v="SOICH-000010073" u="1"/>
        <s v="SOIUS-000002951" u="1"/>
        <s v="SOIME-000003406" u="1"/>
        <s v="SOIPE-000010155" u="1"/>
        <s v="SOIEC-000005584" u="1"/>
        <s v="SORUR-000001987" u="1"/>
        <s v="SORUR-000001986" u="1"/>
        <s v="SOIEC-000005583" u="1"/>
        <s v="SOICH-000010071" u="1"/>
        <s v="SOICO-000003910" u="1"/>
        <s v="SOIEC-000005585" u="1"/>
        <s v="SOIEC-000005582" u="1"/>
        <s v="SOIPE-000010157" u="1"/>
        <s v="SOICO-000003890" u="1"/>
        <s v="SOIUS-000002953" u="1"/>
        <s v="SOIEC-000005580" u="1"/>
        <s v="SOICO-000003997" u="1"/>
        <s v="SOICO-000003976" u="1"/>
        <s v="SOICO-000003972" u="1"/>
        <s v="SOIME-000003527" u="1"/>
        <s v="SOIME-000003526" u="1"/>
        <s v="SOICO-000003970" u="1"/>
        <s v="SOICH-000010152" u="1"/>
        <s v="SOIEC-000005702" u="1"/>
        <s v="SOIEC-000005701" u="1"/>
        <s v="SOICO-000003973" u="1"/>
        <s v="SOIPE-000010255" u="1"/>
        <s v="SOICO-000003971" u="1"/>
        <s v="SOIME-000003528" u="1"/>
        <s v="SOIUS-000002989" u="1"/>
        <s v="1PR0000733" u="1"/>
        <s v="1PR0000732" u="1"/>
        <s v="SOIUS-000002988" u="1"/>
        <s v="SOICO-000003977" u="1"/>
        <s v="SOICO-000003974" u="1"/>
        <s v="SOIEC-000005706" u="1"/>
        <s v="SOICO-000003978" u="1"/>
        <s v="SOICO-000003979" u="1"/>
        <s v="SOICO-000003975" u="1"/>
        <s v="SOICO-000003980" u="1"/>
        <s v="SOICO-000003982" u="1"/>
        <s v="SOICO-000003986" u="1"/>
        <s v="SOIEC-000005707" u="1"/>
        <s v="SOIPA-000002054" u="1"/>
        <s v="SOICO-000003988" u="1"/>
        <s v="SOIEC-000005710" u="1"/>
        <s v="SOICO-000003983" u="1"/>
        <s v="SOICO-000003984" u="1"/>
        <s v="SOICO-000003981" u="1"/>
        <s v="SOIPE-000010254" u="1"/>
        <s v="SOICO-000003995" u="1"/>
        <s v="SOICO-000003993" u="1"/>
        <s v="SOICO-000003985" u="1"/>
        <s v="SOIEC-000005705" u="1"/>
        <s v="SOICO-000003987" u="1"/>
        <s v="SOICO-000003989" u="1"/>
        <s v="SOIPA-000002053" u="1"/>
        <s v="SOICO-000003992" u="1"/>
        <s v="SOIEC-000005704" u="1"/>
        <s v="SOICO-000003994" u="1"/>
        <s v="SOICH-000010149" u="1"/>
        <s v="SOICO-000003969" u="1"/>
        <s v="SOICO-000003991" u="1"/>
        <s v="SOICO-000003990" u="1"/>
        <s v="SORUR-000002026" u="1"/>
        <s v="SOICO-000003996" u="1"/>
        <s v="SOIEC-000005709" u="1"/>
        <s v="SOICH-000010148" u="1"/>
        <s v="SOIEC-000005703" u="1"/>
        <s v="SOIEC-000005708" u="1"/>
        <s v="SOICO-000003998" u="1"/>
        <s v="SOICH-000010151" u="1"/>
        <s v="SOICO-000003999" u="1"/>
      </sharedItems>
    </cacheField>
    <cacheField name="SO Status" numFmtId="0">
      <sharedItems/>
    </cacheField>
    <cacheField name="ERP Sales Order Item ID" numFmtId="49">
      <sharedItems containsNonDate="0" containsString="0" containsBlank="1"/>
    </cacheField>
    <cacheField name="Purchase Order Number" numFmtId="0">
      <sharedItems/>
    </cacheField>
    <cacheField name="PO Status" numFmtId="0">
      <sharedItems/>
    </cacheField>
    <cacheField name="ERP Purchase Order Item ID" numFmtId="49">
      <sharedItems containsNonDate="0" containsString="0" containsBlank="1"/>
    </cacheField>
    <cacheField name="Invoice Description" numFmtId="49">
      <sharedItems containsNonDate="0" containsString="0" containsBlank="1"/>
    </cacheField>
    <cacheField name="Line Description" numFmtId="0">
      <sharedItems containsNonDate="0" containsString="0" containsBlank="1"/>
    </cacheField>
    <cacheField name="Billing Exchange Rate" numFmtId="4">
      <sharedItems containsSemiMixedTypes="0" containsString="0" containsNumber="1" minValue="7.158196134574087E-4" maxValue="1397" count="3">
        <n v="7.158196134574087E-4"/>
        <n v="1"/>
        <n v="1397"/>
      </sharedItems>
    </cacheField>
    <cacheField name="Project Name" numFmtId="0">
      <sharedItems count="191">
        <s v="AR00310258 TW - Lemon - US 2025"/>
        <s v="SMB-X ARG - Banco de Cordoba - Ene - abril 24 UPSELL 5"/>
        <s v="X - almundo- 2025"/>
        <s v="SMB-X ARG - Flybondi (may - jun 24)"/>
        <s v="TW - Satoshi Tango - Q3"/>
        <s v="SMB-X ARG - Liliana - Octubre 24"/>
        <s v="AR00303899 | X | Cocos Cap | ENE 26"/>
        <s v="SMB-X ARG - Balanz - Enero 2025"/>
        <s v="T3025948 - Rappi Argentina 2025 LInea de Credito - 19/02/2025"/>
        <s v="X - YOY -  Branding - Tácticos"/>
        <s v="TW - MODO - Promo Día"/>
        <s v="AR00380261-X-Betfun-Takeover-Q1 26"/>
        <s v="AR00380263-X-Hipódromo Sala-Takeover-26"/>
        <s v="T3163161 - MLA | Double Dates 2026 | Takeovers - ORDEN N°1"/>
        <s v="X | MODO | Promo Diarco"/>
        <s v="X - Arg - USAL - Q42025"/>
        <s v="X - Arg - Cinemark - Q42025"/>
        <s v="T3203120 - Warner Argentina | La Novia - 25/01/2026"/>
        <s v="T3203811 - MLA | Verano | Takeover- 6/Enero, 4/Feb - 07/12/2025"/>
        <s v="T3207502 - Warner Argentina | La Novia - 19/02/2026"/>
        <s v="X | MODO | Cencosud 2026"/>
        <s v="X - Arg - Red Bull - Summer - Q1 2026"/>
        <s v="X | PedidosYa AR | Bundles FEB-MAR 26"/>
        <s v="X | Santander | Verano 2026"/>
        <s v="AR00395703 | X | Personal | Flow - Lollapalooza - Mar 26"/>
        <s v="AR00396301-X-YPF-COMBUSTIBLES-VERANO-Dic/Ene 26"/>
        <s v="T3219531 - MLA | Campaña Verano - 28/12/2025"/>
        <s v="AR00396561-X-ABI ARG-SED DE BRAHMA VERANO-Ene-25"/>
        <s v="AR00396558-X-ABI ARG-SED DE BRAHMA CARNAVAL-Ene-26"/>
        <s v="T3221580 - UIP Argentina | Hamnet - 01/01/2026"/>
        <s v="X | MODO | AO Performance"/>
        <s v="AR00397255-X-Hipódromo de Palemro-Beturf-AON 26"/>
        <s v="AR00397261-X-Hipódromo de Palermo-Betfun-AON 26"/>
        <s v="AR00397257-X-Hipódromo de Palermo-Sala-AON 26"/>
        <s v="X | MODO | ChangoMás"/>
        <s v="AR00397993 | X | MCD ARG | CF-LITTLE MC - Ene/Feb 2026"/>
        <s v="X | Banco Supervielle |  ENE 26"/>
        <s v="AR00398214-X-ARG-Naranja X-Verano-Ene/Feb 26"/>
        <s v="T3223536 - MPA | Somos Francos | Takeovers- 6/Feb, 4/Mar"/>
        <s v="AR00398290 | X | Assist Card AR | 2026"/>
        <s v="AR00398495 | X | PERSONAL | Ecosistema parte 2 | Ene-Feb 2026"/>
        <s v="X | Bapro | ENE 26"/>
        <s v="T3225345 - MLA | LPF | video - 19/01/2026"/>
        <s v="T3225691 - MPA | Somos Francos - 26/01/2026"/>
        <s v="T3227274 - MLA | Fecha Doble 2/2 - 15/01/2026"/>
        <s v="X | Burger King - Cosquin Rock '26"/>
        <s v="AR00400737 X | MODO | Promo COTO"/>
        <s v="X - Arg - FieldView - Año 2026"/>
        <s v="X | Arg | Honda | Q1 2026"/>
        <s v="AR00401632-X-YPF-COMBUSTIBLES-BENEFICIO BNA+MODO-Ene 26"/>
        <s v="AR00402568-X-Betfun-Takeover-Feb 26-CF"/>
        <s v="AR00402659-X ARG-Bodog Brasil-Q1/Q2-26"/>
        <s v="AR00402658-X ARG-Bodog México-Q1/Q2-26"/>
        <s v="AR00402663-CCU-Schneider Remix Limón-Feb 26"/>
        <s v="AR00403015 | X | FLOW | Contenidos - LLQLL - Reserva - Feb 26"/>
        <s v="X | PedidosYa AR | Bundle 7MAR Correccion"/>
        <s v="X | Arg | Galicia | Febrero 2026"/>
        <s v="X | BetWarrior | Bundle 20FEB"/>
        <s v="X - Arg - Supervielle - Performance - COE | OB Individuos"/>
        <s v="AR00403821-CCU-Heineken CREDENCIALES-Feb 26"/>
        <s v="AR00404195 | X | FLOW | Contenidos - LLQLL - Feb/Mar 26"/>
        <s v="X - Arg - Banco Nación - FEB 26"/>
        <s v="X - Arg - GCBA - Feb26"/>
        <s v="T3242792 - UIP Argentina | Scream 7 - 03/02/2026"/>
        <s v="AR00404575-X|Samsung ARG-OWN|IM|BTS|-Feb 26-Campaña 1"/>
        <s v="AR00404576-X|Samsung ARG-OWN|IM|BTS|-Feb 26-Campaña 2"/>
        <s v="AR00405349 X | MODO | Transporte VQR"/>
        <s v="AR00405691-X-YPF-HAMBURGUESA+GUAPALETAS-Feb 26"/>
        <s v="X - Arg - Supervielle - Timeline TO Q12026"/>
        <s v="AR00405725 | X | MCD ARG | Beef - CLUBHOUSE - Feb-Abr 2026"/>
        <s v="AR00405872 | X | FLOW | Contenidos Musicales - ADN Nacional - Feb 26"/>
        <s v="X | Arg | Renault | FEB 26"/>
        <s v="AR00405920-X-YPF-Boxes-Feb 26"/>
        <s v="X | Arg | Fernet Branca | Febrero 2026"/>
        <s v="AR00406161-Unilever-CIF TRIVIPI-Feb 25"/>
        <s v="T3249044 - MLA | DD3 | Video - 17/02/2026"/>
        <s v="AR00406357-X-YPF-FULL-COMBO FULL DOBLE CLASICA-Feb 26"/>
        <s v="AR00406370 | X | MCD ARG | Beef - MCFLURRY M&amp;MS  - Feb-Mar 2026"/>
        <s v="AR00407753-X-YPF-FULL PISTACHO-Feb 26"/>
        <s v="T3252500 - UIP Argentina | Reminder of Him - 23/02/2026"/>
        <s v="X | Cepas | Dr Lemon - Lolla"/>
        <s v="SMB_UY_TW_BBVA_Abril 24" u="1"/>
        <s v="SMB_X_Ecu_Tarjetas JEP_Anual 24" u="1"/>
        <s v="SMB_X_Ecu_Cooperativa JEP_Anual 24" u="1"/>
        <s v="SMB_X_CHL_TAPP_Sep24" u="1"/>
        <s v="T2948008 - Pichincha 2025 - 20/11/2024" u="1"/>
        <s v="T3055854 - Rappi Peru 2025 - 25/03/2025" u="1"/>
        <s v="X_Infonavit_Mejoravit_2025" u="1"/>
        <s v="X_Infonavit_Congelamiento_2025" u="1"/>
        <s v="PE00353209_PER_X_AtlanticCity_Adeportivas_Julio25" u="1"/>
        <s v="X_Infonavit_ViviendaVideos_Sep_2025" u="1"/>
        <s v="X_mex_Vertical_KFC Q4WebsApp2025" u="1"/>
        <s v="X_CO PinzonBueno_Q4 2025" u="1"/>
        <s v="X - MX - Assist Card - Q4 2025" u="1"/>
        <s v="X_Conagua_Oct_2025" u="1"/>
        <s v="PE00385999_X_AtlanticCity_POKER_NOV" u="1"/>
        <s v="Campaña X Betcris Nov" u="1"/>
        <s v="Campaña X Canal de Panamá 2025 - 2026" u="1"/>
        <s v="Campaña X Sportbet TO" u="1"/>
        <s v="X_CO Betsson Diciembre 2025" u="1"/>
        <s v="Campaña X Peugeot" u="1"/>
        <s v="CL00395711_X_Shell - AO CMR -  Ene 26" u="1"/>
        <s v="T3219249 - MLU | Campaña Verano - 28/12/2025" u="1"/>
        <s v="X_ABI_Colombia_Aguila Enero 2026" u="1"/>
        <s v="X_RushbetMx Campaña Ene 2026" u="1"/>
        <s v="T3221242 - MCO | DD2 | Takeover- 2/2 - 15/01/2026" u="1"/>
        <s v="X_Rushbet PE Campaña Ene 2026" u="1"/>
        <s v="X_RushbetCO Campaña Ene 2026" u="1"/>
        <s v="X_IECM_2026" u="1"/>
        <s v="X_AlcaldiaBOG_AlwaysOn_Ene2026" u="1"/>
        <s v="Campaña X Banco Internacional 2026" u="1"/>
        <s v="Campaña X UEES Postgrados 2026" u="1"/>
        <s v="Campaña X UEES Online 2026" u="1"/>
        <s v="Campaña X UEES Derecho 2026" u="1"/>
        <s v="Campaña X Banco Guayaquil Banca Empresas" u="1"/>
        <s v="X_BancoAgricola_Bolsa_Ene2026" u="1"/>
        <s v="CL00395378_X_SegurosFalabella_CL - Seguros - 2026" u="1"/>
        <s v="X | UY | Antel 2026" u="1"/>
        <s v="X_LaComer_2026" u="1"/>
        <s v="AR00398497 | X | Assist Card  PE | 2026" u="1"/>
        <s v="Campaña X Supermaxi SO 3x2" u="1"/>
        <s v="X - UY - Garden Automotres" u="1"/>
        <s v="T3225404 - MLU | DD2 | Video + Takeover 2/2 - 20/01/2026" u="1"/>
        <s v="Campaña X Bagó Equibral" u="1"/>
        <s v="AR00399626 - X | Assist Card CL | 2026" u="1"/>
        <s v="AR00399677 | X | Assist Card CO | 2026_ok" u="1"/>
        <s v="Campaña X Produbanco" u="1"/>
        <s v="Campaña X Banco Guayaquil Magenta" u="1"/>
        <s v="PE00399925_X_AtlanticCity_Casino Online_COL_ Ene_26" u="1"/>
        <s v="T3231260 - MCO | DD2 | Video - 15/01/2026" u="1"/>
        <s v="Campaña X Tigo Sports Ene 2026" u="1"/>
        <s v="Campaña X Fideval" u="1"/>
        <s v="X_ACOMEDIOS_DANIEL GOMEZ_POLITICS_FEB2026" u="1"/>
        <s v="X_ General Motors_Chevrolet Captiva_Feb/Abr_2026" u="1"/>
        <s v="X_UIP_HAMNET_FEB2026" u="1"/>
        <s v="X_Aeromexico_App_Feb_2026" u="1"/>
        <s v="X_Aeromexico_Puntualidad_Ene_2026" u="1"/>
        <s v="X_Kalley_Ene2026" u="1"/>
        <s v="CL00403353 - Andes Films - CAMINOS DEL CRIMEN - X - Feb 26" u="1"/>
        <s v="Campaña X Sportbet Feb" u="1"/>
        <s v="Campaña X Netlife Feb" u="1"/>
        <s v="X_CO_DENTSU_PIBANK_FEB_2026" u="1"/>
        <s v="PE00403939_X_Palmsbet_Pe - Casino Online - FEB 26" u="1"/>
        <s v="X_Nutresa_Ducales_Feb 2026" u="1"/>
        <s v="X_CO_ICROSSING_HUAWEI_REG Feb_2026" u="1"/>
        <s v="X_TigoGuatemala_Institucional_Feb 2026" u="1"/>
        <s v="Campaña X 26.02.DAA.DIGITAL EFFORT -DODGE" u="1"/>
        <s v="Campaña X 26.02.DAA.DIGITAL EFFORT -RAM" u="1"/>
        <s v="X_CR_Kolbi_Intitucional Fee Feb 26" u="1"/>
        <s v="X_Davivienda_Cta de Ahorros_Feb 2026" u="1"/>
        <s v="X_Davivienda_Branding Cuentas_Feb 2026" u="1"/>
        <s v="Campaña X GM Captiva" u="1"/>
        <s v="X_Samsung_Takeover_Unpacked 25 feb_2026" u="1"/>
        <s v="X_RD_PresidenciaRD_Obras_FEB2026" u="1"/>
        <s v="X_BCS_JUGADA 3 Feb 2026" u="1"/>
        <s v="X_Brinsa_Refisal Sal Ligera_Febrero 2026" u="1"/>
        <s v="X_BCS_LEGALES DEL AHORRO_ Feb 2026" u="1"/>
        <s v="X_Nequi Colombia_Remesas_Feb2026" u="1"/>
        <s v="X_DAVIBANK_LANZAMIENTO MARCA_FEB 2026" u="1"/>
        <s v="Campaña X Ecuabet TO Q1" u="1"/>
        <s v="Campaña X Tigo Panamá Feb" u="1"/>
        <s v="X_CO_HAVAS+_MOVISTAR_FEB 2026" u="1"/>
        <s v="Campaña X Bet593 Feb" u="1"/>
        <s v="X_Bancolombia_The Future Bank_Feb 2026" u="1"/>
        <s v="X_CO Claro Marca_ Cobertura_ Feb 2026" u="1"/>
        <s v="X_CO_CLARO_MINTIC&amp;POSICIONAMIENTO_Feb_2026" u="1"/>
        <s v="PE00406345_PER_X_Cheil_Samsung Perú_ TO-FEB 25" u="1"/>
        <s v="X_CO_ADL_BDB_BLACK TICKET FEB 26" u="1"/>
        <s v="X_CCC_HEINEKEN AON PROMO FEB 25_OMNET" u="1"/>
        <s v="X_ General Motors_Chevrolet Captiva Video_Feb 2026" u="1"/>
        <s v="Campaña X Club Trigo" u="1"/>
        <s v="X_ABI_Colombia_Institucional Febrero 2026" u="1"/>
        <s v="X_Davivienda_Tía Segura_Feb 2026" u="1"/>
        <s v="Campaña X BAC 2026" u="1"/>
        <s v="X_Nequi Colombia_Tarjeta BK_Feb2026" u="1"/>
        <s v="Campaña X PAC Feb" u="1"/>
        <s v="X_CO_ADL_CARNAVAL_BARRANQUILLA_26" u="1"/>
        <s v="CL00405932_X_Banco Falabella - Feb 2026" u="1"/>
        <s v="T3249036 - MCO | DD3 | Video - 12/02/2026 - UPSELL" u="1"/>
        <s v="X_ABI_Colombia_Institucional II Febrero 2026" u="1"/>
        <s v="X_UIP_EPIC ELVIS PRESLEY_FEB 2026" u="1"/>
        <s v="T3249561 - MLU | CyberFest | Video - 17/02/2026" u="1"/>
        <s v="X_SecMovilidadBog_Propósitos_Feb 2026" u="1"/>
        <s v="Campaña X Lotto Feb" u="1"/>
        <s v="X_RD_PresidenciaRD_RENDICION_CUENTAS_FEB2026" u="1"/>
        <s v="CL00395384_X_Shell - CMR Feb-Marz" u="1"/>
        <s v="Campaña X UTPL Posgrados" u="1"/>
        <s v="Campaña X Banco Guayaquil Champions" u="1"/>
        <s v="X_Samsung_Miracle Preventa 25 feb_2026" u="1"/>
        <s v="CL00408763_X_CL_Samsung -  PRE ORDER MIRACLE - Mar26" u="1"/>
        <s v="X_Homecenter_Temporada de Casa Feb 26" u="1"/>
      </sharedItems>
    </cacheField>
    <cacheField name="Company to invoice: Company Name (Latin Name)" numFmtId="49">
      <sharedItems/>
    </cacheField>
    <cacheField name="Company To Invoice Tax Id" numFmtId="49">
      <sharedItems count="100">
        <s v="872072282"/>
        <s v="33716040149"/>
        <s v="30659514628"/>
        <s v="30715554530"/>
        <s v="30716342790"/>
        <s v="30707117016"/>
        <s v="30708424478"/>
        <s v="30710630670"/>
        <s v="30715803891"/>
        <s v="30716369087"/>
        <s v="30712014047"/>
        <s v="30714243949"/>
        <s v="30693739698"/>
        <s v="30614089241"/>
        <s v="30594476960"/>
        <s v="30715225537"/>
        <s v="30711985766"/>
        <s v="30500008454"/>
        <s v="30639453738"/>
        <s v="30546689979"/>
        <s v="30708983906"/>
        <s v="30630308557"/>
        <s v="30685376349"/>
        <s v="33547992429"/>
        <s v="30716209551"/>
        <s v="33707344089"/>
        <s v="30711620857"/>
        <s v="30715907948"/>
        <s v="33695614549"/>
        <s v="30715825852"/>
        <s v="30716321033"/>
        <s v="30707906959"/>
        <s v="30718739221"/>
        <s v="214978800012" u="1"/>
        <s v="0190115798001" u="1"/>
        <s v="76214946K" u="1"/>
        <s v="1792372054001" u="1"/>
        <s v="20602985971" u="1"/>
        <s v="LMM130711NW5" u="1"/>
        <s v="20606271744" u="1"/>
        <s v="MME100831CU8" u="1"/>
        <s v="8605245136" u="1"/>
        <s v="SNA040701UC9" u="1"/>
        <s v="BDI171017EW6" u="1"/>
        <s v="0990690537001" u="1"/>
        <s v="8NT122299" u="1"/>
        <s v="0992911638001" u="1"/>
        <s v="8300580563" u="1"/>
        <s v="1793204073001" u="1"/>
        <s v="920110002" u="1"/>
        <s v="214660000019" u="1"/>
        <s v="8600155472" u="1"/>
        <s v="852168613" u="1"/>
        <s v="9002060279" u="1"/>
        <s v="IED990115SM2" u="1"/>
        <s v="9005482899" u="1"/>
        <s v="1792507871001" u="1"/>
        <s v="0993372545001" u="1"/>
        <s v="0990049459001" u="1"/>
        <s v="06143101550016" u="1"/>
        <s v="770990106" u="1"/>
        <s v="211003420017" u="1"/>
        <s v="CCF121101KQ4" u="1"/>
        <s v="20100970377" u="1"/>
        <s v="800245768" u="1"/>
        <s v="760449776" u="1"/>
        <s v="8002394541" u="1"/>
        <s v="0992424508001" u="1"/>
        <s v="69799989" u="1"/>
        <s v="1792523036001" u="1"/>
        <s v="8000004574" u="1"/>
        <s v="9005182457" u="1"/>
        <s v="8300417842" u="1"/>
        <s v="AME880912I89" u="1"/>
        <s v="9002185787" u="1"/>
        <s v="995729105" u="1"/>
        <s v="0990131775001" u="1"/>
        <s v="9006268925" u="1"/>
        <s v="20100335604" u="1"/>
        <s v="WIM1108028V7" u="1"/>
        <s v="660487409" u="1"/>
        <s v="3101008431" u="1"/>
        <s v="1792295939001" u="1"/>
        <s v="9007207588" u="1"/>
        <s v="130252823" u="1"/>
        <s v="8300359045" u="1"/>
        <s v="1793215215001" u="1"/>
        <s v="3209549246231DV3" u="1"/>
        <s v="9007975425" u="1"/>
        <s v="0992135816001" u="1"/>
        <s v="8909039388" u="1"/>
        <s v="8001539937" u="1"/>
        <s v="20602910696" u="1"/>
        <s v="9000575223" u="1"/>
        <s v="1791286782001" u="1"/>
        <s v="471012306017DV99" u="1"/>
        <s v="0992657677001" u="1"/>
        <s v="965096604" u="1"/>
        <s v="1790436985001" u="1"/>
        <s v="968424106" u="1"/>
      </sharedItems>
    </cacheField>
    <cacheField name="Sales Manager" numFmtId="49">
      <sharedItems/>
    </cacheField>
    <cacheField name="Account Manager" numFmtId="49">
      <sharedItems/>
    </cacheField>
    <cacheField name="Campaign Manager" numFmtId="49">
      <sharedItems/>
    </cacheField>
    <cacheField name="Ratecard: Vendor Contract: Contract Name" numFmtId="49">
      <sharedItems/>
    </cacheField>
    <cacheField name="Vendor Contract" numFmtId="49">
      <sharedItems containsBlank="1"/>
    </cacheField>
    <cacheField name="Managing Entity" numFmtId="49">
      <sharedItems/>
    </cacheField>
    <cacheField name="Start Date" numFmtId="173">
      <sharedItems containsSemiMixedTypes="0" containsNonDate="0" containsDate="1" containsString="0" minDate="2024-02-06T00:00:00" maxDate="2026-02-28T00:00:00"/>
    </cacheField>
    <cacheField name="End Date" numFmtId="14">
      <sharedItems containsSemiMixedTypes="0" containsNonDate="0" containsDate="1" containsString="0" minDate="2026-02-02T00:00:00" maxDate="2027-01-01T00:00:00"/>
    </cacheField>
    <cacheField name="Company to invoice: Payment condition" numFmtId="49">
      <sharedItems/>
    </cacheField>
    <cacheField name="Company to invoice status (Opp)" numFmtId="49">
      <sharedItems containsNonDate="0" containsString="0" containsBlank="1"/>
    </cacheField>
    <cacheField name="# Standard Lines" numFmtId="4">
      <sharedItems containsSemiMixedTypes="0" containsString="0" containsNumber="1" containsInteger="1" minValue="1" maxValue="2"/>
    </cacheField>
    <cacheField name="URL" numFmtId="4">
      <sharedItems/>
    </cacheField>
    <cacheField name="Httpool Line ID" numFmtId="4">
      <sharedItems/>
    </cacheField>
    <cacheField name="Partner Commission" numFmtId="4">
      <sharedItems containsSemiMixedTypes="0" containsString="0" containsNumber="1" containsInteger="1" minValue="0" maxValue="0"/>
    </cacheField>
    <cacheField name="Partner Commision Amount" numFmtId="4">
      <sharedItems containsSemiMixedTypes="0" containsString="0" containsNumber="1" containsInteger="1" minValue="0" maxValue="0"/>
    </cacheField>
    <cacheField name="Partner Commision Amount in USD" numFmtId="4">
      <sharedItems containsSemiMixedTypes="0" containsString="0" containsNumber="1" containsInteger="1" minValue="0" maxValue="0"/>
    </cacheField>
    <cacheField name="Partner Commission Amount Purchase" numFmtId="4">
      <sharedItems containsSemiMixedTypes="0" containsString="0" containsNumber="1" containsInteger="1" minValue="0" maxValue="0"/>
    </cacheField>
    <cacheField name="Gross Sales Budget" numFmtId="4">
      <sharedItems containsSemiMixedTypes="0" containsString="0" containsNumber="1" minValue="0" maxValue="27809091.545454547"/>
    </cacheField>
    <cacheField name="Net Sales Budget" numFmtId="4">
      <sharedItems containsSemiMixedTypes="0" containsString="0" containsNumber="1" minValue="0" maxValue="27809091.545455001"/>
    </cacheField>
    <cacheField name="Net Purchase Budget" numFmtId="4">
      <sharedItems containsSemiMixedTypes="0" containsString="0" containsNumber="1" minValue="0" maxValue="21691091.405455001"/>
    </cacheField>
    <cacheField name="Net Cost Delivered (Billing Currency)" numFmtId="4">
      <sharedItems containsSemiMixedTypes="0" containsString="0" containsNumber="1" minValue="267.73500000000001" maxValue="13885887.266000001"/>
    </cacheField>
    <cacheField name="Net Sales Price (Billing Currency)" numFmtId="4">
      <sharedItems containsSemiMixedTypes="0" containsString="0" containsNumber="1" minValue="9.8999999999999999E-4" maxValue="1550"/>
    </cacheField>
    <cacheField name="Net Sales Price in USD" numFmtId="4">
      <sharedItems containsSemiMixedTypes="0" containsString="0" containsNumber="1" minValue="7.158196134574087E-4" maxValue="1"/>
    </cacheField>
    <cacheField name="Gross Sales Price in USD" numFmtId="4">
      <sharedItems containsSemiMixedTypes="0" containsString="0" containsNumber="1" minValue="7.158196134574087E-4" maxValue="1"/>
    </cacheField>
    <cacheField name="Late Line" numFmtId="4">
      <sharedItems/>
    </cacheField>
    <cacheField name="Late Delivery" numFmtId="4">
      <sharedItems/>
    </cacheField>
    <cacheField name="Sales Channel" numFmtId="4">
      <sharedItems/>
    </cacheField>
    <cacheField name="Reporting Entity: Entity Name" numFmtId="0">
      <sharedItems/>
    </cacheField>
    <cacheField name="Client PO ID" numFmtId="0">
      <sharedItems containsMixedTypes="1" containsNumber="1" containsInteger="1" minValue="2278147" maxValue="1202601202139"/>
    </cacheField>
    <cacheField name="Net Budget Delivered (in USD)" numFmtId="4">
      <sharedItems containsSemiMixedTypes="0" containsString="0" containsNumber="1" minValue="0" maxValue="11693.871123836792"/>
    </cacheField>
    <cacheField name="Net Cost Delivered (in USD)" numFmtId="4">
      <sharedItems containsSemiMixedTypes="0" containsString="0" containsNumber="1" minValue="0.19164996420901934" maxValue="9939.7904552612745"/>
    </cacheField>
    <cacheField name="Billing Country (text only)" numFmtId="4">
      <sharedItems/>
    </cacheField>
    <cacheField name="Agency: Company Name (Know as + Country)" numFmtId="4">
      <sharedItems containsBlank="1"/>
    </cacheField>
    <cacheField name="Company to invoice: Aleph Account ID" numFmtId="49">
      <sharedItems/>
    </cacheField>
    <cacheField name="Company to invoice: Account No. Dynamics" numFmtId="49">
      <sharedItems/>
    </cacheField>
    <cacheField name="Company Name (Know as + Country): Tax ID" numFmtId="0">
      <sharedItems containsSemiMixedTypes="0" containsString="0" containsNumber="1" containsInteger="1" minValue="872072282" maxValue="33716040149"/>
    </cacheField>
    <cacheField name="Opp Branding Performance" numFmtId="0">
      <sharedItems/>
    </cacheField>
    <cacheField name="Last Updated Time" numFmtId="164">
      <sharedItems containsSemiMixedTypes="0" containsNonDate="0" containsDate="1" containsString="0" minDate="2026-03-06T17:29:00" maxDate="2026-03-07T13:20:00"/>
    </cacheField>
    <cacheField name="Last Modified Time (UTC)" numFmtId="164">
      <sharedItems containsSemiMixedTypes="0" containsNonDate="0" containsDate="1" containsString="0" minDate="2026-03-04T20:58:00" maxDate="2026-03-06T17:45:00"/>
    </cacheField>
    <cacheField name="Sales Delivery API Import" numFmtId="0">
      <sharedItems/>
    </cacheField>
    <cacheField name="Purchase Delivery API Import" numFmtId="0">
      <sharedItems/>
    </cacheField>
    <cacheField name="Posting Period2" numFmtId="0">
      <sharedItems containsSemiMixedTypes="0" containsNonDate="0" containsDate="1" containsString="0" minDate="2026-02-01T00:00:00" maxDate="2026-02-02T00:00:00"/>
    </cacheField>
    <cacheField name="IO Type" numFmtId="4">
      <sharedItems/>
    </cacheField>
    <cacheField name="Fee Percentage" numFmtId="4">
      <sharedItems containsNonDate="0" containsString="0" containsBlank="1"/>
    </cacheField>
    <cacheField name="Trade Deal" numFmtId="4">
      <sharedItems containsNonDate="0" containsString="0" containsBlank="1"/>
    </cacheField>
    <cacheField name="Deal Status" numFmtId="4">
      <sharedItems containsNonDate="0" containsString="0" containsBlank="1"/>
    </cacheField>
    <cacheField name="Plan Sales Qty Line- Group" numFmtId="4">
      <sharedItems containsNonDate="0" containsString="0" containsBlank="1"/>
    </cacheField>
    <cacheField name="Qualified Sales Qty Line- Group" numFmtId="4">
      <sharedItems containsNonDate="0" containsString="0" containsBlank="1"/>
    </cacheField>
    <cacheField name="Remaining budget/sales Qty Line- Group" numFmtId="4">
      <sharedItems containsNonDate="0" containsString="0" containsBlank="1"/>
    </cacheField>
    <cacheField name="Amount of Coupon" numFmtId="4">
      <sharedItems containsNonDate="0" containsString="0" containsBlank="1"/>
    </cacheField>
    <cacheField name="Action Point" numFmtId="49">
      <sharedItems containsBlank="1"/>
    </cacheField>
    <cacheField name="Purch Country" numFmtId="4">
      <sharedItems containsBlank="1"/>
    </cacheField>
    <cacheField name="Purch Curr" numFmtId="4">
      <sharedItems containsBlank="1"/>
    </cacheField>
    <cacheField name="Spend Amount" numFmtId="4">
      <sharedItems containsString="0" containsBlank="1" containsNumber="1" minValue="8.35" maxValue="12365642.550000001"/>
    </cacheField>
    <cacheField name="Purch Country OK? (SF-Del)" numFmtId="4">
      <sharedItems containsBlank="1"/>
    </cacheField>
    <cacheField name="Purch Curr OK? (SF-Del)" numFmtId="4">
      <sharedItems containsBlank="1"/>
    </cacheField>
    <cacheField name="Dif (SF-Del)" numFmtId="4">
      <sharedItems containsString="0" containsBlank="1" containsNumber="1" minValue="-5266.6900000004098" maxValue="1.0000000707805157E-2"/>
    </cacheField>
    <cacheField name="Account ID platform" numFmtId="4">
      <sharedItems containsBlank="1"/>
    </cacheField>
    <cacheField name="Purch Curr2" numFmtId="4">
      <sharedItems containsBlank="1"/>
    </cacheField>
    <cacheField name="Spend Amount2" numFmtId="4">
      <sharedItems containsString="0" containsBlank="1" containsNumber="1" minValue="8.35" maxValue="16336337.960000001"/>
    </cacheField>
    <cacheField name="Purch Curr OK? (SF-Bil)" numFmtId="4">
      <sharedItems containsBlank="1"/>
    </cacheField>
    <cacheField name="Dif (SF-Bil)" numFmtId="4">
      <sharedItems containsString="0" containsBlank="1" containsNumber="1" minValue="-0.10000000055879354" maxValue="0"/>
    </cacheField>
    <cacheField name="Purch Curr3" numFmtId="4">
      <sharedItems containsNonDate="0" containsString="0" containsBlank="1"/>
    </cacheField>
    <cacheField name="Spend Amount3" numFmtId="4">
      <sharedItems containsNonDate="0" containsString="0" containsBlank="1"/>
    </cacheField>
    <cacheField name="Purch Curr OK? (SF-Inv)" numFmtId="4">
      <sharedItems containsBlank="1"/>
    </cacheField>
    <cacheField name="Dif (SF-Inv)" numFmtId="4">
      <sharedItems containsNonDate="0" containsString="0" containsBlank="1"/>
    </cacheField>
    <cacheField name="Purch Curr4" numFmtId="4">
      <sharedItems containsBlank="1"/>
    </cacheField>
    <cacheField name="Account Spend" numFmtId="4">
      <sharedItems containsString="0" containsBlank="1" containsNumber="1" minValue="7.1" maxValue="10782309.779999999"/>
    </cacheField>
    <cacheField name="Purch Curr OK? (SF-Stat)" numFmtId="4">
      <sharedItems containsBlank="1"/>
    </cacheField>
    <cacheField name="Dif (SF-Sta)" numFmtId="4">
      <sharedItems containsString="0" containsBlank="1" containsNumber="1" minValue="-1.1200000066310167E-2" maxValue="3103577.4860000014"/>
    </cacheField>
    <cacheField name="Comments for Operations" numFmtId="4">
      <sharedItems containsNonDate="0" containsString="0" containsBlank="1"/>
    </cacheField>
    <cacheField name="Comments for Rev&amp;Cogs team" numFmtId="4">
      <sharedItems/>
    </cacheField>
    <cacheField name="TODO REV" numFmtId="4">
      <sharedItems/>
    </cacheField>
    <cacheField name="TODO COST" numFmtId="4">
      <sharedItems/>
    </cacheField>
    <cacheField name="Rev. Act. FX / Closing FX" numFmtId="4">
      <sharedItems containsSemiMixedTypes="0" containsString="0" containsNumber="1" minValue="0" maxValue="11693.8711238367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Mariana.Tunno" refreshedDate="46104.494897800927" createdVersion="8" refreshedVersion="8" minRefreshableVersion="3" recordCount="325" xr:uid="{33A8FBF8-0FE4-4B01-A21E-7669C947B00A}">
  <cacheSource type="worksheet">
    <worksheetSource ref="A1:X326" sheet="ERP"/>
  </cacheSource>
  <cacheFields count="24">
    <cacheField name="Posting type" numFmtId="49">
      <sharedItems/>
    </cacheField>
    <cacheField name="Date" numFmtId="14">
      <sharedItems containsSemiMixedTypes="0" containsNonDate="0" containsDate="1" containsString="0" minDate="2026-02-04T00:00:00" maxDate="2026-03-01T00:00:00"/>
    </cacheField>
    <cacheField name="Customer name" numFmtId="49">
      <sharedItems containsBlank="1"/>
    </cacheField>
    <cacheField name="Customer account" numFmtId="49">
      <sharedItems containsBlank="1"/>
    </cacheField>
    <cacheField name="Vendor name" numFmtId="49">
      <sharedItems containsNonDate="0" containsString="0" containsBlank="1"/>
    </cacheField>
    <cacheField name="Vendor account" numFmtId="49">
      <sharedItems containsNonDate="0" containsString="0" containsBlank="1"/>
    </cacheField>
    <cacheField name="Description" numFmtId="49">
      <sharedItems/>
    </cacheField>
    <cacheField name="SO / PO" numFmtId="49">
      <sharedItems/>
    </cacheField>
    <cacheField name="Ledger account" numFmtId="49">
      <sharedItems/>
    </cacheField>
    <cacheField name="Journal number" numFmtId="49">
      <sharedItems/>
    </cacheField>
    <cacheField name="Voucher" numFmtId="49">
      <sharedItems/>
    </cacheField>
    <cacheField name="Document date" numFmtId="14">
      <sharedItems containsSemiMixedTypes="0" containsNonDate="0" containsDate="1" containsString="0" minDate="2026-02-04T00:00:00" maxDate="2026-03-01T00:00:00"/>
    </cacheField>
    <cacheField name="Ledger account2" numFmtId="49">
      <sharedItems/>
    </cacheField>
    <cacheField name="Main account" numFmtId="49">
      <sharedItems/>
    </cacheField>
    <cacheField name="Account name" numFmtId="49">
      <sharedItems/>
    </cacheField>
    <cacheField name="Currency" numFmtId="49">
      <sharedItems count="6">
        <s v="ARS"/>
        <s v="USD"/>
        <s v="COP" u="1"/>
        <s v="CLP" u="1"/>
        <s v="PEN" u="1"/>
        <s v="MXN" u="1"/>
      </sharedItems>
    </cacheField>
    <cacheField name="Amount in transaction currency" numFmtId="4">
      <sharedItems containsSemiMixedTypes="0" containsString="0" containsNumber="1" minValue="-19670621.600000001" maxValue="19670621.600000001"/>
    </cacheField>
    <cacheField name="Amount" numFmtId="4">
      <sharedItems containsSemiMixedTypes="0" containsString="0" containsNumber="1" minValue="-19670621.600000001" maxValue="19670621.600000001"/>
    </cacheField>
    <cacheField name="Amount in reporting currency" numFmtId="4">
      <sharedItems containsSemiMixedTypes="0" containsString="0" containsNumber="1" minValue="-13736.87" maxValue="13590.37"/>
    </cacheField>
    <cacheField name="Posting layer" numFmtId="49">
      <sharedItems/>
    </cacheField>
    <cacheField name="Created by" numFmtId="49">
      <sharedItems/>
    </cacheField>
    <cacheField name="ENTITY" numFmtId="0">
      <sharedItems count="9">
        <s v="IARG"/>
        <s v="IUSA"/>
        <s v="ICOL" u="1"/>
        <s v="IECU" u="1"/>
        <s v="ICHL" u="1"/>
        <s v="RURY" u="1"/>
        <s v="IPER" u="1"/>
        <s v="IPAN" u="1"/>
        <s v="IMEX" u="1"/>
      </sharedItems>
    </cacheField>
    <cacheField name="BU" numFmtId="0">
      <sharedItems count="2">
        <s v="Twitter"/>
        <s v="Twitter Billing"/>
      </sharedItems>
    </cacheField>
    <cacheField name="ACCOUNT" numFmtId="0">
      <sharedItems count="3">
        <s v="REV"/>
        <s v="INT" u="1"/>
        <s v="COGS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">
  <r>
    <s v="T2694837"/>
    <x v="0"/>
    <s v="IMS"/>
    <s v="AR_Media Company_!Blocked Nessy LLC USA_AR00310258 TW - Lemon - US 2025"/>
    <m/>
    <m/>
    <x v="0"/>
    <x v="0"/>
    <s v="United States"/>
    <n v="902.75"/>
    <n v="902.74894380000001"/>
    <s v="USD"/>
    <n v="911867.62"/>
    <s v="ARS"/>
    <x v="0"/>
    <n v="711256.74"/>
    <x v="0"/>
    <x v="0"/>
    <m/>
    <m/>
    <n v="0"/>
    <s v="2026-02"/>
    <s v="February/2026"/>
    <s v="IMS"/>
    <s v="Argentina"/>
    <x v="0"/>
    <s v="ARS"/>
    <n v="911867.62"/>
    <s v="ARS"/>
    <n v="551201.18000000005"/>
    <n v="39.549999999999997"/>
    <s v="OK"/>
    <n v="0"/>
    <n v="0"/>
    <n v="160055.56"/>
    <n v="114.57"/>
    <n v="0.43602157330847224"/>
    <s v="OK"/>
    <s v="10573708"/>
    <m/>
    <s v="Miss"/>
    <s v="Miss"/>
    <m/>
    <s v="Miss"/>
    <m/>
    <s v="Miss"/>
    <n v="911867.62"/>
    <n v="651"/>
    <s v="Miss"/>
    <n v="911867.62"/>
    <n v="652.73"/>
    <s v="ARS"/>
    <n v="551201.18000000005"/>
    <s v="OK"/>
    <n v="160055.56"/>
    <n v="114.57"/>
    <n v="0.15"/>
    <n v="136780.14299999998"/>
    <n v="97.909909090909096"/>
    <n v="-136780.14299999998"/>
    <n v="4.9000000000000002E-2"/>
    <n v="37.599537500000004"/>
    <n v="2.6914486399427347E-2"/>
    <n v="0.1575"/>
  </r>
  <r>
    <s v="T2751490"/>
    <x v="0"/>
    <s v="IMS"/>
    <s v="AR_Media Company_BANCO DE LA PROVINCIA DE CORDOBA ARGENTINA_SMB-X ARG - Banco de Cordoba - Ene - abril 24 UPSELL 5"/>
    <m/>
    <m/>
    <x v="0"/>
    <x v="1"/>
    <s v="Argentina"/>
    <n v="3855555.79"/>
    <n v="3855555.79"/>
    <s v="ARS"/>
    <n v="3855555.79"/>
    <s v="ARS"/>
    <x v="1"/>
    <n v="2330587.2400000002"/>
    <x v="0"/>
    <x v="0"/>
    <m/>
    <m/>
    <n v="0"/>
    <s v="2026-02"/>
    <s v="February/2026"/>
    <s v="IMS"/>
    <s v="Argentina"/>
    <x v="0"/>
    <s v="ARS"/>
    <n v="3855555.79"/>
    <s v="ARS"/>
    <n v="2330587.09"/>
    <n v="39.549999999999997"/>
    <s v="OK"/>
    <n v="0"/>
    <n v="0"/>
    <n v="0.15"/>
    <n v="0"/>
    <n v="0.39552496009920268"/>
    <s v="OK"/>
    <s v="10573709"/>
    <m/>
    <s v="Miss"/>
    <s v="Miss"/>
    <m/>
    <s v="Miss"/>
    <m/>
    <s v="Miss"/>
    <n v="3855555.79"/>
    <n v="2758"/>
    <s v="Miss"/>
    <n v="3855555.79"/>
    <n v="2759.88"/>
    <s v="ARS"/>
    <n v="2330587.08"/>
    <s v="OK"/>
    <n v="0.16"/>
    <n v="0"/>
    <n v="0.15"/>
    <n v="578333.36849999998"/>
    <n v="413.98236828919113"/>
    <n v="-578333.36849999998"/>
    <n v="4.9000000000000002E-2"/>
    <n v="160583.89865350001"/>
    <n v="114.94910426163207"/>
    <n v="0.1575"/>
  </r>
  <r>
    <s v="T2767832"/>
    <x v="0"/>
    <s v="IMS"/>
    <s v="AR_Media Company_Almundo.com SRL_X - almundo- 2025"/>
    <m/>
    <m/>
    <x v="0"/>
    <x v="1"/>
    <s v="Argentina"/>
    <n v="3113913.08"/>
    <n v="3113913.08"/>
    <s v="ARS"/>
    <n v="3113913.08"/>
    <s v="ARS"/>
    <x v="2"/>
    <n v="1882282.73"/>
    <x v="0"/>
    <x v="0"/>
    <m/>
    <m/>
    <n v="0"/>
    <s v="2026-02"/>
    <s v="February/2026"/>
    <s v="IMS"/>
    <s v="Argentina"/>
    <x v="0"/>
    <s v="ARS"/>
    <n v="3113913.08"/>
    <s v="ARS"/>
    <n v="1882282.61"/>
    <n v="39.549999999999997"/>
    <s v="OK"/>
    <n v="0"/>
    <n v="0"/>
    <n v="0.12"/>
    <n v="0"/>
    <n v="0.39552496115273705"/>
    <s v="OK"/>
    <s v="10573710"/>
    <m/>
    <s v="Miss"/>
    <s v="Miss"/>
    <m/>
    <s v="Miss"/>
    <m/>
    <s v="Miss"/>
    <n v="3113913.08"/>
    <n v="2227"/>
    <s v="Miss"/>
    <n v="3113913.08"/>
    <n v="2229"/>
    <s v="ARS"/>
    <n v="1882282.61"/>
    <s v="OK"/>
    <n v="0.12"/>
    <n v="0"/>
    <n v="0.15"/>
    <n v="467086.962"/>
    <n v="334.35000858983534"/>
    <n v="-467086.962"/>
    <n v="4.9000000000000002E-2"/>
    <n v="129694.47978199999"/>
    <n v="92.837852385110949"/>
    <n v="0.1575"/>
  </r>
  <r>
    <s v="T2834460"/>
    <x v="0"/>
    <s v="IMS"/>
    <s v="AR_Media Company_Flybondi_SMB-X ARG - Flybondi (may - jun 24)"/>
    <m/>
    <m/>
    <x v="0"/>
    <x v="1"/>
    <s v="Argentina"/>
    <n v="2687841.46"/>
    <n v="2687841.46"/>
    <s v="ARS"/>
    <n v="2687841.46"/>
    <s v="ARS"/>
    <x v="3"/>
    <n v="1624733.07"/>
    <x v="0"/>
    <x v="0"/>
    <m/>
    <m/>
    <n v="0"/>
    <s v="2026-02"/>
    <s v="February/2026"/>
    <s v="IMS"/>
    <s v="Argentina"/>
    <x v="0"/>
    <s v="ARS"/>
    <n v="2687841.46"/>
    <s v="ARS"/>
    <n v="1624732.97"/>
    <n v="39.549999999999997"/>
    <s v="OK"/>
    <n v="0"/>
    <n v="0"/>
    <n v="0.1"/>
    <n v="0"/>
    <n v="0.39552496150572813"/>
    <s v="OK"/>
    <s v="10573711"/>
    <m/>
    <s v="Miss"/>
    <s v="Miss"/>
    <m/>
    <s v="Miss"/>
    <m/>
    <s v="Miss"/>
    <n v="2687841.46"/>
    <n v="1922"/>
    <s v="Miss"/>
    <n v="2687841.46"/>
    <n v="1924.01"/>
    <s v="ARS"/>
    <n v="1624732.96"/>
    <s v="OK"/>
    <n v="0.11"/>
    <n v="0"/>
    <n v="0.15"/>
    <n v="403176.21899999998"/>
    <n v="288.60144523979955"/>
    <n v="-403176.21899999998"/>
    <n v="4.9000000000000002E-2"/>
    <n v="111948.596809"/>
    <n v="80.135001294917672"/>
    <n v="0.1575"/>
  </r>
  <r>
    <s v="T2887099"/>
    <x v="0"/>
    <s v="IMS"/>
    <s v="AR_Media Company_FINTECH Argentina_TW - Satoshi Tango - Q3"/>
    <m/>
    <m/>
    <x v="0"/>
    <x v="1"/>
    <s v="Argentina"/>
    <n v="1055530.21"/>
    <n v="1055530.21"/>
    <s v="ARS"/>
    <n v="1055530.21"/>
    <s v="ARS"/>
    <x v="4"/>
    <n v="638041.67000000004"/>
    <x v="0"/>
    <x v="0"/>
    <m/>
    <m/>
    <n v="0"/>
    <s v="2026-02"/>
    <s v="February/2026"/>
    <s v="IMS"/>
    <s v="Argentina"/>
    <x v="0"/>
    <s v="ARS"/>
    <n v="1055530.21"/>
    <s v="ARS"/>
    <n v="638041.63"/>
    <n v="39.549999999999997"/>
    <s v="OK"/>
    <n v="0"/>
    <n v="0"/>
    <n v="0.04"/>
    <n v="0"/>
    <n v="0.39552495612607808"/>
    <s v="OK"/>
    <s v="10573707"/>
    <m/>
    <s v="Miss"/>
    <s v="Miss"/>
    <m/>
    <s v="Miss"/>
    <m/>
    <s v="Miss"/>
    <n v="1055530.21"/>
    <n v="754"/>
    <s v="Miss"/>
    <n v="1055530.21"/>
    <n v="755.57"/>
    <s v="ARS"/>
    <n v="638041.62"/>
    <s v="OK"/>
    <n v="0.05"/>
    <n v="0"/>
    <n v="0.15"/>
    <n v="158329.53149999998"/>
    <n v="113.33538403722262"/>
    <n v="-158329.53149999998"/>
    <n v="4.9000000000000002E-2"/>
    <n v="43962.833246499998"/>
    <n v="31.469458301002145"/>
    <n v="0.1575"/>
  </r>
  <r>
    <s v="T2929648"/>
    <x v="0"/>
    <s v="IMS"/>
    <s v="AR_Media Company_Liliana SRL_SMB-X ARG - Liliana - Octubre 24"/>
    <m/>
    <m/>
    <x v="0"/>
    <x v="1"/>
    <s v="Argentina"/>
    <n v="1269863.22"/>
    <n v="1269863.22"/>
    <s v="ARS"/>
    <n v="1269863.22"/>
    <s v="ARS"/>
    <x v="5"/>
    <n v="767600.62"/>
    <x v="0"/>
    <x v="0"/>
    <m/>
    <m/>
    <n v="0"/>
    <s v="2026-02"/>
    <s v="February/2026"/>
    <s v="IMS"/>
    <s v="Argentina"/>
    <x v="0"/>
    <s v="ARS"/>
    <n v="1269863.22"/>
    <s v="ARS"/>
    <n v="767600.57"/>
    <n v="39.549999999999997"/>
    <s v="OK"/>
    <n v="0"/>
    <n v="0"/>
    <n v="0.05"/>
    <n v="0"/>
    <n v="0.39552496055441311"/>
    <s v="OK"/>
    <s v="10573619"/>
    <m/>
    <s v="Miss"/>
    <s v="Miss"/>
    <m/>
    <s v="Miss"/>
    <m/>
    <s v="Miss"/>
    <n v="1269863.22"/>
    <n v="907"/>
    <s v="Miss"/>
    <n v="1269863.22"/>
    <n v="908.99"/>
    <s v="ARS"/>
    <n v="767600.57"/>
    <s v="OK"/>
    <n v="0.05"/>
    <n v="0"/>
    <n v="0.15"/>
    <n v="190479.48299999998"/>
    <n v="136.34894989262705"/>
    <n v="-190479.48299999998"/>
    <n v="4.9000000000000002E-2"/>
    <n v="52889.803113000002"/>
    <n v="37.859558420186112"/>
    <n v="0.1575"/>
  </r>
  <r>
    <s v="T2985381"/>
    <x v="0"/>
    <s v="IMS"/>
    <s v="AR_Media Company_Cocos Capital Argentina_AR00303899 | X | Cocos Cap | ENE 26"/>
    <m/>
    <m/>
    <x v="0"/>
    <x v="1"/>
    <s v="Argentina"/>
    <n v="1900327.95"/>
    <n v="1900327.95"/>
    <s v="ARS"/>
    <n v="1900327.95"/>
    <s v="ARS"/>
    <x v="6"/>
    <n v="1148700.81"/>
    <x v="0"/>
    <x v="0"/>
    <m/>
    <m/>
    <n v="0"/>
    <s v="2026-02"/>
    <s v="February/2026"/>
    <s v="IMS"/>
    <s v="Argentina"/>
    <x v="0"/>
    <s v="ARS"/>
    <n v="1900327.95"/>
    <s v="ARS"/>
    <n v="1148700.74"/>
    <n v="39.549999999999997"/>
    <s v="OK"/>
    <n v="0"/>
    <n v="0"/>
    <n v="7.0000000000000007E-2"/>
    <n v="0"/>
    <n v="0.39552496188881503"/>
    <s v="OK"/>
    <s v="10573629"/>
    <m/>
    <s v="Miss"/>
    <s v="Miss"/>
    <m/>
    <s v="Miss"/>
    <m/>
    <s v="Miss"/>
    <n v="1900327.95"/>
    <n v="1358"/>
    <s v="Miss"/>
    <n v="1900327.95"/>
    <n v="1360.29"/>
    <s v="ARS"/>
    <n v="1148700.73"/>
    <s v="OK"/>
    <n v="0.08"/>
    <n v="0"/>
    <n v="0.15"/>
    <n v="285049.1925"/>
    <n v="204.04380279169649"/>
    <n v="-285049.1925"/>
    <n v="4.9000000000000002E-2"/>
    <n v="79148.659117499992"/>
    <n v="56.656162575161055"/>
    <n v="0.1575"/>
  </r>
  <r>
    <s v="T2993848"/>
    <x v="0"/>
    <s v="IMS"/>
    <s v="AR_Media Company_BALANZ CAPITAL VALORES Argentina_SMB-X ARG - Balanz - Enero 2025"/>
    <m/>
    <m/>
    <x v="0"/>
    <x v="1"/>
    <s v="Argentina"/>
    <n v="81926.990000000005"/>
    <n v="81926.990000000005"/>
    <s v="ARS"/>
    <n v="81926.990000000005"/>
    <s v="ARS"/>
    <x v="7"/>
    <n v="49522.82"/>
    <x v="0"/>
    <x v="0"/>
    <m/>
    <m/>
    <n v="0"/>
    <s v="2026-02"/>
    <s v="February/2026"/>
    <s v="IMS"/>
    <s v="Argentina"/>
    <x v="0"/>
    <s v="ARS"/>
    <n v="81926.990000000005"/>
    <s v="ARS"/>
    <n v="49522.81"/>
    <n v="39.549999999999997"/>
    <s v="OK"/>
    <n v="0"/>
    <n v="0"/>
    <n v="0.01"/>
    <n v="0"/>
    <n v="0.3955249668027595"/>
    <s v="OK"/>
    <s v="10573656"/>
    <m/>
    <s v="Miss"/>
    <s v="Miss"/>
    <m/>
    <s v="Miss"/>
    <m/>
    <s v="Miss"/>
    <n v="81926.990000000005"/>
    <n v="57"/>
    <s v="Miss"/>
    <n v="81926.990000000005"/>
    <n v="58.64"/>
    <s v="ARS"/>
    <n v="49522.81"/>
    <s v="OK"/>
    <n v="0.01"/>
    <n v="0"/>
    <n v="0.15"/>
    <n v="12289.048500000001"/>
    <n v="8.79674194702935"/>
    <n v="-12289.048500000001"/>
    <n v="4.9000000000000002E-2"/>
    <n v="3412.2591335000002"/>
    <n v="2.4425620139584825"/>
    <n v="0.1575"/>
  </r>
  <r>
    <s v="T3025948"/>
    <x v="1"/>
    <s v="IMS"/>
    <s v="AR_Media Company_RAPPI ARG S.A.S._T3025948 - Rappi Argentina 2025 LInea de Credito - 19/02/2025"/>
    <m/>
    <m/>
    <x v="0"/>
    <x v="1"/>
    <s v="Argentina"/>
    <n v="16336337.960000001"/>
    <n v="16336337.960000001"/>
    <s v="ARS"/>
    <n v="16336337.960000001"/>
    <s v="ARS"/>
    <x v="8"/>
    <n v="10781901.369999999"/>
    <x v="0"/>
    <x v="0"/>
    <m/>
    <m/>
    <n v="0"/>
    <s v="2026-02"/>
    <s v="February/2026"/>
    <s v="IMS"/>
    <s v="Argentina"/>
    <x v="0"/>
    <s v="ARS"/>
    <n v="16336337.960000001"/>
    <s v="ARS"/>
    <n v="10782309.779999999"/>
    <n v="34"/>
    <s v="OK"/>
    <n v="0"/>
    <n v="0"/>
    <n v="-408.41"/>
    <n v="-0.28999999999999998"/>
    <n v="0.34000500011692958"/>
    <s v="OK"/>
    <s v="10573738"/>
    <m/>
    <s v="Miss"/>
    <s v="Miss"/>
    <m/>
    <s v="Miss"/>
    <m/>
    <s v="Miss"/>
    <n v="16336337.960000001"/>
    <n v="11692"/>
    <s v="Miss"/>
    <n v="16336337.960000001"/>
    <n v="11693.87"/>
    <s v="ARS"/>
    <n v="10782309.779999999"/>
    <s v="OK"/>
    <n v="-408.41"/>
    <n v="-0.28999999999999998"/>
    <n v="0.15"/>
    <n v="2450450.6940000001"/>
    <n v="1754.080668575519"/>
    <n v="-2450450.6940000001"/>
    <n v="4.9000000000000002E-2"/>
    <n v="680408.47603400005"/>
    <n v="487.04973230780246"/>
    <n v="0.1575"/>
  </r>
  <r>
    <s v="T3094969"/>
    <x v="0"/>
    <s v="IMS"/>
    <s v="AR_Media Company_Industrial And Comercial Bank Of China - Argentina_X - YOY -  Branding - Tácticos"/>
    <m/>
    <m/>
    <x v="0"/>
    <x v="1"/>
    <s v="Argentina"/>
    <n v="610190.21"/>
    <n v="610190.21"/>
    <s v="ARS"/>
    <n v="610190.21"/>
    <s v="ARS"/>
    <x v="9"/>
    <n v="368844.75"/>
    <x v="0"/>
    <x v="0"/>
    <m/>
    <m/>
    <n v="0"/>
    <s v="2026-02"/>
    <s v="February/2026"/>
    <s v="IMS"/>
    <s v="Argentina"/>
    <x v="0"/>
    <s v="ARS"/>
    <n v="610190.21"/>
    <s v="ARS"/>
    <n v="368844.72"/>
    <n v="39.549999999999997"/>
    <s v="OK"/>
    <n v="0"/>
    <n v="0"/>
    <n v="0.03"/>
    <n v="0"/>
    <n v="0.39552496261780401"/>
    <s v="OK"/>
    <s v="10573701"/>
    <s v="Manually insert Revenue,Manually insert Cogs"/>
    <s v="Miss"/>
    <s v="Miss"/>
    <m/>
    <s v="Miss"/>
    <m/>
    <s v="Miss"/>
    <n v="610190.21"/>
    <n v="435"/>
    <s v="Miss"/>
    <n v="610190.21"/>
    <n v="436.79"/>
    <s v="ARS"/>
    <n v="368844.73"/>
    <s v="OK"/>
    <n v="0.02"/>
    <n v="0"/>
    <n v="0.15"/>
    <n v="91528.531499999997"/>
    <n v="65.517918038654244"/>
    <n v="-91528.531499999997"/>
    <n v="4.9000000000000002E-2"/>
    <n v="25414.422246499998"/>
    <n v="18.192141908732999"/>
    <n v="0.1575"/>
  </r>
  <r>
    <s v="T3101174"/>
    <x v="0"/>
    <s v="IMS"/>
    <s v="AR_Media Company_Play Digital Argentina_TW - MODO - Promo Día"/>
    <m/>
    <m/>
    <x v="0"/>
    <x v="1"/>
    <s v="Argentina"/>
    <n v="2007664.48"/>
    <n v="2007664.48"/>
    <s v="ARS"/>
    <n v="2007664.48"/>
    <s v="ARS"/>
    <x v="10"/>
    <n v="1213583.07"/>
    <x v="0"/>
    <x v="0"/>
    <m/>
    <m/>
    <n v="0"/>
    <s v="2026-02"/>
    <s v="February/2026"/>
    <s v="IMS"/>
    <s v="Argentina"/>
    <x v="0"/>
    <s v="ARS"/>
    <n v="2007664.48"/>
    <s v="ARS"/>
    <n v="1213582.99"/>
    <n v="39.549999999999997"/>
    <s v="OK"/>
    <n v="0"/>
    <n v="0"/>
    <n v="0.08"/>
    <n v="0"/>
    <n v="0.39552495843329349"/>
    <s v="OK"/>
    <s v="10573714"/>
    <m/>
    <s v="Miss"/>
    <s v="Miss"/>
    <m/>
    <s v="Miss"/>
    <m/>
    <s v="Miss"/>
    <n v="2007664.48"/>
    <n v="1435"/>
    <s v="Miss"/>
    <n v="2007664.48"/>
    <n v="1437.13"/>
    <s v="ARS"/>
    <n v="1213582.99"/>
    <s v="OK"/>
    <n v="0.08"/>
    <n v="0"/>
    <n v="0.15"/>
    <n v="301149.67199999996"/>
    <n v="215.56884180386541"/>
    <n v="-301149.67199999996"/>
    <n v="4.9000000000000002E-2"/>
    <n v="83619.225592000003"/>
    <n v="59.8562817408733"/>
    <n v="0.1575"/>
  </r>
  <r>
    <s v="T3163143"/>
    <x v="0"/>
    <s v="IMS"/>
    <s v="AR_Media Company_Hipódromo Argentino de Palermo S.A_AR00380261-X-Betfun-Takeover-Q1 26"/>
    <m/>
    <m/>
    <x v="0"/>
    <x v="1"/>
    <s v="Argentina"/>
    <n v="3110400"/>
    <n v="3110400"/>
    <s v="ARS"/>
    <n v="3110400"/>
    <s v="ARS"/>
    <x v="11"/>
    <n v="1880159.16"/>
    <x v="0"/>
    <x v="0"/>
    <m/>
    <m/>
    <n v="0"/>
    <s v="2026-02"/>
    <s v="February/2026"/>
    <s v="IMS"/>
    <s v="Argentina"/>
    <x v="0"/>
    <s v="ARS"/>
    <n v="3110400"/>
    <s v="ARS"/>
    <n v="1880159.04"/>
    <n v="39.549999999999997"/>
    <s v="OK"/>
    <n v="0"/>
    <n v="0"/>
    <n v="0.12"/>
    <n v="0"/>
    <n v="0.39552496141975313"/>
    <s v="OK"/>
    <s v="10573720"/>
    <m/>
    <s v="Miss"/>
    <s v="Miss"/>
    <m/>
    <s v="Miss"/>
    <m/>
    <s v="Miss"/>
    <n v="3110400"/>
    <n v="2224"/>
    <s v="Miss"/>
    <n v="3110400"/>
    <n v="2226.4899999999998"/>
    <s v="ARS"/>
    <n v="1880159.04"/>
    <s v="OK"/>
    <n v="0.12"/>
    <n v="0"/>
    <n v="0.15"/>
    <n v="466560"/>
    <n v="333.97279885468862"/>
    <n v="-466560"/>
    <n v="4.9000000000000002E-2"/>
    <n v="129548.16"/>
    <n v="92.733113815318546"/>
    <n v="0.1575"/>
  </r>
  <r>
    <s v="T3163157"/>
    <x v="0"/>
    <s v="IMS"/>
    <s v="AR_Media Company_Hipódromo Argentino de Palermo S.A_AR00380263-X-Hipódromo Sala-Takeover-26"/>
    <m/>
    <m/>
    <x v="0"/>
    <x v="1"/>
    <s v="Argentina"/>
    <n v="3110400"/>
    <n v="3110400"/>
    <s v="ARS"/>
    <n v="3110400"/>
    <s v="ARS"/>
    <x v="11"/>
    <n v="1880159.16"/>
    <x v="0"/>
    <x v="0"/>
    <m/>
    <m/>
    <n v="0"/>
    <s v="2026-02"/>
    <s v="February/2026"/>
    <s v="IMS"/>
    <s v="Argentina"/>
    <x v="0"/>
    <s v="ARS"/>
    <n v="3110400"/>
    <s v="ARS"/>
    <n v="1880159.04"/>
    <n v="39.549999999999997"/>
    <s v="OK"/>
    <n v="0"/>
    <n v="0"/>
    <n v="0.12"/>
    <n v="0"/>
    <n v="0.39552496141975313"/>
    <s v="OK"/>
    <s v="10573735"/>
    <m/>
    <s v="Miss"/>
    <s v="Miss"/>
    <m/>
    <s v="Miss"/>
    <m/>
    <s v="Miss"/>
    <n v="3110400"/>
    <n v="2224"/>
    <s v="Miss"/>
    <n v="3110400"/>
    <n v="2226.4899999999998"/>
    <s v="ARS"/>
    <n v="1880159.04"/>
    <s v="OK"/>
    <n v="0.12"/>
    <n v="0"/>
    <n v="0.15"/>
    <n v="466560"/>
    <n v="333.97279885468862"/>
    <n v="-466560"/>
    <n v="4.9000000000000002E-2"/>
    <n v="129548.16"/>
    <n v="92.733113815318546"/>
    <n v="0.1575"/>
  </r>
  <r>
    <s v="T3163161"/>
    <x v="1"/>
    <s v="IMS"/>
    <s v="AR_Media Company_Mercado Libre Argentina_T3163161 - MLA | Double Dates 2026 | Takeovers - ORDEN N°1"/>
    <m/>
    <m/>
    <x v="0"/>
    <x v="1"/>
    <s v="Argentina"/>
    <n v="2304000"/>
    <n v="2304000"/>
    <s v="ARS"/>
    <n v="2304000"/>
    <s v="ARS"/>
    <x v="12"/>
    <n v="1520628.48"/>
    <x v="0"/>
    <x v="0"/>
    <m/>
    <m/>
    <n v="0"/>
    <s v="2026-02"/>
    <s v="February/2026"/>
    <s v="IMS"/>
    <s v="Argentina"/>
    <x v="0"/>
    <s v="ARS"/>
    <n v="2304000"/>
    <s v="ARS"/>
    <n v="1520686.0800000001"/>
    <n v="34"/>
    <s v="OK"/>
    <n v="0"/>
    <n v="0"/>
    <n v="-57.6"/>
    <n v="-0.04"/>
    <n v="0.340005"/>
    <s v="OK"/>
    <s v="10573724"/>
    <m/>
    <s v="Miss"/>
    <s v="Miss"/>
    <m/>
    <s v="Miss"/>
    <m/>
    <s v="Miss"/>
    <n v="2304000"/>
    <n v="1647"/>
    <s v="Miss"/>
    <n v="2304000"/>
    <n v="1649.25"/>
    <s v="ARS"/>
    <n v="1520686.0800000001"/>
    <s v="OK"/>
    <n v="-57.6"/>
    <n v="-0.04"/>
    <n v="0.15"/>
    <n v="345600"/>
    <n v="247.38725841088046"/>
    <n v="-345600"/>
    <n v="4.9000000000000002E-2"/>
    <n v="95961.600000000006"/>
    <n v="68.691195418754475"/>
    <n v="0.1575"/>
  </r>
  <r>
    <s v="T3184062"/>
    <x v="0"/>
    <s v="IMS"/>
    <s v="AR_Media Company_Play Digital Argentina_X | MODO | Promo Diarco"/>
    <m/>
    <m/>
    <x v="0"/>
    <x v="1"/>
    <s v="Argentina"/>
    <n v="718276.95"/>
    <n v="718276.95"/>
    <s v="ARS"/>
    <n v="718276.95"/>
    <s v="ARS"/>
    <x v="13"/>
    <n v="434180.49"/>
    <x v="0"/>
    <x v="0"/>
    <m/>
    <m/>
    <n v="0"/>
    <s v="2026-02"/>
    <s v="February/2026"/>
    <s v="IMS"/>
    <s v="Argentina"/>
    <x v="0"/>
    <s v="ARS"/>
    <n v="718276.95"/>
    <s v="ARS"/>
    <n v="434180.46"/>
    <n v="39.549999999999997"/>
    <s v="OK"/>
    <n v="0"/>
    <n v="0"/>
    <n v="0.03"/>
    <n v="0"/>
    <n v="0.39552495733017745"/>
    <s v="OK"/>
    <s v="10573725"/>
    <m/>
    <s v="Miss"/>
    <s v="Miss"/>
    <m/>
    <s v="Miss"/>
    <m/>
    <s v="Miss"/>
    <n v="718276.95"/>
    <n v="512"/>
    <s v="Miss"/>
    <n v="718276.95"/>
    <n v="514.16"/>
    <s v="ARS"/>
    <n v="434180.46"/>
    <s v="OK"/>
    <n v="0.03"/>
    <n v="0"/>
    <n v="0.15"/>
    <n v="107741.5425"/>
    <n v="77.123509305654977"/>
    <n v="-107741.5425"/>
    <n v="4.9000000000000002E-2"/>
    <n v="29916.2349675"/>
    <n v="21.414627750536866"/>
    <n v="0.1575"/>
  </r>
  <r>
    <s v="T3184279"/>
    <x v="0"/>
    <s v="IMS"/>
    <s v="AR_Media Company_USAL Argentina_X - Arg - USAL - Q42025"/>
    <m/>
    <m/>
    <x v="0"/>
    <x v="1"/>
    <s v="Argentina"/>
    <n v="1206718.48"/>
    <n v="1206718.48"/>
    <s v="ARS"/>
    <n v="1206718.48"/>
    <s v="ARS"/>
    <x v="14"/>
    <n v="729431.2"/>
    <x v="0"/>
    <x v="0"/>
    <m/>
    <m/>
    <n v="0"/>
    <s v="2026-02"/>
    <s v="February/2026"/>
    <s v="IMS"/>
    <s v="Argentina"/>
    <x v="0"/>
    <s v="ARS"/>
    <n v="1206718.48"/>
    <s v="ARS"/>
    <n v="729431.15"/>
    <n v="39.549999999999997"/>
    <s v="OK"/>
    <n v="0"/>
    <n v="0"/>
    <n v="0.05"/>
    <n v="0"/>
    <n v="0.39552496121547764"/>
    <s v="OK"/>
    <s v="10573652"/>
    <m/>
    <s v="Miss"/>
    <s v="Miss"/>
    <m/>
    <s v="Miss"/>
    <m/>
    <s v="Miss"/>
    <n v="1206718.48"/>
    <n v="862"/>
    <s v="Miss"/>
    <n v="1206718.48"/>
    <n v="863.79"/>
    <s v="ARS"/>
    <n v="729431.15"/>
    <s v="OK"/>
    <n v="0.05"/>
    <n v="0"/>
    <n v="0.15"/>
    <n v="181007.772"/>
    <n v="129.56891338582676"/>
    <n v="-181007.772"/>
    <n v="4.9000000000000002E-2"/>
    <n v="50259.824692000002"/>
    <n v="35.976968283464565"/>
    <n v="0.1575"/>
  </r>
  <r>
    <s v="T3186988"/>
    <x v="0"/>
    <s v="IMS"/>
    <s v="AR_Media Company_Cinemark Argentina_X - Arg - Cinemark - Q42025"/>
    <m/>
    <m/>
    <x v="0"/>
    <x v="1"/>
    <s v="Argentina"/>
    <n v="2431431.12"/>
    <n v="2431431.12"/>
    <s v="ARS"/>
    <n v="2431431.12"/>
    <s v="ARS"/>
    <x v="15"/>
    <n v="1469739.42"/>
    <x v="0"/>
    <x v="0"/>
    <m/>
    <m/>
    <n v="0"/>
    <s v="2026-02"/>
    <s v="February/2026"/>
    <s v="IMS"/>
    <s v="Argentina"/>
    <x v="0"/>
    <s v="ARS"/>
    <n v="2431431.12"/>
    <s v="ARS"/>
    <n v="1469739.32"/>
    <n v="39.549999999999997"/>
    <s v="OK"/>
    <n v="0"/>
    <n v="0"/>
    <n v="0.1"/>
    <n v="0"/>
    <n v="0.39552496144739646"/>
    <s v="OK"/>
    <s v="10573662"/>
    <m/>
    <s v="Miss"/>
    <s v="Miss"/>
    <m/>
    <s v="Miss"/>
    <m/>
    <s v="Miss"/>
    <n v="2431431.12"/>
    <n v="1738"/>
    <s v="Miss"/>
    <n v="2431431.12"/>
    <n v="1740.47"/>
    <s v="ARS"/>
    <n v="1469739.33"/>
    <s v="OK"/>
    <n v="0.09"/>
    <n v="0"/>
    <n v="0.15"/>
    <n v="364714.66800000001"/>
    <n v="261.06991267000717"/>
    <n v="-364714.66800000001"/>
    <n v="4.9000000000000002E-2"/>
    <n v="101269.10614800001"/>
    <n v="72.490412418038659"/>
    <n v="0.1575"/>
  </r>
  <r>
    <s v="T3203120"/>
    <x v="1"/>
    <s v="IMS"/>
    <s v="AR_Media Company_WARNER BROS. (SOUTH), ARGENTINA_T3203120 - Warner Argentina | La Novia - 25/01/2026"/>
    <m/>
    <m/>
    <x v="0"/>
    <x v="1"/>
    <s v="Argentina"/>
    <n v="4454635.05"/>
    <n v="4454635.05"/>
    <s v="ARS"/>
    <n v="4454635.05"/>
    <s v="ARS"/>
    <x v="16"/>
    <n v="2940036.86"/>
    <x v="0"/>
    <x v="0"/>
    <m/>
    <m/>
    <n v="0"/>
    <s v="2026-02"/>
    <s v="February/2026"/>
    <s v="IMS"/>
    <s v="Argentina"/>
    <x v="0"/>
    <s v="ARS"/>
    <n v="4454635.05"/>
    <s v="ARS"/>
    <n v="2940148.23"/>
    <n v="34"/>
    <s v="OK"/>
    <n v="0"/>
    <n v="0"/>
    <n v="-111.37"/>
    <n v="-0.08"/>
    <n v="0.34000499996065903"/>
    <s v="OK"/>
    <s v="10573626"/>
    <m/>
    <s v="Miss"/>
    <s v="Miss"/>
    <m/>
    <s v="Miss"/>
    <m/>
    <s v="Miss"/>
    <n v="4454635.05"/>
    <n v="3187"/>
    <s v="Miss"/>
    <n v="4454635.05"/>
    <n v="3188.72"/>
    <s v="ARS"/>
    <n v="2940148.22"/>
    <s v="OK"/>
    <n v="-111.36"/>
    <n v="-0.08"/>
    <n v="0.15"/>
    <n v="668195.25749999995"/>
    <n v="478.30727093772367"/>
    <n v="-668195.25749999995"/>
    <n v="4.9000000000000002E-2"/>
    <n v="185535.54983249999"/>
    <n v="132.80998556370795"/>
    <n v="0.1575"/>
  </r>
  <r>
    <s v="T3203811"/>
    <x v="1"/>
    <s v="IMS"/>
    <s v="AR_Media Company_Mercado Libre Argentina_T3203811 - MLA | Verano | Takeover- 6/Enero, 4/Feb - 07/12/2025"/>
    <m/>
    <m/>
    <x v="0"/>
    <x v="1"/>
    <s v="Argentina"/>
    <n v="2304000"/>
    <n v="2304000"/>
    <s v="ARS"/>
    <n v="2304000"/>
    <s v="ARS"/>
    <x v="12"/>
    <n v="1520628.48"/>
    <x v="0"/>
    <x v="0"/>
    <m/>
    <m/>
    <n v="0"/>
    <s v="2026-02"/>
    <s v="February/2026"/>
    <s v="IMS"/>
    <s v="Argentina"/>
    <x v="0"/>
    <s v="ARS"/>
    <n v="2304000"/>
    <s v="ARS"/>
    <n v="1520686.0800000001"/>
    <n v="34"/>
    <s v="OK"/>
    <n v="0"/>
    <n v="0"/>
    <n v="-57.6"/>
    <n v="-0.04"/>
    <n v="0.340005"/>
    <s v="OK"/>
    <s v="10573677"/>
    <m/>
    <s v="Miss"/>
    <s v="Miss"/>
    <m/>
    <s v="Miss"/>
    <m/>
    <s v="Miss"/>
    <n v="2304000"/>
    <n v="1647"/>
    <s v="Miss"/>
    <n v="2304000"/>
    <n v="1649.25"/>
    <s v="ARS"/>
    <n v="1520686.0800000001"/>
    <s v="OK"/>
    <n v="-57.6"/>
    <n v="-0.04"/>
    <n v="0.15"/>
    <n v="345600"/>
    <n v="247.38725841088046"/>
    <n v="-345600"/>
    <n v="4.9000000000000002E-2"/>
    <n v="95961.600000000006"/>
    <n v="68.691195418754475"/>
    <n v="0.1575"/>
  </r>
  <r>
    <s v="T3207502"/>
    <x v="1"/>
    <s v="IMS"/>
    <s v="AR_Media Company_WARNER BROS. (SOUTH), ARGENTINA_T3207502 - Warner Argentina | La Novia - 19/02/2026"/>
    <m/>
    <m/>
    <x v="0"/>
    <x v="1"/>
    <s v="Argentina"/>
    <n v="1192935.18"/>
    <n v="1192935.18"/>
    <s v="ARS"/>
    <n v="1192935.18"/>
    <s v="ARS"/>
    <x v="17"/>
    <n v="787331.25"/>
    <x v="0"/>
    <x v="0"/>
    <m/>
    <m/>
    <n v="0"/>
    <s v="2026-02"/>
    <s v="February/2026"/>
    <s v="IMS"/>
    <s v="Argentina"/>
    <x v="0"/>
    <s v="ARS"/>
    <n v="1192935.18"/>
    <s v="ARS"/>
    <n v="930489.44"/>
    <n v="22"/>
    <s v="OK"/>
    <n v="0"/>
    <n v="0"/>
    <n v="-143158.19"/>
    <n v="-102.48"/>
    <n v="0.34000500345710316"/>
    <s v="OK"/>
    <s v="10573678"/>
    <m/>
    <s v="Miss"/>
    <s v="Miss"/>
    <m/>
    <s v="Miss"/>
    <m/>
    <s v="Miss"/>
    <n v="1192935.18"/>
    <n v="852"/>
    <s v="Miss"/>
    <n v="1192935.18"/>
    <n v="853.93"/>
    <s v="ARS"/>
    <n v="930489.45"/>
    <s v="OK"/>
    <n v="-143158.20000000001"/>
    <n v="-102.48"/>
    <n v="0.15"/>
    <n v="178940.27699999997"/>
    <n v="128.08895991410162"/>
    <n v="-178940.27699999997"/>
    <n v="4.9000000000000002E-2"/>
    <n v="49685.750246999996"/>
    <n v="35.566034536148891"/>
    <n v="0.1575"/>
  </r>
  <r>
    <s v="T3209384"/>
    <x v="0"/>
    <s v="IMS"/>
    <s v="AR_Media Company_Play Digital Argentina_X | MODO | Cencosud 2026"/>
    <m/>
    <m/>
    <x v="0"/>
    <x v="1"/>
    <s v="Argentina"/>
    <n v="6210184.3200000003"/>
    <n v="6210184.3200000003"/>
    <s v="ARS"/>
    <n v="6210184.3200000003"/>
    <s v="ARS"/>
    <x v="18"/>
    <n v="3753901.42"/>
    <x v="0"/>
    <x v="0"/>
    <m/>
    <m/>
    <n v="0"/>
    <s v="2026-02"/>
    <s v="February/2026"/>
    <s v="IMS"/>
    <s v="Argentina"/>
    <x v="0"/>
    <s v="ARS"/>
    <n v="6210184.3200000003"/>
    <s v="ARS"/>
    <n v="3753901.17"/>
    <n v="39.549999999999997"/>
    <s v="OK"/>
    <n v="0"/>
    <n v="0"/>
    <n v="0.25"/>
    <n v="0"/>
    <n v="0.39552495923341613"/>
    <s v="OK"/>
    <s v="10573653"/>
    <m/>
    <s v="Miss"/>
    <s v="Miss"/>
    <m/>
    <s v="Miss"/>
    <m/>
    <s v="Miss"/>
    <n v="6210184.3200000003"/>
    <n v="4443"/>
    <s v="Miss"/>
    <n v="6210184.3200000003"/>
    <n v="4445.37"/>
    <s v="ARS"/>
    <n v="3753901.16"/>
    <s v="OK"/>
    <n v="0.26"/>
    <n v="0"/>
    <n v="0.15"/>
    <n v="931527.64800000004"/>
    <n v="666.80576091624914"/>
    <n v="-931527.64800000004"/>
    <n v="4.9000000000000002E-2"/>
    <n v="258654.17692800003"/>
    <n v="185.14973294774518"/>
    <n v="0.1575"/>
  </r>
  <r>
    <s v="T3210360"/>
    <x v="0"/>
    <s v="IMS"/>
    <s v="AR_Media Company_Red Bull Argentina Argentina_X - Arg - Red Bull - Summer - Q1 2026"/>
    <m/>
    <m/>
    <x v="0"/>
    <x v="1"/>
    <s v="Argentina"/>
    <n v="5546437.7000000002"/>
    <n v="5546437.7000000002"/>
    <s v="ARS"/>
    <n v="5546437.7000000002"/>
    <s v="ARS"/>
    <x v="19"/>
    <n v="3352683.15"/>
    <x v="0"/>
    <x v="0"/>
    <m/>
    <m/>
    <n v="0"/>
    <s v="2026-02"/>
    <s v="February/2026"/>
    <s v="IMS"/>
    <s v="Argentina"/>
    <x v="0"/>
    <s v="ARS"/>
    <n v="5546437.7000000002"/>
    <s v="ARS"/>
    <n v="3352682.93"/>
    <n v="39.549999999999997"/>
    <s v="OK"/>
    <n v="0"/>
    <n v="0"/>
    <n v="0.22"/>
    <n v="0"/>
    <n v="0.39552496010186866"/>
    <s v="OK"/>
    <s v="10573679"/>
    <m/>
    <s v="Miss"/>
    <s v="Miss"/>
    <m/>
    <s v="Miss"/>
    <m/>
    <s v="Miss"/>
    <n v="5546437.7000000002"/>
    <n v="3968"/>
    <s v="Miss"/>
    <n v="5546437.7000000002"/>
    <n v="3970.25"/>
    <s v="ARS"/>
    <n v="3352682.93"/>
    <s v="OK"/>
    <n v="0.22"/>
    <n v="0"/>
    <n v="0.15"/>
    <n v="831965.65500000003"/>
    <n v="595.53733357193983"/>
    <n v="-831965.65500000003"/>
    <n v="4.9000000000000002E-2"/>
    <n v="231009.13020499999"/>
    <n v="165.36086628847531"/>
    <n v="0.1575"/>
  </r>
  <r>
    <s v="T3217930"/>
    <x v="0"/>
    <s v="IMS"/>
    <s v="AR_Media Company_Pedidosya SA Argentina_X | PedidosYa AR | Bundles FEB-MAR 26"/>
    <m/>
    <m/>
    <x v="0"/>
    <x v="1"/>
    <s v="Argentina"/>
    <n v="6912000"/>
    <n v="6912000"/>
    <s v="ARS"/>
    <n v="6912000"/>
    <s v="ARS"/>
    <x v="20"/>
    <n v="4178131.48"/>
    <x v="0"/>
    <x v="0"/>
    <m/>
    <m/>
    <n v="0"/>
    <s v="2026-02"/>
    <s v="February/2026"/>
    <s v="IMS"/>
    <s v="Argentina"/>
    <x v="0"/>
    <s v="ARS"/>
    <n v="6912000"/>
    <s v="ARS"/>
    <n v="4178131.18"/>
    <n v="39.549999999999997"/>
    <s v="OK"/>
    <n v="0"/>
    <n v="0"/>
    <n v="0.3"/>
    <n v="0"/>
    <n v="0.39552495949074074"/>
    <s v="OK"/>
    <s v="10573627"/>
    <m/>
    <s v="Miss"/>
    <s v="Miss"/>
    <m/>
    <s v="Miss"/>
    <m/>
    <s v="Miss"/>
    <n v="6912000"/>
    <n v="4946"/>
    <s v="Miss"/>
    <n v="6912000"/>
    <n v="4947.75"/>
    <s v="ARS"/>
    <n v="4178131.18"/>
    <s v="OK"/>
    <n v="0.3"/>
    <n v="0"/>
    <n v="0.15"/>
    <n v="1036800"/>
    <n v="742.16177523264128"/>
    <n v="-1036800"/>
    <n v="4.9000000000000002E-2"/>
    <n v="287884.79999999999"/>
    <n v="206.07358625626341"/>
    <n v="0.1575"/>
  </r>
  <r>
    <s v="T3218190"/>
    <x v="0"/>
    <s v="IMS"/>
    <s v="AR_Media Company_Banco Santander Rio Argentina_X | Santander | Verano 2026"/>
    <m/>
    <m/>
    <x v="0"/>
    <x v="1"/>
    <s v="Argentina"/>
    <n v="9005104.1400000006"/>
    <n v="9005104.1400000006"/>
    <s v="ARS"/>
    <n v="9005104.1400000006"/>
    <s v="ARS"/>
    <x v="21"/>
    <n v="5443360.6900000004"/>
    <x v="0"/>
    <x v="0"/>
    <m/>
    <m/>
    <n v="0"/>
    <s v="2026-02"/>
    <s v="February/2026"/>
    <s v="IMS"/>
    <s v="Argentina"/>
    <x v="0"/>
    <s v="ARS"/>
    <n v="9005104.1400000006"/>
    <s v="ARS"/>
    <n v="5443360.3200000003"/>
    <n v="39.549999999999997"/>
    <s v="OK"/>
    <n v="0"/>
    <n v="0"/>
    <n v="0.37"/>
    <n v="0"/>
    <n v="0.39552495947037425"/>
    <s v="OK"/>
    <s v="10573717"/>
    <m/>
    <s v="Miss"/>
    <s v="Miss"/>
    <m/>
    <s v="Miss"/>
    <m/>
    <s v="Miss"/>
    <n v="9005104.1400000006"/>
    <n v="6444"/>
    <s v="Miss"/>
    <n v="9005104.1400000006"/>
    <n v="6446.03"/>
    <s v="ARS"/>
    <n v="5443360.3300000001"/>
    <s v="OK"/>
    <n v="0.36"/>
    <n v="0"/>
    <n v="0.15"/>
    <n v="1350765.621"/>
    <n v="966.90452469577667"/>
    <n v="-1350765.621"/>
    <n v="4.9000000000000002E-2"/>
    <n v="375062.58743100002"/>
    <n v="268.47715635719402"/>
    <n v="0.1575"/>
  </r>
  <r>
    <s v="T3218548"/>
    <x v="0"/>
    <s v="IMS"/>
    <s v="AR_Media Company_Telecom Argentina SA Argentina_AR00395703 | X | Personal | Flow - Lollapalooza - Mar 26"/>
    <s v="SO Exported to ERP"/>
    <m/>
    <x v="0"/>
    <x v="1"/>
    <s v="Argentina"/>
    <n v="241926.19"/>
    <n v="241926.19"/>
    <s v="ARS"/>
    <n v="241926.19"/>
    <s v="ARS"/>
    <x v="22"/>
    <n v="146238.34"/>
    <x v="0"/>
    <x v="0"/>
    <m/>
    <m/>
    <n v="0"/>
    <s v="2026-02"/>
    <s v="February/2026"/>
    <s v="IMS"/>
    <s v="Argentina"/>
    <x v="0"/>
    <s v="ARS"/>
    <n v="241926.19"/>
    <s v="ARS"/>
    <n v="188702.43"/>
    <n v="22"/>
    <s v="OK"/>
    <n v="0"/>
    <n v="0"/>
    <n v="-42464.09"/>
    <n v="-30.4"/>
    <n v="0.39552497396003305"/>
    <s v="OK"/>
    <s v="10573667"/>
    <m/>
    <s v="Miss"/>
    <s v="Miss"/>
    <m/>
    <s v="Miss"/>
    <m/>
    <s v="Miss"/>
    <n v="241926.19"/>
    <n v="171"/>
    <s v="Miss"/>
    <n v="241926.19"/>
    <n v="173.18"/>
    <s v="ARS"/>
    <n v="188702.43"/>
    <s v="OK"/>
    <n v="-42464.09"/>
    <n v="-30.4"/>
    <n v="0.15"/>
    <n v="36288.928500000002"/>
    <n v="25.976326771653543"/>
    <n v="-36288.928500000002"/>
    <n v="4.9000000000000002E-2"/>
    <n v="10076.225813499999"/>
    <n v="7.2127600669291336"/>
    <n v="0.1575"/>
  </r>
  <r>
    <s v="T3219252"/>
    <x v="0"/>
    <s v="IMS"/>
    <s v="AR_Media Company_YPF S.A. ARGENTINA_AR00396301-X-YPF-COMBUSTIBLES-VERANO-Dic/Ene 26"/>
    <m/>
    <m/>
    <x v="0"/>
    <x v="1"/>
    <s v="Argentina"/>
    <n v="1677857.16"/>
    <n v="1677857.16"/>
    <s v="ARS"/>
    <n v="1677857.16"/>
    <s v="ARS"/>
    <x v="23"/>
    <n v="1014222.77"/>
    <x v="0"/>
    <x v="0"/>
    <m/>
    <m/>
    <n v="0"/>
    <s v="2026-02"/>
    <s v="February/2026"/>
    <s v="IMS"/>
    <s v="Argentina"/>
    <x v="0"/>
    <s v="ARS"/>
    <n v="1677857.16"/>
    <s v="ARS"/>
    <n v="1014222.71"/>
    <n v="39.549999999999997"/>
    <s v="OK"/>
    <n v="0"/>
    <n v="0"/>
    <n v="0.06"/>
    <n v="0"/>
    <n v="0.39552496232754397"/>
    <s v="OK"/>
    <s v="10573736"/>
    <m/>
    <s v="Miss"/>
    <s v="Miss"/>
    <m/>
    <s v="Miss"/>
    <m/>
    <s v="Miss"/>
    <n v="1677857.16"/>
    <n v="1199"/>
    <s v="Miss"/>
    <n v="1677857.16"/>
    <n v="1201.04"/>
    <s v="ARS"/>
    <n v="1014222.71"/>
    <s v="OK"/>
    <n v="0.06"/>
    <n v="0"/>
    <n v="0.15"/>
    <n v="251678.57399999996"/>
    <n v="180.15645955619183"/>
    <n v="-251678.57399999996"/>
    <n v="4.9000000000000002E-2"/>
    <n v="69882.750713999994"/>
    <n v="50.023443603435929"/>
    <n v="0.1575"/>
  </r>
  <r>
    <s v="T3219531"/>
    <x v="1"/>
    <s v="IMS"/>
    <s v="AR_Media Company_Mercado Libre Argentina_T3219531 - MLA | Campaña Verano - 28/12/2025"/>
    <m/>
    <m/>
    <x v="0"/>
    <x v="1"/>
    <s v="Argentina"/>
    <n v="1952420.44"/>
    <n v="1952420.44"/>
    <s v="ARS"/>
    <n v="1952420.44"/>
    <s v="ARS"/>
    <x v="24"/>
    <n v="1288587.73"/>
    <x v="0"/>
    <x v="0"/>
    <m/>
    <m/>
    <n v="0"/>
    <s v="2026-02"/>
    <s v="February/2026"/>
    <s v="IMS"/>
    <s v="Argentina"/>
    <x v="0"/>
    <s v="ARS"/>
    <n v="1952420.44"/>
    <s v="ARS"/>
    <n v="1288636.54"/>
    <n v="34"/>
    <s v="OK"/>
    <n v="0"/>
    <n v="0"/>
    <n v="-48.81"/>
    <n v="-0.03"/>
    <n v="0.34000499912815907"/>
    <s v="OK"/>
    <s v="10573702"/>
    <m/>
    <s v="Miss"/>
    <s v="Miss"/>
    <m/>
    <s v="Miss"/>
    <m/>
    <s v="Miss"/>
    <n v="1952420.44"/>
    <n v="1396"/>
    <s v="Miss"/>
    <n v="1952420.44"/>
    <n v="1397.58"/>
    <s v="ARS"/>
    <n v="1288636.54"/>
    <s v="OK"/>
    <n v="-48.81"/>
    <n v="-0.03"/>
    <n v="0.15"/>
    <n v="292863.06599999999"/>
    <n v="209.63712670007155"/>
    <n v="-292863.06599999999"/>
    <n v="4.9000000000000002E-2"/>
    <n v="81318.311325999995"/>
    <n v="58.209242180386539"/>
    <n v="0.1575"/>
  </r>
  <r>
    <s v="T3221498"/>
    <x v="0"/>
    <s v="IMS"/>
    <s v="AR_Media Company_CERVECERIA Y MALTERIA QUILMES SAICA Y G ARGENTINA_AR00396561-X-ABI ARG-SED DE BRAHMA VERANO-Ene-25"/>
    <m/>
    <m/>
    <x v="0"/>
    <x v="1"/>
    <s v="Argentina"/>
    <n v="9577518.6799999997"/>
    <n v="9577518.6799999997"/>
    <s v="ARS"/>
    <n v="9577518.6799999997"/>
    <s v="ARS"/>
    <x v="25"/>
    <n v="5789370.9900000002"/>
    <x v="0"/>
    <x v="0"/>
    <m/>
    <m/>
    <n v="0"/>
    <s v="2026-02"/>
    <s v="February/2026"/>
    <s v="IMS"/>
    <s v="Argentina"/>
    <x v="0"/>
    <s v="ARS"/>
    <n v="9577518.6799999997"/>
    <s v="ARS"/>
    <n v="5789370.5999999996"/>
    <n v="39.549999999999997"/>
    <s v="OK"/>
    <n v="0"/>
    <n v="0"/>
    <n v="0.39"/>
    <n v="0"/>
    <n v="0.39552495970699575"/>
    <s v="OK"/>
    <s v="10573692"/>
    <m/>
    <s v="Miss"/>
    <s v="Miss"/>
    <m/>
    <s v="Miss"/>
    <m/>
    <s v="Miss"/>
    <n v="9577518.6799999997"/>
    <n v="6854"/>
    <s v="Miss"/>
    <n v="9577518.6799999997"/>
    <n v="6855.78"/>
    <s v="ARS"/>
    <n v="5789370.5999999996"/>
    <s v="OK"/>
    <n v="0.39"/>
    <n v="0"/>
    <n v="0.15"/>
    <n v="1436627.8019999999"/>
    <n v="1028.3663579098065"/>
    <n v="-1436627.8019999999"/>
    <n v="4.9000000000000002E-2"/>
    <n v="398903.65302199998"/>
    <n v="285.54305871295634"/>
    <n v="0.1575"/>
  </r>
  <r>
    <s v="T3221499"/>
    <x v="0"/>
    <s v="IMS"/>
    <s v="AR_Media Company_CERVECERIA Y MALTERIA QUILMES SAICA Y G ARGENTINA_AR00396558-X-ABI ARG-SED DE BRAHMA CARNAVAL-Ene-26"/>
    <m/>
    <m/>
    <x v="0"/>
    <x v="1"/>
    <s v="Argentina"/>
    <n v="894756.91"/>
    <n v="894756.91"/>
    <s v="ARS"/>
    <n v="894756.91"/>
    <s v="ARS"/>
    <x v="26"/>
    <n v="540858.22"/>
    <x v="0"/>
    <x v="0"/>
    <m/>
    <m/>
    <n v="0"/>
    <s v="2026-02"/>
    <s v="February/2026"/>
    <s v="IMS"/>
    <s v="Argentina"/>
    <x v="0"/>
    <s v="ARS"/>
    <n v="894756.91"/>
    <s v="ARS"/>
    <n v="540858.18000000005"/>
    <n v="39.549999999999997"/>
    <s v="OK"/>
    <n v="0"/>
    <n v="0"/>
    <n v="0.04"/>
    <n v="0"/>
    <n v="0.39552495884049677"/>
    <s v="OK"/>
    <s v="10573693"/>
    <m/>
    <s v="Miss"/>
    <s v="Miss"/>
    <m/>
    <s v="Miss"/>
    <m/>
    <s v="Miss"/>
    <n v="894756.91"/>
    <n v="638"/>
    <s v="Miss"/>
    <n v="894756.91"/>
    <n v="640.48"/>
    <s v="ARS"/>
    <n v="540858.18999999994"/>
    <s v="OK"/>
    <n v="0.03"/>
    <n v="0"/>
    <n v="0.15"/>
    <n v="134213.53649999999"/>
    <n v="96.07268181818182"/>
    <n v="-134213.53649999999"/>
    <n v="4.9000000000000002E-2"/>
    <n v="37266.625301500004"/>
    <n v="26.676181318181822"/>
    <n v="0.1575"/>
  </r>
  <r>
    <s v="T3221580"/>
    <x v="1"/>
    <s v="IMS"/>
    <s v="AR_Media Company_UIP Argentina_T3221580 - UIP Argentina | Hamnet - 01/01/2026"/>
    <m/>
    <m/>
    <x v="0"/>
    <x v="1"/>
    <s v="Argentina"/>
    <n v="1353203.44"/>
    <n v="1353203.44"/>
    <s v="ARS"/>
    <n v="1353203.44"/>
    <s v="ARS"/>
    <x v="27"/>
    <n v="893107.5"/>
    <x v="0"/>
    <x v="0"/>
    <m/>
    <m/>
    <n v="0"/>
    <s v="2026-02"/>
    <s v="February/2026"/>
    <s v="IMS"/>
    <s v="Argentina"/>
    <x v="0"/>
    <s v="ARS"/>
    <n v="1353203.44"/>
    <s v="ARS"/>
    <n v="893141.33"/>
    <n v="34"/>
    <s v="OK"/>
    <n v="0"/>
    <n v="0"/>
    <n v="-33.83"/>
    <n v="-0.02"/>
    <n v="0.34000500323883298"/>
    <s v="OK"/>
    <s v="10573699"/>
    <m/>
    <s v="Miss"/>
    <s v="Miss"/>
    <m/>
    <s v="Miss"/>
    <m/>
    <s v="Miss"/>
    <n v="1353203.44"/>
    <n v="967"/>
    <s v="Miss"/>
    <n v="1353203.44"/>
    <n v="968.65"/>
    <s v="ARS"/>
    <n v="893141.33"/>
    <s v="OK"/>
    <n v="-33.83"/>
    <n v="-0.02"/>
    <n v="0.15"/>
    <n v="202980.51599999997"/>
    <n v="145.29743450250535"/>
    <n v="-202980.51599999997"/>
    <n v="4.9000000000000002E-2"/>
    <n v="56360.923275999994"/>
    <n v="40.344254313528985"/>
    <n v="0.1575"/>
  </r>
  <r>
    <s v="T3221584"/>
    <x v="0"/>
    <s v="IMS"/>
    <s v="AR_Media Company_Play Digital Argentina_X | MODO | AO Performance"/>
    <m/>
    <m/>
    <x v="0"/>
    <x v="1"/>
    <s v="Argentina"/>
    <n v="2414312.9700000002"/>
    <n v="2414312.9700000002"/>
    <s v="ARS"/>
    <n v="2414312.9700000002"/>
    <s v="ARS"/>
    <x v="28"/>
    <n v="1459391.93"/>
    <x v="0"/>
    <x v="0"/>
    <m/>
    <m/>
    <n v="0"/>
    <s v="2026-02"/>
    <s v="February/2026"/>
    <s v="IMS"/>
    <s v="Argentina"/>
    <x v="0"/>
    <s v="ARS"/>
    <n v="2414312.9700000002"/>
    <s v="ARS"/>
    <n v="1459391.84"/>
    <n v="39.549999999999997"/>
    <s v="OK"/>
    <n v="0"/>
    <n v="0"/>
    <n v="0.09"/>
    <n v="0"/>
    <n v="0.39552495963271905"/>
    <s v="OK"/>
    <s v="10573703"/>
    <m/>
    <s v="Miss"/>
    <s v="Miss"/>
    <m/>
    <s v="Miss"/>
    <m/>
    <s v="Miss"/>
    <n v="2414312.9700000002"/>
    <n v="1726"/>
    <s v="Miss"/>
    <n v="2414312.9700000002"/>
    <n v="1728.21"/>
    <s v="ARS"/>
    <n v="1459391.83"/>
    <s v="OK"/>
    <n v="0.1"/>
    <n v="0"/>
    <n v="0.15"/>
    <n v="362146.94550000003"/>
    <n v="259.23188654259127"/>
    <n v="-362146.94550000003"/>
    <n v="4.9000000000000002E-2"/>
    <n v="100556.13520050001"/>
    <n v="71.980053829992841"/>
    <n v="0.1575"/>
  </r>
  <r>
    <s v="T3222030"/>
    <x v="0"/>
    <s v="IMS"/>
    <s v="AR_Media Company_Hipódromo Argentino de Palermo S.A_AR00397255-X-Hipódromo de Palemro-Beturf-AON 26"/>
    <m/>
    <m/>
    <x v="0"/>
    <x v="1"/>
    <s v="Argentina"/>
    <n v="3962972.34"/>
    <n v="3962972.34"/>
    <s v="ARS"/>
    <n v="3962972.34"/>
    <s v="ARS"/>
    <x v="29"/>
    <n v="2395517.86"/>
    <x v="0"/>
    <x v="0"/>
    <m/>
    <m/>
    <n v="0"/>
    <s v="2026-02"/>
    <s v="February/2026"/>
    <s v="IMS"/>
    <s v="Argentina"/>
    <x v="0"/>
    <s v="ARS"/>
    <n v="3962972.34"/>
    <s v="ARS"/>
    <n v="2395517.7000000002"/>
    <n v="39.549999999999997"/>
    <s v="OK"/>
    <n v="0"/>
    <n v="0"/>
    <n v="0.16"/>
    <n v="0"/>
    <n v="0.39552496094383549"/>
    <s v="OK"/>
    <s v="10573647"/>
    <m/>
    <s v="Miss"/>
    <s v="Miss"/>
    <m/>
    <s v="Miss"/>
    <m/>
    <s v="Miss"/>
    <n v="3962972.34"/>
    <n v="2835"/>
    <s v="Miss"/>
    <n v="3962972.34"/>
    <n v="2836.77"/>
    <s v="ARS"/>
    <n v="2395517.71"/>
    <s v="OK"/>
    <n v="0.15"/>
    <n v="0"/>
    <n v="0.15"/>
    <n v="594445.85099999991"/>
    <n v="425.5159992841804"/>
    <n v="-594445.85099999991"/>
    <n v="4.9000000000000002E-2"/>
    <n v="165057.79796099997"/>
    <n v="118.15160913457407"/>
    <n v="0.1575"/>
  </r>
  <r>
    <s v="T3222032"/>
    <x v="0"/>
    <s v="IMS"/>
    <s v="AR_Media Company_Hipódromo Argentino de Palermo S.A_AR00397261-X-Hipódromo de Palermo-Betfun-AON 26"/>
    <m/>
    <m/>
    <x v="0"/>
    <x v="1"/>
    <s v="Argentina"/>
    <n v="893323.9"/>
    <n v="893323.9"/>
    <s v="ARS"/>
    <n v="893323.9"/>
    <s v="ARS"/>
    <x v="30"/>
    <n v="539992"/>
    <x v="0"/>
    <x v="0"/>
    <m/>
    <m/>
    <n v="0"/>
    <s v="2026-02"/>
    <s v="February/2026"/>
    <s v="IMS"/>
    <s v="Argentina"/>
    <x v="0"/>
    <s v="ARS"/>
    <n v="893323.9"/>
    <s v="ARS"/>
    <n v="539991.97"/>
    <n v="39.549999999999997"/>
    <s v="OK"/>
    <n v="0"/>
    <n v="0"/>
    <n v="0.03"/>
    <n v="0"/>
    <n v="0.39552496020760219"/>
    <s v="OK"/>
    <s v="10573737"/>
    <m/>
    <s v="Miss"/>
    <s v="Miss"/>
    <m/>
    <s v="Miss"/>
    <m/>
    <s v="Miss"/>
    <n v="893323.9"/>
    <n v="637"/>
    <s v="Miss"/>
    <n v="893323.9"/>
    <n v="639.46"/>
    <s v="ARS"/>
    <n v="539991.96"/>
    <s v="OK"/>
    <n v="0.04"/>
    <n v="0"/>
    <n v="0.15"/>
    <n v="133998.58499999999"/>
    <n v="95.918815318539728"/>
    <n v="-133998.58499999999"/>
    <n v="4.9000000000000002E-2"/>
    <n v="37206.940434999997"/>
    <n v="26.633457720114528"/>
    <n v="0.1575"/>
  </r>
  <r>
    <s v="T3222033"/>
    <x v="0"/>
    <s v="IMS"/>
    <s v="AR_Media Company_Hipódromo Argentino de Palermo S.A_AR00397257-X-Hipódromo de Palermo-Sala-AON 26"/>
    <m/>
    <m/>
    <x v="0"/>
    <x v="1"/>
    <s v="Argentina"/>
    <n v="4055968.32"/>
    <n v="4055968.32"/>
    <s v="ARS"/>
    <n v="4055968.32"/>
    <s v="ARS"/>
    <x v="31"/>
    <n v="2451731.61"/>
    <x v="0"/>
    <x v="0"/>
    <m/>
    <m/>
    <n v="0"/>
    <s v="2026-02"/>
    <s v="February/2026"/>
    <s v="IMS"/>
    <s v="Argentina"/>
    <x v="0"/>
    <s v="ARS"/>
    <n v="4055968.32"/>
    <s v="ARS"/>
    <n v="2451731.44"/>
    <n v="39.549999999999997"/>
    <s v="OK"/>
    <n v="0"/>
    <n v="0"/>
    <n v="0.17"/>
    <n v="0"/>
    <n v="0.39552496060915976"/>
    <s v="OK"/>
    <s v="10573704"/>
    <m/>
    <s v="Miss"/>
    <s v="Miss"/>
    <m/>
    <s v="Miss"/>
    <m/>
    <s v="Miss"/>
    <n v="4055968.32"/>
    <n v="2901"/>
    <s v="Miss"/>
    <n v="4055968.32"/>
    <n v="2903.34"/>
    <s v="ARS"/>
    <n v="2451731.4500000002"/>
    <s v="OK"/>
    <n v="0.16"/>
    <n v="0"/>
    <n v="0.15"/>
    <n v="608395.24799999991"/>
    <n v="435.50125125268431"/>
    <n v="-608395.24799999991"/>
    <n v="4.9000000000000002E-2"/>
    <n v="168931.08052799999"/>
    <n v="120.92418076449535"/>
    <n v="0.1575"/>
  </r>
  <r>
    <s v="T3222060"/>
    <x v="0"/>
    <s v="IMS"/>
    <s v="AR_Media Company_Play Digital Argentina_X | MODO | ChangoMás"/>
    <m/>
    <m/>
    <x v="0"/>
    <x v="1"/>
    <s v="Argentina"/>
    <n v="1699231.77"/>
    <n v="1699231.77"/>
    <s v="ARS"/>
    <n v="1699231.77"/>
    <s v="ARS"/>
    <x v="32"/>
    <n v="1027143.19"/>
    <x v="0"/>
    <x v="0"/>
    <m/>
    <m/>
    <n v="0"/>
    <s v="2026-02"/>
    <s v="February/2026"/>
    <s v="IMS"/>
    <s v="Argentina"/>
    <x v="0"/>
    <s v="ARS"/>
    <n v="1699231.77"/>
    <s v="ARS"/>
    <n v="1027143.13"/>
    <n v="39.549999999999997"/>
    <s v="OK"/>
    <n v="0"/>
    <n v="0"/>
    <n v="0.06"/>
    <n v="0"/>
    <n v="0.39552496125940495"/>
    <s v="OK"/>
    <s v="10573628"/>
    <m/>
    <s v="Miss"/>
    <s v="Miss"/>
    <m/>
    <s v="Miss"/>
    <m/>
    <s v="Miss"/>
    <n v="1699231.77"/>
    <n v="1214"/>
    <s v="Miss"/>
    <n v="1699231.77"/>
    <n v="1216.3399999999999"/>
    <s v="ARS"/>
    <n v="1027143.13"/>
    <s v="OK"/>
    <n v="0.06"/>
    <n v="0"/>
    <n v="0.15"/>
    <n v="254884.76549999998"/>
    <n v="182.45151431639226"/>
    <n v="-254884.76549999998"/>
    <n v="4.9000000000000002E-2"/>
    <n v="70773.003220500002"/>
    <n v="50.660703808518257"/>
    <n v="0.1575"/>
  </r>
  <r>
    <s v="T3222574"/>
    <x v="0"/>
    <s v="IMS"/>
    <s v="AR_Media Company_Arcos Dorados Argentina Argentina_AR00397993 | X | MCD ARG | CF-LITTLE MC - Ene/Feb 2026"/>
    <m/>
    <m/>
    <x v="0"/>
    <x v="1"/>
    <s v="Argentina"/>
    <n v="4381827.7699999996"/>
    <n v="4381827.7699999996"/>
    <s v="ARS"/>
    <n v="4381827.7699999996"/>
    <s v="ARS"/>
    <x v="33"/>
    <n v="2648705.52"/>
    <x v="0"/>
    <x v="0"/>
    <m/>
    <m/>
    <n v="0"/>
    <s v="2026-02"/>
    <s v="February/2026"/>
    <s v="IMS"/>
    <s v="Argentina"/>
    <x v="0"/>
    <s v="ARS"/>
    <n v="4381827.87"/>
    <s v="ARS"/>
    <n v="2648705.4"/>
    <n v="39.549999999999997"/>
    <s v="OK"/>
    <n v="-0.1"/>
    <n v="0"/>
    <n v="0.12"/>
    <n v="0"/>
    <n v="0.39552495921125619"/>
    <s v="OK"/>
    <s v="10573648"/>
    <s v="Do the Upsell OR Create New Opp"/>
    <s v="Miss"/>
    <s v="Miss"/>
    <m/>
    <s v="Miss"/>
    <m/>
    <s v="Miss"/>
    <n v="4381827.7699999996"/>
    <n v="3135"/>
    <s v="Miss"/>
    <n v="4381827.7699999996"/>
    <n v="3136.6"/>
    <s v="ARS"/>
    <n v="2648705.4"/>
    <s v="OK"/>
    <n v="0.12"/>
    <n v="0"/>
    <n v="0.15"/>
    <n v="657274.16549999989"/>
    <n v="470.48973908375081"/>
    <n v="-657274.16549999989"/>
    <n v="4.9000000000000002E-2"/>
    <n v="182503.12662049997"/>
    <n v="130.63931755225482"/>
    <n v="0.1575"/>
  </r>
  <r>
    <s v="T3222582"/>
    <x v="0"/>
    <s v="IMS"/>
    <s v="AR_Media Company_BANCO SUPERVIELLE ARGENTINA_X | Banco Supervielle |  ENE 26"/>
    <m/>
    <m/>
    <x v="0"/>
    <x v="1"/>
    <s v="Argentina"/>
    <n v="4712962.42"/>
    <n v="4712962.42"/>
    <s v="ARS"/>
    <n v="4712962.42"/>
    <s v="ARS"/>
    <x v="34"/>
    <n v="2848868.15"/>
    <x v="0"/>
    <x v="0"/>
    <m/>
    <m/>
    <n v="0"/>
    <s v="2026-02"/>
    <s v="February/2026"/>
    <s v="IMS"/>
    <s v="Argentina"/>
    <x v="0"/>
    <s v="ARS"/>
    <n v="4712962.42"/>
    <s v="ARS"/>
    <n v="2848867.96"/>
    <n v="39.549999999999997"/>
    <s v="OK"/>
    <n v="0"/>
    <n v="0"/>
    <n v="0.19"/>
    <n v="0"/>
    <n v="0.39552495943729593"/>
    <s v="OK"/>
    <s v="10573620"/>
    <m/>
    <s v="Miss"/>
    <s v="Miss"/>
    <m/>
    <s v="Miss"/>
    <m/>
    <s v="Miss"/>
    <n v="4712962.42"/>
    <n v="3372"/>
    <s v="Miss"/>
    <n v="4712962.42"/>
    <n v="3373.63"/>
    <s v="ARS"/>
    <n v="2848867.95"/>
    <s v="OK"/>
    <n v="0.2"/>
    <n v="0"/>
    <n v="0.15"/>
    <n v="706944.36300000001"/>
    <n v="506.04464065855399"/>
    <n v="-706944.36300000001"/>
    <n v="4.9000000000000002E-2"/>
    <n v="196294.884793"/>
    <n v="140.51172855619185"/>
    <n v="0.1575"/>
  </r>
  <r>
    <s v="T3222819"/>
    <x v="0"/>
    <s v="IMS"/>
    <s v="AR_Media Company_TARJETA NARANJA SA Argentina_AR00398214-X-ARG-Naranja X-Verano-Ene/Feb 26"/>
    <m/>
    <m/>
    <x v="0"/>
    <x v="1"/>
    <s v="Argentina"/>
    <n v="7779983.4400000004"/>
    <n v="7779983.4400000004"/>
    <s v="ARS"/>
    <n v="7779983.4400000004"/>
    <s v="ARS"/>
    <x v="35"/>
    <n v="4702805.8"/>
    <x v="0"/>
    <x v="0"/>
    <m/>
    <m/>
    <n v="0"/>
    <s v="2026-02"/>
    <s v="February/2026"/>
    <s v="IMS"/>
    <s v="Argentina"/>
    <x v="0"/>
    <s v="ARS"/>
    <n v="7779983.4400000004"/>
    <s v="ARS"/>
    <n v="4702805.49"/>
    <n v="39.549999999999997"/>
    <s v="OK"/>
    <n v="0"/>
    <n v="0"/>
    <n v="0.31"/>
    <n v="0"/>
    <n v="0.39552496014053218"/>
    <s v="OK"/>
    <s v="10573649"/>
    <m/>
    <s v="Miss"/>
    <s v="Miss"/>
    <m/>
    <s v="Miss"/>
    <m/>
    <s v="Miss"/>
    <n v="7779983.4400000004"/>
    <n v="5567"/>
    <s v="Miss"/>
    <n v="7779983.4400000004"/>
    <n v="5569.06"/>
    <s v="ARS"/>
    <n v="4702805.49"/>
    <s v="OK"/>
    <n v="0.31"/>
    <n v="0"/>
    <n v="0.15"/>
    <n v="1166997.5160000001"/>
    <n v="835.35971080887623"/>
    <n v="-1166997.5160000001"/>
    <n v="4.9000000000000002E-2"/>
    <n v="324036.31027600006"/>
    <n v="231.95154636793131"/>
    <n v="0.1575"/>
  </r>
  <r>
    <s v="T3223536"/>
    <x v="1"/>
    <s v="IMS"/>
    <s v="AR_Media Company_Mercado Libre Argentina_T3223536 - MPA | Somos Francos | Takeovers- 6/Feb, 4/Mar"/>
    <m/>
    <m/>
    <x v="0"/>
    <x v="1"/>
    <s v="Argentina"/>
    <n v="2937600"/>
    <n v="2937600"/>
    <s v="ARS"/>
    <n v="2937600"/>
    <s v="ARS"/>
    <x v="36"/>
    <n v="1938801.31"/>
    <x v="0"/>
    <x v="0"/>
    <m/>
    <m/>
    <n v="0"/>
    <s v="2026-02"/>
    <s v="February/2026"/>
    <s v="IMS"/>
    <s v="Argentina"/>
    <x v="0"/>
    <s v="ARS"/>
    <n v="2937600"/>
    <s v="ARS"/>
    <n v="1938874.75"/>
    <n v="34"/>
    <s v="OK"/>
    <n v="0"/>
    <n v="0"/>
    <n v="-73.44"/>
    <n v="-0.05"/>
    <n v="0.34000500068082795"/>
    <s v="OK"/>
    <s v="10573672"/>
    <m/>
    <s v="Miss"/>
    <s v="Miss"/>
    <m/>
    <s v="Miss"/>
    <m/>
    <s v="Miss"/>
    <n v="2937600"/>
    <n v="2101"/>
    <s v="Miss"/>
    <n v="2937600"/>
    <n v="2102.79"/>
    <s v="ARS"/>
    <n v="1938874.75"/>
    <s v="OK"/>
    <n v="-73.44"/>
    <n v="-0.05"/>
    <n v="0.15"/>
    <n v="440640"/>
    <n v="315.41875447387258"/>
    <n v="-440640"/>
    <n v="4.9000000000000002E-2"/>
    <n v="122351.04000000001"/>
    <n v="87.581274158911967"/>
    <n v="0.1575"/>
  </r>
  <r>
    <s v="T3224678"/>
    <x v="0"/>
    <s v="IMS"/>
    <s v="AR_Media Company_Assist Card Argentina Argentina_AR00398290 | X | Assist Card AR | 2026"/>
    <m/>
    <m/>
    <x v="0"/>
    <x v="1"/>
    <s v="Argentina"/>
    <n v="1651074.28"/>
    <n v="1651074.28"/>
    <s v="ARS"/>
    <n v="1651074.28"/>
    <s v="ARS"/>
    <x v="37"/>
    <n v="998033.19"/>
    <x v="0"/>
    <x v="0"/>
    <m/>
    <m/>
    <n v="0"/>
    <s v="2026-02"/>
    <s v="February/2026"/>
    <s v="IMS"/>
    <s v="Argentina"/>
    <x v="0"/>
    <s v="ARS"/>
    <n v="1651074.28"/>
    <s v="ARS"/>
    <n v="998033.13"/>
    <n v="39.549999999999997"/>
    <s v="OK"/>
    <n v="0"/>
    <n v="0"/>
    <n v="0.06"/>
    <n v="0"/>
    <n v="0.39552496087577604"/>
    <s v="OK"/>
    <s v="10573666"/>
    <m/>
    <s v="Miss"/>
    <s v="Miss"/>
    <m/>
    <s v="Miss"/>
    <m/>
    <s v="Miss"/>
    <n v="1651074.28"/>
    <n v="1180"/>
    <s v="Miss"/>
    <n v="1651074.28"/>
    <n v="1181.8699999999999"/>
    <s v="ARS"/>
    <n v="998033.13"/>
    <s v="OK"/>
    <n v="0.06"/>
    <n v="0"/>
    <n v="0.15"/>
    <n v="247661.14199999999"/>
    <n v="177.28070293486041"/>
    <n v="-247661.14199999999"/>
    <n v="4.9000000000000002E-2"/>
    <n v="68767.243761999998"/>
    <n v="49.224941848246239"/>
    <n v="0.1575"/>
  </r>
  <r>
    <s v="T3224761"/>
    <x v="0"/>
    <s v="IMS"/>
    <s v="AR_Media Company_Telecom Argentina SA Argentina_AR00398495 | X | PERSONAL | Ecosistema parte 2 | Ene-Feb 2026"/>
    <s v="SO Exported to ERP"/>
    <m/>
    <x v="0"/>
    <x v="1"/>
    <s v="Argentina"/>
    <n v="7514153.1299999999"/>
    <n v="7514153.1299999999"/>
    <s v="ARS"/>
    <n v="7514153.1299999999"/>
    <s v="ARS"/>
    <x v="38"/>
    <n v="4542118.01"/>
    <x v="0"/>
    <x v="0"/>
    <m/>
    <m/>
    <n v="0"/>
    <s v="2026-02"/>
    <s v="February/2026"/>
    <s v="IMS"/>
    <s v="Argentina"/>
    <x v="0"/>
    <s v="ARS"/>
    <n v="7514153.1299999999"/>
    <s v="ARS"/>
    <n v="4542117.71"/>
    <n v="39.549999999999997"/>
    <s v="OK"/>
    <n v="0"/>
    <n v="0"/>
    <n v="0.3"/>
    <n v="0"/>
    <n v="0.39552496050875663"/>
    <s v="OK"/>
    <s v="10573630"/>
    <m/>
    <s v="Miss"/>
    <s v="Miss"/>
    <m/>
    <s v="Miss"/>
    <m/>
    <s v="Miss"/>
    <n v="7514153.1299999999"/>
    <n v="5377"/>
    <s v="Miss"/>
    <n v="7514153.1299999999"/>
    <n v="5378.78"/>
    <s v="ARS"/>
    <n v="4542117.71"/>
    <s v="OK"/>
    <n v="0.3"/>
    <n v="0"/>
    <n v="0.15"/>
    <n v="1127122.9694999999"/>
    <n v="806.81672834645667"/>
    <n v="-1127122.9694999999"/>
    <n v="4.9000000000000002E-2"/>
    <n v="312964.47786449996"/>
    <n v="224.02611157086611"/>
    <n v="0.1575"/>
  </r>
  <r>
    <s v="T3225314"/>
    <x v="0"/>
    <s v="IMS"/>
    <s v="AR_Media Company_BANCO DE LA PROVINCIA DE BUENOS AIRES Argentina_X | Bapro | ENE 26"/>
    <m/>
    <m/>
    <x v="0"/>
    <x v="1"/>
    <s v="Argentina"/>
    <n v="7991501.8099999996"/>
    <n v="7991501.8099999996"/>
    <s v="ARS"/>
    <n v="7991501.8099999996"/>
    <s v="ARS"/>
    <x v="39"/>
    <n v="4830663.38"/>
    <x v="0"/>
    <x v="0"/>
    <m/>
    <m/>
    <n v="0"/>
    <s v="2026-02"/>
    <s v="February/2026"/>
    <s v="IMS"/>
    <s v="Argentina"/>
    <x v="0"/>
    <s v="ARS"/>
    <n v="7991501.8099999996"/>
    <s v="ARS"/>
    <n v="4830663.04"/>
    <n v="39.549999999999997"/>
    <s v="OK"/>
    <n v="0"/>
    <n v="0"/>
    <n v="0.34"/>
    <n v="0"/>
    <n v="0.39552495953198064"/>
    <s v="OK"/>
    <s v="10573696"/>
    <m/>
    <s v="Miss"/>
    <s v="Miss"/>
    <m/>
    <s v="Miss"/>
    <m/>
    <s v="Miss"/>
    <n v="7991501.8099999996"/>
    <n v="5718"/>
    <s v="Miss"/>
    <n v="7991501.8099999996"/>
    <n v="5720.47"/>
    <s v="ARS"/>
    <n v="4830663.0599999996"/>
    <s v="OK"/>
    <n v="0.32"/>
    <n v="0"/>
    <n v="0.15"/>
    <n v="1198725.2714999998"/>
    <n v="858.07106048675735"/>
    <n v="-1198725.2714999998"/>
    <n v="4.9000000000000002E-2"/>
    <n v="332846.05038650002"/>
    <n v="238.25773112848964"/>
    <n v="0.1575"/>
  </r>
  <r>
    <s v="T3225345"/>
    <x v="1"/>
    <s v="IMS"/>
    <s v="AR_Media Company_Mercado Libre Argentina_T3225345 - MLA | LPF | video - 19/01/2026"/>
    <m/>
    <m/>
    <x v="0"/>
    <x v="1"/>
    <s v="Argentina"/>
    <n v="8088113.9100000001"/>
    <n v="8088113.9100000001"/>
    <s v="ARS"/>
    <n v="8088113.9100000001"/>
    <s v="ARS"/>
    <x v="40"/>
    <n v="5338114.74"/>
    <x v="0"/>
    <x v="0"/>
    <m/>
    <m/>
    <n v="0"/>
    <s v="2026-02"/>
    <s v="February/2026"/>
    <s v="IMS"/>
    <s v="Argentina"/>
    <x v="0"/>
    <s v="ARS"/>
    <n v="8088113.9100000001"/>
    <s v="ARS"/>
    <n v="5338316.9400000004"/>
    <n v="34"/>
    <s v="OK"/>
    <n v="0"/>
    <n v="0"/>
    <n v="-202.2"/>
    <n v="-0.14000000000000001"/>
    <n v="0.34000500000376477"/>
    <s v="OK"/>
    <s v="10573632"/>
    <m/>
    <s v="Miss"/>
    <s v="Miss"/>
    <m/>
    <s v="Miss"/>
    <m/>
    <s v="Miss"/>
    <n v="8088113.9100000001"/>
    <n v="5788"/>
    <s v="Miss"/>
    <n v="8088113.9100000001"/>
    <n v="5789.63"/>
    <s v="ARS"/>
    <n v="5338316.9400000004"/>
    <s v="OK"/>
    <n v="-202.2"/>
    <n v="-0.14000000000000001"/>
    <n v="0.15"/>
    <n v="1213217.0865"/>
    <n v="868.44458589835369"/>
    <n v="-1213217.0865"/>
    <n v="4.9000000000000002E-2"/>
    <n v="336869.94435150002"/>
    <n v="241.13811335110952"/>
    <n v="0.1575"/>
  </r>
  <r>
    <s v="T3225691"/>
    <x v="1"/>
    <s v="IMS"/>
    <s v="AR_Media Company_Mercado Libre Argentina_T3225691 - MPA | Somos Francos - 26/01/2026"/>
    <m/>
    <m/>
    <x v="0"/>
    <x v="1"/>
    <s v="Argentina"/>
    <n v="4701458.79"/>
    <n v="4701458.79"/>
    <s v="ARS"/>
    <n v="4701458.79"/>
    <s v="ARS"/>
    <x v="41"/>
    <n v="3102939.29"/>
    <x v="0"/>
    <x v="0"/>
    <m/>
    <m/>
    <n v="0"/>
    <s v="2026-02"/>
    <s v="February/2026"/>
    <s v="IMS"/>
    <s v="Argentina"/>
    <x v="0"/>
    <s v="ARS"/>
    <n v="4701458.79"/>
    <s v="ARS"/>
    <n v="3103056.83"/>
    <n v="34"/>
    <s v="OK"/>
    <n v="0"/>
    <n v="0"/>
    <n v="-117.54"/>
    <n v="-0.08"/>
    <n v="0.34000500087335661"/>
    <s v="OK"/>
    <s v="10573671"/>
    <m/>
    <s v="Miss"/>
    <s v="Miss"/>
    <m/>
    <s v="Miss"/>
    <m/>
    <s v="Miss"/>
    <n v="4701458.79"/>
    <n v="3363"/>
    <s v="Miss"/>
    <n v="4701458.79"/>
    <n v="3365.4"/>
    <s v="ARS"/>
    <n v="3103056.83"/>
    <s v="OK"/>
    <n v="-117.54"/>
    <n v="-0.08"/>
    <n v="0.15"/>
    <n v="705218.81849999994"/>
    <n v="504.80946206156045"/>
    <n v="-705218.81849999994"/>
    <n v="4.9000000000000002E-2"/>
    <n v="195815.7586035"/>
    <n v="140.16876063242663"/>
    <n v="0.1575"/>
  </r>
  <r>
    <s v="T3227274"/>
    <x v="1"/>
    <s v="IMS"/>
    <s v="AR_Media Company_Mercado Libre Argentina_T3227274 - MLA | Fecha Doble 2/2 - 15/01/2026"/>
    <m/>
    <m/>
    <x v="0"/>
    <x v="1"/>
    <s v="Argentina"/>
    <n v="1745729.16"/>
    <n v="1745729.16"/>
    <s v="ARS"/>
    <n v="1745729.16"/>
    <s v="ARS"/>
    <x v="42"/>
    <n v="1152172.52"/>
    <x v="0"/>
    <x v="0"/>
    <m/>
    <m/>
    <n v="0"/>
    <s v="2026-02"/>
    <s v="February/2026"/>
    <s v="IMS"/>
    <s v="Argentina"/>
    <x v="0"/>
    <s v="ARS"/>
    <n v="1745729.16"/>
    <s v="ARS"/>
    <n v="1152216.1599999999"/>
    <n v="34"/>
    <s v="OK"/>
    <n v="0"/>
    <n v="0"/>
    <n v="-43.64"/>
    <n v="-0.03"/>
    <n v="0.34000499825528496"/>
    <s v="OK"/>
    <s v="10573639"/>
    <m/>
    <s v="Miss"/>
    <s v="Miss"/>
    <m/>
    <s v="Miss"/>
    <m/>
    <s v="Miss"/>
    <n v="1745729.16"/>
    <n v="1248"/>
    <s v="Miss"/>
    <n v="1745729.16"/>
    <n v="1249.6300000000001"/>
    <s v="ARS"/>
    <n v="1152216.1599999999"/>
    <s v="OK"/>
    <n v="-43.64"/>
    <n v="-0.03"/>
    <n v="0.15"/>
    <n v="261859.37399999998"/>
    <n v="187.44407587687903"/>
    <n v="-261859.37399999998"/>
    <n v="4.9000000000000002E-2"/>
    <n v="72709.619513999991"/>
    <n v="52.046971735146734"/>
    <n v="0.1575"/>
  </r>
  <r>
    <s v="T3231502"/>
    <x v="0"/>
    <s v="IMS"/>
    <s v="AR_Media Company_FAST FOOD SUDAMERICANA ARGENTINA_X | Burger King - Cosquin Rock '26"/>
    <m/>
    <m/>
    <x v="0"/>
    <x v="1"/>
    <s v="Argentina"/>
    <n v="92012.77"/>
    <n v="92012.77"/>
    <s v="ARS"/>
    <n v="92012.77"/>
    <s v="ARS"/>
    <x v="43"/>
    <n v="55619.42"/>
    <x v="0"/>
    <x v="0"/>
    <m/>
    <m/>
    <n v="0"/>
    <s v="2026-02"/>
    <s v="February/2026"/>
    <s v="IMS"/>
    <s v="Argentina"/>
    <x v="0"/>
    <s v="ARS"/>
    <n v="92012.77"/>
    <s v="ARS"/>
    <n v="55619.42"/>
    <n v="39.549999999999997"/>
    <s v="OK"/>
    <n v="0"/>
    <n v="0"/>
    <n v="0"/>
    <n v="0"/>
    <n v="0.3955249907159627"/>
    <s v="OK"/>
    <s v="10573641"/>
    <s v="Manually insert Revenue,Manually insert Cogs"/>
    <s v="Miss"/>
    <s v="Miss"/>
    <m/>
    <s v="Miss"/>
    <m/>
    <s v="Miss"/>
    <n v="92012.77"/>
    <n v="64"/>
    <s v="Miss"/>
    <n v="92012.77"/>
    <n v="65.86"/>
    <s v="ARS"/>
    <n v="55619.42"/>
    <s v="OK"/>
    <n v="0"/>
    <n v="0"/>
    <n v="0.15"/>
    <n v="13801.915500000001"/>
    <n v="9.8796818181818189"/>
    <n v="-13801.915500000001"/>
    <n v="4.9000000000000002E-2"/>
    <n v="3832.3318705000002"/>
    <n v="2.7432583181818182"/>
    <n v="0.1575"/>
  </r>
  <r>
    <s v="T3231647"/>
    <x v="0"/>
    <s v="IMS"/>
    <s v="AR_Media Company_Play Digital Argentina_AR00400737 X | MODO | Promo COTO"/>
    <m/>
    <m/>
    <x v="0"/>
    <x v="1"/>
    <s v="Argentina"/>
    <n v="4109964.98"/>
    <n v="4109964.98"/>
    <s v="ARS"/>
    <n v="4109964.98"/>
    <s v="ARS"/>
    <x v="44"/>
    <n v="2484371.25"/>
    <x v="0"/>
    <x v="0"/>
    <m/>
    <m/>
    <n v="0"/>
    <s v="2026-02"/>
    <s v="February/2026"/>
    <s v="IMS"/>
    <s v="Argentina"/>
    <x v="0"/>
    <s v="ARS"/>
    <n v="4109964.98"/>
    <s v="ARS"/>
    <n v="2484371.08"/>
    <n v="39.549999999999997"/>
    <s v="OK"/>
    <n v="0"/>
    <n v="0"/>
    <n v="0.17"/>
    <n v="0"/>
    <n v="0.39552495894989348"/>
    <s v="OK"/>
    <s v="10573633"/>
    <m/>
    <s v="Miss"/>
    <s v="Miss"/>
    <m/>
    <s v="Miss"/>
    <m/>
    <s v="Miss"/>
    <n v="4109964.98"/>
    <n v="2940"/>
    <s v="Miss"/>
    <n v="4109964.98"/>
    <n v="2941.99"/>
    <s v="ARS"/>
    <n v="2484371.08"/>
    <s v="OK"/>
    <n v="0.17"/>
    <n v="0"/>
    <n v="0.15"/>
    <n v="616494.74699999997"/>
    <n v="441.29903149606292"/>
    <n v="-616494.74699999997"/>
    <n v="4.9000000000000002E-2"/>
    <n v="171180.041417"/>
    <n v="122.53403107874016"/>
    <n v="0.1575"/>
  </r>
  <r>
    <s v="T3231673"/>
    <x v="0"/>
    <s v="IMS"/>
    <s v="AR_Media Company_Bayer Argentina_X - Arg - FieldView - Año 2026"/>
    <m/>
    <m/>
    <x v="0"/>
    <x v="1"/>
    <s v="Argentina"/>
    <n v="798524.61"/>
    <n v="798524.61"/>
    <s v="ARS"/>
    <n v="798524.61"/>
    <s v="ARS"/>
    <x v="45"/>
    <n v="482688.2"/>
    <x v="0"/>
    <x v="0"/>
    <m/>
    <m/>
    <n v="0"/>
    <s v="2026-02"/>
    <s v="February/2026"/>
    <s v="IMS"/>
    <s v="Argentina"/>
    <x v="0"/>
    <s v="ARS"/>
    <n v="798524.61"/>
    <s v="ARS"/>
    <n v="482688.16"/>
    <n v="39.549999999999997"/>
    <s v="OK"/>
    <n v="0"/>
    <n v="0"/>
    <n v="0.04"/>
    <n v="0"/>
    <n v="0.39552495445318836"/>
    <s v="OK"/>
    <s v="10573655"/>
    <m/>
    <s v="Miss"/>
    <s v="Miss"/>
    <m/>
    <s v="Miss"/>
    <m/>
    <s v="Miss"/>
    <n v="798524.61"/>
    <n v="570"/>
    <s v="Miss"/>
    <n v="798524.61"/>
    <n v="571.6"/>
    <s v="ARS"/>
    <n v="482688.16"/>
    <s v="OK"/>
    <n v="0.04"/>
    <n v="0"/>
    <n v="0.15"/>
    <n v="119778.69149999999"/>
    <n v="85.739936649964207"/>
    <n v="-119778.69149999999"/>
    <n v="4.9000000000000002E-2"/>
    <n v="33258.550006499994"/>
    <n v="23.807122409806723"/>
    <n v="0.1575"/>
  </r>
  <r>
    <s v="T3233788"/>
    <x v="0"/>
    <s v="IMS"/>
    <s v="AR_Media Company_Honda Motor de Argentina_X | Arg | Honda | Q1 2026"/>
    <m/>
    <m/>
    <x v="0"/>
    <x v="1"/>
    <s v="Argentina"/>
    <n v="2028302.04"/>
    <n v="2028302.04"/>
    <s v="ARS"/>
    <n v="2028302.04"/>
    <s v="ARS"/>
    <x v="46"/>
    <n v="1226057.96"/>
    <x v="0"/>
    <x v="0"/>
    <m/>
    <m/>
    <n v="0"/>
    <s v="2026-02"/>
    <s v="February/2026"/>
    <s v="IMS"/>
    <s v="Argentina"/>
    <x v="0"/>
    <s v="ARS"/>
    <n v="2028302.04"/>
    <s v="ARS"/>
    <n v="1226057.8700000001"/>
    <n v="39.549999999999997"/>
    <s v="OK"/>
    <n v="0"/>
    <n v="0"/>
    <n v="0.09"/>
    <n v="0"/>
    <n v="0.39552495840313806"/>
    <s v="OK"/>
    <s v="10573642"/>
    <m/>
    <s v="Miss"/>
    <s v="Miss"/>
    <m/>
    <s v="Miss"/>
    <m/>
    <s v="Miss"/>
    <n v="2028302.04"/>
    <n v="1450"/>
    <s v="Miss"/>
    <n v="2028302.04"/>
    <n v="1451.9"/>
    <s v="ARS"/>
    <n v="1226057.8799999999"/>
    <s v="OK"/>
    <n v="0.08"/>
    <n v="0"/>
    <n v="0.15"/>
    <n v="304245.30599999998"/>
    <n v="217.78475733715104"/>
    <n v="-304245.30599999998"/>
    <n v="4.9000000000000002E-2"/>
    <n v="84478.779966000002"/>
    <n v="60.471567620615609"/>
    <n v="0.1575"/>
  </r>
  <r>
    <s v="T3235652"/>
    <x v="0"/>
    <s v="IMS"/>
    <s v="AR_Media Company_YPF S.A. ARGENTINA_AR00401632-X-YPF-COMBUSTIBLES-BENEFICIO BNA+MODO-Ene 26"/>
    <m/>
    <m/>
    <x v="0"/>
    <x v="1"/>
    <s v="Argentina"/>
    <n v="1419697.03"/>
    <n v="1419697.03"/>
    <s v="ARS"/>
    <n v="1419697.03"/>
    <s v="ARS"/>
    <x v="47"/>
    <n v="858171.42"/>
    <x v="0"/>
    <x v="0"/>
    <m/>
    <m/>
    <n v="0"/>
    <s v="2026-02"/>
    <s v="February/2026"/>
    <s v="IMS"/>
    <s v="Argentina"/>
    <x v="0"/>
    <s v="ARS"/>
    <n v="1419697.03"/>
    <s v="ARS"/>
    <n v="858171.36"/>
    <n v="39.549999999999997"/>
    <s v="OK"/>
    <n v="0"/>
    <n v="0"/>
    <n v="0.06"/>
    <n v="0"/>
    <n v="0.39552495929360365"/>
    <s v="OK"/>
    <s v="10573643"/>
    <m/>
    <s v="Miss"/>
    <s v="Miss"/>
    <m/>
    <s v="Miss"/>
    <m/>
    <s v="Miss"/>
    <n v="1419697.03"/>
    <n v="1014"/>
    <s v="Miss"/>
    <n v="1419697.03"/>
    <n v="1016.25"/>
    <s v="ARS"/>
    <n v="858171.37"/>
    <s v="OK"/>
    <n v="0.05"/>
    <n v="0"/>
    <n v="0.15"/>
    <n v="212954.5545"/>
    <n v="152.43704688618467"/>
    <n v="-212954.5545"/>
    <n v="4.9000000000000002E-2"/>
    <n v="59130.381299499997"/>
    <n v="42.326686685397277"/>
    <n v="0.1575"/>
  </r>
  <r>
    <s v="T3235657"/>
    <x v="0"/>
    <s v="IMS"/>
    <s v="AR_Media Company_Hipódromo Argentino de Palermo S.A_AR00402568-X-Betfun-Takeover-Feb 26-CF"/>
    <m/>
    <m/>
    <x v="0"/>
    <x v="1"/>
    <s v="Argentina"/>
    <n v="3110400"/>
    <n v="3110400"/>
    <s v="ARS"/>
    <n v="3110400"/>
    <s v="ARS"/>
    <x v="11"/>
    <n v="1880159.16"/>
    <x v="0"/>
    <x v="0"/>
    <m/>
    <m/>
    <n v="0"/>
    <s v="2026-02"/>
    <s v="February/2026"/>
    <s v="IMS"/>
    <s v="Argentina"/>
    <x v="0"/>
    <s v="ARS"/>
    <n v="3110400"/>
    <s v="ARS"/>
    <n v="1880159.04"/>
    <n v="39.549999999999997"/>
    <s v="OK"/>
    <n v="0"/>
    <n v="0"/>
    <n v="0.12"/>
    <n v="0"/>
    <n v="0.39552496141975313"/>
    <s v="OK"/>
    <s v="10573622"/>
    <m/>
    <s v="Miss"/>
    <s v="Miss"/>
    <m/>
    <s v="Miss"/>
    <m/>
    <s v="Miss"/>
    <n v="3110400"/>
    <n v="2224"/>
    <s v="Miss"/>
    <n v="3110400"/>
    <n v="2226.4899999999998"/>
    <s v="ARS"/>
    <n v="1880159.04"/>
    <s v="OK"/>
    <n v="0.12"/>
    <n v="0"/>
    <n v="0.15"/>
    <n v="466560"/>
    <n v="333.97279885468862"/>
    <n v="-466560"/>
    <n v="4.9000000000000002E-2"/>
    <n v="129548.16"/>
    <n v="92.733113815318546"/>
    <n v="0.1575"/>
  </r>
  <r>
    <s v="T3237872"/>
    <x v="0"/>
    <s v="IMS"/>
    <s v="AR_Media Company_Bodog Malta_AR00402659-X ARG-Bodog Brasil-Q1/Q2-26"/>
    <m/>
    <m/>
    <x v="0"/>
    <x v="1"/>
    <s v="Argentina"/>
    <n v="12942.5"/>
    <n v="12942.5"/>
    <s v="ARS"/>
    <n v="8.35"/>
    <s v="USD"/>
    <x v="48"/>
    <n v="5.5"/>
    <x v="1"/>
    <x v="0"/>
    <m/>
    <m/>
    <n v="0"/>
    <s v="2026-02"/>
    <s v="February/2026"/>
    <s v="IMS"/>
    <s v="Malta"/>
    <x v="0"/>
    <s v="USD"/>
    <n v="8.35"/>
    <s v="USD"/>
    <n v="7.1"/>
    <n v="15"/>
    <s v="OK"/>
    <n v="0"/>
    <n v="0"/>
    <n v="-1.6"/>
    <n v="-1.6"/>
    <n v="0.40633571566544335"/>
    <s v="OK"/>
    <s v="10572898"/>
    <m/>
    <s v="Miss"/>
    <s v="Miss"/>
    <m/>
    <s v="Miss"/>
    <m/>
    <s v="Miss"/>
    <n v="8.35"/>
    <n v="6"/>
    <s v="Miss"/>
    <n v="8.35"/>
    <n v="8.35"/>
    <s v="USD"/>
    <n v="7.1"/>
    <s v="OK"/>
    <n v="-1.6"/>
    <n v="-1.6"/>
    <n v="0.15"/>
    <n v="1.2524999999999999"/>
    <n v="1.2524999999999999"/>
    <n v="-1.2524999999999999"/>
    <n v="0"/>
    <n v="0"/>
    <n v="0"/>
    <n v="0"/>
  </r>
  <r>
    <s v="T3237874"/>
    <x v="0"/>
    <s v="IMS"/>
    <s v="AR_Media Company_Bodog Malta_AR00402658-X ARG-Bodog México-Q1/Q2-26"/>
    <m/>
    <m/>
    <x v="0"/>
    <x v="1"/>
    <s v="Argentina"/>
    <n v="2669100"/>
    <n v="2669100"/>
    <s v="ARS"/>
    <n v="1722"/>
    <s v="USD"/>
    <x v="49"/>
    <n v="1134.32"/>
    <x v="1"/>
    <x v="0"/>
    <m/>
    <m/>
    <n v="0"/>
    <s v="2026-02"/>
    <s v="February/2026"/>
    <s v="IMS"/>
    <s v="Malta"/>
    <x v="0"/>
    <s v="USD"/>
    <n v="1722"/>
    <s v="USD"/>
    <n v="1463.7"/>
    <n v="15"/>
    <s v="OK"/>
    <n v="0"/>
    <n v="0"/>
    <n v="-329.38"/>
    <n v="-329.38"/>
    <n v="0.40629986137649399"/>
    <s v="OK"/>
    <s v="10572880"/>
    <m/>
    <s v="Miss"/>
    <s v="Miss"/>
    <m/>
    <s v="Miss"/>
    <m/>
    <s v="Miss"/>
    <n v="1722"/>
    <n v="1720"/>
    <s v="Miss"/>
    <n v="1722"/>
    <n v="1722"/>
    <s v="USD"/>
    <n v="1463.7"/>
    <s v="OK"/>
    <n v="-329.38"/>
    <n v="-329.38"/>
    <n v="0.15"/>
    <n v="258.3"/>
    <n v="258.3"/>
    <n v="-258.3"/>
    <n v="0"/>
    <n v="0"/>
    <n v="0"/>
    <n v="0"/>
  </r>
  <r>
    <s v="T3237879"/>
    <x v="0"/>
    <s v="IMS"/>
    <s v="AR_Media Company_CIA INDUSTRIAL CERVECERA S A_AR00402663-CCU-Schneider Remix Limón-Feb 26"/>
    <m/>
    <m/>
    <x v="0"/>
    <x v="1"/>
    <s v="Argentina"/>
    <n v="5000000"/>
    <n v="5000000"/>
    <s v="ARS"/>
    <n v="5000000"/>
    <s v="ARS"/>
    <x v="50"/>
    <n v="3022375.2"/>
    <x v="0"/>
    <x v="0"/>
    <m/>
    <m/>
    <n v="0"/>
    <s v="2026-02"/>
    <s v="February/2026"/>
    <s v="IMS"/>
    <s v="Argentina"/>
    <x v="0"/>
    <s v="ARS"/>
    <n v="5000000"/>
    <s v="ARS"/>
    <n v="3022375"/>
    <n v="39.549999999999997"/>
    <s v="OK"/>
    <n v="0"/>
    <n v="0"/>
    <n v="0.2"/>
    <n v="0"/>
    <n v="0.39552495999999993"/>
    <s v="OK"/>
    <s v="10573631"/>
    <m/>
    <s v="Miss"/>
    <s v="Miss"/>
    <m/>
    <s v="Miss"/>
    <m/>
    <s v="Miss"/>
    <n v="5000000"/>
    <n v="3577"/>
    <s v="Miss"/>
    <n v="5000000"/>
    <n v="3579.1"/>
    <s v="ARS"/>
    <n v="3022375"/>
    <s v="OK"/>
    <n v="0.2"/>
    <n v="0"/>
    <n v="0.15"/>
    <n v="750000"/>
    <n v="536.86471009305649"/>
    <n v="-750000"/>
    <n v="4.9000000000000002E-2"/>
    <n v="208250"/>
    <n v="149.06943450250537"/>
    <n v="0.1575"/>
  </r>
  <r>
    <s v="T3238173"/>
    <x v="0"/>
    <s v="IMS"/>
    <s v="AR_Media Company_Telecom Argentina SA Argentina_AR00403015 | X | FLOW | Contenidos - LLQLL - Reserva - Feb 26"/>
    <s v="SO Exported to ERP"/>
    <m/>
    <x v="0"/>
    <x v="1"/>
    <s v="Argentina"/>
    <n v="4884766"/>
    <n v="4884766"/>
    <s v="ARS"/>
    <n v="4884766"/>
    <s v="ARS"/>
    <x v="51"/>
    <n v="2952719.12"/>
    <x v="0"/>
    <x v="0"/>
    <m/>
    <m/>
    <n v="0"/>
    <s v="2026-02"/>
    <s v="February/2026"/>
    <s v="IMS"/>
    <s v="Argentina"/>
    <x v="0"/>
    <s v="ARS"/>
    <n v="4884766"/>
    <s v="ARS"/>
    <n v="2952718.93"/>
    <n v="39.549999999999997"/>
    <s v="OK"/>
    <n v="0"/>
    <n v="0"/>
    <n v="0.19"/>
    <n v="0"/>
    <n v="0.39552496066341758"/>
    <s v="OK"/>
    <s v="10573673"/>
    <m/>
    <s v="Miss"/>
    <s v="Miss"/>
    <m/>
    <s v="Miss"/>
    <m/>
    <s v="Miss"/>
    <n v="4884766"/>
    <n v="3495"/>
    <s v="Miss"/>
    <n v="4884766"/>
    <n v="3496.61"/>
    <s v="ARS"/>
    <n v="2952718.93"/>
    <s v="OK"/>
    <n v="0.19"/>
    <n v="0"/>
    <n v="0.15"/>
    <n v="732714.9"/>
    <n v="524.49169649248381"/>
    <n v="-732714.9"/>
    <n v="4.9000000000000002E-2"/>
    <n v="203450.50390000001"/>
    <n v="145.63386105941302"/>
    <n v="0.1575"/>
  </r>
  <r>
    <s v="T3238363"/>
    <x v="0"/>
    <s v="IMS"/>
    <s v="AR_Media Company_Pedidosya SA Argentina_X | PedidosYa AR | Bundle 7MAR Correccion"/>
    <m/>
    <m/>
    <x v="0"/>
    <x v="1"/>
    <s v="Argentina"/>
    <n v="12365642.550000001"/>
    <n v="12365642.550000001"/>
    <s v="ARS"/>
    <n v="12365642.550000001"/>
    <s v="ARS"/>
    <x v="52"/>
    <n v="7474722.2800000003"/>
    <x v="0"/>
    <x v="0"/>
    <m/>
    <m/>
    <n v="0"/>
    <s v="2026-02"/>
    <s v="February/2026"/>
    <s v="IMS"/>
    <s v="Argentina"/>
    <x v="0"/>
    <s v="ARS"/>
    <n v="12365642.550000001"/>
    <s v="ARS"/>
    <n v="7474721.7800000003"/>
    <n v="39.549999999999997"/>
    <s v="OK"/>
    <n v="0"/>
    <n v="0"/>
    <n v="0.5"/>
    <n v="0"/>
    <n v="0.3955249595986422"/>
    <s v="OK"/>
    <s v="10573621"/>
    <m/>
    <s v="Miss"/>
    <s v="Miss"/>
    <m/>
    <s v="Miss"/>
    <m/>
    <s v="Miss"/>
    <n v="12365642.550000001"/>
    <n v="8850"/>
    <s v="Miss"/>
    <n v="12365642.550000001"/>
    <n v="8851.57"/>
    <s v="ARS"/>
    <n v="7474721.7800000003"/>
    <s v="OK"/>
    <n v="0.5"/>
    <n v="0"/>
    <n v="0.15"/>
    <n v="1854846.3825000001"/>
    <n v="1327.7354205440231"/>
    <n v="-1854846.3825000001"/>
    <n v="4.9000000000000002E-2"/>
    <n v="515029.01220750005"/>
    <n v="368.66786843772371"/>
    <n v="0.1575"/>
  </r>
  <r>
    <s v="T3238394"/>
    <x v="0"/>
    <s v="IMS"/>
    <s v="AR_Media Company_Banco Galicia ARGENTINA_X | Arg | Galicia | Febrero 2026"/>
    <m/>
    <m/>
    <x v="0"/>
    <x v="1"/>
    <s v="Argentina"/>
    <n v="2489548.4"/>
    <n v="2489548.4"/>
    <s v="ARS"/>
    <n v="2489548.4"/>
    <s v="ARS"/>
    <x v="53"/>
    <n v="1504869.87"/>
    <x v="0"/>
    <x v="0"/>
    <m/>
    <m/>
    <n v="0"/>
    <s v="2026-02"/>
    <s v="February/2026"/>
    <s v="IMS"/>
    <s v="Argentina"/>
    <x v="0"/>
    <s v="ARS"/>
    <n v="2489548.4"/>
    <s v="ARS"/>
    <n v="1504869.77"/>
    <n v="39.549999999999997"/>
    <s v="OK"/>
    <n v="0"/>
    <n v="0"/>
    <n v="0.1"/>
    <n v="0"/>
    <n v="0.39552495946654409"/>
    <s v="OK"/>
    <s v="10573624"/>
    <m/>
    <s v="Miss"/>
    <s v="Miss"/>
    <m/>
    <s v="Miss"/>
    <m/>
    <s v="Miss"/>
    <n v="2489548.4"/>
    <n v="1780"/>
    <s v="Miss"/>
    <n v="2489548.4"/>
    <n v="1782.07"/>
    <s v="ARS"/>
    <n v="1504869.77"/>
    <s v="OK"/>
    <n v="0.1"/>
    <n v="0"/>
    <n v="0.15"/>
    <n v="373432.25999999995"/>
    <n v="267.31013600572652"/>
    <n v="-373432.25999999995"/>
    <n v="4.9000000000000002E-2"/>
    <n v="103689.69085999999"/>
    <n v="74.223114430923403"/>
    <n v="0.1575"/>
  </r>
  <r>
    <s v="T3238669"/>
    <x v="0"/>
    <s v="IMS"/>
    <s v="AR_Media Company_BINBAIRES S.A.- DISSON S.A. - INTRALOT INTERNATIONAL LIMITED Argentina_X | BetWarrior | Bundle 20FEB"/>
    <m/>
    <m/>
    <x v="0"/>
    <x v="1"/>
    <s v="Argentina"/>
    <n v="4396289.4000000004"/>
    <n v="4396289.4000000004"/>
    <s v="ARS"/>
    <n v="4396289.4000000004"/>
    <s v="ARS"/>
    <x v="54"/>
    <n v="2657447.21"/>
    <x v="0"/>
    <x v="0"/>
    <m/>
    <m/>
    <n v="0"/>
    <s v="2026-02"/>
    <s v="February/2026"/>
    <s v="IMS"/>
    <s v="Argentina"/>
    <x v="0"/>
    <s v="ARS"/>
    <n v="4396289.4000000004"/>
    <s v="ARS"/>
    <n v="3429105.73"/>
    <n v="22"/>
    <s v="OK"/>
    <n v="0"/>
    <n v="0"/>
    <n v="-771658.52"/>
    <n v="-552.37"/>
    <n v="0.3955249602084886"/>
    <s v="OK"/>
    <s v="10573657"/>
    <m/>
    <s v="Miss"/>
    <s v="Miss"/>
    <m/>
    <s v="Miss"/>
    <m/>
    <s v="Miss"/>
    <n v="4396289.4000000004"/>
    <n v="3145"/>
    <s v="Miss"/>
    <n v="4396289.4000000004"/>
    <n v="3146.95"/>
    <s v="ARS"/>
    <n v="3429105.73"/>
    <s v="OK"/>
    <n v="-771658.52"/>
    <n v="-552.37"/>
    <n v="0.15"/>
    <n v="659443.41"/>
    <n v="472.04252684323552"/>
    <n v="-659443.41"/>
    <n v="4.9000000000000002E-2"/>
    <n v="183105.45351000002"/>
    <n v="131.07047495347175"/>
    <n v="0.1575"/>
  </r>
  <r>
    <s v="T3238704"/>
    <x v="0"/>
    <s v="IMS"/>
    <s v="AR_Media Company_BANCO SUPERVIELLE ARGENTINA_X - Arg - Supervielle - Performance - COE | OB Individuos"/>
    <m/>
    <m/>
    <x v="0"/>
    <x v="1"/>
    <s v="Argentina"/>
    <n v="2000000"/>
    <n v="2000000"/>
    <s v="ARS"/>
    <n v="2000000"/>
    <s v="ARS"/>
    <x v="55"/>
    <n v="1208950.08"/>
    <x v="0"/>
    <x v="0"/>
    <m/>
    <m/>
    <n v="0"/>
    <s v="2026-02"/>
    <s v="February/2026"/>
    <s v="IMS"/>
    <s v="Argentina"/>
    <x v="0"/>
    <s v="ARS"/>
    <n v="2000000"/>
    <s v="ARS"/>
    <n v="1208950"/>
    <n v="39.549999999999997"/>
    <s v="OK"/>
    <n v="0"/>
    <n v="0"/>
    <n v="0.08"/>
    <n v="0"/>
    <n v="0.39552496000000004"/>
    <s v="OK"/>
    <s v="10573688"/>
    <m/>
    <s v="Miss"/>
    <s v="Miss"/>
    <m/>
    <s v="Miss"/>
    <m/>
    <s v="Miss"/>
    <n v="2000000"/>
    <n v="1430"/>
    <s v="Miss"/>
    <n v="2000000"/>
    <n v="1431.64"/>
    <s v="ARS"/>
    <n v="1208950"/>
    <s v="OK"/>
    <n v="0.08"/>
    <n v="0"/>
    <n v="0.15"/>
    <n v="300000"/>
    <n v="214.74588403722262"/>
    <n v="-300000"/>
    <n v="4.9000000000000002E-2"/>
    <n v="83300"/>
    <n v="59.627773801002149"/>
    <n v="0.1575"/>
  </r>
  <r>
    <s v="T3238939"/>
    <x v="0"/>
    <s v="IMS"/>
    <s v="AR_Media Company_CIA INDUSTRIAL CERVECERA S A_AR00403821-CCU-Heineken CREDENCIALES-Feb 26"/>
    <m/>
    <m/>
    <x v="0"/>
    <x v="1"/>
    <s v="Argentina"/>
    <n v="4000000"/>
    <n v="4000000"/>
    <s v="ARS"/>
    <n v="4000000"/>
    <s v="ARS"/>
    <x v="56"/>
    <n v="2417900.16"/>
    <x v="0"/>
    <x v="0"/>
    <m/>
    <m/>
    <n v="0"/>
    <s v="2026-02"/>
    <s v="February/2026"/>
    <s v="IMS"/>
    <s v="Argentina"/>
    <x v="0"/>
    <s v="ARS"/>
    <n v="4000000"/>
    <s v="ARS"/>
    <n v="2417900"/>
    <n v="39.549999999999997"/>
    <s v="OK"/>
    <n v="0"/>
    <n v="0"/>
    <n v="0.16"/>
    <n v="0"/>
    <n v="0.39552496000000004"/>
    <s v="OK"/>
    <s v="10573623"/>
    <m/>
    <s v="Miss"/>
    <s v="Miss"/>
    <m/>
    <s v="Miss"/>
    <m/>
    <s v="Miss"/>
    <n v="4000000"/>
    <n v="2861"/>
    <s v="Miss"/>
    <n v="4000000"/>
    <n v="2863.28"/>
    <s v="ARS"/>
    <n v="2417900"/>
    <s v="OK"/>
    <n v="0.16"/>
    <n v="0"/>
    <n v="0.15"/>
    <n v="600000"/>
    <n v="429.49176807444525"/>
    <n v="-600000"/>
    <n v="4.9000000000000002E-2"/>
    <n v="166600"/>
    <n v="119.2555476020043"/>
    <n v="0.1575"/>
  </r>
  <r>
    <s v="T3242525"/>
    <x v="0"/>
    <s v="IMS"/>
    <s v="AR_Media Company_Telecom Argentina SA Argentina_AR00404195 | X | FLOW | Contenidos - LLQLL - Feb/Mar 26"/>
    <s v="SO Exported to ERP"/>
    <m/>
    <x v="0"/>
    <x v="1"/>
    <s v="Argentina"/>
    <n v="997649.16"/>
    <n v="997649.16"/>
    <s v="ARS"/>
    <n v="997649.16"/>
    <s v="ARS"/>
    <x v="57"/>
    <n v="603054.02"/>
    <x v="0"/>
    <x v="0"/>
    <m/>
    <m/>
    <n v="0"/>
    <s v="2026-02"/>
    <s v="February/2026"/>
    <s v="IMS"/>
    <s v="Argentina"/>
    <x v="0"/>
    <s v="ARS"/>
    <n v="997649.16"/>
    <s v="ARS"/>
    <n v="778166.35"/>
    <n v="22"/>
    <s v="OK"/>
    <n v="0"/>
    <n v="0"/>
    <n v="-175112.33"/>
    <n v="-125.35"/>
    <n v="0.39552495588729808"/>
    <s v="OK"/>
    <s v="10573729"/>
    <m/>
    <s v="Miss"/>
    <s v="Miss"/>
    <m/>
    <s v="Miss"/>
    <m/>
    <s v="Miss"/>
    <n v="997649.16"/>
    <n v="712"/>
    <s v="Miss"/>
    <n v="997649.16"/>
    <n v="714.14"/>
    <s v="ARS"/>
    <n v="778166.34"/>
    <s v="OK"/>
    <n v="-175112.32000000001"/>
    <n v="-125.35"/>
    <n v="0.15"/>
    <n v="149647.37400000001"/>
    <n v="107.12052541159628"/>
    <n v="-149647.37400000001"/>
    <n v="4.9000000000000002E-2"/>
    <n v="41552.087513999999"/>
    <n v="29.743799222619899"/>
    <n v="0.1575"/>
  </r>
  <r>
    <s v="T3242573"/>
    <x v="0"/>
    <s v="IMS"/>
    <s v="AR_Media Company_AGENCIA DE PUBLICIDAD DEL ESTADO S. A. U. (APE S.A.U.) ARGENTINA_X - Arg - Banco Nación - FEB 26"/>
    <m/>
    <m/>
    <x v="0"/>
    <x v="1"/>
    <s v="Argentina"/>
    <n v="7445541.0300000003"/>
    <n v="7445541.0300000003"/>
    <s v="ARS"/>
    <n v="7445541.0300000003"/>
    <s v="ARS"/>
    <x v="58"/>
    <n v="4500643.71"/>
    <x v="0"/>
    <x v="0"/>
    <m/>
    <m/>
    <n v="0"/>
    <s v="2026-02"/>
    <s v="February/2026"/>
    <s v="IMS"/>
    <s v="Argentina"/>
    <x v="0"/>
    <s v="ARS"/>
    <n v="7445541.0300000003"/>
    <s v="ARS"/>
    <n v="5807522"/>
    <n v="22"/>
    <s v="OK"/>
    <n v="0"/>
    <n v="0"/>
    <n v="-1306878.29"/>
    <n v="-935.49"/>
    <n v="0.39552496025933526"/>
    <s v="OK"/>
    <s v="10573705"/>
    <m/>
    <s v="Miss"/>
    <s v="Miss"/>
    <m/>
    <s v="Miss"/>
    <m/>
    <s v="Miss"/>
    <n v="7445541.0300000003"/>
    <n v="5328"/>
    <s v="Miss"/>
    <n v="7445541.0300000003"/>
    <n v="5329.66"/>
    <s v="ARS"/>
    <n v="5807522"/>
    <s v="OK"/>
    <n v="-1306878.29"/>
    <n v="-935.49"/>
    <n v="0.15"/>
    <n v="1116831.1544999999"/>
    <n v="799.44964531138157"/>
    <n v="-1116831.1544999999"/>
    <n v="4.9000000000000002E-2"/>
    <n v="310106.78389950003"/>
    <n v="221.9805181814603"/>
    <n v="0.1575"/>
  </r>
  <r>
    <s v="T3242615"/>
    <x v="0"/>
    <s v="IMS"/>
    <s v="AR_Media Company_GOBIERNO DE LA CIUDAD DE BUENOS AIRES ARGENTINA_X - Arg - GCBA - Feb26"/>
    <m/>
    <m/>
    <x v="0"/>
    <x v="1"/>
    <s v="Argentina"/>
    <n v="839339.96"/>
    <n v="839339.96"/>
    <s v="ARS"/>
    <n v="839339.96"/>
    <s v="ARS"/>
    <x v="59"/>
    <n v="507360.06"/>
    <x v="0"/>
    <x v="0"/>
    <m/>
    <m/>
    <n v="0"/>
    <s v="2026-02"/>
    <s v="February/2026"/>
    <s v="IMS"/>
    <s v="Argentina"/>
    <x v="0"/>
    <s v="ARS"/>
    <n v="839339.96"/>
    <s v="ARS"/>
    <n v="654685.17000000004"/>
    <n v="22"/>
    <s v="OK"/>
    <n v="0"/>
    <n v="0"/>
    <n v="-147325.10999999999"/>
    <n v="-105.46"/>
    <n v="0.39552495510877383"/>
    <s v="OK"/>
    <s v="10573712"/>
    <m/>
    <s v="Miss"/>
    <s v="Miss"/>
    <m/>
    <s v="Miss"/>
    <m/>
    <s v="Miss"/>
    <n v="839339.96"/>
    <n v="599"/>
    <s v="Miss"/>
    <n v="839339.96"/>
    <n v="600.82000000000005"/>
    <s v="ARS"/>
    <n v="654685.18000000005"/>
    <s v="OK"/>
    <n v="-147325.12"/>
    <n v="-105.46"/>
    <n v="0.15"/>
    <n v="125900.99399999999"/>
    <n v="90.122400858983539"/>
    <n v="-125900.99399999999"/>
    <n v="4.9000000000000002E-2"/>
    <n v="34958.509333999995"/>
    <n v="25.02398663851109"/>
    <n v="0.1575"/>
  </r>
  <r>
    <s v="T3242792"/>
    <x v="1"/>
    <s v="IMS"/>
    <s v="AR_Media Company_UIP Argentina_T3242792 - UIP Argentina | Scream 7 - 03/02/2026"/>
    <m/>
    <m/>
    <x v="0"/>
    <x v="1"/>
    <s v="Argentina"/>
    <n v="2890408.14"/>
    <n v="2890408.14"/>
    <s v="ARS"/>
    <n v="2890408.14"/>
    <s v="ARS"/>
    <x v="60"/>
    <n v="1907654.92"/>
    <x v="0"/>
    <x v="0"/>
    <m/>
    <m/>
    <n v="0"/>
    <s v="2026-02"/>
    <s v="February/2026"/>
    <s v="IMS"/>
    <s v="Argentina"/>
    <x v="0"/>
    <s v="ARS"/>
    <n v="2890408.14"/>
    <s v="ARS"/>
    <n v="2254518.35"/>
    <n v="22"/>
    <s v="OK"/>
    <n v="0"/>
    <n v="0"/>
    <n v="-346863.43"/>
    <n v="-248.29"/>
    <n v="0.34000500012430779"/>
    <s v="OK"/>
    <s v="10573728"/>
    <m/>
    <s v="Miss"/>
    <s v="Miss"/>
    <m/>
    <s v="Miss"/>
    <m/>
    <s v="Miss"/>
    <n v="2890408.14"/>
    <n v="2067"/>
    <s v="Miss"/>
    <n v="2890408.14"/>
    <n v="2069.0100000000002"/>
    <s v="ARS"/>
    <n v="2254518.35"/>
    <s v="OK"/>
    <n v="-346863.43"/>
    <n v="-248.29"/>
    <n v="0.15"/>
    <n v="433561.22100000002"/>
    <n v="310.35162562634218"/>
    <n v="-433561.22100000002"/>
    <n v="4.9000000000000002E-2"/>
    <n v="120385.49903100001"/>
    <n v="86.174301382247677"/>
    <n v="0.1575"/>
  </r>
  <r>
    <s v="T3242840"/>
    <x v="0"/>
    <s v="IMS"/>
    <s v="AR_Media Company_SAMSUNG ELECTRONICS Argentina_AR00404575-X|Samsung ARG-OWN|IM|BTS|-Feb 26-Campaña 1"/>
    <m/>
    <m/>
    <x v="0"/>
    <x v="1"/>
    <s v="Argentina"/>
    <n v="2906163.1"/>
    <n v="2906163.1"/>
    <s v="ARS"/>
    <n v="2906163.1"/>
    <s v="ARS"/>
    <x v="61"/>
    <n v="1756703.06"/>
    <x v="0"/>
    <x v="0"/>
    <m/>
    <m/>
    <n v="0"/>
    <s v="2026-02"/>
    <s v="February/2026"/>
    <s v="IMS"/>
    <s v="Argentina"/>
    <x v="0"/>
    <s v="ARS"/>
    <n v="2906163.1"/>
    <s v="ARS"/>
    <n v="2266807.2200000002"/>
    <n v="22"/>
    <s v="OK"/>
    <n v="0"/>
    <n v="0"/>
    <n v="-510104.16"/>
    <n v="-365.14"/>
    <n v="0.39552495866457038"/>
    <s v="OK"/>
    <s v="10573645"/>
    <m/>
    <s v="Miss"/>
    <s v="Miss"/>
    <m/>
    <s v="Miss"/>
    <m/>
    <s v="Miss"/>
    <n v="2906163.1"/>
    <n v="2078"/>
    <s v="Miss"/>
    <n v="2906163.1"/>
    <n v="2080.29"/>
    <s v="ARS"/>
    <n v="2266807.2200000002"/>
    <s v="OK"/>
    <n v="-510104.16"/>
    <n v="-365.14"/>
    <n v="0.15"/>
    <n v="435924.46500000003"/>
    <n v="312.04328203292766"/>
    <n v="-435924.46500000003"/>
    <n v="4.9000000000000002E-2"/>
    <n v="121041.69311500002"/>
    <n v="86.644017977809597"/>
    <n v="0.1575"/>
  </r>
  <r>
    <s v="T3242842"/>
    <x v="0"/>
    <s v="IMS"/>
    <s v="AR_Media Company_SAMSUNG ELECTRONICS Argentina_AR00404576-X|Samsung ARG-OWN|IM|BTS|-Feb 26-Campaña 2"/>
    <m/>
    <m/>
    <x v="0"/>
    <x v="1"/>
    <s v="Argentina"/>
    <n v="2327584.0699999998"/>
    <n v="2327584.0699999998"/>
    <s v="ARS"/>
    <n v="2327584.0699999998"/>
    <s v="ARS"/>
    <x v="62"/>
    <n v="1406966.47"/>
    <x v="0"/>
    <x v="0"/>
    <m/>
    <m/>
    <n v="0"/>
    <s v="2026-02"/>
    <s v="February/2026"/>
    <s v="IMS"/>
    <s v="Argentina"/>
    <x v="0"/>
    <s v="ARS"/>
    <n v="2327584.0699999998"/>
    <s v="ARS"/>
    <n v="1815515.57"/>
    <n v="22"/>
    <s v="OK"/>
    <n v="0"/>
    <n v="0"/>
    <n v="-408549.1"/>
    <n v="-292.45"/>
    <n v="0.3955249616397315"/>
    <s v="OK"/>
    <s v="10573646"/>
    <m/>
    <s v="Miss"/>
    <s v="Miss"/>
    <m/>
    <s v="Miss"/>
    <m/>
    <s v="Miss"/>
    <n v="2327584.0699999998"/>
    <n v="1664"/>
    <s v="Miss"/>
    <n v="2327584.0699999998"/>
    <n v="1666.13"/>
    <s v="ARS"/>
    <n v="1815515.57"/>
    <s v="OK"/>
    <n v="-408549.1"/>
    <n v="-292.45"/>
    <n v="0.15"/>
    <n v="349137.61049999995"/>
    <n v="249.91954939155332"/>
    <n v="-349137.61049999995"/>
    <n v="4.9000000000000002E-2"/>
    <n v="96943.8765155"/>
    <n v="69.394328214387969"/>
    <n v="0.1575"/>
  </r>
  <r>
    <s v="T3245857"/>
    <x v="0"/>
    <s v="IMS"/>
    <s v="AR_Media Company_Play Digital Argentina_AR00405349 X | MODO | Transporte VQR"/>
    <m/>
    <m/>
    <x v="0"/>
    <x v="1"/>
    <s v="Argentina"/>
    <n v="4558905.76"/>
    <n v="4558905.76"/>
    <s v="ARS"/>
    <n v="4558905.76"/>
    <s v="ARS"/>
    <x v="63"/>
    <n v="2755744.74"/>
    <x v="0"/>
    <x v="0"/>
    <m/>
    <m/>
    <n v="0"/>
    <s v="2026-02"/>
    <s v="February/2026"/>
    <s v="IMS"/>
    <s v="Argentina"/>
    <x v="0"/>
    <s v="ARS"/>
    <n v="4558905.76"/>
    <s v="ARS"/>
    <n v="3555946.49"/>
    <n v="22"/>
    <s v="OK"/>
    <n v="0"/>
    <n v="0"/>
    <n v="-800201.75"/>
    <n v="-572.79999999999995"/>
    <n v="0.39552496035803109"/>
    <s v="OK"/>
    <s v="10573713"/>
    <m/>
    <s v="Miss"/>
    <s v="Miss"/>
    <m/>
    <s v="Miss"/>
    <m/>
    <s v="Miss"/>
    <n v="4558905.76"/>
    <n v="3261"/>
    <s v="Miss"/>
    <n v="4558905.76"/>
    <n v="3263.35"/>
    <s v="ARS"/>
    <n v="3555946.49"/>
    <s v="OK"/>
    <n v="-800201.75"/>
    <n v="-572.79999999999995"/>
    <n v="0.15"/>
    <n v="683835.86399999994"/>
    <n v="489.50312383679307"/>
    <n v="-683835.86399999994"/>
    <n v="4.9000000000000002E-2"/>
    <n v="189878.42490399998"/>
    <n v="135.91870071868289"/>
    <n v="0.1575"/>
  </r>
  <r>
    <s v="T3246174"/>
    <x v="0"/>
    <s v="IMS"/>
    <s v="AR_Media Company_YPF S.A. ARGENTINA_AR00405691-X-YPF-HAMBURGUESA+GUAPALETAS-Feb 26"/>
    <m/>
    <m/>
    <x v="0"/>
    <x v="1"/>
    <s v="Argentina"/>
    <n v="22444.51"/>
    <n v="22444.51"/>
    <s v="ARS"/>
    <n v="22444.51"/>
    <s v="ARS"/>
    <x v="64"/>
    <n v="13567.15"/>
    <x v="0"/>
    <x v="0"/>
    <m/>
    <m/>
    <n v="0"/>
    <s v="2026-02"/>
    <s v="February/2026"/>
    <s v="IMS"/>
    <s v="Argentina"/>
    <x v="0"/>
    <s v="ARS"/>
    <n v="22444.51"/>
    <s v="ARS"/>
    <n v="17506.72"/>
    <n v="22"/>
    <s v="OK"/>
    <n v="0"/>
    <n v="0"/>
    <n v="-3939.57"/>
    <n v="-2.82"/>
    <n v="0.39552478534839919"/>
    <s v="OK"/>
    <s v="10573664"/>
    <m/>
    <s v="Miss"/>
    <s v="Miss"/>
    <m/>
    <s v="Miss"/>
    <m/>
    <s v="Miss"/>
    <n v="22444.51"/>
    <n v="14"/>
    <s v="Miss"/>
    <n v="22444.51"/>
    <n v="16.07"/>
    <s v="ARS"/>
    <n v="17506.72"/>
    <s v="OK"/>
    <n v="-3939.57"/>
    <n v="-2.82"/>
    <n v="0.15"/>
    <n v="3366.6764999999996"/>
    <n v="2.4099330708661415"/>
    <n v="-3366.6764999999996"/>
    <n v="4.9000000000000002E-2"/>
    <n v="934.81384149999985"/>
    <n v="0.66915808267716526"/>
    <n v="0.1575"/>
  </r>
  <r>
    <s v="T3246185"/>
    <x v="0"/>
    <s v="IMS"/>
    <s v="AR_Media Company_BANCO SUPERVIELLE ARGENTINA_X - Arg - Supervielle - Timeline TO Q12026"/>
    <m/>
    <m/>
    <x v="0"/>
    <x v="1"/>
    <s v="Argentina"/>
    <n v="3625356"/>
    <n v="3625356"/>
    <s v="ARS"/>
    <n v="3625356"/>
    <s v="ARS"/>
    <x v="65"/>
    <n v="2191437.21"/>
    <x v="0"/>
    <x v="0"/>
    <m/>
    <m/>
    <n v="0"/>
    <s v="2026-02"/>
    <s v="February/2026"/>
    <s v="IMS"/>
    <s v="Argentina"/>
    <x v="0"/>
    <s v="ARS"/>
    <n v="3625356"/>
    <s v="ARS"/>
    <n v="2827777.68"/>
    <n v="22"/>
    <s v="OK"/>
    <n v="0"/>
    <n v="0"/>
    <n v="-636340.47"/>
    <n v="-455.5"/>
    <n v="0.39552496085901634"/>
    <s v="OK"/>
    <s v="10573683"/>
    <m/>
    <s v="Miss"/>
    <s v="Miss"/>
    <m/>
    <s v="Miss"/>
    <m/>
    <s v="Miss"/>
    <n v="3625356"/>
    <n v="2593"/>
    <s v="Miss"/>
    <n v="3625356"/>
    <n v="2595.1"/>
    <s v="ARS"/>
    <n v="2827777.68"/>
    <s v="OK"/>
    <n v="-636340.47"/>
    <n v="-455.5"/>
    <n v="0.15"/>
    <n v="543803.4"/>
    <n v="389.26513958482462"/>
    <n v="-543803.4"/>
    <n v="4.9000000000000002E-2"/>
    <n v="150996.07740000001"/>
    <n v="108.08595375805298"/>
    <n v="0.1575"/>
  </r>
  <r>
    <s v="T3246210"/>
    <x v="0"/>
    <s v="IMS"/>
    <s v="AR_Media Company_Arcos Dorados Argentina Argentina_AR00405725 | X | MCD ARG | Beef - CLUBHOUSE - Feb-Abr 2026"/>
    <m/>
    <m/>
    <x v="0"/>
    <x v="1"/>
    <s v="Argentina"/>
    <n v="2113734.34"/>
    <n v="2113734.34"/>
    <s v="ARS"/>
    <n v="2113734.34"/>
    <s v="ARS"/>
    <x v="66"/>
    <n v="1277699.6499999999"/>
    <x v="0"/>
    <x v="0"/>
    <m/>
    <m/>
    <n v="0"/>
    <s v="2026-02"/>
    <s v="February/2026"/>
    <s v="IMS"/>
    <s v="Argentina"/>
    <x v="0"/>
    <s v="ARS"/>
    <n v="2113734.34"/>
    <s v="ARS"/>
    <n v="1648712.78"/>
    <n v="22"/>
    <s v="OK"/>
    <n v="0"/>
    <n v="0"/>
    <n v="-371013.13"/>
    <n v="-265.58"/>
    <n v="0.39552495986794634"/>
    <s v="OK"/>
    <s v="10573681"/>
    <m/>
    <s v="Miss"/>
    <s v="Miss"/>
    <m/>
    <s v="Miss"/>
    <m/>
    <s v="Miss"/>
    <n v="2113734.34"/>
    <n v="1511"/>
    <s v="Miss"/>
    <n v="2113734.34"/>
    <n v="1513.05"/>
    <s v="ARS"/>
    <n v="1648712.79"/>
    <s v="OK"/>
    <n v="-371013.14"/>
    <n v="-265.58"/>
    <n v="0.15"/>
    <n v="317060.15099999995"/>
    <n v="226.95787473156764"/>
    <n v="-317060.15099999995"/>
    <n v="4.9000000000000002E-2"/>
    <n v="88037.035260999997"/>
    <n v="63.018636550465281"/>
    <n v="0.1575"/>
  </r>
  <r>
    <s v="T3248749"/>
    <x v="0"/>
    <s v="IMS"/>
    <s v="AR_Media Company_Telecom Argentina SA Argentina_AR00405872 | X | FLOW | Contenidos Musicales - ADN Nacional - Feb 26"/>
    <s v="SO Exported to ERP"/>
    <m/>
    <x v="0"/>
    <x v="1"/>
    <s v="Argentina"/>
    <n v="999321.21"/>
    <n v="999321.21"/>
    <s v="ARS"/>
    <n v="999321.21"/>
    <s v="ARS"/>
    <x v="67"/>
    <n v="604064.73"/>
    <x v="0"/>
    <x v="0"/>
    <m/>
    <m/>
    <n v="0"/>
    <s v="2026-02"/>
    <s v="February/2026"/>
    <s v="IMS"/>
    <s v="Argentina"/>
    <x v="0"/>
    <s v="ARS"/>
    <n v="999321.21"/>
    <s v="ARS"/>
    <n v="779470.54"/>
    <n v="22"/>
    <s v="OK"/>
    <n v="0"/>
    <n v="0"/>
    <n v="-175405.81"/>
    <n v="-125.56"/>
    <n v="0.39552495838650314"/>
    <s v="OK"/>
    <s v="10573651"/>
    <m/>
    <s v="Miss"/>
    <s v="Miss"/>
    <m/>
    <s v="Miss"/>
    <m/>
    <s v="Miss"/>
    <n v="999321.21"/>
    <n v="713"/>
    <s v="Miss"/>
    <n v="999321.21"/>
    <n v="715.33"/>
    <s v="ARS"/>
    <n v="779470.54"/>
    <s v="OK"/>
    <n v="-175405.81"/>
    <n v="-125.56"/>
    <n v="0.15"/>
    <n v="149898.18149999998"/>
    <n v="107.30005833929849"/>
    <n v="-149898.18149999998"/>
    <n v="4.9000000000000002E-2"/>
    <n v="41621.728396499995"/>
    <n v="29.79364953221188"/>
    <n v="0.1575"/>
  </r>
  <r>
    <s v="T3248784"/>
    <x v="0"/>
    <s v="IMS"/>
    <s v="AR_Media Company_RENAULT ARGENTINA ARGENTINA_X | Arg | Renault | FEB 26"/>
    <m/>
    <m/>
    <x v="0"/>
    <x v="1"/>
    <s v="Argentina"/>
    <n v="2499831.17"/>
    <n v="2499831.17"/>
    <s v="ARS"/>
    <n v="2499831.17"/>
    <s v="ARS"/>
    <x v="68"/>
    <n v="1511085.55"/>
    <x v="0"/>
    <x v="0"/>
    <m/>
    <m/>
    <n v="0"/>
    <s v="2026-02"/>
    <s v="February/2026"/>
    <s v="IMS"/>
    <s v="Argentina"/>
    <x v="0"/>
    <s v="ARS"/>
    <n v="2499831.17"/>
    <s v="ARS"/>
    <n v="1949868.31"/>
    <n v="22"/>
    <s v="OK"/>
    <n v="0"/>
    <n v="0"/>
    <n v="-438782.76"/>
    <n v="-314.08999999999997"/>
    <n v="0.39552495859150361"/>
    <s v="OK"/>
    <s v="10573722"/>
    <m/>
    <s v="Miss"/>
    <s v="Miss"/>
    <m/>
    <s v="Miss"/>
    <m/>
    <s v="Miss"/>
    <n v="2499831.17"/>
    <n v="1787"/>
    <s v="Miss"/>
    <n v="2499831.17"/>
    <n v="1789.43"/>
    <s v="ARS"/>
    <n v="1949868.31"/>
    <s v="OK"/>
    <n v="-438782.76"/>
    <n v="-314.08999999999997"/>
    <n v="0.15"/>
    <n v="374974.67549999995"/>
    <n v="268.41422727272726"/>
    <n v="-374974.67549999995"/>
    <n v="4.9000000000000002E-2"/>
    <n v="104117.9682305"/>
    <n v="74.529683772727267"/>
    <n v="0.1575"/>
  </r>
  <r>
    <s v="T3248789"/>
    <x v="0"/>
    <s v="IMS"/>
    <s v="AR_Media Company_YPF S.A. ARGENTINA_AR00405920-X-YPF-Boxes-Feb 26"/>
    <m/>
    <m/>
    <x v="0"/>
    <x v="1"/>
    <s v="Argentina"/>
    <n v="6195989.9900000002"/>
    <n v="6195989.9900000002"/>
    <s v="ARS"/>
    <n v="6195989.9900000002"/>
    <s v="ARS"/>
    <x v="69"/>
    <n v="3745321.3"/>
    <x v="0"/>
    <x v="0"/>
    <m/>
    <m/>
    <n v="0"/>
    <s v="2026-02"/>
    <s v="February/2026"/>
    <s v="IMS"/>
    <s v="Argentina"/>
    <x v="0"/>
    <s v="ARS"/>
    <n v="6195989.9900000002"/>
    <s v="ARS"/>
    <n v="4832872.2"/>
    <n v="22"/>
    <s v="OK"/>
    <n v="0"/>
    <n v="0"/>
    <n v="-1087550.8999999999"/>
    <n v="-778.49"/>
    <n v="0.39552495952305433"/>
    <s v="OK"/>
    <s v="10573682"/>
    <m/>
    <s v="Miss"/>
    <s v="Miss"/>
    <m/>
    <s v="Miss"/>
    <m/>
    <s v="Miss"/>
    <n v="6195989.9900000002"/>
    <n v="4433"/>
    <s v="Miss"/>
    <n v="6195989.9900000002"/>
    <n v="4435.21"/>
    <s v="ARS"/>
    <n v="4832872.2"/>
    <s v="OK"/>
    <n v="-1087550.8999999999"/>
    <n v="-778.49"/>
    <n v="0.15"/>
    <n v="929398.49849999999"/>
    <n v="665.28167394416607"/>
    <n v="-929398.49849999999"/>
    <n v="4.9000000000000002E-2"/>
    <n v="258062.98308350003"/>
    <n v="184.7265447984968"/>
    <n v="0.1575"/>
  </r>
  <r>
    <s v="T3249000"/>
    <x v="0"/>
    <s v="IMS"/>
    <s v="AR_Media Company_Fratelli Branca Argeninta_X | Arg | Fernet Branca | Febrero 2026"/>
    <m/>
    <m/>
    <x v="0"/>
    <x v="1"/>
    <s v="Argentina"/>
    <n v="4901475.9400000004"/>
    <n v="4901475.9400000004"/>
    <s v="ARS"/>
    <n v="4901475.9400000004"/>
    <s v="ARS"/>
    <x v="70"/>
    <n v="2962819.86"/>
    <x v="0"/>
    <x v="0"/>
    <m/>
    <m/>
    <n v="0"/>
    <s v="2026-02"/>
    <s v="February/2026"/>
    <s v="IMS"/>
    <s v="Argentina"/>
    <x v="0"/>
    <s v="ARS"/>
    <n v="4901475.9400000004"/>
    <s v="ARS"/>
    <n v="3823151.23"/>
    <n v="22"/>
    <s v="OK"/>
    <n v="0"/>
    <n v="0"/>
    <n v="-860331.37"/>
    <n v="-615.84"/>
    <n v="0.39552496099776846"/>
    <s v="OK"/>
    <s v="10573719"/>
    <m/>
    <s v="Miss"/>
    <s v="Miss"/>
    <m/>
    <s v="Miss"/>
    <m/>
    <s v="Miss"/>
    <n v="4901475.9400000004"/>
    <n v="3507"/>
    <s v="Miss"/>
    <n v="4901475.9400000004"/>
    <n v="3508.57"/>
    <s v="ARS"/>
    <n v="3823151.23"/>
    <s v="OK"/>
    <n v="-860331.37"/>
    <n v="-615.84"/>
    <n v="0.15"/>
    <n v="735221.39100000006"/>
    <n v="526.28589191123842"/>
    <n v="-735221.39100000006"/>
    <n v="4.9000000000000002E-2"/>
    <n v="204146.472901"/>
    <n v="146.1320493206872"/>
    <n v="0.1575"/>
  </r>
  <r>
    <s v="T3249016"/>
    <x v="0"/>
    <s v="IMS"/>
    <s v="AR_Media Company_Unilever de Argentina SA_AR00406161-Unilever-CIF TRIVIPI-Feb 25"/>
    <m/>
    <m/>
    <x v="0"/>
    <x v="1"/>
    <s v="Argentina"/>
    <n v="2300000"/>
    <n v="2300000"/>
    <s v="ARS"/>
    <n v="2300000"/>
    <s v="ARS"/>
    <x v="71"/>
    <n v="1390292.59"/>
    <x v="0"/>
    <x v="0"/>
    <m/>
    <m/>
    <n v="0"/>
    <s v="2026-02"/>
    <s v="February/2026"/>
    <s v="IMS"/>
    <s v="Argentina"/>
    <x v="0"/>
    <s v="ARS"/>
    <n v="2300000"/>
    <s v="ARS"/>
    <n v="1793999.99"/>
    <n v="22"/>
    <s v="OK"/>
    <n v="0"/>
    <n v="0"/>
    <n v="-403707.4"/>
    <n v="-288.98"/>
    <n v="0.39552496086956523"/>
    <s v="OK"/>
    <s v="10573680"/>
    <m/>
    <s v="Miss"/>
    <s v="Miss"/>
    <m/>
    <s v="Miss"/>
    <m/>
    <s v="Miss"/>
    <n v="2300000"/>
    <n v="1644"/>
    <s v="Miss"/>
    <n v="2300000"/>
    <n v="1646.39"/>
    <s v="ARS"/>
    <n v="1794000"/>
    <s v="OK"/>
    <n v="-403707.41"/>
    <n v="-288.98"/>
    <n v="0.15"/>
    <n v="345000"/>
    <n v="246.95776664280601"/>
    <n v="-345000"/>
    <n v="4.9000000000000002E-2"/>
    <n v="95795"/>
    <n v="68.571939871152466"/>
    <n v="0.1575"/>
  </r>
  <r>
    <s v="T3249044"/>
    <x v="1"/>
    <s v="IMS"/>
    <s v="AR_Media Company_Mercado Libre Argentina_T3249044 - MLA | DD3 | Video - 17/02/2026"/>
    <m/>
    <m/>
    <x v="0"/>
    <x v="1"/>
    <s v="Argentina"/>
    <n v="9224933.0199999996"/>
    <n v="9224933.0199999996"/>
    <s v="ARS"/>
    <n v="9224933.0199999996"/>
    <s v="ARS"/>
    <x v="72"/>
    <n v="6088409.6699999999"/>
    <x v="0"/>
    <x v="0"/>
    <m/>
    <m/>
    <n v="0"/>
    <s v="2026-02"/>
    <s v="February/2026"/>
    <s v="IMS"/>
    <s v="Argentina"/>
    <x v="0"/>
    <s v="ARS"/>
    <n v="9224933.0199999996"/>
    <s v="ARS"/>
    <n v="7195447.7599999998"/>
    <n v="22"/>
    <s v="OK"/>
    <n v="0"/>
    <n v="0"/>
    <n v="-1107038.0900000001"/>
    <n v="-792.44"/>
    <n v="0.34000499984118038"/>
    <s v="OK"/>
    <s v="10573659"/>
    <m/>
    <s v="Miss"/>
    <s v="Miss"/>
    <m/>
    <s v="Miss"/>
    <m/>
    <s v="Miss"/>
    <n v="9224933.0199999996"/>
    <n v="6601"/>
    <s v="Miss"/>
    <n v="9224933.0199999996"/>
    <n v="6603.39"/>
    <s v="ARS"/>
    <n v="7195447.7599999998"/>
    <s v="OK"/>
    <n v="-1107038.0900000001"/>
    <n v="-792.44"/>
    <n v="0.15"/>
    <n v="1383739.953"/>
    <n v="990.50819828203282"/>
    <n v="-1383739.953"/>
    <n v="4.9000000000000002E-2"/>
    <n v="384218.46028300002"/>
    <n v="275.03110972297782"/>
    <n v="0.1575"/>
  </r>
  <r>
    <s v="T3249307"/>
    <x v="0"/>
    <s v="IMS"/>
    <s v="AR_Media Company_YPF S.A. ARGENTINA_AR00406357-X-YPF-FULL-COMBO FULL DOBLE CLASICA-Feb 26"/>
    <m/>
    <m/>
    <x v="0"/>
    <x v="1"/>
    <s v="Argentina"/>
    <n v="232244.92"/>
    <n v="232244.92"/>
    <s v="ARS"/>
    <n v="232244.92"/>
    <s v="ARS"/>
    <x v="73"/>
    <n v="140386.26"/>
    <x v="0"/>
    <x v="0"/>
    <m/>
    <m/>
    <n v="0"/>
    <s v="2026-02"/>
    <s v="February/2026"/>
    <s v="IMS"/>
    <s v="Argentina"/>
    <x v="0"/>
    <s v="ARS"/>
    <n v="232244.92"/>
    <s v="ARS"/>
    <n v="181151.04"/>
    <n v="22"/>
    <s v="OK"/>
    <n v="0"/>
    <n v="0"/>
    <n v="-40764.78"/>
    <n v="-29.18"/>
    <n v="0.39552494840360775"/>
    <s v="OK"/>
    <s v="10573684"/>
    <m/>
    <s v="Miss"/>
    <s v="Miss"/>
    <m/>
    <s v="Miss"/>
    <m/>
    <s v="Miss"/>
    <n v="232244.92"/>
    <n v="164"/>
    <s v="Miss"/>
    <n v="232244.92"/>
    <n v="166.25"/>
    <s v="ARS"/>
    <n v="181151.04"/>
    <s v="OK"/>
    <n v="-40764.78"/>
    <n v="-29.18"/>
    <n v="0.15"/>
    <n v="34836.737999999998"/>
    <n v="24.936820329277023"/>
    <n v="-34836.737999999998"/>
    <n v="4.9000000000000002E-2"/>
    <n v="9673.0009179999997"/>
    <n v="6.9241237780959199"/>
    <n v="0.1575"/>
  </r>
  <r>
    <s v="T3249527"/>
    <x v="0"/>
    <s v="IMS"/>
    <s v="AR_Media Company_Arcos Dorados Argentina Argentina_AR00406370 | X | MCD ARG | Beef - MCFLURRY M&amp;MS  - Feb-Mar 2026"/>
    <m/>
    <m/>
    <x v="0"/>
    <x v="1"/>
    <s v="Argentina"/>
    <n v="298515.78999999998"/>
    <n v="298515.78999999998"/>
    <s v="ARS"/>
    <n v="298515.78999999998"/>
    <s v="ARS"/>
    <x v="74"/>
    <n v="180445.34"/>
    <x v="0"/>
    <x v="0"/>
    <m/>
    <m/>
    <n v="0"/>
    <s v="2026-02"/>
    <s v="February/2026"/>
    <s v="IMS"/>
    <s v="Argentina"/>
    <x v="0"/>
    <s v="ARS"/>
    <n v="298515.78999999998"/>
    <s v="ARS"/>
    <n v="232842.32"/>
    <n v="22"/>
    <s v="OK"/>
    <n v="0"/>
    <n v="0"/>
    <n v="-52396.98"/>
    <n v="-37.51"/>
    <n v="0.39552497373757012"/>
    <s v="OK"/>
    <s v="10573658"/>
    <m/>
    <s v="Miss"/>
    <s v="Miss"/>
    <m/>
    <s v="Miss"/>
    <m/>
    <s v="Miss"/>
    <n v="298515.78999999998"/>
    <n v="212"/>
    <s v="Miss"/>
    <n v="298515.78999999998"/>
    <n v="213.68"/>
    <s v="ARS"/>
    <n v="232842.32"/>
    <s v="OK"/>
    <n v="-52396.98"/>
    <n v="-37.51"/>
    <n v="0.15"/>
    <n v="44777.368499999997"/>
    <n v="32.052518611309942"/>
    <n v="-44777.368499999997"/>
    <n v="4.9000000000000002E-2"/>
    <n v="12433.182653499998"/>
    <n v="8.8999160010737288"/>
    <n v="0.1575"/>
  </r>
  <r>
    <s v="T3251978"/>
    <x v="0"/>
    <s v="IMS"/>
    <s v="AR_Media Company_Pedidosya SA Argentina_X | PedidosYa AR | Bundle 7MAR Correccion"/>
    <m/>
    <m/>
    <x v="0"/>
    <x v="1"/>
    <s v="Argentina"/>
    <n v="343.25"/>
    <n v="343.25"/>
    <s v="ARS"/>
    <n v="343.25"/>
    <s v="ARS"/>
    <x v="75"/>
    <n v="207.49"/>
    <x v="0"/>
    <x v="0"/>
    <m/>
    <m/>
    <n v="0"/>
    <s v="2026-02"/>
    <s v="February/2026"/>
    <s v="IMS"/>
    <s v="Argentina"/>
    <x v="0"/>
    <s v="ARS"/>
    <n v="343.25"/>
    <s v="ARS"/>
    <n v="267.73"/>
    <n v="22"/>
    <s v="OK"/>
    <n v="0"/>
    <n v="0"/>
    <n v="-60.24"/>
    <n v="-0.04"/>
    <n v="0.39551347414420979"/>
    <s v="OK"/>
    <s v="10573697"/>
    <m/>
    <s v="Miss"/>
    <s v="Miss"/>
    <m/>
    <s v="Miss"/>
    <m/>
    <s v="Miss"/>
    <n v="343.25"/>
    <n v="-2"/>
    <s v="Miss"/>
    <n v="343.25"/>
    <n v="0.25"/>
    <s v="ARS"/>
    <n v="267.73"/>
    <s v="OK"/>
    <n v="-60.24"/>
    <n v="-0.04"/>
    <n v="0.15"/>
    <n v="51.487499999999997"/>
    <n v="3.6855762347888329E-2"/>
    <n v="-51.487499999999997"/>
    <n v="4.9000000000000002E-2"/>
    <n v="14.296362500000001"/>
    <n v="1.0233616678596994E-2"/>
    <n v="0.1575"/>
  </r>
  <r>
    <s v="T3252256"/>
    <x v="0"/>
    <s v="IMS"/>
    <s v="AR_Media Company_YPF S.A. ARGENTINA_AR00407753-X-YPF-FULL PISTACHO-Feb 26"/>
    <m/>
    <m/>
    <x v="0"/>
    <x v="1"/>
    <s v="Argentina"/>
    <n v="1585096.5"/>
    <n v="1585096.5"/>
    <s v="ARS"/>
    <n v="1585096.5"/>
    <s v="ARS"/>
    <x v="76"/>
    <n v="958151.27"/>
    <x v="0"/>
    <x v="0"/>
    <m/>
    <m/>
    <n v="0"/>
    <s v="2026-02"/>
    <s v="February/2026"/>
    <s v="IMS"/>
    <s v="Argentina"/>
    <x v="0"/>
    <s v="ARS"/>
    <n v="1585096.5"/>
    <s v="ARS"/>
    <n v="1236375.27"/>
    <n v="22"/>
    <s v="OK"/>
    <n v="0"/>
    <n v="0"/>
    <n v="-278224"/>
    <n v="-199.16"/>
    <n v="0.39552496015226835"/>
    <s v="OK"/>
    <s v="10573674"/>
    <m/>
    <s v="Miss"/>
    <s v="Miss"/>
    <m/>
    <s v="Miss"/>
    <m/>
    <s v="Miss"/>
    <n v="1585096.5"/>
    <n v="1133"/>
    <s v="Miss"/>
    <n v="1585096.5"/>
    <n v="1134.6400000000001"/>
    <s v="ARS"/>
    <n v="1236375.27"/>
    <s v="OK"/>
    <n v="-278224"/>
    <n v="-199.16"/>
    <n v="0.15"/>
    <n v="237764.47499999998"/>
    <n v="170.1964745884037"/>
    <n v="-237764.47499999998"/>
    <n v="4.9000000000000002E-2"/>
    <n v="66019.269224999996"/>
    <n v="47.257887777380098"/>
    <n v="0.1575"/>
  </r>
  <r>
    <s v="T3252500"/>
    <x v="1"/>
    <s v="IMS"/>
    <s v="AR_Media Company_UIP Argentina_T3252500 - UIP Argentina | Reminder of Him - 23/02/2026"/>
    <m/>
    <m/>
    <x v="0"/>
    <x v="1"/>
    <s v="Argentina"/>
    <n v="540391.47"/>
    <n v="540391.47"/>
    <s v="ARS"/>
    <n v="540391.47"/>
    <s v="ARS"/>
    <x v="77"/>
    <n v="356655.67"/>
    <x v="0"/>
    <x v="0"/>
    <m/>
    <m/>
    <n v="0"/>
    <s v="2026-02"/>
    <s v="February/2026"/>
    <s v="IMS"/>
    <s v="Argentina"/>
    <x v="0"/>
    <s v="ARS"/>
    <n v="540391.47"/>
    <s v="ARS"/>
    <n v="421505.35"/>
    <n v="22"/>
    <s v="OK"/>
    <n v="0"/>
    <n v="0"/>
    <n v="-64849.68"/>
    <n v="-46.42"/>
    <n v="0.34000499674800566"/>
    <s v="OK"/>
    <s v="10573675"/>
    <m/>
    <s v="Miss"/>
    <s v="Miss"/>
    <m/>
    <s v="Miss"/>
    <m/>
    <s v="Miss"/>
    <n v="540391.47"/>
    <n v="385"/>
    <s v="Miss"/>
    <n v="540391.47"/>
    <n v="386.82"/>
    <s v="ARS"/>
    <n v="421505.35"/>
    <s v="OK"/>
    <n v="-64849.68"/>
    <n v="-46.42"/>
    <n v="0.15"/>
    <n v="81058.720499999996"/>
    <n v="58.023421975662131"/>
    <n v="-81058.720499999996"/>
    <n v="4.9000000000000002E-2"/>
    <n v="22507.304725499998"/>
    <n v="16.111170168575519"/>
    <n v="0.1575"/>
  </r>
  <r>
    <s v="T3252686"/>
    <x v="0"/>
    <s v="IMS"/>
    <s v="AR_Media Company_CEPAS ARGENTINAS ARGENTINA_X | Cepas | Dr Lemon - Lolla"/>
    <m/>
    <m/>
    <x v="0"/>
    <x v="1"/>
    <s v="Argentina"/>
    <n v="1065199.8799999999"/>
    <n v="1065199.8799999999"/>
    <s v="ARS"/>
    <n v="1065199.8799999999"/>
    <s v="ARS"/>
    <x v="78"/>
    <n v="643886.74"/>
    <x v="0"/>
    <x v="0"/>
    <m/>
    <m/>
    <n v="0"/>
    <s v="2026-02"/>
    <s v="February/2026"/>
    <s v="IMS"/>
    <s v="Argentina"/>
    <x v="0"/>
    <s v="ARS"/>
    <n v="1065199.8799999999"/>
    <s v="ARS"/>
    <n v="830855.91"/>
    <n v="22"/>
    <s v="OK"/>
    <n v="0"/>
    <n v="0"/>
    <n v="-186969.17"/>
    <n v="-133.84"/>
    <n v="0.39552496006664961"/>
    <s v="OK"/>
    <s v="10573698"/>
    <m/>
    <s v="Miss"/>
    <s v="Miss"/>
    <m/>
    <s v="Miss"/>
    <m/>
    <s v="Miss"/>
    <n v="1065199.8799999999"/>
    <n v="760"/>
    <s v="Miss"/>
    <n v="1065199.8799999999"/>
    <n v="762.49"/>
    <s v="ARS"/>
    <n v="830855.91"/>
    <s v="OK"/>
    <n v="-186969.17"/>
    <n v="-133.84"/>
    <n v="0.15"/>
    <n v="159779.98199999999"/>
    <n v="114.37364495347171"/>
    <n v="-159779.98199999999"/>
    <n v="4.9000000000000002E-2"/>
    <n v="44365.575001999998"/>
    <n v="31.757748748747314"/>
    <n v="0.157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">
  <r>
    <s v="IMS"/>
    <s v="T2694837"/>
    <s v="2026-02"/>
    <s v="February/2026"/>
    <d v="2026-02-28T00:00:00"/>
    <x v="0"/>
    <s v="802Um00000EQBe5IAH"/>
    <s v="AR00310258"/>
    <s v="006Uj00000HAf6ZIAT"/>
    <s v="0004966541"/>
    <x v="0"/>
    <s v="Activated"/>
    <s v="Confirmed"/>
    <s v="!X NESSY LLC"/>
    <x v="0"/>
    <s v="Twitter"/>
    <s v="Twitter Rep"/>
    <s v="LATAM"/>
    <s v="Argentina"/>
    <s v="United States"/>
    <x v="0"/>
    <s v="Mexico"/>
    <s v="Aleph Mexico"/>
    <s v="Promoted Tweet/Account"/>
    <s v="Auction"/>
    <s v="Auction"/>
    <x v="0"/>
    <s v="ARS"/>
    <n v="911867.62"/>
    <n v="911867.62"/>
    <n v="9.8999999999999999E-4"/>
    <n v="1"/>
    <n v="1"/>
    <n v="0.78"/>
    <n v="0.78"/>
    <n v="0"/>
    <m/>
    <n v="911867.62"/>
    <n v="911867.62"/>
    <n v="902.74894380000001"/>
    <n v="711256.74360000005"/>
    <n v="711256.74"/>
    <n v="9.8999999999999999E-4"/>
    <n v="911867.62"/>
    <n v="652.73272727272729"/>
    <n v="509.13152727272728"/>
    <n v="393.61741652727272"/>
    <n v="200610.87640000001"/>
    <n v="143.60120000000001"/>
    <n v="22"/>
    <x v="0"/>
    <s v="SO Exported to ERP"/>
    <m/>
    <s v="POIME-000023839"/>
    <s v="PO Exported to ERP"/>
    <m/>
    <m/>
    <m/>
    <x v="0"/>
    <x v="0"/>
    <s v="!X NESSY LLC"/>
    <x v="0"/>
    <s v="Jorge Osuna"/>
    <s v="Jorge Osuna"/>
    <s v="Jorge Osuna"/>
    <s v="Promoted Tweet/Account | Twitter Rep | ARS"/>
    <s v="Twitter Rep LATAM + WE"/>
    <s v="Aleph Argentina"/>
    <d v="2025-02-01T00:00:00"/>
    <d v="2026-03-31T00:00:00"/>
    <s v="30D"/>
    <m/>
    <n v="1"/>
    <s v="https://alephholding.lightning.force.com/lightning/r/OrderItem/802Um00000EQBe5IAH/view"/>
    <s v="AR00310258_TWR_001_015"/>
    <n v="0"/>
    <n v="0"/>
    <n v="0"/>
    <n v="0"/>
    <n v="1"/>
    <n v="1"/>
    <n v="0.78"/>
    <n v="509.13152727272728"/>
    <n v="9.8999999999999999E-4"/>
    <n v="7.158196134574087E-4"/>
    <n v="7.158196134574087E-4"/>
    <b v="0"/>
    <b v="0"/>
    <s v="Traditional (Local Team)"/>
    <s v="Argentina"/>
    <s v="Orden IMS"/>
    <n v="652.73272727272729"/>
    <n v="509.13152727272728"/>
    <s v="United States"/>
    <m/>
    <s v="6OXMON0FEY"/>
    <s v="6OXMON0FEY"/>
    <n v="872072282"/>
    <s v="Client Performance Driven (ROI)"/>
    <d v="2026-03-06T17:29:00"/>
    <d v="2026-03-04T20:59:00"/>
    <b v="1"/>
    <b v="1"/>
    <d v="2026-02-01T00:00:00"/>
    <s v="Classic IO"/>
    <m/>
    <m/>
    <m/>
    <m/>
    <m/>
    <m/>
    <m/>
    <m/>
    <s v="Mexico"/>
    <s v="ARS"/>
    <n v="911867.62"/>
    <s v="OK"/>
    <s v="OK"/>
    <n v="0"/>
    <s v="T2694837"/>
    <s v="ARS"/>
    <n v="911867.62"/>
    <s v="OK"/>
    <n v="0"/>
    <m/>
    <m/>
    <s v="Miss"/>
    <m/>
    <s v="ARS"/>
    <n v="551201.18000000005"/>
    <s v="OK"/>
    <n v="160055.56359999999"/>
    <m/>
    <s v="OK. Diff. Bill. / Adv. Country"/>
    <s v="SO READY TO EXPORT"/>
    <s v="PO READY TO EXPORT"/>
    <n v="902.74894380000001"/>
  </r>
  <r>
    <s v="IMS"/>
    <s v="T2751490"/>
    <s v="2026-02"/>
    <s v="February/2026"/>
    <d v="2026-02-28T00:00:00"/>
    <x v="1"/>
    <s v="802Um00000DJtMHIA1"/>
    <s v="AR00223663"/>
    <s v="006Uj0000064EgsIAE"/>
    <s v="0004903090"/>
    <x v="0"/>
    <s v="Activated"/>
    <s v="Confirmed"/>
    <s v="Wobra S.A.S."/>
    <x v="1"/>
    <s v="Twitter"/>
    <s v="Twitter Rep"/>
    <s v="LATAM"/>
    <s v="Argentina"/>
    <s v="Argentina"/>
    <x v="1"/>
    <s v="Mexico"/>
    <s v="Aleph Mexico"/>
    <s v="Promoted Tweet/Account"/>
    <s v="Auction"/>
    <s v="Auction"/>
    <x v="1"/>
    <s v="ARS"/>
    <n v="3855555.79"/>
    <n v="3855555.79"/>
    <n v="1"/>
    <n v="1"/>
    <n v="1"/>
    <n v="0.78"/>
    <n v="0.78"/>
    <n v="0"/>
    <m/>
    <n v="3855555.79"/>
    <n v="3855555.79"/>
    <n v="3855555.79"/>
    <n v="3007333.5162"/>
    <n v="2330587.2400000002"/>
    <m/>
    <n v="3855555.79"/>
    <n v="2759.8824552612741"/>
    <n v="2152.7083151037937"/>
    <n v="848222.27379999997"/>
    <n v="848222.27379999997"/>
    <n v="607.17414015748034"/>
    <n v="22"/>
    <x v="1"/>
    <s v="SO Exported to ERP"/>
    <m/>
    <s v="POIME-000005014"/>
    <s v="PO Exported to ERP"/>
    <m/>
    <m/>
    <m/>
    <x v="1"/>
    <x v="1"/>
    <s v="Wobra S.A.S."/>
    <x v="1"/>
    <s v="Bernabela Sol Costabile"/>
    <s v="Bernabela Sol Costabile"/>
    <s v="Bernabela Sol Costabile"/>
    <s v="Promoted Tweet/Account | Twitter Rep | ARS"/>
    <s v="Twitter Rep LATAM + WE"/>
    <s v="Aleph Argentina"/>
    <d v="2024-02-06T00:00:00"/>
    <d v="2026-04-15T00:00:00"/>
    <s v="30D"/>
    <m/>
    <n v="1"/>
    <s v="https://alephholding.lightning.force.com/lightning/r/OrderItem/802Um00000DJtMHIA1/view"/>
    <s v="AR00223663_TWR_006_025"/>
    <n v="0"/>
    <n v="0"/>
    <n v="0"/>
    <n v="0"/>
    <n v="3000000"/>
    <n v="3000000"/>
    <n v="2340000"/>
    <n v="3007333.5162"/>
    <n v="1"/>
    <n v="7.158196134574087E-4"/>
    <n v="7.158196134574087E-4"/>
    <b v="0"/>
    <b v="0"/>
    <s v="SMB High Value"/>
    <s v="Argentina"/>
    <s v="interna"/>
    <n v="2759.8824552612741"/>
    <n v="2152.7083151037937"/>
    <s v="Argentina"/>
    <s v="Wobra S.A.S."/>
    <s v="IHV8XXR15Y"/>
    <s v="33716040149"/>
    <n v="33716040149"/>
    <s v="Brand Objectives"/>
    <d v="2026-03-06T17:29:00"/>
    <d v="2026-03-04T20:59:00"/>
    <b v="1"/>
    <b v="1"/>
    <d v="2026-02-01T00:00:00"/>
    <s v="Classic IO"/>
    <m/>
    <m/>
    <m/>
    <m/>
    <m/>
    <m/>
    <m/>
    <m/>
    <s v="Mexico"/>
    <s v="ARS"/>
    <n v="3855555.78"/>
    <s v="OK"/>
    <s v="OK"/>
    <n v="1.0000000242143869E-2"/>
    <s v="T2751490"/>
    <s v="ARS"/>
    <n v="3855555.79"/>
    <s v="OK"/>
    <n v="0"/>
    <m/>
    <m/>
    <s v="Miss"/>
    <m/>
    <s v="ARS"/>
    <n v="2330587.08"/>
    <s v="OK"/>
    <n v="676746.43619999988"/>
    <m/>
    <s v="OK"/>
    <s v="SO READY TO EXPORT"/>
    <s v="PO READY TO EXPORT"/>
    <n v="2759.8824552612741"/>
  </r>
  <r>
    <s v="IMS"/>
    <s v="T2767832"/>
    <s v="2026-02"/>
    <s v="February/2026"/>
    <d v="2026-02-28T00:00:00"/>
    <x v="2"/>
    <s v="802Um00000DkfiDIAR"/>
    <s v="AR00226309"/>
    <s v="006Uj00000NP21OIAT"/>
    <s v="0004932363"/>
    <x v="0"/>
    <s v="Activated"/>
    <s v="Confirmed"/>
    <s v="Almundo.com SRL"/>
    <x v="2"/>
    <s v="Twitter"/>
    <s v="Twitter Rep"/>
    <s v="LATAM"/>
    <s v="Argentina"/>
    <s v="Argentina"/>
    <x v="1"/>
    <s v="Mexico"/>
    <s v="Aleph Mexico"/>
    <s v="Promoted Tweet/Account"/>
    <s v="Auction"/>
    <s v="Auction"/>
    <x v="1"/>
    <s v="ARS"/>
    <n v="3113913.08"/>
    <n v="3113913.08"/>
    <n v="1"/>
    <n v="1"/>
    <n v="1"/>
    <n v="0.78"/>
    <n v="0.78"/>
    <n v="0"/>
    <m/>
    <n v="3113913.08"/>
    <n v="3113913.08"/>
    <n v="3113913.08"/>
    <n v="2428852.2023999998"/>
    <n v="1882282.73"/>
    <m/>
    <n v="3113913.08"/>
    <n v="2229.000057265569"/>
    <n v="1738.6200446671437"/>
    <n v="685060.87760000001"/>
    <n v="685060.87760000001"/>
    <n v="490.3800125984252"/>
    <n v="22"/>
    <x v="2"/>
    <s v="SO Exported to ERP"/>
    <m/>
    <s v="POIME-000005831"/>
    <s v="PO Exported to ERP"/>
    <m/>
    <m/>
    <m/>
    <x v="1"/>
    <x v="2"/>
    <s v="Almundo.com SRL"/>
    <x v="2"/>
    <s v="Jorge Osuna"/>
    <s v="Talia Anael Alzieu"/>
    <s v="Talia Anael Alzieu"/>
    <s v="Twitter Rep | Promoted Tweet/Account | Argentina | ARS"/>
    <s v="Twitter Rep LATAM + WE"/>
    <s v="Aleph Argentina"/>
    <d v="2025-05-16T00:00:00"/>
    <d v="2026-03-31T00:00:00"/>
    <s v="30D"/>
    <m/>
    <n v="1"/>
    <s v="https://alephholding.lightning.force.com/lightning/r/OrderItem/802Um00000DkfiDIAR/view"/>
    <s v="AR00226309_TWR_004_010"/>
    <n v="0"/>
    <n v="0"/>
    <n v="0"/>
    <n v="0"/>
    <n v="1"/>
    <n v="1"/>
    <n v="0.78"/>
    <n v="2428852.2023999998"/>
    <n v="1"/>
    <n v="7.158196134574087E-4"/>
    <n v="7.158196134574087E-4"/>
    <b v="0"/>
    <b v="0"/>
    <s v="Traditional (Local Team)"/>
    <s v="Argentina"/>
    <s v="OC interna"/>
    <n v="2229.000057265569"/>
    <n v="1738.6200446671439"/>
    <s v="Argentina"/>
    <m/>
    <s v="7K8U7VN4GL"/>
    <s v="30659514628"/>
    <n v="30659514628"/>
    <s v="Client Performance Driven (ROI)"/>
    <d v="2026-03-06T17:29:00"/>
    <d v="2026-03-04T20:59:00"/>
    <b v="1"/>
    <b v="1"/>
    <d v="2026-02-01T00:00:00"/>
    <s v="Classic IO"/>
    <m/>
    <m/>
    <m/>
    <m/>
    <m/>
    <m/>
    <m/>
    <m/>
    <s v="Mexico"/>
    <s v="ARS"/>
    <n v="3113913.08"/>
    <s v="OK"/>
    <s v="OK"/>
    <n v="0"/>
    <s v="T2767832"/>
    <s v="ARS"/>
    <n v="3113913.08"/>
    <s v="OK"/>
    <n v="0"/>
    <m/>
    <m/>
    <s v="Miss"/>
    <m/>
    <s v="ARS"/>
    <n v="1882282.61"/>
    <s v="OK"/>
    <n v="546569.59239999973"/>
    <m/>
    <s v="OK"/>
    <s v="SO READY TO EXPORT"/>
    <s v="PO READY TO EXPORT"/>
    <n v="2229.000057265569"/>
  </r>
  <r>
    <s v="IMS"/>
    <s v="T2834460"/>
    <s v="2026-02"/>
    <s v="February/2026"/>
    <d v="2026-02-28T00:00:00"/>
    <x v="3"/>
    <s v="802Um00000DilmvIAB"/>
    <s v="AR00249217"/>
    <s v="006Uj000007WSuoIAG"/>
    <s v="0004930298"/>
    <x v="0"/>
    <s v="Activated"/>
    <s v="Confirmed"/>
    <s v="Bullmetrix SRL"/>
    <x v="3"/>
    <s v="Twitter"/>
    <s v="Twitter Rep"/>
    <s v="LATAM"/>
    <s v="Argentina"/>
    <s v="Argentina"/>
    <x v="1"/>
    <s v="Mexico"/>
    <s v="Aleph Mexico"/>
    <s v="Promoted Tweet/Account"/>
    <s v="Auction"/>
    <s v="Auction"/>
    <x v="1"/>
    <s v="ARS"/>
    <n v="2687841.46"/>
    <n v="2687841.46"/>
    <n v="1"/>
    <n v="1"/>
    <n v="1"/>
    <n v="0.78"/>
    <n v="0.78"/>
    <n v="0"/>
    <m/>
    <n v="2687841.46"/>
    <n v="2687841.46"/>
    <n v="2687841.46"/>
    <n v="2096516.3388"/>
    <n v="1624733.07"/>
    <m/>
    <n v="2687841.46"/>
    <n v="1924.0096349319972"/>
    <n v="1500.7275152469579"/>
    <n v="591325.12120000005"/>
    <n v="591325.12120000005"/>
    <n v="423.28211968503939"/>
    <n v="22"/>
    <x v="3"/>
    <s v="SO Exported to ERP"/>
    <m/>
    <s v="POIME-000009767"/>
    <s v="PO Exported to ERP"/>
    <m/>
    <m/>
    <m/>
    <x v="1"/>
    <x v="3"/>
    <s v="Bullmetrix SRL"/>
    <x v="3"/>
    <s v="Bernabela Sol Costabile"/>
    <s v="Bernabela Sol Costabile"/>
    <s v="Bernabela Sol Costabile"/>
    <s v="Promoted Tweet/Account | Twitter Rep | ARS"/>
    <s v="Twitter Rep LATAM + WE"/>
    <s v="Aleph Argentina"/>
    <d v="2024-05-10T00:00:00"/>
    <d v="2026-03-31T00:00:00"/>
    <s v="0D"/>
    <m/>
    <n v="1"/>
    <s v="https://alephholding.lightning.force.com/lightning/r/OrderItem/802Um00000DilmvIAB/view"/>
    <s v="AR00249217_TWR_001_022"/>
    <n v="0"/>
    <n v="0"/>
    <n v="0"/>
    <n v="0"/>
    <n v="3850000"/>
    <n v="3850000"/>
    <n v="3003000"/>
    <n v="2096516.3388"/>
    <n v="1"/>
    <n v="7.158196134574087E-4"/>
    <n v="7.158196134574087E-4"/>
    <b v="0"/>
    <b v="0"/>
    <s v="SMB High Value"/>
    <s v="Argentina"/>
    <s v="OC interna"/>
    <n v="1924.0096349319972"/>
    <n v="1500.7275152469579"/>
    <s v="Argentina"/>
    <s v="Bullmetrix SRL Argentina"/>
    <s v="7BGTIOZVNX"/>
    <s v="30715554530"/>
    <n v="30715554530"/>
    <s v="Brand Objectives"/>
    <d v="2026-03-06T17:29:00"/>
    <d v="2026-03-04T20:59:00"/>
    <b v="1"/>
    <b v="1"/>
    <d v="2026-02-01T00:00:00"/>
    <s v="Classic IO"/>
    <m/>
    <m/>
    <m/>
    <m/>
    <m/>
    <m/>
    <m/>
    <m/>
    <s v="Mexico"/>
    <s v="ARS"/>
    <n v="2687841.45"/>
    <s v="OK"/>
    <s v="OK"/>
    <n v="9.9999997764825821E-3"/>
    <s v="T2834460"/>
    <s v="ARS"/>
    <n v="2687841.46"/>
    <s v="OK"/>
    <n v="0"/>
    <m/>
    <m/>
    <s v="Miss"/>
    <m/>
    <s v="ARS"/>
    <n v="1624732.96"/>
    <s v="OK"/>
    <n v="471783.37880000006"/>
    <m/>
    <s v="OK"/>
    <s v="SO READY TO EXPORT"/>
    <s v="PO READY TO EXPORT"/>
    <n v="1924.0096349319972"/>
  </r>
  <r>
    <s v="IMS"/>
    <s v="T2887099"/>
    <s v="2026-02"/>
    <s v="February/2026"/>
    <d v="2026-02-28T00:00:00"/>
    <x v="4"/>
    <s v="802Uj00000PfsUIIAZ"/>
    <s v="AR00260247"/>
    <s v="006Uj00000A65yYIAR"/>
    <s v="0004886211"/>
    <x v="0"/>
    <s v="Activated"/>
    <s v="Confirmed"/>
    <s v="FINTECH SOCIEDAD ANONIMA"/>
    <x v="4"/>
    <s v="Twitter"/>
    <s v="Twitter Rep"/>
    <s v="LATAM"/>
    <s v="Argentina"/>
    <s v="Argentina"/>
    <x v="1"/>
    <s v="Mexico"/>
    <s v="Aleph Mexico"/>
    <s v="Promoted Tweet/Account"/>
    <s v="Auction"/>
    <s v="Auction"/>
    <x v="1"/>
    <s v="ARS"/>
    <n v="1055530.21"/>
    <n v="1055530.21"/>
    <n v="1"/>
    <n v="1"/>
    <n v="1"/>
    <n v="0.78"/>
    <n v="0.78"/>
    <n v="0"/>
    <m/>
    <n v="1055530.21"/>
    <n v="1055530.21"/>
    <n v="1055530.21"/>
    <n v="823313.5638"/>
    <n v="638041.67000000004"/>
    <m/>
    <n v="1055530.21"/>
    <n v="755.56922691481748"/>
    <n v="589.34399699355765"/>
    <n v="232216.64619999999"/>
    <n v="232216.64619999999"/>
    <n v="166.22522992125982"/>
    <n v="22"/>
    <x v="4"/>
    <s v="SO Exported to ERP"/>
    <m/>
    <s v="POIME-000013752"/>
    <s v="PO Exported to ERP"/>
    <m/>
    <m/>
    <m/>
    <x v="1"/>
    <x v="4"/>
    <s v="FINTECH SOCIEDAD ANONIMA"/>
    <x v="4"/>
    <s v="Jorge Osuna"/>
    <s v="Jorge Osuna"/>
    <s v="Jorge Osuna"/>
    <s v="Promoted Tweet/Account | Twitter Rep | ARS"/>
    <s v="Twitter Rep LATAM + WE"/>
    <s v="Aleph Argentina"/>
    <d v="2024-08-09T00:00:00"/>
    <d v="2026-02-28T00:00:00"/>
    <s v="30D"/>
    <m/>
    <n v="1"/>
    <s v="https://alephholding.lightning.force.com/lightning/r/OrderItem/802Uj00000PfsUIIAZ/view"/>
    <s v="AR00260247_TWR_001_020"/>
    <n v="0"/>
    <n v="0"/>
    <n v="0"/>
    <n v="0"/>
    <n v="1150000"/>
    <n v="1150000"/>
    <n v="897000"/>
    <n v="823313.5638"/>
    <n v="1"/>
    <n v="7.158196134574087E-4"/>
    <n v="7.158196134574087E-4"/>
    <b v="0"/>
    <b v="0"/>
    <s v="Digital Native / Performance"/>
    <s v="Argentina"/>
    <s v="OC-IMS"/>
    <n v="755.56922691481748"/>
    <n v="589.34399699355765"/>
    <s v="Argentina"/>
    <m/>
    <s v="2M0P7FJDUV"/>
    <s v="30716342790"/>
    <n v="30716342790"/>
    <s v="Client Performance Driven (ROI)"/>
    <d v="2026-03-06T17:29:00"/>
    <d v="2026-03-04T20:58:00"/>
    <b v="1"/>
    <b v="1"/>
    <d v="2026-02-01T00:00:00"/>
    <s v="Classic IO"/>
    <m/>
    <m/>
    <m/>
    <m/>
    <m/>
    <m/>
    <m/>
    <m/>
    <s v="Mexico"/>
    <s v="ARS"/>
    <n v="1055530.2"/>
    <s v="OK"/>
    <s v="OK"/>
    <n v="1.0000000009313226E-2"/>
    <s v="T2887099"/>
    <s v="ARS"/>
    <n v="1055530.21"/>
    <s v="OK"/>
    <n v="0"/>
    <m/>
    <m/>
    <s v="Miss"/>
    <m/>
    <s v="ARS"/>
    <n v="638041.62"/>
    <s v="OK"/>
    <n v="185271.94380000001"/>
    <m/>
    <s v="OK"/>
    <s v="SO READY TO EXPORT"/>
    <s v="PO READY TO EXPORT"/>
    <n v="755.56922691481748"/>
  </r>
  <r>
    <s v="IMS"/>
    <s v="T2929648"/>
    <s v="2026-02"/>
    <s v="February/2026"/>
    <d v="2026-02-28T00:00:00"/>
    <x v="5"/>
    <s v="802Um00000DqJyLIAV"/>
    <s v="AR00280197"/>
    <s v="006Uj00000Cw5yHIAR"/>
    <s v="0004948513"/>
    <x v="0"/>
    <s v="Activated"/>
    <s v="Confirmed"/>
    <s v="IPROSPECT MEDIA SA"/>
    <x v="5"/>
    <s v="Twitter"/>
    <s v="Twitter Rep"/>
    <s v="LATAM"/>
    <s v="Argentina"/>
    <s v="Argentina"/>
    <x v="1"/>
    <s v="Mexico"/>
    <s v="Aleph Mexico"/>
    <s v="Promoted Tweet/Account"/>
    <s v="Auction"/>
    <s v="Auction"/>
    <x v="1"/>
    <s v="ARS"/>
    <n v="1269863.22"/>
    <n v="1269863.22"/>
    <n v="1"/>
    <n v="1"/>
    <n v="1"/>
    <n v="0.78"/>
    <n v="0.78"/>
    <n v="0"/>
    <m/>
    <n v="1269863.22"/>
    <n v="1269863.22"/>
    <n v="1269863.22"/>
    <n v="990493.31160000002"/>
    <n v="767600.62"/>
    <m/>
    <n v="1269863.22"/>
    <n v="908.99299928418031"/>
    <n v="709.01453944166076"/>
    <n v="279369.90840000001"/>
    <n v="279369.90840000001"/>
    <n v="199.9784598425197"/>
    <n v="22"/>
    <x v="5"/>
    <s v="SO Exported to ERP"/>
    <m/>
    <s v="POIME-000016619"/>
    <s v="PO Exported to ERP"/>
    <m/>
    <m/>
    <m/>
    <x v="1"/>
    <x v="5"/>
    <s v="IPROSPECT MEDIA SA"/>
    <x v="5"/>
    <s v="Bernabela Sol Costabile"/>
    <s v="Bernabela Sol Costabile"/>
    <s v="Bernabela Sol Costabile"/>
    <s v="Promoted Tweet/Account | Twitter Rep | ARS"/>
    <s v="Twitter Rep LATAM + WE"/>
    <s v="Aleph Argentina"/>
    <d v="2024-10-01T00:00:00"/>
    <d v="2026-03-31T00:00:00"/>
    <s v="75D"/>
    <m/>
    <n v="1"/>
    <s v="https://alephholding.lightning.force.com/lightning/r/OrderItem/802Um00000DqJyLIAV/view"/>
    <s v="AR00280197_TWR_001_017"/>
    <n v="0"/>
    <n v="0"/>
    <n v="0"/>
    <n v="0"/>
    <n v="1500000"/>
    <n v="1500000"/>
    <n v="1170000"/>
    <n v="990493.31160000002"/>
    <n v="1"/>
    <n v="7.158196134574087E-4"/>
    <n v="7.158196134574087E-4"/>
    <b v="0"/>
    <b v="0"/>
    <s v="SMB High Value"/>
    <s v="Argentina"/>
    <s v="00020528 / 0"/>
    <n v="908.99299928418043"/>
    <n v="709.01453944166065"/>
    <s v="Argentina"/>
    <s v="IPROSPECT MEDIA SA"/>
    <s v="WCZ7MBJD6T"/>
    <s v="30707117016"/>
    <n v="30707117016"/>
    <s v="Brand Objectives"/>
    <d v="2026-03-06T17:29:00"/>
    <d v="2026-03-04T20:59:00"/>
    <b v="1"/>
    <b v="1"/>
    <d v="2026-02-01T00:00:00"/>
    <s v="Classic IO"/>
    <m/>
    <m/>
    <m/>
    <m/>
    <m/>
    <m/>
    <m/>
    <m/>
    <s v="Mexico"/>
    <s v="ARS"/>
    <n v="1269863.23"/>
    <s v="OK"/>
    <s v="OK"/>
    <n v="-1.0000000009313226E-2"/>
    <s v="T2929648"/>
    <s v="ARS"/>
    <n v="1269863.22"/>
    <s v="OK"/>
    <n v="0"/>
    <m/>
    <m/>
    <s v="Miss"/>
    <m/>
    <s v="ARS"/>
    <n v="767600.57"/>
    <s v="OK"/>
    <n v="222892.74160000007"/>
    <m/>
    <s v="OK"/>
    <s v="SO READY TO EXPORT"/>
    <s v="PO READY TO EXPORT"/>
    <n v="908.99299928418031"/>
  </r>
  <r>
    <s v="IMS"/>
    <s v="T2985381"/>
    <s v="2026-02"/>
    <s v="February/2026"/>
    <d v="2026-02-28T00:00:00"/>
    <x v="6"/>
    <s v="802Um00000DkfQTIAZ"/>
    <s v="AR00303899"/>
    <s v="006Uj00000ZmtZ7IAJ"/>
    <s v="0004932338"/>
    <x v="0"/>
    <s v="Activated"/>
    <s v="Confirmed"/>
    <s v="COCOS CAPITAL SA"/>
    <x v="6"/>
    <s v="Twitter"/>
    <s v="Twitter Rep"/>
    <s v="LATAM"/>
    <s v="Argentina"/>
    <s v="Argentina"/>
    <x v="1"/>
    <s v="Mexico"/>
    <s v="Aleph Mexico"/>
    <s v="Promoted Tweet/Account"/>
    <s v="Auction"/>
    <s v="Auction"/>
    <x v="1"/>
    <s v="ARS"/>
    <n v="1900327.95"/>
    <n v="1900327.95"/>
    <n v="1"/>
    <n v="1"/>
    <n v="1"/>
    <n v="0.78"/>
    <n v="0.78"/>
    <n v="0"/>
    <m/>
    <n v="1900327.95"/>
    <n v="1900327.95"/>
    <n v="1900327.95"/>
    <n v="1482255.801"/>
    <n v="1148700.81"/>
    <m/>
    <n v="1900327.95"/>
    <n v="1360.2920186113099"/>
    <n v="1061.0277745168216"/>
    <n v="418072.14899999998"/>
    <n v="418072.14899999998"/>
    <n v="299.26424409448816"/>
    <n v="22"/>
    <x v="6"/>
    <s v="SO Exported to ERP"/>
    <m/>
    <s v="POIME-000019538"/>
    <s v="PO Exported to ERP"/>
    <m/>
    <m/>
    <m/>
    <x v="1"/>
    <x v="6"/>
    <s v="Cocos Capital S.A."/>
    <x v="6"/>
    <s v="Jorge Osuna"/>
    <s v="Jorge Osuna"/>
    <s v="Jorge Osuna"/>
    <s v="Twitter Rep | Promoted Tweet/Account | Argentina | ARS"/>
    <s v="Twitter Rep LATAM + WE"/>
    <s v="Aleph Argentina"/>
    <d v="2026-01-01T00:00:00"/>
    <d v="2026-02-28T00:00:00"/>
    <s v="30D"/>
    <m/>
    <n v="1"/>
    <s v="https://alephholding.lightning.force.com/lightning/r/OrderItem/802Um00000DkfQTIAZ/view"/>
    <s v="AR00397760_TWR_001_002"/>
    <n v="0"/>
    <n v="0"/>
    <n v="0"/>
    <n v="0"/>
    <n v="3000000"/>
    <n v="3000000"/>
    <n v="2340000"/>
    <n v="1482255.801"/>
    <n v="1"/>
    <n v="7.158196134574087E-4"/>
    <n v="7.158196134574087E-4"/>
    <b v="0"/>
    <b v="0"/>
    <s v="SMB High Value"/>
    <s v="Argentina"/>
    <s v="OC interna"/>
    <n v="1360.2920186113099"/>
    <n v="1061.0277745168219"/>
    <s v="Argentina"/>
    <m/>
    <s v="HORCTEF93L"/>
    <s v="30708424478"/>
    <n v="30708424478"/>
    <s v="Brand Objectives"/>
    <d v="2026-03-06T17:29:00"/>
    <d v="2026-03-04T20:59:00"/>
    <b v="1"/>
    <b v="1"/>
    <d v="2026-02-01T00:00:00"/>
    <s v="Classic IO"/>
    <m/>
    <m/>
    <m/>
    <m/>
    <m/>
    <m/>
    <m/>
    <m/>
    <s v="Mexico"/>
    <s v="ARS"/>
    <n v="1900327.94"/>
    <s v="OK"/>
    <s v="OK"/>
    <n v="1.0000000009313226E-2"/>
    <s v="T2985381"/>
    <s v="ARS"/>
    <n v="1900327.95"/>
    <s v="OK"/>
    <n v="0"/>
    <m/>
    <m/>
    <s v="Miss"/>
    <m/>
    <s v="ARS"/>
    <n v="1148700.73"/>
    <s v="OK"/>
    <n v="333555.071"/>
    <m/>
    <s v="OK"/>
    <s v="SO READY TO EXPORT"/>
    <s v="PO READY TO EXPORT"/>
    <n v="1360.2920186113099"/>
  </r>
  <r>
    <s v="IMS"/>
    <s v="T2993848"/>
    <s v="2026-02"/>
    <s v="February/2026"/>
    <d v="2026-02-28T00:00:00"/>
    <x v="7"/>
    <s v="802Um00000DpkpKIAR"/>
    <s v="AR00308588"/>
    <s v="006Uj00000GvOvdIAF"/>
    <s v="0004948190"/>
    <x v="0"/>
    <s v="Activated"/>
    <s v="Confirmed"/>
    <s v="BALANZ CAPITAL VALORES SAU"/>
    <x v="7"/>
    <s v="Twitter"/>
    <s v="Twitter Rep"/>
    <s v="LATAM"/>
    <s v="Argentina"/>
    <s v="Argentina"/>
    <x v="1"/>
    <s v="Mexico"/>
    <s v="Aleph Mexico"/>
    <s v="Promoted Tweet/Account"/>
    <s v="Auction"/>
    <s v="Auction"/>
    <x v="1"/>
    <s v="ARS"/>
    <n v="81926.990000000005"/>
    <n v="81926.990000000005"/>
    <n v="1"/>
    <n v="1"/>
    <n v="1"/>
    <n v="0.78"/>
    <n v="0.78"/>
    <n v="0"/>
    <m/>
    <n v="81926.990000000005"/>
    <n v="81926.990000000005"/>
    <n v="81926.990000000005"/>
    <n v="63903.052199999998"/>
    <n v="49522.82"/>
    <m/>
    <n v="81926.990000000005"/>
    <n v="58.644946313528997"/>
    <n v="45.743058124552611"/>
    <n v="18023.9378"/>
    <n v="18023.9378"/>
    <n v="12.901888188976377"/>
    <n v="22"/>
    <x v="7"/>
    <s v="SO Exported to ERP"/>
    <m/>
    <s v="POIME-000020944"/>
    <s v="PO Exported to ERP"/>
    <m/>
    <m/>
    <m/>
    <x v="1"/>
    <x v="7"/>
    <s v="BALANZ CAPITAL VALORES SAU"/>
    <x v="7"/>
    <s v="Bernabela Sol Costabile"/>
    <s v="Bernabela Sol Costabile"/>
    <s v="Bernabela Sol Costabile"/>
    <s v="Promoted Tweet/Account | Twitter Rep | ARS"/>
    <s v="Twitter Rep LATAM + WE"/>
    <s v="Aleph Argentina"/>
    <d v="2025-01-09T00:00:00"/>
    <d v="2026-02-05T00:00:00"/>
    <s v="15D"/>
    <m/>
    <n v="1"/>
    <s v="https://alephholding.lightning.force.com/lightning/r/OrderItem/802Um00000DpkpKIAR/view"/>
    <s v="AR00308588_TWR_001_014"/>
    <n v="0"/>
    <n v="0"/>
    <n v="0"/>
    <n v="0"/>
    <n v="1"/>
    <n v="1"/>
    <n v="0.78"/>
    <n v="63903.052199999998"/>
    <n v="1"/>
    <n v="7.158196134574087E-4"/>
    <n v="7.158196134574087E-4"/>
    <b v="0"/>
    <b v="0"/>
    <s v="SMB High Value"/>
    <s v="Argentina"/>
    <s v="OC interna"/>
    <n v="58.64494631352899"/>
    <n v="45.743058124552611"/>
    <s v="Argentina"/>
    <m/>
    <s v="N6UMGK06ZE"/>
    <s v="30710630670"/>
    <n v="30710630670"/>
    <s v="Brand Objectives"/>
    <d v="2026-03-06T17:29:00"/>
    <d v="2026-03-04T20:59:00"/>
    <b v="1"/>
    <b v="1"/>
    <d v="2026-02-01T00:00:00"/>
    <s v="Classic IO"/>
    <m/>
    <m/>
    <m/>
    <m/>
    <m/>
    <m/>
    <m/>
    <m/>
    <s v="Mexico"/>
    <s v="ARS"/>
    <n v="81926.98"/>
    <s v="OK"/>
    <s v="OK"/>
    <n v="1.0000000009313226E-2"/>
    <s v="T2993848"/>
    <s v="ARS"/>
    <n v="81926.990000000005"/>
    <s v="OK"/>
    <n v="0"/>
    <m/>
    <m/>
    <s v="Miss"/>
    <m/>
    <s v="ARS"/>
    <n v="49522.81"/>
    <s v="OK"/>
    <n v="14380.242200000001"/>
    <m/>
    <s v="OK"/>
    <s v="SO READY TO EXPORT"/>
    <s v="PO READY TO EXPORT"/>
    <n v="58.644946313528997"/>
  </r>
  <r>
    <s v="IMS"/>
    <s v="T3025948"/>
    <s v="2026-02"/>
    <s v="February/2026"/>
    <d v="2026-02-28T00:00:00"/>
    <x v="8"/>
    <s v="802Um00000DplQQIAZ"/>
    <s v="AR00321028"/>
    <s v="006Uj00000JDil3IAD"/>
    <s v="0004948199"/>
    <x v="0"/>
    <s v="Activated"/>
    <s v="Confirmed"/>
    <s v="RAPPI ARG S.A.S."/>
    <x v="8"/>
    <s v="Twitter"/>
    <s v="Twitter Billing"/>
    <s v="LATAM"/>
    <s v="Argentina"/>
    <s v="Argentina"/>
    <x v="1"/>
    <s v="Mexico"/>
    <s v="Aleph Mexico"/>
    <s v="Promoted Tweet/Account"/>
    <s v="Auction"/>
    <s v="Auction"/>
    <x v="1"/>
    <s v="ARS"/>
    <n v="16336337.960000001"/>
    <n v="16336337.960000001"/>
    <n v="1"/>
    <n v="1"/>
    <n v="1"/>
    <n v="0.85"/>
    <n v="0.85"/>
    <n v="0"/>
    <m/>
    <n v="16336337.960000001"/>
    <n v="16336337.960000001"/>
    <n v="16336337.960000001"/>
    <n v="13885887.266000001"/>
    <n v="10781901.369999999"/>
    <m/>
    <n v="16336337.960000001"/>
    <n v="11693.871123836794"/>
    <n v="9939.7904552612745"/>
    <n v="2450450.6940000001"/>
    <n v="2450450.6940000001"/>
    <n v="1754.080668575519"/>
    <n v="15"/>
    <x v="8"/>
    <s v="SO Exported to ERP"/>
    <m/>
    <s v="POIME-000023168"/>
    <s v="PO Exported to ERP"/>
    <m/>
    <m/>
    <m/>
    <x v="1"/>
    <x v="8"/>
    <s v="RAPPI ARG S.A.S."/>
    <x v="8"/>
    <s v="Juan Vilarino"/>
    <s v="Juan Vilarino"/>
    <s v="Juan Vilarino"/>
    <s v="Twitter Billing | Promoted Tweet/Account | Twitter Billing | USD"/>
    <s v="Twitter Billing LATAM + WE"/>
    <s v="Aleph Argentina"/>
    <d v="2025-03-14T00:00:00"/>
    <d v="2026-02-05T00:00:00"/>
    <s v="0D"/>
    <m/>
    <n v="1"/>
    <s v="https://alephholding.lightning.force.com/lightning/r/OrderItem/802Um00000DplQQIAZ/view"/>
    <s v="AR00321028_TWB_001_012"/>
    <n v="0"/>
    <n v="0"/>
    <n v="0"/>
    <n v="0"/>
    <n v="1"/>
    <n v="1"/>
    <n v="0.85"/>
    <n v="13885887.266000001"/>
    <n v="1"/>
    <n v="7.158196134574087E-4"/>
    <n v="7.158196134574087E-4"/>
    <b v="0"/>
    <b v="0"/>
    <s v="Traditional (Local Team)"/>
    <s v="Argentina"/>
    <s v="OC interna (no id)"/>
    <n v="11693.871123836792"/>
    <n v="9939.7904552612745"/>
    <s v="Argentina"/>
    <m/>
    <s v="ZZMK7BPX7O"/>
    <s v="30715803891"/>
    <n v="30715803891"/>
    <s v="Brand Objectives"/>
    <d v="2026-03-06T17:29:00"/>
    <d v="2026-03-04T20:58:00"/>
    <b v="1"/>
    <b v="1"/>
    <d v="2026-02-01T00:00:00"/>
    <s v="Classic IO"/>
    <m/>
    <m/>
    <m/>
    <m/>
    <m/>
    <m/>
    <m/>
    <m/>
    <m/>
    <m/>
    <m/>
    <s v="Miss"/>
    <s v="Miss"/>
    <m/>
    <s v="T3025948"/>
    <s v="ARS"/>
    <n v="16336337.960000001"/>
    <s v="OK"/>
    <n v="0"/>
    <m/>
    <m/>
    <s v="Miss"/>
    <m/>
    <s v="ARS"/>
    <n v="10782309.779999999"/>
    <s v="OK"/>
    <n v="3103577.4860000014"/>
    <m/>
    <s v="OK"/>
    <s v="SO READY TO EXPORT"/>
    <s v="PO READY TO EXPORT"/>
    <n v="11693.871123836794"/>
  </r>
  <r>
    <s v="IMS"/>
    <s v="T3094969"/>
    <s v="2026-02"/>
    <s v="February/2026"/>
    <d v="2026-02-28T00:00:00"/>
    <x v="9"/>
    <s v="802Uj00000OpcOoIAJ"/>
    <s v="AR00344572"/>
    <s v="006Uj00000O0gSuIAJ"/>
    <s v="0004839130"/>
    <x v="0"/>
    <s v="Activated"/>
    <s v="Confirmed"/>
    <s v="PROGMEDIA ARG SAS"/>
    <x v="9"/>
    <s v="Twitter"/>
    <s v="Twitter Rep"/>
    <s v="LATAM"/>
    <s v="Argentina"/>
    <s v="Argentina"/>
    <x v="1"/>
    <s v="Mexico"/>
    <s v="Aleph Mexico"/>
    <s v="Promoted Tweet/Account"/>
    <s v="Auction"/>
    <s v="Auction"/>
    <x v="1"/>
    <s v="ARS"/>
    <n v="610190.21"/>
    <n v="610190.21"/>
    <n v="1"/>
    <n v="1"/>
    <n v="1"/>
    <n v="0.78"/>
    <n v="0.78"/>
    <n v="0"/>
    <m/>
    <n v="610190.21"/>
    <n v="610190.21"/>
    <n v="610190.21"/>
    <n v="475948.36379999999"/>
    <n v="368844.75"/>
    <m/>
    <n v="610190.21"/>
    <n v="436.78612025769502"/>
    <n v="340.69317380100216"/>
    <n v="134241.8462"/>
    <n v="134241.8462"/>
    <n v="96.092946456692914"/>
    <n v="22"/>
    <x v="9"/>
    <s v="SO Exported to ERP"/>
    <m/>
    <s v="POIME-000025949"/>
    <s v="PO Exported to ERP"/>
    <m/>
    <m/>
    <m/>
    <x v="1"/>
    <x v="9"/>
    <s v="!X PROGMEDIA ARG SAS"/>
    <x v="9"/>
    <s v="Jorge Osuna"/>
    <s v="Talia Anael Alzieu"/>
    <s v="Talia Anael Alzieu"/>
    <s v="Twitter Rep | Promoted Tweet/Account | Argentina | ARS"/>
    <s v="Twitter Rep LATAM + WE"/>
    <s v="Aleph Argentina"/>
    <d v="2025-05-01T00:00:00"/>
    <d v="2026-03-31T00:00:00"/>
    <s v="30D"/>
    <m/>
    <n v="2"/>
    <s v="https://alephholding.lightning.force.com/lightning/r/OrderItem/802Uj00000OpcOoIAJ/view"/>
    <s v="AR00344572_TWR_001_009"/>
    <n v="0"/>
    <n v="0"/>
    <n v="0"/>
    <n v="0"/>
    <n v="1180000"/>
    <n v="1180000"/>
    <n v="920400"/>
    <n v="475948.36379999999"/>
    <n v="1"/>
    <n v="7.158196134574087E-4"/>
    <n v="7.158196134574087E-4"/>
    <b v="0"/>
    <b v="0"/>
    <s v="Traditional (Local Team)"/>
    <s v="Argentina"/>
    <s v="OC interna"/>
    <n v="436.78612025769507"/>
    <n v="340.69317380100216"/>
    <s v="Argentina"/>
    <s v="!Blocked PROGMEDIA ARG SAS"/>
    <s v="VP38BF4BLV"/>
    <s v="30716369087"/>
    <n v="30716369087"/>
    <s v="Brand Objectives"/>
    <d v="2026-03-06T17:29:00"/>
    <d v="2026-03-04T20:58:00"/>
    <b v="1"/>
    <b v="1"/>
    <d v="2026-02-01T00:00:00"/>
    <s v="Classic IO"/>
    <m/>
    <m/>
    <m/>
    <m/>
    <m/>
    <m/>
    <m/>
    <m/>
    <s v="Mexico"/>
    <s v="ARS"/>
    <n v="610222.1"/>
    <s v="OK"/>
    <s v="OK"/>
    <n v="-31.89000000001397"/>
    <s v="T3094969"/>
    <s v="ARS"/>
    <n v="610190.21"/>
    <s v="OK"/>
    <n v="0"/>
    <m/>
    <m/>
    <s v="Miss"/>
    <m/>
    <s v="ARS"/>
    <n v="368844.73"/>
    <s v="OK"/>
    <n v="107103.63380000001"/>
    <m/>
    <s v="OK"/>
    <s v="SO READY TO EXPORT"/>
    <s v="PO READY TO EXPORT"/>
    <n v="436.78612025769502"/>
  </r>
  <r>
    <s v="IMS"/>
    <s v="T3101174"/>
    <s v="2026-02"/>
    <s v="February/2026"/>
    <d v="2026-02-28T00:00:00"/>
    <x v="10"/>
    <s v="802Um00000DnpTJIAZ"/>
    <s v="AR00348122"/>
    <s v="006Uj00000OobeUIAR"/>
    <s v="0004946044"/>
    <x v="0"/>
    <s v="Activated"/>
    <s v="Confirmed"/>
    <s v="OSA ONE STEP AHEAD S. A."/>
    <x v="10"/>
    <s v="Twitter"/>
    <s v="Twitter Rep"/>
    <s v="LATAM"/>
    <s v="Argentina"/>
    <s v="Argentina"/>
    <x v="1"/>
    <s v="Mexico"/>
    <s v="Aleph Mexico"/>
    <s v="Promoted Tweet/Account"/>
    <s v="Auction"/>
    <s v="Auction"/>
    <x v="1"/>
    <s v="ARS"/>
    <n v="2007664.48"/>
    <n v="2007664.48"/>
    <n v="1"/>
    <n v="1"/>
    <n v="1"/>
    <n v="0.78"/>
    <n v="0.78"/>
    <n v="0"/>
    <m/>
    <n v="2007664.48"/>
    <n v="2007664.48"/>
    <n v="2007664.48"/>
    <n v="1565978.2944"/>
    <n v="1213583.07"/>
    <m/>
    <n v="2007664.48"/>
    <n v="1437.1256120257694"/>
    <n v="1120.9579773801001"/>
    <n v="441686.18560000003"/>
    <n v="441686.18560000003"/>
    <n v="316.1676346456693"/>
    <n v="22"/>
    <x v="10"/>
    <s v="SO Exported to ERP"/>
    <m/>
    <s v="POIME-000026272"/>
    <s v="PO Exported to ERP"/>
    <m/>
    <m/>
    <m/>
    <x v="1"/>
    <x v="10"/>
    <s v="OSA ONE STEP AHEAD S. A."/>
    <x v="10"/>
    <s v="Jorge Osuna"/>
    <s v="Jorge Osuna"/>
    <s v="Jorge Osuna"/>
    <s v="Twitter Rep | Promoted Tweet/Account | Argentina | ARS"/>
    <s v="Twitter Rep LATAM + WE"/>
    <s v="Aleph Argentina"/>
    <d v="2025-06-14T00:00:00"/>
    <d v="2026-02-28T00:00:00"/>
    <s v="90D"/>
    <m/>
    <n v="1"/>
    <s v="https://alephholding.lightning.force.com/lightning/r/OrderItem/802Um00000DnpTJIAZ/view"/>
    <s v="AR00348122_TWR_001_009"/>
    <n v="0"/>
    <n v="0"/>
    <n v="0"/>
    <n v="0"/>
    <n v="2000000.01"/>
    <n v="2000000.01"/>
    <n v="1560000.0078"/>
    <n v="1565978.2944"/>
    <n v="1"/>
    <n v="7.158196134574087E-4"/>
    <n v="7.158196134574087E-4"/>
    <b v="0"/>
    <b v="0"/>
    <s v="Digital Native / Performance"/>
    <s v="Argentina"/>
    <s v="202506-0876 ver 001"/>
    <n v="1437.1256120257694"/>
    <n v="1120.9579773801001"/>
    <s v="Argentina"/>
    <s v="OSA ONE STEP AHEAD Argentina"/>
    <s v="WYWXHC78NY"/>
    <s v="30712014047"/>
    <n v="30712014047"/>
    <s v="Client Performance Driven (ROI)"/>
    <d v="2026-03-06T17:29:00"/>
    <d v="2026-03-04T20:59:00"/>
    <b v="1"/>
    <b v="1"/>
    <d v="2026-02-01T00:00:00"/>
    <s v="Classic IO"/>
    <m/>
    <m/>
    <m/>
    <m/>
    <m/>
    <m/>
    <m/>
    <m/>
    <s v="Mexico"/>
    <s v="ARS"/>
    <n v="2007664.47"/>
    <s v="OK"/>
    <s v="OK"/>
    <n v="1.0000000009313226E-2"/>
    <s v="T3101174"/>
    <s v="ARS"/>
    <n v="2007664.48"/>
    <s v="OK"/>
    <n v="0"/>
    <m/>
    <m/>
    <s v="Miss"/>
    <m/>
    <s v="ARS"/>
    <n v="1213582.99"/>
    <s v="OK"/>
    <n v="352395.30440000002"/>
    <m/>
    <s v="OK"/>
    <s v="SO READY TO EXPORT"/>
    <s v="PO READY TO EXPORT"/>
    <n v="1437.1256120257694"/>
  </r>
  <r>
    <s v="IMS"/>
    <s v="T3163143"/>
    <s v="2026-02"/>
    <s v="February/2026"/>
    <d v="2026-02-28T00:00:00"/>
    <x v="11"/>
    <s v="802Uj00000MBp7OIAT"/>
    <s v="AR00380261"/>
    <s v="006Uj00000VJCwTIAX"/>
    <s v="0004449761"/>
    <x v="0"/>
    <s v="Activated"/>
    <s v="Confirmed"/>
    <s v="BI MEDIA S.R.L."/>
    <x v="11"/>
    <s v="Twitter"/>
    <s v="Twitter Rep"/>
    <s v="LATAM"/>
    <s v="Argentina"/>
    <s v="Argentina"/>
    <x v="1"/>
    <s v="Mexico"/>
    <s v="Aleph Mexico"/>
    <s v="Promoted Tweet/Account"/>
    <s v="Auction"/>
    <s v="Auction"/>
    <x v="1"/>
    <s v="ARS"/>
    <n v="3110400"/>
    <n v="3110400"/>
    <n v="1"/>
    <n v="1"/>
    <n v="1"/>
    <n v="0.78"/>
    <n v="0.78"/>
    <n v="0"/>
    <m/>
    <n v="3110400"/>
    <n v="3110400"/>
    <n v="3110400"/>
    <n v="2426112"/>
    <n v="1880159.16"/>
    <m/>
    <n v="3110400"/>
    <n v="2226.4853256979241"/>
    <n v="1736.6585540443807"/>
    <n v="684288"/>
    <n v="684288"/>
    <n v="489.82677165354329"/>
    <n v="22"/>
    <x v="11"/>
    <s v="SO Exported to ERP"/>
    <m/>
    <s v="POIME-000032057"/>
    <s v="PO Exported to ERP"/>
    <m/>
    <m/>
    <m/>
    <x v="1"/>
    <x v="11"/>
    <s v="BI MEDIA S.R.L."/>
    <x v="11"/>
    <s v="Miguel Jose Torrealba Alfonzo"/>
    <s v="Macarena Ramos Taky"/>
    <s v="Macarena Ramos Taky"/>
    <s v="Twitter Rep | Promoted Tweet/Account | Argentina | ARS"/>
    <s v="Twitter Rep LATAM + WE"/>
    <s v="Aleph Argentina"/>
    <d v="2026-01-01T00:00:00"/>
    <d v="2026-03-31T00:00:00"/>
    <s v="45D"/>
    <m/>
    <n v="1"/>
    <s v="https://alephholding.lightning.force.com/lightning/r/OrderItem/802Uj00000MBp7OIAT/view"/>
    <s v="AR00380261_TWR_001_002"/>
    <n v="0"/>
    <n v="0"/>
    <n v="0"/>
    <n v="0"/>
    <n v="11612160"/>
    <n v="11612160"/>
    <n v="9057484.8000000007"/>
    <n v="2426112"/>
    <n v="1"/>
    <n v="7.158196134574087E-4"/>
    <n v="7.158196134574087E-4"/>
    <b v="0"/>
    <b v="0"/>
    <s v="Traditional (Local Team)"/>
    <s v="Argentina"/>
    <s v="IMS Interna"/>
    <n v="2226.4853256979241"/>
    <n v="1736.6585540443807"/>
    <s v="Argentina"/>
    <s v="BI MEDIA ARGENTINA"/>
    <s v="XI4AP1YG9A"/>
    <s v="XI4AP1YG9A"/>
    <n v="30714243949"/>
    <s v="Brand Objectives"/>
    <d v="2026-03-06T17:29:00"/>
    <d v="2026-03-04T20:58:00"/>
    <b v="1"/>
    <b v="1"/>
    <d v="2026-02-01T00:00:00"/>
    <s v="Classic IO"/>
    <m/>
    <m/>
    <m/>
    <m/>
    <m/>
    <m/>
    <m/>
    <m/>
    <s v="Mexico"/>
    <s v="ARS"/>
    <n v="3110400"/>
    <s v="OK"/>
    <s v="OK"/>
    <n v="0"/>
    <s v="T3163143"/>
    <s v="ARS"/>
    <n v="3110400"/>
    <s v="OK"/>
    <n v="0"/>
    <m/>
    <m/>
    <s v="Miss"/>
    <m/>
    <s v="ARS"/>
    <n v="1880159.04"/>
    <s v="OK"/>
    <n v="545952.96"/>
    <m/>
    <s v="OK"/>
    <s v="SO READY TO EXPORT"/>
    <s v="PO READY TO EXPORT"/>
    <n v="2226.4853256979241"/>
  </r>
  <r>
    <s v="IMS"/>
    <s v="T3163157"/>
    <s v="2026-02"/>
    <s v="February/2026"/>
    <d v="2026-02-28T00:00:00"/>
    <x v="12"/>
    <s v="802Uj00000LwXp8IAF"/>
    <s v="AR00380263"/>
    <s v="006Uj00000VJ8XuIAL"/>
    <s v="0004419788"/>
    <x v="0"/>
    <s v="Activated"/>
    <s v="Confirmed"/>
    <s v="BI MEDIA S.R.L."/>
    <x v="11"/>
    <s v="Twitter"/>
    <s v="Twitter Rep"/>
    <s v="LATAM"/>
    <s v="Argentina"/>
    <s v="Argentina"/>
    <x v="1"/>
    <s v="Mexico"/>
    <s v="Aleph Mexico"/>
    <s v="Promoted Tweet/Account"/>
    <s v="Auction"/>
    <s v="Auction"/>
    <x v="1"/>
    <s v="ARS"/>
    <n v="3110400"/>
    <n v="3110400"/>
    <n v="1"/>
    <n v="1"/>
    <n v="1"/>
    <n v="0.78"/>
    <n v="0.78"/>
    <n v="0"/>
    <m/>
    <n v="3110400"/>
    <n v="3110400"/>
    <n v="3110400"/>
    <n v="2426112"/>
    <n v="1880159.16"/>
    <m/>
    <n v="3110400"/>
    <n v="2226.4853256979241"/>
    <n v="1736.6585540443807"/>
    <n v="684288"/>
    <n v="684288"/>
    <n v="489.82677165354329"/>
    <n v="22"/>
    <x v="12"/>
    <s v="SO Exported to ERP"/>
    <m/>
    <s v="POIME-000032573"/>
    <s v="PO Exported to ERP"/>
    <m/>
    <m/>
    <m/>
    <x v="1"/>
    <x v="12"/>
    <s v="BI MEDIA S.R.L."/>
    <x v="11"/>
    <s v="Miguel Jose Torrealba Alfonzo"/>
    <s v="Macarena Ramos Taky"/>
    <s v="Macarena Ramos Taky"/>
    <s v="Twitter Rep | Promoted Tweet/Account | Argentina | ARS"/>
    <s v="Twitter Rep LATAM + WE"/>
    <s v="Aleph Argentina"/>
    <d v="2026-01-01T00:00:00"/>
    <d v="2026-05-31T00:00:00"/>
    <s v="45D"/>
    <m/>
    <n v="1"/>
    <s v="https://alephholding.lightning.force.com/lightning/r/OrderItem/802Uj00000LwXp8IAF/view"/>
    <s v="AR00380263_TWR_001_002"/>
    <n v="0"/>
    <n v="0"/>
    <n v="0"/>
    <n v="0"/>
    <n v="4614103.3112582779"/>
    <n v="4614103.3112580003"/>
    <n v="3599000.5827810001"/>
    <n v="2426112"/>
    <n v="1"/>
    <n v="7.158196134574087E-4"/>
    <n v="7.158196134574087E-4"/>
    <b v="0"/>
    <b v="0"/>
    <s v="Traditional (Local Team)"/>
    <s v="Argentina"/>
    <s v="IMS Interna"/>
    <n v="2226.4853256979241"/>
    <n v="1736.6585540443807"/>
    <s v="Argentina"/>
    <s v="BI MEDIA ARGENTINA"/>
    <s v="XI4AP1YG9A"/>
    <s v="XI4AP1YG9A"/>
    <n v="30714243949"/>
    <s v="Brand Objectives"/>
    <d v="2026-03-06T17:29:00"/>
    <d v="2026-03-04T20:58:00"/>
    <b v="1"/>
    <b v="1"/>
    <d v="2026-02-01T00:00:00"/>
    <s v="Classic IO"/>
    <m/>
    <m/>
    <m/>
    <m/>
    <m/>
    <m/>
    <m/>
    <m/>
    <s v="Mexico"/>
    <s v="ARS"/>
    <n v="3110400"/>
    <s v="OK"/>
    <s v="OK"/>
    <n v="0"/>
    <s v="T3163157"/>
    <s v="ARS"/>
    <n v="3110400"/>
    <s v="OK"/>
    <n v="0"/>
    <m/>
    <m/>
    <s v="Miss"/>
    <m/>
    <s v="ARS"/>
    <n v="1880159.04"/>
    <s v="OK"/>
    <n v="545952.96"/>
    <m/>
    <s v="OK"/>
    <s v="SO READY TO EXPORT"/>
    <s v="PO READY TO EXPORT"/>
    <n v="2226.4853256979241"/>
  </r>
  <r>
    <s v="IMS"/>
    <s v="T3163161"/>
    <s v="2026-02"/>
    <s v="February/2026"/>
    <d v="2026-02-28T00:00:00"/>
    <x v="13"/>
    <s v="802Um00000DVQ0LIAX"/>
    <s v="AR00402644"/>
    <s v="006Um00000d9iTBIAY"/>
    <s v="0004910905"/>
    <x v="0"/>
    <s v="Activated"/>
    <s v="Confirmed"/>
    <s v="IPG Media Brands SA (Arg)"/>
    <x v="12"/>
    <s v="Twitter"/>
    <s v="Twitter Billing"/>
    <s v="LATAM"/>
    <s v="Argentina"/>
    <s v="Argentina"/>
    <x v="1"/>
    <s v="Mexico"/>
    <s v="Aleph Mexico"/>
    <s v="Promoted Tweet/Account"/>
    <s v="Auction"/>
    <s v="Auction"/>
    <x v="1"/>
    <s v="ARS"/>
    <n v="2304000"/>
    <n v="2304000"/>
    <n v="1"/>
    <n v="1"/>
    <n v="1"/>
    <n v="0.85"/>
    <n v="0.85"/>
    <n v="0"/>
    <m/>
    <n v="2304000"/>
    <n v="2304000"/>
    <n v="2304000"/>
    <n v="1958400"/>
    <n v="1520628.48"/>
    <m/>
    <n v="2304000"/>
    <n v="1649.2483894058698"/>
    <n v="1401.8611309949893"/>
    <n v="345600"/>
    <n v="345600"/>
    <n v="247.38725841088046"/>
    <n v="15"/>
    <x v="13"/>
    <s v="SO Exported to ERP"/>
    <m/>
    <s v="POIME-000032565"/>
    <s v="PO Exported to ERP"/>
    <m/>
    <m/>
    <m/>
    <x v="1"/>
    <x v="13"/>
    <s v="IPG Media Brands SA (Arg)"/>
    <x v="12"/>
    <s v="Valentina Pulido"/>
    <s v="Valentina Pulido"/>
    <s v="Valentina Pulido"/>
    <s v="Twitter Billing | Promoted Tweet/Account | Twitter Billing | USD"/>
    <s v="Twitter Billing LATAM + WE"/>
    <s v="Aleph Argentina"/>
    <d v="2026-02-01T00:00:00"/>
    <d v="2026-02-02T00:00:00"/>
    <s v="75D"/>
    <m/>
    <n v="1"/>
    <s v="https://alephholding.lightning.force.com/lightning/r/OrderItem/802Um00000DVQ0LIAX/view"/>
    <s v="AR00402644_TWB_001_001"/>
    <n v="0"/>
    <n v="0"/>
    <n v="0"/>
    <n v="0"/>
    <n v="2304000"/>
    <n v="2304000"/>
    <n v="1958400"/>
    <n v="1958400"/>
    <n v="1"/>
    <n v="7.158196134574087E-4"/>
    <n v="7.158196134574087E-4"/>
    <b v="0"/>
    <b v="0"/>
    <s v="Traditional (Local Team)"/>
    <s v="Argentina"/>
    <s v="1072311 / 1"/>
    <n v="1649.2483894058698"/>
    <n v="1401.8611309949893"/>
    <s v="Argentina"/>
    <s v="IPG Media Brands SA (Arg)"/>
    <s v="2ETAFBXN2W"/>
    <s v="30693739698"/>
    <n v="30693739698"/>
    <s v="Brand Objectives"/>
    <d v="2026-03-06T17:29:00"/>
    <d v="2026-03-04T20:58:00"/>
    <b v="1"/>
    <b v="1"/>
    <d v="2026-02-01T00:00:00"/>
    <s v="Classic IO"/>
    <m/>
    <m/>
    <m/>
    <m/>
    <m/>
    <m/>
    <m/>
    <m/>
    <m/>
    <m/>
    <m/>
    <s v="Miss"/>
    <s v="Miss"/>
    <m/>
    <s v="T3163161"/>
    <s v="ARS"/>
    <n v="2304000"/>
    <s v="OK"/>
    <n v="0"/>
    <m/>
    <m/>
    <s v="Miss"/>
    <m/>
    <s v="ARS"/>
    <n v="1520686.0800000001"/>
    <s v="OK"/>
    <n v="437713.91999999993"/>
    <m/>
    <s v="OK"/>
    <s v="SO READY TO EXPORT"/>
    <s v="PO READY TO EXPORT"/>
    <n v="1649.2483894058698"/>
  </r>
  <r>
    <s v="IMS"/>
    <s v="T3184062"/>
    <s v="2026-02"/>
    <s v="February/2026"/>
    <d v="2026-02-28T00:00:00"/>
    <x v="14"/>
    <s v="802Um00000DlYwPIAV"/>
    <s v="AR00385631"/>
    <s v="006Uj00000WckLyIAJ"/>
    <s v="0004935767"/>
    <x v="0"/>
    <s v="Activated"/>
    <s v="Confirmed"/>
    <s v="OSA ONE STEP AHEAD S. A."/>
    <x v="10"/>
    <s v="Twitter"/>
    <s v="Twitter Rep"/>
    <s v="LATAM"/>
    <s v="Argentina"/>
    <s v="Argentina"/>
    <x v="1"/>
    <s v="Mexico"/>
    <s v="Aleph Mexico"/>
    <s v="Promoted Tweet/Account"/>
    <s v="Auction"/>
    <s v="Auction"/>
    <x v="1"/>
    <s v="ARS"/>
    <n v="718276.95"/>
    <n v="718276.95"/>
    <n v="1"/>
    <n v="1"/>
    <n v="1"/>
    <n v="0.78"/>
    <n v="0.78"/>
    <n v="0"/>
    <m/>
    <n v="718276.95"/>
    <n v="718276.95"/>
    <n v="718276.95"/>
    <n v="560256.02099999995"/>
    <n v="434180.49"/>
    <m/>
    <n v="718276.95"/>
    <n v="514.15672870436651"/>
    <n v="401.04224838940581"/>
    <n v="158020.929"/>
    <n v="158020.929"/>
    <n v="113.11448031496063"/>
    <n v="22"/>
    <x v="14"/>
    <s v="SO Exported to ERP"/>
    <m/>
    <s v="POIME-000030764"/>
    <s v="PO Exported to ERP"/>
    <m/>
    <m/>
    <m/>
    <x v="1"/>
    <x v="14"/>
    <s v="OSA ONE STEP AHEAD S. A."/>
    <x v="10"/>
    <s v="Jorge Osuna"/>
    <s v="Jorge Osuna"/>
    <s v="Jorge Osuna"/>
    <s v="Twitter Rep | Promoted Tweet/Account | Argentina | ARS"/>
    <s v="Twitter Rep LATAM + WE"/>
    <s v="Aleph Argentina"/>
    <d v="2025-11-04T00:00:00"/>
    <d v="2026-03-31T00:00:00"/>
    <s v="90D"/>
    <m/>
    <n v="1"/>
    <s v="https://alephholding.lightning.force.com/lightning/r/OrderItem/802Um00000DlYwPIAV/view"/>
    <s v="AR00385631_TWR_001_004"/>
    <n v="0"/>
    <n v="0"/>
    <n v="0"/>
    <n v="0"/>
    <n v="700000.1"/>
    <n v="700000.1"/>
    <n v="546000.07799999998"/>
    <n v="560256.02099999995"/>
    <n v="1"/>
    <n v="7.158196134574087E-4"/>
    <n v="7.158196134574087E-4"/>
    <b v="0"/>
    <b v="0"/>
    <s v="Digital Native / Performance"/>
    <s v="Argentina"/>
    <s v="202511-0806 ver 001"/>
    <n v="514.15672870436651"/>
    <n v="401.04224838940587"/>
    <s v="Argentina"/>
    <s v="OSA ONE STEP AHEAD Argentina"/>
    <s v="WYWXHC78NY"/>
    <s v="30712014047"/>
    <n v="30712014047"/>
    <s v="Client Performance Driven (ROI)"/>
    <d v="2026-03-06T17:29:00"/>
    <d v="2026-03-04T20:59:00"/>
    <b v="1"/>
    <b v="1"/>
    <d v="2026-02-01T00:00:00"/>
    <s v="Classic IO"/>
    <m/>
    <m/>
    <m/>
    <m/>
    <m/>
    <m/>
    <m/>
    <m/>
    <s v="Mexico"/>
    <s v="ARS"/>
    <n v="718276.95"/>
    <s v="OK"/>
    <s v="OK"/>
    <n v="0"/>
    <s v="T3184062"/>
    <s v="ARS"/>
    <n v="718276.95"/>
    <s v="OK"/>
    <n v="0"/>
    <m/>
    <m/>
    <s v="Miss"/>
    <m/>
    <s v="ARS"/>
    <n v="434180.46"/>
    <s v="OK"/>
    <n v="126075.56099999993"/>
    <m/>
    <s v="OK"/>
    <s v="SO READY TO EXPORT"/>
    <s v="PO READY TO EXPORT"/>
    <n v="514.15672870436651"/>
  </r>
  <r>
    <s v="IMS"/>
    <s v="T3184279"/>
    <s v="2026-02"/>
    <s v="February/2026"/>
    <d v="2026-02-28T00:00:00"/>
    <x v="15"/>
    <s v="802Um00000Dzk02IAB"/>
    <s v="AR00386009"/>
    <s v="006Uj00000WhOKnIAN"/>
    <s v="0004953697"/>
    <x v="0"/>
    <s v="Activated"/>
    <s v="Confirmed"/>
    <s v="Eje Publicitaria S.A."/>
    <x v="13"/>
    <s v="Twitter"/>
    <s v="Twitter Rep"/>
    <s v="LATAM"/>
    <s v="Argentina"/>
    <s v="Argentina"/>
    <x v="1"/>
    <s v="Mexico"/>
    <s v="Aleph Mexico"/>
    <s v="Promoted Tweet/Account"/>
    <s v="Auction"/>
    <s v="Auction"/>
    <x v="1"/>
    <s v="ARS"/>
    <n v="1206718.48"/>
    <n v="1206718.48"/>
    <n v="1"/>
    <n v="1"/>
    <n v="1"/>
    <n v="0.78"/>
    <n v="0.78"/>
    <n v="0"/>
    <m/>
    <n v="1206718.48"/>
    <n v="1206718.48"/>
    <n v="1206718.48"/>
    <n v="941240.41440000001"/>
    <n v="729431.2"/>
    <m/>
    <n v="1206718.48"/>
    <n v="863.79275590551185"/>
    <n v="673.75834960629925"/>
    <n v="265478.06559999997"/>
    <n v="265478.06559999997"/>
    <n v="190.03440629921258"/>
    <n v="22"/>
    <x v="15"/>
    <s v="SO Exported to ERP"/>
    <m/>
    <s v="POIME-000030778"/>
    <s v="PO Exported to ERP"/>
    <m/>
    <m/>
    <m/>
    <x v="1"/>
    <x v="15"/>
    <s v="Eje Publicitaria S.A."/>
    <x v="13"/>
    <s v="Tomas Poletto"/>
    <s v="Tomas Poletto"/>
    <s v="Tomas Poletto"/>
    <s v="Twitter Rep | Promoted Tweet/Account | Argentina | ARS"/>
    <s v="Twitter Rep LATAM + WE"/>
    <s v="Aleph Argentina"/>
    <d v="2025-11-06T00:00:00"/>
    <d v="2026-03-20T00:00:00"/>
    <s v="45D"/>
    <m/>
    <n v="1"/>
    <s v="https://alephholding.lightning.force.com/lightning/r/OrderItem/802Um00000Dzk02IAB/view"/>
    <s v="AR00386009_TWR_001_004"/>
    <n v="0"/>
    <n v="0"/>
    <n v="0"/>
    <n v="0"/>
    <n v="1908000"/>
    <n v="1908000"/>
    <n v="1488240"/>
    <n v="941240.41440000001"/>
    <n v="1"/>
    <n v="7.158196134574087E-4"/>
    <n v="7.158196134574087E-4"/>
    <b v="0"/>
    <b v="0"/>
    <s v="Traditional (Local Team)"/>
    <s v="Argentina"/>
    <s v="interna"/>
    <n v="863.79275590551185"/>
    <n v="673.75834960629925"/>
    <s v="Argentina"/>
    <s v="Eje Publicitaria Argentina"/>
    <s v="35K845TUHL"/>
    <s v="30614089241"/>
    <n v="30614089241"/>
    <s v="Brand Objectives"/>
    <d v="2026-03-06T17:29:00"/>
    <d v="2026-03-04T20:59:00"/>
    <b v="1"/>
    <b v="1"/>
    <d v="2026-02-01T00:00:00"/>
    <s v="Classic IO"/>
    <m/>
    <m/>
    <m/>
    <m/>
    <m/>
    <m/>
    <m/>
    <m/>
    <s v="Mexico"/>
    <s v="ARS"/>
    <n v="1206718.48"/>
    <s v="OK"/>
    <s v="OK"/>
    <n v="0"/>
    <s v="T3184279"/>
    <s v="ARS"/>
    <n v="1206718.48"/>
    <s v="OK"/>
    <n v="0"/>
    <m/>
    <m/>
    <s v="Miss"/>
    <m/>
    <s v="ARS"/>
    <n v="729431.15"/>
    <s v="OK"/>
    <n v="211809.26439999999"/>
    <m/>
    <s v="OK"/>
    <s v="SO READY TO EXPORT"/>
    <s v="PO READY TO EXPORT"/>
    <n v="863.79275590551185"/>
  </r>
  <r>
    <s v="IMS"/>
    <s v="T3186988"/>
    <s v="2026-02"/>
    <s v="February/2026"/>
    <d v="2026-02-28T00:00:00"/>
    <x v="16"/>
    <s v="802Um00000DlCZJIA3"/>
    <s v="AR00386903"/>
    <s v="006Uj00000Wzu9JIAR"/>
    <s v="0004932859"/>
    <x v="0"/>
    <s v="Activated"/>
    <s v="Confirmed"/>
    <s v="Bullmetrix SRL"/>
    <x v="3"/>
    <s v="Twitter"/>
    <s v="Twitter Rep"/>
    <s v="LATAM"/>
    <s v="Argentina"/>
    <s v="Argentina"/>
    <x v="1"/>
    <s v="Mexico"/>
    <s v="Aleph Mexico"/>
    <s v="Promoted Tweet/Account"/>
    <s v="Auction"/>
    <s v="Auction"/>
    <x v="1"/>
    <s v="ARS"/>
    <n v="2431431.12"/>
    <n v="2431431.12"/>
    <n v="1"/>
    <n v="1"/>
    <n v="1"/>
    <n v="0.78"/>
    <n v="0.78"/>
    <n v="0"/>
    <m/>
    <n v="2431431.12"/>
    <n v="2431431.12"/>
    <n v="2431431.12"/>
    <n v="1896516.2736"/>
    <n v="1469739.42"/>
    <m/>
    <n v="2431431.12"/>
    <n v="1740.4660844667144"/>
    <n v="1357.5635458840372"/>
    <n v="534914.84640000004"/>
    <n v="534914.84640000004"/>
    <n v="382.90253858267721"/>
    <n v="22"/>
    <x v="16"/>
    <s v="SO Exported to ERP"/>
    <m/>
    <s v="POIME-000030815"/>
    <s v="PO Exported to ERP"/>
    <m/>
    <m/>
    <m/>
    <x v="1"/>
    <x v="16"/>
    <s v="Bullmetrix SRL"/>
    <x v="3"/>
    <s v="Tomas Poletto"/>
    <s v="Tomas Poletto"/>
    <s v="Tomas Poletto"/>
    <s v="Twitter Rep | Promoted Tweet/Account | Argentina | ARS"/>
    <s v="Twitter Rep LATAM + WE"/>
    <s v="Aleph Argentina"/>
    <d v="2025-11-07T00:00:00"/>
    <d v="2026-04-30T00:00:00"/>
    <s v="0D"/>
    <m/>
    <n v="1"/>
    <s v="https://alephholding.lightning.force.com/lightning/r/OrderItem/802Um00000DlCZJIA3/view"/>
    <s v="AR00386903_TWR_001_004"/>
    <n v="0"/>
    <n v="0"/>
    <n v="0"/>
    <n v="0"/>
    <n v="2500000"/>
    <n v="2500000"/>
    <n v="1950000"/>
    <n v="1896516.2736"/>
    <n v="1"/>
    <n v="7.158196134574087E-4"/>
    <n v="7.158196134574087E-4"/>
    <b v="0"/>
    <b v="0"/>
    <s v="Traditional (Local Team)"/>
    <s v="Argentina"/>
    <s v="interna"/>
    <n v="1740.4660844667144"/>
    <n v="1357.5635458840372"/>
    <s v="Argentina"/>
    <s v="Bullmetrix SRL Argentina"/>
    <s v="7BGTIOZVNX"/>
    <s v="30715554530"/>
    <n v="30715554530"/>
    <s v="Brand Objectives"/>
    <d v="2026-03-06T17:29:00"/>
    <d v="2026-03-04T20:59:00"/>
    <b v="1"/>
    <b v="1"/>
    <d v="2026-02-01T00:00:00"/>
    <s v="Classic IO"/>
    <m/>
    <m/>
    <m/>
    <m/>
    <m/>
    <m/>
    <m/>
    <m/>
    <s v="Mexico"/>
    <s v="ARS"/>
    <n v="2431431.11"/>
    <s v="OK"/>
    <s v="OK"/>
    <n v="1.0000000242143869E-2"/>
    <s v="T3186988"/>
    <s v="ARS"/>
    <n v="2431431.12"/>
    <s v="OK"/>
    <n v="0"/>
    <m/>
    <m/>
    <s v="Miss"/>
    <m/>
    <s v="ARS"/>
    <n v="1469739.33"/>
    <s v="OK"/>
    <n v="426776.94359999988"/>
    <m/>
    <s v="OK"/>
    <s v="SO READY TO EXPORT"/>
    <s v="PO READY TO EXPORT"/>
    <n v="1740.4660844667144"/>
  </r>
  <r>
    <s v="IMS"/>
    <s v="T3203120"/>
    <s v="2026-02"/>
    <s v="February/2026"/>
    <d v="2026-02-28T00:00:00"/>
    <x v="17"/>
    <s v="802Um00000DXrR3IAL"/>
    <s v="AR00402667"/>
    <s v="006Um00000dABi5IAG"/>
    <s v="0004913273"/>
    <x v="0"/>
    <s v="Activated"/>
    <s v="Confirmed"/>
    <s v="GroupM Argentina S.A.U."/>
    <x v="14"/>
    <s v="Twitter"/>
    <s v="Twitter Billing"/>
    <s v="LATAM"/>
    <s v="Argentina"/>
    <s v="Argentina"/>
    <x v="1"/>
    <s v="Mexico"/>
    <s v="Aleph Mexico"/>
    <s v="Promoted Tweet/Account"/>
    <s v="Auction"/>
    <s v="Auction"/>
    <x v="1"/>
    <s v="ARS"/>
    <n v="4454635.05"/>
    <n v="4454635.05"/>
    <n v="1"/>
    <n v="1"/>
    <n v="1"/>
    <n v="0.85"/>
    <n v="0.85"/>
    <n v="0"/>
    <m/>
    <n v="4454635.05"/>
    <n v="4454635.05"/>
    <n v="4454635.05"/>
    <n v="3786439.7925"/>
    <n v="2940036.86"/>
    <m/>
    <n v="4454635.05"/>
    <n v="3188.7151395848246"/>
    <n v="2710.4078686471007"/>
    <n v="668195.25749999995"/>
    <n v="668195.25749999995"/>
    <n v="478.30727093772367"/>
    <n v="15"/>
    <x v="17"/>
    <s v="SO Exported to ERP"/>
    <m/>
    <s v="POIME-000032566"/>
    <s v="PO Exported to ERP"/>
    <m/>
    <m/>
    <m/>
    <x v="1"/>
    <x v="17"/>
    <s v="GroupM Argentina S.A.U."/>
    <x v="14"/>
    <s v="Valentina Pulido"/>
    <s v="Valentina Pulido"/>
    <s v="Valentina Pulido"/>
    <s v="Twitter Billing | Promoted Tweet/Account | Twitter Billing | USD"/>
    <s v="Twitter Billing LATAM + WE"/>
    <s v="Aleph Argentina"/>
    <d v="2026-02-02T00:00:00"/>
    <d v="2026-02-17T00:00:00"/>
    <s v="75D"/>
    <m/>
    <n v="1"/>
    <s v="https://alephholding.lightning.force.com/lightning/r/OrderItem/802Um00000DXrR3IAL/view"/>
    <s v="AR00402667_TWB_001_001"/>
    <n v="0"/>
    <n v="0"/>
    <n v="0"/>
    <n v="0"/>
    <n v="4455000"/>
    <n v="4455000"/>
    <n v="3786750"/>
    <n v="3786439.7925"/>
    <n v="1"/>
    <n v="7.158196134574087E-4"/>
    <n v="7.158196134574087E-4"/>
    <b v="0"/>
    <b v="0"/>
    <s v="Traditional (Local Team)"/>
    <s v="Argentina"/>
    <s v="270347620/0 - 270347621/0 - 270347622/0"/>
    <n v="3188.7151395848246"/>
    <n v="2710.4078686471007"/>
    <s v="Argentina"/>
    <s v="GroupM Argentina SAU Argentina"/>
    <s v="DY30XCGZG6"/>
    <s v="30594476960"/>
    <n v="30594476960"/>
    <s v="Brand Objectives"/>
    <d v="2026-03-06T17:29:00"/>
    <d v="2026-03-04T20:58:00"/>
    <b v="1"/>
    <b v="1"/>
    <d v="2026-02-01T00:00:00"/>
    <s v="Classic IO"/>
    <m/>
    <m/>
    <m/>
    <m/>
    <m/>
    <m/>
    <m/>
    <m/>
    <m/>
    <m/>
    <m/>
    <s v="Miss"/>
    <s v="Miss"/>
    <m/>
    <s v="T3203120"/>
    <s v="ARS"/>
    <n v="4454635.05"/>
    <s v="OK"/>
    <n v="0"/>
    <m/>
    <m/>
    <s v="Miss"/>
    <m/>
    <s v="ARS"/>
    <n v="2940148.22"/>
    <s v="OK"/>
    <n v="846291.57249999978"/>
    <m/>
    <s v="OK"/>
    <s v="SO READY TO EXPORT"/>
    <s v="PO READY TO EXPORT"/>
    <n v="3188.7151395848246"/>
  </r>
  <r>
    <s v="IMS"/>
    <s v="T3203811"/>
    <s v="2026-02"/>
    <s v="February/2026"/>
    <d v="2026-02-28T00:00:00"/>
    <x v="18"/>
    <s v="802Uj00000PMtXKIA1"/>
    <s v="AR00397355"/>
    <s v="006Uj00000ZhFsTIAV"/>
    <s v="0004873308"/>
    <x v="0"/>
    <s v="Activated"/>
    <s v="Confirmed"/>
    <s v="IPG Media Brands SA (Arg)"/>
    <x v="12"/>
    <s v="Twitter"/>
    <s v="Twitter Billing"/>
    <s v="LATAM"/>
    <s v="Argentina"/>
    <s v="Argentina"/>
    <x v="1"/>
    <s v="Mexico"/>
    <s v="Aleph Mexico"/>
    <s v="Promoted Tweet/Account"/>
    <s v="Auction"/>
    <s v="Auction"/>
    <x v="1"/>
    <s v="ARS"/>
    <n v="2304000"/>
    <n v="2304000"/>
    <n v="1"/>
    <n v="1"/>
    <n v="1"/>
    <n v="0.85"/>
    <n v="0.85"/>
    <n v="0"/>
    <m/>
    <n v="2304000"/>
    <n v="2304000"/>
    <n v="2304000"/>
    <n v="1958400"/>
    <n v="1520628.48"/>
    <m/>
    <n v="2304000"/>
    <n v="1649.2483894058698"/>
    <n v="1401.8611309949893"/>
    <n v="345600"/>
    <n v="345600"/>
    <n v="247.38725841088046"/>
    <n v="15"/>
    <x v="18"/>
    <s v="SO Exported to ERP"/>
    <m/>
    <s v="POIME-000032046"/>
    <s v="PO Exported to ERP"/>
    <m/>
    <m/>
    <m/>
    <x v="1"/>
    <x v="18"/>
    <s v="IPG Media Brands SA (Arg)"/>
    <x v="12"/>
    <s v="Luciana Bonifacio"/>
    <s v="Luciana Bonifacio"/>
    <s v="Luciana Bonifacio"/>
    <s v="Twitter Billing | Promoted Tweet/Account | Twitter Billing | USD"/>
    <s v="Twitter Billing LATAM + WE"/>
    <s v="Aleph Argentina"/>
    <d v="2026-01-06T00:00:00"/>
    <d v="2026-02-04T00:00:00"/>
    <s v="75D"/>
    <m/>
    <n v="1"/>
    <s v="https://alephholding.lightning.force.com/lightning/r/OrderItem/802Uj00000PMtXKIA1/view"/>
    <s v="AR00397355_TWB_001_002"/>
    <n v="0"/>
    <n v="0"/>
    <n v="0"/>
    <n v="0"/>
    <n v="614400"/>
    <n v="614400"/>
    <n v="522240"/>
    <n v="1958400"/>
    <n v="1"/>
    <n v="7.158196134574087E-4"/>
    <n v="7.158196134574087E-4"/>
    <b v="0"/>
    <b v="0"/>
    <s v="Traditional (Local Team)"/>
    <s v="Argentina"/>
    <s v="1070567 / 1 - 1070570 / 1"/>
    <n v="1649.2483894058698"/>
    <n v="1401.8611309949893"/>
    <s v="Argentina"/>
    <s v="IPG Media Brands SA (Arg)"/>
    <s v="2ETAFBXN2W"/>
    <s v="30693739698"/>
    <n v="30693739698"/>
    <s v="Brand Objectives"/>
    <d v="2026-03-06T17:29:00"/>
    <d v="2026-03-04T20:58:00"/>
    <b v="1"/>
    <b v="1"/>
    <d v="2026-02-01T00:00:00"/>
    <s v="Classic IO"/>
    <m/>
    <m/>
    <m/>
    <m/>
    <m/>
    <m/>
    <m/>
    <m/>
    <m/>
    <m/>
    <m/>
    <s v="Miss"/>
    <s v="Miss"/>
    <m/>
    <s v="T3203811"/>
    <s v="ARS"/>
    <n v="2304000"/>
    <s v="OK"/>
    <n v="0"/>
    <m/>
    <m/>
    <s v="Miss"/>
    <m/>
    <s v="ARS"/>
    <n v="1520686.0800000001"/>
    <s v="OK"/>
    <n v="437713.91999999993"/>
    <m/>
    <s v="OK"/>
    <s v="SO READY TO EXPORT"/>
    <s v="PO READY TO EXPORT"/>
    <n v="1649.2483894058698"/>
  </r>
  <r>
    <s v="IMS"/>
    <s v="T3207502"/>
    <s v="2026-02"/>
    <s v="February/2026"/>
    <d v="2026-02-28T00:00:00"/>
    <x v="19"/>
    <s v="802Um00000EPvz7IAD"/>
    <s v="AR00407834"/>
    <s v="006Um00000ed2e1IAA"/>
    <s v="0004966494"/>
    <x v="0"/>
    <s v="Activated"/>
    <s v="Confirmed"/>
    <s v="GroupM Argentina S.A.U."/>
    <x v="14"/>
    <s v="Twitter"/>
    <s v="Twitter Billing"/>
    <s v="LATAM"/>
    <s v="Argentina"/>
    <s v="Argentina"/>
    <x v="1"/>
    <s v="Mexico"/>
    <s v="Aleph Mexico"/>
    <s v="Promoted Tweet/Account"/>
    <s v="Auction"/>
    <s v="Auction"/>
    <x v="1"/>
    <s v="ARS"/>
    <n v="1192935.18"/>
    <n v="1192935.18"/>
    <n v="1"/>
    <n v="1"/>
    <n v="1"/>
    <n v="0.85"/>
    <n v="0.85"/>
    <n v="0"/>
    <m/>
    <n v="1192935.18"/>
    <n v="1192935.18"/>
    <n v="1192935.18"/>
    <n v="1013994.903"/>
    <n v="787331.25"/>
    <m/>
    <n v="1192935.18"/>
    <n v="853.92639942734422"/>
    <n v="725.83743951324266"/>
    <n v="178940.277"/>
    <n v="178940.277"/>
    <n v="128.08895991410165"/>
    <n v="15"/>
    <x v="19"/>
    <s v="SO Exported to ERP"/>
    <m/>
    <s v="POIME-000032572"/>
    <s v="PO Exported to ERP"/>
    <m/>
    <m/>
    <m/>
    <x v="1"/>
    <x v="19"/>
    <s v="GroupM Argentina S.A.U."/>
    <x v="14"/>
    <s v="Valentina Pulido"/>
    <s v="Valentina Pulido"/>
    <s v="Valentina Pulido"/>
    <s v="Twitter Billing | Promoted Tweet/Account | Twitter Billing | USD"/>
    <s v="Twitter Billing LATAM + WE"/>
    <s v="Aleph Argentina"/>
    <d v="2026-02-23T00:00:00"/>
    <d v="2026-03-08T00:00:00"/>
    <s v="75D"/>
    <m/>
    <n v="1"/>
    <s v="https://alephholding.lightning.force.com/lightning/r/OrderItem/802Um00000EPvz7IAD/view"/>
    <s v="AR00407834_TWB_001_001"/>
    <n v="0"/>
    <n v="0"/>
    <n v="0"/>
    <n v="0"/>
    <n v="1909285.7142857143"/>
    <n v="1909285.714286"/>
    <n v="1622892.857143"/>
    <n v="1013994.903"/>
    <n v="1"/>
    <n v="7.158196134574087E-4"/>
    <n v="7.158196134574087E-4"/>
    <b v="0"/>
    <b v="0"/>
    <s v="Traditional (Local Team)"/>
    <s v="Argentina"/>
    <s v="270348197/0 - 270348195/0 - 270348194/0 - 270348196/0"/>
    <n v="853.92639942734434"/>
    <n v="725.83743951324266"/>
    <s v="Argentina"/>
    <s v="GroupM Argentina SAU Argentina"/>
    <s v="DY30XCGZG6"/>
    <s v="30594476960"/>
    <n v="30594476960"/>
    <s v="Brand Objectives"/>
    <d v="2026-03-06T17:29:00"/>
    <d v="2026-03-04T20:58:00"/>
    <b v="1"/>
    <b v="1"/>
    <d v="2026-02-01T00:00:00"/>
    <s v="Classic IO"/>
    <m/>
    <m/>
    <m/>
    <m/>
    <m/>
    <m/>
    <m/>
    <m/>
    <m/>
    <m/>
    <m/>
    <s v="Miss"/>
    <s v="Miss"/>
    <m/>
    <s v="T3207502"/>
    <s v="ARS"/>
    <n v="1192935.18"/>
    <s v="OK"/>
    <n v="0"/>
    <m/>
    <m/>
    <s v="Miss"/>
    <m/>
    <s v="ARS"/>
    <n v="930489.45"/>
    <s v="OK"/>
    <n v="83505.453000000096"/>
    <m/>
    <s v="OK. Twitter Comm. ERR"/>
    <s v="SO READY TO EXPORT"/>
    <s v="PO READY TO EXPORT"/>
    <n v="853.92639942734422"/>
  </r>
  <r>
    <s v="IMS"/>
    <s v="T3209384"/>
    <s v="2026-02"/>
    <s v="February/2026"/>
    <d v="2026-02-28T00:00:00"/>
    <x v="20"/>
    <s v="802Um00000DiLPTIA3"/>
    <s v="AR00392411"/>
    <s v="006Uj00000ZhjaPIAR"/>
    <s v="0004930221"/>
    <x v="0"/>
    <s v="Activated"/>
    <s v="Confirmed"/>
    <s v="OSA ONE STEP AHEAD S. A."/>
    <x v="10"/>
    <s v="Twitter"/>
    <s v="Twitter Rep"/>
    <s v="LATAM"/>
    <s v="Argentina"/>
    <s v="Argentina"/>
    <x v="1"/>
    <s v="Mexico"/>
    <s v="Aleph Mexico"/>
    <s v="Promoted Tweet/Account"/>
    <s v="Auction"/>
    <s v="Auction"/>
    <x v="1"/>
    <s v="ARS"/>
    <n v="6210184.3200000003"/>
    <n v="6210184.3200000003"/>
    <n v="1"/>
    <n v="1"/>
    <n v="1"/>
    <n v="0.78"/>
    <n v="0.78"/>
    <n v="0"/>
    <m/>
    <n v="6210184.3200000003"/>
    <n v="6210184.3200000003"/>
    <n v="6210184.3200000003"/>
    <n v="4843943.7696000002"/>
    <n v="3753901.42"/>
    <m/>
    <n v="6210184.3200000003"/>
    <n v="4445.3717394416608"/>
    <n v="3467.3899567644953"/>
    <n v="1366240.5504000001"/>
    <n v="1366240.5504000001"/>
    <n v="977.98178267716537"/>
    <n v="22"/>
    <x v="20"/>
    <s v="SO Exported to ERP"/>
    <m/>
    <s v="POIME-000031455"/>
    <s v="PO Exported to ERP"/>
    <m/>
    <m/>
    <m/>
    <x v="1"/>
    <x v="20"/>
    <s v="OSA ONE STEP AHEAD S. A."/>
    <x v="10"/>
    <s v="Jorge Osuna"/>
    <s v="Jorge Osuna"/>
    <s v="Jorge Osuna"/>
    <s v="Twitter Rep | Promoted Tweet/Account | Argentina | ARS"/>
    <s v="Twitter Rep LATAM + WE"/>
    <s v="Aleph Argentina"/>
    <d v="2026-01-02T00:00:00"/>
    <d v="2026-03-31T00:00:00"/>
    <s v="90D"/>
    <m/>
    <n v="1"/>
    <s v="https://alephholding.lightning.force.com/lightning/r/OrderItem/802Um00000DiLPTIA3/view"/>
    <s v="AR00392411_TWR_002_002"/>
    <n v="0"/>
    <n v="0"/>
    <n v="0"/>
    <n v="0"/>
    <n v="6099999.96"/>
    <n v="6099999.96"/>
    <n v="4757999.9687999999"/>
    <n v="4843943.7696000002"/>
    <n v="1"/>
    <n v="7.158196134574087E-4"/>
    <n v="7.158196134574087E-4"/>
    <b v="0"/>
    <b v="0"/>
    <s v="Digital Native / Performance"/>
    <s v="Argentina"/>
    <s v="202601-0242 ver 001; 202601-0241 ver 001; 202601-0240 ver 001"/>
    <n v="4445.3717394416608"/>
    <n v="3467.3899567644953"/>
    <s v="Argentina"/>
    <s v="OSA ONE STEP AHEAD Argentina"/>
    <s v="WYWXHC78NY"/>
    <s v="30712014047"/>
    <n v="30712014047"/>
    <s v="Client Performance Driven (ROI)"/>
    <d v="2026-03-06T17:29:00"/>
    <d v="2026-03-04T20:59:00"/>
    <b v="1"/>
    <b v="1"/>
    <d v="2026-02-01T00:00:00"/>
    <s v="Classic IO"/>
    <m/>
    <m/>
    <m/>
    <m/>
    <m/>
    <m/>
    <m/>
    <m/>
    <s v="Mexico"/>
    <s v="ARS"/>
    <n v="6210184.3099999996"/>
    <s v="OK"/>
    <s v="OK"/>
    <n v="1.0000000707805157E-2"/>
    <s v="T3209384"/>
    <s v="ARS"/>
    <n v="6210184.3200000003"/>
    <s v="OK"/>
    <n v="0"/>
    <m/>
    <m/>
    <s v="Miss"/>
    <m/>
    <s v="ARS"/>
    <n v="3753901.16"/>
    <s v="OK"/>
    <n v="1090042.6096000001"/>
    <m/>
    <s v="OK"/>
    <s v="SO READY TO EXPORT"/>
    <s v="PO READY TO EXPORT"/>
    <n v="4445.3717394416608"/>
  </r>
  <r>
    <s v="IMS"/>
    <s v="T3210360"/>
    <s v="2026-02"/>
    <s v="February/2026"/>
    <d v="2026-02-28T00:00:00"/>
    <x v="21"/>
    <s v="802Uj00000OWFNuIAP"/>
    <s v="AR00393374"/>
    <s v="006Uj00000YcIunIAF"/>
    <s v="0004781510"/>
    <x v="0"/>
    <s v="Activated"/>
    <s v="Confirmed"/>
    <s v="DIGITAL HIVE GROUP S.A."/>
    <x v="15"/>
    <s v="Twitter"/>
    <s v="Twitter Rep"/>
    <s v="LATAM"/>
    <s v="Argentina"/>
    <s v="Argentina"/>
    <x v="1"/>
    <s v="Mexico"/>
    <s v="Aleph Mexico"/>
    <s v="Promoted Tweet/Account"/>
    <s v="Auction"/>
    <s v="Auction"/>
    <x v="1"/>
    <s v="ARS"/>
    <n v="5546437.7000000002"/>
    <n v="5546437.7000000002"/>
    <n v="1"/>
    <n v="1"/>
    <n v="1"/>
    <n v="0.78"/>
    <n v="0.78"/>
    <n v="0"/>
    <m/>
    <n v="5546437.7000000002"/>
    <n v="5546437.7000000002"/>
    <n v="5546437.7000000002"/>
    <n v="4326221.4060000004"/>
    <n v="3352683.15"/>
    <m/>
    <n v="5546437.7000000002"/>
    <n v="3970.2488904795991"/>
    <n v="3096.7941345740878"/>
    <n v="1220216.294"/>
    <n v="1220216.294"/>
    <n v="873.45475590551177"/>
    <n v="22"/>
    <x v="21"/>
    <s v="SO Exported to ERP"/>
    <m/>
    <s v="POIME-000032058"/>
    <s v="PO Exported to ERP"/>
    <m/>
    <m/>
    <m/>
    <x v="1"/>
    <x v="21"/>
    <s v="DIGITAL HIVE GROUP S.A."/>
    <x v="15"/>
    <s v="Tomas Poletto"/>
    <s v="Tomas Poletto"/>
    <s v="Tomas Poletto"/>
    <s v="Twitter Rep | Promoted Tweet/Account | Argentina | ARS"/>
    <s v="Twitter Rep LATAM + WE"/>
    <s v="Aleph Argentina"/>
    <d v="2026-01-01T00:00:00"/>
    <d v="2026-03-31T00:00:00"/>
    <s v="45D"/>
    <m/>
    <n v="1"/>
    <s v="https://alephholding.lightning.force.com/lightning/r/OrderItem/802Uj00000OWFNuIAP/view"/>
    <s v="AR00393374_TWR_001_002"/>
    <n v="0"/>
    <n v="0"/>
    <n v="0"/>
    <n v="0"/>
    <n v="7082387.54"/>
    <n v="7082387.54"/>
    <n v="5524262.2812000001"/>
    <n v="4326221.4060000004"/>
    <n v="1"/>
    <n v="7.158196134574087E-4"/>
    <n v="7.158196134574087E-4"/>
    <b v="0"/>
    <b v="0"/>
    <s v="Traditional (Local Team)"/>
    <s v="Argentina"/>
    <n v="1024001139"/>
    <n v="3970.2488904795991"/>
    <n v="3096.7941345740874"/>
    <s v="Argentina"/>
    <s v="DIGITAL HIVE GROUP ARGENTINA"/>
    <s v="3NHZJ3EZX1"/>
    <s v="30715225537"/>
    <n v="30715225537"/>
    <s v="Brand Objectives"/>
    <d v="2026-03-06T17:29:00"/>
    <d v="2026-03-04T20:58:00"/>
    <b v="1"/>
    <b v="1"/>
    <d v="2026-02-01T00:00:00"/>
    <s v="Classic IO"/>
    <m/>
    <m/>
    <m/>
    <m/>
    <m/>
    <m/>
    <m/>
    <m/>
    <s v="Mexico"/>
    <s v="ARS"/>
    <n v="5546437.7000000002"/>
    <s v="OK"/>
    <s v="OK"/>
    <n v="0"/>
    <s v="T3210360"/>
    <s v="ARS"/>
    <n v="5546437.7000000002"/>
    <s v="OK"/>
    <n v="0"/>
    <m/>
    <m/>
    <s v="Miss"/>
    <m/>
    <s v="ARS"/>
    <n v="3352682.93"/>
    <s v="OK"/>
    <n v="973538.47600000026"/>
    <m/>
    <s v="OK"/>
    <s v="SO READY TO EXPORT"/>
    <s v="PO READY TO EXPORT"/>
    <n v="3970.2488904795991"/>
  </r>
  <r>
    <s v="IMS"/>
    <s v="T3217930"/>
    <s v="2026-02"/>
    <s v="February/2026"/>
    <d v="2026-02-28T00:00:00"/>
    <x v="22"/>
    <s v="802Uj00000PlUViIAN"/>
    <s v="AR00395011"/>
    <s v="006Uj00000Z4Dc1IAF"/>
    <s v="0004889863"/>
    <x v="0"/>
    <s v="Activated"/>
    <s v="Confirmed"/>
    <s v="Delivery Hero E-commerce SA"/>
    <x v="16"/>
    <s v="Twitter"/>
    <s v="Twitter Rep"/>
    <s v="LATAM"/>
    <s v="Argentina"/>
    <s v="Argentina"/>
    <x v="1"/>
    <s v="Mexico"/>
    <s v="Aleph Mexico"/>
    <s v="Promoted Tweet/Account"/>
    <s v="Auction"/>
    <s v="Auction"/>
    <x v="1"/>
    <s v="ARS"/>
    <n v="6912000"/>
    <n v="6912000"/>
    <n v="1"/>
    <n v="1"/>
    <n v="1"/>
    <n v="0.78"/>
    <n v="0.78"/>
    <n v="0"/>
    <m/>
    <n v="6912000"/>
    <n v="6912000"/>
    <n v="6912000"/>
    <n v="5391360"/>
    <n v="4178131.48"/>
    <m/>
    <n v="6912000"/>
    <n v="4947.7451682176088"/>
    <n v="3859.2412312097354"/>
    <n v="1520640"/>
    <n v="1520640"/>
    <n v="1088.5039370078741"/>
    <n v="22"/>
    <x v="22"/>
    <s v="SO Exported to ERP"/>
    <m/>
    <s v="POIME-000032576"/>
    <s v="PO Exported to ERP"/>
    <m/>
    <m/>
    <m/>
    <x v="1"/>
    <x v="22"/>
    <s v="Delivery Hero E-commerce SA"/>
    <x v="16"/>
    <s v="Jorge Osuna"/>
    <s v="Jorge Osuna"/>
    <s v="Jorge Osuna"/>
    <s v="Twitter Rep | Promoted Tweet/Account | Argentina | ARS"/>
    <s v="Twitter Rep LATAM + WE"/>
    <s v="Aleph Argentina"/>
    <d v="2026-02-05T00:00:00"/>
    <d v="2026-03-05T00:00:00"/>
    <s v="30D"/>
    <m/>
    <n v="1"/>
    <s v="https://alephholding.lightning.force.com/lightning/r/OrderItem/802Uj00000PlUViIAN/view"/>
    <s v="AR00395011_TWR_001_001"/>
    <n v="0"/>
    <n v="0"/>
    <n v="0"/>
    <n v="0"/>
    <n v="11440551.72413793"/>
    <n v="11440551.724137999"/>
    <n v="8923630.3448280003"/>
    <n v="5391360"/>
    <n v="1"/>
    <n v="7.158196134574087E-4"/>
    <n v="7.158196134574087E-4"/>
    <b v="0"/>
    <b v="0"/>
    <s v="Traditional (Local Team)"/>
    <s v="Argentina"/>
    <s v="IMS Interna"/>
    <n v="4947.7451682176088"/>
    <n v="3859.2412312097354"/>
    <s v="Argentina"/>
    <m/>
    <s v="5FI5X0WWU7"/>
    <s v="30711985766"/>
    <n v="30711985766"/>
    <s v="Brand Objectives"/>
    <d v="2026-03-06T17:29:00"/>
    <d v="2026-03-04T20:58:00"/>
    <b v="1"/>
    <b v="1"/>
    <d v="2026-02-01T00:00:00"/>
    <s v="Classic IO"/>
    <m/>
    <m/>
    <m/>
    <m/>
    <m/>
    <m/>
    <m/>
    <m/>
    <s v="Mexico"/>
    <s v="ARS"/>
    <n v="6912000"/>
    <s v="OK"/>
    <s v="OK"/>
    <n v="0"/>
    <s v="T3217930"/>
    <s v="ARS"/>
    <n v="6912000"/>
    <s v="OK"/>
    <n v="0"/>
    <m/>
    <m/>
    <s v="Miss"/>
    <m/>
    <s v="ARS"/>
    <n v="4178131.18"/>
    <s v="OK"/>
    <n v="1213228.8199999998"/>
    <m/>
    <s v="OK"/>
    <s v="SO READY TO EXPORT"/>
    <s v="PO READY TO EXPORT"/>
    <n v="4947.7451682176088"/>
  </r>
  <r>
    <s v="IMS"/>
    <s v="T3218190"/>
    <s v="2026-02"/>
    <s v="February/2026"/>
    <d v="2026-02-28T00:00:00"/>
    <x v="23"/>
    <s v="802Um00000DlSvpIAF"/>
    <s v="AR00395348"/>
    <s v="006Uj00000Z7VB0IAN"/>
    <s v="0004934524"/>
    <x v="0"/>
    <s v="Activated"/>
    <s v="Confirmed"/>
    <s v="Banco Santander Argentina S.A"/>
    <x v="17"/>
    <s v="Twitter"/>
    <s v="Twitter Rep"/>
    <s v="LATAM"/>
    <s v="Argentina"/>
    <s v="Argentina"/>
    <x v="1"/>
    <s v="Mexico"/>
    <s v="Aleph Mexico"/>
    <s v="Promoted Tweet/Account"/>
    <s v="Auction"/>
    <s v="Auction"/>
    <x v="1"/>
    <s v="ARS"/>
    <n v="9005104.1400000006"/>
    <n v="9005104.1400000006"/>
    <n v="1"/>
    <n v="1"/>
    <n v="1"/>
    <n v="0.78"/>
    <n v="0.78"/>
    <n v="0"/>
    <m/>
    <n v="9005104.1400000006"/>
    <n v="9005104.1400000006"/>
    <n v="9005104.1400000006"/>
    <n v="7023981.2291999999"/>
    <n v="5443360.6900000004"/>
    <m/>
    <n v="9005104.1400000006"/>
    <n v="6446.0301646385115"/>
    <n v="5027.9035284180391"/>
    <n v="1981122.9108"/>
    <n v="1981122.9108"/>
    <n v="1418.1266362204724"/>
    <n v="22"/>
    <x v="23"/>
    <s v="SO Exported to ERP"/>
    <m/>
    <s v="POIME-000031499"/>
    <s v="PO Exported to ERP"/>
    <m/>
    <m/>
    <m/>
    <x v="1"/>
    <x v="23"/>
    <s v="Banco Santander Argentina S.A"/>
    <x v="17"/>
    <s v="Jorge Osuna"/>
    <s v="Jorge Osuna"/>
    <s v="Jorge Osuna"/>
    <s v="Twitter Rep | Promoted Tweet/Account | Argentina | ARS"/>
    <s v="Twitter Rep LATAM + WE"/>
    <s v="Aleph Argentina"/>
    <d v="2025-12-19T00:00:00"/>
    <d v="2026-02-28T00:00:00"/>
    <s v="30D"/>
    <m/>
    <n v="1"/>
    <s v="https://alephholding.lightning.force.com/lightning/r/OrderItem/802Um00000DlSvpIAF/view"/>
    <s v="AR00395348_TWR_001_003"/>
    <n v="0"/>
    <n v="0"/>
    <n v="0"/>
    <n v="0"/>
    <n v="9000000"/>
    <n v="9000000"/>
    <n v="7020000"/>
    <n v="7023981.2291999999"/>
    <n v="1"/>
    <n v="7.158196134574087E-4"/>
    <n v="7.158196134574087E-4"/>
    <b v="0"/>
    <b v="0"/>
    <s v="Traditional (Local Team)"/>
    <s v="Argentina"/>
    <s v="123280/000"/>
    <n v="6446.0301646385115"/>
    <n v="5027.9035284180391"/>
    <s v="Argentina"/>
    <s v="MMS Comunicaciones Argentina Argentina"/>
    <s v="MITN4WILAG"/>
    <s v="30500008454"/>
    <n v="30500008454"/>
    <s v="Brand Objectives"/>
    <d v="2026-03-06T17:29:00"/>
    <d v="2026-03-04T20:59:00"/>
    <b v="1"/>
    <b v="1"/>
    <d v="2026-02-01T00:00:00"/>
    <s v="Classic IO"/>
    <m/>
    <m/>
    <m/>
    <m/>
    <m/>
    <m/>
    <m/>
    <m/>
    <s v="Mexico"/>
    <s v="ARS"/>
    <n v="9005104.1400000006"/>
    <s v="OK"/>
    <s v="OK"/>
    <n v="0"/>
    <s v="T3218190"/>
    <s v="ARS"/>
    <n v="9005104.1400000006"/>
    <s v="OK"/>
    <n v="0"/>
    <m/>
    <m/>
    <s v="Miss"/>
    <m/>
    <s v="ARS"/>
    <n v="5443360.3300000001"/>
    <s v="OK"/>
    <n v="1580620.8991999999"/>
    <m/>
    <s v="OK"/>
    <s v="SO READY TO EXPORT"/>
    <s v="PO READY TO EXPORT"/>
    <n v="6446.0301646385115"/>
  </r>
  <r>
    <s v="IMS"/>
    <s v="T3218548"/>
    <s v="2026-02"/>
    <s v="February/2026"/>
    <d v="2026-02-28T00:00:00"/>
    <x v="24"/>
    <s v="802Um00000EJIUDIA5"/>
    <s v="AR00395703"/>
    <s v="006Uj00000ZDyodIAD"/>
    <s v="0004962589"/>
    <x v="0"/>
    <s v="Activated"/>
    <s v="Confirmed"/>
    <s v="Telecom Argentina SA"/>
    <x v="18"/>
    <s v="Twitter"/>
    <s v="Twitter Rep"/>
    <s v="LATAM"/>
    <s v="Argentina"/>
    <s v="Argentina"/>
    <x v="1"/>
    <s v="Mexico"/>
    <s v="Aleph Mexico"/>
    <s v="Promoted Tweet/Account"/>
    <s v="Auction"/>
    <s v="Auction"/>
    <x v="1"/>
    <s v="ARS"/>
    <n v="241926.19"/>
    <n v="241926.19"/>
    <n v="1"/>
    <n v="1"/>
    <n v="1"/>
    <n v="0.78"/>
    <n v="0.78"/>
    <n v="0"/>
    <m/>
    <n v="241926.19"/>
    <n v="241926.19"/>
    <n v="241926.19"/>
    <n v="188702.42819999999"/>
    <n v="146238.34"/>
    <m/>
    <n v="241926.19"/>
    <n v="173.17551181102363"/>
    <n v="135.07689921259842"/>
    <n v="53223.7618"/>
    <n v="53223.7618"/>
    <n v="38.098612598425198"/>
    <n v="22"/>
    <x v="24"/>
    <s v="SO Exported to ERP"/>
    <m/>
    <s v="POIME-000032660"/>
    <s v="PO Exported to ERP"/>
    <m/>
    <m/>
    <m/>
    <x v="1"/>
    <x v="24"/>
    <s v="Telecom Argentina SA"/>
    <x v="18"/>
    <s v="Nicolás Ferreiro"/>
    <s v="Talia Anael Alzieu"/>
    <s v="Talia Anael Alzieu"/>
    <s v="Twitter Rep | Promoted Tweet/Account | Argentina | ARS"/>
    <s v="Twitter Rep LATAM + WE"/>
    <s v="Aleph Argentina"/>
    <d v="2026-02-27T00:00:00"/>
    <d v="2026-03-31T00:00:00"/>
    <s v="90D"/>
    <m/>
    <n v="1"/>
    <s v="https://alephholding.lightning.force.com/lightning/r/OrderItem/802Um00000EJIUDIA5/view"/>
    <s v="AR00395703_TWR_001_001"/>
    <n v="0"/>
    <n v="0"/>
    <n v="0"/>
    <n v="0"/>
    <n v="831789.81818181823"/>
    <n v="831789.81818199996"/>
    <n v="648796.05818199995"/>
    <n v="188702.42819999999"/>
    <n v="1"/>
    <n v="7.158196134574087E-4"/>
    <n v="7.158196134574087E-4"/>
    <b v="0"/>
    <b v="0"/>
    <s v="Traditional (Local Team)"/>
    <s v="Argentina"/>
    <s v="02279176/03279221-02/  03279221 / 03279221-03"/>
    <n v="173.17551181102363"/>
    <n v="135.07689921259842"/>
    <s v="Argentina"/>
    <s v="DIGITAL HIVE GROUP ARGENTINA"/>
    <s v="OBRG85JGS0"/>
    <s v="30639453738"/>
    <n v="30639453738"/>
    <s v="Brand Objectives"/>
    <d v="2026-03-06T17:29:00"/>
    <d v="2026-03-06T13:51:00"/>
    <b v="1"/>
    <b v="1"/>
    <d v="2026-02-01T00:00:00"/>
    <s v="Classic IO"/>
    <m/>
    <m/>
    <m/>
    <m/>
    <m/>
    <m/>
    <m/>
    <m/>
    <s v="Mexico"/>
    <s v="ARS"/>
    <n v="241926.19"/>
    <s v="OK"/>
    <s v="OK"/>
    <n v="0"/>
    <s v="T3218548"/>
    <s v="ARS"/>
    <n v="241926.19"/>
    <s v="OK"/>
    <n v="0"/>
    <m/>
    <m/>
    <s v="Miss"/>
    <m/>
    <s v="ARS"/>
    <n v="188702.43"/>
    <s v="OK"/>
    <n v="-1.799999998183921E-3"/>
    <m/>
    <s v="OK. Twitter tax err."/>
    <s v="SO Exported to ERP"/>
    <s v="PO READY TO EXPORT"/>
    <n v="173.17551181102363"/>
  </r>
  <r>
    <s v="IMS"/>
    <s v="T3219252"/>
    <s v="2026-02"/>
    <s v="February/2026"/>
    <d v="2026-02-28T00:00:00"/>
    <x v="25"/>
    <s v="802Um00000DauvRIAR"/>
    <s v="AR00396301"/>
    <s v="006Uj00000ZNlJpIAL"/>
    <s v="0004914781"/>
    <x v="0"/>
    <s v="Activated"/>
    <s v="Confirmed"/>
    <s v="YPF S.A."/>
    <x v="19"/>
    <s v="Twitter"/>
    <s v="Twitter Rep"/>
    <s v="LATAM"/>
    <s v="Argentina"/>
    <s v="Argentina"/>
    <x v="1"/>
    <s v="Mexico"/>
    <s v="Aleph Mexico"/>
    <s v="Promoted Tweet/Account"/>
    <s v="Auction"/>
    <s v="Auction"/>
    <x v="1"/>
    <s v="ARS"/>
    <n v="1677857.16"/>
    <n v="1677857.16"/>
    <n v="1"/>
    <n v="1"/>
    <n v="1"/>
    <n v="0.78"/>
    <n v="0.78"/>
    <n v="0"/>
    <m/>
    <n v="1677857.16"/>
    <n v="1677857.16"/>
    <n v="1677857.16"/>
    <n v="1308728.5848000001"/>
    <n v="1014222.77"/>
    <m/>
    <n v="1677857.16"/>
    <n v="1201.0430637079455"/>
    <n v="936.81358969219764"/>
    <n v="369128.57520000002"/>
    <n v="369128.57520000002"/>
    <n v="264.22947401574805"/>
    <n v="22"/>
    <x v="25"/>
    <s v="SO Exported to ERP"/>
    <m/>
    <s v="POIME-000031476"/>
    <s v="PO Exported to ERP"/>
    <m/>
    <m/>
    <m/>
    <x v="1"/>
    <x v="25"/>
    <s v="YPF S.A."/>
    <x v="19"/>
    <s v="Miguel Jose Torrealba Alfonzo"/>
    <s v="Macarena Ramos Taky"/>
    <s v="Macarena Ramos Taky"/>
    <s v="Twitter Rep | Promoted Tweet/Account | Argentina | ARS"/>
    <s v="Twitter Rep LATAM + WE"/>
    <s v="Aleph Argentina"/>
    <d v="2025-12-23T00:00:00"/>
    <d v="2026-02-28T00:00:00"/>
    <s v="30D"/>
    <m/>
    <n v="1"/>
    <s v="https://alephholding.lightning.force.com/lightning/r/OrderItem/802Um00000DauvRIAR/view"/>
    <s v="AR00396301_TWR_001_003"/>
    <n v="0"/>
    <n v="0"/>
    <n v="0"/>
    <n v="0"/>
    <n v="1892850"/>
    <n v="1892850"/>
    <n v="1476423"/>
    <n v="1308728.5848000001"/>
    <n v="1"/>
    <n v="7.158196134574087E-4"/>
    <n v="7.158196134574087E-4"/>
    <b v="0"/>
    <b v="0"/>
    <s v="Traditional (Local Team)"/>
    <s v="Argentina"/>
    <s v="00503587 / 0-00503588 / 0"/>
    <n v="1201.0430637079455"/>
    <n v="936.81358969219752"/>
    <s v="Argentina"/>
    <s v="Carat Argentina SA"/>
    <s v="JNS8FCESJ5"/>
    <s v="30546689979"/>
    <n v="30546689979"/>
    <s v="Brand Objectives"/>
    <d v="2026-03-06T17:29:00"/>
    <d v="2026-03-04T20:58:00"/>
    <b v="1"/>
    <b v="1"/>
    <d v="2026-02-01T00:00:00"/>
    <s v="Classic IO"/>
    <m/>
    <m/>
    <m/>
    <m/>
    <m/>
    <m/>
    <m/>
    <m/>
    <s v="Mexico"/>
    <s v="ARS"/>
    <n v="1677857.16"/>
    <s v="OK"/>
    <s v="OK"/>
    <n v="0"/>
    <s v="T3219252"/>
    <s v="ARS"/>
    <n v="1677857.16"/>
    <s v="OK"/>
    <n v="0"/>
    <m/>
    <m/>
    <s v="Miss"/>
    <m/>
    <s v="ARS"/>
    <n v="1014222.71"/>
    <s v="OK"/>
    <n v="294505.87480000011"/>
    <m/>
    <s v="OK"/>
    <s v="SO READY TO EXPORT"/>
    <s v="PO READY TO EXPORT"/>
    <n v="1201.0430637079455"/>
  </r>
  <r>
    <s v="IMS"/>
    <s v="T3219531"/>
    <s v="2026-02"/>
    <s v="February/2026"/>
    <d v="2026-02-28T00:00:00"/>
    <x v="26"/>
    <s v="802Uj00000PIdB5IAL"/>
    <s v="AR00396982"/>
    <s v="006Uj00000ZbjrdIAB"/>
    <s v="0004867906"/>
    <x v="0"/>
    <s v="Activated"/>
    <s v="Confirmed"/>
    <s v="IPG Media Brands SA (Arg)"/>
    <x v="12"/>
    <s v="Twitter"/>
    <s v="Twitter Billing"/>
    <s v="LATAM"/>
    <s v="Argentina"/>
    <s v="Argentina"/>
    <x v="1"/>
    <s v="Mexico"/>
    <s v="Aleph Mexico"/>
    <s v="Promoted Tweet/Account"/>
    <s v="Auction"/>
    <s v="Auction"/>
    <x v="1"/>
    <s v="ARS"/>
    <n v="1952420.44"/>
    <n v="1952420.44"/>
    <n v="1"/>
    <n v="1"/>
    <n v="1"/>
    <n v="0.85"/>
    <n v="0.85"/>
    <n v="0"/>
    <m/>
    <n v="1952420.44"/>
    <n v="1952420.44"/>
    <n v="1952420.44"/>
    <n v="1659557.3740000001"/>
    <n v="1288587.73"/>
    <m/>
    <n v="1952420.44"/>
    <n v="1397.5808446671438"/>
    <n v="1187.9437179670724"/>
    <n v="292863.06599999999"/>
    <n v="292863.06599999999"/>
    <n v="209.63712670007158"/>
    <n v="15"/>
    <x v="26"/>
    <s v="SO Exported to ERP"/>
    <m/>
    <s v="POIME-000032047"/>
    <s v="PO Exported to ERP"/>
    <m/>
    <m/>
    <m/>
    <x v="1"/>
    <x v="26"/>
    <s v="IPG Media Brands SA (Arg)"/>
    <x v="12"/>
    <s v="Luciana Bonifacio"/>
    <s v="Luciana Bonifacio"/>
    <s v="Luciana Bonifacio"/>
    <s v="Twitter Billing | Promoted Tweet/Account | Twitter Billing | USD"/>
    <s v="Twitter Billing LATAM + WE"/>
    <s v="Aleph Argentina"/>
    <d v="2026-01-05T00:00:00"/>
    <d v="2026-02-15T00:00:00"/>
    <s v="75D"/>
    <m/>
    <n v="1"/>
    <s v="https://alephholding.lightning.force.com/lightning/r/OrderItem/802Uj00000PIdB5IAL/view"/>
    <s v="AR00396982_TWB_001_002"/>
    <n v="0"/>
    <n v="0"/>
    <n v="0"/>
    <n v="0"/>
    <n v="1970547.1"/>
    <n v="1970547.1"/>
    <n v="1674965.0349999999"/>
    <n v="1659557.3740000001"/>
    <n v="1"/>
    <n v="7.158196134574087E-4"/>
    <n v="7.158196134574087E-4"/>
    <b v="0"/>
    <b v="0"/>
    <s v="Traditional (Local Team)"/>
    <s v="Argentina"/>
    <s v="1070568 / 1 - 1070571 / 1"/>
    <n v="1397.580844667144"/>
    <n v="1187.9437179670722"/>
    <s v="Argentina"/>
    <s v="IPG Media Brands SA (Arg)"/>
    <s v="2ETAFBXN2W"/>
    <s v="30693739698"/>
    <n v="30693739698"/>
    <s v="Brand Objectives"/>
    <d v="2026-03-06T17:29:00"/>
    <d v="2026-03-04T20:58:00"/>
    <b v="1"/>
    <b v="1"/>
    <d v="2026-02-01T00:00:00"/>
    <s v="Classic IO"/>
    <m/>
    <m/>
    <m/>
    <m/>
    <m/>
    <m/>
    <m/>
    <m/>
    <m/>
    <m/>
    <m/>
    <s v="Miss"/>
    <s v="Miss"/>
    <m/>
    <s v="T3219531"/>
    <s v="ARS"/>
    <n v="1952420.44"/>
    <s v="OK"/>
    <n v="0"/>
    <m/>
    <m/>
    <s v="Miss"/>
    <m/>
    <s v="ARS"/>
    <n v="1288636.54"/>
    <s v="OK"/>
    <n v="370920.83400000003"/>
    <m/>
    <s v="OK"/>
    <s v="SO READY TO EXPORT"/>
    <s v="PO READY TO EXPORT"/>
    <n v="1397.5808446671438"/>
  </r>
  <r>
    <s v="IMS"/>
    <s v="T3221498"/>
    <s v="2026-02"/>
    <s v="February/2026"/>
    <d v="2026-02-28T00:00:00"/>
    <x v="27"/>
    <s v="802Um00000Dhwu5IAB"/>
    <s v="AR00396561"/>
    <s v="006Uj00000ZSYtpIAH"/>
    <s v="0004929714"/>
    <x v="0"/>
    <s v="Activated"/>
    <s v="Confirmed"/>
    <s v="DIGITAL HIVE GROUP S.A."/>
    <x v="15"/>
    <s v="Twitter"/>
    <s v="Twitter Rep"/>
    <s v="LATAM"/>
    <s v="Argentina"/>
    <s v="Argentina"/>
    <x v="1"/>
    <s v="Mexico"/>
    <s v="Aleph Mexico"/>
    <s v="Promoted Tweet/Account"/>
    <s v="Auction"/>
    <s v="Auction"/>
    <x v="1"/>
    <s v="ARS"/>
    <n v="9577518.6799999997"/>
    <n v="9577518.6799999997"/>
    <n v="1"/>
    <n v="1"/>
    <n v="1"/>
    <n v="0.78"/>
    <n v="0.78"/>
    <n v="0"/>
    <m/>
    <n v="9577518.6799999997"/>
    <n v="9577518.6799999997"/>
    <n v="9577518.6799999997"/>
    <n v="7470464.5703999996"/>
    <n v="5789370.9900000002"/>
    <m/>
    <n v="9577518.6799999997"/>
    <n v="6855.7757193987109"/>
    <n v="5347.5050611309944"/>
    <n v="2107054.1096000001"/>
    <n v="2107054.1096000001"/>
    <n v="1508.2706582677165"/>
    <n v="22"/>
    <x v="27"/>
    <s v="SO Exported to ERP"/>
    <m/>
    <s v="POIME-000032073"/>
    <s v="PO Exported to ERP"/>
    <m/>
    <m/>
    <m/>
    <x v="1"/>
    <x v="27"/>
    <s v="DIGITAL HIVE GROUP S.A."/>
    <x v="15"/>
    <s v="Miguel Jose Torrealba Alfonzo"/>
    <s v="Miguel Jose Torrealba Alfonzo"/>
    <s v="Miguel Jose Torrealba Alfonzo"/>
    <s v="Twitter Rep | Promoted Tweet/Account | Argentina | ARS"/>
    <s v="Twitter Rep LATAM + WE"/>
    <s v="Aleph Argentina"/>
    <d v="2026-01-01T00:00:00"/>
    <d v="2026-03-31T00:00:00"/>
    <s v="45D"/>
    <m/>
    <n v="1"/>
    <s v="https://alephholding.lightning.force.com/lightning/r/OrderItem/802Um00000Dhwu5IAB/view"/>
    <s v="AR00396561_TWR_001_002"/>
    <n v="0"/>
    <n v="0"/>
    <n v="0"/>
    <n v="0"/>
    <n v="10000000"/>
    <n v="10000000"/>
    <n v="7800000"/>
    <n v="7470464.5703999996"/>
    <n v="1"/>
    <n v="7.158196134574087E-4"/>
    <n v="7.158196134574087E-4"/>
    <b v="0"/>
    <b v="0"/>
    <s v="Traditional (Local Team)"/>
    <s v="Argentina"/>
    <n v="1202601101139"/>
    <n v="6855.7757193987118"/>
    <n v="5347.5050611309953"/>
    <s v="Argentina"/>
    <s v="DIGITAL HIVE GROUP ARGENTINA"/>
    <s v="3NHZJ3EZX1"/>
    <s v="30715225537"/>
    <n v="30715225537"/>
    <s v="Brand Objectives"/>
    <d v="2026-03-06T17:29:00"/>
    <d v="2026-03-04T20:59:00"/>
    <b v="1"/>
    <b v="1"/>
    <d v="2026-02-01T00:00:00"/>
    <s v="Classic IO"/>
    <m/>
    <m/>
    <m/>
    <m/>
    <m/>
    <m/>
    <m/>
    <m/>
    <s v="Mexico"/>
    <s v="ARS"/>
    <n v="9577518.6899999995"/>
    <s v="OK"/>
    <s v="OK"/>
    <n v="-9.9999997764825821E-3"/>
    <s v="T3221498"/>
    <s v="ARS"/>
    <n v="9577518.6799999997"/>
    <s v="OK"/>
    <n v="0"/>
    <m/>
    <m/>
    <s v="Miss"/>
    <m/>
    <s v="ARS"/>
    <n v="5789370.5999999996"/>
    <s v="OK"/>
    <n v="1681093.9704"/>
    <m/>
    <s v="OK"/>
    <s v="SO READY TO EXPORT"/>
    <s v="PO READY TO EXPORT"/>
    <n v="6855.7757193987109"/>
  </r>
  <r>
    <s v="IMS"/>
    <s v="T3221499"/>
    <s v="2026-02"/>
    <s v="February/2026"/>
    <d v="2026-02-28T00:00:00"/>
    <x v="28"/>
    <s v="802Um00000DhxF3IAJ"/>
    <s v="AR00396558"/>
    <s v="006Uj00000ZSXuXIAX"/>
    <s v="0004929718"/>
    <x v="0"/>
    <s v="Activated"/>
    <s v="Confirmed"/>
    <s v="DIGITAL HIVE GROUP S.A."/>
    <x v="15"/>
    <s v="Twitter"/>
    <s v="Twitter Rep"/>
    <s v="LATAM"/>
    <s v="Argentina"/>
    <s v="Argentina"/>
    <x v="1"/>
    <s v="Mexico"/>
    <s v="Aleph Mexico"/>
    <s v="Promoted Tweet/Account"/>
    <s v="Auction"/>
    <s v="Auction"/>
    <x v="1"/>
    <s v="ARS"/>
    <n v="894756.91"/>
    <n v="894756.91"/>
    <n v="1"/>
    <n v="1"/>
    <n v="1"/>
    <n v="0.78"/>
    <n v="0.78"/>
    <n v="0"/>
    <m/>
    <n v="894756.91"/>
    <n v="894756.91"/>
    <n v="894756.91"/>
    <n v="697910.3898"/>
    <n v="540858.22"/>
    <m/>
    <n v="894756.91"/>
    <n v="640.48454545454547"/>
    <n v="499.57794545454544"/>
    <n v="196846.5202"/>
    <n v="196846.5202"/>
    <n v="140.9066"/>
    <n v="22"/>
    <x v="28"/>
    <s v="SO Exported to ERP"/>
    <m/>
    <s v="POIME-000032077"/>
    <s v="PO Exported to ERP"/>
    <m/>
    <m/>
    <m/>
    <x v="1"/>
    <x v="28"/>
    <s v="DIGITAL HIVE GROUP S.A."/>
    <x v="15"/>
    <s v="Miguel Jose Torrealba Alfonzo"/>
    <s v="Miguel Jose Torrealba Alfonzo"/>
    <s v="Miguel Jose Torrealba Alfonzo"/>
    <s v="Twitter Rep | Promoted Tweet/Account | Argentina | ARS"/>
    <s v="Twitter Rep LATAM + WE"/>
    <s v="Aleph Argentina"/>
    <d v="2026-01-01T00:00:00"/>
    <d v="2026-02-28T00:00:00"/>
    <s v="45D"/>
    <m/>
    <n v="1"/>
    <s v="https://alephholding.lightning.force.com/lightning/r/OrderItem/802Um00000DhxF3IAJ/view"/>
    <s v="AR00396558_TWR_001_002"/>
    <n v="0"/>
    <n v="0"/>
    <n v="0"/>
    <n v="0"/>
    <n v="4200000"/>
    <n v="4200000"/>
    <n v="3276000"/>
    <n v="697910.3898"/>
    <n v="1"/>
    <n v="7.158196134574087E-4"/>
    <n v="7.158196134574087E-4"/>
    <b v="0"/>
    <b v="0"/>
    <s v="Traditional (Local Team)"/>
    <s v="Argentina"/>
    <n v="1202601202139"/>
    <n v="640.48454545454547"/>
    <n v="499.57794545454544"/>
    <s v="Argentina"/>
    <s v="DIGITAL HIVE GROUP ARGENTINA"/>
    <s v="3NHZJ3EZX1"/>
    <s v="30715225537"/>
    <n v="30715225537"/>
    <s v="Brand Objectives"/>
    <d v="2026-03-06T17:29:00"/>
    <d v="2026-03-04T20:59:00"/>
    <b v="1"/>
    <b v="1"/>
    <d v="2026-02-01T00:00:00"/>
    <s v="Classic IO"/>
    <m/>
    <m/>
    <m/>
    <m/>
    <m/>
    <m/>
    <m/>
    <m/>
    <s v="Mexico"/>
    <s v="ARS"/>
    <n v="894756.92"/>
    <s v="OK"/>
    <s v="OK"/>
    <n v="-1.0000000009313226E-2"/>
    <s v="T3221499"/>
    <s v="ARS"/>
    <n v="894756.91"/>
    <s v="OK"/>
    <n v="0"/>
    <m/>
    <m/>
    <s v="Miss"/>
    <m/>
    <s v="ARS"/>
    <n v="540858.18999999994"/>
    <s v="OK"/>
    <n v="157052.19980000006"/>
    <m/>
    <s v="OK"/>
    <s v="SO READY TO EXPORT"/>
    <s v="PO READY TO EXPORT"/>
    <n v="640.48454545454547"/>
  </r>
  <r>
    <s v="IMS"/>
    <s v="T3221580"/>
    <s v="2026-02"/>
    <s v="February/2026"/>
    <d v="2026-02-28T00:00:00"/>
    <x v="29"/>
    <s v="802Um00000EncvJIAR"/>
    <s v="AR00397386"/>
    <s v="006Uj00000ZhqX3IAJ"/>
    <s v="0004998656"/>
    <x v="0"/>
    <s v="Activated"/>
    <s v="Confirmed"/>
    <s v="Carat Argentina SA"/>
    <x v="20"/>
    <s v="Twitter"/>
    <s v="Twitter Billing"/>
    <s v="LATAM"/>
    <s v="Argentina"/>
    <s v="Argentina"/>
    <x v="1"/>
    <s v="Mexico"/>
    <s v="Aleph Mexico"/>
    <s v="Promoted Tweet/Account"/>
    <s v="Auction"/>
    <s v="Auction"/>
    <x v="1"/>
    <s v="ARS"/>
    <n v="1353203.44"/>
    <n v="1353203.44"/>
    <n v="1"/>
    <n v="1"/>
    <n v="1"/>
    <n v="0.85"/>
    <n v="0.85"/>
    <n v="0"/>
    <m/>
    <n v="1353203.44"/>
    <n v="1353203.44"/>
    <n v="1353203.44"/>
    <n v="1150222.9240000001"/>
    <n v="893107.5"/>
    <m/>
    <n v="1353203.44"/>
    <n v="968.64956335003581"/>
    <n v="823.35212884753048"/>
    <n v="202980.516"/>
    <n v="202980.516"/>
    <n v="145.29743450250538"/>
    <n v="15"/>
    <x v="29"/>
    <s v="SO Exported to ERP"/>
    <m/>
    <s v="POIME-000032052"/>
    <s v="PO Exported to ERP"/>
    <m/>
    <m/>
    <m/>
    <x v="1"/>
    <x v="29"/>
    <s v="Carat Argentina SA"/>
    <x v="20"/>
    <s v="Valentina Pulido"/>
    <s v="Valentina Pulido"/>
    <s v="Valentina Pulido"/>
    <s v="Twitter Billing | Promoted Tweet/Account | Twitter Billing | USD"/>
    <s v="Twitter Billing LATAM + WE"/>
    <s v="Aleph Argentina"/>
    <d v="2026-01-05T00:00:00"/>
    <d v="2026-03-05T00:00:00"/>
    <s v="75D"/>
    <m/>
    <n v="1"/>
    <s v="https://alephholding.lightning.force.com/lightning/r/OrderItem/802Um00000EncvJIAR/view"/>
    <s v="AR00397386_TWB_001_002"/>
    <n v="0"/>
    <n v="0"/>
    <n v="0"/>
    <n v="0"/>
    <n v="1"/>
    <n v="1"/>
    <n v="0.85"/>
    <n v="1150222.9240000001"/>
    <n v="1"/>
    <n v="7.158196134574087E-4"/>
    <n v="7.158196134574087E-4"/>
    <b v="1"/>
    <b v="1"/>
    <s v="Traditional (Local Team)"/>
    <s v="Argentina"/>
    <s v="00503816 / 0"/>
    <n v="968.64956335003581"/>
    <n v="823.35212884753037"/>
    <s v="Argentina"/>
    <s v="Carat Argentina SA"/>
    <s v="BDZB3VONUN"/>
    <s v="30708983906"/>
    <n v="30708983906"/>
    <s v="Brand Objectives"/>
    <d v="2026-03-06T17:29:00"/>
    <d v="2026-03-05T16:21:00"/>
    <b v="1"/>
    <b v="1"/>
    <d v="2026-02-01T00:00:00"/>
    <s v="Classic IO"/>
    <m/>
    <m/>
    <m/>
    <m/>
    <m/>
    <m/>
    <m/>
    <m/>
    <m/>
    <m/>
    <m/>
    <s v="Miss"/>
    <s v="Miss"/>
    <m/>
    <s v="T3221580"/>
    <s v="ARS"/>
    <n v="1353203.44"/>
    <s v="OK"/>
    <n v="0"/>
    <m/>
    <m/>
    <s v="Miss"/>
    <m/>
    <s v="ARS"/>
    <n v="893141.33"/>
    <s v="OK"/>
    <n v="257081.59400000016"/>
    <m/>
    <s v="OK"/>
    <s v="SO READY TO EXPORT"/>
    <s v="PO READY TO EXPORT"/>
    <n v="968.64956335003581"/>
  </r>
  <r>
    <s v="IMS"/>
    <s v="T3221584"/>
    <s v="2026-02"/>
    <s v="February/2026"/>
    <d v="2026-02-28T00:00:00"/>
    <x v="30"/>
    <s v="802Um00000DiXnBIAV"/>
    <s v="AR00396946"/>
    <s v="006Uj00000Zb7ZRIAZ"/>
    <s v="0004930200"/>
    <x v="0"/>
    <s v="Activated"/>
    <s v="Confirmed"/>
    <s v="OSA ONE STEP AHEAD S. A."/>
    <x v="10"/>
    <s v="Twitter"/>
    <s v="Twitter Rep"/>
    <s v="LATAM"/>
    <s v="Argentina"/>
    <s v="Argentina"/>
    <x v="1"/>
    <s v="Mexico"/>
    <s v="Aleph Mexico"/>
    <s v="Promoted Tweet/Account"/>
    <s v="Auction"/>
    <s v="Auction"/>
    <x v="1"/>
    <s v="ARS"/>
    <n v="2414312.9700000002"/>
    <n v="2414312.9700000002"/>
    <n v="1"/>
    <n v="1"/>
    <n v="1"/>
    <n v="0.78"/>
    <n v="0.78"/>
    <n v="0"/>
    <m/>
    <n v="2414312.9700000002"/>
    <n v="2414312.9700000002"/>
    <n v="2414312.9700000002"/>
    <n v="1883164.1166000001"/>
    <n v="1459391.93"/>
    <m/>
    <n v="2414312.9700000002"/>
    <n v="1728.2125769506085"/>
    <n v="1348.0058100214746"/>
    <n v="531148.85340000002"/>
    <n v="531148.85340000002"/>
    <n v="380.20676692913389"/>
    <n v="22"/>
    <x v="30"/>
    <s v="SO Exported to ERP"/>
    <m/>
    <s v="POIME-000032075"/>
    <s v="PO Exported to ERP"/>
    <m/>
    <m/>
    <m/>
    <x v="1"/>
    <x v="30"/>
    <s v="OSA ONE STEP AHEAD S. A."/>
    <x v="10"/>
    <s v="Jorge Osuna"/>
    <s v="Jorge Osuna"/>
    <s v="Jorge Osuna"/>
    <s v="Twitter Rep | Promoted Tweet/Account | Argentina | ARS"/>
    <s v="Twitter Rep LATAM + WE"/>
    <s v="Aleph Argentina"/>
    <d v="2026-01-01T00:00:00"/>
    <d v="2026-03-31T00:00:00"/>
    <s v="90D"/>
    <m/>
    <n v="1"/>
    <s v="https://alephholding.lightning.force.com/lightning/r/OrderItem/802Um00000DiXnBIAV/view"/>
    <s v="AR00396946_TWR_001_002"/>
    <n v="0"/>
    <n v="0"/>
    <n v="0"/>
    <n v="0"/>
    <n v="3399942"/>
    <n v="3399942"/>
    <n v="2651954.7599999998"/>
    <n v="1883164.1166000001"/>
    <n v="1"/>
    <n v="7.158196134574087E-4"/>
    <n v="7.158196134574087E-4"/>
    <b v="0"/>
    <b v="0"/>
    <s v="Digital Native / Performance"/>
    <s v="Argentina"/>
    <s v="202601-0170 ver 001"/>
    <n v="1728.2125769506085"/>
    <n v="1348.0058100214746"/>
    <s v="Argentina"/>
    <s v="OSA ONE STEP AHEAD Argentina"/>
    <s v="WYWXHC78NY"/>
    <s v="30712014047"/>
    <n v="30712014047"/>
    <s v="Client Performance Driven (ROI)"/>
    <d v="2026-03-06T17:29:00"/>
    <d v="2026-03-04T20:59:00"/>
    <b v="1"/>
    <b v="1"/>
    <d v="2026-02-01T00:00:00"/>
    <s v="Classic IO"/>
    <m/>
    <m/>
    <m/>
    <m/>
    <m/>
    <m/>
    <m/>
    <m/>
    <s v="Mexico"/>
    <s v="ARS"/>
    <n v="2414312.9700000002"/>
    <s v="OK"/>
    <s v="OK"/>
    <n v="0"/>
    <s v="T3221584"/>
    <s v="ARS"/>
    <n v="2414312.9700000002"/>
    <s v="OK"/>
    <n v="0"/>
    <m/>
    <m/>
    <s v="Miss"/>
    <m/>
    <s v="ARS"/>
    <n v="1459391.83"/>
    <s v="OK"/>
    <n v="423772.28659999999"/>
    <m/>
    <s v="OK"/>
    <s v="SO READY TO EXPORT"/>
    <s v="PO READY TO EXPORT"/>
    <n v="1728.2125769506085"/>
  </r>
  <r>
    <s v="IMS"/>
    <s v="T3222030"/>
    <s v="2026-02"/>
    <s v="February/2026"/>
    <d v="2026-02-28T00:00:00"/>
    <x v="31"/>
    <s v="802Um00000DiFtVIAV"/>
    <s v="AR00397255"/>
    <s v="006Uj00000ZfnNBIAZ"/>
    <s v="0004930062"/>
    <x v="0"/>
    <s v="Activated"/>
    <s v="Confirmed"/>
    <s v="BI MEDIA S.R.L."/>
    <x v="11"/>
    <s v="Twitter"/>
    <s v="Twitter Rep"/>
    <s v="LATAM"/>
    <s v="Argentina"/>
    <s v="Argentina"/>
    <x v="1"/>
    <s v="Mexico"/>
    <s v="Aleph Mexico"/>
    <s v="Promoted Tweet/Account"/>
    <s v="Auction"/>
    <s v="Auction"/>
    <x v="1"/>
    <s v="ARS"/>
    <n v="3962972.34"/>
    <n v="3962972.34"/>
    <n v="1"/>
    <n v="1"/>
    <n v="1"/>
    <n v="0.78"/>
    <n v="0.78"/>
    <n v="0"/>
    <m/>
    <n v="3962972.34"/>
    <n v="3962972.34"/>
    <n v="3962972.34"/>
    <n v="3091118.4251999999"/>
    <n v="2395517.86"/>
    <m/>
    <n v="3962972.34"/>
    <n v="2836.7733285612026"/>
    <n v="2212.6831962777378"/>
    <n v="871853.91480000003"/>
    <n v="871853.91480000003"/>
    <n v="624.09013228346464"/>
    <n v="22"/>
    <x v="31"/>
    <s v="SO Exported to ERP"/>
    <m/>
    <s v="POIME-000032078"/>
    <s v="PO Exported to ERP"/>
    <m/>
    <m/>
    <m/>
    <x v="1"/>
    <x v="31"/>
    <s v="BI MEDIA S.R.L."/>
    <x v="11"/>
    <s v="Miguel Jose Torrealba Alfonzo"/>
    <s v="Macarena Ramos Taky"/>
    <s v="Macarena Ramos Taky"/>
    <s v="Twitter Rep | Promoted Tweet/Account | Argentina | ARS"/>
    <s v="Twitter Rep LATAM + WE"/>
    <s v="Aleph Argentina"/>
    <d v="2026-01-01T00:00:00"/>
    <d v="2026-03-31T00:00:00"/>
    <s v="45D"/>
    <m/>
    <n v="1"/>
    <s v="https://alephholding.lightning.force.com/lightning/r/OrderItem/802Um00000DiFtVIAV/view"/>
    <s v="AR00397255_TWR_001_002"/>
    <n v="0"/>
    <n v="0"/>
    <n v="0"/>
    <n v="0"/>
    <n v="4500000"/>
    <n v="4500000"/>
    <n v="3510000"/>
    <n v="3091118.4251999999"/>
    <n v="1"/>
    <n v="7.158196134574087E-4"/>
    <n v="7.158196134574087E-4"/>
    <b v="0"/>
    <b v="0"/>
    <s v="Traditional (Local Team)"/>
    <s v="Argentina"/>
    <s v="IMS Interna"/>
    <n v="2836.7733285612026"/>
    <n v="2212.6831962777378"/>
    <s v="Argentina"/>
    <s v="BI MEDIA ARGENTINA"/>
    <s v="XI4AP1YG9A"/>
    <s v="XI4AP1YG9A"/>
    <n v="30714243949"/>
    <s v="Brand Objectives"/>
    <d v="2026-03-06T17:29:00"/>
    <d v="2026-03-04T20:59:00"/>
    <b v="1"/>
    <b v="1"/>
    <d v="2026-02-01T00:00:00"/>
    <s v="Classic IO"/>
    <m/>
    <m/>
    <m/>
    <m/>
    <m/>
    <m/>
    <m/>
    <m/>
    <s v="Mexico"/>
    <s v="ARS"/>
    <n v="3962972.35"/>
    <s v="OK"/>
    <s v="OK"/>
    <n v="-1.0000000242143869E-2"/>
    <s v="T3222030"/>
    <s v="ARS"/>
    <n v="3962972.34"/>
    <s v="OK"/>
    <n v="0"/>
    <m/>
    <m/>
    <s v="Miss"/>
    <m/>
    <s v="ARS"/>
    <n v="2395517.71"/>
    <s v="OK"/>
    <n v="695600.71519999998"/>
    <m/>
    <s v="OK"/>
    <s v="SO READY TO EXPORT"/>
    <s v="PO READY TO EXPORT"/>
    <n v="2836.7733285612026"/>
  </r>
  <r>
    <s v="IMS"/>
    <s v="T3222032"/>
    <s v="2026-02"/>
    <s v="February/2026"/>
    <d v="2026-02-28T00:00:00"/>
    <x v="32"/>
    <s v="802Um00000DdMcIIAV"/>
    <s v="AR00397261"/>
    <s v="006Uj00000ZfqXxIAJ"/>
    <s v="0004916651"/>
    <x v="0"/>
    <s v="Activated"/>
    <s v="Confirmed"/>
    <s v="BI MEDIA S.R.L."/>
    <x v="11"/>
    <s v="Twitter"/>
    <s v="Twitter Rep"/>
    <s v="LATAM"/>
    <s v="Argentina"/>
    <s v="Argentina"/>
    <x v="1"/>
    <s v="Mexico"/>
    <s v="Aleph Mexico"/>
    <s v="Promoted Tweet/Account"/>
    <s v="Auction"/>
    <s v="Auction"/>
    <x v="1"/>
    <s v="ARS"/>
    <n v="893323.9"/>
    <n v="893323.9"/>
    <n v="1"/>
    <n v="1"/>
    <n v="1"/>
    <n v="0.78"/>
    <n v="0.78"/>
    <n v="0"/>
    <m/>
    <n v="893323.9"/>
    <n v="893323.9"/>
    <n v="893323.9"/>
    <n v="696792.64199999999"/>
    <n v="539992"/>
    <m/>
    <n v="893323.9"/>
    <n v="639.45876879026491"/>
    <n v="498.77783965640657"/>
    <n v="196531.258"/>
    <n v="196531.258"/>
    <n v="140.68092913385826"/>
    <n v="22"/>
    <x v="32"/>
    <s v="SO Exported to ERP"/>
    <m/>
    <s v="POIME-000032084"/>
    <s v="PO Exported to ERP"/>
    <m/>
    <m/>
    <m/>
    <x v="1"/>
    <x v="32"/>
    <s v="BI MEDIA S.R.L."/>
    <x v="11"/>
    <s v="Miguel Jose Torrealba Alfonzo"/>
    <s v="Macarena Ramos Taky"/>
    <s v="Macarena Ramos Taky"/>
    <s v="Twitter Rep | Promoted Tweet/Account | Argentina | ARS"/>
    <s v="Twitter Rep LATAM + WE"/>
    <s v="Aleph Argentina"/>
    <d v="2026-01-01T00:00:00"/>
    <d v="2026-03-31T00:00:00"/>
    <s v="45D"/>
    <m/>
    <n v="1"/>
    <s v="https://alephholding.lightning.force.com/lightning/r/OrderItem/802Um00000DdMcIIAV/view"/>
    <s v="AR00397261_TWR_001_002"/>
    <n v="0"/>
    <n v="0"/>
    <n v="0"/>
    <n v="0"/>
    <n v="1000000"/>
    <n v="1000000"/>
    <n v="780000"/>
    <n v="696792.64199999999"/>
    <n v="1"/>
    <n v="7.158196134574087E-4"/>
    <n v="7.158196134574087E-4"/>
    <b v="0"/>
    <b v="0"/>
    <s v="Traditional (Local Team)"/>
    <s v="Argentina"/>
    <s v="IMS Interna"/>
    <n v="639.4587687902648"/>
    <n v="498.77783965640657"/>
    <s v="Argentina"/>
    <s v="BI MEDIA ARGENTINA"/>
    <s v="XI4AP1YG9A"/>
    <s v="XI4AP1YG9A"/>
    <n v="30714243949"/>
    <s v="Brand Objectives"/>
    <d v="2026-03-06T17:29:00"/>
    <d v="2026-03-04T20:58:00"/>
    <b v="1"/>
    <b v="1"/>
    <d v="2026-02-01T00:00:00"/>
    <s v="Classic IO"/>
    <m/>
    <m/>
    <m/>
    <m/>
    <m/>
    <m/>
    <m/>
    <m/>
    <s v="Mexico"/>
    <s v="ARS"/>
    <n v="893323.9"/>
    <s v="OK"/>
    <s v="OK"/>
    <n v="0"/>
    <s v="T3222032"/>
    <s v="ARS"/>
    <n v="893323.9"/>
    <s v="OK"/>
    <n v="0"/>
    <m/>
    <m/>
    <s v="Miss"/>
    <m/>
    <s v="ARS"/>
    <n v="539991.96"/>
    <s v="OK"/>
    <n v="156800.68200000003"/>
    <m/>
    <s v="OK"/>
    <s v="SO READY TO EXPORT"/>
    <s v="PO READY TO EXPORT"/>
    <n v="639.45876879026491"/>
  </r>
  <r>
    <s v="IMS"/>
    <s v="T3222033"/>
    <s v="2026-02"/>
    <s v="February/2026"/>
    <d v="2026-02-28T00:00:00"/>
    <x v="33"/>
    <s v="802Um00000DdQMXIA3"/>
    <s v="AR00397257"/>
    <s v="006Uj00000ZfpX3IAJ"/>
    <s v="0004916677"/>
    <x v="0"/>
    <s v="Activated"/>
    <s v="Confirmed"/>
    <s v="BI MEDIA S.R.L."/>
    <x v="11"/>
    <s v="Twitter"/>
    <s v="Twitter Rep"/>
    <s v="LATAM"/>
    <s v="Argentina"/>
    <s v="Argentina"/>
    <x v="1"/>
    <s v="Mexico"/>
    <s v="Aleph Mexico"/>
    <s v="Promoted Tweet/Account"/>
    <s v="Auction"/>
    <s v="Auction"/>
    <x v="1"/>
    <s v="ARS"/>
    <n v="4055968.32"/>
    <n v="4055968.32"/>
    <n v="1"/>
    <n v="1"/>
    <n v="1"/>
    <n v="0.78"/>
    <n v="0.78"/>
    <n v="0"/>
    <m/>
    <n v="4055968.32"/>
    <n v="4055968.32"/>
    <n v="4055968.32"/>
    <n v="3163655.2895999998"/>
    <n v="2451731.61"/>
    <m/>
    <n v="4055968.32"/>
    <n v="2903.3416750178953"/>
    <n v="2264.6065065139583"/>
    <n v="892313.03040000005"/>
    <n v="892313.03040000005"/>
    <n v="638.73516850393708"/>
    <n v="22"/>
    <x v="33"/>
    <s v="SO Exported to ERP"/>
    <m/>
    <s v="POIME-000032083"/>
    <s v="PO Exported to ERP"/>
    <m/>
    <m/>
    <m/>
    <x v="1"/>
    <x v="33"/>
    <s v="BI MEDIA S.R.L."/>
    <x v="11"/>
    <s v="Miguel Jose Torrealba Alfonzo"/>
    <s v="Macarena Ramos Taky"/>
    <s v="Macarena Ramos Taky"/>
    <s v="Twitter Rep | Promoted Tweet/Account | Argentina | ARS"/>
    <s v="Twitter Rep LATAM + WE"/>
    <s v="Aleph Argentina"/>
    <d v="2026-01-01T00:00:00"/>
    <d v="2026-03-31T00:00:00"/>
    <s v="45D"/>
    <m/>
    <n v="1"/>
    <s v="https://alephholding.lightning.force.com/lightning/r/OrderItem/802Um00000DdQMXIA3/view"/>
    <s v="AR00397257_TWR_001_002"/>
    <n v="0"/>
    <n v="0"/>
    <n v="0"/>
    <n v="0"/>
    <n v="5000000"/>
    <n v="5000000"/>
    <n v="3900000"/>
    <n v="3163655.2895999998"/>
    <n v="1"/>
    <n v="7.158196134574087E-4"/>
    <n v="7.158196134574087E-4"/>
    <b v="0"/>
    <b v="0"/>
    <s v="Traditional (Local Team)"/>
    <s v="Argentina"/>
    <s v="IMS Interna"/>
    <n v="2903.3416750178953"/>
    <n v="2264.6065065139583"/>
    <s v="Argentina"/>
    <s v="BI MEDIA ARGENTINA"/>
    <s v="XI4AP1YG9A"/>
    <s v="XI4AP1YG9A"/>
    <n v="30714243949"/>
    <s v="Brand Objectives"/>
    <d v="2026-03-06T17:29:00"/>
    <d v="2026-03-04T20:58:00"/>
    <b v="1"/>
    <b v="1"/>
    <d v="2026-02-01T00:00:00"/>
    <s v="Classic IO"/>
    <m/>
    <m/>
    <m/>
    <m/>
    <m/>
    <m/>
    <m/>
    <m/>
    <s v="Mexico"/>
    <s v="ARS"/>
    <n v="4055968.33"/>
    <s v="OK"/>
    <s v="OK"/>
    <n v="-1.0000000242143869E-2"/>
    <s v="T3222033"/>
    <s v="ARS"/>
    <n v="4055968.32"/>
    <s v="OK"/>
    <n v="0"/>
    <m/>
    <m/>
    <s v="Miss"/>
    <m/>
    <s v="ARS"/>
    <n v="2451731.4500000002"/>
    <s v="OK"/>
    <n v="711923.8395999996"/>
    <m/>
    <s v="OK"/>
    <s v="SO READY TO EXPORT"/>
    <s v="PO READY TO EXPORT"/>
    <n v="2903.3416750178953"/>
  </r>
  <r>
    <s v="IMS"/>
    <s v="T3222060"/>
    <s v="2026-02"/>
    <s v="February/2026"/>
    <d v="2026-02-28T00:00:00"/>
    <x v="34"/>
    <s v="802Um00000DdVpGIAV"/>
    <s v="AR00367389"/>
    <s v="006Uj00000ZgkezIAB"/>
    <s v="0004916772"/>
    <x v="0"/>
    <s v="Activated"/>
    <s v="Confirmed"/>
    <s v="OSA ONE STEP AHEAD S. A."/>
    <x v="10"/>
    <s v="Twitter"/>
    <s v="Twitter Rep"/>
    <s v="LATAM"/>
    <s v="Argentina"/>
    <s v="Argentina"/>
    <x v="1"/>
    <s v="Mexico"/>
    <s v="Aleph Mexico"/>
    <s v="Promoted Tweet/Account"/>
    <s v="Auction"/>
    <s v="Auction"/>
    <x v="1"/>
    <s v="ARS"/>
    <n v="1699231.77"/>
    <n v="1699231.77"/>
    <n v="1"/>
    <n v="1"/>
    <n v="1"/>
    <n v="0.78"/>
    <n v="0.78"/>
    <n v="0"/>
    <m/>
    <n v="1699231.77"/>
    <n v="1699231.77"/>
    <n v="1699231.77"/>
    <n v="1325400.7805999999"/>
    <n v="1027143.19"/>
    <m/>
    <n v="1699231.77"/>
    <n v="1216.3434287759485"/>
    <n v="948.74787444523975"/>
    <n v="373830.98940000002"/>
    <n v="373830.98940000002"/>
    <n v="267.59555433070869"/>
    <n v="22"/>
    <x v="34"/>
    <s v="SO Exported to ERP"/>
    <m/>
    <s v="POIME-000028274"/>
    <s v="PO Exported to ERP"/>
    <m/>
    <m/>
    <m/>
    <x v="1"/>
    <x v="34"/>
    <s v="OSA ONE STEP AHEAD S. A."/>
    <x v="10"/>
    <s v="Jorge Osuna"/>
    <s v="Jorge Osuna"/>
    <s v="Jorge Osuna"/>
    <s v="Twitter Rep | Promoted Tweet/Account | Argentina | ARS"/>
    <s v="Twitter Rep LATAM + WE"/>
    <s v="Aleph Argentina"/>
    <d v="2026-01-08T00:00:00"/>
    <d v="2026-02-23T00:00:00"/>
    <s v="90D"/>
    <m/>
    <n v="1"/>
    <s v="https://alephholding.lightning.force.com/lightning/r/OrderItem/802Um00000DdVpGIAV/view"/>
    <s v="AR00367389_TWR_002_002"/>
    <n v="0"/>
    <n v="0"/>
    <n v="0"/>
    <n v="0"/>
    <n v="1699999.7"/>
    <n v="1699999.7"/>
    <n v="1325999.7660000001"/>
    <n v="1325400.7805999999"/>
    <n v="1"/>
    <n v="7.158196134574087E-4"/>
    <n v="7.158196134574087E-4"/>
    <b v="0"/>
    <b v="0"/>
    <s v="Digital Native / Performance"/>
    <s v="Argentina"/>
    <s v="202601-0223 ver 003"/>
    <n v="1216.3434287759485"/>
    <n v="948.74787444523975"/>
    <s v="Argentina"/>
    <s v="OSA ONE STEP AHEAD Argentina"/>
    <s v="WYWXHC78NY"/>
    <s v="30712014047"/>
    <n v="30712014047"/>
    <s v="Client Performance Driven (ROI)"/>
    <d v="2026-03-06T17:29:00"/>
    <d v="2026-03-04T20:58:00"/>
    <b v="1"/>
    <b v="1"/>
    <d v="2026-02-01T00:00:00"/>
    <s v="Classic IO"/>
    <m/>
    <m/>
    <m/>
    <m/>
    <m/>
    <m/>
    <m/>
    <m/>
    <s v="Mexico"/>
    <s v="ARS"/>
    <n v="1699231.78"/>
    <s v="OK"/>
    <s v="OK"/>
    <n v="-1.0000000009313226E-2"/>
    <s v="T3222060"/>
    <s v="ARS"/>
    <n v="1699231.77"/>
    <s v="OK"/>
    <n v="0"/>
    <m/>
    <m/>
    <s v="Miss"/>
    <m/>
    <s v="ARS"/>
    <n v="1027143.13"/>
    <s v="OK"/>
    <n v="298257.65059999994"/>
    <m/>
    <s v="OK"/>
    <s v="SO READY TO EXPORT"/>
    <s v="PO READY TO EXPORT"/>
    <n v="1216.3434287759485"/>
  </r>
  <r>
    <s v="IMS"/>
    <s v="T3222574"/>
    <s v="2026-02"/>
    <s v="February/2026"/>
    <d v="2026-02-28T00:00:00"/>
    <x v="35"/>
    <s v="802Uj00000PT1vCIAT"/>
    <s v="AR00397993"/>
    <s v="006Uj00000ZpjF3IAJ"/>
    <s v="0004878881"/>
    <x v="0"/>
    <s v="Activated"/>
    <s v="Confirmed"/>
    <s v="MMS Comunicaciones Argentina S.R.L"/>
    <x v="21"/>
    <s v="Twitter"/>
    <s v="Twitter Rep"/>
    <s v="LATAM"/>
    <s v="Argentina"/>
    <s v="Argentina"/>
    <x v="1"/>
    <s v="Mexico"/>
    <s v="Aleph Mexico"/>
    <s v="Promoted Tweet/Account"/>
    <s v="Auction"/>
    <s v="Auction"/>
    <x v="1"/>
    <s v="ARS"/>
    <n v="4381827.7699999996"/>
    <n v="4381827.7699999996"/>
    <n v="1"/>
    <n v="1"/>
    <n v="1"/>
    <n v="0.78"/>
    <n v="0.78"/>
    <n v="0"/>
    <m/>
    <n v="4381827.7699999996"/>
    <n v="4381827.7699999996"/>
    <n v="4381827.7699999996"/>
    <n v="3417825.6606000001"/>
    <n v="2648705.52"/>
    <m/>
    <n v="4381827.7699999996"/>
    <n v="3136.598260558339"/>
    <n v="2446.5466432355047"/>
    <n v="964002.10939999996"/>
    <n v="964002.10939999996"/>
    <n v="690.05161732283466"/>
    <n v="22"/>
    <x v="35"/>
    <s v="SO Exported to ERP"/>
    <m/>
    <s v="POIME-000032093"/>
    <s v="PO Exported to ERP"/>
    <m/>
    <m/>
    <m/>
    <x v="1"/>
    <x v="35"/>
    <s v="MMS Comunicaciones Argentina S.R.L"/>
    <x v="21"/>
    <s v="Nicolás Ferreiro"/>
    <s v="Macarena Ramos Taky"/>
    <s v="Macarena Ramos Taky"/>
    <s v="Twitter Rep | Promoted Tweet/Account | Argentina | ARS"/>
    <s v="Twitter Rep LATAM + WE"/>
    <s v="Aleph Argentina"/>
    <d v="2026-01-13T00:00:00"/>
    <d v="2026-02-16T00:00:00"/>
    <s v="75D"/>
    <m/>
    <n v="1"/>
    <s v="https://alephholding.lightning.force.com/lightning/r/OrderItem/802Uj00000PT1vCIAT/view"/>
    <s v="AR00397993_TWR_001_002"/>
    <n v="0"/>
    <n v="0"/>
    <n v="0"/>
    <n v="0"/>
    <n v="3011904.6"/>
    <n v="3011904.6"/>
    <n v="2349285.588"/>
    <n v="3417825.6606000001"/>
    <n v="1"/>
    <n v="7.158196134574087E-4"/>
    <n v="7.158196134574087E-4"/>
    <b v="0"/>
    <b v="0"/>
    <s v="Digital Native / Performance"/>
    <s v="Argentina"/>
    <s v="011247 - 020115"/>
    <n v="3136.5982605583395"/>
    <n v="2446.5466432355047"/>
    <s v="Argentina"/>
    <s v="MMS Comunicaciones Argentina Argentina"/>
    <s v="RJ4OR8JONT"/>
    <s v="30630308557"/>
    <n v="30630308557"/>
    <s v="Brand Objectives"/>
    <d v="2026-03-06T17:29:00"/>
    <d v="2026-03-04T20:58:00"/>
    <b v="1"/>
    <b v="1"/>
    <d v="2026-02-01T00:00:00"/>
    <s v="Classic IO"/>
    <m/>
    <m/>
    <m/>
    <m/>
    <m/>
    <m/>
    <m/>
    <s v="Do the Upsell OR Create New Opp"/>
    <s v="Mexico"/>
    <s v="ARS"/>
    <n v="4387094.46"/>
    <s v="OK"/>
    <s v="OK"/>
    <n v="-5266.6900000004098"/>
    <s v="T3222574"/>
    <s v="ARS"/>
    <n v="4381827.87"/>
    <s v="OK"/>
    <n v="-0.10000000055879354"/>
    <m/>
    <m/>
    <s v="Miss"/>
    <m/>
    <s v="ARS"/>
    <n v="2648705.4"/>
    <s v="OK"/>
    <n v="769120.26060000015"/>
    <m/>
    <s v="OK"/>
    <s v="SO READY TO EXPORT"/>
    <s v="PO READY TO EXPORT"/>
    <n v="3136.598260558339"/>
  </r>
  <r>
    <s v="IMS"/>
    <s v="T3222582"/>
    <s v="2026-02"/>
    <s v="February/2026"/>
    <d v="2026-02-28T00:00:00"/>
    <x v="36"/>
    <s v="802Um00000Db3kDIAR"/>
    <s v="AR00397734"/>
    <s v="006Uj00000ZllddIAB"/>
    <s v="0004914873"/>
    <x v="0"/>
    <s v="Activated"/>
    <s v="Confirmed"/>
    <s v="DIGITAL HIVE GROUP S.A."/>
    <x v="15"/>
    <s v="Twitter"/>
    <s v="Twitter Rep"/>
    <s v="LATAM"/>
    <s v="Argentina"/>
    <s v="Argentina"/>
    <x v="1"/>
    <s v="Mexico"/>
    <s v="Aleph Mexico"/>
    <s v="Promoted Tweet/Account"/>
    <s v="Auction"/>
    <s v="Auction"/>
    <x v="1"/>
    <s v="ARS"/>
    <n v="4712962.42"/>
    <n v="4712962.42"/>
    <n v="1"/>
    <n v="1"/>
    <n v="1"/>
    <n v="0.78"/>
    <n v="0.78"/>
    <n v="0"/>
    <m/>
    <n v="4712962.42"/>
    <n v="4712962.42"/>
    <n v="4712962.42"/>
    <n v="3676110.6875999998"/>
    <n v="2848868.15"/>
    <m/>
    <n v="4712962.42"/>
    <n v="3373.6309377236935"/>
    <n v="2631.4321314244808"/>
    <n v="1036851.7324"/>
    <n v="1036851.7324"/>
    <n v="742.19880629921261"/>
    <n v="22"/>
    <x v="36"/>
    <s v="SO Exported to ERP"/>
    <m/>
    <s v="POIME-000032094"/>
    <s v="PO Exported to ERP"/>
    <m/>
    <m/>
    <m/>
    <x v="1"/>
    <x v="36"/>
    <s v="DIGITAL HIVE GROUP S.A."/>
    <x v="15"/>
    <s v="Tomas Poletto"/>
    <s v="Tomas Poletto"/>
    <s v="Tomas Poletto"/>
    <s v="Twitter Rep | Promoted Tweet/Account | Argentina | ARS"/>
    <s v="Twitter Rep LATAM + WE"/>
    <s v="Aleph Argentina"/>
    <d v="2026-01-05T00:00:00"/>
    <d v="2026-03-31T00:00:00"/>
    <s v="45D"/>
    <m/>
    <n v="1"/>
    <s v="https://alephholding.lightning.force.com/lightning/r/OrderItem/802Um00000Db3kDIAR/view"/>
    <s v="AR00397734_TWR_001_002"/>
    <n v="0"/>
    <n v="0"/>
    <n v="0"/>
    <n v="0"/>
    <n v="6800000"/>
    <n v="6800000"/>
    <n v="5304000"/>
    <n v="3676110.6875999998"/>
    <n v="1"/>
    <n v="7.158196134574087E-4"/>
    <n v="7.158196134574087E-4"/>
    <b v="0"/>
    <b v="0"/>
    <s v="SMB High Value"/>
    <s v="Argentina"/>
    <n v="260101121874"/>
    <n v="3373.6309377236935"/>
    <n v="2631.4321314244812"/>
    <s v="Argentina"/>
    <s v="DIGITAL HIVE GROUP ARGENTINA"/>
    <s v="3NHZJ3EZX1"/>
    <s v="30715225537"/>
    <n v="30715225537"/>
    <s v="Brand Objectives"/>
    <d v="2026-03-06T17:29:00"/>
    <d v="2026-03-04T20:58:00"/>
    <b v="1"/>
    <b v="1"/>
    <d v="2026-02-01T00:00:00"/>
    <s v="Classic IO"/>
    <m/>
    <m/>
    <m/>
    <m/>
    <m/>
    <m/>
    <m/>
    <m/>
    <s v="Mexico"/>
    <s v="ARS"/>
    <n v="4712962.41"/>
    <s v="OK"/>
    <s v="OK"/>
    <n v="9.9999997764825821E-3"/>
    <s v="T3222582"/>
    <s v="ARS"/>
    <n v="4712962.42"/>
    <s v="OK"/>
    <n v="0"/>
    <m/>
    <m/>
    <s v="Miss"/>
    <m/>
    <s v="ARS"/>
    <n v="2848867.95"/>
    <s v="OK"/>
    <n v="827242.73759999964"/>
    <m/>
    <s v="OK"/>
    <s v="SO READY TO EXPORT"/>
    <s v="PO READY TO EXPORT"/>
    <n v="3373.6309377236935"/>
  </r>
  <r>
    <s v="IMS"/>
    <s v="T3222819"/>
    <s v="2026-02"/>
    <s v="February/2026"/>
    <d v="2026-02-28T00:00:00"/>
    <x v="37"/>
    <s v="802Uj00000PVKIiIAP"/>
    <s v="AR00398214"/>
    <s v="006Uj00000ZsQsgIAF"/>
    <s v="0004880423"/>
    <x v="0"/>
    <s v="Activated"/>
    <s v="Confirmed"/>
    <s v="TARJETA NARANJA SA"/>
    <x v="22"/>
    <s v="Twitter"/>
    <s v="Twitter Rep"/>
    <s v="LATAM"/>
    <s v="Argentina"/>
    <s v="Argentina"/>
    <x v="1"/>
    <s v="Mexico"/>
    <s v="Aleph Mexico"/>
    <s v="Promoted Tweet/Account"/>
    <s v="Auction"/>
    <s v="Auction"/>
    <x v="1"/>
    <s v="ARS"/>
    <n v="7779983.4400000004"/>
    <n v="7779983.4400000004"/>
    <n v="1"/>
    <n v="1"/>
    <n v="1"/>
    <n v="0.78"/>
    <n v="0.78"/>
    <n v="0"/>
    <m/>
    <n v="7779983.4400000004"/>
    <n v="7779983.4400000004"/>
    <n v="7779983.4400000004"/>
    <n v="6068387.0832000002"/>
    <n v="4702805.8"/>
    <m/>
    <n v="7779983.4400000004"/>
    <n v="5569.0647387258414"/>
    <n v="4343.8704962061565"/>
    <n v="1711596.3568"/>
    <n v="1711596.3568"/>
    <n v="1225.1942425196851"/>
    <n v="22"/>
    <x v="37"/>
    <s v="SO Exported to ERP"/>
    <m/>
    <s v="POIME-000032110"/>
    <s v="PO Exported to ERP"/>
    <m/>
    <m/>
    <m/>
    <x v="1"/>
    <x v="37"/>
    <s v="TARJETA NARANJA SA"/>
    <x v="22"/>
    <s v="Miguel Jose Torrealba Alfonzo"/>
    <s v="Macarena Ramos Taky"/>
    <s v="Macarena Ramos Taky"/>
    <s v="Twitter Rep | Promoted Tweet/Account | Argentina | ARS"/>
    <s v="Twitter Rep LATAM + WE"/>
    <s v="Aleph Argentina"/>
    <d v="2026-01-12T00:00:00"/>
    <d v="2026-02-15T00:00:00"/>
    <s v="30D"/>
    <m/>
    <n v="1"/>
    <s v="https://alephholding.lightning.force.com/lightning/r/OrderItem/802Uj00000PVKIiIAP/view"/>
    <s v="AR00398214_TWR_001_002"/>
    <n v="0"/>
    <n v="0"/>
    <n v="0"/>
    <n v="0"/>
    <n v="8571428.5714285709"/>
    <n v="8571428.5714289993"/>
    <n v="6685714.2857140005"/>
    <n v="6068387.0832000002"/>
    <n v="1"/>
    <n v="7.158196134574087E-4"/>
    <n v="7.158196134574087E-4"/>
    <b v="0"/>
    <b v="0"/>
    <s v="Traditional (Local Team)"/>
    <s v="Argentina"/>
    <s v="IO interna"/>
    <n v="5569.0647387258414"/>
    <n v="4343.8704962061556"/>
    <s v="Argentina"/>
    <m/>
    <s v="DW8LKVCH2N"/>
    <s v="30685376349"/>
    <n v="30685376349"/>
    <s v="Brand Objectives"/>
    <d v="2026-03-06T17:29:00"/>
    <d v="2026-03-04T20:58:00"/>
    <b v="1"/>
    <b v="1"/>
    <d v="2026-02-01T00:00:00"/>
    <s v="Classic IO"/>
    <m/>
    <m/>
    <m/>
    <m/>
    <m/>
    <m/>
    <m/>
    <m/>
    <s v="Mexico"/>
    <s v="ARS"/>
    <n v="7779983.4400000004"/>
    <s v="OK"/>
    <s v="OK"/>
    <n v="0"/>
    <s v="T3222819"/>
    <s v="ARS"/>
    <n v="7779983.4400000004"/>
    <s v="OK"/>
    <n v="0"/>
    <m/>
    <m/>
    <s v="Miss"/>
    <m/>
    <s v="ARS"/>
    <n v="4702805.49"/>
    <s v="OK"/>
    <n v="1365581.5932"/>
    <m/>
    <s v="OK"/>
    <s v="SO READY TO EXPORT"/>
    <s v="PO READY TO EXPORT"/>
    <n v="5569.0647387258414"/>
  </r>
  <r>
    <s v="IMS"/>
    <s v="T3223536"/>
    <s v="2026-02"/>
    <s v="February/2026"/>
    <d v="2026-02-28T00:00:00"/>
    <x v="38"/>
    <s v="802Um00000DVg3VIAT"/>
    <s v="AR00402682"/>
    <s v="006Um00000dAOH7IAO"/>
    <s v="0004911007"/>
    <x v="0"/>
    <s v="Activated"/>
    <s v="Confirmed"/>
    <s v="IPG Media Brands SA (Arg)"/>
    <x v="12"/>
    <s v="Twitter"/>
    <s v="Twitter Billing"/>
    <s v="LATAM"/>
    <s v="Argentina"/>
    <s v="Argentina"/>
    <x v="1"/>
    <s v="Mexico"/>
    <s v="Aleph Mexico"/>
    <s v="Promoted Tweet/Account"/>
    <s v="Auction"/>
    <s v="Auction"/>
    <x v="1"/>
    <s v="ARS"/>
    <n v="2937600"/>
    <n v="2937600"/>
    <n v="1"/>
    <n v="1"/>
    <n v="1"/>
    <n v="0.85"/>
    <n v="0.85"/>
    <n v="0"/>
    <m/>
    <n v="2937600"/>
    <n v="2937600"/>
    <n v="2937600"/>
    <n v="2496960"/>
    <n v="1938801.31"/>
    <m/>
    <n v="2937600"/>
    <n v="2102.7916964924839"/>
    <n v="1787.3729420186114"/>
    <n v="440640"/>
    <n v="440640"/>
    <n v="315.41875447387258"/>
    <n v="15"/>
    <x v="38"/>
    <s v="SO Exported to ERP"/>
    <m/>
    <s v="POIME-000032564"/>
    <s v="PO Exported to ERP"/>
    <m/>
    <m/>
    <m/>
    <x v="1"/>
    <x v="38"/>
    <s v="IPG Media Brands SA (Arg)"/>
    <x v="12"/>
    <s v="Valentina Pulido"/>
    <s v="Valentina Pulido"/>
    <s v="Valentina Pulido"/>
    <s v="Twitter Billing | Promoted Tweet/Account | Twitter Billing | USD"/>
    <s v="Twitter Billing LATAM + WE"/>
    <s v="Aleph Argentina"/>
    <d v="2026-02-03T00:00:00"/>
    <d v="2026-03-29T00:00:00"/>
    <s v="75D"/>
    <m/>
    <n v="1"/>
    <s v="https://alephholding.lightning.force.com/lightning/r/OrderItem/802Um00000DVg3VIAT/view"/>
    <s v="AR00402682_TWB_001_001"/>
    <n v="0"/>
    <n v="0"/>
    <n v="0"/>
    <n v="0"/>
    <n v="2777367.2727272729"/>
    <n v="2777367.2727270001"/>
    <n v="2360762.181818"/>
    <n v="2496960"/>
    <n v="1"/>
    <n v="7.158196134574087E-4"/>
    <n v="7.158196134574087E-4"/>
    <b v="0"/>
    <b v="0"/>
    <s v="Traditional (Local Team)"/>
    <s v="Argentina"/>
    <s v="1072667 / 1 - 1072666 / 1"/>
    <n v="2102.7916964924839"/>
    <n v="1787.3729420186114"/>
    <s v="Argentina"/>
    <s v="IPG Media Brands SA (Arg)"/>
    <s v="2ETAFBXN2W"/>
    <s v="30693739698"/>
    <n v="30693739698"/>
    <s v="Brand Objectives"/>
    <d v="2026-03-06T17:29:00"/>
    <d v="2026-03-05T16:36:00"/>
    <b v="1"/>
    <b v="1"/>
    <d v="2026-02-01T00:00:00"/>
    <s v="Classic IO"/>
    <m/>
    <m/>
    <m/>
    <m/>
    <m/>
    <m/>
    <m/>
    <m/>
    <m/>
    <m/>
    <m/>
    <s v="Miss"/>
    <s v="Miss"/>
    <m/>
    <s v="T3223536"/>
    <s v="ARS"/>
    <n v="2937600"/>
    <s v="OK"/>
    <n v="0"/>
    <m/>
    <m/>
    <s v="Miss"/>
    <m/>
    <s v="ARS"/>
    <n v="1938874.75"/>
    <s v="OK"/>
    <n v="558085.25"/>
    <m/>
    <s v="OK"/>
    <s v="SO READY TO EXPORT"/>
    <s v="PO READY TO EXPORT"/>
    <n v="2102.7916964924839"/>
  </r>
  <r>
    <s v="IMS"/>
    <s v="T3224678"/>
    <s v="2026-02"/>
    <s v="February/2026"/>
    <d v="2026-02-28T00:00:00"/>
    <x v="39"/>
    <s v="802Uj00000PXUFSIA5"/>
    <s v="AR00398290"/>
    <s v="006Uj00000ZuG2lIAF"/>
    <s v="0004881634"/>
    <x v="0"/>
    <s v="Activated"/>
    <s v="Confirmed"/>
    <s v="Assist Card Argentina Sociedad Anonima De Servicios"/>
    <x v="23"/>
    <s v="Twitter"/>
    <s v="Twitter Rep"/>
    <s v="LATAM"/>
    <s v="Argentina"/>
    <s v="Argentina"/>
    <x v="1"/>
    <s v="Mexico"/>
    <s v="Aleph Mexico"/>
    <s v="Promoted Tweet/Account"/>
    <s v="Auction"/>
    <s v="Auction"/>
    <x v="1"/>
    <s v="ARS"/>
    <n v="1651074.28"/>
    <n v="1651074.28"/>
    <n v="1"/>
    <n v="1"/>
    <n v="1"/>
    <n v="0.78"/>
    <n v="0.78"/>
    <n v="0"/>
    <m/>
    <n v="1651074.28"/>
    <n v="1651074.28"/>
    <n v="1651074.28"/>
    <n v="1287837.9384000001"/>
    <n v="998033.19"/>
    <m/>
    <n v="1651074.28"/>
    <n v="1181.8713528990695"/>
    <n v="921.85965526127427"/>
    <n v="363236.34159999999"/>
    <n v="363236.34159999999"/>
    <n v="260.01169763779524"/>
    <n v="22"/>
    <x v="39"/>
    <s v="SO Exported to ERP"/>
    <m/>
    <s v="POIME-000032108"/>
    <s v="PO Exported to ERP"/>
    <m/>
    <m/>
    <m/>
    <x v="1"/>
    <x v="39"/>
    <s v="Assist Card Argentina Sociedad Anonima De Servicios"/>
    <x v="23"/>
    <s v="Jorge Osuna"/>
    <s v="Jorge Osuna"/>
    <s v="Jorge Osuna"/>
    <s v="Twitter Rep | Promoted Tweet/Account | Argentina | ARS"/>
    <s v="Twitter Rep LATAM + WE"/>
    <s v="Aleph Argentina"/>
    <d v="2026-01-01T00:00:00"/>
    <d v="2026-06-30T00:00:00"/>
    <s v="30D"/>
    <m/>
    <n v="1"/>
    <s v="https://alephholding.lightning.force.com/lightning/r/OrderItem/802Uj00000PXUFSIA5/view"/>
    <s v="AR00398290_TWR_001_002"/>
    <n v="0"/>
    <n v="0"/>
    <n v="0"/>
    <n v="0"/>
    <n v="4612388.9502762435"/>
    <n v="4612388.9502760004"/>
    <n v="3597663.3812150001"/>
    <n v="1287837.9384000001"/>
    <n v="1"/>
    <n v="7.158196134574087E-4"/>
    <n v="7.158196134574087E-4"/>
    <b v="0"/>
    <b v="0"/>
    <s v="Traditional (Local Team)"/>
    <s v="Argentina"/>
    <s v="interna"/>
    <n v="1181.8713528990695"/>
    <n v="921.85965526127416"/>
    <s v="Argentina"/>
    <m/>
    <s v="DOY0IHZIJF"/>
    <s v="33547992429"/>
    <n v="33547992429"/>
    <s v="Brand Objectives"/>
    <d v="2026-03-06T17:29:00"/>
    <d v="2026-03-04T20:58:00"/>
    <b v="1"/>
    <b v="1"/>
    <d v="2026-02-01T00:00:00"/>
    <s v="Classic IO"/>
    <m/>
    <m/>
    <m/>
    <m/>
    <m/>
    <m/>
    <m/>
    <m/>
    <s v="Mexico"/>
    <s v="ARS"/>
    <n v="1651074.27"/>
    <s v="OK"/>
    <s v="OK"/>
    <n v="1.0000000009313226E-2"/>
    <s v="T3224678"/>
    <s v="ARS"/>
    <n v="1651074.28"/>
    <s v="OK"/>
    <n v="0"/>
    <m/>
    <m/>
    <s v="Miss"/>
    <m/>
    <s v="ARS"/>
    <n v="998033.13"/>
    <s v="OK"/>
    <n v="289804.8084000001"/>
    <m/>
    <s v="OK"/>
    <s v="SO READY TO EXPORT"/>
    <s v="PO READY TO EXPORT"/>
    <n v="1181.8713528990695"/>
  </r>
  <r>
    <s v="IMS"/>
    <s v="T3224761"/>
    <s v="2026-02"/>
    <s v="February/2026"/>
    <d v="2026-02-28T00:00:00"/>
    <x v="40"/>
    <s v="802Uj00000PYiReIAL"/>
    <s v="AR00398495"/>
    <s v="006Uj00000ZxfCfIAJ"/>
    <s v="0004881773"/>
    <x v="0"/>
    <s v="Activated"/>
    <s v="Confirmed"/>
    <s v="Telecom Argentina SA"/>
    <x v="18"/>
    <s v="Twitter"/>
    <s v="Twitter Rep"/>
    <s v="LATAM"/>
    <s v="Argentina"/>
    <s v="Argentina"/>
    <x v="1"/>
    <s v="Mexico"/>
    <s v="Aleph Mexico"/>
    <s v="Promoted Tweet/Account"/>
    <s v="Auction"/>
    <s v="Auction"/>
    <x v="1"/>
    <s v="ARS"/>
    <n v="7514153.1299999999"/>
    <n v="7514153.1299999999"/>
    <n v="1"/>
    <n v="1"/>
    <n v="1"/>
    <n v="0.78"/>
    <n v="0.78"/>
    <n v="0"/>
    <m/>
    <n v="7514153.1299999999"/>
    <n v="7514153.1299999999"/>
    <n v="7514153.1299999999"/>
    <n v="5861039.4413999999"/>
    <n v="4542118.01"/>
    <m/>
    <n v="7514153.1299999999"/>
    <n v="5378.7781889763783"/>
    <n v="4195.4469874015749"/>
    <n v="1653113.6886"/>
    <n v="1653113.6886"/>
    <n v="1183.3312015748031"/>
    <n v="22"/>
    <x v="40"/>
    <s v="SO Exported to ERP"/>
    <m/>
    <s v="POIME-000032116"/>
    <s v="PO Exported to ERP"/>
    <m/>
    <m/>
    <m/>
    <x v="1"/>
    <x v="40"/>
    <s v="Telecom Argentina SA"/>
    <x v="18"/>
    <s v="Nicolás Ferreiro"/>
    <s v="Talia Anael Alzieu"/>
    <s v="Talia Anael Alzieu"/>
    <s v="Twitter Rep | Promoted Tweet/Account | Argentina | ARS"/>
    <s v="Twitter Rep LATAM + WE"/>
    <s v="Aleph Argentina"/>
    <d v="2026-01-16T00:00:00"/>
    <d v="2026-02-28T00:00:00"/>
    <s v="90D"/>
    <m/>
    <n v="1"/>
    <s v="https://alephholding.lightning.force.com/lightning/r/OrderItem/802Uj00000PYiReIAL/view"/>
    <s v="AR00398495_TWR_001_002"/>
    <n v="0"/>
    <n v="0"/>
    <n v="0"/>
    <n v="0"/>
    <n v="27809091.545454547"/>
    <n v="27809091.545455001"/>
    <n v="21691091.405455001"/>
    <n v="5861039.4413999999"/>
    <n v="1"/>
    <n v="7.158196134574087E-4"/>
    <n v="7.158196134574087E-4"/>
    <b v="0"/>
    <b v="0"/>
    <s v="Traditional (Local Team)"/>
    <s v="Argentina"/>
    <s v="01244005 - 02244001"/>
    <n v="5378.7781889763783"/>
    <n v="4195.4469874015749"/>
    <s v="Argentina"/>
    <s v="DIGITAL HIVE GROUP ARGENTINA"/>
    <s v="OBRG85JGS0"/>
    <s v="30639453738"/>
    <n v="30639453738"/>
    <s v="Client Performance Driven (ROI)"/>
    <d v="2026-03-06T17:29:00"/>
    <d v="2026-03-06T13:51:00"/>
    <b v="1"/>
    <b v="1"/>
    <d v="2026-02-01T00:00:00"/>
    <s v="Classic IO"/>
    <m/>
    <m/>
    <m/>
    <m/>
    <m/>
    <m/>
    <m/>
    <m/>
    <s v="Mexico"/>
    <s v="ARS"/>
    <n v="7514153.1299999999"/>
    <s v="OK"/>
    <s v="OK"/>
    <n v="0"/>
    <s v="T3224761"/>
    <s v="ARS"/>
    <n v="7514153.1299999999"/>
    <s v="OK"/>
    <n v="0"/>
    <m/>
    <m/>
    <s v="Miss"/>
    <m/>
    <s v="ARS"/>
    <n v="4542117.71"/>
    <s v="OK"/>
    <n v="1318921.7313999999"/>
    <m/>
    <s v="OK"/>
    <s v="SO Exported to ERP"/>
    <s v="PO READY TO EXPORT"/>
    <n v="5378.7781889763783"/>
  </r>
  <r>
    <s v="IMS"/>
    <s v="T3225314"/>
    <s v="2026-02"/>
    <s v="February/2026"/>
    <d v="2026-02-28T00:00:00"/>
    <x v="41"/>
    <s v="802Um00000DdWDRIA3"/>
    <s v="AR00399019"/>
    <s v="006Uj00000a5xp7IAA"/>
    <s v="0004916686"/>
    <x v="0"/>
    <s v="Activated"/>
    <s v="Confirmed"/>
    <s v="SUPER MEDIA S.A"/>
    <x v="24"/>
    <s v="Twitter"/>
    <s v="Twitter Rep"/>
    <s v="LATAM"/>
    <s v="Argentina"/>
    <s v="Argentina"/>
    <x v="1"/>
    <s v="Mexico"/>
    <s v="Aleph Mexico"/>
    <s v="Promoted Tweet/Account"/>
    <s v="Auction"/>
    <s v="Auction"/>
    <x v="1"/>
    <s v="ARS"/>
    <n v="7991501.8099999996"/>
    <n v="7991501.8099999996"/>
    <n v="1"/>
    <n v="1"/>
    <n v="1"/>
    <n v="0.78"/>
    <n v="0.78"/>
    <n v="0"/>
    <m/>
    <n v="7991501.8099999996"/>
    <n v="7991501.8099999996"/>
    <n v="7991501.8099999996"/>
    <n v="6233371.4117999999"/>
    <n v="4830663.38"/>
    <m/>
    <n v="7991501.8099999996"/>
    <n v="5720.4737365783822"/>
    <n v="4461.969514531138"/>
    <n v="1758130.3981999999"/>
    <n v="1758130.3981999999"/>
    <n v="1258.504222047244"/>
    <n v="22"/>
    <x v="41"/>
    <s v="SO Exported to ERP"/>
    <m/>
    <s v="POIME-000032104"/>
    <s v="PO Exported to ERP"/>
    <m/>
    <m/>
    <m/>
    <x v="1"/>
    <x v="41"/>
    <s v="SUPER MEDIA S.A"/>
    <x v="24"/>
    <s v="Tomas Poletto"/>
    <s v="Tomas Poletto"/>
    <s v="Tomas Poletto"/>
    <s v="Twitter Rep | Promoted Tweet/Account | Argentina | ARS"/>
    <s v="Twitter Rep LATAM + WE"/>
    <s v="Aleph Argentina"/>
    <d v="2026-01-01T00:00:00"/>
    <d v="2026-03-31T00:00:00"/>
    <s v="30D"/>
    <m/>
    <n v="1"/>
    <s v="https://alephholding.lightning.force.com/lightning/r/OrderItem/802Um00000DdWDRIA3/view"/>
    <s v="AR00399019_TWR_001_002"/>
    <n v="0"/>
    <n v="0"/>
    <n v="0"/>
    <n v="0"/>
    <n v="6650000"/>
    <n v="6650000"/>
    <n v="5187000"/>
    <n v="6233371.4117999999"/>
    <n v="1"/>
    <n v="7.158196134574087E-4"/>
    <n v="7.158196134574087E-4"/>
    <b v="0"/>
    <b v="0"/>
    <s v="Traditional (Local Team)"/>
    <s v="Argentina"/>
    <s v="M01 - 2026 1003 / 0"/>
    <n v="5720.4737365783822"/>
    <n v="4461.969514531138"/>
    <s v="Argentina"/>
    <s v="SUPER MEDIA S.A ARGENTINA"/>
    <s v="B491D3W8R7"/>
    <s v="30716209551"/>
    <n v="30716209551"/>
    <s v="Brand Objectives"/>
    <d v="2026-03-06T17:29:00"/>
    <d v="2026-03-04T20:58:00"/>
    <b v="1"/>
    <b v="1"/>
    <d v="2026-02-01T00:00:00"/>
    <s v="Classic IO"/>
    <m/>
    <m/>
    <m/>
    <m/>
    <m/>
    <m/>
    <m/>
    <m/>
    <s v="Mexico"/>
    <s v="ARS"/>
    <n v="7991501.8200000003"/>
    <s v="OK"/>
    <s v="OK"/>
    <n v="-1.0000000707805157E-2"/>
    <s v="T3225314"/>
    <s v="ARS"/>
    <n v="7991501.8099999996"/>
    <s v="OK"/>
    <n v="0"/>
    <m/>
    <m/>
    <s v="Miss"/>
    <m/>
    <s v="ARS"/>
    <n v="4830663.0599999996"/>
    <s v="OK"/>
    <n v="1402708.3518000003"/>
    <m/>
    <s v="OK"/>
    <s v="SO READY TO EXPORT"/>
    <s v="PO READY TO EXPORT"/>
    <n v="5720.4737365783822"/>
  </r>
  <r>
    <s v="IMS"/>
    <s v="T3225345"/>
    <s v="2026-02"/>
    <s v="February/2026"/>
    <d v="2026-02-28T00:00:00"/>
    <x v="42"/>
    <s v="802Um00000DMxRmIAL"/>
    <s v="AR00401761"/>
    <s v="006Um00000cxmHHIAY"/>
    <s v="0004905653"/>
    <x v="0"/>
    <s v="Activated"/>
    <s v="Confirmed"/>
    <s v="IPG Media Brands SA (Arg)"/>
    <x v="12"/>
    <s v="Twitter"/>
    <s v="Twitter Billing"/>
    <s v="LATAM"/>
    <s v="Argentina"/>
    <s v="Argentina"/>
    <x v="1"/>
    <s v="Mexico"/>
    <s v="Aleph Mexico"/>
    <s v="Promoted Tweet/Account"/>
    <s v="Auction"/>
    <s v="Auction"/>
    <x v="1"/>
    <s v="ARS"/>
    <n v="8088113.9100000001"/>
    <n v="8088113.9100000001"/>
    <n v="1"/>
    <n v="1"/>
    <n v="1"/>
    <n v="0.85"/>
    <n v="0.85"/>
    <n v="0"/>
    <m/>
    <n v="8088113.9100000001"/>
    <n v="8088113.9100000001"/>
    <n v="8088113.9100000001"/>
    <n v="6874896.8234999999"/>
    <n v="5338114.74"/>
    <m/>
    <n v="8088113.9100000001"/>
    <n v="5789.6305726556911"/>
    <n v="4921.1859867573376"/>
    <n v="1213217.0865"/>
    <n v="1213217.0865"/>
    <n v="868.44458589835358"/>
    <n v="15"/>
    <x v="42"/>
    <s v="SO Exported to ERP"/>
    <m/>
    <s v="POIME-000032055"/>
    <s v="PO Exported to ERP"/>
    <m/>
    <m/>
    <m/>
    <x v="1"/>
    <x v="42"/>
    <s v="IPG Media Brands SA (Arg)"/>
    <x v="12"/>
    <s v="Luciana Bonifacio"/>
    <s v="Luciana Bonifacio"/>
    <s v="Luciana Bonifacio"/>
    <s v="Twitter Billing | Promoted Tweet/Account | Twitter Billing | USD"/>
    <s v="Twitter Billing LATAM + WE"/>
    <s v="Aleph Argentina"/>
    <d v="2026-01-22T00:00:00"/>
    <d v="2026-03-01T00:00:00"/>
    <s v="75D"/>
    <m/>
    <n v="1"/>
    <s v="https://alephholding.lightning.force.com/lightning/r/OrderItem/802Um00000DMxRmIAL/view"/>
    <s v="AR00401761_TWB_001_002"/>
    <n v="0"/>
    <n v="0"/>
    <n v="0"/>
    <n v="0"/>
    <n v="8111556.923076923"/>
    <n v="8111556.9230770003"/>
    <n v="6894823.3846150003"/>
    <n v="6874896.8234999999"/>
    <n v="1"/>
    <n v="7.158196134574087E-4"/>
    <n v="7.158196134574087E-4"/>
    <b v="0"/>
    <b v="0"/>
    <s v="Traditional (Local Team)"/>
    <s v="Argentina"/>
    <s v="1072151 / 1 - 1072152 / 1 - 1072153 / 1"/>
    <n v="5789.6305726556911"/>
    <n v="4921.1859867573376"/>
    <s v="Argentina"/>
    <s v="IPG Media Brands SA (Arg)"/>
    <s v="2ETAFBXN2W"/>
    <s v="30693739698"/>
    <n v="30693739698"/>
    <s v="Brand Objectives"/>
    <d v="2026-03-06T17:29:00"/>
    <d v="2026-03-04T20:58:00"/>
    <b v="1"/>
    <b v="1"/>
    <d v="2026-02-01T00:00:00"/>
    <s v="Classic IO"/>
    <m/>
    <m/>
    <m/>
    <m/>
    <m/>
    <m/>
    <m/>
    <m/>
    <m/>
    <m/>
    <m/>
    <s v="Miss"/>
    <s v="Miss"/>
    <m/>
    <s v="T3225345"/>
    <s v="ARS"/>
    <n v="8088113.9100000001"/>
    <s v="OK"/>
    <n v="0"/>
    <m/>
    <m/>
    <s v="Miss"/>
    <m/>
    <s v="ARS"/>
    <n v="5338316.9400000004"/>
    <s v="OK"/>
    <n v="1536579.8834999995"/>
    <m/>
    <s v="OK"/>
    <s v="SO READY TO EXPORT"/>
    <s v="PO READY TO EXPORT"/>
    <n v="5789.6305726556911"/>
  </r>
  <r>
    <s v="IMS"/>
    <s v="T3225691"/>
    <s v="2026-02"/>
    <s v="February/2026"/>
    <d v="2026-02-28T00:00:00"/>
    <x v="43"/>
    <s v="802Um00000DarEPIAZ"/>
    <s v="AR00403003"/>
    <s v="006Um00000dE9D4IAK"/>
    <s v="0004914742"/>
    <x v="0"/>
    <s v="Activated"/>
    <s v="Confirmed"/>
    <s v="IPG Media Brands SA (Arg)"/>
    <x v="12"/>
    <s v="Twitter"/>
    <s v="Twitter Billing"/>
    <s v="LATAM"/>
    <s v="Argentina"/>
    <s v="Argentina"/>
    <x v="1"/>
    <s v="Mexico"/>
    <s v="Aleph Mexico"/>
    <s v="Promoted Tweet/Account"/>
    <s v="Auction"/>
    <s v="Auction"/>
    <x v="1"/>
    <s v="ARS"/>
    <n v="4701458.79"/>
    <n v="4701458.79"/>
    <n v="1"/>
    <n v="1"/>
    <n v="1"/>
    <n v="0.85"/>
    <n v="0.85"/>
    <n v="0"/>
    <m/>
    <n v="4701458.79"/>
    <n v="4701458.79"/>
    <n v="4701458.79"/>
    <n v="3996239.9715"/>
    <n v="3102939.29"/>
    <m/>
    <n v="4701458.79"/>
    <n v="3365.3964137437365"/>
    <n v="2860.5869516821763"/>
    <n v="705218.81850000005"/>
    <n v="705218.81850000005"/>
    <n v="504.80946206156051"/>
    <n v="15"/>
    <x v="43"/>
    <s v="SO Exported to ERP"/>
    <m/>
    <s v="POIME-000032562"/>
    <s v="PO Exported to ERP"/>
    <m/>
    <m/>
    <m/>
    <x v="1"/>
    <x v="43"/>
    <s v="IPG Media Brands SA (Arg)"/>
    <x v="12"/>
    <s v="Valentina Pulido"/>
    <s v="Valentina Pulido"/>
    <s v="Valentina Pulido"/>
    <s v="Twitter Billing | Promoted Tweet/Account | Twitter Billing | USD"/>
    <s v="Twitter Billing LATAM + WE"/>
    <s v="Aleph Argentina"/>
    <d v="2026-02-03T00:00:00"/>
    <d v="2026-03-29T00:00:00"/>
    <s v="75D"/>
    <m/>
    <n v="1"/>
    <s v="https://alephholding.lightning.force.com/lightning/r/OrderItem/802Um00000DarEPIAZ/view"/>
    <s v="AR00403003_TWB_001_001"/>
    <n v="0"/>
    <n v="0"/>
    <n v="0"/>
    <n v="0"/>
    <n v="4727272.7272727275"/>
    <n v="4727272.7272730004"/>
    <n v="4018181.818182"/>
    <n v="3996239.9715"/>
    <n v="1"/>
    <n v="7.158196134574087E-4"/>
    <n v="7.158196134574087E-4"/>
    <b v="0"/>
    <b v="0"/>
    <s v="Traditional (Local Team)"/>
    <s v="Argentina"/>
    <s v="1072629 / 1- 1072626 / 1"/>
    <n v="3365.3964137437365"/>
    <n v="2860.5869516821763"/>
    <s v="Argentina"/>
    <s v="IPG Media Brands SA (Arg)"/>
    <s v="2ETAFBXN2W"/>
    <s v="30693739698"/>
    <n v="30693739698"/>
    <s v="Brand Objectives"/>
    <d v="2026-03-06T17:29:00"/>
    <d v="2026-03-04T20:58:00"/>
    <b v="1"/>
    <b v="1"/>
    <d v="2026-02-01T00:00:00"/>
    <s v="Classic IO"/>
    <m/>
    <m/>
    <m/>
    <m/>
    <m/>
    <m/>
    <m/>
    <m/>
    <m/>
    <m/>
    <m/>
    <s v="Miss"/>
    <s v="Miss"/>
    <m/>
    <s v="T3225691"/>
    <s v="ARS"/>
    <n v="4701458.79"/>
    <s v="OK"/>
    <n v="0"/>
    <m/>
    <m/>
    <s v="Miss"/>
    <m/>
    <s v="ARS"/>
    <n v="3103056.83"/>
    <s v="OK"/>
    <n v="893183.14149999991"/>
    <m/>
    <s v="OK"/>
    <s v="SO READY TO EXPORT"/>
    <s v="PO READY TO EXPORT"/>
    <n v="3365.3964137437365"/>
  </r>
  <r>
    <s v="IMS"/>
    <s v="T3227274"/>
    <s v="2026-02"/>
    <s v="February/2026"/>
    <d v="2026-02-28T00:00:00"/>
    <x v="44"/>
    <s v="802Um00000DN15aIAD"/>
    <s v="AR00401768"/>
    <s v="006Um00000cxmIsIAI"/>
    <s v="0004905688"/>
    <x v="0"/>
    <s v="Activated"/>
    <s v="Confirmed"/>
    <s v="IPG Media Brands SA (Arg)"/>
    <x v="12"/>
    <s v="Twitter"/>
    <s v="Twitter Billing"/>
    <s v="LATAM"/>
    <s v="Argentina"/>
    <s v="Argentina"/>
    <x v="1"/>
    <s v="Mexico"/>
    <s v="Aleph Mexico"/>
    <s v="Promoted Tweet/Account"/>
    <s v="Auction"/>
    <s v="Auction"/>
    <x v="1"/>
    <s v="ARS"/>
    <n v="1745729.16"/>
    <n v="1745729.16"/>
    <n v="1"/>
    <n v="1"/>
    <n v="1"/>
    <n v="0.85"/>
    <n v="0.85"/>
    <n v="0"/>
    <m/>
    <n v="1745729.16"/>
    <n v="1745729.16"/>
    <n v="1745729.16"/>
    <n v="1483869.7860000001"/>
    <n v="1152172.52"/>
    <m/>
    <n v="1745729.16"/>
    <n v="1249.6271725125268"/>
    <n v="1062.1830966356479"/>
    <n v="261859.37400000001"/>
    <n v="261859.37400000001"/>
    <n v="187.44407587687903"/>
    <n v="15"/>
    <x v="44"/>
    <s v="SO Exported to ERP"/>
    <m/>
    <s v="POIME-000032048"/>
    <s v="PO Exported to ERP"/>
    <m/>
    <m/>
    <m/>
    <x v="1"/>
    <x v="44"/>
    <s v="IPG Media Brands SA (Arg)"/>
    <x v="12"/>
    <s v="Luciana Bonifacio"/>
    <s v="Luciana Bonifacio"/>
    <s v="Luciana Bonifacio"/>
    <s v="Twitter Billing | Promoted Tweet/Account | Twitter Billing | USD"/>
    <s v="Twitter Billing LATAM + WE"/>
    <s v="Aleph Argentina"/>
    <d v="2026-01-19T00:00:00"/>
    <d v="2026-02-02T00:00:00"/>
    <s v="75D"/>
    <m/>
    <n v="1"/>
    <s v="https://alephholding.lightning.force.com/lightning/r/OrderItem/802Um00000DN15aIAD/view"/>
    <s v="AR00401768_TWB_001_002"/>
    <n v="0"/>
    <n v="0"/>
    <n v="0"/>
    <n v="0"/>
    <n v="1745729.3333333333"/>
    <n v="1745729.3333330001"/>
    <n v="1483869.9333329999"/>
    <n v="1483869.7860000001"/>
    <n v="1"/>
    <n v="7.158196134574087E-4"/>
    <n v="7.158196134574087E-4"/>
    <b v="0"/>
    <b v="0"/>
    <s v="Traditional (Local Team)"/>
    <s v="Argentina"/>
    <s v="1072117 / 1 - 1072120 / 1"/>
    <n v="1249.6271725125268"/>
    <n v="1062.1830966356479"/>
    <s v="Argentina"/>
    <s v="IPG Media Brands SA (Arg)"/>
    <s v="2ETAFBXN2W"/>
    <s v="30693739698"/>
    <n v="30693739698"/>
    <s v="Brand Objectives"/>
    <d v="2026-03-06T17:29:00"/>
    <d v="2026-03-04T20:58:00"/>
    <b v="1"/>
    <b v="1"/>
    <d v="2026-02-01T00:00:00"/>
    <s v="Classic IO"/>
    <m/>
    <m/>
    <m/>
    <m/>
    <m/>
    <m/>
    <m/>
    <m/>
    <m/>
    <m/>
    <m/>
    <s v="Miss"/>
    <s v="Miss"/>
    <m/>
    <s v="T3227274"/>
    <s v="ARS"/>
    <n v="1745729.16"/>
    <s v="OK"/>
    <n v="0"/>
    <m/>
    <m/>
    <s v="Miss"/>
    <m/>
    <s v="ARS"/>
    <n v="1152216.1599999999"/>
    <s v="OK"/>
    <n v="331653.62600000016"/>
    <m/>
    <s v="OK"/>
    <s v="SO READY TO EXPORT"/>
    <s v="PO READY TO EXPORT"/>
    <n v="1249.6271725125268"/>
  </r>
  <r>
    <s v="IMS"/>
    <s v="T3231502"/>
    <s v="2026-02"/>
    <s v="February/2026"/>
    <d v="2026-02-28T00:00:00"/>
    <x v="45"/>
    <s v="802Um00000DHmqOIAT"/>
    <s v="AR00400121"/>
    <s v="006Uj00000aLGJbIAO"/>
    <s v="0004900082"/>
    <x v="0"/>
    <s v="Activated"/>
    <s v="Confirmed"/>
    <s v="Carat Argentina SA"/>
    <x v="20"/>
    <s v="Twitter"/>
    <s v="Twitter Rep"/>
    <s v="LATAM"/>
    <s v="Argentina"/>
    <s v="Argentina"/>
    <x v="1"/>
    <s v="Mexico"/>
    <s v="Aleph Mexico"/>
    <s v="Promoted Tweet/Account"/>
    <s v="Auction"/>
    <s v="Auction"/>
    <x v="1"/>
    <s v="ARS"/>
    <n v="92012.77"/>
    <n v="92012.77"/>
    <n v="1"/>
    <n v="1"/>
    <n v="1"/>
    <n v="0.78"/>
    <n v="0.78"/>
    <n v="0"/>
    <m/>
    <n v="92012.77"/>
    <n v="92012.77"/>
    <n v="92012.77"/>
    <n v="71769.960600000006"/>
    <n v="55619.42"/>
    <m/>
    <n v="92012.77"/>
    <n v="65.864545454545464"/>
    <n v="51.374345454545455"/>
    <n v="20242.809399999998"/>
    <n v="20242.809399999998"/>
    <n v="14.490199999999998"/>
    <n v="22"/>
    <x v="45"/>
    <s v="SO Exported to ERP"/>
    <m/>
    <s v="POIME-000032153"/>
    <s v="PO Exported to ERP"/>
    <m/>
    <m/>
    <m/>
    <x v="1"/>
    <x v="45"/>
    <s v="Carat Argentina SA"/>
    <x v="20"/>
    <s v="Tomas Poletto"/>
    <s v="Tomas Poletto"/>
    <s v="Tomas Poletto"/>
    <s v="Twitter Rep | Promoted Tweet/Account | Argentina | ARS"/>
    <s v="Twitter Rep LATAM + WE"/>
    <s v="Aleph Argentina"/>
    <d v="2026-01-14T00:00:00"/>
    <d v="2026-02-08T00:00:00"/>
    <s v="75D"/>
    <m/>
    <n v="2"/>
    <s v="https://alephholding.lightning.force.com/lightning/r/OrderItem/802Um00000DHmqOIAT/view"/>
    <s v="AR00400121_TWR_002_002"/>
    <n v="0"/>
    <n v="0"/>
    <n v="0"/>
    <n v="0"/>
    <n v="763374.15384615387"/>
    <n v="763374.15384599997"/>
    <n v="595431.84"/>
    <n v="71769.960600000006"/>
    <n v="1"/>
    <n v="7.158196134574087E-4"/>
    <n v="7.158196134574087E-4"/>
    <b v="0"/>
    <b v="0"/>
    <s v="Traditional (Local Team)"/>
    <s v="Argentina"/>
    <s v="OP 504087, 00504297 / 0"/>
    <n v="65.86454545454545"/>
    <n v="51.374345454545455"/>
    <s v="Argentina"/>
    <s v="Carat Argentina SA"/>
    <s v="BDZB3VONUN"/>
    <s v="30708983906"/>
    <n v="30708983906"/>
    <s v="Brand Objectives"/>
    <d v="2026-03-06T17:29:00"/>
    <d v="2026-03-04T20:59:00"/>
    <b v="1"/>
    <b v="1"/>
    <d v="2026-02-01T00:00:00"/>
    <s v="Classic IO"/>
    <m/>
    <m/>
    <m/>
    <m/>
    <m/>
    <m/>
    <m/>
    <m/>
    <s v="Mexico"/>
    <s v="ARS"/>
    <n v="92012.77"/>
    <s v="OK"/>
    <s v="OK"/>
    <n v="0"/>
    <s v="T3231502"/>
    <s v="ARS"/>
    <n v="92012.77"/>
    <s v="OK"/>
    <n v="0"/>
    <m/>
    <m/>
    <s v="Miss"/>
    <m/>
    <s v="ARS"/>
    <n v="55619.42"/>
    <s v="OK"/>
    <n v="16150.540600000008"/>
    <m/>
    <s v="OK"/>
    <s v="SO READY TO EXPORT"/>
    <s v="PO READY TO EXPORT"/>
    <n v="65.864545454545464"/>
  </r>
  <r>
    <s v="IMS"/>
    <s v="T3231647"/>
    <s v="2026-02"/>
    <s v="February/2026"/>
    <d v="2026-02-28T00:00:00"/>
    <x v="46"/>
    <s v="802Um00000DiWvyIAF"/>
    <s v="AR00400737"/>
    <s v="006Um00000ckP2LIAU"/>
    <s v="0004930227"/>
    <x v="0"/>
    <s v="Activated"/>
    <s v="Confirmed"/>
    <s v="OSA ONE STEP AHEAD S. A."/>
    <x v="10"/>
    <s v="Twitter"/>
    <s v="Twitter Rep"/>
    <s v="LATAM"/>
    <s v="Argentina"/>
    <s v="Argentina"/>
    <x v="1"/>
    <s v="Mexico"/>
    <s v="Aleph Mexico"/>
    <s v="Promoted Tweet/Account"/>
    <s v="Auction"/>
    <s v="Auction"/>
    <x v="1"/>
    <s v="ARS"/>
    <n v="4109964.98"/>
    <n v="4109964.98"/>
    <n v="1"/>
    <n v="1"/>
    <n v="1"/>
    <n v="0.78"/>
    <n v="0.78"/>
    <n v="0"/>
    <m/>
    <n v="4109964.98"/>
    <n v="4109964.98"/>
    <n v="4109964.98"/>
    <n v="3205772.6844000001"/>
    <n v="2484371.25"/>
    <m/>
    <n v="4109964.98"/>
    <n v="2941.9935433070864"/>
    <n v="2294.7549637795278"/>
    <n v="904192.29559999995"/>
    <n v="904192.29559999995"/>
    <n v="647.23857952755907"/>
    <n v="22"/>
    <x v="46"/>
    <s v="SO Exported to ERP"/>
    <m/>
    <s v="POIME-000032144"/>
    <s v="PO Exported to ERP"/>
    <m/>
    <m/>
    <m/>
    <x v="1"/>
    <x v="46"/>
    <s v="OSA ONE STEP AHEAD S. A."/>
    <x v="10"/>
    <s v="Jorge Osuna"/>
    <s v="Jorge Osuna"/>
    <s v="Jorge Osuna"/>
    <s v="Twitter Rep | Promoted Tweet/Account | Argentina | ARS"/>
    <s v="Twitter Rep LATAM + WE"/>
    <s v="Aleph Argentina"/>
    <d v="2026-01-20T00:00:00"/>
    <d v="2026-03-31T00:00:00"/>
    <s v="90D"/>
    <m/>
    <n v="1"/>
    <s v="https://alephholding.lightning.force.com/lightning/r/OrderItem/802Um00000DiWvyIAF/view"/>
    <s v="AR00400737_TWR_001_002"/>
    <n v="0"/>
    <n v="0"/>
    <n v="0"/>
    <n v="0"/>
    <n v="3999933.44"/>
    <n v="3999933.44"/>
    <n v="3119948.0832000002"/>
    <n v="3205772.6844000001"/>
    <n v="1"/>
    <n v="7.158196134574087E-4"/>
    <n v="7.158196134574087E-4"/>
    <b v="0"/>
    <b v="0"/>
    <s v="Digital Native / Performance"/>
    <s v="Argentina"/>
    <s v="202601-0458 ver 001"/>
    <n v="2941.9935433070868"/>
    <n v="2294.7549637795278"/>
    <s v="Argentina"/>
    <s v="OSA ONE STEP AHEAD Argentina"/>
    <s v="WYWXHC78NY"/>
    <s v="30712014047"/>
    <n v="30712014047"/>
    <s v="Client Performance Driven (ROI)"/>
    <d v="2026-03-06T17:29:00"/>
    <d v="2026-03-04T20:59:00"/>
    <b v="1"/>
    <b v="1"/>
    <d v="2026-02-01T00:00:00"/>
    <s v="Classic IO"/>
    <m/>
    <m/>
    <m/>
    <m/>
    <m/>
    <m/>
    <m/>
    <m/>
    <s v="Mexico"/>
    <s v="ARS"/>
    <n v="4109964.98"/>
    <s v="OK"/>
    <s v="OK"/>
    <n v="0"/>
    <s v="T3231647"/>
    <s v="ARS"/>
    <n v="4109964.98"/>
    <s v="OK"/>
    <n v="0"/>
    <m/>
    <m/>
    <s v="Miss"/>
    <m/>
    <s v="ARS"/>
    <n v="2484371.08"/>
    <s v="OK"/>
    <n v="721401.60440000007"/>
    <m/>
    <s v="OK"/>
    <s v="SO READY TO EXPORT"/>
    <s v="PO READY TO EXPORT"/>
    <n v="2941.9935433070864"/>
  </r>
  <r>
    <s v="IMS"/>
    <s v="T3231673"/>
    <s v="2026-02"/>
    <s v="February/2026"/>
    <d v="2026-02-28T00:00:00"/>
    <x v="47"/>
    <s v="802Um00000DFbkYIAT"/>
    <s v="AR00400821"/>
    <s v="006Um00000cl08LIAQ"/>
    <s v="0004897393"/>
    <x v="0"/>
    <s v="Activated"/>
    <s v="Confirmed"/>
    <s v="Encender S.A."/>
    <x v="25"/>
    <s v="Twitter"/>
    <s v="Twitter Rep"/>
    <s v="LATAM"/>
    <s v="Argentina"/>
    <s v="Argentina"/>
    <x v="1"/>
    <s v="Mexico"/>
    <s v="Aleph Mexico"/>
    <s v="Promoted Tweet/Account"/>
    <s v="Auction"/>
    <s v="Auction"/>
    <x v="1"/>
    <s v="ARS"/>
    <n v="798524.61"/>
    <n v="798524.61"/>
    <n v="1"/>
    <n v="1"/>
    <n v="1"/>
    <n v="0.78"/>
    <n v="0.78"/>
    <n v="0"/>
    <m/>
    <n v="798524.61"/>
    <n v="798524.61"/>
    <n v="798524.61"/>
    <n v="622849.19579999999"/>
    <n v="482688.2"/>
    <m/>
    <n v="798524.61"/>
    <n v="571.5995776664281"/>
    <n v="445.84767057981389"/>
    <n v="175675.4142"/>
    <n v="175675.4142"/>
    <n v="125.75190708661417"/>
    <n v="22"/>
    <x v="47"/>
    <s v="SO Exported to ERP"/>
    <m/>
    <s v="POIME-000032158"/>
    <s v="PO Exported to ERP"/>
    <m/>
    <m/>
    <m/>
    <x v="1"/>
    <x v="47"/>
    <s v="Encender S.A."/>
    <x v="25"/>
    <s v="Tomas Poletto"/>
    <s v="Tomas Poletto"/>
    <s v="Tomas Poletto"/>
    <s v="Twitter Rep | Promoted Tweet/Account | Argentina | ARS"/>
    <s v="Twitter Rep LATAM + WE"/>
    <s v="Aleph Argentina"/>
    <d v="2026-01-20T00:00:00"/>
    <d v="2026-12-31T00:00:00"/>
    <s v="75D"/>
    <m/>
    <n v="1"/>
    <s v="https://alephholding.lightning.force.com/lightning/r/OrderItem/802Um00000DFbkYIAT/view"/>
    <s v="AR00400821_TWR_001_002"/>
    <n v="0"/>
    <n v="0"/>
    <n v="0"/>
    <n v="0"/>
    <n v="971098.26589595375"/>
    <n v="971098.26589599997"/>
    <n v="757456.64739900001"/>
    <n v="622849.19579999999"/>
    <n v="1"/>
    <n v="7.158196134574087E-4"/>
    <n v="7.158196134574087E-4"/>
    <b v="0"/>
    <b v="0"/>
    <s v="Traditional (Local Team)"/>
    <s v="Argentina"/>
    <s v="interna"/>
    <n v="571.5995776664281"/>
    <n v="445.84767057981389"/>
    <s v="Argentina"/>
    <s v="Encender S.A."/>
    <s v="1FORD6AITC"/>
    <s v="33707344089"/>
    <n v="33707344089"/>
    <s v="Brand Objectives"/>
    <d v="2026-03-06T17:29:00"/>
    <d v="2026-03-04T20:58:00"/>
    <b v="1"/>
    <b v="1"/>
    <d v="2026-02-01T00:00:00"/>
    <s v="Classic IO"/>
    <m/>
    <m/>
    <m/>
    <m/>
    <m/>
    <m/>
    <m/>
    <m/>
    <s v="Mexico"/>
    <s v="ARS"/>
    <n v="798524.61"/>
    <s v="OK"/>
    <s v="OK"/>
    <n v="0"/>
    <s v="T3231673"/>
    <s v="ARS"/>
    <n v="798524.61"/>
    <s v="OK"/>
    <n v="0"/>
    <m/>
    <m/>
    <s v="Miss"/>
    <m/>
    <s v="ARS"/>
    <n v="482688.16"/>
    <s v="OK"/>
    <n v="140161.03580000001"/>
    <m/>
    <s v="OK"/>
    <s v="SO READY TO EXPORT"/>
    <s v="PO READY TO EXPORT"/>
    <n v="571.5995776664281"/>
  </r>
  <r>
    <s v="IMS"/>
    <s v="T3233788"/>
    <s v="2026-02"/>
    <s v="February/2026"/>
    <d v="2026-02-28T00:00:00"/>
    <x v="48"/>
    <s v="802Um00000DJwQcIAL"/>
    <s v="AR00401391"/>
    <s v="006Um00000csaTdIAI"/>
    <s v="0004903111"/>
    <x v="0"/>
    <s v="Activated"/>
    <s v="Confirmed"/>
    <s v="WEDOIT S.R.L."/>
    <x v="26"/>
    <s v="Twitter"/>
    <s v="Twitter Rep"/>
    <s v="LATAM"/>
    <s v="Argentina"/>
    <s v="Argentina"/>
    <x v="1"/>
    <s v="Mexico"/>
    <s v="Aleph Mexico"/>
    <s v="Promoted Tweet/Account"/>
    <s v="Auction"/>
    <s v="Auction"/>
    <x v="1"/>
    <s v="ARS"/>
    <n v="2028302.04"/>
    <n v="2028302.04"/>
    <n v="1"/>
    <n v="1"/>
    <n v="1"/>
    <n v="0.78"/>
    <n v="0.78"/>
    <n v="0"/>
    <m/>
    <n v="2028302.04"/>
    <n v="2028302.04"/>
    <n v="2028302.04"/>
    <n v="1582075.5911999999"/>
    <n v="1226057.96"/>
    <m/>
    <n v="2028302.04"/>
    <n v="1451.8983822476737"/>
    <n v="1132.4807381531853"/>
    <n v="446226.44880000001"/>
    <n v="446226.44880000001"/>
    <n v="319.4176440944882"/>
    <n v="22"/>
    <x v="48"/>
    <s v="SO Exported to ERP"/>
    <m/>
    <s v="POIME-000032152"/>
    <s v="PO Exported to ERP"/>
    <m/>
    <m/>
    <m/>
    <x v="1"/>
    <x v="48"/>
    <s v="WEDOIT S.R.L."/>
    <x v="26"/>
    <s v="Tomas Poletto"/>
    <s v="Tomas Poletto"/>
    <s v="Tomas Poletto"/>
    <s v="Twitter Rep | Promoted Tweet/Account | Argentina | ARS"/>
    <s v="Twitter Rep LATAM + WE"/>
    <s v="Aleph Argentina"/>
    <d v="2026-01-19T00:00:00"/>
    <d v="2026-03-31T00:00:00"/>
    <s v="30D"/>
    <m/>
    <n v="1"/>
    <s v="https://alephholding.lightning.force.com/lightning/r/OrderItem/802Um00000DJwQcIAL/view"/>
    <s v="AR00401391_TWR_001_002"/>
    <n v="0"/>
    <n v="0"/>
    <n v="0"/>
    <n v="0"/>
    <n v="2333333.3333333335"/>
    <n v="2333333.3333330001"/>
    <n v="1820000"/>
    <n v="1582075.5911999999"/>
    <n v="1"/>
    <n v="7.158196134574087E-4"/>
    <n v="7.158196134574087E-4"/>
    <b v="0"/>
    <b v="0"/>
    <s v="Traditional (Local Team)"/>
    <s v="Argentina"/>
    <s v="202603-0008 ver 001, 202602-0021 ver 001, 202601-0063 ver 001"/>
    <n v="1451.8983822476737"/>
    <n v="1132.4807381531855"/>
    <s v="Argentina"/>
    <s v="WEDOIT S.R.L. ARGENTINA"/>
    <s v="UBOT77LTOA"/>
    <s v="30711620857"/>
    <n v="30711620857"/>
    <s v="Brand Objectives"/>
    <d v="2026-03-06T17:29:00"/>
    <d v="2026-03-04T20:59:00"/>
    <b v="1"/>
    <b v="1"/>
    <d v="2026-02-01T00:00:00"/>
    <s v="Classic IO"/>
    <m/>
    <m/>
    <m/>
    <m/>
    <m/>
    <m/>
    <m/>
    <m/>
    <s v="Mexico"/>
    <s v="ARS"/>
    <n v="2028302.04"/>
    <s v="OK"/>
    <s v="OK"/>
    <n v="0"/>
    <s v="T3233788"/>
    <s v="ARS"/>
    <n v="2028302.04"/>
    <s v="OK"/>
    <n v="0"/>
    <m/>
    <m/>
    <s v="Miss"/>
    <m/>
    <s v="ARS"/>
    <n v="1226057.8799999999"/>
    <s v="OK"/>
    <n v="356017.71120000002"/>
    <m/>
    <s v="OK"/>
    <s v="SO READY TO EXPORT"/>
    <s v="PO READY TO EXPORT"/>
    <n v="1451.8983822476737"/>
  </r>
  <r>
    <s v="IMS"/>
    <s v="T3235652"/>
    <s v="2026-02"/>
    <s v="February/2026"/>
    <d v="2026-02-28T00:00:00"/>
    <x v="49"/>
    <s v="802Um00000DsAFpIAN"/>
    <s v="AR00401632"/>
    <s v="006Um00000cwQNdIAM"/>
    <s v="0004949918"/>
    <x v="0"/>
    <s v="Activated"/>
    <s v="Confirmed"/>
    <s v="YPF S.A."/>
    <x v="19"/>
    <s v="Twitter"/>
    <s v="Twitter Rep"/>
    <s v="LATAM"/>
    <s v="Argentina"/>
    <s v="Argentina"/>
    <x v="1"/>
    <s v="Mexico"/>
    <s v="Aleph Mexico"/>
    <s v="Promoted Tweet/Account"/>
    <s v="Auction"/>
    <s v="Auction"/>
    <x v="1"/>
    <s v="ARS"/>
    <n v="1419697.03"/>
    <n v="235002"/>
    <n v="1"/>
    <n v="1"/>
    <n v="1"/>
    <n v="0.78"/>
    <n v="0.78"/>
    <n v="0"/>
    <m/>
    <n v="1419697.03"/>
    <n v="1419697.03"/>
    <n v="1419697.03"/>
    <n v="183301.56"/>
    <n v="142052.84"/>
    <m/>
    <n v="1419697.03"/>
    <n v="1016.2469792412312"/>
    <n v="131.21085182534"/>
    <n v="1236395.47"/>
    <n v="1236395.47"/>
    <n v="885.0361274158912"/>
    <n v="87.09"/>
    <x v="49"/>
    <s v="SO Exported to ERP"/>
    <m/>
    <s v="POIME-000032159"/>
    <s v="PO Exported to ERP"/>
    <m/>
    <m/>
    <m/>
    <x v="1"/>
    <x v="49"/>
    <s v="YPF S.A."/>
    <x v="19"/>
    <s v="Miguel Jose Torrealba Alfonzo"/>
    <s v="Macarena Ramos Taky"/>
    <s v="Macarena Ramos Taky"/>
    <s v="Twitter Rep | Promoted Tweet/Account | Argentina | ARS"/>
    <s v="Twitter Rep LATAM + WE"/>
    <s v="Aleph Argentina"/>
    <d v="2026-01-01T00:00:00"/>
    <d v="2026-03-05T00:00:00"/>
    <s v="30D"/>
    <m/>
    <n v="1"/>
    <s v="https://alephholding.lightning.force.com/lightning/r/OrderItem/802Um00000DsAFpIAN/view"/>
    <s v="AR00401632_TWR_001_002"/>
    <n v="0"/>
    <n v="0"/>
    <n v="0"/>
    <n v="0"/>
    <n v="1520001.6"/>
    <n v="1520001.6"/>
    <n v="0.78"/>
    <n v="183301.56"/>
    <n v="1"/>
    <n v="7.158196134574087E-4"/>
    <n v="7.158196134574087E-4"/>
    <b v="0"/>
    <b v="0"/>
    <s v="Traditional (Local Team)"/>
    <s v="Argentina"/>
    <s v="00504532 / 0"/>
    <n v="1016.2469792412312"/>
    <n v="131.21085182534"/>
    <s v="Argentina"/>
    <s v="Carat Argentina SA"/>
    <s v="JNS8FCESJ5"/>
    <s v="30546689979"/>
    <n v="30546689979"/>
    <s v="Brand Objectives"/>
    <d v="2026-03-06T17:29:00"/>
    <d v="2026-03-04T20:59:00"/>
    <b v="1"/>
    <b v="1"/>
    <d v="2026-02-01T00:00:00"/>
    <s v="Classic IO"/>
    <m/>
    <m/>
    <m/>
    <m/>
    <m/>
    <m/>
    <m/>
    <m/>
    <m/>
    <m/>
    <m/>
    <m/>
    <m/>
    <m/>
    <m/>
    <m/>
    <m/>
    <m/>
    <m/>
    <m/>
    <m/>
    <m/>
    <m/>
    <m/>
    <m/>
    <m/>
    <m/>
    <m/>
    <s v="OK"/>
    <s v="SO READY TO EXPORT"/>
    <s v="PO READY TO EXPORT"/>
    <n v="1016.2469792412312"/>
  </r>
  <r>
    <s v="IMS"/>
    <s v="T3235652"/>
    <s v="2026-02"/>
    <s v="February/2026"/>
    <d v="2026-02-28T00:00:00"/>
    <x v="49"/>
    <s v="802Um00000Enav7IAB"/>
    <s v="AR00401632"/>
    <s v="006Um00000cwQNdIAM"/>
    <s v="0004998642"/>
    <x v="1"/>
    <s v="Activated"/>
    <s v="Confirmed"/>
    <s v="YPF S.A."/>
    <x v="19"/>
    <s v="Twitter"/>
    <s v="Twitter Rep"/>
    <s v="LATAM"/>
    <s v="Argentina"/>
    <s v="Argentina"/>
    <x v="1"/>
    <s v="Mexico"/>
    <s v="Aleph Mexico"/>
    <s v="Promoted Tweet/Account"/>
    <s v="Auction"/>
    <s v="Auction"/>
    <x v="1"/>
    <s v="ARS"/>
    <n v="0"/>
    <n v="1184695.03"/>
    <n v="1"/>
    <n v="1"/>
    <n v="1"/>
    <n v="0.78"/>
    <n v="0.78"/>
    <n v="0"/>
    <m/>
    <n v="0"/>
    <n v="0"/>
    <n v="0"/>
    <n v="924062.12340000004"/>
    <n v="716118.58"/>
    <m/>
    <n v="0"/>
    <n v="0"/>
    <n v="661.46179198282039"/>
    <n v="-924062.12340000004"/>
    <n v="-924062.12340000004"/>
    <n v="-661.46179198282039"/>
    <n v="0"/>
    <x v="50"/>
    <s v="SO Confirmed"/>
    <m/>
    <s v="POIME-000032159"/>
    <s v="PO Exported to ERP"/>
    <m/>
    <m/>
    <m/>
    <x v="1"/>
    <x v="49"/>
    <s v="YPF S.A."/>
    <x v="19"/>
    <s v="Miguel Jose Torrealba Alfonzo"/>
    <s v="Macarena Ramos Taky"/>
    <s v="Macarena Ramos Taky"/>
    <s v="Twitter Rep | Promoted Tweet/Account | Argentina | ARS"/>
    <s v="Twitter Rep LATAM + WE"/>
    <s v="Aleph Argentina"/>
    <d v="2026-01-01T00:00:00"/>
    <d v="2026-03-05T00:00:00"/>
    <s v="30D"/>
    <m/>
    <n v="1"/>
    <s v="https://alephholding.lightning.force.com/lightning/r/OrderItem/802Um00000Enav7IAB/view"/>
    <s v="AR00401632_TWR_001_004"/>
    <n v="0"/>
    <n v="0"/>
    <n v="0"/>
    <n v="0"/>
    <n v="0"/>
    <n v="0"/>
    <n v="0"/>
    <n v="924062.12340000004"/>
    <n v="1"/>
    <n v="7.158196134574087E-4"/>
    <n v="7.158196134574087E-4"/>
    <b v="1"/>
    <b v="1"/>
    <s v="Traditional (Local Team)"/>
    <s v="Argentina"/>
    <s v="00504532 / 0"/>
    <n v="0"/>
    <n v="661.46179198282027"/>
    <s v="Argentina"/>
    <s v="Carat Argentina SA"/>
    <s v="JNS8FCESJ5"/>
    <s v="30546689979"/>
    <n v="30546689979"/>
    <s v="Brand Objectives"/>
    <d v="2026-03-06T17:29:00"/>
    <d v="2026-03-05T21:02:00"/>
    <b v="1"/>
    <b v="1"/>
    <d v="2026-02-01T00:00:00"/>
    <s v="Classic IO"/>
    <m/>
    <m/>
    <m/>
    <m/>
    <m/>
    <m/>
    <m/>
    <m/>
    <s v="Mexico"/>
    <s v="ARS"/>
    <n v="1419697.04"/>
    <s v="OK"/>
    <s v="OK"/>
    <n v="-1.0000000009313226E-2"/>
    <s v="T3235652"/>
    <s v="ARS"/>
    <n v="1419697.03"/>
    <s v="OK"/>
    <n v="0"/>
    <m/>
    <m/>
    <s v="Miss"/>
    <m/>
    <s v="ARS"/>
    <n v="858171.37"/>
    <s v="OK"/>
    <n v="249192.31339999998"/>
    <m/>
    <s v="OK"/>
    <s v="SO CONFIRMED"/>
    <s v="PO READY TO EXPORT"/>
    <n v="0"/>
  </r>
  <r>
    <s v="IMS"/>
    <s v="T3235657"/>
    <s v="2026-02"/>
    <s v="February/2026"/>
    <d v="2026-02-28T00:00:00"/>
    <x v="50"/>
    <s v="802Um00000DXgU1IAL"/>
    <s v="AR00402568"/>
    <s v="006Um00000d8szGIAQ"/>
    <s v="0004913175"/>
    <x v="0"/>
    <s v="Activated"/>
    <s v="Confirmed"/>
    <s v="BI MEDIA S.R.L."/>
    <x v="11"/>
    <s v="Twitter"/>
    <s v="Twitter Rep"/>
    <s v="LATAM"/>
    <s v="Argentina"/>
    <s v="Argentina"/>
    <x v="1"/>
    <s v="Mexico"/>
    <s v="Aleph Mexico"/>
    <s v="Promoted Tweet/Account"/>
    <s v="Auction"/>
    <s v="Auction"/>
    <x v="1"/>
    <s v="ARS"/>
    <n v="3110400"/>
    <n v="3110400"/>
    <n v="1"/>
    <n v="1"/>
    <n v="1"/>
    <n v="0.78"/>
    <n v="0.78"/>
    <n v="0"/>
    <m/>
    <n v="3110400"/>
    <n v="3110400"/>
    <n v="3110400"/>
    <n v="2426112"/>
    <n v="1880159.16"/>
    <m/>
    <n v="3110400"/>
    <n v="2226.4853256979241"/>
    <n v="1736.6585540443807"/>
    <n v="684288"/>
    <n v="684288"/>
    <n v="489.82677165354329"/>
    <n v="22"/>
    <x v="51"/>
    <s v="SO Exported to ERP"/>
    <m/>
    <s v="POIME-000032579"/>
    <s v="PO Exported to ERP"/>
    <m/>
    <m/>
    <m/>
    <x v="1"/>
    <x v="50"/>
    <s v="BI MEDIA S.R.L."/>
    <x v="11"/>
    <s v="Miguel Jose Torrealba Alfonzo"/>
    <s v="Macarena Ramos Taky"/>
    <s v="Macarena Ramos Taky"/>
    <s v="Twitter Rep | Promoted Tweet/Account | Argentina | ARS"/>
    <s v="Twitter Rep LATAM + WE"/>
    <s v="Aleph Argentina"/>
    <d v="2026-02-09T00:00:00"/>
    <d v="2026-02-09T00:00:00"/>
    <s v="45D"/>
    <m/>
    <n v="1"/>
    <s v="https://alephholding.lightning.force.com/lightning/r/OrderItem/802Um00000DXgU1IAL/view"/>
    <s v="AR00402568_TWR_001_001"/>
    <n v="0"/>
    <n v="0"/>
    <n v="0"/>
    <n v="0"/>
    <n v="3110400"/>
    <n v="3110400"/>
    <n v="2426112"/>
    <n v="2426112"/>
    <n v="1"/>
    <n v="7.158196134574087E-4"/>
    <n v="7.158196134574087E-4"/>
    <b v="0"/>
    <b v="0"/>
    <s v="Traditional (Local Team)"/>
    <s v="Argentina"/>
    <s v="IMS Interna"/>
    <n v="2226.4853256979241"/>
    <n v="1736.6585540443807"/>
    <s v="Argentina"/>
    <s v="BI MEDIA ARGENTINA"/>
    <s v="XI4AP1YG9A"/>
    <s v="XI4AP1YG9A"/>
    <n v="30714243949"/>
    <s v="Brand Objectives"/>
    <d v="2026-03-06T17:29:00"/>
    <d v="2026-03-04T20:59:00"/>
    <b v="1"/>
    <b v="1"/>
    <d v="2026-02-01T00:00:00"/>
    <s v="Classic IO"/>
    <m/>
    <m/>
    <m/>
    <m/>
    <m/>
    <m/>
    <m/>
    <m/>
    <s v="Mexico"/>
    <s v="ARS"/>
    <n v="3110400"/>
    <s v="OK"/>
    <s v="OK"/>
    <n v="0"/>
    <s v="T3235657"/>
    <s v="ARS"/>
    <n v="3110400"/>
    <s v="OK"/>
    <n v="0"/>
    <m/>
    <m/>
    <s v="Miss"/>
    <m/>
    <s v="ARS"/>
    <n v="1880159.04"/>
    <s v="OK"/>
    <n v="545952.96"/>
    <m/>
    <s v="OK"/>
    <s v="SO READY TO EXPORT"/>
    <s v="PO READY TO EXPORT"/>
    <n v="2226.4853256979241"/>
  </r>
  <r>
    <s v="IMS"/>
    <s v="T3237872"/>
    <s v="2026-02"/>
    <s v="February/2026"/>
    <d v="2026-02-28T00:00:00"/>
    <x v="51"/>
    <s v="802Um00000DXR3aIAH"/>
    <s v="AR00402659"/>
    <s v="006Um00000dA4S5IAK"/>
    <s v="0004912884"/>
    <x v="0"/>
    <s v="Activated"/>
    <s v="Confirmed"/>
    <s v="WILD FI ARGENTINA S.A."/>
    <x v="27"/>
    <s v="Twitter"/>
    <s v="Twitter Rep"/>
    <s v="LATAM"/>
    <s v="Argentina"/>
    <s v="Argentina"/>
    <x v="1"/>
    <s v="Mexico"/>
    <s v="Aleph Mexico"/>
    <s v="Promoted Tweet/Account"/>
    <s v="Auction"/>
    <s v="Auction"/>
    <x v="1"/>
    <s v="USD"/>
    <n v="8.35"/>
    <n v="8.35"/>
    <n v="1550"/>
    <n v="1"/>
    <n v="1"/>
    <n v="0.85"/>
    <n v="0.85"/>
    <n v="0"/>
    <m/>
    <n v="8.35"/>
    <n v="8.35"/>
    <n v="12942.5"/>
    <n v="7.0975000000000001"/>
    <n v="5.5"/>
    <n v="1550"/>
    <n v="8.35"/>
    <n v="8.35"/>
    <n v="7.0975000000000001"/>
    <n v="3027.2925"/>
    <n v="1.2524999999999999"/>
    <n v="1.2524999999999999"/>
    <n v="15"/>
    <x v="52"/>
    <s v="SO Exported to ERP"/>
    <m/>
    <s v="POIME-000032580"/>
    <s v="PO Exported to ERP"/>
    <m/>
    <m/>
    <m/>
    <x v="2"/>
    <x v="51"/>
    <s v="WILD FI ARGENTINA S.A."/>
    <x v="27"/>
    <s v="Miguel Jose Torrealba Alfonzo"/>
    <s v="Miguel Jose Torrealba Alfonzo"/>
    <s v="Miguel Jose Torrealba Alfonzo"/>
    <s v="Promoted Tweet/Account | Twitter Rep | USD - U.S. Dollar"/>
    <m/>
    <s v="Aleph Argentina"/>
    <d v="2026-01-27T00:00:00"/>
    <d v="2026-06-30T00:00:00"/>
    <s v="30D"/>
    <m/>
    <n v="1"/>
    <s v="https://alephholding.lightning.force.com/lightning/r/OrderItem/802Um00000DXR3aIAH/view"/>
    <s v="AR00402659_TWR_001_002"/>
    <n v="0"/>
    <n v="0"/>
    <n v="0"/>
    <n v="0"/>
    <n v="9032.2580645161288"/>
    <n v="9032.258065"/>
    <n v="7677.419355"/>
    <n v="9915.2075000000004"/>
    <n v="1550"/>
    <n v="1"/>
    <n v="1"/>
    <b v="0"/>
    <b v="0"/>
    <s v="Traditional (Local Team)"/>
    <s v="Argentina"/>
    <s v="2026 / 2"/>
    <n v="8.35"/>
    <n v="7.0975000000000001"/>
    <s v="Argentina"/>
    <s v="WILD FI ARGENTINA ARGENTINA"/>
    <s v="IG1WEIY2LL"/>
    <s v="30715907948"/>
    <n v="30715907948"/>
    <s v="Brand Objectives"/>
    <d v="2026-03-06T17:29:00"/>
    <d v="2026-03-04T20:59:00"/>
    <b v="1"/>
    <b v="1"/>
    <d v="2026-02-01T00:00:00"/>
    <s v="Classic IO"/>
    <m/>
    <m/>
    <m/>
    <m/>
    <m/>
    <m/>
    <m/>
    <m/>
    <s v="Mexico"/>
    <s v="USD"/>
    <n v="8.35"/>
    <s v="OK"/>
    <s v="OK"/>
    <n v="0"/>
    <s v="T3237872"/>
    <s v="USD"/>
    <n v="8.35"/>
    <s v="OK"/>
    <n v="0"/>
    <m/>
    <m/>
    <s v="Miss"/>
    <m/>
    <s v="USD"/>
    <n v="7.1"/>
    <s v="OK"/>
    <n v="-2.4999999999995026E-3"/>
    <m/>
    <s v="OK. Diff. Bill. / Adv. Country"/>
    <s v="SO READY TO EXPORT"/>
    <s v="PO READY TO EXPORT"/>
    <n v="9.2644953471725131"/>
  </r>
  <r>
    <s v="IMS"/>
    <s v="T3237874"/>
    <s v="2026-02"/>
    <s v="February/2026"/>
    <d v="2026-02-28T00:00:00"/>
    <x v="52"/>
    <s v="802Um00000DVuGAIA1"/>
    <s v="AR00402658"/>
    <s v="006Um00000dA3J7IAK"/>
    <s v="0004911085"/>
    <x v="0"/>
    <s v="Activated"/>
    <s v="Confirmed"/>
    <s v="WILD FI ARGENTINA S.A."/>
    <x v="27"/>
    <s v="Twitter"/>
    <s v="Twitter Rep"/>
    <s v="LATAM"/>
    <s v="Argentina"/>
    <s v="Argentina"/>
    <x v="1"/>
    <s v="Mexico"/>
    <s v="Aleph Mexico"/>
    <s v="Promoted Tweet/Account"/>
    <s v="Auction"/>
    <s v="Auction"/>
    <x v="1"/>
    <s v="USD"/>
    <n v="1722"/>
    <n v="1722"/>
    <n v="1550"/>
    <n v="1"/>
    <n v="1"/>
    <n v="0.85"/>
    <n v="0.85"/>
    <n v="0"/>
    <m/>
    <n v="1722"/>
    <n v="1722"/>
    <n v="2669100"/>
    <n v="1463.7"/>
    <n v="1134.32"/>
    <n v="1550"/>
    <n v="1722"/>
    <n v="1722"/>
    <n v="1463.7"/>
    <n v="624311.1"/>
    <n v="258.3"/>
    <n v="258.3"/>
    <n v="15"/>
    <x v="53"/>
    <s v="SO Exported to ERP"/>
    <m/>
    <s v="POIME-000032151"/>
    <s v="PO Exported to ERP"/>
    <m/>
    <m/>
    <m/>
    <x v="2"/>
    <x v="52"/>
    <s v="WILD FI ARGENTINA S.A."/>
    <x v="27"/>
    <s v="Miguel Jose Torrealba Alfonzo"/>
    <s v="Miguel Jose Torrealba Alfonzo"/>
    <s v="Miguel Jose Torrealba Alfonzo"/>
    <s v="Promoted Tweet/Account | Twitter Rep | USD - U.S. Dollar"/>
    <m/>
    <s v="Aleph Argentina"/>
    <d v="2026-01-27T00:00:00"/>
    <d v="2026-06-30T00:00:00"/>
    <s v="30D"/>
    <m/>
    <n v="1"/>
    <s v="https://alephholding.lightning.force.com/lightning/r/OrderItem/802Um00000DVuGAIA1/view"/>
    <s v="AR00402658_TWR_001_002"/>
    <n v="0"/>
    <n v="0"/>
    <n v="0"/>
    <n v="0"/>
    <n v="9032.2580645161288"/>
    <n v="9032.258065"/>
    <n v="7677.419355"/>
    <n v="2044788.9"/>
    <n v="1550"/>
    <n v="1"/>
    <n v="1"/>
    <b v="0"/>
    <b v="0"/>
    <s v="Traditional (Local Team)"/>
    <s v="Argentina"/>
    <s v="2026 / 1"/>
    <n v="1722"/>
    <n v="1463.7"/>
    <s v="Argentina"/>
    <s v="WILD FI ARGENTINA ARGENTINA"/>
    <s v="IG1WEIY2LL"/>
    <s v="30715907948"/>
    <n v="30715907948"/>
    <s v="Brand Objectives"/>
    <d v="2026-03-06T17:29:00"/>
    <d v="2026-03-04T20:59:00"/>
    <b v="1"/>
    <b v="1"/>
    <d v="2026-02-01T00:00:00"/>
    <s v="Classic IO"/>
    <m/>
    <m/>
    <m/>
    <m/>
    <m/>
    <m/>
    <m/>
    <m/>
    <s v="Mexico"/>
    <s v="USD"/>
    <n v="1722"/>
    <s v="OK"/>
    <s v="OK"/>
    <n v="0"/>
    <s v="T3237874"/>
    <s v="USD"/>
    <n v="1722"/>
    <s v="OK"/>
    <n v="0"/>
    <m/>
    <m/>
    <s v="Miss"/>
    <m/>
    <s v="USD"/>
    <n v="1463.7"/>
    <s v="OK"/>
    <n v="0"/>
    <m/>
    <s v="OK. Diff. Bill. / Adv. Country"/>
    <s v="SO READY TO EXPORT"/>
    <s v="PO READY TO EXPORT"/>
    <n v="1910.5941302791696"/>
  </r>
  <r>
    <s v="IMS"/>
    <s v="T3237879"/>
    <s v="2026-02"/>
    <s v="February/2026"/>
    <d v="2026-02-28T00:00:00"/>
    <x v="53"/>
    <s v="802Um00000DVdATIA1"/>
    <s v="AR00402663"/>
    <s v="006Um00000dA7HtIAK"/>
    <s v="0004910996"/>
    <x v="0"/>
    <s v="Activated"/>
    <s v="Confirmed"/>
    <s v="Havas Media Argentina S.A."/>
    <x v="28"/>
    <s v="Twitter"/>
    <s v="Twitter Rep"/>
    <s v="LATAM"/>
    <s v="Argentina"/>
    <s v="Argentina"/>
    <x v="1"/>
    <s v="Mexico"/>
    <s v="Aleph Mexico"/>
    <s v="Promoted Tweet/Account"/>
    <s v="Auction"/>
    <s v="Auction"/>
    <x v="1"/>
    <s v="ARS"/>
    <n v="5000000"/>
    <n v="5000000"/>
    <n v="1"/>
    <n v="1"/>
    <n v="1"/>
    <n v="0.78"/>
    <n v="0.78"/>
    <n v="0"/>
    <m/>
    <n v="5000000"/>
    <n v="5000000"/>
    <n v="5000000"/>
    <n v="3900000"/>
    <n v="3022375.2"/>
    <m/>
    <n v="5000000"/>
    <n v="3579.0980672870437"/>
    <n v="2791.696492483894"/>
    <n v="1100000"/>
    <n v="1100000"/>
    <n v="787.40157480314963"/>
    <n v="22"/>
    <x v="54"/>
    <s v="SO Exported to ERP"/>
    <m/>
    <s v="POIME-000032581"/>
    <s v="PO Exported to ERP"/>
    <m/>
    <m/>
    <m/>
    <x v="1"/>
    <x v="53"/>
    <s v="Havas Media Argentina S.A."/>
    <x v="28"/>
    <s v="Miguel Jose Torrealba Alfonzo"/>
    <s v="Miguel Jose Torrealba Alfonzo"/>
    <s v="Miguel Jose Torrealba Alfonzo"/>
    <s v="Twitter Rep | Promoted Tweet/Account | Argentina | ARS"/>
    <s v="Twitter Rep LATAM + WE"/>
    <s v="Aleph Argentina"/>
    <d v="2026-02-01T00:00:00"/>
    <d v="2026-02-28T00:00:00"/>
    <s v="75D"/>
    <m/>
    <n v="1"/>
    <s v="https://alephholding.lightning.force.com/lightning/r/OrderItem/802Um00000DVdATIA1/view"/>
    <s v="AR00402663_TWR_001_001"/>
    <n v="0"/>
    <n v="0"/>
    <n v="0"/>
    <n v="0"/>
    <n v="5000000"/>
    <n v="5000000"/>
    <n v="3900000"/>
    <n v="3900000"/>
    <n v="1"/>
    <n v="7.158196134574087E-4"/>
    <n v="7.158196134574087E-4"/>
    <b v="0"/>
    <b v="0"/>
    <s v="Traditional (Local Team)"/>
    <s v="Argentina"/>
    <s v="760699 / 0"/>
    <n v="3579.0980672870437"/>
    <n v="2791.696492483894"/>
    <s v="Argentina"/>
    <s v="Havas Media Argentina Argentina"/>
    <s v="TGTSE08ECM"/>
    <s v="33695614549"/>
    <n v="33695614549"/>
    <s v="Brand Objectives"/>
    <d v="2026-03-06T17:29:00"/>
    <d v="2026-03-04T20:59:00"/>
    <b v="1"/>
    <b v="1"/>
    <d v="2026-02-01T00:00:00"/>
    <s v="Classic IO"/>
    <m/>
    <m/>
    <m/>
    <m/>
    <m/>
    <m/>
    <m/>
    <s v="Do the Upsell OR Create New Opp"/>
    <s v="Mexico"/>
    <s v="ARS"/>
    <n v="5004389.9800000004"/>
    <s v="OK"/>
    <s v="OK"/>
    <n v="-4389.980000000447"/>
    <s v="T3237879"/>
    <s v="ARS"/>
    <n v="5000000"/>
    <s v="OK"/>
    <n v="0"/>
    <m/>
    <m/>
    <s v="Miss"/>
    <m/>
    <s v="ARS"/>
    <n v="3022375"/>
    <s v="OK"/>
    <n v="877625"/>
    <m/>
    <s v="OK"/>
    <s v="SO READY TO EXPORT"/>
    <s v="PO READY TO EXPORT"/>
    <n v="3579.0980672870437"/>
  </r>
  <r>
    <s v="IMS"/>
    <s v="T3238173"/>
    <s v="2026-02"/>
    <s v="February/2026"/>
    <d v="2026-02-28T00:00:00"/>
    <x v="54"/>
    <s v="802Um00000DhqezIAB"/>
    <s v="AR00403015"/>
    <s v="006Um00000dEPT8IAO"/>
    <s v="0004929644"/>
    <x v="0"/>
    <s v="Activated"/>
    <s v="Confirmed"/>
    <s v="Telecom Argentina SA"/>
    <x v="18"/>
    <s v="Twitter"/>
    <s v="Twitter Rep"/>
    <s v="LATAM"/>
    <s v="Argentina"/>
    <s v="Argentina"/>
    <x v="1"/>
    <s v="Mexico"/>
    <s v="Aleph Mexico"/>
    <s v="Promoted Tweet/Account"/>
    <s v="Auction"/>
    <s v="Auction"/>
    <x v="1"/>
    <s v="ARS"/>
    <n v="4884766"/>
    <n v="4884766"/>
    <n v="1"/>
    <n v="1"/>
    <n v="1"/>
    <n v="0.78"/>
    <n v="0.78"/>
    <n v="0"/>
    <m/>
    <n v="4884766"/>
    <n v="4884766"/>
    <n v="4884766"/>
    <n v="3810117.48"/>
    <n v="2952719.12"/>
    <m/>
    <n v="4884766"/>
    <n v="3496.6113099498925"/>
    <n v="2727.3568217609163"/>
    <n v="1074648.52"/>
    <n v="1074648.52"/>
    <n v="769.25448818897644"/>
    <n v="22"/>
    <x v="55"/>
    <s v="SO Exported to ERP"/>
    <m/>
    <s v="POIME-000032596"/>
    <s v="PO Exported to ERP"/>
    <m/>
    <m/>
    <m/>
    <x v="1"/>
    <x v="54"/>
    <s v="Telecom Argentina SA"/>
    <x v="18"/>
    <s v="Nicolás Ferreiro"/>
    <s v="Talia Anael Alzieu"/>
    <s v="Talia Anael Alzieu"/>
    <s v="Twitter Rep | Promoted Tweet/Account | Argentina | ARS"/>
    <s v="Twitter Rep LATAM + WE"/>
    <s v="Aleph Argentina"/>
    <d v="2026-02-27T00:00:00"/>
    <d v="2026-02-27T00:00:00"/>
    <s v="90D"/>
    <m/>
    <n v="1"/>
    <s v="https://alephholding.lightning.force.com/lightning/r/OrderItem/802Um00000DhqezIAB/view"/>
    <s v="AR00403015_TWR_001_001"/>
    <n v="0"/>
    <n v="0"/>
    <n v="0"/>
    <n v="0"/>
    <n v="4884766"/>
    <n v="4884766"/>
    <n v="3810117.48"/>
    <n v="3810117.48"/>
    <n v="1"/>
    <n v="7.158196134574087E-4"/>
    <n v="7.158196134574087E-4"/>
    <b v="0"/>
    <b v="0"/>
    <s v="Traditional (Local Team)"/>
    <s v="Argentina"/>
    <n v="2278147"/>
    <n v="3496.6113099498925"/>
    <n v="2727.3568217609163"/>
    <s v="Argentina"/>
    <s v="DIGITAL HIVE GROUP ARGENTINA"/>
    <s v="OBRG85JGS0"/>
    <s v="30639453738"/>
    <n v="30639453738"/>
    <s v="Brand Objectives"/>
    <d v="2026-03-06T17:29:00"/>
    <d v="2026-03-06T13:51:00"/>
    <b v="1"/>
    <b v="1"/>
    <d v="2026-02-01T00:00:00"/>
    <s v="Classic IO"/>
    <m/>
    <m/>
    <m/>
    <m/>
    <m/>
    <m/>
    <m/>
    <m/>
    <s v="Mexico"/>
    <s v="ARS"/>
    <n v="4884766"/>
    <s v="OK"/>
    <s v="OK"/>
    <n v="0"/>
    <s v="T3238173"/>
    <s v="ARS"/>
    <n v="4884766"/>
    <s v="OK"/>
    <n v="0"/>
    <m/>
    <m/>
    <s v="Miss"/>
    <m/>
    <s v="ARS"/>
    <n v="2952718.93"/>
    <s v="OK"/>
    <n v="857398.54999999981"/>
    <m/>
    <s v="OK"/>
    <s v="SO Exported to ERP"/>
    <s v="PO READY TO EXPORT"/>
    <n v="3496.6113099498925"/>
  </r>
  <r>
    <s v="IMS"/>
    <s v="T3238363"/>
    <s v="2026-02"/>
    <s v="February/2026"/>
    <d v="2026-02-28T00:00:00"/>
    <x v="55"/>
    <s v="802Um00000DdKAfIAN"/>
    <s v="AR00402266"/>
    <s v="006Um00000d4bXCIAY"/>
    <s v="0004916625"/>
    <x v="0"/>
    <s v="Activated"/>
    <s v="Confirmed"/>
    <s v="Delivery Hero E-commerce SA"/>
    <x v="16"/>
    <s v="Twitter"/>
    <s v="Twitter Rep"/>
    <s v="LATAM"/>
    <s v="Argentina"/>
    <s v="Argentina"/>
    <x v="1"/>
    <s v="Mexico"/>
    <s v="Aleph Mexico"/>
    <s v="Promoted Tweet/Account"/>
    <s v="Auction"/>
    <s v="Auction"/>
    <x v="1"/>
    <s v="ARS"/>
    <n v="12365642.550000001"/>
    <n v="12365642.550000001"/>
    <n v="1"/>
    <n v="1"/>
    <n v="1"/>
    <n v="0.78"/>
    <n v="0.78"/>
    <n v="0"/>
    <m/>
    <n v="12365642.550000001"/>
    <n v="12365642.550000001"/>
    <n v="12365642.550000001"/>
    <n v="9645201.1889999993"/>
    <n v="7474722.2800000003"/>
    <m/>
    <n v="12365642.550000001"/>
    <n v="8851.569470293487"/>
    <n v="6904.2241868289184"/>
    <n v="2720441.361"/>
    <n v="2720441.361"/>
    <n v="1947.345283464567"/>
    <n v="22"/>
    <x v="56"/>
    <s v="SO Exported to ERP"/>
    <m/>
    <s v="POIME-000032603"/>
    <s v="PO Exported to ERP"/>
    <m/>
    <m/>
    <m/>
    <x v="1"/>
    <x v="55"/>
    <s v="Delivery Hero E-commerce SA"/>
    <x v="16"/>
    <s v="Jorge Osuna"/>
    <s v="Jorge Osuna"/>
    <s v="Jorge Osuna"/>
    <s v="Twitter Rep | Promoted Tweet/Account | Argentina | ARS"/>
    <s v="Twitter Rep LATAM + WE"/>
    <s v="Aleph Argentina"/>
    <d v="2026-02-01T00:00:00"/>
    <d v="2026-02-28T00:00:00"/>
    <s v="30D"/>
    <m/>
    <n v="1"/>
    <s v="https://alephholding.lightning.force.com/lightning/r/OrderItem/802Um00000DdKAfIAN/view"/>
    <s v="AR00402266_TWR_001_001"/>
    <n v="0"/>
    <n v="0"/>
    <n v="0"/>
    <n v="0"/>
    <n v="12400000"/>
    <n v="12400000"/>
    <n v="9672000"/>
    <n v="9645201.1889999993"/>
    <n v="1"/>
    <n v="7.158196134574087E-4"/>
    <n v="7.158196134574087E-4"/>
    <b v="0"/>
    <b v="0"/>
    <s v="Traditional (Local Team)"/>
    <s v="Argentina"/>
    <n v="4400235981"/>
    <n v="8851.5694702934852"/>
    <n v="6904.2241868289193"/>
    <s v="Argentina"/>
    <m/>
    <s v="5FI5X0WWU7"/>
    <s v="30711985766"/>
    <n v="30711985766"/>
    <s v="Brand Objectives"/>
    <d v="2026-03-06T17:29:00"/>
    <d v="2026-03-04T20:58:00"/>
    <b v="1"/>
    <b v="1"/>
    <d v="2026-02-01T00:00:00"/>
    <s v="Classic IO"/>
    <m/>
    <m/>
    <m/>
    <m/>
    <m/>
    <m/>
    <m/>
    <m/>
    <s v="Mexico"/>
    <s v="ARS"/>
    <n v="12365642.550000001"/>
    <s v="OK"/>
    <s v="OK"/>
    <n v="0"/>
    <s v="T3238363"/>
    <s v="ARS"/>
    <n v="12365642.550000001"/>
    <s v="OK"/>
    <n v="0"/>
    <m/>
    <m/>
    <s v="Miss"/>
    <m/>
    <s v="ARS"/>
    <n v="7474721.7800000003"/>
    <s v="OK"/>
    <n v="2170479.4089999991"/>
    <m/>
    <s v="OK"/>
    <s v="SO READY TO EXPORT"/>
    <s v="PO READY TO EXPORT"/>
    <n v="8851.569470293487"/>
  </r>
  <r>
    <s v="IMS"/>
    <s v="T3238394"/>
    <s v="2026-02"/>
    <s v="February/2026"/>
    <d v="2026-02-28T00:00:00"/>
    <x v="56"/>
    <s v="802Um00000DayqzIAB"/>
    <s v="AR00403301"/>
    <s v="006Um00000dIKeXIAW"/>
    <s v="0004914808"/>
    <x v="0"/>
    <s v="Activated"/>
    <s v="Confirmed"/>
    <s v="Digital Soul SA"/>
    <x v="29"/>
    <s v="Twitter"/>
    <s v="Twitter Rep"/>
    <s v="LATAM"/>
    <s v="Argentina"/>
    <s v="Argentina"/>
    <x v="1"/>
    <s v="Mexico"/>
    <s v="Aleph Mexico"/>
    <s v="Promoted Tweet/Account"/>
    <s v="Auction"/>
    <s v="Auction"/>
    <x v="1"/>
    <s v="ARS"/>
    <n v="2489548.4"/>
    <n v="2489548.4"/>
    <n v="1"/>
    <n v="1"/>
    <n v="1"/>
    <n v="0.78"/>
    <n v="0.78"/>
    <n v="0"/>
    <m/>
    <n v="2489548.4"/>
    <n v="2489548.4"/>
    <n v="2489548.4"/>
    <n v="1941847.7520000001"/>
    <n v="1504869.87"/>
    <m/>
    <n v="2489548.4"/>
    <n v="1782.0675733715102"/>
    <n v="1390.0127072297782"/>
    <n v="547700.64800000004"/>
    <n v="547700.64800000004"/>
    <n v="392.0548661417323"/>
    <n v="22"/>
    <x v="57"/>
    <s v="SO Exported to ERP"/>
    <m/>
    <s v="POIME-000032597"/>
    <s v="PO Exported to ERP"/>
    <m/>
    <m/>
    <m/>
    <x v="1"/>
    <x v="56"/>
    <s v="Digital Soul SA"/>
    <x v="29"/>
    <s v="Tomas Poletto"/>
    <s v="Tomas Poletto"/>
    <s v="Tomas Poletto"/>
    <s v="Twitter Rep | Promoted Tweet/Account | Argentina | ARS"/>
    <s v="Twitter Rep LATAM + WE"/>
    <s v="Aleph Argentina"/>
    <d v="2026-02-01T00:00:00"/>
    <d v="2026-02-28T00:00:00"/>
    <s v="45D"/>
    <m/>
    <n v="1"/>
    <s v="https://alephholding.lightning.force.com/lightning/r/OrderItem/802Um00000DayqzIAB/view"/>
    <s v="AR00403301_TWR_001_001"/>
    <n v="0"/>
    <n v="0"/>
    <n v="0"/>
    <n v="0"/>
    <n v="2500000"/>
    <n v="2500000"/>
    <n v="1950000"/>
    <n v="1941847.7520000001"/>
    <n v="1"/>
    <n v="7.158196134574087E-4"/>
    <n v="7.158196134574087E-4"/>
    <b v="0"/>
    <b v="0"/>
    <s v="Traditional (Local Team)"/>
    <s v="Argentina"/>
    <n v="260200631595"/>
    <n v="1782.0675733715104"/>
    <n v="1390.012707229778"/>
    <s v="Argentina"/>
    <s v="Digital Soul Argentina"/>
    <s v="GTV2NONT34"/>
    <s v="30715825852"/>
    <n v="30715825852"/>
    <s v="Brand Objectives"/>
    <d v="2026-03-06T17:29:00"/>
    <d v="2026-03-04T20:58:00"/>
    <b v="1"/>
    <b v="1"/>
    <d v="2026-02-01T00:00:00"/>
    <s v="Classic IO"/>
    <m/>
    <m/>
    <m/>
    <m/>
    <m/>
    <m/>
    <m/>
    <m/>
    <s v="Mexico"/>
    <s v="ARS"/>
    <n v="2489548.39"/>
    <s v="OK"/>
    <s v="OK"/>
    <n v="9.9999997764825821E-3"/>
    <s v="T3238394"/>
    <s v="ARS"/>
    <n v="2489548.4"/>
    <s v="OK"/>
    <n v="0"/>
    <m/>
    <m/>
    <s v="Miss"/>
    <m/>
    <s v="ARS"/>
    <n v="1504869.77"/>
    <s v="OK"/>
    <n v="436977.98200000008"/>
    <m/>
    <s v="OK"/>
    <s v="SO READY TO EXPORT"/>
    <s v="PO READY TO EXPORT"/>
    <n v="1782.0675733715102"/>
  </r>
  <r>
    <s v="IMS"/>
    <s v="T3238669"/>
    <s v="2026-02"/>
    <s v="February/2026"/>
    <d v="2026-02-28T00:00:00"/>
    <x v="57"/>
    <s v="802Um00000EIoj3IAD"/>
    <s v="AR00398287"/>
    <s v="006Uj00000ZuSqHIAV"/>
    <s v="0004962448"/>
    <x v="0"/>
    <s v="Activated"/>
    <s v="Confirmed"/>
    <s v="PIPOL SRL"/>
    <x v="30"/>
    <s v="Twitter"/>
    <s v="Twitter Rep"/>
    <s v="LATAM"/>
    <s v="Argentina"/>
    <s v="Argentina"/>
    <x v="1"/>
    <s v="Mexico"/>
    <s v="Aleph Mexico"/>
    <s v="Promoted Tweet/Account"/>
    <s v="Auction"/>
    <s v="Auction"/>
    <x v="1"/>
    <s v="ARS"/>
    <n v="4396289.4000000004"/>
    <n v="4396289.4000000004"/>
    <n v="1"/>
    <n v="1"/>
    <n v="1"/>
    <n v="0.78"/>
    <n v="0.78"/>
    <n v="0"/>
    <m/>
    <n v="4396289.4000000004"/>
    <n v="4396289.4000000004"/>
    <n v="4396289.4000000004"/>
    <n v="3429105.7319999998"/>
    <n v="2657447.21"/>
    <m/>
    <n v="4396289.4000000004"/>
    <n v="3146.9501789549035"/>
    <n v="2454.6211395848245"/>
    <n v="967183.66799999995"/>
    <n v="967183.66799999995"/>
    <n v="692.3290393700787"/>
    <n v="22"/>
    <x v="58"/>
    <s v="SO Exported to ERP"/>
    <m/>
    <s v="POIME-000032644"/>
    <s v="PO Exported to ERP"/>
    <m/>
    <m/>
    <m/>
    <x v="1"/>
    <x v="57"/>
    <s v="PIPOL SRL"/>
    <x v="30"/>
    <s v="Jorge Osuna"/>
    <s v="Jorge Osuna"/>
    <s v="Jorge Osuna"/>
    <s v="Twitter Rep | Promoted Tweet/Account | Argentina | ARS"/>
    <s v="Twitter Rep LATAM + WE"/>
    <s v="Aleph Argentina"/>
    <d v="2026-02-20T00:00:00"/>
    <d v="2026-02-20T00:00:00"/>
    <s v="30D"/>
    <m/>
    <n v="1"/>
    <s v="https://alephholding.lightning.force.com/lightning/r/OrderItem/802Um00000EIoj3IAD/view"/>
    <s v="AR00398287_TWR_001_001"/>
    <n v="0"/>
    <n v="0"/>
    <n v="0"/>
    <n v="0"/>
    <n v="4396298"/>
    <n v="4396298"/>
    <n v="3429112.44"/>
    <n v="3429105.7319999998"/>
    <n v="1"/>
    <n v="7.158196134574087E-4"/>
    <n v="7.158196134574087E-4"/>
    <b v="0"/>
    <b v="0"/>
    <s v="Traditional (Local Team)"/>
    <s v="Argentina"/>
    <s v="9000-0238"/>
    <n v="3146.9501789549035"/>
    <n v="2454.6211395848245"/>
    <s v="Argentina"/>
    <s v="PIPOL ARGENTINA"/>
    <s v="101J5NFKFK"/>
    <s v="30716321033"/>
    <n v="30716321033"/>
    <s v="Brand Objectives"/>
    <d v="2026-03-06T17:29:00"/>
    <d v="2026-03-04T20:59:00"/>
    <b v="1"/>
    <b v="1"/>
    <d v="2026-02-01T00:00:00"/>
    <s v="Classic IO"/>
    <m/>
    <m/>
    <m/>
    <m/>
    <m/>
    <m/>
    <m/>
    <m/>
    <s v="Mexico"/>
    <s v="ARS"/>
    <n v="4396289.4000000004"/>
    <s v="OK"/>
    <s v="OK"/>
    <n v="0"/>
    <s v="T3238669"/>
    <s v="ARS"/>
    <n v="4396289.4000000004"/>
    <s v="OK"/>
    <n v="0"/>
    <m/>
    <m/>
    <s v="Miss"/>
    <m/>
    <s v="ARS"/>
    <n v="3429105.73"/>
    <s v="OK"/>
    <n v="1.999999862164259E-3"/>
    <m/>
    <s v="OK. Twitter tax err."/>
    <s v="SO READY TO EXPORT"/>
    <s v="PO READY TO EXPORT"/>
    <n v="3146.9501789549035"/>
  </r>
  <r>
    <s v="IMS"/>
    <s v="T3238704"/>
    <s v="2026-02"/>
    <s v="February/2026"/>
    <d v="2026-02-28T00:00:00"/>
    <x v="58"/>
    <s v="802Um00000DiOQXIA3"/>
    <s v="AR00403609"/>
    <s v="006Um00000dNDuAIAW"/>
    <s v="0004930115"/>
    <x v="0"/>
    <s v="Activated"/>
    <s v="Confirmed"/>
    <s v="DIGITAL HIVE GROUP S.A."/>
    <x v="15"/>
    <s v="Twitter"/>
    <s v="Twitter Rep"/>
    <s v="LATAM"/>
    <s v="Argentina"/>
    <s v="Argentina"/>
    <x v="1"/>
    <s v="Mexico"/>
    <s v="Aleph Mexico"/>
    <s v="Promoted Tweet/Account"/>
    <s v="Auction"/>
    <s v="Auction"/>
    <x v="1"/>
    <s v="ARS"/>
    <n v="2000000"/>
    <n v="2000000"/>
    <n v="1"/>
    <n v="1"/>
    <n v="1"/>
    <n v="0.78"/>
    <n v="0.78"/>
    <n v="0"/>
    <m/>
    <n v="2000000"/>
    <n v="2000000"/>
    <n v="2000000"/>
    <n v="1560000"/>
    <n v="1208950.08"/>
    <m/>
    <n v="2000000"/>
    <n v="1431.6392269148175"/>
    <n v="1116.6785969935577"/>
    <n v="440000"/>
    <n v="440000"/>
    <n v="314.96062992125985"/>
    <n v="22"/>
    <x v="59"/>
    <s v="SO Exported to ERP"/>
    <m/>
    <s v="POIME-000032592"/>
    <s v="PO Exported to ERP"/>
    <m/>
    <m/>
    <m/>
    <x v="1"/>
    <x v="58"/>
    <s v="DIGITAL HIVE GROUP S.A."/>
    <x v="15"/>
    <s v="Tomas Poletto"/>
    <s v="Tomas Poletto"/>
    <s v="Tomas Poletto"/>
    <s v="Twitter Rep | Promoted Tweet/Account | Argentina | ARS"/>
    <s v="Twitter Rep LATAM + WE"/>
    <s v="Aleph Argentina"/>
    <d v="2026-02-01T00:00:00"/>
    <d v="2026-03-31T00:00:00"/>
    <s v="45D"/>
    <m/>
    <n v="1"/>
    <s v="https://alephholding.lightning.force.com/lightning/r/OrderItem/802Um00000DiOQXIA3/view"/>
    <s v="AR00403609_TWR_001_001"/>
    <n v="0"/>
    <n v="0"/>
    <n v="0"/>
    <n v="0"/>
    <n v="2000000"/>
    <n v="2000000"/>
    <n v="1560000"/>
    <n v="1560000"/>
    <n v="1"/>
    <n v="7.158196134574087E-4"/>
    <n v="7.158196134574087E-4"/>
    <b v="0"/>
    <b v="0"/>
    <s v="Traditional (Local Team)"/>
    <s v="Argentina"/>
    <n v="260201121902"/>
    <n v="1431.6392269148175"/>
    <n v="1116.6785969935577"/>
    <s v="Argentina"/>
    <s v="DIGITAL HIVE GROUP ARGENTINA"/>
    <s v="3NHZJ3EZX1"/>
    <s v="30715225537"/>
    <n v="30715225537"/>
    <s v="Brand Objectives"/>
    <d v="2026-03-06T17:29:00"/>
    <d v="2026-03-04T20:59:00"/>
    <b v="1"/>
    <b v="1"/>
    <d v="2026-02-01T00:00:00"/>
    <s v="Classic IO"/>
    <m/>
    <m/>
    <m/>
    <m/>
    <m/>
    <m/>
    <m/>
    <m/>
    <s v="Mexico"/>
    <s v="ARS"/>
    <n v="2004216.19"/>
    <s v="OK"/>
    <s v="OK"/>
    <n v="-4216.1899999999441"/>
    <s v="T3238704"/>
    <s v="ARS"/>
    <n v="2000000"/>
    <s v="OK"/>
    <n v="0"/>
    <m/>
    <m/>
    <s v="Miss"/>
    <m/>
    <s v="ARS"/>
    <n v="1208950"/>
    <s v="OK"/>
    <n v="351050"/>
    <m/>
    <s v="OK"/>
    <s v="SO READY TO EXPORT"/>
    <s v="PO READY TO EXPORT"/>
    <n v="1431.6392269148175"/>
  </r>
  <r>
    <s v="IMS"/>
    <s v="T3238939"/>
    <s v="2026-02"/>
    <s v="February/2026"/>
    <d v="2026-02-28T00:00:00"/>
    <x v="59"/>
    <s v="802Um00000Di2ZhIAJ"/>
    <s v="AR00403821"/>
    <s v="006Um00000dTtNdIAK"/>
    <s v="0004929817"/>
    <x v="0"/>
    <s v="Activated"/>
    <s v="Confirmed"/>
    <s v="Havas Media Argentina S.A."/>
    <x v="28"/>
    <s v="Twitter"/>
    <s v="Twitter Rep"/>
    <s v="LATAM"/>
    <s v="Argentina"/>
    <s v="Argentina"/>
    <x v="1"/>
    <s v="Mexico"/>
    <s v="Aleph Mexico"/>
    <s v="Promoted Tweet/Account"/>
    <s v="Auction"/>
    <s v="Auction"/>
    <x v="1"/>
    <s v="ARS"/>
    <n v="4000000"/>
    <n v="4000000"/>
    <n v="1"/>
    <n v="1"/>
    <n v="1"/>
    <n v="0.78"/>
    <n v="0.78"/>
    <n v="0"/>
    <m/>
    <n v="4000000"/>
    <n v="4000000"/>
    <n v="4000000"/>
    <n v="3120000"/>
    <n v="2417900.16"/>
    <m/>
    <n v="4000000"/>
    <n v="2863.2784538296351"/>
    <n v="2233.3571939871154"/>
    <n v="880000"/>
    <n v="880000"/>
    <n v="629.9212598425197"/>
    <n v="22"/>
    <x v="60"/>
    <s v="SO Exported to ERP"/>
    <m/>
    <s v="POIME-000032595"/>
    <s v="PO Exported to ERP"/>
    <m/>
    <m/>
    <m/>
    <x v="1"/>
    <x v="59"/>
    <s v="Havas Media Argentina S.A."/>
    <x v="28"/>
    <s v="Miguel Jose Torrealba Alfonzo"/>
    <s v="Miguel Jose Torrealba Alfonzo"/>
    <s v="Miguel Jose Torrealba Alfonzo"/>
    <s v="Twitter Rep | Promoted Tweet/Account | Argentina | ARS"/>
    <s v="Twitter Rep LATAM + WE"/>
    <s v="Aleph Argentina"/>
    <d v="2026-02-01T00:00:00"/>
    <d v="2026-02-28T00:00:00"/>
    <s v="75D"/>
    <m/>
    <n v="1"/>
    <s v="https://alephholding.lightning.force.com/lightning/r/OrderItem/802Um00000Di2ZhIAJ/view"/>
    <s v="AR00403821_TWR_001_001"/>
    <n v="0"/>
    <n v="0"/>
    <n v="0"/>
    <n v="0"/>
    <n v="4000000"/>
    <n v="4000000"/>
    <n v="3120000"/>
    <n v="3120000"/>
    <n v="1"/>
    <n v="7.158196134574087E-4"/>
    <n v="7.158196134574087E-4"/>
    <b v="0"/>
    <b v="0"/>
    <s v="Traditional (Local Team)"/>
    <s v="Argentina"/>
    <s v="761844 / 0"/>
    <n v="2863.2784538296351"/>
    <n v="2233.3571939871154"/>
    <s v="Argentina"/>
    <s v="Havas Media Argentina Argentina"/>
    <s v="TGTSE08ECM"/>
    <s v="33695614549"/>
    <n v="33695614549"/>
    <s v="Brand Objectives"/>
    <d v="2026-03-06T17:29:00"/>
    <d v="2026-03-04T20:59:00"/>
    <b v="1"/>
    <b v="1"/>
    <d v="2026-02-01T00:00:00"/>
    <s v="Classic IO"/>
    <m/>
    <m/>
    <m/>
    <m/>
    <m/>
    <m/>
    <m/>
    <s v="Do the Upsell OR Create New Opp"/>
    <s v="Mexico"/>
    <s v="ARS"/>
    <n v="4002572.21"/>
    <s v="OK"/>
    <s v="OK"/>
    <n v="-2572.2099999999627"/>
    <s v="T3238939"/>
    <s v="ARS"/>
    <n v="4000000"/>
    <s v="OK"/>
    <n v="0"/>
    <m/>
    <m/>
    <s v="Miss"/>
    <m/>
    <s v="ARS"/>
    <n v="2417900"/>
    <s v="OK"/>
    <n v="702100"/>
    <m/>
    <s v="OK"/>
    <s v="SO READY TO EXPORT"/>
    <s v="PO READY TO EXPORT"/>
    <n v="2863.2784538296351"/>
  </r>
  <r>
    <s v="IMS"/>
    <s v="T3242525"/>
    <s v="2026-02"/>
    <s v="February/2026"/>
    <d v="2026-02-28T00:00:00"/>
    <x v="60"/>
    <s v="802Um00000DkjYvIAJ"/>
    <s v="AR00404195"/>
    <s v="006Um00000dY4qjIAC"/>
    <s v="0004932472"/>
    <x v="0"/>
    <s v="Activated"/>
    <s v="Confirmed"/>
    <s v="Telecom Argentina SA"/>
    <x v="18"/>
    <s v="Twitter"/>
    <s v="Twitter Rep"/>
    <s v="LATAM"/>
    <s v="Argentina"/>
    <s v="Argentina"/>
    <x v="1"/>
    <s v="Mexico"/>
    <s v="Aleph Mexico"/>
    <s v="Promoted Tweet/Account"/>
    <s v="Auction"/>
    <s v="Auction"/>
    <x v="1"/>
    <s v="ARS"/>
    <n v="997649.16"/>
    <n v="997649.16"/>
    <n v="1"/>
    <n v="1"/>
    <n v="1"/>
    <n v="0.78"/>
    <n v="0.78"/>
    <n v="0"/>
    <m/>
    <n v="997649.16"/>
    <n v="997649.16"/>
    <n v="997649.16"/>
    <n v="778166.34479999996"/>
    <n v="603054.02"/>
    <m/>
    <n v="997649.16"/>
    <n v="714.13683607730854"/>
    <n v="557.02673214030062"/>
    <n v="219482.81520000001"/>
    <n v="219482.81520000001"/>
    <n v="157.11010393700789"/>
    <n v="22"/>
    <x v="61"/>
    <s v="SO Exported to ERP"/>
    <m/>
    <s v="POIME-000032593"/>
    <s v="PO Exported to ERP"/>
    <m/>
    <m/>
    <m/>
    <x v="1"/>
    <x v="60"/>
    <s v="Telecom Argentina SA"/>
    <x v="18"/>
    <s v="Nicolás Ferreiro"/>
    <s v="Talia Anael Alzieu"/>
    <s v="Talia Anael Alzieu"/>
    <s v="Twitter Rep | Promoted Tweet/Account | Argentina | ARS"/>
    <s v="Twitter Rep LATAM + WE"/>
    <s v="Aleph Argentina"/>
    <d v="2026-02-12T00:00:00"/>
    <d v="2026-03-19T00:00:00"/>
    <s v="90D"/>
    <m/>
    <n v="1"/>
    <s v="https://alephholding.lightning.force.com/lightning/r/OrderItem/802Um00000DkjYvIAJ/view"/>
    <s v="AR00404195_TWR_001_001"/>
    <n v="0"/>
    <n v="0"/>
    <n v="0"/>
    <n v="0"/>
    <n v="2361111.111111111"/>
    <n v="2361111.1111110002"/>
    <n v="1841666.6666669999"/>
    <n v="778166.34479999996"/>
    <n v="1"/>
    <n v="7.158196134574087E-4"/>
    <n v="7.158196134574087E-4"/>
    <b v="0"/>
    <b v="0"/>
    <s v="Traditional (Local Team)"/>
    <s v="Argentina"/>
    <s v="02278147 - 03278201"/>
    <n v="714.13683607730854"/>
    <n v="557.02673214030062"/>
    <s v="Argentina"/>
    <s v="DIGITAL HIVE GROUP ARGENTINA"/>
    <s v="OBRG85JGS0"/>
    <s v="30639453738"/>
    <n v="30639453738"/>
    <s v="Brand Objectives"/>
    <d v="2026-03-06T17:29:00"/>
    <d v="2026-03-06T13:51:00"/>
    <b v="1"/>
    <b v="1"/>
    <d v="2026-02-01T00:00:00"/>
    <s v="Classic IO"/>
    <m/>
    <m/>
    <m/>
    <m/>
    <m/>
    <m/>
    <m/>
    <m/>
    <s v="Mexico"/>
    <s v="ARS"/>
    <n v="997649.16"/>
    <s v="OK"/>
    <s v="OK"/>
    <n v="0"/>
    <s v="T3242525"/>
    <s v="ARS"/>
    <n v="997649.16"/>
    <s v="OK"/>
    <n v="0"/>
    <m/>
    <m/>
    <s v="Miss"/>
    <m/>
    <s v="ARS"/>
    <n v="778166.34"/>
    <s v="OK"/>
    <n v="4.7999999951571226E-3"/>
    <m/>
    <s v="OK. Twitter tax err."/>
    <s v="SO Exported to ERP"/>
    <s v="PO READY TO EXPORT"/>
    <n v="714.13683607730854"/>
  </r>
  <r>
    <s v="IMS"/>
    <s v="T3242573"/>
    <s v="2026-02"/>
    <s v="February/2026"/>
    <d v="2026-02-28T00:00:00"/>
    <x v="61"/>
    <s v="802Um00000DlGoDIAV"/>
    <s v="AR00404274"/>
    <s v="006Um00000dZ6s5IAC"/>
    <s v="0004932923"/>
    <x v="0"/>
    <s v="Activated"/>
    <s v="Confirmed"/>
    <s v="IPROSPECT MEDIA SA"/>
    <x v="5"/>
    <s v="Twitter"/>
    <s v="Twitter Rep"/>
    <s v="LATAM"/>
    <s v="Argentina"/>
    <s v="Argentina"/>
    <x v="1"/>
    <s v="Mexico"/>
    <s v="Aleph Mexico"/>
    <s v="Promoted Tweet/Account"/>
    <s v="Auction"/>
    <s v="Auction"/>
    <x v="1"/>
    <s v="ARS"/>
    <n v="7445541.0300000003"/>
    <n v="7445541.0300000003"/>
    <n v="1"/>
    <n v="1"/>
    <n v="1"/>
    <n v="0.78"/>
    <n v="0.78"/>
    <n v="0"/>
    <m/>
    <n v="7445541.0300000003"/>
    <n v="7445541.0300000003"/>
    <n v="7445541.0300000003"/>
    <n v="5807522.0033999998"/>
    <n v="4500643.71"/>
    <m/>
    <n v="7445541.0300000003"/>
    <n v="5329.6643020758775"/>
    <n v="4157.1381556191836"/>
    <n v="1638019.0266"/>
    <n v="1638019.0266"/>
    <n v="1172.5261464566929"/>
    <n v="22"/>
    <x v="62"/>
    <s v="SO Exported to ERP"/>
    <m/>
    <s v="POIME-000032600"/>
    <s v="PO Exported to ERP"/>
    <m/>
    <m/>
    <m/>
    <x v="1"/>
    <x v="61"/>
    <s v="IPROSPECT MEDIA SA"/>
    <x v="5"/>
    <s v="Tomas Poletto"/>
    <s v="Tomas Poletto"/>
    <s v="Tomas Poletto"/>
    <s v="Twitter Rep | Promoted Tweet/Account | Argentina | ARS"/>
    <s v="Twitter Rep LATAM + WE"/>
    <s v="Aleph Argentina"/>
    <d v="2026-02-01T00:00:00"/>
    <d v="2026-02-28T00:00:00"/>
    <s v="75D"/>
    <m/>
    <n v="1"/>
    <s v="https://alephholding.lightning.force.com/lightning/r/OrderItem/802Um00000DlGoDIAV/view"/>
    <s v="AR00404274_TWR_001_001"/>
    <n v="0"/>
    <n v="0"/>
    <n v="0"/>
    <n v="0"/>
    <n v="7500000"/>
    <n v="7500000"/>
    <n v="5850000"/>
    <n v="5807522.0033999998"/>
    <n v="1"/>
    <n v="7.158196134574087E-4"/>
    <n v="7.158196134574087E-4"/>
    <b v="0"/>
    <b v="0"/>
    <s v="Traditional (Local Team)"/>
    <s v="Argentina"/>
    <s v="00025574 / 0"/>
    <n v="5329.6643020758765"/>
    <n v="4157.1381556191836"/>
    <s v="Argentina"/>
    <s v="IPROSPECT MEDIA SA"/>
    <s v="WCZ7MBJD6T"/>
    <s v="30707117016"/>
    <n v="30707117016"/>
    <s v="Brand Objectives"/>
    <d v="2026-03-06T17:29:00"/>
    <d v="2026-03-04T20:59:00"/>
    <b v="1"/>
    <b v="1"/>
    <d v="2026-02-01T00:00:00"/>
    <s v="Classic IO"/>
    <m/>
    <m/>
    <m/>
    <m/>
    <m/>
    <m/>
    <m/>
    <m/>
    <s v="Mexico"/>
    <s v="ARS"/>
    <n v="7445541.0300000003"/>
    <s v="OK"/>
    <s v="OK"/>
    <n v="0"/>
    <s v="T3242573"/>
    <s v="ARS"/>
    <n v="7445541.0300000003"/>
    <s v="OK"/>
    <n v="0"/>
    <m/>
    <m/>
    <s v="Miss"/>
    <m/>
    <s v="ARS"/>
    <n v="5807522"/>
    <s v="OK"/>
    <n v="3.399999812245369E-3"/>
    <m/>
    <s v="OK. Twitter tax err."/>
    <s v="SO READY TO EXPORT"/>
    <s v="PO READY TO EXPORT"/>
    <n v="5329.6643020758775"/>
  </r>
  <r>
    <s v="IMS"/>
    <s v="T3242615"/>
    <s v="2026-02"/>
    <s v="February/2026"/>
    <d v="2026-02-28T00:00:00"/>
    <x v="62"/>
    <s v="802Um00000DnavhIAB"/>
    <s v="AR00404296"/>
    <s v="006Um00000dZoEnIAK"/>
    <s v="0004946001"/>
    <x v="0"/>
    <s v="Activated"/>
    <s v="Confirmed"/>
    <s v="Gustavo Quiroga EPM SA"/>
    <x v="31"/>
    <s v="Twitter"/>
    <s v="Twitter Rep"/>
    <s v="LATAM"/>
    <s v="Argentina"/>
    <s v="Argentina"/>
    <x v="1"/>
    <s v="Mexico"/>
    <s v="Aleph Mexico"/>
    <s v="Promoted Tweet/Account"/>
    <s v="Auction"/>
    <s v="Auction"/>
    <x v="1"/>
    <s v="ARS"/>
    <n v="839339.96"/>
    <n v="839339.96"/>
    <n v="1"/>
    <n v="1"/>
    <n v="1"/>
    <n v="0.78"/>
    <n v="0.78"/>
    <n v="0"/>
    <m/>
    <n v="839339.96"/>
    <n v="839339.96"/>
    <n v="839339.96"/>
    <n v="654685.16879999998"/>
    <n v="507360.06"/>
    <m/>
    <n v="839339.96"/>
    <n v="600.81600572655691"/>
    <n v="468.63648446671436"/>
    <n v="184654.79120000001"/>
    <n v="184654.79120000001"/>
    <n v="132.17952125984252"/>
    <n v="22"/>
    <x v="63"/>
    <s v="SO Exported to ERP"/>
    <m/>
    <s v="POIME-000032614"/>
    <s v="PO Exported to ERP"/>
    <m/>
    <m/>
    <m/>
    <x v="1"/>
    <x v="62"/>
    <s v="Gustavo Quiroga EPM SA"/>
    <x v="31"/>
    <s v="Tomas Poletto"/>
    <s v="Tomas Poletto"/>
    <s v="Tomas Poletto"/>
    <s v="Twitter Rep | Promoted Tweet/Account | Argentina | ARS"/>
    <s v="Twitter Rep LATAM + WE"/>
    <s v="Aleph Argentina"/>
    <d v="2026-02-01T00:00:00"/>
    <d v="2026-02-28T00:00:00"/>
    <s v="75D"/>
    <m/>
    <n v="1"/>
    <s v="https://alephholding.lightning.force.com/lightning/r/OrderItem/802Um00000DnavhIAB/view"/>
    <s v="AR00404296_TWR_001_001"/>
    <n v="0"/>
    <n v="0"/>
    <n v="0"/>
    <n v="0"/>
    <n v="1000000"/>
    <n v="1000000"/>
    <n v="780000"/>
    <n v="654685.16879999998"/>
    <n v="1"/>
    <n v="7.158196134574087E-4"/>
    <n v="7.158196134574087E-4"/>
    <b v="0"/>
    <b v="0"/>
    <s v="Traditional (Local Team)"/>
    <s v="Argentina"/>
    <s v="020244/000"/>
    <n v="600.81600572655691"/>
    <n v="468.63648446671436"/>
    <s v="Argentina"/>
    <s v="Gustavo Quiroga EPM SA Argentina"/>
    <s v="VLJUXIP8KP"/>
    <s v="30707906959"/>
    <n v="30707906959"/>
    <s v="Brand Objectives"/>
    <d v="2026-03-06T17:29:00"/>
    <d v="2026-03-04T20:59:00"/>
    <b v="1"/>
    <b v="1"/>
    <d v="2026-02-01T00:00:00"/>
    <s v="Classic IO"/>
    <m/>
    <m/>
    <m/>
    <m/>
    <m/>
    <m/>
    <m/>
    <m/>
    <s v="Mexico"/>
    <s v="ARS"/>
    <n v="839339.97"/>
    <s v="OK"/>
    <s v="OK"/>
    <n v="-1.0000000009313226E-2"/>
    <s v="T3242615"/>
    <s v="ARS"/>
    <n v="839339.96"/>
    <s v="OK"/>
    <n v="0"/>
    <m/>
    <m/>
    <s v="Miss"/>
    <m/>
    <s v="ARS"/>
    <n v="654685.18000000005"/>
    <s v="OK"/>
    <n v="-1.1200000066310167E-2"/>
    <m/>
    <s v="OK. Twitter tax err."/>
    <s v="SO READY TO EXPORT"/>
    <s v="PO READY TO EXPORT"/>
    <n v="600.81600572655691"/>
  </r>
  <r>
    <s v="IMS"/>
    <s v="T3242792"/>
    <s v="2026-02"/>
    <s v="February/2026"/>
    <d v="2026-02-28T00:00:00"/>
    <x v="63"/>
    <s v="802Um00000Ds1inIAB"/>
    <s v="AR00404904"/>
    <s v="006Um00000djGjhIAE"/>
    <s v="0004949799"/>
    <x v="0"/>
    <s v="Activated"/>
    <s v="Confirmed"/>
    <s v="Carat Argentina SA"/>
    <x v="20"/>
    <s v="Twitter"/>
    <s v="Twitter Billing"/>
    <s v="LATAM"/>
    <s v="Argentina"/>
    <s v="Argentina"/>
    <x v="1"/>
    <s v="Mexico"/>
    <s v="Aleph Mexico"/>
    <s v="Promoted Tweet/Account"/>
    <s v="Auction"/>
    <s v="Auction"/>
    <x v="1"/>
    <s v="ARS"/>
    <n v="2890408.14"/>
    <n v="2890408.14"/>
    <n v="1"/>
    <n v="1"/>
    <n v="1"/>
    <n v="0.85"/>
    <n v="0.85"/>
    <n v="0"/>
    <m/>
    <n v="2890408.14"/>
    <n v="2890408.14"/>
    <n v="2890408.14"/>
    <n v="2456846.9190000002"/>
    <n v="1907654.92"/>
    <m/>
    <n v="2890408.14"/>
    <n v="2069.010837508948"/>
    <n v="1758.6592118826059"/>
    <n v="433561.22100000002"/>
    <n v="433561.22100000002"/>
    <n v="310.35162562634218"/>
    <n v="15"/>
    <x v="64"/>
    <s v="SO Exported to ERP"/>
    <m/>
    <s v="POIME-000032567"/>
    <s v="PO Exported to ERP"/>
    <m/>
    <m/>
    <m/>
    <x v="1"/>
    <x v="63"/>
    <s v="Carat Argentina SA"/>
    <x v="20"/>
    <s v="Valentina Pulido"/>
    <s v="Valentina Pulido"/>
    <s v="Valentina Pulido"/>
    <s v="Twitter Billing | Promoted Tweet/Account | Twitter Billing | USD"/>
    <s v="Twitter Billing LATAM + WE"/>
    <s v="Aleph Argentina"/>
    <d v="2026-02-09T00:00:00"/>
    <d v="2026-03-01T00:00:00"/>
    <s v="75D"/>
    <m/>
    <n v="1"/>
    <s v="https://alephholding.lightning.force.com/lightning/r/OrderItem/802Um00000Ds1inIAB/view"/>
    <s v="AR00404904_TWB_001_001"/>
    <n v="0"/>
    <n v="0"/>
    <n v="0"/>
    <n v="0"/>
    <n v="2857142.8571428573"/>
    <n v="2857142.8571429998"/>
    <n v="2428571.4285710002"/>
    <n v="2456846.9190000002"/>
    <n v="1"/>
    <n v="7.158196134574087E-4"/>
    <n v="7.158196134574087E-4"/>
    <b v="0"/>
    <b v="0"/>
    <s v="Traditional (Local Team)"/>
    <s v="Argentina"/>
    <s v="00504952 / 0 - 00504962 / 0"/>
    <n v="2069.0108375089476"/>
    <n v="1758.6592118826056"/>
    <s v="Argentina"/>
    <s v="Carat Argentina SA"/>
    <s v="BDZB3VONUN"/>
    <s v="30708983906"/>
    <n v="30708983906"/>
    <s v="Brand Objectives"/>
    <d v="2026-03-06T17:29:00"/>
    <d v="2026-03-05T16:35:00"/>
    <b v="1"/>
    <b v="1"/>
    <d v="2026-02-01T00:00:00"/>
    <s v="Classic IO"/>
    <m/>
    <m/>
    <m/>
    <m/>
    <m/>
    <m/>
    <m/>
    <m/>
    <m/>
    <m/>
    <m/>
    <s v="Miss"/>
    <s v="Miss"/>
    <m/>
    <s v="T3242792"/>
    <s v="ARS"/>
    <n v="2890408.14"/>
    <s v="OK"/>
    <n v="0"/>
    <m/>
    <m/>
    <s v="Miss"/>
    <m/>
    <s v="ARS"/>
    <n v="2254518.35"/>
    <s v="OK"/>
    <n v="202328.56900000013"/>
    <m/>
    <s v="OK. Twitter Comm. ERR"/>
    <s v="SO READY TO EXPORT"/>
    <s v="PO READY TO EXPORT"/>
    <n v="2069.010837508948"/>
  </r>
  <r>
    <s v="IMS"/>
    <s v="T3242840"/>
    <s v="2026-02"/>
    <s v="February/2026"/>
    <d v="2026-02-28T00:00:00"/>
    <x v="64"/>
    <s v="802Um00000Do11RIAR"/>
    <s v="AR00404575"/>
    <s v="006Um00000dd7ftIAA"/>
    <s v="0004946242"/>
    <x v="0"/>
    <s v="Activated"/>
    <s v="Confirmed"/>
    <s v="MMS Comunicaciones Argentina S.R.L"/>
    <x v="21"/>
    <s v="Twitter"/>
    <s v="Twitter Rep"/>
    <s v="LATAM"/>
    <s v="Argentina"/>
    <s v="Argentina"/>
    <x v="1"/>
    <s v="Mexico"/>
    <s v="Aleph Mexico"/>
    <s v="Promoted Tweet/Account"/>
    <s v="Auction"/>
    <s v="Auction"/>
    <x v="1"/>
    <s v="ARS"/>
    <n v="2906163.1"/>
    <n v="2906163.1"/>
    <n v="1"/>
    <n v="1"/>
    <n v="1"/>
    <n v="0.78"/>
    <n v="0.78"/>
    <n v="0"/>
    <m/>
    <n v="2906163.1"/>
    <n v="2906163.1"/>
    <n v="2906163.1"/>
    <n v="2266807.2179999999"/>
    <n v="1756703.06"/>
    <m/>
    <n v="2906163.1"/>
    <n v="2080.2885468861846"/>
    <n v="1622.6250665712239"/>
    <n v="639355.88199999998"/>
    <n v="639355.88199999998"/>
    <n v="457.66348031496062"/>
    <n v="22"/>
    <x v="65"/>
    <s v="SO Exported to ERP"/>
    <m/>
    <s v="POIME-000032609"/>
    <s v="PO Exported to ERP"/>
    <m/>
    <m/>
    <m/>
    <x v="1"/>
    <x v="64"/>
    <s v="MMS Comunicaciones Argentina S.R.L"/>
    <x v="21"/>
    <s v="Miguel Jose Torrealba Alfonzo"/>
    <s v="Miguel Jose Torrealba Alfonzo"/>
    <s v="Miguel Jose Torrealba Alfonzo"/>
    <s v="Twitter Rep | Promoted Tweet/Account | Argentina | ARS"/>
    <s v="Twitter Rep LATAM + WE"/>
    <s v="Aleph Argentina"/>
    <d v="2026-02-06T00:00:00"/>
    <d v="2026-03-01T00:00:00"/>
    <s v="75D"/>
    <m/>
    <n v="1"/>
    <s v="https://alephholding.lightning.force.com/lightning/r/OrderItem/802Um00000Do11RIAR/view"/>
    <s v="AR00404575_TWR_001_001"/>
    <n v="0"/>
    <n v="0"/>
    <n v="0"/>
    <n v="0"/>
    <n v="3000000"/>
    <n v="3000000"/>
    <n v="2340000"/>
    <n v="2266807.2179999999"/>
    <n v="1"/>
    <n v="7.158196134574087E-4"/>
    <n v="7.158196134574087E-4"/>
    <b v="0"/>
    <b v="0"/>
    <s v="Traditional (Local Team)"/>
    <s v="Argentina"/>
    <s v="021616/000"/>
    <n v="2080.2885468861846"/>
    <n v="1622.6250665712241"/>
    <s v="Argentina"/>
    <s v="MMS Comunicaciones Argentina Argentina"/>
    <s v="RJ4OR8JONT"/>
    <s v="30630308557"/>
    <n v="30630308557"/>
    <s v="Brand Objectives"/>
    <d v="2026-03-06T17:29:00"/>
    <d v="2026-03-04T20:59:00"/>
    <b v="1"/>
    <b v="1"/>
    <d v="2026-02-01T00:00:00"/>
    <s v="Classic IO"/>
    <m/>
    <m/>
    <m/>
    <m/>
    <m/>
    <m/>
    <m/>
    <m/>
    <s v="Mexico"/>
    <s v="ARS"/>
    <n v="2906163.1"/>
    <s v="OK"/>
    <s v="OK"/>
    <n v="0"/>
    <s v="T3242840"/>
    <s v="ARS"/>
    <n v="2906163.1"/>
    <s v="OK"/>
    <n v="0"/>
    <m/>
    <m/>
    <s v="Miss"/>
    <m/>
    <s v="ARS"/>
    <n v="2266807.2200000002"/>
    <s v="OK"/>
    <n v="-2.0000003278255463E-3"/>
    <m/>
    <s v="OK. Twitter tax err."/>
    <s v="SO READY TO EXPORT"/>
    <s v="PO READY TO EXPORT"/>
    <n v="2080.2885468861846"/>
  </r>
  <r>
    <s v="IMS"/>
    <s v="T3242842"/>
    <s v="2026-02"/>
    <s v="February/2026"/>
    <d v="2026-02-28T00:00:00"/>
    <x v="65"/>
    <s v="802Um00000Do1SrIAJ"/>
    <s v="AR00404576"/>
    <s v="006Um00000dcnkQIAQ"/>
    <s v="0004946252"/>
    <x v="0"/>
    <s v="Activated"/>
    <s v="Confirmed"/>
    <s v="MMS Comunicaciones Argentina S.R.L"/>
    <x v="21"/>
    <s v="Twitter"/>
    <s v="Twitter Rep"/>
    <s v="LATAM"/>
    <s v="Argentina"/>
    <s v="Argentina"/>
    <x v="1"/>
    <s v="Mexico"/>
    <s v="Aleph Mexico"/>
    <s v="Promoted Tweet/Account"/>
    <s v="Auction"/>
    <s v="Auction"/>
    <x v="1"/>
    <s v="ARS"/>
    <n v="2327584.0699999998"/>
    <n v="2327584.0699999998"/>
    <n v="1"/>
    <n v="1"/>
    <n v="1"/>
    <n v="0.78"/>
    <n v="0.78"/>
    <n v="0"/>
    <m/>
    <n v="2327584.0699999998"/>
    <n v="2327584.0699999998"/>
    <n v="2327584.0699999998"/>
    <n v="1815515.5745999999"/>
    <n v="1406966.47"/>
    <m/>
    <n v="2327584.0699999998"/>
    <n v="1666.1303292770222"/>
    <n v="1299.5816568360772"/>
    <n v="512068.49540000001"/>
    <n v="512068.49540000001"/>
    <n v="366.54867244094487"/>
    <n v="22"/>
    <x v="66"/>
    <s v="SO Exported to ERP"/>
    <m/>
    <s v="POIME-000032636"/>
    <s v="PO Exported to ERP"/>
    <m/>
    <m/>
    <m/>
    <x v="1"/>
    <x v="65"/>
    <s v="MMS Comunicaciones Argentina S.R.L"/>
    <x v="21"/>
    <s v="Miguel Jose Torrealba Alfonzo"/>
    <s v="Miguel Jose Torrealba Alfonzo"/>
    <s v="Miguel Jose Torrealba Alfonzo"/>
    <s v="Twitter Rep | Promoted Tweet/Account | Argentina | ARS"/>
    <s v="Twitter Rep LATAM + WE"/>
    <s v="Aleph Argentina"/>
    <d v="2026-02-06T00:00:00"/>
    <d v="2026-03-01T00:00:00"/>
    <s v="75D"/>
    <m/>
    <n v="1"/>
    <s v="https://alephholding.lightning.force.com/lightning/r/OrderItem/802Um00000Do1SrIAJ/view"/>
    <s v="AR00404576_TWR_001_001"/>
    <n v="0"/>
    <n v="0"/>
    <n v="0"/>
    <n v="0"/>
    <n v="2400000"/>
    <n v="2400000"/>
    <n v="1872000"/>
    <n v="1815515.5745999999"/>
    <n v="1"/>
    <n v="7.158196134574087E-4"/>
    <n v="7.158196134574087E-4"/>
    <b v="0"/>
    <b v="0"/>
    <s v="Traditional (Local Team)"/>
    <s v="Argentina"/>
    <s v="021644/000"/>
    <n v="1666.1303292770222"/>
    <n v="1299.5816568360774"/>
    <s v="Argentina"/>
    <s v="MMS Comunicaciones Argentina Argentina"/>
    <s v="RJ4OR8JONT"/>
    <s v="30630308557"/>
    <n v="30630308557"/>
    <s v="Brand Objectives"/>
    <d v="2026-03-06T17:29:00"/>
    <d v="2026-03-04T20:59:00"/>
    <b v="1"/>
    <b v="1"/>
    <d v="2026-02-01T00:00:00"/>
    <s v="Classic IO"/>
    <m/>
    <m/>
    <m/>
    <m/>
    <m/>
    <m/>
    <m/>
    <m/>
    <s v="Mexico"/>
    <s v="ARS"/>
    <n v="2327584.0699999998"/>
    <s v="OK"/>
    <s v="OK"/>
    <n v="0"/>
    <s v="T3242842"/>
    <s v="ARS"/>
    <n v="2327584.0699999998"/>
    <s v="OK"/>
    <n v="0"/>
    <m/>
    <m/>
    <s v="Miss"/>
    <m/>
    <s v="ARS"/>
    <n v="1815515.57"/>
    <s v="OK"/>
    <n v="4.5999998692423105E-3"/>
    <m/>
    <s v="OK. Twitter tax err."/>
    <s v="SO READY TO EXPORT"/>
    <s v="PO READY TO EXPORT"/>
    <n v="1666.1303292770222"/>
  </r>
  <r>
    <s v="IMS"/>
    <s v="T3245857"/>
    <s v="2026-02"/>
    <s v="February/2026"/>
    <d v="2026-02-28T00:00:00"/>
    <x v="66"/>
    <s v="802Um00000Dx4MfIAJ"/>
    <s v="AR00405349"/>
    <s v="006Um00000dsSSHIA2"/>
    <s v="0004952219"/>
    <x v="0"/>
    <s v="Activated"/>
    <s v="Confirmed"/>
    <s v="OSA ONE STEP AHEAD S. A."/>
    <x v="10"/>
    <s v="Twitter"/>
    <s v="Twitter Rep"/>
    <s v="LATAM"/>
    <s v="Argentina"/>
    <s v="Argentina"/>
    <x v="1"/>
    <s v="Mexico"/>
    <s v="Aleph Mexico"/>
    <s v="Promoted Tweet/Account"/>
    <s v="Auction"/>
    <s v="Auction"/>
    <x v="1"/>
    <s v="ARS"/>
    <n v="4558905.76"/>
    <n v="4558905.76"/>
    <n v="1"/>
    <n v="1"/>
    <n v="1"/>
    <n v="0.78"/>
    <n v="0.78"/>
    <n v="0"/>
    <m/>
    <n v="4558905.76"/>
    <n v="4558905.76"/>
    <n v="4558905.76"/>
    <n v="3555946.4928000001"/>
    <n v="2755744.74"/>
    <m/>
    <n v="4558905.76"/>
    <n v="3263.3541589119541"/>
    <n v="2545.4162439513243"/>
    <n v="1002959.2672"/>
    <n v="1002959.2672"/>
    <n v="717.93791496062988"/>
    <n v="22"/>
    <x v="67"/>
    <s v="SO Exported to ERP"/>
    <m/>
    <s v="POIME-000032627"/>
    <s v="PO Exported to ERP"/>
    <m/>
    <m/>
    <m/>
    <x v="1"/>
    <x v="66"/>
    <s v="OSA ONE STEP AHEAD S. A."/>
    <x v="10"/>
    <s v="Jorge Osuna"/>
    <s v="Jorge Osuna"/>
    <s v="Jorge Osuna"/>
    <s v="Twitter Rep | Promoted Tweet/Account | Argentina | ARS"/>
    <s v="Twitter Rep LATAM + WE"/>
    <s v="Aleph Argentina"/>
    <d v="2026-02-09T00:00:00"/>
    <d v="2026-03-15T00:00:00"/>
    <s v="90D"/>
    <m/>
    <n v="1"/>
    <s v="https://alephholding.lightning.force.com/lightning/r/OrderItem/802Um00000Dx4MfIAJ/view"/>
    <s v="AR00405349_TWR_001_001"/>
    <n v="0"/>
    <n v="0"/>
    <n v="0"/>
    <n v="0"/>
    <n v="4554499.9400000004"/>
    <n v="4554499.9400000004"/>
    <n v="3552509.9531999999"/>
    <n v="3555946.4928000001"/>
    <n v="1"/>
    <n v="7.158196134574087E-4"/>
    <n v="7.158196134574087E-4"/>
    <b v="0"/>
    <b v="0"/>
    <s v="Digital Native / Performance"/>
    <s v="Argentina"/>
    <s v="202602-0581 ver 001"/>
    <n v="3263.3541589119541"/>
    <n v="2545.4162439513243"/>
    <s v="Argentina"/>
    <s v="OSA ONE STEP AHEAD Argentina"/>
    <s v="WYWXHC78NY"/>
    <s v="30712014047"/>
    <n v="30712014047"/>
    <s v="Client Performance Driven (ROI)"/>
    <d v="2026-03-06T17:29:00"/>
    <d v="2026-03-04T20:59:00"/>
    <b v="1"/>
    <b v="1"/>
    <d v="2026-02-01T00:00:00"/>
    <s v="Classic IO"/>
    <m/>
    <m/>
    <m/>
    <m/>
    <m/>
    <m/>
    <m/>
    <m/>
    <s v="Mexico"/>
    <s v="ARS"/>
    <n v="4558905.76"/>
    <s v="OK"/>
    <s v="OK"/>
    <n v="0"/>
    <s v="T3245857"/>
    <s v="ARS"/>
    <n v="4558905.76"/>
    <s v="OK"/>
    <n v="0"/>
    <m/>
    <m/>
    <s v="Miss"/>
    <m/>
    <s v="ARS"/>
    <n v="3555946.49"/>
    <s v="OK"/>
    <n v="2.79999990016222E-3"/>
    <m/>
    <s v="OK. Twitter tax err."/>
    <s v="SO READY TO EXPORT"/>
    <s v="PO READY TO EXPORT"/>
    <n v="3263.3541589119541"/>
  </r>
  <r>
    <s v="IMS"/>
    <s v="T3246174"/>
    <s v="2026-02"/>
    <s v="February/2026"/>
    <d v="2026-02-28T00:00:00"/>
    <x v="67"/>
    <s v="802Um00000DznKTIAZ"/>
    <s v="AR00405691"/>
    <s v="006Um00000dwcssIAA"/>
    <s v="0004953737"/>
    <x v="0"/>
    <s v="Activated"/>
    <s v="Confirmed"/>
    <s v="YPF S.A."/>
    <x v="19"/>
    <s v="Twitter"/>
    <s v="Twitter Rep"/>
    <s v="LATAM"/>
    <s v="Argentina"/>
    <s v="Argentina"/>
    <x v="1"/>
    <s v="Mexico"/>
    <s v="Aleph Mexico"/>
    <s v="Promoted Tweet/Account"/>
    <s v="Auction"/>
    <s v="Auction"/>
    <x v="1"/>
    <s v="ARS"/>
    <n v="22444.51"/>
    <n v="22444.51"/>
    <n v="1"/>
    <n v="1"/>
    <n v="1"/>
    <n v="0.78"/>
    <n v="0.78"/>
    <n v="0"/>
    <m/>
    <n v="22444.51"/>
    <n v="22444.51"/>
    <n v="22444.51"/>
    <n v="17506.717799999999"/>
    <n v="13567.15"/>
    <m/>
    <n v="22444.51"/>
    <n v="16.066220472440943"/>
    <n v="12.531651968503937"/>
    <n v="4937.7921999999999"/>
    <n v="4937.7921999999999"/>
    <n v="3.5345685039370078"/>
    <n v="22"/>
    <x v="68"/>
    <s v="SO Exported to ERP"/>
    <m/>
    <s v="POIME-000032610"/>
    <s v="PO Exported to ERP"/>
    <m/>
    <m/>
    <m/>
    <x v="1"/>
    <x v="67"/>
    <s v="YPF S.A."/>
    <x v="19"/>
    <s v="Miguel Jose Torrealba Alfonzo"/>
    <s v="Macarena Ramos Taky"/>
    <s v="Macarena Ramos Taky"/>
    <s v="Twitter Rep | Promoted Tweet/Account | Argentina | ARS"/>
    <s v="Twitter Rep LATAM + WE"/>
    <s v="Aleph Argentina"/>
    <d v="2026-02-07T00:00:00"/>
    <d v="2026-02-14T00:00:00"/>
    <s v="30D"/>
    <m/>
    <n v="1"/>
    <s v="https://alephholding.lightning.force.com/lightning/r/OrderItem/802Um00000DznKTIAZ/view"/>
    <s v="AR00405691_TWR_001_001"/>
    <n v="0"/>
    <n v="0"/>
    <n v="0"/>
    <n v="0"/>
    <n v="30500"/>
    <n v="30500"/>
    <n v="23790"/>
    <n v="17506.717799999999"/>
    <n v="1"/>
    <n v="7.158196134574087E-4"/>
    <n v="7.158196134574087E-4"/>
    <b v="0"/>
    <b v="0"/>
    <s v="Traditional (Local Team)"/>
    <s v="Argentina"/>
    <s v="00505214 / 0"/>
    <n v="16.066220472440946"/>
    <n v="12.531651968503937"/>
    <s v="Argentina"/>
    <s v="Carat Argentina SA"/>
    <s v="JNS8FCESJ5"/>
    <s v="30546689979"/>
    <n v="30546689979"/>
    <s v="Brand Objectives"/>
    <d v="2026-03-06T17:29:00"/>
    <d v="2026-03-04T20:59:00"/>
    <b v="1"/>
    <b v="1"/>
    <d v="2026-02-01T00:00:00"/>
    <s v="Classic IO"/>
    <m/>
    <m/>
    <m/>
    <m/>
    <m/>
    <m/>
    <m/>
    <m/>
    <s v="Mexico"/>
    <s v="ARS"/>
    <n v="22444.51"/>
    <s v="OK"/>
    <s v="OK"/>
    <n v="0"/>
    <s v="T3246174"/>
    <s v="ARS"/>
    <n v="22444.51"/>
    <s v="OK"/>
    <n v="0"/>
    <m/>
    <m/>
    <s v="Miss"/>
    <m/>
    <s v="ARS"/>
    <n v="17506.72"/>
    <s v="OK"/>
    <n v="-2.2000000026309863E-3"/>
    <m/>
    <s v="OK. Twitter tax err."/>
    <s v="SO READY TO EXPORT"/>
    <s v="PO READY TO EXPORT"/>
    <n v="16.066220472440943"/>
  </r>
  <r>
    <s v="IMS"/>
    <s v="T3246185"/>
    <s v="2026-02"/>
    <s v="February/2026"/>
    <d v="2026-02-28T00:00:00"/>
    <x v="68"/>
    <s v="802Um00000E59trIAB"/>
    <s v="AR00405715"/>
    <s v="006Um00000dxSOPIA2"/>
    <s v="0004956305"/>
    <x v="0"/>
    <s v="Activated"/>
    <s v="Confirmed"/>
    <s v="DIGITAL HIVE GROUP S.A."/>
    <x v="15"/>
    <s v="Twitter"/>
    <s v="Twitter Rep"/>
    <s v="LATAM"/>
    <s v="Argentina"/>
    <s v="Argentina"/>
    <x v="1"/>
    <s v="Mexico"/>
    <s v="Aleph Mexico"/>
    <s v="Promoted Tweet/Account"/>
    <s v="Auction"/>
    <s v="Auction"/>
    <x v="1"/>
    <s v="ARS"/>
    <n v="3625356"/>
    <n v="3625356"/>
    <n v="1"/>
    <n v="1"/>
    <n v="1"/>
    <n v="0.78"/>
    <n v="0.78"/>
    <n v="0"/>
    <m/>
    <n v="3625356"/>
    <n v="3625356"/>
    <n v="3625356"/>
    <n v="2827777.68"/>
    <n v="2191437.21"/>
    <m/>
    <n v="3625356"/>
    <n v="2595.1009305654975"/>
    <n v="2024.1787258410882"/>
    <n v="797578.32"/>
    <n v="797578.32"/>
    <n v="570.92220472440943"/>
    <n v="22"/>
    <x v="69"/>
    <s v="SO Exported to ERP"/>
    <m/>
    <s v="POIME-000032623"/>
    <s v="PO Exported to ERP"/>
    <m/>
    <m/>
    <m/>
    <x v="1"/>
    <x v="68"/>
    <s v="DIGITAL HIVE GROUP S.A."/>
    <x v="15"/>
    <s v="Tomas Poletto"/>
    <s v="Tomas Poletto"/>
    <s v="Tomas Poletto"/>
    <s v="Twitter Rep | Promoted Tweet/Account | Argentina | ARS"/>
    <s v="Twitter Rep LATAM + WE"/>
    <s v="Aleph Argentina"/>
    <d v="2026-02-23T00:00:00"/>
    <d v="2026-02-23T00:00:00"/>
    <s v="45D"/>
    <m/>
    <n v="1"/>
    <s v="https://alephholding.lightning.force.com/lightning/r/OrderItem/802Um00000E59trIAB/view"/>
    <s v="AR00405715_TWR_001_001"/>
    <n v="0"/>
    <n v="0"/>
    <n v="0"/>
    <n v="0"/>
    <n v="3625356"/>
    <n v="3625356"/>
    <n v="2827777.68"/>
    <n v="2827777.68"/>
    <n v="1"/>
    <n v="7.158196134574087E-4"/>
    <n v="7.158196134574087E-4"/>
    <b v="0"/>
    <b v="0"/>
    <s v="Traditional (Local Team)"/>
    <s v="Argentina"/>
    <n v="260201121940"/>
    <n v="2595.1009305654975"/>
    <n v="2024.178725841088"/>
    <s v="Argentina"/>
    <s v="DIGITAL HIVE GROUP ARGENTINA"/>
    <s v="3NHZJ3EZX1"/>
    <s v="30715225537"/>
    <n v="30715225537"/>
    <s v="Brand Objectives"/>
    <d v="2026-03-06T17:29:00"/>
    <d v="2026-03-04T20:59:00"/>
    <b v="1"/>
    <b v="1"/>
    <d v="2026-02-01T00:00:00"/>
    <s v="Classic IO"/>
    <m/>
    <m/>
    <m/>
    <m/>
    <m/>
    <m/>
    <m/>
    <m/>
    <s v="Mexico"/>
    <s v="ARS"/>
    <n v="3625356"/>
    <s v="OK"/>
    <s v="OK"/>
    <n v="0"/>
    <s v="T3246185"/>
    <s v="ARS"/>
    <n v="3625356"/>
    <s v="OK"/>
    <n v="0"/>
    <m/>
    <m/>
    <s v="Miss"/>
    <m/>
    <s v="ARS"/>
    <n v="2827777.68"/>
    <s v="OK"/>
    <n v="0"/>
    <m/>
    <s v="OK. Twitter tax err."/>
    <s v="SO READY TO EXPORT"/>
    <s v="PO READY TO EXPORT"/>
    <n v="2595.1009305654975"/>
  </r>
  <r>
    <s v="IMS"/>
    <s v="T3246210"/>
    <s v="2026-02"/>
    <s v="February/2026"/>
    <d v="2026-02-28T00:00:00"/>
    <x v="69"/>
    <s v="802Um00000E09T3IAJ"/>
    <s v="AR00405725"/>
    <s v="006Um00000dxpBJIAY"/>
    <s v="0004953777"/>
    <x v="0"/>
    <s v="Activated"/>
    <s v="Confirmed"/>
    <s v="MMS Comunicaciones Argentina S.R.L"/>
    <x v="21"/>
    <s v="Twitter"/>
    <s v="Twitter Rep"/>
    <s v="LATAM"/>
    <s v="Argentina"/>
    <s v="Argentina"/>
    <x v="1"/>
    <s v="Mexico"/>
    <s v="Aleph Mexico"/>
    <s v="Promoted Tweet/Account"/>
    <s v="Auction"/>
    <s v="Auction"/>
    <x v="1"/>
    <s v="ARS"/>
    <n v="2113734.34"/>
    <n v="2113734.34"/>
    <n v="1"/>
    <n v="1"/>
    <n v="1"/>
    <n v="0.78"/>
    <n v="0.78"/>
    <n v="0"/>
    <m/>
    <n v="2113734.34"/>
    <n v="2113734.34"/>
    <n v="2113734.34"/>
    <n v="1648712.7852"/>
    <n v="1277699.6499999999"/>
    <m/>
    <n v="2113734.34"/>
    <n v="1513.0524982104509"/>
    <n v="1180.1809486041518"/>
    <n v="465021.55479999998"/>
    <n v="465021.55479999998"/>
    <n v="332.8715496062992"/>
    <n v="22"/>
    <x v="70"/>
    <s v="SO Exported to ERP"/>
    <m/>
    <s v="POIME-000032604"/>
    <s v="PO Exported to ERP"/>
    <m/>
    <m/>
    <m/>
    <x v="1"/>
    <x v="69"/>
    <s v="MMS Comunicaciones Argentina S.R.L"/>
    <x v="21"/>
    <s v="Nicolás Ferreiro"/>
    <s v="Macarena Ramos Taky"/>
    <s v="Macarena Ramos Taky"/>
    <s v="Twitter Rep | Promoted Tweet/Account | Argentina | ARS"/>
    <s v="Twitter Rep LATAM + WE"/>
    <s v="Aleph Argentina"/>
    <d v="2026-02-10T00:00:00"/>
    <d v="2026-04-10T00:00:00"/>
    <s v="75D"/>
    <m/>
    <n v="1"/>
    <s v="https://alephholding.lightning.force.com/lightning/r/OrderItem/802Um00000E09T3IAJ/view"/>
    <s v="AR00405725_TWR_001_001"/>
    <n v="0"/>
    <n v="0"/>
    <n v="0"/>
    <n v="0"/>
    <n v="2216666.6666666665"/>
    <n v="2216666.6666669999"/>
    <n v="1729000"/>
    <n v="1648712.7852"/>
    <n v="1"/>
    <n v="7.158196134574087E-4"/>
    <n v="7.158196134574087E-4"/>
    <b v="0"/>
    <b v="0"/>
    <s v="Digital Native / Performance"/>
    <s v="Argentina"/>
    <s v="021916 - 030305 - 040117"/>
    <n v="1513.0524982104509"/>
    <n v="1180.1809486041518"/>
    <s v="Argentina"/>
    <s v="MMS Comunicaciones Argentina Argentina"/>
    <s v="RJ4OR8JONT"/>
    <s v="30630308557"/>
    <n v="30630308557"/>
    <s v="Brand Objectives"/>
    <d v="2026-03-06T17:29:00"/>
    <d v="2026-03-04T20:59:00"/>
    <b v="1"/>
    <b v="1"/>
    <d v="2026-02-01T00:00:00"/>
    <s v="Classic IO"/>
    <m/>
    <m/>
    <m/>
    <m/>
    <m/>
    <m/>
    <m/>
    <m/>
    <s v="Mexico"/>
    <s v="ARS"/>
    <n v="2113734.34"/>
    <s v="OK"/>
    <s v="OK"/>
    <n v="0"/>
    <s v="T3246210"/>
    <s v="ARS"/>
    <n v="2113734.34"/>
    <s v="OK"/>
    <n v="0"/>
    <m/>
    <m/>
    <s v="Miss"/>
    <m/>
    <s v="ARS"/>
    <n v="1648712.79"/>
    <s v="OK"/>
    <n v="-4.7999999951571226E-3"/>
    <m/>
    <s v="OK. Twitter tax err."/>
    <s v="SO READY TO EXPORT"/>
    <s v="PO READY TO EXPORT"/>
    <n v="1513.0524982104509"/>
  </r>
  <r>
    <s v="IMS"/>
    <s v="T3248749"/>
    <s v="2026-02"/>
    <s v="February/2026"/>
    <d v="2026-02-28T00:00:00"/>
    <x v="70"/>
    <s v="802Um00000E1jsfIAB"/>
    <s v="AR00405872"/>
    <s v="006Um00000e0BajIAE"/>
    <s v="0004954804"/>
    <x v="0"/>
    <s v="Activated"/>
    <s v="Confirmed"/>
    <s v="Telecom Argentina SA"/>
    <x v="18"/>
    <s v="Twitter"/>
    <s v="Twitter Rep"/>
    <s v="LATAM"/>
    <s v="Argentina"/>
    <s v="Argentina"/>
    <x v="1"/>
    <s v="Mexico"/>
    <s v="Aleph Mexico"/>
    <s v="Promoted Tweet/Account"/>
    <s v="Auction"/>
    <s v="Auction"/>
    <x v="1"/>
    <s v="ARS"/>
    <n v="999321.21"/>
    <n v="999321.21"/>
    <n v="1"/>
    <n v="1"/>
    <n v="1"/>
    <n v="0.78"/>
    <n v="0.78"/>
    <n v="0"/>
    <m/>
    <n v="999321.21"/>
    <n v="999321.21"/>
    <n v="999321.21"/>
    <n v="779470.54379999998"/>
    <n v="604064.73"/>
    <m/>
    <n v="999321.21"/>
    <n v="715.33372226198992"/>
    <n v="557.96030336435217"/>
    <n v="219850.66620000001"/>
    <n v="219850.66620000001"/>
    <n v="157.37341889763781"/>
    <n v="22"/>
    <x v="71"/>
    <s v="SO Exported to ERP"/>
    <m/>
    <s v="POIME-000032618"/>
    <s v="PO Exported to ERP"/>
    <m/>
    <m/>
    <m/>
    <x v="1"/>
    <x v="70"/>
    <s v="Telecom Argentina SA"/>
    <x v="18"/>
    <s v="Nicolás Ferreiro"/>
    <s v="Talia Anael Alzieu"/>
    <s v="Talia Anael Alzieu"/>
    <s v="Twitter Rep | Promoted Tweet/Account | Argentina | ARS"/>
    <s v="Twitter Rep LATAM + WE"/>
    <s v="Aleph Argentina"/>
    <d v="2026-02-12T00:00:00"/>
    <d v="2026-02-27T00:00:00"/>
    <s v="90D"/>
    <m/>
    <n v="1"/>
    <s v="https://alephholding.lightning.force.com/lightning/r/OrderItem/802Um00000E1jsfIAB/view"/>
    <s v="AR00405872_TWR_001_001"/>
    <n v="0"/>
    <n v="0"/>
    <n v="0"/>
    <n v="0"/>
    <n v="1000000"/>
    <n v="1000000"/>
    <n v="780000"/>
    <n v="779470.54379999998"/>
    <n v="1"/>
    <n v="7.158196134574087E-4"/>
    <n v="7.158196134574087E-4"/>
    <b v="0"/>
    <b v="0"/>
    <s v="Traditional (Local Team)"/>
    <s v="Argentina"/>
    <n v="2285186"/>
    <n v="715.33372226199003"/>
    <n v="557.96030336435217"/>
    <s v="Argentina"/>
    <s v="DIGITAL HIVE GROUP ARGENTINA"/>
    <s v="OBRG85JGS0"/>
    <s v="30639453738"/>
    <n v="30639453738"/>
    <s v="Brand Objectives"/>
    <d v="2026-03-06T17:29:00"/>
    <d v="2026-03-06T13:51:00"/>
    <b v="1"/>
    <b v="1"/>
    <d v="2026-02-01T00:00:00"/>
    <s v="Classic IO"/>
    <m/>
    <m/>
    <m/>
    <m/>
    <m/>
    <m/>
    <m/>
    <m/>
    <s v="Mexico"/>
    <s v="ARS"/>
    <n v="999321.21"/>
    <s v="OK"/>
    <s v="OK"/>
    <n v="0"/>
    <s v="T3248749"/>
    <s v="ARS"/>
    <n v="999321.21"/>
    <s v="OK"/>
    <n v="0"/>
    <m/>
    <m/>
    <s v="Miss"/>
    <m/>
    <s v="ARS"/>
    <n v="779470.54"/>
    <s v="OK"/>
    <n v="3.7999999476596713E-3"/>
    <m/>
    <s v="OK. Twitter tax err."/>
    <s v="SO Exported to ERP"/>
    <s v="PO READY TO EXPORT"/>
    <n v="715.33372226198992"/>
  </r>
  <r>
    <s v="IMS"/>
    <s v="T3248784"/>
    <s v="2026-02"/>
    <s v="February/2026"/>
    <d v="2026-02-28T00:00:00"/>
    <x v="71"/>
    <s v="802Um00000E2SL7IAN"/>
    <s v="AR00405925"/>
    <s v="006Um00000e1aNNIAY"/>
    <s v="0004954900"/>
    <x v="0"/>
    <s v="Activated"/>
    <s v="Confirmed"/>
    <s v="Havas Media Argentina S.A."/>
    <x v="28"/>
    <s v="Twitter"/>
    <s v="Twitter Rep"/>
    <s v="LATAM"/>
    <s v="Argentina"/>
    <s v="Argentina"/>
    <x v="1"/>
    <s v="Mexico"/>
    <s v="Aleph Mexico"/>
    <s v="Promoted Tweet/Account"/>
    <s v="Auction"/>
    <s v="Auction"/>
    <x v="1"/>
    <s v="ARS"/>
    <n v="2499831.17"/>
    <n v="2499831.17"/>
    <n v="1"/>
    <n v="1"/>
    <n v="1"/>
    <n v="0.78"/>
    <n v="0.78"/>
    <n v="0"/>
    <m/>
    <n v="2499831.17"/>
    <n v="2499831.17"/>
    <n v="2499831.17"/>
    <n v="1949868.3126000001"/>
    <n v="1511085.55"/>
    <m/>
    <n v="2499831.17"/>
    <n v="1789.4281818181817"/>
    <n v="1395.753981818182"/>
    <n v="549962.85739999998"/>
    <n v="549962.85739999998"/>
    <n v="393.67419999999998"/>
    <n v="22"/>
    <x v="72"/>
    <s v="SO Exported to ERP"/>
    <m/>
    <s v="POIME-000032620"/>
    <s v="PO Exported to ERP"/>
    <m/>
    <m/>
    <m/>
    <x v="1"/>
    <x v="71"/>
    <s v="Havas Media Argentina S.A."/>
    <x v="28"/>
    <s v="Tomas Poletto"/>
    <s v="Tomas Poletto"/>
    <s v="Tomas Poletto"/>
    <s v="Twitter Rep | Promoted Tweet/Account | Argentina | ARS"/>
    <s v="Twitter Rep LATAM + WE"/>
    <s v="Aleph Argentina"/>
    <d v="2026-02-10T00:00:00"/>
    <d v="2026-02-28T00:00:00"/>
    <s v="75D"/>
    <m/>
    <n v="1"/>
    <s v="https://alephholding.lightning.force.com/lightning/r/OrderItem/802Um00000E2SL7IAN/view"/>
    <s v="AR00405925_TWR_001_001"/>
    <n v="0"/>
    <n v="0"/>
    <n v="0"/>
    <n v="0"/>
    <n v="2500000"/>
    <n v="2500000"/>
    <n v="1950000"/>
    <n v="1949868.3126000001"/>
    <n v="1"/>
    <n v="7.158196134574087E-4"/>
    <n v="7.158196134574087E-4"/>
    <b v="0"/>
    <b v="0"/>
    <s v="Traditional (Local Team)"/>
    <s v="Argentina"/>
    <s v="762308 / 0"/>
    <n v="1789.4281818181819"/>
    <n v="1395.7539818181817"/>
    <s v="Argentina"/>
    <s v="Havas Media Argentina Argentina"/>
    <s v="TGTSE08ECM"/>
    <s v="33695614549"/>
    <n v="33695614549"/>
    <s v="Brand Objectives"/>
    <d v="2026-03-06T17:29:00"/>
    <d v="2026-03-04T20:59:00"/>
    <b v="1"/>
    <b v="1"/>
    <d v="2026-02-01T00:00:00"/>
    <s v="Classic IO"/>
    <m/>
    <m/>
    <m/>
    <m/>
    <m/>
    <m/>
    <m/>
    <m/>
    <s v="Mexico"/>
    <s v="ARS"/>
    <n v="2499831.17"/>
    <s v="OK"/>
    <s v="OK"/>
    <n v="0"/>
    <s v="T3248784"/>
    <s v="ARS"/>
    <n v="2499831.17"/>
    <s v="OK"/>
    <n v="0"/>
    <m/>
    <m/>
    <s v="Miss"/>
    <m/>
    <s v="ARS"/>
    <n v="1949868.31"/>
    <s v="OK"/>
    <n v="2.6000000070780516E-3"/>
    <m/>
    <s v="OK. Twitter tax err."/>
    <s v="SO READY TO EXPORT"/>
    <s v="PO READY TO EXPORT"/>
    <n v="1789.4281818181817"/>
  </r>
  <r>
    <s v="IMS"/>
    <s v="T3248789"/>
    <s v="2026-02"/>
    <s v="February/2026"/>
    <d v="2026-02-28T00:00:00"/>
    <x v="72"/>
    <s v="802Um00000E2OfhIAF"/>
    <s v="AR00405920"/>
    <s v="006Um00000e1LeTIAU"/>
    <s v="0004954898"/>
    <x v="0"/>
    <s v="Activated"/>
    <s v="Confirmed"/>
    <s v="YPF S.A."/>
    <x v="19"/>
    <s v="Twitter"/>
    <s v="Twitter Rep"/>
    <s v="LATAM"/>
    <s v="Argentina"/>
    <s v="Argentina"/>
    <x v="1"/>
    <s v="Mexico"/>
    <s v="Aleph Mexico"/>
    <s v="Promoted Tweet/Account"/>
    <s v="Auction"/>
    <s v="Auction"/>
    <x v="1"/>
    <s v="ARS"/>
    <n v="6195989.9900000002"/>
    <n v="6195989.9900000002"/>
    <n v="1"/>
    <n v="1"/>
    <n v="1"/>
    <n v="0.78"/>
    <n v="0.78"/>
    <n v="0"/>
    <m/>
    <n v="6195989.9900000002"/>
    <n v="6195989.9900000002"/>
    <n v="6195989.9900000002"/>
    <n v="4832872.1922000004"/>
    <n v="3745321.3"/>
    <m/>
    <n v="6195989.9900000002"/>
    <n v="4435.2111596277737"/>
    <n v="3459.464704509664"/>
    <n v="1363117.7978000001"/>
    <n v="1363117.7978000001"/>
    <n v="975.74645511811025"/>
    <n v="22"/>
    <x v="73"/>
    <s v="SO Exported to ERP"/>
    <m/>
    <s v="POIME-000032625"/>
    <s v="PO Exported to ERP"/>
    <m/>
    <m/>
    <m/>
    <x v="1"/>
    <x v="72"/>
    <s v="YPF S.A."/>
    <x v="19"/>
    <s v="Miguel Jose Torrealba Alfonzo"/>
    <s v="Macarena Ramos Taky"/>
    <s v="Macarena Ramos Taky"/>
    <s v="Twitter Rep | Promoted Tweet/Account | Argentina | ARS"/>
    <s v="Twitter Rep LATAM + WE"/>
    <s v="Aleph Argentina"/>
    <d v="2026-02-11T00:00:00"/>
    <d v="2026-02-28T00:00:00"/>
    <s v="30D"/>
    <m/>
    <n v="1"/>
    <s v="https://alephholding.lightning.force.com/lightning/r/OrderItem/802Um00000E2OfhIAF/view"/>
    <s v="AR00405920_TWR_001_001"/>
    <n v="0"/>
    <n v="0"/>
    <n v="0"/>
    <n v="0"/>
    <n v="6195990"/>
    <n v="6195990"/>
    <n v="4832872.2"/>
    <n v="4832872.1922000004"/>
    <n v="1"/>
    <n v="7.158196134574087E-4"/>
    <n v="7.158196134574087E-4"/>
    <b v="0"/>
    <b v="0"/>
    <s v="Traditional (Local Team)"/>
    <s v="Argentina"/>
    <s v="00505324 / 0"/>
    <n v="4435.2111596277737"/>
    <n v="3459.4647045096635"/>
    <s v="Argentina"/>
    <s v="Carat Argentina SA"/>
    <s v="JNS8FCESJ5"/>
    <s v="30546689979"/>
    <n v="30546689979"/>
    <s v="Brand Objectives"/>
    <d v="2026-03-06T17:29:00"/>
    <d v="2026-03-04T20:59:00"/>
    <b v="1"/>
    <b v="1"/>
    <d v="2026-02-01T00:00:00"/>
    <s v="Classic IO"/>
    <m/>
    <m/>
    <m/>
    <m/>
    <m/>
    <m/>
    <m/>
    <s v="Do the Upsell OR Create New Opp"/>
    <s v="Mexico"/>
    <s v="ARS"/>
    <n v="6200280.3600000003"/>
    <s v="OK"/>
    <s v="OK"/>
    <n v="-4290.3700000001118"/>
    <s v="T3248789"/>
    <s v="ARS"/>
    <n v="6195989.9900000002"/>
    <s v="OK"/>
    <n v="0"/>
    <m/>
    <m/>
    <s v="Miss"/>
    <m/>
    <s v="ARS"/>
    <n v="4832872.2"/>
    <s v="OK"/>
    <n v="-7.799999788403511E-3"/>
    <m/>
    <s v="OK. Twitter tax err."/>
    <s v="SO READY TO EXPORT"/>
    <s v="PO READY TO EXPORT"/>
    <n v="4435.2111596277737"/>
  </r>
  <r>
    <s v="IMS"/>
    <s v="T3249000"/>
    <s v="2026-02"/>
    <s v="February/2026"/>
    <d v="2026-02-28T00:00:00"/>
    <x v="73"/>
    <s v="802Um00000E6vd3IAB"/>
    <s v="AR00405931"/>
    <s v="006Um00000e1tHxIAI"/>
    <s v="0004956946"/>
    <x v="0"/>
    <s v="Activated"/>
    <s v="Confirmed"/>
    <s v="IPG Media Brands SA (Arg)"/>
    <x v="12"/>
    <s v="Twitter"/>
    <s v="Twitter Rep"/>
    <s v="LATAM"/>
    <s v="Argentina"/>
    <s v="Argentina"/>
    <x v="1"/>
    <s v="Mexico"/>
    <s v="Aleph Mexico"/>
    <s v="Promoted Tweet/Account"/>
    <s v="Auction"/>
    <s v="Auction"/>
    <x v="1"/>
    <s v="ARS"/>
    <n v="4901475.9400000004"/>
    <n v="4901475.9400000004"/>
    <n v="1"/>
    <n v="1"/>
    <n v="1"/>
    <n v="0.78"/>
    <n v="0.78"/>
    <n v="0"/>
    <m/>
    <n v="4901475.9400000004"/>
    <n v="4901475.9400000004"/>
    <n v="4901475.9400000004"/>
    <n v="3823151.2332000001"/>
    <n v="2962819.86"/>
    <m/>
    <n v="4901475.9400000004"/>
    <n v="3508.5726127415896"/>
    <n v="2736.6866379384396"/>
    <n v="1078324.7068"/>
    <n v="1078324.7068"/>
    <n v="771.88597480314968"/>
    <n v="22"/>
    <x v="74"/>
    <s v="SO Exported to ERP"/>
    <m/>
    <s v="POIME-000032626"/>
    <s v="PO Exported to ERP"/>
    <m/>
    <m/>
    <m/>
    <x v="1"/>
    <x v="73"/>
    <s v="IPG Media Brands SA (Arg)"/>
    <x v="12"/>
    <s v="Tomas Poletto"/>
    <s v="Tomas Poletto"/>
    <s v="Tomas Poletto"/>
    <s v="Twitter Rep | Promoted Tweet/Account | Argentina | ARS"/>
    <s v="Twitter Rep LATAM + WE"/>
    <s v="Aleph Argentina"/>
    <d v="2026-02-10T00:00:00"/>
    <d v="2026-02-15T00:00:00"/>
    <s v="75D"/>
    <m/>
    <n v="1"/>
    <s v="https://alephholding.lightning.force.com/lightning/r/OrderItem/802Um00000E6vd3IAB/view"/>
    <s v="AR00405931_TWR_001_001"/>
    <n v="0"/>
    <n v="0"/>
    <n v="0"/>
    <n v="0"/>
    <n v="12969532"/>
    <n v="12969532"/>
    <n v="10116234.960000001"/>
    <n v="3823151.2332000001"/>
    <n v="1"/>
    <n v="7.158196134574087E-4"/>
    <n v="7.158196134574087E-4"/>
    <b v="0"/>
    <b v="0"/>
    <s v="Traditional (Local Team)"/>
    <s v="Argentina"/>
    <s v="1074008 / 4"/>
    <n v="3508.5726127415892"/>
    <n v="2736.6866379384396"/>
    <s v="Argentina"/>
    <s v="IPG Media Brands SA (Arg)"/>
    <s v="2ETAFBXN2W"/>
    <s v="30693739698"/>
    <n v="30693739698"/>
    <s v="Brand Objectives"/>
    <d v="2026-03-06T17:29:00"/>
    <d v="2026-03-04T20:59:00"/>
    <b v="1"/>
    <b v="1"/>
    <d v="2026-02-01T00:00:00"/>
    <s v="Classic IO"/>
    <m/>
    <m/>
    <m/>
    <m/>
    <m/>
    <m/>
    <m/>
    <m/>
    <s v="Mexico"/>
    <s v="ARS"/>
    <n v="4901475.9400000004"/>
    <s v="OK"/>
    <s v="OK"/>
    <n v="0"/>
    <s v="T3249000"/>
    <s v="ARS"/>
    <n v="4901475.9400000004"/>
    <s v="OK"/>
    <n v="0"/>
    <m/>
    <m/>
    <s v="Miss"/>
    <m/>
    <s v="ARS"/>
    <n v="3823151.23"/>
    <s v="OK"/>
    <n v="3.2000001519918442E-3"/>
    <m/>
    <s v="OK. Twitter tax err."/>
    <s v="SO READY TO EXPORT"/>
    <s v="PO READY TO EXPORT"/>
    <n v="3508.5726127415896"/>
  </r>
  <r>
    <s v="IMS"/>
    <s v="T3249016"/>
    <s v="2026-02"/>
    <s v="February/2026"/>
    <d v="2026-02-28T00:00:00"/>
    <x v="74"/>
    <s v="802Um00000E5Cq6IAF"/>
    <s v="AR00406161"/>
    <s v="006Um00000e5w7ZIAQ"/>
    <s v="0004956304"/>
    <x v="0"/>
    <s v="Activated"/>
    <s v="Confirmed"/>
    <s v="IPG Media Brands SA (Arg)"/>
    <x v="12"/>
    <s v="Twitter"/>
    <s v="Twitter Rep"/>
    <s v="LATAM"/>
    <s v="Argentina"/>
    <s v="Argentina"/>
    <x v="1"/>
    <s v="Mexico"/>
    <s v="Aleph Mexico"/>
    <s v="Promoted Tweet/Account"/>
    <s v="Auction"/>
    <s v="Auction"/>
    <x v="1"/>
    <s v="ARS"/>
    <n v="2300000"/>
    <n v="2300000"/>
    <n v="1"/>
    <n v="1"/>
    <n v="1"/>
    <n v="0.78"/>
    <n v="0.78"/>
    <n v="0"/>
    <m/>
    <n v="2300000"/>
    <n v="2300000"/>
    <n v="2300000"/>
    <n v="1794000"/>
    <n v="1390292.59"/>
    <m/>
    <n v="2300000"/>
    <n v="1646.3851109520401"/>
    <n v="1284.1803865425914"/>
    <n v="506000"/>
    <n v="506000"/>
    <n v="362.20472440944883"/>
    <n v="22"/>
    <x v="75"/>
    <s v="SO Exported to ERP"/>
    <m/>
    <s v="POIME-000032624"/>
    <s v="PO Exported to ERP"/>
    <m/>
    <m/>
    <m/>
    <x v="1"/>
    <x v="74"/>
    <s v="IPG Media Brands SA (Arg)"/>
    <x v="12"/>
    <s v="Miguel Jose Torrealba Alfonzo"/>
    <s v="Macarena Ramos Taky"/>
    <s v="Macarena Ramos Taky"/>
    <s v="Twitter Rep | Promoted Tweet/Account | Argentina | ARS"/>
    <s v="Twitter Rep LATAM + WE"/>
    <s v="Aleph Argentina"/>
    <d v="2026-02-01T00:00:00"/>
    <d v="2026-02-28T00:00:00"/>
    <s v="75D"/>
    <m/>
    <n v="1"/>
    <s v="https://alephholding.lightning.force.com/lightning/r/OrderItem/802Um00000E5Cq6IAF/view"/>
    <s v="AR00406161_TWR_001_001"/>
    <n v="0"/>
    <n v="0"/>
    <n v="0"/>
    <n v="0"/>
    <n v="2300000"/>
    <n v="2300000"/>
    <n v="1794000"/>
    <n v="1794000"/>
    <n v="1"/>
    <n v="7.158196134574087E-4"/>
    <n v="7.158196134574087E-4"/>
    <b v="0"/>
    <b v="0"/>
    <s v="Traditional (Local Team)"/>
    <s v="Argentina"/>
    <s v="1074714 / 1"/>
    <n v="1646.3851109520401"/>
    <n v="1284.1803865425914"/>
    <s v="Argentina"/>
    <s v="IPG Media Brands SA (Arg)"/>
    <s v="2ETAFBXN2W"/>
    <s v="30693739698"/>
    <n v="30693739698"/>
    <s v="Brand Objectives"/>
    <d v="2026-03-06T17:29:00"/>
    <d v="2026-03-04T20:59:00"/>
    <b v="1"/>
    <b v="1"/>
    <d v="2026-02-01T00:00:00"/>
    <s v="Classic IO"/>
    <m/>
    <m/>
    <m/>
    <m/>
    <m/>
    <m/>
    <m/>
    <s v="Do the Upsell OR Create New Opp"/>
    <s v="Mexico"/>
    <s v="ARS"/>
    <n v="2302160.9300000002"/>
    <s v="OK"/>
    <s v="OK"/>
    <n v="-2160.9300000001676"/>
    <s v="T3249016"/>
    <s v="ARS"/>
    <n v="2300000"/>
    <s v="OK"/>
    <n v="0"/>
    <m/>
    <m/>
    <s v="Miss"/>
    <m/>
    <s v="ARS"/>
    <n v="1794000"/>
    <s v="OK"/>
    <n v="0"/>
    <m/>
    <s v="OK. Twitter tax err."/>
    <s v="SO READY TO EXPORT"/>
    <s v="PO READY TO EXPORT"/>
    <n v="1646.3851109520401"/>
  </r>
  <r>
    <s v="IMS"/>
    <s v="T3249044"/>
    <s v="2026-02"/>
    <s v="February/2026"/>
    <d v="2026-02-28T00:00:00"/>
    <x v="75"/>
    <s v="802Um00000ELURFIA5"/>
    <s v="AR00407561"/>
    <s v="006Um00000eW6CwIAK"/>
    <s v="0004963685"/>
    <x v="0"/>
    <s v="Activated"/>
    <s v="Confirmed"/>
    <s v="IPG Media Brands SA (Arg)"/>
    <x v="12"/>
    <s v="Twitter"/>
    <s v="Twitter Billing"/>
    <s v="LATAM"/>
    <s v="Argentina"/>
    <s v="Argentina"/>
    <x v="1"/>
    <s v="Mexico"/>
    <s v="Aleph Mexico"/>
    <s v="Promoted Tweet/Account"/>
    <s v="Auction"/>
    <s v="Auction"/>
    <x v="1"/>
    <s v="ARS"/>
    <n v="9224933.0199999996"/>
    <n v="9224933.0199999996"/>
    <n v="1"/>
    <n v="1"/>
    <n v="1"/>
    <n v="0.85"/>
    <n v="0.85"/>
    <n v="0"/>
    <m/>
    <n v="9224933.0199999996"/>
    <n v="9224933.0199999996"/>
    <n v="9224933.0199999996"/>
    <n v="7841193.0669999998"/>
    <n v="6088409.6699999999"/>
    <m/>
    <n v="9224933.0199999996"/>
    <n v="6603.3879885468859"/>
    <n v="5612.879790264853"/>
    <n v="1383739.953"/>
    <n v="1383739.953"/>
    <n v="990.50819828203294"/>
    <n v="15"/>
    <x v="76"/>
    <s v="SO Exported to ERP"/>
    <m/>
    <s v="POIME-000032568"/>
    <s v="PO Exported to ERP"/>
    <m/>
    <m/>
    <m/>
    <x v="1"/>
    <x v="75"/>
    <s v="IPG Media Brands SA (Arg)"/>
    <x v="12"/>
    <s v="Valentina Pulido"/>
    <s v="Valentina Pulido"/>
    <s v="Valentina Pulido"/>
    <s v="Twitter Billing | Promoted Tweet/Account | Twitter Billing | USD"/>
    <s v="Twitter Billing LATAM + WE"/>
    <s v="Aleph Argentina"/>
    <d v="2026-02-18T00:00:00"/>
    <d v="2026-03-03T00:00:00"/>
    <s v="75D"/>
    <m/>
    <n v="1"/>
    <s v="https://alephholding.lightning.force.com/lightning/r/OrderItem/802Um00000ELURFIA5/view"/>
    <s v="AR00407561_TWB_001_001"/>
    <n v="0"/>
    <n v="0"/>
    <n v="0"/>
    <n v="0"/>
    <n v="9227780.5714285709"/>
    <n v="9227780.5714289993"/>
    <n v="7843613.4857139997"/>
    <n v="7841193.0669999998"/>
    <n v="1"/>
    <n v="7.158196134574087E-4"/>
    <n v="7.158196134574087E-4"/>
    <b v="0"/>
    <b v="0"/>
    <s v="Traditional (Local Team)"/>
    <s v="Argentina"/>
    <s v="1075441 / 1 - O1075442 / 1"/>
    <n v="6603.3879885468859"/>
    <n v="5612.879790264853"/>
    <s v="Argentina"/>
    <s v="IPG Media Brands SA (Arg)"/>
    <s v="2ETAFBXN2W"/>
    <s v="30693739698"/>
    <n v="30693739698"/>
    <s v="Brand Objectives"/>
    <d v="2026-03-06T17:29:00"/>
    <d v="2026-03-05T16:42:00"/>
    <b v="1"/>
    <b v="1"/>
    <d v="2026-02-01T00:00:00"/>
    <s v="Classic IO"/>
    <m/>
    <m/>
    <m/>
    <m/>
    <m/>
    <m/>
    <m/>
    <m/>
    <m/>
    <m/>
    <m/>
    <s v="Miss"/>
    <s v="Miss"/>
    <m/>
    <s v="T3249044"/>
    <s v="ARS"/>
    <n v="9224933.0199999996"/>
    <s v="OK"/>
    <n v="0"/>
    <m/>
    <m/>
    <s v="Miss"/>
    <m/>
    <s v="ARS"/>
    <n v="7195447.7599999998"/>
    <s v="OK"/>
    <n v="645745.30700000003"/>
    <m/>
    <s v="OK. Twitter Comm. ERR"/>
    <s v="SO READY TO EXPORT"/>
    <s v="PO READY TO EXPORT"/>
    <n v="6603.3879885468859"/>
  </r>
  <r>
    <s v="IMS"/>
    <s v="T3249307"/>
    <s v="2026-02"/>
    <s v="February/2026"/>
    <d v="2026-02-28T00:00:00"/>
    <x v="76"/>
    <s v="802Um00000E7fsnIAB"/>
    <s v="AR00406357"/>
    <s v="006Um00000e9oBRIAY"/>
    <s v="0004957030"/>
    <x v="0"/>
    <s v="Activated"/>
    <s v="Confirmed"/>
    <s v="YPF S.A."/>
    <x v="19"/>
    <s v="Twitter"/>
    <s v="Twitter Rep"/>
    <s v="LATAM"/>
    <s v="Argentina"/>
    <s v="Argentina"/>
    <x v="1"/>
    <s v="Mexico"/>
    <s v="Aleph Mexico"/>
    <s v="Promoted Tweet/Account"/>
    <s v="Auction"/>
    <s v="Auction"/>
    <x v="1"/>
    <s v="ARS"/>
    <n v="232244.92"/>
    <n v="232244.92"/>
    <n v="1"/>
    <n v="1"/>
    <n v="1"/>
    <n v="0.78"/>
    <n v="0.78"/>
    <n v="0"/>
    <m/>
    <n v="232244.92"/>
    <n v="232244.92"/>
    <n v="232244.92"/>
    <n v="181151.03760000001"/>
    <n v="140386.26"/>
    <m/>
    <n v="232244.92"/>
    <n v="166.24546886184683"/>
    <n v="129.67146571224052"/>
    <n v="51093.882400000002"/>
    <n v="51093.882400000002"/>
    <n v="36.574003149606298"/>
    <n v="22"/>
    <x v="77"/>
    <s v="SO Exported to ERP"/>
    <m/>
    <s v="POIME-000032645"/>
    <s v="PO Exported to ERP"/>
    <m/>
    <m/>
    <m/>
    <x v="1"/>
    <x v="76"/>
    <s v="YPF S.A."/>
    <x v="19"/>
    <s v="Miguel Jose Torrealba Alfonzo"/>
    <s v="Macarena Ramos Taky"/>
    <s v="Macarena Ramos Taky"/>
    <s v="Twitter Rep | Promoted Tweet/Account | Argentina | ARS"/>
    <s v="Twitter Rep LATAM + WE"/>
    <s v="Aleph Argentina"/>
    <d v="2026-02-14T00:00:00"/>
    <d v="2026-02-21T00:00:00"/>
    <s v="30D"/>
    <m/>
    <n v="1"/>
    <s v="https://alephholding.lightning.force.com/lightning/r/OrderItem/802Um00000E7fsnIAB/view"/>
    <s v="AR00406357_TWR_001_001"/>
    <n v="0"/>
    <n v="0"/>
    <n v="0"/>
    <n v="0"/>
    <n v="249000.75"/>
    <n v="249000.75"/>
    <n v="194220.58499999999"/>
    <n v="181151.03760000001"/>
    <n v="1"/>
    <n v="7.158196134574087E-4"/>
    <n v="7.158196134574087E-4"/>
    <b v="0"/>
    <b v="0"/>
    <s v="Traditional (Local Team)"/>
    <s v="Argentina"/>
    <s v="00505412 / 0"/>
    <n v="166.2454688618468"/>
    <n v="129.67146571224052"/>
    <s v="Argentina"/>
    <s v="Carat Argentina SA"/>
    <s v="JNS8FCESJ5"/>
    <s v="30546689979"/>
    <n v="30546689979"/>
    <s v="Brand Objectives"/>
    <d v="2026-03-06T17:29:00"/>
    <d v="2026-03-04T20:59:00"/>
    <b v="1"/>
    <b v="1"/>
    <d v="2026-02-01T00:00:00"/>
    <s v="Classic IO"/>
    <m/>
    <m/>
    <m/>
    <m/>
    <m/>
    <m/>
    <m/>
    <m/>
    <s v="Mexico"/>
    <s v="ARS"/>
    <n v="232244.92"/>
    <s v="OK"/>
    <s v="OK"/>
    <n v="0"/>
    <s v="T3249307"/>
    <s v="ARS"/>
    <n v="232244.92"/>
    <s v="OK"/>
    <n v="0"/>
    <m/>
    <m/>
    <s v="Miss"/>
    <m/>
    <s v="ARS"/>
    <n v="181151.04"/>
    <s v="OK"/>
    <n v="-2.3999999975785613E-3"/>
    <m/>
    <s v="OK. Twitter tax err."/>
    <s v="SO READY TO EXPORT"/>
    <s v="PO READY TO EXPORT"/>
    <n v="166.24546886184683"/>
  </r>
  <r>
    <s v="IMS"/>
    <s v="T3249527"/>
    <s v="2026-02"/>
    <s v="February/2026"/>
    <d v="2026-02-28T00:00:00"/>
    <x v="77"/>
    <s v="802Um00000EBbPBIA1"/>
    <s v="AR00406370"/>
    <s v="006Um00000eA68LIAS"/>
    <s v="0004958426"/>
    <x v="0"/>
    <s v="Activated"/>
    <s v="Confirmed"/>
    <s v="MMS Comunicaciones Argentina S.R.L"/>
    <x v="21"/>
    <s v="Twitter"/>
    <s v="Twitter Rep"/>
    <s v="LATAM"/>
    <s v="Argentina"/>
    <s v="Argentina"/>
    <x v="1"/>
    <s v="Mexico"/>
    <s v="Aleph Mexico"/>
    <s v="Promoted Tweet/Account"/>
    <s v="Auction"/>
    <s v="Auction"/>
    <x v="1"/>
    <s v="ARS"/>
    <n v="298515.78999999998"/>
    <n v="298515.78999999998"/>
    <n v="1"/>
    <n v="1"/>
    <n v="1"/>
    <n v="0.78"/>
    <n v="0.78"/>
    <n v="0"/>
    <m/>
    <n v="298515.78999999998"/>
    <n v="298515.78999999998"/>
    <n v="298515.78999999998"/>
    <n v="232842.3162"/>
    <n v="180445.34"/>
    <m/>
    <n v="298515.78999999998"/>
    <n v="213.68345740873298"/>
    <n v="166.67309677881175"/>
    <n v="65673.473800000007"/>
    <n v="65673.473800000007"/>
    <n v="47.010360629921266"/>
    <n v="22"/>
    <x v="78"/>
    <s v="SO Exported to ERP"/>
    <m/>
    <s v="POIME-000032637"/>
    <s v="PO Exported to ERP"/>
    <m/>
    <m/>
    <m/>
    <x v="1"/>
    <x v="77"/>
    <s v="MMS Comunicaciones Argentina S.R.L"/>
    <x v="21"/>
    <s v="Nicolás Ferreiro"/>
    <s v="Macarena Ramos Taky"/>
    <s v="Macarena Ramos Taky"/>
    <s v="Twitter Rep | Promoted Tweet/Account | Argentina | ARS"/>
    <s v="Twitter Rep LATAM + WE"/>
    <s v="Aleph Argentina"/>
    <d v="2026-02-18T00:00:00"/>
    <d v="2026-03-18T00:00:00"/>
    <s v="75D"/>
    <m/>
    <n v="1"/>
    <s v="https://alephholding.lightning.force.com/lightning/r/OrderItem/802Um00000EBbPBIA1/view"/>
    <s v="AR00406370_TWR_001_001"/>
    <n v="0"/>
    <n v="0"/>
    <n v="0"/>
    <n v="0"/>
    <n v="341379.31034482759"/>
    <n v="341379.31034500001"/>
    <n v="266275.86206900002"/>
    <n v="232842.3162"/>
    <n v="1"/>
    <n v="7.158196134574087E-4"/>
    <n v="7.158196134574087E-4"/>
    <b v="0"/>
    <b v="0"/>
    <s v="Digital Native / Performance"/>
    <s v="Argentina"/>
    <s v="022141 - 030369"/>
    <n v="213.68345740873301"/>
    <n v="166.67309677881173"/>
    <s v="Argentina"/>
    <s v="MMS Comunicaciones Argentina Argentina"/>
    <s v="RJ4OR8JONT"/>
    <s v="30630308557"/>
    <n v="30630308557"/>
    <s v="Brand Objectives"/>
    <d v="2026-03-06T17:29:00"/>
    <d v="2026-03-04T20:59:00"/>
    <b v="1"/>
    <b v="1"/>
    <d v="2026-02-01T00:00:00"/>
    <s v="Classic IO"/>
    <m/>
    <m/>
    <m/>
    <m/>
    <m/>
    <m/>
    <m/>
    <m/>
    <s v="Mexico"/>
    <s v="ARS"/>
    <n v="298515.78999999998"/>
    <s v="OK"/>
    <s v="OK"/>
    <n v="0"/>
    <s v="T3249527"/>
    <s v="ARS"/>
    <n v="298515.78999999998"/>
    <s v="OK"/>
    <n v="0"/>
    <m/>
    <m/>
    <s v="Miss"/>
    <m/>
    <s v="ARS"/>
    <n v="232842.32"/>
    <s v="OK"/>
    <n v="-3.8000000058673322E-3"/>
    <m/>
    <s v="OK. Twitter tax err."/>
    <s v="SO READY TO EXPORT"/>
    <s v="PO READY TO EXPORT"/>
    <n v="213.68345740873298"/>
  </r>
  <r>
    <s v="IMS"/>
    <s v="T3251978"/>
    <s v="2026-02"/>
    <s v="February/2026"/>
    <d v="2026-02-28T00:00:00"/>
    <x v="55"/>
    <s v="802Um00000Eq3mZIAR"/>
    <s v="AR00402266"/>
    <s v="006Um00000eV09ZIAS"/>
    <s v="0005000724"/>
    <x v="0"/>
    <s v="Activated"/>
    <s v="Confirmed"/>
    <s v="Delivery Hero E-commerce SA"/>
    <x v="16"/>
    <s v="Twitter"/>
    <s v="Twitter Rep"/>
    <s v="LATAM"/>
    <s v="Argentina"/>
    <s v="Argentina"/>
    <x v="1"/>
    <s v="Mexico"/>
    <s v="Aleph Mexico"/>
    <s v="Promoted Tweet/Account"/>
    <s v="Auction"/>
    <s v="Auction"/>
    <x v="1"/>
    <s v="ARS"/>
    <n v="343.25"/>
    <n v="343.25"/>
    <n v="1"/>
    <n v="1"/>
    <n v="1"/>
    <n v="0.78"/>
    <n v="0.78"/>
    <n v="0"/>
    <m/>
    <n v="343.25"/>
    <n v="343.25"/>
    <n v="343.25"/>
    <n v="267.73500000000001"/>
    <n v="207.49"/>
    <m/>
    <n v="343.25"/>
    <n v="0.24570508231925556"/>
    <n v="0.19164996420901934"/>
    <n v="75.515000000000001"/>
    <n v="75.515000000000001"/>
    <n v="5.4055118110236222E-2"/>
    <n v="22"/>
    <x v="56"/>
    <s v="SO Exported to ERP"/>
    <m/>
    <s v="POIME-000032603"/>
    <s v="PO Exported to ERP"/>
    <m/>
    <m/>
    <m/>
    <x v="1"/>
    <x v="55"/>
    <s v="Delivery Hero E-commerce SA"/>
    <x v="16"/>
    <s v="Jorge Osuna"/>
    <s v="Jorge Osuna"/>
    <s v="Jorge Osuna"/>
    <s v="Twitter Rep | Promoted Tweet/Account | Argentina | ARS"/>
    <s v="Twitter Rep LATAM + WE"/>
    <s v="Aleph Argentina"/>
    <d v="2026-02-01T00:00:00"/>
    <d v="2026-06-30T00:00:00"/>
    <s v="30D"/>
    <m/>
    <n v="1"/>
    <s v="https://alephholding.lightning.force.com/lightning/r/OrderItem/802Um00000Eq3mZIAR/view"/>
    <s v="AR00402266_TWR_003_004"/>
    <n v="0"/>
    <n v="0"/>
    <n v="0"/>
    <n v="0"/>
    <n v="1"/>
    <n v="1"/>
    <n v="0.78"/>
    <n v="267.73500000000001"/>
    <n v="1"/>
    <n v="7.158196134574087E-4"/>
    <n v="7.158196134574087E-4"/>
    <b v="1"/>
    <b v="1"/>
    <s v="Traditional (Local Team)"/>
    <s v="Argentina"/>
    <n v="4400235981"/>
    <n v="0.24570508231925556"/>
    <n v="0.19164996420901934"/>
    <s v="Argentina"/>
    <m/>
    <s v="5FI5X0WWU7"/>
    <s v="30711985766"/>
    <n v="30711985766"/>
    <s v="Brand Objectives"/>
    <d v="2026-03-07T13:20:00"/>
    <d v="2026-03-06T17:45:00"/>
    <b v="1"/>
    <b v="1"/>
    <d v="2026-02-01T00:00:00"/>
    <s v="Classic IO"/>
    <m/>
    <m/>
    <m/>
    <m/>
    <m/>
    <m/>
    <m/>
    <m/>
    <s v="Mexico"/>
    <s v="ARS"/>
    <n v="343.25"/>
    <s v="OK"/>
    <s v="OK"/>
    <n v="0"/>
    <s v="T3251978"/>
    <s v="ARS"/>
    <n v="343.25"/>
    <s v="OK"/>
    <n v="0"/>
    <m/>
    <m/>
    <s v="Miss"/>
    <m/>
    <s v="ARS"/>
    <n v="267.73"/>
    <s v="OK"/>
    <n v="4.9999999999954525E-3"/>
    <m/>
    <s v="OK"/>
    <s v="SO READY TO EXPORT"/>
    <s v="PO READY TO EXPORT"/>
    <n v="0.24570508231925556"/>
  </r>
  <r>
    <s v="IMS"/>
    <s v="T3252256"/>
    <s v="2026-02"/>
    <s v="February/2026"/>
    <d v="2026-02-28T00:00:00"/>
    <x v="78"/>
    <s v="802Um00000EPwS9IAL"/>
    <s v="AR00407753"/>
    <s v="006Um00000ecGfpIAE"/>
    <s v="0004966497"/>
    <x v="0"/>
    <s v="Activated"/>
    <s v="Confirmed"/>
    <s v="YPF S.A."/>
    <x v="19"/>
    <s v="Twitter"/>
    <s v="Twitter Rep"/>
    <s v="LATAM"/>
    <s v="Argentina"/>
    <s v="Argentina"/>
    <x v="1"/>
    <s v="Mexico"/>
    <s v="Aleph Mexico"/>
    <s v="Promoted Tweet/Account"/>
    <s v="Auction"/>
    <s v="Auction"/>
    <x v="1"/>
    <s v="ARS"/>
    <n v="1585096.5"/>
    <n v="1585096.5"/>
    <n v="1"/>
    <n v="1"/>
    <n v="1"/>
    <n v="0.78"/>
    <n v="0.78"/>
    <n v="0"/>
    <m/>
    <n v="1585096.5"/>
    <n v="1585096.5"/>
    <n v="1585096.5"/>
    <n v="1236375.27"/>
    <n v="958151.27"/>
    <m/>
    <n v="1585096.5"/>
    <n v="1134.6431639226914"/>
    <n v="885.02166785969939"/>
    <n v="348721.23"/>
    <n v="348721.23"/>
    <n v="249.62149606299212"/>
    <n v="22"/>
    <x v="79"/>
    <s v="SO Exported to ERP"/>
    <m/>
    <s v="POIME-000032646"/>
    <s v="PO Exported to ERP"/>
    <m/>
    <m/>
    <m/>
    <x v="1"/>
    <x v="78"/>
    <s v="YPF S.A."/>
    <x v="19"/>
    <s v="Miguel Jose Torrealba Alfonzo"/>
    <s v="Macarena Ramos Taky"/>
    <s v="Macarena Ramos Taky"/>
    <s v="Twitter Rep | Promoted Tweet/Account | Argentina | ARS"/>
    <s v="Twitter Rep LATAM + WE"/>
    <s v="Aleph Argentina"/>
    <d v="2026-02-20T00:00:00"/>
    <d v="2026-02-28T00:00:00"/>
    <s v="30D"/>
    <m/>
    <n v="1"/>
    <s v="https://alephholding.lightning.force.com/lightning/r/OrderItem/802Um00000EPwS9IAL/view"/>
    <s v="AR00407753_TWR_001_001"/>
    <n v="0"/>
    <n v="0"/>
    <n v="0"/>
    <n v="0"/>
    <n v="1585096.5"/>
    <n v="1585096.5"/>
    <n v="1236375.27"/>
    <n v="1236375.27"/>
    <n v="1"/>
    <n v="7.158196134574087E-4"/>
    <n v="7.158196134574087E-4"/>
    <b v="0"/>
    <b v="0"/>
    <s v="Traditional (Local Team)"/>
    <s v="Argentina"/>
    <s v="00505664 / 0"/>
    <n v="1134.6431639226914"/>
    <n v="885.02166785969939"/>
    <s v="Argentina"/>
    <s v="Carat Argentina SA"/>
    <s v="JNS8FCESJ5"/>
    <s v="30546689979"/>
    <n v="30546689979"/>
    <s v="Brand Objectives"/>
    <d v="2026-03-06T17:29:00"/>
    <d v="2026-03-04T20:59:00"/>
    <b v="1"/>
    <b v="1"/>
    <d v="2026-02-01T00:00:00"/>
    <s v="Classic IO"/>
    <m/>
    <m/>
    <m/>
    <m/>
    <m/>
    <m/>
    <m/>
    <m/>
    <s v="Mexico"/>
    <s v="ARS"/>
    <n v="1585096.5"/>
    <s v="OK"/>
    <s v="OK"/>
    <n v="0"/>
    <s v="T3252256"/>
    <s v="ARS"/>
    <n v="1585096.5"/>
    <s v="OK"/>
    <n v="0"/>
    <m/>
    <m/>
    <s v="Miss"/>
    <m/>
    <s v="ARS"/>
    <n v="1236375.27"/>
    <s v="OK"/>
    <n v="0"/>
    <m/>
    <s v="OK. Twitter tax err."/>
    <s v="SO READY TO EXPORT"/>
    <s v="PO READY TO EXPORT"/>
    <n v="1134.6431639226914"/>
  </r>
  <r>
    <s v="IMS"/>
    <s v="T3252500"/>
    <s v="2026-02"/>
    <s v="February/2026"/>
    <d v="2026-02-28T00:00:00"/>
    <x v="79"/>
    <s v="802Um00000ET3AXIA1"/>
    <s v="AR00408247"/>
    <s v="006Um00000ei8SfIAI"/>
    <s v="0004967890"/>
    <x v="0"/>
    <s v="Activated"/>
    <s v="Confirmed"/>
    <s v="Carat Argentina SA"/>
    <x v="20"/>
    <s v="Twitter"/>
    <s v="Twitter Billing"/>
    <s v="LATAM"/>
    <s v="Argentina"/>
    <s v="Argentina"/>
    <x v="1"/>
    <s v="Mexico"/>
    <s v="Aleph Mexico"/>
    <s v="Promoted Tweet/Account"/>
    <s v="Auction"/>
    <s v="Auction"/>
    <x v="1"/>
    <s v="ARS"/>
    <n v="540391.47"/>
    <n v="540391.47"/>
    <n v="1"/>
    <n v="1"/>
    <n v="1"/>
    <n v="0.85"/>
    <n v="0.85"/>
    <n v="0"/>
    <m/>
    <n v="540391.47"/>
    <n v="540391.47"/>
    <n v="540391.47"/>
    <n v="459332.74949999998"/>
    <n v="356655.67"/>
    <m/>
    <n v="540391.47"/>
    <n v="386.8228131710809"/>
    <n v="328.79939119541876"/>
    <n v="81058.720499999996"/>
    <n v="81058.720499999996"/>
    <n v="58.023421975662131"/>
    <n v="15"/>
    <x v="80"/>
    <s v="SO Exported to ERP"/>
    <m/>
    <s v="POIME-000032570"/>
    <s v="PO Exported to ERP"/>
    <m/>
    <m/>
    <m/>
    <x v="1"/>
    <x v="79"/>
    <s v="Carat Argentina SA"/>
    <x v="20"/>
    <s v="Valentina Pulido"/>
    <s v="Valentina Pulido"/>
    <s v="Valentina Pulido"/>
    <s v="Twitter Billing | Promoted Tweet/Account | Twitter Billing | USD"/>
    <s v="Twitter Billing LATAM + WE"/>
    <s v="Aleph Argentina"/>
    <d v="2026-02-23T00:00:00"/>
    <d v="2026-03-15T00:00:00"/>
    <s v="75D"/>
    <m/>
    <n v="1"/>
    <s v="https://alephholding.lightning.force.com/lightning/r/OrderItem/802Um00000ET3AXIA1/view"/>
    <s v="AR00408247_TWB_001_001"/>
    <n v="0"/>
    <n v="0"/>
    <n v="0"/>
    <n v="0"/>
    <n v="1028571.4285714285"/>
    <n v="1028571.428571"/>
    <n v="874285.714286"/>
    <n v="459332.74949999998"/>
    <n v="1"/>
    <n v="7.158196134574087E-4"/>
    <n v="7.158196134574087E-4"/>
    <b v="0"/>
    <b v="0"/>
    <s v="Traditional (Local Team)"/>
    <s v="Argentina"/>
    <s v="00505496 / 0 - 00505488 / 0"/>
    <n v="386.8228131710809"/>
    <n v="328.79939119541876"/>
    <s v="Argentina"/>
    <s v="Carat Argentina SA"/>
    <s v="BDZB3VONUN"/>
    <s v="30708983906"/>
    <n v="30708983906"/>
    <s v="Brand Objectives"/>
    <d v="2026-03-06T17:29:00"/>
    <d v="2026-03-05T16:28:00"/>
    <b v="1"/>
    <b v="1"/>
    <d v="2026-02-01T00:00:00"/>
    <s v="Classic IO"/>
    <m/>
    <m/>
    <m/>
    <m/>
    <m/>
    <m/>
    <m/>
    <m/>
    <m/>
    <m/>
    <m/>
    <s v="Miss"/>
    <s v="Miss"/>
    <m/>
    <s v="T3252500"/>
    <s v="ARS"/>
    <n v="540391.47"/>
    <s v="OK"/>
    <n v="0"/>
    <m/>
    <m/>
    <s v="Miss"/>
    <m/>
    <s v="ARS"/>
    <n v="421505.35"/>
    <s v="OK"/>
    <n v="37827.3995"/>
    <m/>
    <s v="OK. Twitter Comm. ERR"/>
    <s v="SO READY TO EXPORT"/>
    <s v="PO READY TO EXPORT"/>
    <n v="386.8228131710809"/>
  </r>
  <r>
    <s v="IMS"/>
    <s v="T3252686"/>
    <s v="2026-02"/>
    <s v="February/2026"/>
    <d v="2026-02-28T00:00:00"/>
    <x v="80"/>
    <s v="802Um00000EUuUXIA1"/>
    <s v="AR00408441"/>
    <s v="006Um00000ekznpIAA"/>
    <s v="0004970032"/>
    <x v="0"/>
    <s v="Activated"/>
    <s v="Confirmed"/>
    <s v="ORION AGENCY S. R. L."/>
    <x v="32"/>
    <s v="Twitter"/>
    <s v="Twitter Rep"/>
    <s v="LATAM"/>
    <s v="Argentina"/>
    <s v="Argentina"/>
    <x v="1"/>
    <s v="Mexico"/>
    <s v="Aleph Mexico"/>
    <s v="Promoted Tweet/Account"/>
    <s v="Auction"/>
    <s v="Auction"/>
    <x v="1"/>
    <s v="ARS"/>
    <n v="1065199.8799999999"/>
    <n v="1065199.8799999999"/>
    <n v="1"/>
    <n v="1"/>
    <n v="1"/>
    <n v="0.78"/>
    <n v="0.78"/>
    <n v="0"/>
    <m/>
    <n v="1065199.8799999999"/>
    <n v="1065199.8799999999"/>
    <n v="1065199.8799999999"/>
    <n v="830855.90639999998"/>
    <n v="643886.74"/>
    <m/>
    <n v="1065199.8799999999"/>
    <n v="762.49096635647811"/>
    <n v="594.74295375805298"/>
    <n v="234343.9736"/>
    <n v="234343.9736"/>
    <n v="167.74801259842519"/>
    <n v="22"/>
    <x v="81"/>
    <s v="SO Exported to ERP"/>
    <m/>
    <s v="POIME-000032659"/>
    <s v="PO Exported to ERP"/>
    <m/>
    <m/>
    <m/>
    <x v="1"/>
    <x v="80"/>
    <s v="ORION AGENCY S. R. L."/>
    <x v="32"/>
    <s v="Jorge Osuna"/>
    <s v="Jorge Osuna"/>
    <s v="Jorge Osuna"/>
    <s v="Twitter Rep | Promoted Tweet/Account | Argentina | ARS"/>
    <s v="Twitter Rep LATAM + WE"/>
    <s v="Aleph Argentina"/>
    <d v="2026-02-24T00:00:00"/>
    <d v="2026-03-08T00:00:00"/>
    <s v="30D"/>
    <m/>
    <n v="1"/>
    <s v="https://alephholding.lightning.force.com/lightning/r/OrderItem/802Um00000EUuUXIA1/view"/>
    <s v="AR00408441_TWR_001_001"/>
    <n v="0"/>
    <n v="0"/>
    <n v="0"/>
    <n v="0"/>
    <n v="2461538.4"/>
    <n v="2461538.4"/>
    <n v="1919999.952"/>
    <n v="830855.90639999998"/>
    <n v="1"/>
    <n v="7.158196134574087E-4"/>
    <n v="7.158196134574087E-4"/>
    <b v="0"/>
    <b v="0"/>
    <s v="Traditional (Local Team)"/>
    <s v="Argentina"/>
    <s v="202602-0064; 202603-0051"/>
    <n v="762.49096635647811"/>
    <n v="594.74295375805298"/>
    <s v="Argentina"/>
    <s v="ORION AGENCY ARGENTINA"/>
    <s v="64AOXPAPWT"/>
    <s v="64AOXPAPWT"/>
    <n v="30718739221"/>
    <s v="Brand Objectives"/>
    <d v="2026-03-06T17:29:00"/>
    <d v="2026-03-04T21:00:00"/>
    <b v="1"/>
    <b v="1"/>
    <d v="2026-02-01T00:00:00"/>
    <s v="Classic IO"/>
    <m/>
    <m/>
    <m/>
    <m/>
    <m/>
    <m/>
    <m/>
    <m/>
    <s v="Mexico"/>
    <s v="ARS"/>
    <n v="1065199.8799999999"/>
    <s v="OK"/>
    <s v="OK"/>
    <n v="0"/>
    <s v="T3252686"/>
    <s v="ARS"/>
    <n v="1065199.8799999999"/>
    <s v="OK"/>
    <n v="0"/>
    <m/>
    <m/>
    <s v="Miss"/>
    <m/>
    <s v="ARS"/>
    <n v="830855.91"/>
    <s v="OK"/>
    <n v="-3.6000000545755029E-3"/>
    <m/>
    <s v="OK. Twitter tax err."/>
    <s v="SO READY TO EXPORT"/>
    <s v="PO READY TO EXPORT"/>
    <n v="762.4909663564781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5">
  <r>
    <s v="Sales - packing slip revenue"/>
    <d v="2026-02-28T00:00:00"/>
    <m/>
    <m/>
    <m/>
    <m/>
    <s v="SOIAR-000017125, XI4AP1YG9A"/>
    <s v="SOIAR-000017125"/>
    <s v="4101011200-Twitter-ARG-IARG-ARG-Rep"/>
    <s v="GJT230644"/>
    <s v="PS021002"/>
    <d v="2026-02-28T00:00:00"/>
    <s v="4101011200-Twitter-ARG-IARG-ARG-Rep"/>
    <s v="4101011200"/>
    <s v="Representation"/>
    <x v="0"/>
    <n v="-3110400"/>
    <n v="-3110400"/>
    <n v="-2225.6"/>
    <s v="Current"/>
    <s v="pedro.ferrauti"/>
    <x v="0"/>
    <x v="0"/>
    <x v="0"/>
  </r>
  <r>
    <s v="Sales - packing slip revenue"/>
    <d v="2026-02-28T00:00:00"/>
    <m/>
    <m/>
    <m/>
    <m/>
    <s v="SOIAR-000017106, XI4AP1YG9A"/>
    <s v="SOIAR-000017106"/>
    <s v="4101011200-Twitter-ARG-IARG-ARG-Rep"/>
    <s v="GJT230643"/>
    <s v="PS021001"/>
    <d v="2026-02-28T00:00:00"/>
    <s v="4101011200-Twitter-ARG-IARG-ARG-Rep"/>
    <s v="4101011200"/>
    <s v="Representation"/>
    <x v="0"/>
    <n v="-3110400"/>
    <n v="-3110400"/>
    <n v="-2225.6"/>
    <s v="Current"/>
    <s v="pedro.ferrauti"/>
    <x v="0"/>
    <x v="0"/>
    <x v="0"/>
  </r>
  <r>
    <s v="Sales - packing slip revenue"/>
    <d v="2026-02-28T00:00:00"/>
    <m/>
    <m/>
    <m/>
    <m/>
    <s v="SOIAR-000016485, XI4AP1YG9A"/>
    <s v="SOIAR-000016485"/>
    <s v="4101011200-Twitter-ARG-IARG-ARG-Rep"/>
    <s v="GJT230642"/>
    <s v="PS021000"/>
    <d v="2026-02-28T00:00:00"/>
    <s v="4101011200-Twitter-ARG-IARG-ARG-Rep"/>
    <s v="4101011200"/>
    <s v="Representation"/>
    <x v="0"/>
    <n v="-3962972.34"/>
    <n v="-3962972.34"/>
    <n v="-2835.65"/>
    <s v="Current"/>
    <s v="pedro.ferrauti"/>
    <x v="0"/>
    <x v="0"/>
    <x v="0"/>
  </r>
  <r>
    <s v="Sales - packing slip revenue"/>
    <d v="2026-02-28T00:00:00"/>
    <m/>
    <m/>
    <m/>
    <m/>
    <s v="SOIAR-000016484, XI4AP1YG9A"/>
    <s v="SOIAR-000016484"/>
    <s v="4101011200-Twitter-ARG-IARG-ARG-Rep"/>
    <s v="GJT230641"/>
    <s v="PS020999"/>
    <d v="2026-02-28T00:00:00"/>
    <s v="4101011200-Twitter-ARG-IARG-ARG-Rep"/>
    <s v="4101011200"/>
    <s v="Representation"/>
    <x v="0"/>
    <n v="-893323.9"/>
    <n v="-893323.9"/>
    <n v="-639.21"/>
    <s v="Current"/>
    <s v="pedro.ferrauti"/>
    <x v="0"/>
    <x v="0"/>
    <x v="0"/>
  </r>
  <r>
    <s v="Sales - packing slip revenue"/>
    <d v="2026-02-28T00:00:00"/>
    <m/>
    <m/>
    <m/>
    <m/>
    <s v="SOIAR-000016483, XI4AP1YG9A"/>
    <s v="SOIAR-000016483"/>
    <s v="4101011200-Twitter-ARG-IARG-ARG-Rep"/>
    <s v="GJT230640"/>
    <s v="PS020998"/>
    <d v="2026-02-28T00:00:00"/>
    <s v="4101011200-Twitter-ARG-IARG-ARG-Rep"/>
    <s v="4101011200"/>
    <s v="Representation"/>
    <x v="0"/>
    <n v="-4055968.32"/>
    <n v="-4055968.32"/>
    <n v="-2902.19"/>
    <s v="Current"/>
    <s v="pedro.ferrauti"/>
    <x v="0"/>
    <x v="0"/>
    <x v="0"/>
  </r>
  <r>
    <s v="Sales - packing slip revenue"/>
    <d v="2026-02-28T00:00:00"/>
    <m/>
    <m/>
    <m/>
    <m/>
    <s v="SOIAR-000016474, XI4AP1YG9A"/>
    <s v="SOIAR-000016474"/>
    <s v="4101011200-Twitter-ARG-IARG-ARG-Rep"/>
    <s v="GJT230639"/>
    <s v="PS020997"/>
    <d v="2026-02-28T00:00:00"/>
    <s v="4101011200-Twitter-ARG-IARG-ARG-Rep"/>
    <s v="4101011200"/>
    <s v="Representation"/>
    <x v="0"/>
    <n v="-3110400"/>
    <n v="-3110400"/>
    <n v="-2225.6"/>
    <s v="Current"/>
    <s v="pedro.ferrauti"/>
    <x v="0"/>
    <x v="0"/>
    <x v="0"/>
  </r>
  <r>
    <s v="Sales - packing slip revenue"/>
    <d v="2026-02-28T00:00:00"/>
    <m/>
    <m/>
    <m/>
    <m/>
    <s v="SOIAR-000017117, 64AOXPAPWT"/>
    <s v="SOIAR-000017117"/>
    <s v="4101011200-Twitter-ARG-IARG-ARG-Rep"/>
    <s v="GJT230638"/>
    <s v="PS020996"/>
    <d v="2026-02-28T00:00:00"/>
    <s v="4101011200-Twitter-ARG-IARG-ARG-Rep"/>
    <s v="4101011200"/>
    <s v="Representation"/>
    <x v="0"/>
    <n v="-1065199.8799999999"/>
    <n v="-1065199.8799999999"/>
    <n v="-762.19"/>
    <s v="Current"/>
    <s v="pedro.ferrauti"/>
    <x v="0"/>
    <x v="0"/>
    <x v="0"/>
  </r>
  <r>
    <s v="Sales - packing slip revenue"/>
    <d v="2026-02-28T00:00:00"/>
    <m/>
    <m/>
    <m/>
    <m/>
    <s v="SOIAR-000002794, 33716040149"/>
    <s v="SOIAR-000002794"/>
    <s v="4101011200-Twitter-ARG-IARG-ARG-Rep"/>
    <s v="GJT230637"/>
    <s v="PS020995"/>
    <d v="2026-02-28T00:00:00"/>
    <s v="4101011200-Twitter-ARG-IARG-ARG-Rep"/>
    <s v="4101011200"/>
    <s v="Representation"/>
    <x v="0"/>
    <n v="-3855555.79"/>
    <n v="-3855555.79"/>
    <n v="-2758.79"/>
    <s v="Current"/>
    <s v="pedro.ferrauti"/>
    <x v="0"/>
    <x v="0"/>
    <x v="0"/>
  </r>
  <r>
    <s v="Sales - packing slip revenue"/>
    <d v="2026-02-28T00:00:00"/>
    <m/>
    <m/>
    <m/>
    <m/>
    <s v="SOIAR-000016503, 33707344089"/>
    <s v="SOIAR-000016503"/>
    <s v="4101011200-Twitter-ARG-IARG-ARG-Rep"/>
    <s v="GJT230636"/>
    <s v="PS020994"/>
    <d v="2026-02-28T00:00:00"/>
    <s v="4101011200-Twitter-ARG-IARG-ARG-Rep"/>
    <s v="4101011200"/>
    <s v="Representation"/>
    <x v="0"/>
    <n v="-798524.61"/>
    <n v="-798524.61"/>
    <n v="-571.37"/>
    <s v="Current"/>
    <s v="pedro.ferrauti"/>
    <x v="0"/>
    <x v="0"/>
    <x v="0"/>
  </r>
  <r>
    <s v="Sales - packing slip revenue"/>
    <d v="2026-02-28T00:00:00"/>
    <m/>
    <m/>
    <m/>
    <m/>
    <s v="SOIAR-000017128, 33695614549"/>
    <s v="SOIAR-000017128"/>
    <s v="4101011200-Twitter-ARG-IARG-ARG-Rep"/>
    <s v="GJT230635"/>
    <s v="PS020993"/>
    <d v="2026-02-28T00:00:00"/>
    <s v="4101011200-Twitter-ARG-IARG-ARG-Rep"/>
    <s v="4101011200"/>
    <s v="Representation"/>
    <x v="0"/>
    <n v="-2499831.17"/>
    <n v="-2499831.17"/>
    <n v="-1788.72"/>
    <s v="Current"/>
    <s v="pedro.ferrauti"/>
    <x v="0"/>
    <x v="0"/>
    <x v="0"/>
  </r>
  <r>
    <s v="Sales - packing slip revenue"/>
    <d v="2026-02-28T00:00:00"/>
    <m/>
    <m/>
    <m/>
    <m/>
    <s v="SOIAR-000017109, 33695614549"/>
    <s v="SOIAR-000017109"/>
    <s v="4101011200-Twitter-ARG-IARG-ARG-Rep"/>
    <s v="GJT230634"/>
    <s v="PS020992"/>
    <d v="2026-02-28T00:00:00"/>
    <s v="4101011200-Twitter-ARG-IARG-ARG-Rep"/>
    <s v="4101011200"/>
    <s v="Representation"/>
    <x v="0"/>
    <n v="-5000000"/>
    <n v="-5000000"/>
    <n v="-3577.68"/>
    <s v="Current"/>
    <s v="pedro.ferrauti"/>
    <x v="0"/>
    <x v="0"/>
    <x v="0"/>
  </r>
  <r>
    <s v="Sales - packing slip revenue"/>
    <d v="2026-02-28T00:00:00"/>
    <m/>
    <m/>
    <m/>
    <m/>
    <s v="SOIAR-000017108, 33695614549"/>
    <s v="SOIAR-000017108"/>
    <s v="4101011200-Twitter-ARG-IARG-ARG-Rep"/>
    <s v="GJT230633"/>
    <s v="PS020991"/>
    <d v="2026-02-28T00:00:00"/>
    <s v="4101011200-Twitter-ARG-IARG-ARG-Rep"/>
    <s v="4101011200"/>
    <s v="Representation"/>
    <x v="0"/>
    <n v="-4000000"/>
    <n v="-4000000"/>
    <n v="-2862.14"/>
    <s v="Current"/>
    <s v="pedro.ferrauti"/>
    <x v="0"/>
    <x v="0"/>
    <x v="0"/>
  </r>
  <r>
    <s v="Sales - packing slip revenue"/>
    <d v="2026-02-28T00:00:00"/>
    <m/>
    <m/>
    <m/>
    <m/>
    <s v="SOIAR-000016497, 33547992429"/>
    <s v="SOIAR-000016497"/>
    <s v="4101011200-Twitter-ARG-IARG-ARG-Rep"/>
    <s v="GJT230632"/>
    <s v="PS020990"/>
    <d v="2026-02-28T00:00:00"/>
    <s v="4101011200-Twitter-ARG-IARG-ARG-Rep"/>
    <s v="4101011200"/>
    <s v="Representation"/>
    <x v="0"/>
    <n v="-1651074.28"/>
    <n v="-1651074.28"/>
    <n v="-1181.4000000000001"/>
    <s v="Current"/>
    <s v="pedro.ferrauti"/>
    <x v="0"/>
    <x v="0"/>
    <x v="0"/>
  </r>
  <r>
    <s v="Sales - packing slip revenue"/>
    <d v="2026-02-28T00:00:00"/>
    <m/>
    <m/>
    <m/>
    <m/>
    <s v="SOIAR-000011082, 30716369087"/>
    <s v="SOIAR-000011082"/>
    <s v="4101011200-Twitter-ARG-IARG-ARG-Rep"/>
    <s v="GJT230631"/>
    <s v="PS020989"/>
    <d v="2026-02-28T00:00:00"/>
    <s v="4101011200-Twitter-ARG-IARG-ARG-Rep"/>
    <s v="4101011200"/>
    <s v="Representation"/>
    <x v="0"/>
    <n v="-211954.52"/>
    <n v="-211954.52"/>
    <n v="-151.66"/>
    <s v="Current"/>
    <s v="pedro.ferrauti"/>
    <x v="0"/>
    <x v="0"/>
    <x v="0"/>
  </r>
  <r>
    <s v="Sales - packing slip revenue"/>
    <d v="2026-02-28T00:00:00"/>
    <m/>
    <m/>
    <m/>
    <m/>
    <s v="SOIAR-000005460, 30716342790"/>
    <s v="SOIAR-000005460"/>
    <s v="4101011200-Twitter-ARG-IARG-ARG-Rep"/>
    <s v="GJT230630"/>
    <s v="PS020988"/>
    <d v="2026-02-28T00:00:00"/>
    <s v="4101011200-Twitter-ARG-IARG-ARG-Rep"/>
    <s v="4101011200"/>
    <s v="Representation"/>
    <x v="0"/>
    <n v="-1055530.21"/>
    <n v="-1055530.21"/>
    <n v="-755.27"/>
    <s v="Current"/>
    <s v="pedro.ferrauti"/>
    <x v="0"/>
    <x v="0"/>
    <x v="0"/>
  </r>
  <r>
    <s v="Sales - packing slip revenue"/>
    <d v="2026-02-28T00:00:00"/>
    <m/>
    <m/>
    <m/>
    <m/>
    <s v="SOIAR-000017111, 30716321033"/>
    <s v="SOIAR-000017111"/>
    <s v="4101011200-Twitter-ARG-IARG-ARG-Rep"/>
    <s v="GJT230629"/>
    <s v="PS020987"/>
    <d v="2026-02-28T00:00:00"/>
    <s v="4101011200-Twitter-ARG-IARG-ARG-Rep"/>
    <s v="4101011200"/>
    <s v="Representation"/>
    <x v="0"/>
    <n v="-4396289.4000000004"/>
    <n v="-4396289.4000000004"/>
    <n v="-3145.7"/>
    <s v="Current"/>
    <s v="pedro.ferrauti"/>
    <x v="0"/>
    <x v="0"/>
    <x v="0"/>
  </r>
  <r>
    <s v="Sales - packing slip revenue"/>
    <d v="2026-02-28T00:00:00"/>
    <m/>
    <m/>
    <m/>
    <m/>
    <s v="SOIAR-000016504, 30716209551"/>
    <s v="SOIAR-000016504"/>
    <s v="4101011200-Twitter-ARG-IARG-ARG-Rep"/>
    <s v="GJT230628"/>
    <s v="PS020986"/>
    <d v="2026-02-28T00:00:00"/>
    <s v="4101011200-Twitter-ARG-IARG-ARG-Rep"/>
    <s v="4101011200"/>
    <s v="Representation"/>
    <x v="0"/>
    <n v="-7991501.8099999996"/>
    <n v="-7991501.8099999996"/>
    <n v="-5718.21"/>
    <s v="Current"/>
    <s v="pedro.ferrauti"/>
    <x v="0"/>
    <x v="0"/>
    <x v="0"/>
  </r>
  <r>
    <s v="Sales - packing slip revenue"/>
    <d v="2026-02-28T00:00:00"/>
    <m/>
    <m/>
    <m/>
    <m/>
    <s v="SOIAR-000017113, 30715907948"/>
    <s v="SOIAR-000017113"/>
    <s v="4101011200-Twitter-ALL-IARG-ARG-Rep"/>
    <s v="GJT230627"/>
    <s v="PS020985"/>
    <d v="2026-02-28T00:00:00"/>
    <s v="4101011200-Twitter-ALL-IARG-ARG-Rep"/>
    <s v="4101011200"/>
    <s v="Representation"/>
    <x v="0"/>
    <n v="-12942.5"/>
    <n v="-12942.5"/>
    <n v="-9.26"/>
    <s v="Current"/>
    <s v="pedro.ferrauti"/>
    <x v="0"/>
    <x v="0"/>
    <x v="0"/>
  </r>
  <r>
    <s v="Sales - packing slip revenue"/>
    <d v="2026-02-28T00:00:00"/>
    <m/>
    <m/>
    <m/>
    <m/>
    <s v="SOIAR-000016493, 30715907948"/>
    <s v="SOIAR-000016493"/>
    <s v="4101011200-Twitter-ALL-IARG-ARG-Rep"/>
    <s v="GJT230626"/>
    <s v="PS020984"/>
    <d v="2026-02-28T00:00:00"/>
    <s v="4101011200-Twitter-ALL-IARG-ARG-Rep"/>
    <s v="4101011200"/>
    <s v="Representation"/>
    <x v="0"/>
    <n v="-2669100"/>
    <n v="-2669100"/>
    <n v="-1909.84"/>
    <s v="Current"/>
    <s v="pedro.ferrauti"/>
    <x v="0"/>
    <x v="0"/>
    <x v="0"/>
  </r>
  <r>
    <s v="Sales - packing slip revenue"/>
    <d v="2026-02-28T00:00:00"/>
    <m/>
    <m/>
    <m/>
    <m/>
    <s v="SOIAR-000017123, 30715825852"/>
    <s v="SOIAR-000017123"/>
    <s v="4101011200-Twitter-ARG-IARG-ARG-Rep"/>
    <s v="GJT230625"/>
    <s v="PS020983"/>
    <d v="2026-02-28T00:00:00"/>
    <s v="4101011200-Twitter-ARG-IARG-ARG-Rep"/>
    <s v="4101011200"/>
    <s v="Representation"/>
    <x v="0"/>
    <n v="-2489548.4"/>
    <n v="-2489548.4"/>
    <n v="-1781.36"/>
    <s v="Current"/>
    <s v="pedro.ferrauti"/>
    <x v="0"/>
    <x v="0"/>
    <x v="0"/>
  </r>
  <r>
    <s v="Sales - packing slip revenue"/>
    <d v="2026-02-28T00:00:00"/>
    <m/>
    <m/>
    <m/>
    <m/>
    <s v="SOIAR-000009798, 30715803891"/>
    <s v="SOIAR-000009798"/>
    <s v="4101011200-Twitter Billing-ARG-IARG-ARG-Rep"/>
    <s v="GJT230624"/>
    <s v="PS020982"/>
    <d v="2026-02-28T00:00:00"/>
    <s v="4101011200-Twitter Billing-ARG-IARG-ARG-Rep"/>
    <s v="4101011200"/>
    <s v="Representation"/>
    <x v="0"/>
    <n v="-16336337.960000001"/>
    <n v="-16336337.960000001"/>
    <n v="-11689.24"/>
    <s v="Current"/>
    <s v="pedro.ferrauti"/>
    <x v="0"/>
    <x v="1"/>
    <x v="0"/>
  </r>
  <r>
    <s v="Sales - packing slip revenue"/>
    <d v="2026-02-28T00:00:00"/>
    <m/>
    <m/>
    <m/>
    <m/>
    <s v="SOIAR-000015196, 30715554530"/>
    <s v="SOIAR-000015196"/>
    <s v="4101011200-Twitter-ARG-IARG-ARG-Rep"/>
    <s v="GJT230623"/>
    <s v="PS020981"/>
    <d v="2026-02-28T00:00:00"/>
    <s v="4101011200-Twitter-ARG-IARG-ARG-Rep"/>
    <s v="4101011200"/>
    <s v="Representation"/>
    <x v="0"/>
    <n v="-2431431.12"/>
    <n v="-2431431.12"/>
    <n v="-1739.78"/>
    <s v="Current"/>
    <s v="pedro.ferrauti"/>
    <x v="0"/>
    <x v="0"/>
    <x v="0"/>
  </r>
  <r>
    <s v="Sales - packing slip revenue"/>
    <d v="2026-02-28T00:00:00"/>
    <m/>
    <m/>
    <m/>
    <m/>
    <s v="SOIAR-000004486, 30715554530"/>
    <s v="SOIAR-000004486"/>
    <s v="4101011200-Twitter-ARG-IARG-ARG-Rep"/>
    <s v="GJT230622"/>
    <s v="PS020980"/>
    <d v="2026-02-28T00:00:00"/>
    <s v="4101011200-Twitter-ARG-IARG-ARG-Rep"/>
    <s v="4101011200"/>
    <s v="Representation"/>
    <x v="0"/>
    <n v="-2687841.46"/>
    <n v="-2687841.46"/>
    <n v="-1923.25"/>
    <s v="Current"/>
    <s v="pedro.ferrauti"/>
    <x v="0"/>
    <x v="0"/>
    <x v="0"/>
  </r>
  <r>
    <s v="Sales - packing slip revenue"/>
    <d v="2026-02-28T00:00:00"/>
    <m/>
    <m/>
    <m/>
    <m/>
    <s v="SOIAR-000017131, 30715225537"/>
    <s v="SOIAR-000017131"/>
    <s v="4101011200-Twitter-ARG-IARG-ARG-Rep"/>
    <s v="GJT230621"/>
    <s v="PS020979"/>
    <d v="2026-02-28T00:00:00"/>
    <s v="4101011200-Twitter-ARG-IARG-ARG-Rep"/>
    <s v="4101011200"/>
    <s v="Representation"/>
    <x v="0"/>
    <n v="-3625356"/>
    <n v="-3625356"/>
    <n v="-2594.0700000000002"/>
    <s v="Current"/>
    <s v="pedro.ferrauti"/>
    <x v="0"/>
    <x v="0"/>
    <x v="0"/>
  </r>
  <r>
    <s v="Sales - packing slip revenue"/>
    <d v="2026-02-28T00:00:00"/>
    <m/>
    <m/>
    <m/>
    <m/>
    <s v="SOIAR-000017107, 30715225537"/>
    <s v="SOIAR-000017107"/>
    <s v="4101011200-Twitter-ARG-IARG-ARG-Rep"/>
    <s v="GJT230620"/>
    <s v="PS020978"/>
    <d v="2026-02-28T00:00:00"/>
    <s v="4101011200-Twitter-ARG-IARG-ARG-Rep"/>
    <s v="4101011200"/>
    <s v="Representation"/>
    <x v="0"/>
    <n v="-2000000"/>
    <n v="-2000000"/>
    <n v="-1431.07"/>
    <s v="Current"/>
    <s v="pedro.ferrauti"/>
    <x v="0"/>
    <x v="0"/>
    <x v="0"/>
  </r>
  <r>
    <s v="Sales - packing slip revenue"/>
    <d v="2026-02-28T00:00:00"/>
    <m/>
    <m/>
    <m/>
    <m/>
    <s v="SOIAR-000016491, 30715225537"/>
    <s v="SOIAR-000016491"/>
    <s v="4101011200-Twitter-ARG-IARG-ARG-Rep"/>
    <s v="GJT230619"/>
    <s v="PS020977"/>
    <d v="2026-02-28T00:00:00"/>
    <s v="4101011200-Twitter-ARG-IARG-ARG-Rep"/>
    <s v="4101011200"/>
    <s v="Representation"/>
    <x v="0"/>
    <n v="-4712962.42"/>
    <n v="-4712962.42"/>
    <n v="-3372.29"/>
    <s v="Current"/>
    <s v="pedro.ferrauti"/>
    <x v="0"/>
    <x v="0"/>
    <x v="0"/>
  </r>
  <r>
    <s v="Sales - packing slip revenue"/>
    <d v="2026-02-28T00:00:00"/>
    <m/>
    <m/>
    <m/>
    <m/>
    <s v="SOIAR-000016479, 30715225537"/>
    <s v="SOIAR-000016479"/>
    <s v="4101011200-Twitter-ARG-IARG-ARG-Rep"/>
    <s v="GJT230618"/>
    <s v="PS020976"/>
    <d v="2026-02-28T00:00:00"/>
    <s v="4101011200-Twitter-ARG-IARG-ARG-Rep"/>
    <s v="4101011200"/>
    <s v="Representation"/>
    <x v="0"/>
    <n v="-894756.91"/>
    <n v="-894756.91"/>
    <n v="-640.23"/>
    <s v="Current"/>
    <s v="pedro.ferrauti"/>
    <x v="0"/>
    <x v="0"/>
    <x v="0"/>
  </r>
  <r>
    <s v="Sales - packing slip revenue"/>
    <d v="2026-02-28T00:00:00"/>
    <m/>
    <m/>
    <m/>
    <m/>
    <s v="SOIAR-000016478, 30715225537"/>
    <s v="SOIAR-000016478"/>
    <s v="4101011200-Twitter-ARG-IARG-ARG-Rep"/>
    <s v="GJT230617"/>
    <s v="PS020975"/>
    <d v="2026-02-28T00:00:00"/>
    <s v="4101011200-Twitter-ARG-IARG-ARG-Rep"/>
    <s v="4101011200"/>
    <s v="Representation"/>
    <x v="0"/>
    <n v="-5546437.7000000002"/>
    <n v="-5546437.7000000002"/>
    <n v="-3968.67"/>
    <s v="Current"/>
    <s v="pedro.ferrauti"/>
    <x v="0"/>
    <x v="0"/>
    <x v="0"/>
  </r>
  <r>
    <s v="Sales - packing slip revenue"/>
    <d v="2026-02-28T00:00:00"/>
    <m/>
    <m/>
    <m/>
    <m/>
    <s v="SOIAR-000016476, 30715225537"/>
    <s v="SOIAR-000016476"/>
    <s v="4101011200-Twitter-ARG-IARG-ARG-Rep"/>
    <s v="GJT230616"/>
    <s v="PS020974"/>
    <d v="2026-02-28T00:00:00"/>
    <s v="4101011200-Twitter-ARG-IARG-ARG-Rep"/>
    <s v="4101011200"/>
    <s v="Representation"/>
    <x v="0"/>
    <n v="-9577518.6799999997"/>
    <n v="-9577518.6799999997"/>
    <n v="-6853.06"/>
    <s v="Current"/>
    <s v="pedro.ferrauti"/>
    <x v="0"/>
    <x v="0"/>
    <x v="0"/>
  </r>
  <r>
    <s v="Sales - packing slip revenue"/>
    <d v="2026-02-28T00:00:00"/>
    <m/>
    <m/>
    <m/>
    <m/>
    <s v="SOIAR-000017124, 30712014047"/>
    <s v="SOIAR-000017124"/>
    <s v="4101011200-Twitter-ARG-IARG-ARG-Rep"/>
    <s v="GJT230615"/>
    <s v="PS020973"/>
    <d v="2026-02-28T00:00:00"/>
    <s v="4101011200-Twitter-ARG-IARG-ARG-Rep"/>
    <s v="4101011200"/>
    <s v="Representation"/>
    <x v="0"/>
    <n v="-4558905.76"/>
    <n v="-4558905.76"/>
    <n v="-3262.06"/>
    <s v="Current"/>
    <s v="pedro.ferrauti"/>
    <x v="0"/>
    <x v="0"/>
    <x v="0"/>
  </r>
  <r>
    <s v="Sales - packing slip revenue"/>
    <d v="2026-02-28T00:00:00"/>
    <m/>
    <m/>
    <m/>
    <m/>
    <s v="SOIAR-000016500, 30712014047"/>
    <s v="SOIAR-000016500"/>
    <s v="4101011200-Twitter-ARG-IARG-ARG-Rep"/>
    <s v="GJT230614"/>
    <s v="PS020972"/>
    <d v="2026-02-28T00:00:00"/>
    <s v="4101011200-Twitter-ARG-IARG-ARG-Rep"/>
    <s v="4101011200"/>
    <s v="Representation"/>
    <x v="0"/>
    <n v="-4109964.98"/>
    <n v="-4109964.98"/>
    <n v="-2940.83"/>
    <s v="Current"/>
    <s v="pedro.ferrauti"/>
    <x v="0"/>
    <x v="0"/>
    <x v="0"/>
  </r>
  <r>
    <s v="Sales - packing slip revenue"/>
    <d v="2026-02-28T00:00:00"/>
    <m/>
    <m/>
    <m/>
    <m/>
    <s v="SOIAR-000016477, 30712014047"/>
    <s v="SOIAR-000016477"/>
    <s v="4101011200-Twitter-ARG-IARG-ARG-Rep"/>
    <s v="GJT230613"/>
    <s v="PS020971"/>
    <d v="2026-02-28T00:00:00"/>
    <s v="4101011200-Twitter-ARG-IARG-ARG-Rep"/>
    <s v="4101011200"/>
    <s v="Representation"/>
    <x v="0"/>
    <n v="-2414312.9700000002"/>
    <n v="-2414312.9700000002"/>
    <n v="-1727.53"/>
    <s v="Current"/>
    <s v="pedro.ferrauti"/>
    <x v="0"/>
    <x v="0"/>
    <x v="0"/>
  </r>
  <r>
    <s v="Sales - packing slip revenue"/>
    <d v="2026-02-28T00:00:00"/>
    <m/>
    <m/>
    <m/>
    <m/>
    <s v="SOIAR-000015308, 30712014047"/>
    <s v="SOIAR-000015308"/>
    <s v="4101011200-Twitter-ARG-IARG-ARG-Rep"/>
    <s v="GJT230612"/>
    <s v="PS020970"/>
    <d v="2026-02-28T00:00:00"/>
    <s v="4101011200-Twitter-ARG-IARG-ARG-Rep"/>
    <s v="4101011200"/>
    <s v="Representation"/>
    <x v="0"/>
    <n v="-6210184.3200000003"/>
    <n v="-6210184.3200000003"/>
    <n v="-4443.6099999999997"/>
    <s v="Current"/>
    <s v="pedro.ferrauti"/>
    <x v="0"/>
    <x v="0"/>
    <x v="0"/>
  </r>
  <r>
    <s v="Sales - packing slip revenue"/>
    <d v="2026-02-28T00:00:00"/>
    <m/>
    <m/>
    <m/>
    <m/>
    <s v="SOIAR-000015200, 30712014047"/>
    <s v="SOIAR-000015200"/>
    <s v="4101011200-Twitter-ARG-IARG-ARG-Rep"/>
    <s v="GJT230611"/>
    <s v="PS020969"/>
    <d v="2026-02-28T00:00:00"/>
    <s v="4101011200-Twitter-ARG-IARG-ARG-Rep"/>
    <s v="4101011200"/>
    <s v="Representation"/>
    <x v="0"/>
    <n v="-718276.95"/>
    <n v="-718276.95"/>
    <n v="-513.95000000000005"/>
    <s v="Current"/>
    <s v="pedro.ferrauti"/>
    <x v="0"/>
    <x v="0"/>
    <x v="0"/>
  </r>
  <r>
    <s v="Sales - packing slip revenue"/>
    <d v="2026-02-28T00:00:00"/>
    <m/>
    <m/>
    <m/>
    <m/>
    <s v="SOIAR-000013026, 30712014047"/>
    <s v="SOIAR-000013026"/>
    <s v="4101011200-Twitter-ARG-IARG-ARG-Rep"/>
    <s v="GJT230610"/>
    <s v="PS020968"/>
    <d v="2026-02-28T00:00:00"/>
    <s v="4101011200-Twitter-ARG-IARG-ARG-Rep"/>
    <s v="4101011200"/>
    <s v="Representation"/>
    <x v="0"/>
    <n v="-1699231.77"/>
    <n v="-1699231.77"/>
    <n v="-1215.8599999999999"/>
    <s v="Current"/>
    <s v="pedro.ferrauti"/>
    <x v="0"/>
    <x v="0"/>
    <x v="0"/>
  </r>
  <r>
    <s v="Sales - packing slip revenue"/>
    <d v="2026-02-28T00:00:00"/>
    <m/>
    <m/>
    <m/>
    <m/>
    <s v="SOIAR-000011645, 30712014047"/>
    <s v="SOIAR-000011645"/>
    <s v="4101011200-Twitter-ARG-IARG-ARG-Rep"/>
    <s v="GJT230609"/>
    <s v="PS020967"/>
    <d v="2026-02-28T00:00:00"/>
    <s v="4101011200-Twitter-ARG-IARG-ARG-Rep"/>
    <s v="4101011200"/>
    <s v="Representation"/>
    <x v="0"/>
    <n v="-2007664.48"/>
    <n v="-2007664.48"/>
    <n v="-1436.56"/>
    <s v="Current"/>
    <s v="pedro.ferrauti"/>
    <x v="0"/>
    <x v="0"/>
    <x v="0"/>
  </r>
  <r>
    <s v="Sales - packing slip revenue"/>
    <d v="2026-02-28T00:00:00"/>
    <m/>
    <m/>
    <m/>
    <m/>
    <s v="SOIAR-000017127, 30711985766"/>
    <s v="SOIAR-000017127"/>
    <s v="4101011200-Twitter-ARG-IARG-ARG-Rep"/>
    <s v="GJT230608"/>
    <s v="PS020966"/>
    <d v="2026-02-28T00:00:00"/>
    <s v="4101011200-Twitter-ARG-IARG-ARG-Rep"/>
    <s v="4101011200"/>
    <s v="Representation"/>
    <x v="0"/>
    <n v="-12365985.800000001"/>
    <n v="-12365985.800000001"/>
    <n v="-8848.31"/>
    <s v="Current"/>
    <s v="pedro.ferrauti"/>
    <x v="0"/>
    <x v="0"/>
    <x v="0"/>
  </r>
  <r>
    <s v="Sales - packing slip revenue"/>
    <d v="2026-02-28T00:00:00"/>
    <m/>
    <m/>
    <m/>
    <m/>
    <s v="SOIAR-000017120, 30711985766"/>
    <s v="SOIAR-000017120"/>
    <s v="4101011200-Twitter-ARG-IARG-ARG-Rep"/>
    <s v="GJT230607"/>
    <s v="PS020965"/>
    <d v="2026-02-28T00:00:00"/>
    <s v="4101011200-Twitter-ARG-IARG-ARG-Rep"/>
    <s v="4101011200"/>
    <s v="Representation"/>
    <x v="0"/>
    <n v="-6912000"/>
    <n v="-6912000"/>
    <n v="-4945.78"/>
    <s v="Current"/>
    <s v="pedro.ferrauti"/>
    <x v="0"/>
    <x v="0"/>
    <x v="0"/>
  </r>
  <r>
    <s v="Sales - packing slip revenue"/>
    <d v="2026-02-28T00:00:00"/>
    <m/>
    <m/>
    <m/>
    <m/>
    <s v="SOIAR-000016494, 30711620857"/>
    <s v="SOIAR-000016494"/>
    <s v="4101011200-Twitter-ARG-IARG-ARG-Rep"/>
    <s v="GJT230606"/>
    <s v="PS020964"/>
    <d v="2026-02-28T00:00:00"/>
    <s v="4101011200-Twitter-ARG-IARG-ARG-Rep"/>
    <s v="4101011200"/>
    <s v="Representation"/>
    <x v="0"/>
    <n v="-2028302.04"/>
    <n v="-2028302.04"/>
    <n v="-1451.32"/>
    <s v="Current"/>
    <s v="pedro.ferrauti"/>
    <x v="0"/>
    <x v="0"/>
    <x v="0"/>
  </r>
  <r>
    <s v="Sales - packing slip revenue"/>
    <d v="2026-02-28T00:00:00"/>
    <m/>
    <m/>
    <m/>
    <m/>
    <s v="SOIAR-000008711, 30710630670"/>
    <s v="SOIAR-000008711"/>
    <s v="4101011200-Twitter-ARG-IARG-ARG-Rep"/>
    <s v="GJT230605"/>
    <s v="PS020963"/>
    <d v="2026-02-28T00:00:00"/>
    <s v="4101011200-Twitter-ARG-IARG-ARG-Rep"/>
    <s v="4101011200"/>
    <s v="Representation"/>
    <x v="0"/>
    <n v="-81926.990000000005"/>
    <n v="-81926.990000000005"/>
    <n v="-58.62"/>
    <s v="Current"/>
    <s v="pedro.ferrauti"/>
    <x v="0"/>
    <x v="0"/>
    <x v="0"/>
  </r>
  <r>
    <s v="Sales - packing slip revenue"/>
    <d v="2026-02-28T00:00:00"/>
    <m/>
    <m/>
    <m/>
    <m/>
    <s v="SOIAR-000017105, 30708983906"/>
    <s v="SOIAR-000017105"/>
    <s v="4101011200-Twitter Billing-ARG-IARG-ARG-Rep"/>
    <s v="GJT230604"/>
    <s v="PS020962"/>
    <d v="2026-02-28T00:00:00"/>
    <s v="4101011200-Twitter Billing-ARG-IARG-ARG-Rep"/>
    <s v="4101011200"/>
    <s v="Representation"/>
    <x v="0"/>
    <n v="-540391.47"/>
    <n v="-540391.47"/>
    <n v="-386.67"/>
    <s v="Current"/>
    <s v="pedro.ferrauti"/>
    <x v="0"/>
    <x v="1"/>
    <x v="0"/>
  </r>
  <r>
    <s v="Sales - packing slip revenue"/>
    <d v="2026-02-28T00:00:00"/>
    <m/>
    <m/>
    <m/>
    <m/>
    <s v="SOIAR-000017101, 30708983906"/>
    <s v="SOIAR-000017101"/>
    <s v="4101011200-Twitter Billing-ARG-IARG-ARG-Rep"/>
    <s v="GJT230603"/>
    <s v="PS020961"/>
    <d v="2026-02-28T00:00:00"/>
    <s v="4101011200-Twitter Billing-ARG-IARG-ARG-Rep"/>
    <s v="4101011200"/>
    <s v="Representation"/>
    <x v="0"/>
    <n v="-2890408.14"/>
    <n v="-2890408.14"/>
    <n v="-2068.19"/>
    <s v="Current"/>
    <s v="pedro.ferrauti"/>
    <x v="0"/>
    <x v="1"/>
    <x v="0"/>
  </r>
  <r>
    <s v="Sales - packing slip revenue"/>
    <d v="2026-02-28T00:00:00"/>
    <m/>
    <m/>
    <m/>
    <m/>
    <s v="SOIAR-000016510, 30708983906"/>
    <s v="SOIAR-000016510"/>
    <s v="4101011200-Twitter-ARG-IARG-ARG-Rep"/>
    <s v="GJT230602"/>
    <s v="PS020960"/>
    <d v="2026-02-28T00:00:00"/>
    <s v="4101011200-Twitter-ARG-IARG-ARG-Rep"/>
    <s v="4101011200"/>
    <s v="Representation"/>
    <x v="0"/>
    <n v="-92012.77"/>
    <n v="-92012.77"/>
    <n v="-65.84"/>
    <s v="Current"/>
    <s v="pedro.ferrauti"/>
    <x v="0"/>
    <x v="0"/>
    <x v="0"/>
  </r>
  <r>
    <s v="Sales - packing slip revenue"/>
    <d v="2026-02-28T00:00:00"/>
    <m/>
    <m/>
    <m/>
    <m/>
    <s v="SOIAR-000016472, 30708983906"/>
    <s v="SOIAR-000016472"/>
    <s v="4101011200-Twitter Billing-ARG-IARG-ARG-Rep"/>
    <s v="GJT230601"/>
    <s v="PS020959"/>
    <d v="2026-02-28T00:00:00"/>
    <s v="4101011200-Twitter Billing-ARG-IARG-ARG-Rep"/>
    <s v="4101011200"/>
    <s v="Representation"/>
    <x v="0"/>
    <n v="-1353203.44"/>
    <n v="-1353203.44"/>
    <n v="-968.27"/>
    <s v="Current"/>
    <s v="pedro.ferrauti"/>
    <x v="0"/>
    <x v="1"/>
    <x v="0"/>
  </r>
  <r>
    <s v="Sales - packing slip revenue"/>
    <d v="2026-02-28T00:00:00"/>
    <m/>
    <m/>
    <m/>
    <m/>
    <s v="SOIAR-000008235, 30708424478"/>
    <s v="SOIAR-000008235"/>
    <s v="4101011200-Twitter-ARG-IARG-ARG-Rep"/>
    <s v="GJT230600"/>
    <s v="PS020958"/>
    <d v="2026-02-28T00:00:00"/>
    <s v="4101011200-Twitter-ARG-IARG-ARG-Rep"/>
    <s v="4101011200"/>
    <s v="Representation"/>
    <x v="0"/>
    <n v="-1900327.95"/>
    <n v="-1900327.95"/>
    <n v="-1359.75"/>
    <s v="Current"/>
    <s v="pedro.ferrauti"/>
    <x v="0"/>
    <x v="0"/>
    <x v="0"/>
  </r>
  <r>
    <s v="Sales - packing slip revenue"/>
    <d v="2026-02-28T00:00:00"/>
    <m/>
    <m/>
    <m/>
    <m/>
    <s v="SOIAR-000017114, 30707906959"/>
    <s v="SOIAR-000017114"/>
    <s v="4101011200-Twitter-ARG-IARG-ARG-Rep"/>
    <s v="GJT230599"/>
    <s v="PS020957"/>
    <d v="2026-02-28T00:00:00"/>
    <s v="4101011200-Twitter-ARG-IARG-ARG-Rep"/>
    <s v="4101011200"/>
    <s v="Representation"/>
    <x v="0"/>
    <n v="-839339.96"/>
    <n v="-839339.96"/>
    <n v="-600.58000000000004"/>
    <s v="Current"/>
    <s v="pedro.ferrauti"/>
    <x v="0"/>
    <x v="0"/>
    <x v="0"/>
  </r>
  <r>
    <s v="Sales - packing slip revenue"/>
    <d v="2026-02-28T00:00:00"/>
    <m/>
    <m/>
    <m/>
    <m/>
    <s v="SOIAR-000017116, 30707117016"/>
    <s v="SOIAR-000017116"/>
    <s v="4101011200-Twitter-ARG-IARG-ARG-Rep"/>
    <s v="GJT230598"/>
    <s v="PS020956"/>
    <d v="2026-02-28T00:00:00"/>
    <s v="4101011200-Twitter-ARG-IARG-ARG-Rep"/>
    <s v="4101011200"/>
    <s v="Representation"/>
    <x v="0"/>
    <n v="-7445541.0300000003"/>
    <n v="-7445541.0300000003"/>
    <n v="-5327.55"/>
    <s v="Current"/>
    <s v="pedro.ferrauti"/>
    <x v="0"/>
    <x v="0"/>
    <x v="0"/>
  </r>
  <r>
    <s v="Sales - packing slip revenue"/>
    <d v="2026-02-28T00:00:00"/>
    <m/>
    <m/>
    <m/>
    <m/>
    <s v="SOIAR-000007132, 30707117016"/>
    <s v="SOIAR-000007132"/>
    <s v="4101011200-Twitter-ARG-IARG-ARG-Rep"/>
    <s v="GJT230597"/>
    <s v="PS020955"/>
    <d v="2026-02-28T00:00:00"/>
    <s v="4101011200-Twitter-ARG-IARG-ARG-Rep"/>
    <s v="4101011200"/>
    <s v="Representation"/>
    <x v="0"/>
    <n v="-1269863.22"/>
    <n v="-1269863.22"/>
    <n v="-908.63"/>
    <s v="Current"/>
    <s v="pedro.ferrauti"/>
    <x v="0"/>
    <x v="0"/>
    <x v="0"/>
  </r>
  <r>
    <s v="Sales - packing slip revenue"/>
    <d v="2026-02-28T00:00:00"/>
    <m/>
    <m/>
    <m/>
    <m/>
    <s v="SOIAR-000017130, 30693739698"/>
    <s v="SOIAR-000017130"/>
    <s v="4101011200-Twitter-ARG-IARG-ARG-Rep"/>
    <s v="GJT230596"/>
    <s v="PS020954"/>
    <d v="2026-02-28T00:00:00"/>
    <s v="4101011200-Twitter-ARG-IARG-ARG-Rep"/>
    <s v="4101011200"/>
    <s v="Representation"/>
    <x v="0"/>
    <n v="-2300000"/>
    <n v="-2300000"/>
    <n v="-1645.73"/>
    <s v="Current"/>
    <s v="pedro.ferrauti"/>
    <x v="0"/>
    <x v="0"/>
    <x v="0"/>
  </r>
  <r>
    <s v="Sales - packing slip revenue"/>
    <d v="2026-02-28T00:00:00"/>
    <m/>
    <m/>
    <m/>
    <m/>
    <s v="SOIAR-000017126, 30693739698"/>
    <s v="SOIAR-000017126"/>
    <s v="4101011200-Twitter-ARG-IARG-ARG-Rep"/>
    <s v="GJT230595"/>
    <s v="PS020953"/>
    <d v="2026-02-28T00:00:00"/>
    <s v="4101011200-Twitter-ARG-IARG-ARG-Rep"/>
    <s v="4101011200"/>
    <s v="Representation"/>
    <x v="0"/>
    <n v="-4901475.9400000004"/>
    <n v="-4901475.9400000004"/>
    <n v="-3507.18"/>
    <s v="Current"/>
    <s v="pedro.ferrauti"/>
    <x v="0"/>
    <x v="0"/>
    <x v="0"/>
  </r>
  <r>
    <s v="Sales - packing slip revenue"/>
    <d v="2026-02-28T00:00:00"/>
    <m/>
    <m/>
    <m/>
    <m/>
    <s v="SOIAR-000017104, 30693739698"/>
    <s v="SOIAR-000017104"/>
    <s v="4101011200-Twitter Billing-ARG-IARG-ARG-Rep"/>
    <s v="GJT230594"/>
    <s v="PS020952"/>
    <d v="2026-02-28T00:00:00"/>
    <s v="4101011200-Twitter Billing-ARG-IARG-ARG-Rep"/>
    <s v="4101011200"/>
    <s v="Representation"/>
    <x v="0"/>
    <n v="-2937600"/>
    <n v="-2937600"/>
    <n v="-2101.96"/>
    <s v="Current"/>
    <s v="pedro.ferrauti"/>
    <x v="0"/>
    <x v="1"/>
    <x v="0"/>
  </r>
  <r>
    <s v="Sales - packing slip revenue"/>
    <d v="2026-02-28T00:00:00"/>
    <m/>
    <m/>
    <m/>
    <m/>
    <s v="SOIAR-000017103, 30693739698"/>
    <s v="SOIAR-000017103"/>
    <s v="4101011200-Twitter Billing-ARG-IARG-ARG-Rep"/>
    <s v="GJT230593"/>
    <s v="PS020951"/>
    <d v="2026-02-28T00:00:00"/>
    <s v="4101011200-Twitter Billing-ARG-IARG-ARG-Rep"/>
    <s v="4101011200"/>
    <s v="Representation"/>
    <x v="0"/>
    <n v="-9224933.0199999996"/>
    <n v="-9224933.0199999996"/>
    <n v="-6600.77"/>
    <s v="Current"/>
    <s v="pedro.ferrauti"/>
    <x v="0"/>
    <x v="1"/>
    <x v="0"/>
  </r>
  <r>
    <s v="Sales - packing slip revenue"/>
    <d v="2026-02-28T00:00:00"/>
    <m/>
    <m/>
    <m/>
    <m/>
    <s v="SOIAR-000017100, 30693739698"/>
    <s v="SOIAR-000017100"/>
    <s v="4101011200-Twitter Billing-ARG-IARG-ARG-Rep"/>
    <s v="GJT230592"/>
    <s v="PS020950"/>
    <d v="2026-02-28T00:00:00"/>
    <s v="4101011200-Twitter Billing-ARG-IARG-ARG-Rep"/>
    <s v="4101011200"/>
    <s v="Representation"/>
    <x v="0"/>
    <n v="-4701458.79"/>
    <n v="-4701458.79"/>
    <n v="-3364.06"/>
    <s v="Current"/>
    <s v="pedro.ferrauti"/>
    <x v="0"/>
    <x v="1"/>
    <x v="0"/>
  </r>
  <r>
    <s v="Sales - packing slip revenue"/>
    <d v="2026-02-28T00:00:00"/>
    <m/>
    <m/>
    <m/>
    <m/>
    <s v="SOIAR-000017098, 30693739698"/>
    <s v="SOIAR-000017098"/>
    <s v="4101011200-Twitter Billing-ARG-IARG-ARG-Rep"/>
    <s v="GJT230591"/>
    <s v="PS020949"/>
    <d v="2026-02-28T00:00:00"/>
    <s v="4101011200-Twitter Billing-ARG-IARG-ARG-Rep"/>
    <s v="4101011200"/>
    <s v="Representation"/>
    <x v="0"/>
    <n v="-2304000"/>
    <n v="-2304000"/>
    <n v="-1648.59"/>
    <s v="Current"/>
    <s v="pedro.ferrauti"/>
    <x v="0"/>
    <x v="1"/>
    <x v="0"/>
  </r>
  <r>
    <s v="Sales - packing slip revenue"/>
    <d v="2026-02-28T00:00:00"/>
    <m/>
    <m/>
    <m/>
    <m/>
    <s v="SOIAR-000016473, 30693739698"/>
    <s v="SOIAR-000016473"/>
    <s v="4101011200-Twitter Billing-ARG-IARG-ARG-Rep"/>
    <s v="GJT230590"/>
    <s v="PS020948"/>
    <d v="2026-02-28T00:00:00"/>
    <s v="4101011200-Twitter Billing-ARG-IARG-ARG-Rep"/>
    <s v="4101011200"/>
    <s v="Representation"/>
    <x v="0"/>
    <n v="-2304000"/>
    <n v="-2304000"/>
    <n v="-1648.59"/>
    <s v="Current"/>
    <s v="pedro.ferrauti"/>
    <x v="0"/>
    <x v="1"/>
    <x v="0"/>
  </r>
  <r>
    <s v="Sales - packing slip revenue"/>
    <d v="2026-02-28T00:00:00"/>
    <m/>
    <m/>
    <m/>
    <m/>
    <s v="SOIAR-000016471, 30693739698"/>
    <s v="SOIAR-000016471"/>
    <s v="4101011200-Twitter Billing-ARG-IARG-ARG-Rep"/>
    <s v="GJT230589"/>
    <s v="PS020947"/>
    <d v="2026-02-28T00:00:00"/>
    <s v="4101011200-Twitter Billing-ARG-IARG-ARG-Rep"/>
    <s v="4101011200"/>
    <s v="Representation"/>
    <x v="0"/>
    <n v="-1952420.44"/>
    <n v="-1952420.44"/>
    <n v="-1397.03"/>
    <s v="Current"/>
    <s v="pedro.ferrauti"/>
    <x v="0"/>
    <x v="1"/>
    <x v="0"/>
  </r>
  <r>
    <s v="Sales - packing slip revenue"/>
    <d v="2026-02-28T00:00:00"/>
    <m/>
    <m/>
    <m/>
    <m/>
    <s v="SOIAR-000016469, 30693739698"/>
    <s v="SOIAR-000016469"/>
    <s v="4101011200-Twitter Billing-ARG-IARG-ARG-Rep"/>
    <s v="GJT230588"/>
    <s v="PS020946"/>
    <d v="2026-02-28T00:00:00"/>
    <s v="4101011200-Twitter Billing-ARG-IARG-ARG-Rep"/>
    <s v="4101011200"/>
    <s v="Representation"/>
    <x v="0"/>
    <n v="-8088113.9100000001"/>
    <n v="-8088113.9100000001"/>
    <n v="-5787.34"/>
    <s v="Current"/>
    <s v="pedro.ferrauti"/>
    <x v="0"/>
    <x v="1"/>
    <x v="0"/>
  </r>
  <r>
    <s v="Sales - packing slip revenue"/>
    <d v="2026-02-28T00:00:00"/>
    <m/>
    <m/>
    <m/>
    <m/>
    <s v="SOIAR-000016468, 30693739698"/>
    <s v="SOIAR-000016468"/>
    <s v="4101011200-Twitter Billing-ARG-IARG-ARG-Rep"/>
    <s v="GJT230587"/>
    <s v="PS020945"/>
    <d v="2026-02-28T00:00:00"/>
    <s v="4101011200-Twitter Billing-ARG-IARG-ARG-Rep"/>
    <s v="4101011200"/>
    <s v="Representation"/>
    <x v="0"/>
    <n v="-1745729.16"/>
    <n v="-1745729.16"/>
    <n v="-1249.1300000000001"/>
    <s v="Current"/>
    <s v="pedro.ferrauti"/>
    <x v="0"/>
    <x v="1"/>
    <x v="0"/>
  </r>
  <r>
    <s v="Sales - packing slip revenue"/>
    <d v="2026-02-28T00:00:00"/>
    <m/>
    <m/>
    <m/>
    <m/>
    <s v="SOIAR-000016502, 30685376349"/>
    <s v="SOIAR-000016502"/>
    <s v="4101011200-Twitter-ARG-IARG-ARG-Rep"/>
    <s v="GJT230586"/>
    <s v="PS020944"/>
    <d v="2026-02-28T00:00:00"/>
    <s v="4101011200-Twitter-ARG-IARG-ARG-Rep"/>
    <s v="4101011200"/>
    <s v="Representation"/>
    <x v="0"/>
    <n v="-7779983.4400000004"/>
    <n v="-7779983.4400000004"/>
    <n v="-5566.86"/>
    <s v="Current"/>
    <s v="pedro.ferrauti"/>
    <x v="0"/>
    <x v="0"/>
    <x v="0"/>
  </r>
  <r>
    <s v="Sales - packing slip revenue"/>
    <d v="2026-02-28T00:00:00"/>
    <m/>
    <m/>
    <m/>
    <m/>
    <s v="SOIAR-000003203, 30659514628"/>
    <s v="SOIAR-000003203"/>
    <s v="4101011200-Twitter-ARG-IARG-ARG-Rep"/>
    <s v="GJT230585"/>
    <s v="PS020943"/>
    <d v="2026-02-28T00:00:00"/>
    <s v="4101011200-Twitter-ARG-IARG-ARG-Rep"/>
    <s v="4101011200"/>
    <s v="Representation"/>
    <x v="0"/>
    <n v="-3113913.08"/>
    <n v="-3113913.08"/>
    <n v="-2228.12"/>
    <s v="Current"/>
    <s v="pedro.ferrauti"/>
    <x v="0"/>
    <x v="0"/>
    <x v="0"/>
  </r>
  <r>
    <s v="Sales - packing slip revenue"/>
    <d v="2026-02-28T00:00:00"/>
    <m/>
    <m/>
    <m/>
    <m/>
    <s v="SOIAR-000017122, 30630308557"/>
    <s v="SOIAR-000017122"/>
    <s v="4101011200-Twitter-ARG-IARG-ARG-Rep"/>
    <s v="GJT230584"/>
    <s v="PS020942"/>
    <d v="2026-02-28T00:00:00"/>
    <s v="4101011200-Twitter-ARG-IARG-ARG-Rep"/>
    <s v="4101011200"/>
    <s v="Representation"/>
    <x v="0"/>
    <n v="-2327584.0699999998"/>
    <n v="-2327584.0699999998"/>
    <n v="-1665.47"/>
    <s v="Current"/>
    <s v="pedro.ferrauti"/>
    <x v="0"/>
    <x v="0"/>
    <x v="0"/>
  </r>
  <r>
    <s v="Sales - packing slip revenue"/>
    <d v="2026-02-28T00:00:00"/>
    <m/>
    <m/>
    <m/>
    <m/>
    <s v="SOIAR-000017119, 30630308557"/>
    <s v="SOIAR-000017119"/>
    <s v="4101011200-Twitter-ARG-IARG-ARG-Rep"/>
    <s v="GJT230583"/>
    <s v="PS020941"/>
    <d v="2026-02-28T00:00:00"/>
    <s v="4101011200-Twitter-ARG-IARG-ARG-Rep"/>
    <s v="4101011200"/>
    <s v="Representation"/>
    <x v="0"/>
    <n v="-2113734.34"/>
    <n v="-2113734.34"/>
    <n v="-1512.45"/>
    <s v="Current"/>
    <s v="pedro.ferrauti"/>
    <x v="0"/>
    <x v="0"/>
    <x v="0"/>
  </r>
  <r>
    <s v="Sales - packing slip revenue"/>
    <d v="2026-02-28T00:00:00"/>
    <m/>
    <m/>
    <m/>
    <m/>
    <s v="SOIAR-000017115, 30630308557"/>
    <s v="SOIAR-000017115"/>
    <s v="4101011200-Twitter-ARG-IARG-ARG-Rep"/>
    <s v="GJT230582"/>
    <s v="PS020940"/>
    <d v="2026-02-28T00:00:00"/>
    <s v="4101011200-Twitter-ARG-IARG-ARG-Rep"/>
    <s v="4101011200"/>
    <s v="Representation"/>
    <x v="0"/>
    <n v="-298515.78999999998"/>
    <n v="-298515.78999999998"/>
    <n v="-213.6"/>
    <s v="Current"/>
    <s v="pedro.ferrauti"/>
    <x v="0"/>
    <x v="0"/>
    <x v="0"/>
  </r>
  <r>
    <s v="Sales - packing slip revenue"/>
    <d v="2026-02-28T00:00:00"/>
    <m/>
    <m/>
    <m/>
    <m/>
    <s v="SOIAR-000017112, 30630308557"/>
    <s v="SOIAR-000017112"/>
    <s v="4101011200-Twitter-ARG-IARG-ARG-Rep"/>
    <s v="GJT230581"/>
    <s v="PS020939"/>
    <d v="2026-02-28T00:00:00"/>
    <s v="4101011200-Twitter-ARG-IARG-ARG-Rep"/>
    <s v="4101011200"/>
    <s v="Representation"/>
    <x v="0"/>
    <n v="-2906163.1"/>
    <n v="-2906163.1"/>
    <n v="-2079.46"/>
    <s v="Current"/>
    <s v="pedro.ferrauti"/>
    <x v="0"/>
    <x v="0"/>
    <x v="0"/>
  </r>
  <r>
    <s v="Sales - packing slip revenue"/>
    <d v="2026-02-28T00:00:00"/>
    <m/>
    <m/>
    <m/>
    <m/>
    <s v="SOIAR-000016492, 30630308557"/>
    <s v="SOIAR-000016492"/>
    <s v="4101011200-Twitter-ARG-IARG-ARG-Rep"/>
    <s v="GJT230580"/>
    <s v="PS020938"/>
    <d v="2026-02-28T00:00:00"/>
    <s v="4101011200-Twitter-ARG-IARG-ARG-Rep"/>
    <s v="4101011200"/>
    <s v="Representation"/>
    <x v="0"/>
    <n v="-4381827.7699999996"/>
    <n v="-4381827.7699999996"/>
    <n v="-3135.35"/>
    <s v="Current"/>
    <s v="pedro.ferrauti"/>
    <x v="0"/>
    <x v="0"/>
    <x v="0"/>
  </r>
  <r>
    <s v="Sales - packing slip revenue"/>
    <d v="2026-02-28T00:00:00"/>
    <m/>
    <m/>
    <m/>
    <m/>
    <s v="SOIAR-000015192, 30614089241"/>
    <s v="SOIAR-000015192"/>
    <s v="4101011200-Twitter-ARG-IARG-ARG-Rep"/>
    <s v="GJT230579"/>
    <s v="PS020937"/>
    <d v="2026-02-28T00:00:00"/>
    <s v="4101011200-Twitter-ARG-IARG-ARG-Rep"/>
    <s v="4101011200"/>
    <s v="Representation"/>
    <x v="0"/>
    <n v="-1206718.48"/>
    <n v="-1206718.48"/>
    <n v="-863.45"/>
    <s v="Current"/>
    <s v="pedro.ferrauti"/>
    <x v="0"/>
    <x v="0"/>
    <x v="0"/>
  </r>
  <r>
    <s v="Sales - packing slip revenue"/>
    <d v="2026-02-28T00:00:00"/>
    <m/>
    <m/>
    <m/>
    <m/>
    <s v="SOIAR-000017102, 30594476960"/>
    <s v="SOIAR-000017102"/>
    <s v="4101011200-Twitter Billing-ARG-IARG-ARG-Rep"/>
    <s v="GJT230578"/>
    <s v="PS020936"/>
    <d v="2026-02-28T00:00:00"/>
    <s v="4101011200-Twitter Billing-ARG-IARG-ARG-Rep"/>
    <s v="4101011200"/>
    <s v="Representation"/>
    <x v="0"/>
    <n v="-1192935.18"/>
    <n v="-1192935.18"/>
    <n v="-853.59"/>
    <s v="Current"/>
    <s v="pedro.ferrauti"/>
    <x v="0"/>
    <x v="1"/>
    <x v="0"/>
  </r>
  <r>
    <s v="Sales - packing slip revenue"/>
    <d v="2026-02-28T00:00:00"/>
    <m/>
    <m/>
    <m/>
    <m/>
    <s v="SOIAR-000017099, 30594476960"/>
    <s v="SOIAR-000017099"/>
    <s v="4101011200-Twitter Billing-ARG-IARG-ARG-Rep"/>
    <s v="GJT230577"/>
    <s v="PS020935"/>
    <d v="2026-02-28T00:00:00"/>
    <s v="4101011200-Twitter Billing-ARG-IARG-ARG-Rep"/>
    <s v="4101011200"/>
    <s v="Representation"/>
    <x v="0"/>
    <n v="-4454635.05"/>
    <n v="-4454635.05"/>
    <n v="-3187.45"/>
    <s v="Current"/>
    <s v="pedro.ferrauti"/>
    <x v="0"/>
    <x v="1"/>
    <x v="0"/>
  </r>
  <r>
    <s v="Sales - packing slip revenue"/>
    <d v="2026-02-28T00:00:00"/>
    <m/>
    <m/>
    <m/>
    <m/>
    <s v="SOIAR-000017129, 30546689979"/>
    <s v="SOIAR-000017129"/>
    <s v="4101011200-Twitter-ARG-IARG-ARG-Rep"/>
    <s v="GJT230576"/>
    <s v="PS020934"/>
    <d v="2026-02-28T00:00:00"/>
    <s v="4101011200-Twitter-ARG-IARG-ARG-Rep"/>
    <s v="4101011200"/>
    <s v="Representation"/>
    <x v="0"/>
    <n v="-232244.92"/>
    <n v="-232244.92"/>
    <n v="-166.18"/>
    <s v="Current"/>
    <s v="pedro.ferrauti"/>
    <x v="0"/>
    <x v="0"/>
    <x v="0"/>
  </r>
  <r>
    <s v="Sales - packing slip revenue"/>
    <d v="2026-02-28T00:00:00"/>
    <m/>
    <m/>
    <m/>
    <m/>
    <s v="SOIAR-000017121, 30546689979"/>
    <s v="SOIAR-000017121"/>
    <s v="4101011200-Twitter-ARG-IARG-ARG-Rep"/>
    <s v="GJT230575"/>
    <s v="PS020933"/>
    <d v="2026-02-28T00:00:00"/>
    <s v="4101011200-Twitter-ARG-IARG-ARG-Rep"/>
    <s v="4101011200"/>
    <s v="Representation"/>
    <x v="0"/>
    <n v="-22444.51"/>
    <n v="-22444.51"/>
    <n v="-16.059999999999999"/>
    <s v="Current"/>
    <s v="pedro.ferrauti"/>
    <x v="0"/>
    <x v="0"/>
    <x v="0"/>
  </r>
  <r>
    <s v="Sales - packing slip revenue"/>
    <d v="2026-02-28T00:00:00"/>
    <m/>
    <m/>
    <m/>
    <m/>
    <s v="SOIAR-000017118, 30546689979"/>
    <s v="SOIAR-000017118"/>
    <s v="4101011200-Twitter-ARG-IARG-ARG-Rep"/>
    <s v="GJT230574"/>
    <s v="PS020932"/>
    <d v="2026-02-28T00:00:00"/>
    <s v="4101011200-Twitter-ARG-IARG-ARG-Rep"/>
    <s v="4101011200"/>
    <s v="Representation"/>
    <x v="0"/>
    <n v="-6195989.9900000002"/>
    <n v="-6195989.9900000002"/>
    <n v="-4433.45"/>
    <s v="Current"/>
    <s v="pedro.ferrauti"/>
    <x v="0"/>
    <x v="0"/>
    <x v="0"/>
  </r>
  <r>
    <s v="Sales - packing slip revenue"/>
    <d v="2026-02-28T00:00:00"/>
    <m/>
    <m/>
    <m/>
    <m/>
    <s v="SOIAR-000017110, 30546689979"/>
    <s v="SOIAR-000017110"/>
    <s v="4101011200-Twitter-ARG-IARG-ARG-Rep"/>
    <s v="GJT230573"/>
    <s v="PS020931"/>
    <d v="2026-02-28T00:00:00"/>
    <s v="4101011200-Twitter-ARG-IARG-ARG-Rep"/>
    <s v="4101011200"/>
    <s v="Representation"/>
    <x v="0"/>
    <n v="-1585096.5"/>
    <n v="-1585096.5"/>
    <n v="-1134.19"/>
    <s v="Current"/>
    <s v="pedro.ferrauti"/>
    <x v="0"/>
    <x v="0"/>
    <x v="0"/>
  </r>
  <r>
    <s v="Sales - packing slip revenue"/>
    <d v="2026-02-28T00:00:00"/>
    <m/>
    <m/>
    <m/>
    <m/>
    <s v="SOIAR-000016511, 30546689979"/>
    <s v="SOIAR-000016511"/>
    <s v="4101011200-Twitter-ARG-IARG-ARG-Rep"/>
    <s v="GJT230572"/>
    <s v="PS020930"/>
    <d v="2026-02-28T00:00:00"/>
    <s v="4101011200-Twitter-ARG-IARG-ARG-Rep"/>
    <s v="4101011200"/>
    <s v="Representation"/>
    <x v="0"/>
    <n v="-1419697.03"/>
    <n v="-1419697.03"/>
    <n v="-1015.84"/>
    <s v="Current"/>
    <s v="pedro.ferrauti"/>
    <x v="0"/>
    <x v="0"/>
    <x v="0"/>
  </r>
  <r>
    <s v="Sales - packing slip revenue"/>
    <d v="2026-02-28T00:00:00"/>
    <m/>
    <m/>
    <m/>
    <m/>
    <s v="SOIAR-000015320, 30546689979"/>
    <s v="SOIAR-000015320"/>
    <s v="4101011200-Twitter-ARG-IARG-ARG-Rep"/>
    <s v="GJT230571"/>
    <s v="PS020929"/>
    <d v="2026-02-28T00:00:00"/>
    <s v="4101011200-Twitter-ARG-IARG-ARG-Rep"/>
    <s v="4101011200"/>
    <s v="Representation"/>
    <x v="0"/>
    <n v="-1677857.16"/>
    <n v="-1677857.16"/>
    <n v="-1200.57"/>
    <s v="Current"/>
    <s v="pedro.ferrauti"/>
    <x v="0"/>
    <x v="0"/>
    <x v="0"/>
  </r>
  <r>
    <s v="Sales - packing slip revenue"/>
    <d v="2026-02-28T00:00:00"/>
    <m/>
    <m/>
    <m/>
    <m/>
    <s v="SOIAR-000015321, 30500008454"/>
    <s v="SOIAR-000015321"/>
    <s v="4101011200-Twitter-ARG-IARG-ARG-Rep"/>
    <s v="GJT230570"/>
    <s v="PS020928"/>
    <d v="2026-02-28T00:00:00"/>
    <s v="4101011200-Twitter-ARG-IARG-ARG-Rep"/>
    <s v="4101011200"/>
    <s v="Representation"/>
    <x v="0"/>
    <n v="-9005104.1400000006"/>
    <n v="-9005104.1400000006"/>
    <n v="-6443.47"/>
    <s v="Current"/>
    <s v="pedro.ferrauti"/>
    <x v="0"/>
    <x v="0"/>
    <x v="0"/>
  </r>
  <r>
    <s v="Sales - packing slip revenue"/>
    <d v="2026-02-28T00:00:00"/>
    <m/>
    <m/>
    <m/>
    <m/>
    <s v="SOIAR-000017097, 30639453738"/>
    <s v="SOIAR-000017097"/>
    <s v="4101011200-Twitter-ARG-IARG-ARG-Rep"/>
    <s v="GJT228696"/>
    <s v="PS020927"/>
    <d v="2026-02-28T00:00:00"/>
    <s v="4101011200-Twitter-ARG-IARG-ARG-Rep"/>
    <s v="4101011200"/>
    <s v="Representation"/>
    <x v="0"/>
    <n v="-241926.19"/>
    <n v="-241926.19"/>
    <n v="-173.11"/>
    <s v="Current"/>
    <s v="pedro.ferrauti"/>
    <x v="0"/>
    <x v="0"/>
    <x v="0"/>
  </r>
  <r>
    <s v="Sales - packing slip revenue"/>
    <d v="2026-02-28T00:00:00"/>
    <m/>
    <m/>
    <m/>
    <m/>
    <s v="SOIAR-000017096, 30639453738"/>
    <s v="SOIAR-000017096"/>
    <s v="4101011200-Twitter-ARG-IARG-ARG-Rep"/>
    <s v="GJT228695"/>
    <s v="PS020926"/>
    <d v="2026-02-28T00:00:00"/>
    <s v="4101011200-Twitter-ARG-IARG-ARG-Rep"/>
    <s v="4101011200"/>
    <s v="Representation"/>
    <x v="0"/>
    <n v="-4884766"/>
    <n v="-4884766"/>
    <n v="-3495.23"/>
    <s v="Current"/>
    <s v="pedro.ferrauti"/>
    <x v="0"/>
    <x v="0"/>
    <x v="0"/>
  </r>
  <r>
    <s v="Sales - packing slip revenue"/>
    <d v="2026-02-28T00:00:00"/>
    <m/>
    <m/>
    <m/>
    <m/>
    <s v="SOIAR-000017095, 30639453738"/>
    <s v="SOIAR-000017095"/>
    <s v="4101011200-Twitter-ARG-IARG-ARG-Rep"/>
    <s v="GJT228694"/>
    <s v="PS020925"/>
    <d v="2026-02-28T00:00:00"/>
    <s v="4101011200-Twitter-ARG-IARG-ARG-Rep"/>
    <s v="4101011200"/>
    <s v="Representation"/>
    <x v="0"/>
    <n v="-997649.16"/>
    <n v="-997649.16"/>
    <n v="-713.85"/>
    <s v="Current"/>
    <s v="pedro.ferrauti"/>
    <x v="0"/>
    <x v="0"/>
    <x v="0"/>
  </r>
  <r>
    <s v="Sales - packing slip revenue"/>
    <d v="2026-02-28T00:00:00"/>
    <m/>
    <m/>
    <m/>
    <m/>
    <s v="SOIAR-000017094, 30639453738"/>
    <s v="SOIAR-000017094"/>
    <s v="4101011200-Twitter-ARG-IARG-ARG-Rep"/>
    <s v="GJT228693"/>
    <s v="PS020924"/>
    <d v="2026-02-28T00:00:00"/>
    <s v="4101011200-Twitter-ARG-IARG-ARG-Rep"/>
    <s v="4101011200"/>
    <s v="Representation"/>
    <x v="0"/>
    <n v="-999321.21"/>
    <n v="-999321.21"/>
    <n v="-715.05"/>
    <s v="Current"/>
    <s v="pedro.ferrauti"/>
    <x v="0"/>
    <x v="0"/>
    <x v="0"/>
  </r>
  <r>
    <s v="Sales - packing slip revenue"/>
    <d v="2026-02-28T00:00:00"/>
    <m/>
    <m/>
    <m/>
    <m/>
    <s v="SOIAR-000016508, 30639453738"/>
    <s v="SOIAR-000016508"/>
    <s v="4101011200-Twitter-ARG-IARG-ARG-Rep"/>
    <s v="GJT228691"/>
    <s v="PS020923"/>
    <d v="2026-02-28T00:00:00"/>
    <s v="4101011200-Twitter-ARG-IARG-ARG-Rep"/>
    <s v="4101011200"/>
    <s v="Representation"/>
    <x v="0"/>
    <n v="-7514153.1299999999"/>
    <n v="-7514153.1299999999"/>
    <n v="-5376.65"/>
    <s v="Current"/>
    <s v="pedro.ferrauti"/>
    <x v="0"/>
    <x v="0"/>
    <x v="0"/>
  </r>
  <r>
    <s v="Sales - packing slip revenue"/>
    <d v="2026-02-28T00:00:00"/>
    <m/>
    <m/>
    <m/>
    <m/>
    <s v="SOIAR-000015941, 30693739698"/>
    <s v="SOIAR-000015941"/>
    <s v="4101011200-Twitter Billing-ARG-IARG-ARG-Rep"/>
    <s v="GJT219595"/>
    <s v="PSCV000301"/>
    <d v="2026-02-28T00:00:00"/>
    <s v="4101011200-Twitter Billing-ARG-IARG-ARG-Rep"/>
    <s v="4101011200"/>
    <s v="Representation"/>
    <x v="0"/>
    <n v="1860335.44"/>
    <n v="1860335.44"/>
    <n v="1285.3"/>
    <s v="Current"/>
    <s v="henry.hernandez"/>
    <x v="0"/>
    <x v="1"/>
    <x v="0"/>
  </r>
  <r>
    <s v="Sales - packing slip revenue"/>
    <d v="2026-02-28T00:00:00"/>
    <m/>
    <m/>
    <m/>
    <m/>
    <s v="SOIAR-000015162, 30693739698"/>
    <s v="SOIAR-000015162"/>
    <s v="4101011200-Twitter Billing-ARG-IARG-ARG-Rep"/>
    <s v="GJT219593"/>
    <s v="PSCV000300"/>
    <d v="2026-02-28T00:00:00"/>
    <s v="4101011200-Twitter Billing-ARG-IARG-ARG-Rep"/>
    <s v="4101011200"/>
    <s v="Representation"/>
    <x v="0"/>
    <n v="5624367.0800000001"/>
    <n v="5624367.0800000001"/>
    <n v="3885.86"/>
    <s v="Current"/>
    <s v="henry.hernandez"/>
    <x v="0"/>
    <x v="1"/>
    <x v="0"/>
  </r>
  <r>
    <s v="Sales - packing slip revenue"/>
    <d v="2026-02-28T00:00:00"/>
    <m/>
    <m/>
    <m/>
    <m/>
    <s v="SOIAR-000015169, 30693739698"/>
    <s v="SOIAR-000015169"/>
    <s v="4101011200-Twitter Billing-ARG-IARG-ARG-Rep"/>
    <s v="GJT219591"/>
    <s v="PSCV000299"/>
    <d v="2026-02-28T00:00:00"/>
    <s v="4101011200-Twitter Billing-ARG-IARG-ARG-Rep"/>
    <s v="4101011200"/>
    <s v="Representation"/>
    <x v="0"/>
    <n v="4501351.08"/>
    <n v="4501351.08"/>
    <n v="3109.96"/>
    <s v="Current"/>
    <s v="henry.hernandez"/>
    <x v="0"/>
    <x v="1"/>
    <x v="0"/>
  </r>
  <r>
    <s v="Sales - packing slip revenue"/>
    <d v="2026-02-28T00:00:00"/>
    <m/>
    <m/>
    <m/>
    <m/>
    <s v="SOIAR-000015941, 30693739698"/>
    <s v="SOIAR-000015941"/>
    <s v="4101011200-Twitter Billing-ARG-IARG-ARG-Rep"/>
    <s v="GJT219590"/>
    <s v="PS019580"/>
    <d v="2026-02-28T00:00:00"/>
    <s v="4101011200-Twitter Billing-ARG-IARG-ARG-Rep"/>
    <s v="4101011200"/>
    <s v="Representation"/>
    <x v="0"/>
    <n v="-1860335.44"/>
    <n v="-1860335.44"/>
    <n v="-1285.3"/>
    <s v="Current"/>
    <s v="henry.hernandez"/>
    <x v="0"/>
    <x v="1"/>
    <x v="0"/>
  </r>
  <r>
    <s v="Sales - packing slip revenue"/>
    <d v="2026-02-28T00:00:00"/>
    <m/>
    <m/>
    <m/>
    <m/>
    <s v="SOIAR-000015169, 30693739698"/>
    <s v="SOIAR-000015169"/>
    <s v="4101011200-Twitter Billing-ARG-IARG-ARG-Rep"/>
    <s v="GJT219589"/>
    <s v="PS019579"/>
    <d v="2026-02-28T00:00:00"/>
    <s v="4101011200-Twitter Billing-ARG-IARG-ARG-Rep"/>
    <s v="4101011200"/>
    <s v="Representation"/>
    <x v="0"/>
    <n v="-4501351.08"/>
    <n v="-4501351.08"/>
    <n v="-3109.96"/>
    <s v="Current"/>
    <s v="henry.hernandez"/>
    <x v="0"/>
    <x v="1"/>
    <x v="0"/>
  </r>
  <r>
    <s v="Sales - packing slip revenue"/>
    <d v="2026-02-28T00:00:00"/>
    <m/>
    <m/>
    <m/>
    <m/>
    <s v="SOIAR-000015162, 30693739698"/>
    <s v="SOIAR-000015162"/>
    <s v="4101011200-Twitter Billing-ARG-IARG-ARG-Rep"/>
    <s v="GJT219588"/>
    <s v="PS019578"/>
    <d v="2026-02-28T00:00:00"/>
    <s v="4101011200-Twitter Billing-ARG-IARG-ARG-Rep"/>
    <s v="4101011200"/>
    <s v="Representation"/>
    <x v="0"/>
    <n v="-5624367.0800000001"/>
    <n v="-5624367.0800000001"/>
    <n v="-3885.86"/>
    <s v="Current"/>
    <s v="henry.hernandez"/>
    <x v="0"/>
    <x v="1"/>
    <x v="0"/>
  </r>
  <r>
    <s v="Sales order revenue"/>
    <d v="2026-02-26T00:00:00"/>
    <s v="Assist Card Argentina Sociedad Anonima De Servicios"/>
    <s v="33547992429"/>
    <m/>
    <m/>
    <s v="SOIAR-000010989, 33547992429, Assist Card Argentina Sociedad Anonima De Servicios"/>
    <s v="SOIAR-000010989"/>
    <s v="4101011200-Twitter-ARG-IARG-ARG-Rep"/>
    <s v="GJT226407"/>
    <s v="IARG_CI_00018674"/>
    <d v="2026-02-26T00:00:00"/>
    <s v="4101011200-Twitter-ARG-IARG-ARG-Rep"/>
    <s v="4101011200"/>
    <s v="Representation"/>
    <x v="0"/>
    <n v="-3535663.91"/>
    <n v="-3535663.91"/>
    <n v="-2575.92"/>
    <s v="Current"/>
    <s v="ana.scotti"/>
    <x v="0"/>
    <x v="0"/>
    <x v="0"/>
  </r>
  <r>
    <s v="Sales - packing slip revenue"/>
    <d v="2026-02-26T00:00:00"/>
    <s v="Assist Card Argentina Sociedad Anonima De Servicios"/>
    <s v="33547992429"/>
    <m/>
    <m/>
    <s v="SOIAR-000010989, 33547992429, Assist Card Argentina Sociedad Anonima De Servicios"/>
    <s v="SOIAR-000010989"/>
    <s v="4101011200-Twitter-ARG-IARG-ARG-Rep"/>
    <s v="GJT226407"/>
    <s v="IARG_CI_00018674"/>
    <d v="2026-02-26T00:00:00"/>
    <s v="4101011200-Twitter-ARG-IARG-ARG-Rep"/>
    <s v="4101011200"/>
    <s v="Representation"/>
    <x v="0"/>
    <n v="3535663.91"/>
    <n v="3535663.91"/>
    <n v="2575.92"/>
    <s v="Current"/>
    <s v="ana.scotti"/>
    <x v="0"/>
    <x v="0"/>
    <x v="0"/>
  </r>
  <r>
    <s v="Sales order revenue"/>
    <d v="2026-02-25T00:00:00"/>
    <s v="IPG Media Brands SA"/>
    <s v="30693739698"/>
    <m/>
    <m/>
    <s v="SOIAR-000012402, 30693739698, IPG Media Brands SA"/>
    <s v="SOIAR-000012402"/>
    <s v="4101011200-Twitter-ARG-IARG-ARG-Rep"/>
    <s v="GJT226252"/>
    <s v="IARG_CI_00018672"/>
    <d v="2026-02-25T00:00:00"/>
    <s v="4101011200-Twitter-ARG-IARG-ARG-Rep"/>
    <s v="4101011200"/>
    <s v="Representation"/>
    <x v="0"/>
    <n v="-7584713.0999999996"/>
    <n v="-7584713.0999999996"/>
    <n v="-5530.05"/>
    <s v="Current"/>
    <s v="roman.villanueva"/>
    <x v="0"/>
    <x v="0"/>
    <x v="0"/>
  </r>
  <r>
    <s v="Sales order revenue"/>
    <d v="2026-02-25T00:00:00"/>
    <s v="IPG Media Brands SA"/>
    <s v="30693739698"/>
    <m/>
    <m/>
    <s v="SOIAR-000012402, 30693739698, IPG Media Brands SA"/>
    <s v="SOIAR-000012402"/>
    <s v="4101011200-Twitter-ARG-IARG-ARG-Rep"/>
    <s v="GJT226252"/>
    <s v="IARG_CI_00018672"/>
    <d v="2026-02-25T00:00:00"/>
    <s v="4101011200-Twitter-ARG-IARG-ARG-Rep"/>
    <s v="4101011200"/>
    <s v="Representation"/>
    <x v="0"/>
    <n v="0"/>
    <n v="0"/>
    <n v="52.86"/>
    <s v="Current"/>
    <s v="roman.villanueva"/>
    <x v="0"/>
    <x v="0"/>
    <x v="0"/>
  </r>
  <r>
    <s v="Sales order revenue"/>
    <d v="2026-02-25T00:00:00"/>
    <s v="IPG Media Brands SA"/>
    <s v="30693739698"/>
    <m/>
    <m/>
    <s v="SOIAR-000012402, 30693739698, IPG Media Brands SA"/>
    <s v="SOIAR-000012402"/>
    <s v="4101011200-Twitter-ARG-IARG-ARG-Rep"/>
    <s v="GJT226252"/>
    <s v="IARG_CI_00018672"/>
    <d v="2026-02-25T00:00:00"/>
    <s v="4101011200-Twitter-ARG-IARG-ARG-Rep"/>
    <s v="4101011200"/>
    <s v="Representation"/>
    <x v="0"/>
    <n v="0"/>
    <n v="0"/>
    <n v="149.29"/>
    <s v="Current"/>
    <s v="roman.villanueva"/>
    <x v="0"/>
    <x v="0"/>
    <x v="0"/>
  </r>
  <r>
    <s v="Sales - packing slip revenue"/>
    <d v="2026-02-25T00:00:00"/>
    <s v="IPG Media Brands SA"/>
    <s v="30693739698"/>
    <m/>
    <m/>
    <s v="SOIAR-000012402, 30693739698, IPG Media Brands SA"/>
    <s v="SOIAR-000012402"/>
    <s v="4101011200-Twitter-ARG-IARG-ARG-Rep"/>
    <s v="GJT226252"/>
    <s v="IARG_CI_00018672"/>
    <d v="2026-02-25T00:00:00"/>
    <s v="4101011200-Twitter-ARG-IARG-ARG-Rep"/>
    <s v="4101011200"/>
    <s v="Representation"/>
    <x v="0"/>
    <n v="7584713.0999999996"/>
    <n v="7584713.0999999996"/>
    <n v="5327.9"/>
    <s v="Current"/>
    <s v="roman.villanueva"/>
    <x v="0"/>
    <x v="0"/>
    <x v="0"/>
  </r>
  <r>
    <s v="Sales order revenue"/>
    <d v="2026-02-25T00:00:00"/>
    <s v="RAPPI ARG S.A.S."/>
    <s v="30715803891"/>
    <m/>
    <m/>
    <s v="SOIAR-000009798, 30715803891, RAPPI ARG S.A.S."/>
    <s v="SOIAR-000009798"/>
    <s v="4101011200-Twitter Billing-ARG-IARG-ARG-Rep"/>
    <s v="GJT226221"/>
    <s v="IARG_CI_00018671"/>
    <d v="2026-02-25T00:00:00"/>
    <s v="4101011200-Twitter Billing-ARG-IARG-ARG-Rep"/>
    <s v="4101011200"/>
    <s v="Representation"/>
    <x v="0"/>
    <n v="-14401975.51"/>
    <n v="-14401975.51"/>
    <n v="-10500.55"/>
    <s v="Current"/>
    <s v="ana.scotti"/>
    <x v="0"/>
    <x v="1"/>
    <x v="0"/>
  </r>
  <r>
    <s v="Sales order revenue"/>
    <d v="2026-02-25T00:00:00"/>
    <s v="RAPPI ARG S.A.S."/>
    <s v="30715803891"/>
    <m/>
    <m/>
    <s v="SOIAR-000009798, 30715803891, RAPPI ARG S.A.S."/>
    <s v="SOIAR-000009798"/>
    <s v="4101011200-Twitter Billing-ARG-IARG-ARG-Rep"/>
    <s v="GJT226221"/>
    <s v="IARG_CI_00018671"/>
    <d v="2026-02-25T00:00:00"/>
    <s v="4101011200-Twitter Billing-ARG-IARG-ARG-Rep"/>
    <s v="4101011200"/>
    <s v="Representation"/>
    <x v="0"/>
    <n v="0"/>
    <n v="0"/>
    <n v="550.27"/>
    <s v="Current"/>
    <s v="ana.scotti"/>
    <x v="0"/>
    <x v="1"/>
    <x v="0"/>
  </r>
  <r>
    <s v="Sales - packing slip revenue"/>
    <d v="2026-02-25T00:00:00"/>
    <s v="RAPPI ARG S.A.S."/>
    <s v="30715803891"/>
    <m/>
    <m/>
    <s v="SOIAR-000009798, 30715803891, RAPPI ARG S.A.S."/>
    <s v="SOIAR-000009798"/>
    <s v="4101011200-Twitter Billing-ARG-IARG-ARG-Rep"/>
    <s v="GJT226221"/>
    <s v="IARG_CI_00018671"/>
    <d v="2026-02-25T00:00:00"/>
    <s v="4101011200-Twitter Billing-ARG-IARG-ARG-Rep"/>
    <s v="4101011200"/>
    <s v="Representation"/>
    <x v="0"/>
    <n v="14401975.51"/>
    <n v="14401975.51"/>
    <n v="9950.2800000000007"/>
    <s v="Current"/>
    <s v="ana.scotti"/>
    <x v="0"/>
    <x v="1"/>
    <x v="0"/>
  </r>
  <r>
    <s v="Sales - packing slip revenue"/>
    <d v="2026-02-25T00:00:00"/>
    <m/>
    <m/>
    <m/>
    <m/>
    <s v="SOIAR-000010352, 30715225537"/>
    <s v="SOIAR-000010352"/>
    <s v="4101011200-Twitter-ARG-IARG-ARG-Rep"/>
    <s v="GJT226208"/>
    <s v="PS020321"/>
    <d v="2026-02-25T00:00:00"/>
    <s v="4101011200-Twitter-ARG-IARG-ARG-Rep"/>
    <s v="4101011200"/>
    <s v="Representation"/>
    <x v="0"/>
    <n v="-1333576"/>
    <n v="-1333576"/>
    <n v="-972.32"/>
    <s v="Current"/>
    <s v="pedro.ferrauti"/>
    <x v="0"/>
    <x v="0"/>
    <x v="0"/>
  </r>
  <r>
    <s v="Sales order revenue"/>
    <d v="2026-02-24T00:00:00"/>
    <s v="YPF SA"/>
    <s v="30546689979"/>
    <m/>
    <m/>
    <s v="SOIAR-000016511, 30546689979, YPF SA"/>
    <s v="SOIAR-000016511"/>
    <s v="4101011200-Twitter-ARG-IARG-ARG-Rep"/>
    <s v="GJT225798"/>
    <s v="IARG_CI_00018662"/>
    <d v="2026-02-24T00:00:00"/>
    <s v="4101011200-Twitter-ARG-IARG-ARG-Rep"/>
    <s v="4101011200"/>
    <s v="Representation"/>
    <x v="0"/>
    <n v="-235000"/>
    <n v="-235000"/>
    <n v="-170.83"/>
    <s v="Current"/>
    <s v="ana.scotti"/>
    <x v="0"/>
    <x v="0"/>
    <x v="0"/>
  </r>
  <r>
    <s v="Sales order revenue"/>
    <d v="2026-02-24T00:00:00"/>
    <s v="YPF SA"/>
    <s v="30546689979"/>
    <m/>
    <m/>
    <s v="SOIAR-000016511, 30546689979, YPF SA"/>
    <s v="SOIAR-000016511"/>
    <s v="4101011200-Twitter-ARG-IARG-ARG-Rep"/>
    <s v="GJT225798"/>
    <s v="IARG_CI_00018662"/>
    <d v="2026-02-24T00:00:00"/>
    <s v="4101011200-Twitter-ARG-IARG-ARG-Rep"/>
    <s v="4101011200"/>
    <s v="Representation"/>
    <x v="0"/>
    <n v="0"/>
    <n v="0"/>
    <n v="8.4700000000000006"/>
    <s v="Current"/>
    <s v="ana.scotti"/>
    <x v="0"/>
    <x v="0"/>
    <x v="0"/>
  </r>
  <r>
    <s v="Sales - packing slip revenue"/>
    <d v="2026-02-24T00:00:00"/>
    <s v="YPF SA"/>
    <s v="30546689979"/>
    <m/>
    <m/>
    <s v="SOIAR-000016511, 30546689979, YPF SA"/>
    <s v="SOIAR-000016511"/>
    <s v="4101011200-Twitter-ARG-IARG-ARG-Rep"/>
    <s v="GJT225798"/>
    <s v="IARG_CI_00018662"/>
    <d v="2026-02-24T00:00:00"/>
    <s v="4101011200-Twitter-ARG-IARG-ARG-Rep"/>
    <s v="4101011200"/>
    <s v="Representation"/>
    <x v="0"/>
    <n v="235000"/>
    <n v="235000"/>
    <n v="162.36000000000001"/>
    <s v="Current"/>
    <s v="ana.scotti"/>
    <x v="0"/>
    <x v="0"/>
    <x v="0"/>
  </r>
  <r>
    <s v="Sales order revenue"/>
    <d v="2026-02-24T00:00:00"/>
    <s v="YPF SA"/>
    <s v="30546689979"/>
    <m/>
    <m/>
    <s v="SOIAR-000016501, 30546689979, YPF SA"/>
    <s v="SOIAR-000016501"/>
    <s v="4101011200-Twitter-ARG-IARG-ARG-Rep"/>
    <s v="GJT225784"/>
    <s v="IARG_CI_00018661"/>
    <d v="2026-02-24T00:00:00"/>
    <s v="4101011200-Twitter-ARG-IARG-ARG-Rep"/>
    <s v="4101011200"/>
    <s v="Representation"/>
    <x v="0"/>
    <n v="-1047323.7"/>
    <n v="-1047323.7"/>
    <n v="-761.35"/>
    <s v="Current"/>
    <s v="ana.scotti"/>
    <x v="0"/>
    <x v="0"/>
    <x v="0"/>
  </r>
  <r>
    <s v="Sales order revenue"/>
    <d v="2026-02-24T00:00:00"/>
    <s v="YPF SA"/>
    <s v="30546689979"/>
    <m/>
    <m/>
    <s v="SOIAR-000016501, 30546689979, YPF SA"/>
    <s v="SOIAR-000016501"/>
    <s v="4101011200-Twitter-ARG-IARG-ARG-Rep"/>
    <s v="GJT225784"/>
    <s v="IARG_CI_00018661"/>
    <d v="2026-02-24T00:00:00"/>
    <s v="4101011200-Twitter-ARG-IARG-ARG-Rep"/>
    <s v="4101011200"/>
    <s v="Representation"/>
    <x v="0"/>
    <n v="0"/>
    <n v="0"/>
    <n v="37.76"/>
    <s v="Current"/>
    <s v="ana.scotti"/>
    <x v="0"/>
    <x v="0"/>
    <x v="0"/>
  </r>
  <r>
    <s v="Sales - packing slip revenue"/>
    <d v="2026-02-24T00:00:00"/>
    <s v="YPF SA"/>
    <s v="30546689979"/>
    <m/>
    <m/>
    <s v="SOIAR-000016501, 30546689979, YPF SA"/>
    <s v="SOIAR-000016501"/>
    <s v="4101011200-Twitter-ARG-IARG-ARG-Rep"/>
    <s v="GJT225784"/>
    <s v="IARG_CI_00018661"/>
    <d v="2026-02-24T00:00:00"/>
    <s v="4101011200-Twitter-ARG-IARG-ARG-Rep"/>
    <s v="4101011200"/>
    <s v="Representation"/>
    <x v="0"/>
    <n v="1047323.7"/>
    <n v="1047323.7"/>
    <n v="723.59"/>
    <s v="Current"/>
    <s v="ana.scotti"/>
    <x v="0"/>
    <x v="0"/>
    <x v="0"/>
  </r>
  <r>
    <s v="Sales order revenue"/>
    <d v="2026-02-24T00:00:00"/>
    <s v="YPF SA"/>
    <s v="30546689979"/>
    <m/>
    <m/>
    <s v="SOIAR-000016495, 30546689979, YPF SA"/>
    <s v="SOIAR-000016495"/>
    <s v="4101011200-Twitter-ARG-IARG-ARG-Rep"/>
    <s v="GJT225783"/>
    <s v="IARG_CI_00018660"/>
    <d v="2026-02-24T00:00:00"/>
    <s v="4101011200-Twitter-ARG-IARG-ARG-Rep"/>
    <s v="4101011200"/>
    <s v="Representation"/>
    <x v="0"/>
    <n v="-1099415.21"/>
    <n v="-1099415.21"/>
    <n v="-799.21"/>
    <s v="Current"/>
    <s v="ana.scotti"/>
    <x v="0"/>
    <x v="0"/>
    <x v="0"/>
  </r>
  <r>
    <s v="Sales order revenue"/>
    <d v="2026-02-24T00:00:00"/>
    <s v="YPF SA"/>
    <s v="30546689979"/>
    <m/>
    <m/>
    <s v="SOIAR-000016495, 30546689979, YPF SA"/>
    <s v="SOIAR-000016495"/>
    <s v="4101011200-Twitter-ARG-IARG-ARG-Rep"/>
    <s v="GJT225783"/>
    <s v="IARG_CI_00018660"/>
    <d v="2026-02-24T00:00:00"/>
    <s v="4101011200-Twitter-ARG-IARG-ARG-Rep"/>
    <s v="4101011200"/>
    <s v="Representation"/>
    <x v="0"/>
    <n v="0"/>
    <n v="0"/>
    <n v="39.630000000000003"/>
    <s v="Current"/>
    <s v="ana.scotti"/>
    <x v="0"/>
    <x v="0"/>
    <x v="0"/>
  </r>
  <r>
    <s v="Sales - packing slip revenue"/>
    <d v="2026-02-24T00:00:00"/>
    <s v="YPF SA"/>
    <s v="30546689979"/>
    <m/>
    <m/>
    <s v="SOIAR-000016495, 30546689979, YPF SA"/>
    <s v="SOIAR-000016495"/>
    <s v="4101011200-Twitter-ARG-IARG-ARG-Rep"/>
    <s v="GJT225783"/>
    <s v="IARG_CI_00018660"/>
    <d v="2026-02-24T00:00:00"/>
    <s v="4101011200-Twitter-ARG-IARG-ARG-Rep"/>
    <s v="4101011200"/>
    <s v="Representation"/>
    <x v="0"/>
    <n v="1099415.21"/>
    <n v="1099415.21"/>
    <n v="759.58"/>
    <s v="Current"/>
    <s v="ana.scotti"/>
    <x v="0"/>
    <x v="0"/>
    <x v="0"/>
  </r>
  <r>
    <s v="Sales order revenue"/>
    <d v="2026-02-24T00:00:00"/>
    <s v="YPF SA"/>
    <s v="30546689979"/>
    <m/>
    <m/>
    <s v="SOIAR-000015320, 30546689979, YPF SA"/>
    <s v="SOIAR-000015320"/>
    <s v="4101011200-Twitter-ARG-IARG-ARG-Rep"/>
    <s v="GJT225782"/>
    <s v="IARG_CI_00018659"/>
    <d v="2026-02-24T00:00:00"/>
    <s v="4101011200-Twitter-ARG-IARG-ARG-Rep"/>
    <s v="4101011200"/>
    <s v="Representation"/>
    <x v="0"/>
    <n v="-3725274.88"/>
    <n v="-3725274.88"/>
    <n v="-2708.06"/>
    <s v="Current"/>
    <s v="ana.scotti"/>
    <x v="0"/>
    <x v="0"/>
    <x v="0"/>
  </r>
  <r>
    <s v="Sales order revenue"/>
    <d v="2026-02-24T00:00:00"/>
    <s v="YPF SA"/>
    <s v="30546689979"/>
    <m/>
    <m/>
    <s v="SOIAR-000015320, 30546689979, YPF SA"/>
    <s v="SOIAR-000015320"/>
    <s v="4101011200-Twitter-ARG-IARG-ARG-Rep"/>
    <s v="GJT225782"/>
    <s v="IARG_CI_00018659"/>
    <d v="2026-02-24T00:00:00"/>
    <s v="4101011200-Twitter-ARG-IARG-ARG-Rep"/>
    <s v="4101011200"/>
    <s v="Representation"/>
    <x v="0"/>
    <n v="0"/>
    <n v="0"/>
    <n v="134.28"/>
    <s v="Current"/>
    <s v="ana.scotti"/>
    <x v="0"/>
    <x v="0"/>
    <x v="0"/>
  </r>
  <r>
    <s v="Sales - packing slip revenue"/>
    <d v="2026-02-24T00:00:00"/>
    <s v="YPF SA"/>
    <s v="30546689979"/>
    <m/>
    <m/>
    <s v="SOIAR-000015320, 30546689979, YPF SA"/>
    <s v="SOIAR-000015320"/>
    <s v="4101011200-Twitter-ARG-IARG-ARG-Rep"/>
    <s v="GJT225782"/>
    <s v="IARG_CI_00018659"/>
    <d v="2026-02-24T00:00:00"/>
    <s v="4101011200-Twitter-ARG-IARG-ARG-Rep"/>
    <s v="4101011200"/>
    <s v="Representation"/>
    <x v="0"/>
    <n v="3725274.88"/>
    <n v="3725274.88"/>
    <n v="2573.7800000000002"/>
    <s v="Current"/>
    <s v="ana.scotti"/>
    <x v="0"/>
    <x v="0"/>
    <x v="0"/>
  </r>
  <r>
    <s v="Sales order revenue"/>
    <d v="2026-02-24T00:00:00"/>
    <s v="YPF SA"/>
    <s v="30546689979"/>
    <m/>
    <m/>
    <s v="SOIAR-000016487, 30546689979, YPF SA"/>
    <s v="SOIAR-000016487"/>
    <s v="4101011200-Twitter-ARG-IARG-ARG-Rep"/>
    <s v="GJT225780"/>
    <s v="IARG_CI_00018658"/>
    <d v="2026-02-24T00:00:00"/>
    <s v="4101011200-Twitter-ARG-IARG-ARG-Rep"/>
    <s v="4101011200"/>
    <s v="Representation"/>
    <x v="0"/>
    <n v="-4725556.3899999997"/>
    <n v="-4725556.3899999997"/>
    <n v="-3435.21"/>
    <s v="Current"/>
    <s v="ana.scotti"/>
    <x v="0"/>
    <x v="0"/>
    <x v="0"/>
  </r>
  <r>
    <s v="Sales order revenue"/>
    <d v="2026-02-24T00:00:00"/>
    <s v="YPF SA"/>
    <s v="30546689979"/>
    <m/>
    <m/>
    <s v="SOIAR-000016487, 30546689979, YPF SA"/>
    <s v="SOIAR-000016487"/>
    <s v="4101011200-Twitter-ARG-IARG-ARG-Rep"/>
    <s v="GJT225780"/>
    <s v="IARG_CI_00018658"/>
    <d v="2026-02-24T00:00:00"/>
    <s v="4101011200-Twitter-ARG-IARG-ARG-Rep"/>
    <s v="4101011200"/>
    <s v="Representation"/>
    <x v="0"/>
    <n v="0"/>
    <n v="0"/>
    <n v="170.34"/>
    <s v="Current"/>
    <s v="ana.scotti"/>
    <x v="0"/>
    <x v="0"/>
    <x v="0"/>
  </r>
  <r>
    <s v="Sales - packing slip revenue"/>
    <d v="2026-02-24T00:00:00"/>
    <s v="YPF SA"/>
    <s v="30546689979"/>
    <m/>
    <m/>
    <s v="SOIAR-000016487, 30546689979, YPF SA"/>
    <s v="SOIAR-000016487"/>
    <s v="4101011200-Twitter-ARG-IARG-ARG-Rep"/>
    <s v="GJT225780"/>
    <s v="IARG_CI_00018658"/>
    <d v="2026-02-24T00:00:00"/>
    <s v="4101011200-Twitter-ARG-IARG-ARG-Rep"/>
    <s v="4101011200"/>
    <s v="Representation"/>
    <x v="0"/>
    <n v="4725556.3899999997"/>
    <n v="4725556.3899999997"/>
    <n v="3264.87"/>
    <s v="Current"/>
    <s v="ana.scotti"/>
    <x v="0"/>
    <x v="0"/>
    <x v="0"/>
  </r>
  <r>
    <s v="Sales - packing slip revenue"/>
    <d v="2026-02-23T00:00:00"/>
    <m/>
    <m/>
    <m/>
    <m/>
    <s v="SOIAR-000008698, 30543659734"/>
    <s v="SOIAR-000008698"/>
    <s v="4101011200-Twitter-ARG-IARG-ARG-Rep"/>
    <s v="GJT225598"/>
    <s v="PS020316"/>
    <d v="2026-02-23T00:00:00"/>
    <s v="4101011200-Twitter-ARG-IARG-ARG-Rep"/>
    <s v="4101011200"/>
    <s v="Representation"/>
    <x v="0"/>
    <n v="-2303206.5099999998"/>
    <n v="-2303206.5099999998"/>
    <n v="-1674.17"/>
    <s v="Current"/>
    <s v="pedro.ferrauti"/>
    <x v="0"/>
    <x v="0"/>
    <x v="0"/>
  </r>
  <r>
    <s v="Sales - packing slip revenue"/>
    <d v="2026-02-23T00:00:00"/>
    <m/>
    <m/>
    <m/>
    <m/>
    <s v="SOIAR-000010989, 33547992429"/>
    <s v="SOIAR-000010989"/>
    <s v="4101011200-Twitter-ARG-IARG-ARG-Rep"/>
    <s v="GJT225597"/>
    <s v="PS020315"/>
    <d v="2026-02-23T00:00:00"/>
    <s v="4101011200-Twitter-ARG-IARG-ARG-Rep"/>
    <s v="4101011200"/>
    <s v="Representation"/>
    <x v="0"/>
    <n v="-3535663.91"/>
    <n v="-3535663.91"/>
    <n v="-2570.0300000000002"/>
    <s v="Current"/>
    <s v="pedro.ferrauti"/>
    <x v="0"/>
    <x v="0"/>
    <x v="0"/>
  </r>
  <r>
    <s v="Sales order revenue"/>
    <d v="2026-02-20T00:00:00"/>
    <s v="PIPOL SRL"/>
    <s v="30716321033"/>
    <m/>
    <m/>
    <s v="SOIAR-000015911, 30716321033, PIPOL SRL"/>
    <s v="SOIAR-000015911"/>
    <s v="4101011200-Twitter-ARG-IARG-ARG-Rep"/>
    <s v="GJT225356"/>
    <s v="IARG_CI_00018647"/>
    <d v="2026-02-20T00:00:00"/>
    <s v="4101011200-Twitter-ARG-IARG-ARG-Rep"/>
    <s v="4101011200"/>
    <s v="Representation"/>
    <x v="0"/>
    <n v="-3456000"/>
    <n v="-3456000"/>
    <n v="-2475.73"/>
    <s v="Current"/>
    <s v="ana.scotti"/>
    <x v="0"/>
    <x v="0"/>
    <x v="0"/>
  </r>
  <r>
    <s v="Sales order revenue"/>
    <d v="2026-02-20T00:00:00"/>
    <s v="PIPOL SRL"/>
    <s v="30716321033"/>
    <m/>
    <m/>
    <s v="SOIAR-000015911, 30716321033, PIPOL SRL"/>
    <s v="SOIAR-000015911"/>
    <s v="4101011200-Twitter-ARG-IARG-ARG-Rep"/>
    <s v="GJT225356"/>
    <s v="IARG_CI_00018647"/>
    <d v="2026-02-20T00:00:00"/>
    <s v="4101011200-Twitter-ARG-IARG-ARG-Rep"/>
    <s v="4101011200"/>
    <s v="Representation"/>
    <x v="0"/>
    <n v="0"/>
    <n v="0"/>
    <n v="87.99"/>
    <s v="Current"/>
    <s v="ana.scotti"/>
    <x v="0"/>
    <x v="0"/>
    <x v="0"/>
  </r>
  <r>
    <s v="Sales - packing slip revenue"/>
    <d v="2026-02-20T00:00:00"/>
    <s v="PIPOL SRL"/>
    <s v="30716321033"/>
    <m/>
    <m/>
    <s v="SOIAR-000015911, 30716321033, PIPOL SRL"/>
    <s v="SOIAR-000015911"/>
    <s v="4101011200-Twitter-ARG-IARG-ARG-Rep"/>
    <s v="GJT225356"/>
    <s v="IARG_CI_00018647"/>
    <d v="2026-02-20T00:00:00"/>
    <s v="4101011200-Twitter-ARG-IARG-ARG-Rep"/>
    <s v="4101011200"/>
    <s v="Representation"/>
    <x v="0"/>
    <n v="3456000"/>
    <n v="3456000"/>
    <n v="2387.7399999999998"/>
    <s v="Current"/>
    <s v="ana.scotti"/>
    <x v="0"/>
    <x v="0"/>
    <x v="0"/>
  </r>
  <r>
    <s v="Sales order revenue"/>
    <d v="2026-02-20T00:00:00"/>
    <s v="Carat Argentina SA"/>
    <s v="30708983906"/>
    <m/>
    <m/>
    <s v="SOIAR-000014369, 30708983906, Carat Argentina SA"/>
    <s v="SOIAR-000014369"/>
    <s v="4101011200-Twitter Billing-ARG-IARG-ARG-Rep"/>
    <s v="GJT225351"/>
    <s v="IARG_CI_00018644"/>
    <d v="2026-02-20T00:00:00"/>
    <s v="4101011200-Twitter Billing-ARG-IARG-ARG-Rep"/>
    <s v="4101011200"/>
    <s v="Representation"/>
    <x v="0"/>
    <n v="-3997603.52"/>
    <n v="-3997603.52"/>
    <n v="-2863.72"/>
    <s v="Current"/>
    <s v="ana.scotti"/>
    <x v="0"/>
    <x v="1"/>
    <x v="0"/>
  </r>
  <r>
    <s v="Sales order revenue"/>
    <d v="2026-02-20T00:00:00"/>
    <s v="Carat Argentina SA"/>
    <s v="30708983906"/>
    <m/>
    <m/>
    <s v="SOIAR-000014369, 30708983906, Carat Argentina SA"/>
    <s v="SOIAR-000014369"/>
    <s v="4101011200-Twitter Billing-ARG-IARG-ARG-Rep"/>
    <s v="GJT225351"/>
    <s v="IARG_CI_00018644"/>
    <d v="2026-02-20T00:00:00"/>
    <s v="4101011200-Twitter Billing-ARG-IARG-ARG-Rep"/>
    <s v="4101011200"/>
    <s v="Representation"/>
    <x v="0"/>
    <n v="0"/>
    <n v="0"/>
    <n v="46.26"/>
    <s v="Current"/>
    <s v="ana.scotti"/>
    <x v="0"/>
    <x v="1"/>
    <x v="0"/>
  </r>
  <r>
    <s v="Sales - packing slip revenue"/>
    <d v="2026-02-20T00:00:00"/>
    <s v="Carat Argentina SA"/>
    <s v="30708983906"/>
    <m/>
    <m/>
    <s v="SOIAR-000014369, 30708983906, Carat Argentina SA"/>
    <s v="SOIAR-000014369"/>
    <s v="4101011200-Twitter Billing-ARG-IARG-ARG-Rep"/>
    <s v="GJT225351"/>
    <s v="IARG_CI_00018644"/>
    <d v="2026-02-20T00:00:00"/>
    <s v="4101011200-Twitter Billing-ARG-IARG-ARG-Rep"/>
    <s v="4101011200"/>
    <s v="Representation"/>
    <x v="0"/>
    <n v="3997603.52"/>
    <n v="3997603.52"/>
    <n v="2816.44"/>
    <s v="Current"/>
    <s v="ana.scotti"/>
    <x v="0"/>
    <x v="1"/>
    <x v="0"/>
  </r>
  <r>
    <s v="Sales order revenue"/>
    <d v="2026-02-18T00:00:00"/>
    <s v="YPF SA"/>
    <s v="30546689979"/>
    <m/>
    <m/>
    <s v="SOIAR-000016489, 30546689979, YPF SA"/>
    <s v="SOIAR-000016489"/>
    <s v="4101011200-Twitter-ARG-IARG-ARG-Rep"/>
    <s v="GJT224830"/>
    <s v="IARG_CI_00018626"/>
    <d v="2026-02-18T00:00:00"/>
    <s v="4101011200-Twitter-ARG-IARG-ARG-Rep"/>
    <s v="4101011200"/>
    <s v="Representation"/>
    <x v="0"/>
    <n v="-2600000"/>
    <n v="-2600000"/>
    <n v="-1859.07"/>
    <s v="Current"/>
    <s v="ana.scotti"/>
    <x v="0"/>
    <x v="0"/>
    <x v="0"/>
  </r>
  <r>
    <s v="Sales order revenue"/>
    <d v="2026-02-18T00:00:00"/>
    <s v="YPF SA"/>
    <s v="30546689979"/>
    <m/>
    <m/>
    <s v="SOIAR-000016489, 30546689979, YPF SA"/>
    <s v="SOIAR-000016489"/>
    <s v="4101011200-Twitter-ARG-IARG-ARG-Rep"/>
    <s v="GJT224830"/>
    <s v="IARG_CI_00018626"/>
    <d v="2026-02-18T00:00:00"/>
    <s v="4101011200-Twitter-ARG-IARG-ARG-Rep"/>
    <s v="4101011200"/>
    <s v="Representation"/>
    <x v="0"/>
    <n v="0"/>
    <n v="0"/>
    <n v="62.74"/>
    <s v="Current"/>
    <s v="ana.scotti"/>
    <x v="0"/>
    <x v="0"/>
    <x v="0"/>
  </r>
  <r>
    <s v="Sales - packing slip revenue"/>
    <d v="2026-02-18T00:00:00"/>
    <s v="YPF SA"/>
    <s v="30546689979"/>
    <m/>
    <m/>
    <s v="SOIAR-000016489, 30546689979, YPF SA"/>
    <s v="SOIAR-000016489"/>
    <s v="4101011200-Twitter-ARG-IARG-ARG-Rep"/>
    <s v="GJT224830"/>
    <s v="IARG_CI_00018626"/>
    <d v="2026-02-18T00:00:00"/>
    <s v="4101011200-Twitter-ARG-IARG-ARG-Rep"/>
    <s v="4101011200"/>
    <s v="Representation"/>
    <x v="0"/>
    <n v="2600000"/>
    <n v="2600000"/>
    <n v="1796.33"/>
    <s v="Current"/>
    <s v="ana.scotti"/>
    <x v="0"/>
    <x v="0"/>
    <x v="0"/>
  </r>
  <r>
    <s v="Sales - packing slip revenue"/>
    <d v="2026-02-16T00:00:00"/>
    <m/>
    <m/>
    <m/>
    <m/>
    <s v="SOIAR-000016538, 30708983906"/>
    <s v="SOIAR-000016538"/>
    <s v="4101011200-Twitter Billing-ARG-IARG-ARG-Rep"/>
    <s v="GJT224805"/>
    <s v="PS020310"/>
    <d v="2026-02-16T00:00:00"/>
    <s v="4101011200-Twitter Billing-ARG-IARG-ARG-Rep"/>
    <s v="4101011200"/>
    <s v="Representation"/>
    <x v="0"/>
    <n v="-2304000"/>
    <n v="-2304000"/>
    <n v="-1646.72"/>
    <s v="Current"/>
    <s v="pedro.ferrauti"/>
    <x v="0"/>
    <x v="1"/>
    <x v="0"/>
  </r>
  <r>
    <s v="Sales order revenue"/>
    <d v="2026-02-16T00:00:00"/>
    <s v="Carat Argentina SA"/>
    <s v="30708983906"/>
    <m/>
    <m/>
    <s v="SOIAR-000015323, 30708983906, Carat Argentina SA"/>
    <s v="SOIAR-000015323"/>
    <s v="4101011200-Twitter Billing-ARG-IARG-ARG-Rep"/>
    <s v="GJT224794"/>
    <s v="IARG_CI_00018610"/>
    <d v="2026-02-16T00:00:00"/>
    <s v="4101011200-Twitter Billing-ARG-IARG-ARG-Rep"/>
    <s v="4101011200"/>
    <s v="Representation"/>
    <x v="0"/>
    <n v="-3569419.41"/>
    <n v="-3569419.41"/>
    <n v="-2551.14"/>
    <s v="Current"/>
    <s v="ana.scotti"/>
    <x v="0"/>
    <x v="1"/>
    <x v="0"/>
  </r>
  <r>
    <s v="Sales order revenue"/>
    <d v="2026-02-16T00:00:00"/>
    <s v="Carat Argentina SA"/>
    <s v="30708983906"/>
    <m/>
    <m/>
    <s v="SOIAR-000015323, 30708983906, Carat Argentina SA"/>
    <s v="SOIAR-000015323"/>
    <s v="4101011200-Twitter Billing-ARG-IARG-ARG-Rep"/>
    <s v="GJT224794"/>
    <s v="IARG_CI_00018610"/>
    <d v="2026-02-16T00:00:00"/>
    <s v="4101011200-Twitter Billing-ARG-IARG-ARG-Rep"/>
    <s v="4101011200"/>
    <s v="Representation"/>
    <x v="0"/>
    <n v="0"/>
    <n v="0"/>
    <n v="85.04"/>
    <s v="Current"/>
    <s v="ana.scotti"/>
    <x v="0"/>
    <x v="1"/>
    <x v="0"/>
  </r>
  <r>
    <s v="Sales - packing slip revenue"/>
    <d v="2026-02-16T00:00:00"/>
    <s v="Carat Argentina SA"/>
    <s v="30708983906"/>
    <m/>
    <m/>
    <s v="SOIAR-000015323, 30708983906, Carat Argentina SA"/>
    <s v="SOIAR-000015323"/>
    <s v="4101011200-Twitter Billing-ARG-IARG-ARG-Rep"/>
    <s v="GJT224794"/>
    <s v="IARG_CI_00018610"/>
    <d v="2026-02-16T00:00:00"/>
    <s v="4101011200-Twitter Billing-ARG-IARG-ARG-Rep"/>
    <s v="4101011200"/>
    <s v="Representation"/>
    <x v="0"/>
    <n v="3569419.41"/>
    <n v="3569419.41"/>
    <n v="2466.1"/>
    <s v="Current"/>
    <s v="ana.scotti"/>
    <x v="0"/>
    <x v="1"/>
    <x v="0"/>
  </r>
  <r>
    <s v="Sales order revenue"/>
    <d v="2026-02-16T00:00:00"/>
    <s v="Carat Argentina SA"/>
    <s v="30708983906"/>
    <m/>
    <m/>
    <s v="SOIAR-000015325, 30708983906, Carat Argentina SA"/>
    <s v="SOIAR-000015325"/>
    <s v="4101011200-Twitter Billing-ARG-IARG-ARG-Rep"/>
    <s v="GJT224791"/>
    <s v="IARG_CI_00018607"/>
    <d v="2026-02-16T00:00:00"/>
    <s v="4101011200-Twitter Billing-ARG-IARG-ARG-Rep"/>
    <s v="4101011200"/>
    <s v="Representation"/>
    <x v="0"/>
    <n v="-299934.65999999997"/>
    <n v="-299934.65999999997"/>
    <n v="-214.37"/>
    <s v="Current"/>
    <s v="ana.scotti"/>
    <x v="0"/>
    <x v="1"/>
    <x v="0"/>
  </r>
  <r>
    <s v="Sales order revenue"/>
    <d v="2026-02-16T00:00:00"/>
    <s v="Carat Argentina SA"/>
    <s v="30708983906"/>
    <m/>
    <m/>
    <s v="SOIAR-000015325, 30708983906, Carat Argentina SA"/>
    <s v="SOIAR-000015325"/>
    <s v="4101011200-Twitter Billing-ARG-IARG-ARG-Rep"/>
    <s v="GJT224791"/>
    <s v="IARG_CI_00018607"/>
    <d v="2026-02-16T00:00:00"/>
    <s v="4101011200-Twitter Billing-ARG-IARG-ARG-Rep"/>
    <s v="4101011200"/>
    <s v="Representation"/>
    <x v="0"/>
    <n v="0"/>
    <n v="0"/>
    <n v="7.15"/>
    <s v="Current"/>
    <s v="ana.scotti"/>
    <x v="0"/>
    <x v="1"/>
    <x v="0"/>
  </r>
  <r>
    <s v="Sales - packing slip revenue"/>
    <d v="2026-02-16T00:00:00"/>
    <s v="Carat Argentina SA"/>
    <s v="30708983906"/>
    <m/>
    <m/>
    <s v="SOIAR-000015325, 30708983906, Carat Argentina SA"/>
    <s v="SOIAR-000015325"/>
    <s v="4101011200-Twitter Billing-ARG-IARG-ARG-Rep"/>
    <s v="GJT224791"/>
    <s v="IARG_CI_00018607"/>
    <d v="2026-02-16T00:00:00"/>
    <s v="4101011200-Twitter Billing-ARG-IARG-ARG-Rep"/>
    <s v="4101011200"/>
    <s v="Representation"/>
    <x v="0"/>
    <n v="299934.65999999997"/>
    <n v="299934.65999999997"/>
    <n v="207.22"/>
    <s v="Current"/>
    <s v="ana.scotti"/>
    <x v="0"/>
    <x v="1"/>
    <x v="0"/>
  </r>
  <r>
    <s v="Sales order revenue"/>
    <d v="2026-02-16T00:00:00"/>
    <s v="Carat Argentina SA"/>
    <s v="30708983906"/>
    <m/>
    <m/>
    <s v="SOIAR-000016348, 30708983906, Carat Argentina SA"/>
    <s v="SOIAR-000016348"/>
    <s v="4101011200-Twitter Billing-ARG-IARG-ARG-Rep"/>
    <s v="GJT224788"/>
    <s v="IARG_CI_00018604"/>
    <d v="2026-02-16T00:00:00"/>
    <s v="4101011200-Twitter Billing-ARG-IARG-ARG-Rep"/>
    <s v="4101011200"/>
    <s v="Representation"/>
    <x v="0"/>
    <n v="-1331454.68"/>
    <n v="-1331454.68"/>
    <n v="-951.62"/>
    <s v="Current"/>
    <s v="ana.scotti"/>
    <x v="0"/>
    <x v="1"/>
    <x v="0"/>
  </r>
  <r>
    <s v="Sales order revenue"/>
    <d v="2026-02-16T00:00:00"/>
    <s v="Carat Argentina SA"/>
    <s v="30708983906"/>
    <m/>
    <m/>
    <s v="SOIAR-000016348, 30708983906, Carat Argentina SA"/>
    <s v="SOIAR-000016348"/>
    <s v="4101011200-Twitter Billing-ARG-IARG-ARG-Rep"/>
    <s v="GJT224788"/>
    <s v="IARG_CI_00018604"/>
    <d v="2026-02-16T00:00:00"/>
    <s v="4101011200-Twitter Billing-ARG-IARG-ARG-Rep"/>
    <s v="4101011200"/>
    <s v="Representation"/>
    <x v="0"/>
    <n v="0"/>
    <n v="0"/>
    <n v="31.72"/>
    <s v="Current"/>
    <s v="ana.scotti"/>
    <x v="0"/>
    <x v="1"/>
    <x v="0"/>
  </r>
  <r>
    <s v="Sales - packing slip revenue"/>
    <d v="2026-02-16T00:00:00"/>
    <s v="Carat Argentina SA"/>
    <s v="30708983906"/>
    <m/>
    <m/>
    <s v="SOIAR-000016348, 30708983906, Carat Argentina SA"/>
    <s v="SOIAR-000016348"/>
    <s v="4101011200-Twitter Billing-ARG-IARG-ARG-Rep"/>
    <s v="GJT224788"/>
    <s v="IARG_CI_00018604"/>
    <d v="2026-02-16T00:00:00"/>
    <s v="4101011200-Twitter Billing-ARG-IARG-ARG-Rep"/>
    <s v="4101011200"/>
    <s v="Representation"/>
    <x v="0"/>
    <n v="1331454.68"/>
    <n v="1331454.68"/>
    <n v="919.9"/>
    <s v="Current"/>
    <s v="ana.scotti"/>
    <x v="0"/>
    <x v="1"/>
    <x v="0"/>
  </r>
  <r>
    <s v="Sales order revenue"/>
    <d v="2026-02-13T00:00:00"/>
    <s v="Havas Media Argentina S.A."/>
    <s v="33695614549"/>
    <m/>
    <m/>
    <s v="SOIAR-000016507, 33695614549, Havas Media Argentina S.A."/>
    <s v="SOIAR-000016507"/>
    <s v="4101011200-Twitter-ARG-IARG-ARG-Rep"/>
    <s v="GJT224531"/>
    <s v="IARG_CI_00018597"/>
    <d v="2026-02-13T00:00:00"/>
    <s v="4101011200-Twitter-ARG-IARG-ARG-Rep"/>
    <s v="4101011200"/>
    <s v="Representation"/>
    <x v="0"/>
    <n v="-4500000"/>
    <n v="-4500000"/>
    <n v="-3205.69"/>
    <s v="Current"/>
    <s v="ana.scotti"/>
    <x v="0"/>
    <x v="0"/>
    <x v="0"/>
  </r>
  <r>
    <s v="Sales order revenue"/>
    <d v="2026-02-13T00:00:00"/>
    <s v="Havas Media Argentina S.A."/>
    <s v="33695614549"/>
    <m/>
    <m/>
    <s v="SOIAR-000016507, 33695614549, Havas Media Argentina S.A."/>
    <s v="SOIAR-000016507"/>
    <s v="4101011200-Twitter-ARG-IARG-ARG-Rep"/>
    <s v="GJT224531"/>
    <s v="IARG_CI_00018597"/>
    <d v="2026-02-13T00:00:00"/>
    <s v="4101011200-Twitter-ARG-IARG-ARG-Rep"/>
    <s v="4101011200"/>
    <s v="Representation"/>
    <x v="0"/>
    <n v="0"/>
    <n v="0"/>
    <n v="96.65"/>
    <s v="Current"/>
    <s v="ana.scotti"/>
    <x v="0"/>
    <x v="0"/>
    <x v="0"/>
  </r>
  <r>
    <s v="Sales - packing slip revenue"/>
    <d v="2026-02-13T00:00:00"/>
    <s v="Havas Media Argentina S.A."/>
    <s v="33695614549"/>
    <m/>
    <m/>
    <s v="SOIAR-000016507, 33695614549, Havas Media Argentina S.A."/>
    <s v="SOIAR-000016507"/>
    <s v="4101011200-Twitter-ARG-IARG-ARG-Rep"/>
    <s v="GJT224531"/>
    <s v="IARG_CI_00018597"/>
    <d v="2026-02-13T00:00:00"/>
    <s v="4101011200-Twitter-ARG-IARG-ARG-Rep"/>
    <s v="4101011200"/>
    <s v="Representation"/>
    <x v="0"/>
    <n v="4500000"/>
    <n v="4500000"/>
    <n v="3109.04"/>
    <s v="Current"/>
    <s v="ana.scotti"/>
    <x v="0"/>
    <x v="0"/>
    <x v="0"/>
  </r>
  <r>
    <s v="Sales order revenue"/>
    <d v="2026-02-13T00:00:00"/>
    <s v="Carat Argentina SA"/>
    <s v="30708983906"/>
    <m/>
    <m/>
    <s v="SOIAR-000016510, 30708983906, Carat Argentina SA"/>
    <s v="SOIAR-000016510"/>
    <s v="4101011200-Twitter-ARG-IARG-ARG-Rep"/>
    <s v="GJT224530"/>
    <s v="IARG_CI_00018596"/>
    <d v="2026-02-13T00:00:00"/>
    <s v="4101011200-Twitter-ARG-IARG-ARG-Rep"/>
    <s v="4101011200"/>
    <s v="Representation"/>
    <x v="0"/>
    <n v="-1343865.93"/>
    <n v="-1343865.93"/>
    <n v="-957.34"/>
    <s v="Current"/>
    <s v="ana.scotti"/>
    <x v="0"/>
    <x v="0"/>
    <x v="0"/>
  </r>
  <r>
    <s v="Sales order revenue"/>
    <d v="2026-02-13T00:00:00"/>
    <s v="Carat Argentina SA"/>
    <s v="30708983906"/>
    <m/>
    <m/>
    <s v="SOIAR-000016510, 30708983906, Carat Argentina SA"/>
    <s v="SOIAR-000016510"/>
    <s v="4101011200-Twitter-ARG-IARG-ARG-Rep"/>
    <s v="GJT224530"/>
    <s v="IARG_CI_00018596"/>
    <d v="2026-02-13T00:00:00"/>
    <s v="4101011200-Twitter-ARG-IARG-ARG-Rep"/>
    <s v="4101011200"/>
    <s v="Representation"/>
    <x v="0"/>
    <n v="0"/>
    <n v="0"/>
    <n v="28.87"/>
    <s v="Current"/>
    <s v="ana.scotti"/>
    <x v="0"/>
    <x v="0"/>
    <x v="0"/>
  </r>
  <r>
    <s v="Sales - packing slip revenue"/>
    <d v="2026-02-13T00:00:00"/>
    <s v="Carat Argentina SA"/>
    <s v="30708983906"/>
    <m/>
    <m/>
    <s v="SOIAR-000016510, 30708983906, Carat Argentina SA"/>
    <s v="SOIAR-000016510"/>
    <s v="4101011200-Twitter-ARG-IARG-ARG-Rep"/>
    <s v="GJT224530"/>
    <s v="IARG_CI_00018596"/>
    <d v="2026-02-13T00:00:00"/>
    <s v="4101011200-Twitter-ARG-IARG-ARG-Rep"/>
    <s v="4101011200"/>
    <s v="Representation"/>
    <x v="0"/>
    <n v="1343865.93"/>
    <n v="1343865.93"/>
    <n v="928.47"/>
    <s v="Current"/>
    <s v="ana.scotti"/>
    <x v="0"/>
    <x v="0"/>
    <x v="0"/>
  </r>
  <r>
    <s v="Sales order revenue"/>
    <d v="2026-02-13T00:00:00"/>
    <s v="IPROSPECT MEDIA SA"/>
    <s v="30707117016"/>
    <m/>
    <m/>
    <s v="SOIAR-000016486, 30707117016, IPROSPECT MEDIA SA"/>
    <s v="SOIAR-000016486"/>
    <s v="4101011200-Twitter-ARG-IARG-ARG-Rep"/>
    <s v="GJT224529"/>
    <s v="IARG_CI_00018595"/>
    <d v="2026-02-13T00:00:00"/>
    <s v="4101011200-Twitter-ARG-IARG-ARG-Rep"/>
    <s v="4101011200"/>
    <s v="Representation"/>
    <x v="0"/>
    <n v="-7495888.5800000001"/>
    <n v="-7495888.5800000001"/>
    <n v="-5339.89"/>
    <s v="Current"/>
    <s v="ana.scotti"/>
    <x v="0"/>
    <x v="0"/>
    <x v="0"/>
  </r>
  <r>
    <s v="Sales order revenue"/>
    <d v="2026-02-13T00:00:00"/>
    <s v="IPROSPECT MEDIA SA"/>
    <s v="30707117016"/>
    <m/>
    <m/>
    <s v="SOIAR-000016486, 30707117016, IPROSPECT MEDIA SA"/>
    <s v="SOIAR-000016486"/>
    <s v="4101011200-Twitter-ARG-IARG-ARG-Rep"/>
    <s v="GJT224529"/>
    <s v="IARG_CI_00018595"/>
    <d v="2026-02-13T00:00:00"/>
    <s v="4101011200-Twitter-ARG-IARG-ARG-Rep"/>
    <s v="4101011200"/>
    <s v="Representation"/>
    <x v="0"/>
    <n v="0"/>
    <n v="0"/>
    <n v="161"/>
    <s v="Current"/>
    <s v="ana.scotti"/>
    <x v="0"/>
    <x v="0"/>
    <x v="0"/>
  </r>
  <r>
    <s v="Sales - packing slip revenue"/>
    <d v="2026-02-13T00:00:00"/>
    <s v="IPROSPECT MEDIA SA"/>
    <s v="30707117016"/>
    <m/>
    <m/>
    <s v="SOIAR-000016486, 30707117016, IPROSPECT MEDIA SA"/>
    <s v="SOIAR-000016486"/>
    <s v="4101011200-Twitter-ARG-IARG-ARG-Rep"/>
    <s v="GJT224529"/>
    <s v="IARG_CI_00018595"/>
    <d v="2026-02-13T00:00:00"/>
    <s v="4101011200-Twitter-ARG-IARG-ARG-Rep"/>
    <s v="4101011200"/>
    <s v="Representation"/>
    <x v="0"/>
    <n v="7495888.5800000001"/>
    <n v="7495888.5800000001"/>
    <n v="5178.8900000000003"/>
    <s v="Current"/>
    <s v="ana.scotti"/>
    <x v="0"/>
    <x v="0"/>
    <x v="0"/>
  </r>
  <r>
    <s v="Sales order revenue"/>
    <d v="2026-02-13T00:00:00"/>
    <s v="IPROSPECT MEDIA SA"/>
    <s v="30707117016"/>
    <m/>
    <m/>
    <s v="SOIAR-000015305, 30707117016, IPROSPECT MEDIA SA"/>
    <s v="SOIAR-000015305"/>
    <s v="4101011200-Twitter-ARG-IARG-ARG-Rep"/>
    <s v="GJT224528"/>
    <s v="IARG_CI_00018594"/>
    <d v="2026-02-13T00:00:00"/>
    <s v="4101011200-Twitter-ARG-IARG-ARG-Rep"/>
    <s v="4101011200"/>
    <s v="Representation"/>
    <x v="0"/>
    <n v="-1444405.84"/>
    <n v="-1444405.84"/>
    <n v="-1028.96"/>
    <s v="Current"/>
    <s v="ana.scotti"/>
    <x v="0"/>
    <x v="0"/>
    <x v="0"/>
  </r>
  <r>
    <s v="Sales order revenue"/>
    <d v="2026-02-13T00:00:00"/>
    <s v="IPROSPECT MEDIA SA"/>
    <s v="30707117016"/>
    <m/>
    <m/>
    <s v="SOIAR-000015305, 30707117016, IPROSPECT MEDIA SA"/>
    <s v="SOIAR-000015305"/>
    <s v="4101011200-Twitter-ARG-IARG-ARG-Rep"/>
    <s v="GJT224528"/>
    <s v="IARG_CI_00018594"/>
    <d v="2026-02-13T00:00:00"/>
    <s v="4101011200-Twitter-ARG-IARG-ARG-Rep"/>
    <s v="4101011200"/>
    <s v="Representation"/>
    <x v="0"/>
    <n v="0"/>
    <n v="0"/>
    <n v="31.02"/>
    <s v="Current"/>
    <s v="ana.scotti"/>
    <x v="0"/>
    <x v="0"/>
    <x v="0"/>
  </r>
  <r>
    <s v="Sales - packing slip revenue"/>
    <d v="2026-02-13T00:00:00"/>
    <s v="IPROSPECT MEDIA SA"/>
    <s v="30707117016"/>
    <m/>
    <m/>
    <s v="SOIAR-000015305, 30707117016, IPROSPECT MEDIA SA"/>
    <s v="SOIAR-000015305"/>
    <s v="4101011200-Twitter-ARG-IARG-ARG-Rep"/>
    <s v="GJT224528"/>
    <s v="IARG_CI_00018594"/>
    <d v="2026-02-13T00:00:00"/>
    <s v="4101011200-Twitter-ARG-IARG-ARG-Rep"/>
    <s v="4101011200"/>
    <s v="Representation"/>
    <x v="0"/>
    <n v="1444405.84"/>
    <n v="1444405.84"/>
    <n v="997.94"/>
    <s v="Current"/>
    <s v="ana.scotti"/>
    <x v="0"/>
    <x v="0"/>
    <x v="0"/>
  </r>
  <r>
    <s v="Sales order revenue"/>
    <d v="2026-02-13T00:00:00"/>
    <s v="IPROSPECT MEDIA SA"/>
    <s v="30707117016"/>
    <m/>
    <m/>
    <s v="SOIAR-000007132, 30707117016, IPROSPECT MEDIA SA"/>
    <s v="SOIAR-000007132"/>
    <s v="4101011200-Twitter-ARG-IARG-ARG-Rep"/>
    <s v="GJT224527"/>
    <s v="IARG_CI_00018593"/>
    <d v="2026-02-13T00:00:00"/>
    <s v="4101011200-Twitter-ARG-IARG-ARG-Rep"/>
    <s v="4101011200"/>
    <s v="Representation"/>
    <x v="0"/>
    <n v="-1440068.39"/>
    <n v="-1440068.39"/>
    <n v="-1025.8699999999999"/>
    <s v="Current"/>
    <s v="ana.scotti"/>
    <x v="0"/>
    <x v="0"/>
    <x v="0"/>
  </r>
  <r>
    <s v="Sales order revenue"/>
    <d v="2026-02-13T00:00:00"/>
    <s v="IPROSPECT MEDIA SA"/>
    <s v="30707117016"/>
    <m/>
    <m/>
    <s v="SOIAR-000007132, 30707117016, IPROSPECT MEDIA SA"/>
    <s v="SOIAR-000007132"/>
    <s v="4101011200-Twitter-ARG-IARG-ARG-Rep"/>
    <s v="GJT224527"/>
    <s v="IARG_CI_00018593"/>
    <d v="2026-02-13T00:00:00"/>
    <s v="4101011200-Twitter-ARG-IARG-ARG-Rep"/>
    <s v="4101011200"/>
    <s v="Representation"/>
    <x v="0"/>
    <n v="0"/>
    <n v="0"/>
    <n v="30.93"/>
    <s v="Current"/>
    <s v="ana.scotti"/>
    <x v="0"/>
    <x v="0"/>
    <x v="0"/>
  </r>
  <r>
    <s v="Sales - packing slip revenue"/>
    <d v="2026-02-13T00:00:00"/>
    <s v="IPROSPECT MEDIA SA"/>
    <s v="30707117016"/>
    <m/>
    <m/>
    <s v="SOIAR-000007132, 30707117016, IPROSPECT MEDIA SA"/>
    <s v="SOIAR-000007132"/>
    <s v="4101011200-Twitter-ARG-IARG-ARG-Rep"/>
    <s v="GJT224527"/>
    <s v="IARG_CI_00018593"/>
    <d v="2026-02-13T00:00:00"/>
    <s v="4101011200-Twitter-ARG-IARG-ARG-Rep"/>
    <s v="4101011200"/>
    <s v="Representation"/>
    <x v="0"/>
    <n v="1440068.39"/>
    <n v="1440068.39"/>
    <n v="994.94"/>
    <s v="Current"/>
    <s v="ana.scotti"/>
    <x v="0"/>
    <x v="0"/>
    <x v="0"/>
  </r>
  <r>
    <s v="Sales order revenue"/>
    <d v="2026-02-13T00:00:00"/>
    <s v="Havas Media Argentina S.A."/>
    <s v="33695614549"/>
    <m/>
    <m/>
    <s v="SOIAR-000016498, 33695614549, Havas Media Argentina S.A."/>
    <s v="SOIAR-000016498"/>
    <s v="4101011200-Twitter-ARG-IARG-ARG-Rep"/>
    <s v="GJT224489"/>
    <s v="IARG_CI_00018582"/>
    <d v="2026-02-13T00:00:00"/>
    <s v="4101011200-Twitter-ARG-IARG-ARG-Rep"/>
    <s v="4101011200"/>
    <s v="Representation"/>
    <x v="0"/>
    <n v="-2000000"/>
    <n v="-2000000"/>
    <n v="-1424.75"/>
    <s v="Current"/>
    <s v="ana.scotti"/>
    <x v="0"/>
    <x v="0"/>
    <x v="0"/>
  </r>
  <r>
    <s v="Sales order revenue"/>
    <d v="2026-02-13T00:00:00"/>
    <s v="Havas Media Argentina S.A."/>
    <s v="33695614549"/>
    <m/>
    <m/>
    <s v="SOIAR-000016498, 33695614549, Havas Media Argentina S.A."/>
    <s v="SOIAR-000016498"/>
    <s v="4101011200-Twitter-ARG-IARG-ARG-Rep"/>
    <s v="GJT224489"/>
    <s v="IARG_CI_00018582"/>
    <d v="2026-02-13T00:00:00"/>
    <s v="4101011200-Twitter-ARG-IARG-ARG-Rep"/>
    <s v="4101011200"/>
    <s v="Representation"/>
    <x v="0"/>
    <n v="0"/>
    <n v="0"/>
    <n v="42.96"/>
    <s v="Current"/>
    <s v="ana.scotti"/>
    <x v="0"/>
    <x v="0"/>
    <x v="0"/>
  </r>
  <r>
    <s v="Sales - packing slip revenue"/>
    <d v="2026-02-13T00:00:00"/>
    <s v="Havas Media Argentina S.A."/>
    <s v="33695614549"/>
    <m/>
    <m/>
    <s v="SOIAR-000016498, 33695614549, Havas Media Argentina S.A."/>
    <s v="SOIAR-000016498"/>
    <s v="4101011200-Twitter-ARG-IARG-ARG-Rep"/>
    <s v="GJT224489"/>
    <s v="IARG_CI_00018582"/>
    <d v="2026-02-13T00:00:00"/>
    <s v="4101011200-Twitter-ARG-IARG-ARG-Rep"/>
    <s v="4101011200"/>
    <s v="Representation"/>
    <x v="0"/>
    <n v="2000000"/>
    <n v="2000000"/>
    <n v="1381.79"/>
    <s v="Current"/>
    <s v="ana.scotti"/>
    <x v="0"/>
    <x v="0"/>
    <x v="0"/>
  </r>
  <r>
    <s v="Sales order revenue"/>
    <d v="2026-02-13T00:00:00"/>
    <s v="Havas Media Argentina S.A."/>
    <s v="33695614549"/>
    <m/>
    <m/>
    <s v="SOIAR-000016496, 33695614549, Havas Media Argentina S.A."/>
    <s v="SOIAR-000016496"/>
    <s v="4101011200-Twitter-ARG-IARG-ARG-Rep"/>
    <s v="GJT224488"/>
    <s v="IARG_CI_00018581"/>
    <d v="2026-02-13T00:00:00"/>
    <s v="4101011200-Twitter-ARG-IARG-ARG-Rep"/>
    <s v="4101011200"/>
    <s v="Representation"/>
    <x v="0"/>
    <n v="-4755121.3499999996"/>
    <n v="-4755121.3499999996"/>
    <n v="-3387.43"/>
    <s v="Current"/>
    <s v="ana.scotti"/>
    <x v="0"/>
    <x v="0"/>
    <x v="0"/>
  </r>
  <r>
    <s v="Sales order revenue"/>
    <d v="2026-02-13T00:00:00"/>
    <s v="Havas Media Argentina S.A."/>
    <s v="33695614549"/>
    <m/>
    <m/>
    <s v="SOIAR-000016496, 33695614549, Havas Media Argentina S.A."/>
    <s v="SOIAR-000016496"/>
    <s v="4101011200-Twitter-ARG-IARG-ARG-Rep"/>
    <s v="GJT224488"/>
    <s v="IARG_CI_00018581"/>
    <d v="2026-02-13T00:00:00"/>
    <s v="4101011200-Twitter-ARG-IARG-ARG-Rep"/>
    <s v="4101011200"/>
    <s v="Representation"/>
    <x v="0"/>
    <n v="0"/>
    <n v="0"/>
    <n v="102.13"/>
    <s v="Current"/>
    <s v="ana.scotti"/>
    <x v="0"/>
    <x v="0"/>
    <x v="0"/>
  </r>
  <r>
    <s v="Sales - packing slip revenue"/>
    <d v="2026-02-13T00:00:00"/>
    <s v="Havas Media Argentina S.A."/>
    <s v="33695614549"/>
    <m/>
    <m/>
    <s v="SOIAR-000016496, 33695614549, Havas Media Argentina S.A."/>
    <s v="SOIAR-000016496"/>
    <s v="4101011200-Twitter-ARG-IARG-ARG-Rep"/>
    <s v="GJT224488"/>
    <s v="IARG_CI_00018581"/>
    <d v="2026-02-13T00:00:00"/>
    <s v="4101011200-Twitter-ARG-IARG-ARG-Rep"/>
    <s v="4101011200"/>
    <s v="Representation"/>
    <x v="0"/>
    <n v="4755121.3499999996"/>
    <n v="4755121.3499999996"/>
    <n v="3285.3"/>
    <s v="Current"/>
    <s v="ana.scotti"/>
    <x v="0"/>
    <x v="0"/>
    <x v="0"/>
  </r>
  <r>
    <s v="Sales order revenue"/>
    <d v="2026-02-13T00:00:00"/>
    <s v="IPG Media Brands SA"/>
    <s v="30693739698"/>
    <m/>
    <m/>
    <s v="SOIAR-000016468, 30693739698, IPG Media Brands SA"/>
    <s v="SOIAR-000016468"/>
    <s v="4101011200-Twitter Billing-ARG-IARG-ARG-Rep"/>
    <s v="GJT224486"/>
    <s v="IARG_CI_00018579"/>
    <d v="2026-02-13T00:00:00"/>
    <s v="4101011200-Twitter Billing-ARG-IARG-ARG-Rep"/>
    <s v="4101011200"/>
    <s v="Representation"/>
    <x v="0"/>
    <n v="-11347240.84"/>
    <n v="-11347240.84"/>
    <n v="-8083.5"/>
    <s v="Current"/>
    <s v="ana.scotti"/>
    <x v="0"/>
    <x v="1"/>
    <x v="0"/>
  </r>
  <r>
    <s v="Sales order revenue"/>
    <d v="2026-02-13T00:00:00"/>
    <s v="IPG Media Brands SA"/>
    <s v="30693739698"/>
    <m/>
    <m/>
    <s v="SOIAR-000016468, 30693739698, IPG Media Brands SA"/>
    <s v="SOIAR-000016468"/>
    <s v="4101011200-Twitter Billing-ARG-IARG-ARG-Rep"/>
    <s v="GJT224486"/>
    <s v="IARG_CI_00018579"/>
    <d v="2026-02-13T00:00:00"/>
    <s v="4101011200-Twitter Billing-ARG-IARG-ARG-Rep"/>
    <s v="4101011200"/>
    <s v="Representation"/>
    <x v="0"/>
    <n v="0"/>
    <n v="0"/>
    <n v="243.73"/>
    <s v="Current"/>
    <s v="ana.scotti"/>
    <x v="0"/>
    <x v="1"/>
    <x v="0"/>
  </r>
  <r>
    <s v="Sales - packing slip revenue"/>
    <d v="2026-02-13T00:00:00"/>
    <s v="IPG Media Brands SA"/>
    <s v="30693739698"/>
    <m/>
    <m/>
    <s v="SOIAR-000016468, 30693739698, IPG Media Brands SA"/>
    <s v="SOIAR-000016468"/>
    <s v="4101011200-Twitter Billing-ARG-IARG-ARG-Rep"/>
    <s v="GJT224486"/>
    <s v="IARG_CI_00018579"/>
    <d v="2026-02-13T00:00:00"/>
    <s v="4101011200-Twitter Billing-ARG-IARG-ARG-Rep"/>
    <s v="4101011200"/>
    <s v="Representation"/>
    <x v="0"/>
    <n v="11347240.84"/>
    <n v="11347240.84"/>
    <n v="7839.77"/>
    <s v="Current"/>
    <s v="ana.scotti"/>
    <x v="0"/>
    <x v="1"/>
    <x v="0"/>
  </r>
  <r>
    <s v="Sales order revenue"/>
    <d v="2026-02-13T00:00:00"/>
    <s v="IPG Media Brands SA"/>
    <s v="30693739698"/>
    <m/>
    <m/>
    <s v="SOIAR-000016473, 30693739698, IPG Media Brands SA"/>
    <s v="SOIAR-000016473"/>
    <s v="4101011200-Twitter Billing-ARG-IARG-ARG-Rep"/>
    <s v="GJT224485"/>
    <s v="IARG_CI_00018578"/>
    <d v="2026-02-13T00:00:00"/>
    <s v="4101011200-Twitter Billing-ARG-IARG-ARG-Rep"/>
    <s v="4101011200"/>
    <s v="Representation"/>
    <x v="0"/>
    <n v="-2304000"/>
    <n v="-2304000"/>
    <n v="-1641.31"/>
    <s v="Current"/>
    <s v="ana.scotti"/>
    <x v="0"/>
    <x v="1"/>
    <x v="0"/>
  </r>
  <r>
    <s v="Sales order revenue"/>
    <d v="2026-02-13T00:00:00"/>
    <s v="IPG Media Brands SA"/>
    <s v="30693739698"/>
    <m/>
    <m/>
    <s v="SOIAR-000016473, 30693739698, IPG Media Brands SA"/>
    <s v="SOIAR-000016473"/>
    <s v="4101011200-Twitter Billing-ARG-IARG-ARG-Rep"/>
    <s v="GJT224485"/>
    <s v="IARG_CI_00018578"/>
    <d v="2026-02-13T00:00:00"/>
    <s v="4101011200-Twitter Billing-ARG-IARG-ARG-Rep"/>
    <s v="4101011200"/>
    <s v="Representation"/>
    <x v="0"/>
    <n v="0"/>
    <n v="0"/>
    <n v="49.48"/>
    <s v="Current"/>
    <s v="ana.scotti"/>
    <x v="0"/>
    <x v="1"/>
    <x v="0"/>
  </r>
  <r>
    <s v="Sales - packing slip revenue"/>
    <d v="2026-02-13T00:00:00"/>
    <s v="IPG Media Brands SA"/>
    <s v="30693739698"/>
    <m/>
    <m/>
    <s v="SOIAR-000016473, 30693739698, IPG Media Brands SA"/>
    <s v="SOIAR-000016473"/>
    <s v="4101011200-Twitter Billing-ARG-IARG-ARG-Rep"/>
    <s v="GJT224485"/>
    <s v="IARG_CI_00018578"/>
    <d v="2026-02-13T00:00:00"/>
    <s v="4101011200-Twitter Billing-ARG-IARG-ARG-Rep"/>
    <s v="4101011200"/>
    <s v="Representation"/>
    <x v="0"/>
    <n v="2304000"/>
    <n v="2304000"/>
    <n v="1591.83"/>
    <s v="Current"/>
    <s v="ana.scotti"/>
    <x v="0"/>
    <x v="1"/>
    <x v="0"/>
  </r>
  <r>
    <s v="Sales order revenue"/>
    <d v="2026-02-13T00:00:00"/>
    <s v="IPG Media Brands SA"/>
    <s v="30693739698"/>
    <m/>
    <m/>
    <s v="SOIAR-000016470, 30693739698, IPG Media Brands SA"/>
    <s v="SOIAR-000016470"/>
    <s v="4101011200-Twitter Billing-ARG-IARG-ARG-Rep"/>
    <s v="GJT224484"/>
    <s v="IARG_CI_00018577"/>
    <d v="2026-02-13T00:00:00"/>
    <s v="4101011200-Twitter Billing-ARG-IARG-ARG-Rep"/>
    <s v="4101011200"/>
    <s v="Representation"/>
    <x v="0"/>
    <n v="-8501760"/>
    <n v="-8501760"/>
    <n v="-6056.44"/>
    <s v="Current"/>
    <s v="ana.scotti"/>
    <x v="0"/>
    <x v="1"/>
    <x v="0"/>
  </r>
  <r>
    <s v="Sales order revenue"/>
    <d v="2026-02-13T00:00:00"/>
    <s v="IPG Media Brands SA"/>
    <s v="30693739698"/>
    <m/>
    <m/>
    <s v="SOIAR-000016470, 30693739698, IPG Media Brands SA"/>
    <s v="SOIAR-000016470"/>
    <s v="4101011200-Twitter Billing-ARG-IARG-ARG-Rep"/>
    <s v="GJT224484"/>
    <s v="IARG_CI_00018577"/>
    <d v="2026-02-13T00:00:00"/>
    <s v="4101011200-Twitter Billing-ARG-IARG-ARG-Rep"/>
    <s v="4101011200"/>
    <s v="Representation"/>
    <x v="0"/>
    <n v="0"/>
    <n v="0"/>
    <n v="182.6"/>
    <s v="Current"/>
    <s v="ana.scotti"/>
    <x v="0"/>
    <x v="1"/>
    <x v="0"/>
  </r>
  <r>
    <s v="Sales - packing slip revenue"/>
    <d v="2026-02-13T00:00:00"/>
    <s v="IPG Media Brands SA"/>
    <s v="30693739698"/>
    <m/>
    <m/>
    <s v="SOIAR-000016470, 30693739698, IPG Media Brands SA"/>
    <s v="SOIAR-000016470"/>
    <s v="4101011200-Twitter Billing-ARG-IARG-ARG-Rep"/>
    <s v="GJT224484"/>
    <s v="IARG_CI_00018577"/>
    <d v="2026-02-13T00:00:00"/>
    <s v="4101011200-Twitter Billing-ARG-IARG-ARG-Rep"/>
    <s v="4101011200"/>
    <s v="Representation"/>
    <x v="0"/>
    <n v="8501760"/>
    <n v="8501760"/>
    <n v="5873.84"/>
    <s v="Current"/>
    <s v="ana.scotti"/>
    <x v="0"/>
    <x v="1"/>
    <x v="0"/>
  </r>
  <r>
    <s v="Sales order revenue"/>
    <d v="2026-02-13T00:00:00"/>
    <s v="IPG Media Brands SA"/>
    <s v="30693739698"/>
    <m/>
    <m/>
    <s v="SOIAR-000016469, 30693739698, IPG Media Brands SA"/>
    <s v="SOIAR-000016469"/>
    <s v="4101011200-Twitter Billing-ARG-IARG-ARG-Rep"/>
    <s v="GJT224483"/>
    <s v="IARG_CI_00018576"/>
    <d v="2026-02-13T00:00:00"/>
    <s v="4101011200-Twitter Billing-ARG-IARG-ARG-Rep"/>
    <s v="4101011200"/>
    <s v="Representation"/>
    <x v="0"/>
    <n v="-2895125.95"/>
    <n v="-2895125.95"/>
    <n v="-2062.42"/>
    <s v="Current"/>
    <s v="ana.scotti"/>
    <x v="0"/>
    <x v="1"/>
    <x v="0"/>
  </r>
  <r>
    <s v="Sales order revenue"/>
    <d v="2026-02-13T00:00:00"/>
    <s v="IPG Media Brands SA"/>
    <s v="30693739698"/>
    <m/>
    <m/>
    <s v="SOIAR-000016469, 30693739698, IPG Media Brands SA"/>
    <s v="SOIAR-000016469"/>
    <s v="4101011200-Twitter Billing-ARG-IARG-ARG-Rep"/>
    <s v="GJT224483"/>
    <s v="IARG_CI_00018576"/>
    <d v="2026-02-13T00:00:00"/>
    <s v="4101011200-Twitter Billing-ARG-IARG-ARG-Rep"/>
    <s v="4101011200"/>
    <s v="Representation"/>
    <x v="0"/>
    <n v="0"/>
    <n v="0"/>
    <n v="62.19"/>
    <s v="Current"/>
    <s v="ana.scotti"/>
    <x v="0"/>
    <x v="1"/>
    <x v="0"/>
  </r>
  <r>
    <s v="Sales - packing slip revenue"/>
    <d v="2026-02-13T00:00:00"/>
    <s v="IPG Media Brands SA"/>
    <s v="30693739698"/>
    <m/>
    <m/>
    <s v="SOIAR-000016469, 30693739698, IPG Media Brands SA"/>
    <s v="SOIAR-000016469"/>
    <s v="4101011200-Twitter Billing-ARG-IARG-ARG-Rep"/>
    <s v="GJT224483"/>
    <s v="IARG_CI_00018576"/>
    <d v="2026-02-13T00:00:00"/>
    <s v="4101011200-Twitter Billing-ARG-IARG-ARG-Rep"/>
    <s v="4101011200"/>
    <s v="Representation"/>
    <x v="0"/>
    <n v="2895125.95"/>
    <n v="2895125.95"/>
    <n v="2000.23"/>
    <s v="Current"/>
    <s v="ana.scotti"/>
    <x v="0"/>
    <x v="1"/>
    <x v="0"/>
  </r>
  <r>
    <s v="Sales order revenue"/>
    <d v="2026-02-13T00:00:00"/>
    <s v="IPG Media Brands SA"/>
    <s v="30693739698"/>
    <m/>
    <m/>
    <s v="SOIAR-000016471, 30693739698, IPG Media Brands SA"/>
    <s v="SOIAR-000016471"/>
    <s v="4101011200-Twitter Billing-ARG-IARG-ARG-Rep"/>
    <s v="GJT224482"/>
    <s v="IARG_CI_00018575"/>
    <d v="2026-02-13T00:00:00"/>
    <s v="4101011200-Twitter Billing-ARG-IARG-ARG-Rep"/>
    <s v="4101011200"/>
    <s v="Representation"/>
    <x v="0"/>
    <n v="-3544898.95"/>
    <n v="-3544898.95"/>
    <n v="-2525.3000000000002"/>
    <s v="Current"/>
    <s v="ana.scotti"/>
    <x v="0"/>
    <x v="1"/>
    <x v="0"/>
  </r>
  <r>
    <s v="Sales order revenue"/>
    <d v="2026-02-13T00:00:00"/>
    <s v="IPG Media Brands SA"/>
    <s v="30693739698"/>
    <m/>
    <m/>
    <s v="SOIAR-000016471, 30693739698, IPG Media Brands SA"/>
    <s v="SOIAR-000016471"/>
    <s v="4101011200-Twitter Billing-ARG-IARG-ARG-Rep"/>
    <s v="GJT224482"/>
    <s v="IARG_CI_00018575"/>
    <d v="2026-02-13T00:00:00"/>
    <s v="4101011200-Twitter Billing-ARG-IARG-ARG-Rep"/>
    <s v="4101011200"/>
    <s v="Representation"/>
    <x v="0"/>
    <n v="0"/>
    <n v="0"/>
    <n v="76.14"/>
    <s v="Current"/>
    <s v="ana.scotti"/>
    <x v="0"/>
    <x v="1"/>
    <x v="0"/>
  </r>
  <r>
    <s v="Sales - packing slip revenue"/>
    <d v="2026-02-13T00:00:00"/>
    <s v="IPG Media Brands SA"/>
    <s v="30693739698"/>
    <m/>
    <m/>
    <s v="SOIAR-000016471, 30693739698, IPG Media Brands SA"/>
    <s v="SOIAR-000016471"/>
    <s v="4101011200-Twitter Billing-ARG-IARG-ARG-Rep"/>
    <s v="GJT224482"/>
    <s v="IARG_CI_00018575"/>
    <d v="2026-02-13T00:00:00"/>
    <s v="4101011200-Twitter Billing-ARG-IARG-ARG-Rep"/>
    <s v="4101011200"/>
    <s v="Representation"/>
    <x v="0"/>
    <n v="3544898.95"/>
    <n v="3544898.95"/>
    <n v="2449.16"/>
    <s v="Current"/>
    <s v="ana.scotti"/>
    <x v="0"/>
    <x v="1"/>
    <x v="0"/>
  </r>
  <r>
    <s v="Sales order revenue"/>
    <d v="2026-02-11T00:00:00"/>
    <s v="OSA ONE STEP AHEAD SA"/>
    <s v="30712014047"/>
    <m/>
    <m/>
    <s v="SOIAR-000015308, 30712014047, OSA ONE STEP AHEAD SA"/>
    <s v="SOIAR-000015308"/>
    <s v="4101011200-Twitter-ARG-IARG-ARG-Rep"/>
    <s v="GJT224192"/>
    <s v="IARG_CI_00018546"/>
    <d v="2026-02-11T00:00:00"/>
    <s v="4101011200-Twitter-ARG-IARG-ARG-Rep"/>
    <s v="4101011200"/>
    <s v="Representation"/>
    <x v="0"/>
    <n v="-1595130.97"/>
    <n v="-1595130.97"/>
    <n v="-1117.05"/>
    <s v="Current"/>
    <s v="ana.scotti"/>
    <x v="0"/>
    <x v="0"/>
    <x v="0"/>
  </r>
  <r>
    <s v="Sales order revenue"/>
    <d v="2026-02-11T00:00:00"/>
    <s v="OSA ONE STEP AHEAD SA"/>
    <s v="30712014047"/>
    <m/>
    <m/>
    <s v="SOIAR-000015308, 30712014047, OSA ONE STEP AHEAD SA"/>
    <s v="SOIAR-000015308"/>
    <s v="4101011200-Twitter-ARG-IARG-ARG-Rep"/>
    <s v="GJT224192"/>
    <s v="IARG_CI_00018546"/>
    <d v="2026-02-11T00:00:00"/>
    <s v="4101011200-Twitter-ARG-IARG-ARG-Rep"/>
    <s v="4101011200"/>
    <s v="Representation"/>
    <x v="0"/>
    <n v="0"/>
    <n v="0"/>
    <n v="14.98"/>
    <s v="Current"/>
    <s v="ana.scotti"/>
    <x v="0"/>
    <x v="0"/>
    <x v="0"/>
  </r>
  <r>
    <s v="Sales - packing slip revenue"/>
    <d v="2026-02-11T00:00:00"/>
    <s v="OSA ONE STEP AHEAD SA"/>
    <s v="30712014047"/>
    <m/>
    <m/>
    <s v="SOIAR-000015308, 30712014047, OSA ONE STEP AHEAD SA"/>
    <s v="SOIAR-000015308"/>
    <s v="4101011200-Twitter-ARG-IARG-ARG-Rep"/>
    <s v="GJT224192"/>
    <s v="IARG_CI_00018546"/>
    <d v="2026-02-11T00:00:00"/>
    <s v="4101011200-Twitter-ARG-IARG-ARG-Rep"/>
    <s v="4101011200"/>
    <s v="Representation"/>
    <x v="0"/>
    <n v="1595130.97"/>
    <n v="1595130.97"/>
    <n v="1102.07"/>
    <s v="Current"/>
    <s v="ana.scotti"/>
    <x v="0"/>
    <x v="0"/>
    <x v="0"/>
  </r>
  <r>
    <s v="Sales order revenue"/>
    <d v="2026-02-11T00:00:00"/>
    <s v="OSA ONE STEP AHEAD SA"/>
    <s v="30712014047"/>
    <m/>
    <m/>
    <s v="SOIAR-000015308, 30712014047, OSA ONE STEP AHEAD SA"/>
    <s v="SOIAR-000015308"/>
    <s v="4101011200-Twitter-ARG-IARG-ARG-Rep"/>
    <s v="GJT224191"/>
    <s v="IARG_CI_00018545"/>
    <d v="2026-02-11T00:00:00"/>
    <s v="4101011200-Twitter-ARG-IARG-ARG-Rep"/>
    <s v="4101011200"/>
    <s v="Representation"/>
    <x v="0"/>
    <n v="-1976730"/>
    <n v="-1976730"/>
    <n v="-1384.28"/>
    <s v="Current"/>
    <s v="ana.scotti"/>
    <x v="0"/>
    <x v="0"/>
    <x v="0"/>
  </r>
  <r>
    <s v="Sales order revenue"/>
    <d v="2026-02-11T00:00:00"/>
    <s v="OSA ONE STEP AHEAD SA"/>
    <s v="30712014047"/>
    <m/>
    <m/>
    <s v="SOIAR-000015308, 30712014047, OSA ONE STEP AHEAD SA"/>
    <s v="SOIAR-000015308"/>
    <s v="4101011200-Twitter-ARG-IARG-ARG-Rep"/>
    <s v="GJT224191"/>
    <s v="IARG_CI_00018545"/>
    <d v="2026-02-11T00:00:00"/>
    <s v="4101011200-Twitter-ARG-IARG-ARG-Rep"/>
    <s v="4101011200"/>
    <s v="Representation"/>
    <x v="0"/>
    <n v="0"/>
    <n v="0"/>
    <n v="18.559999999999999"/>
    <s v="Current"/>
    <s v="ana.scotti"/>
    <x v="0"/>
    <x v="0"/>
    <x v="0"/>
  </r>
  <r>
    <s v="Sales - packing slip revenue"/>
    <d v="2026-02-11T00:00:00"/>
    <s v="OSA ONE STEP AHEAD SA"/>
    <s v="30712014047"/>
    <m/>
    <m/>
    <s v="SOIAR-000015308, 30712014047, OSA ONE STEP AHEAD SA"/>
    <s v="SOIAR-000015308"/>
    <s v="4101011200-Twitter-ARG-IARG-ARG-Rep"/>
    <s v="GJT224191"/>
    <s v="IARG_CI_00018545"/>
    <d v="2026-02-11T00:00:00"/>
    <s v="4101011200-Twitter-ARG-IARG-ARG-Rep"/>
    <s v="4101011200"/>
    <s v="Representation"/>
    <x v="0"/>
    <n v="1976730"/>
    <n v="1976730"/>
    <n v="1365.72"/>
    <s v="Current"/>
    <s v="ana.scotti"/>
    <x v="0"/>
    <x v="0"/>
    <x v="0"/>
  </r>
  <r>
    <s v="Sales order revenue"/>
    <d v="2026-02-11T00:00:00"/>
    <s v="OSA ONE STEP AHEAD SA"/>
    <s v="30712014047"/>
    <m/>
    <m/>
    <s v="SOIAR-000015308, 30712014047, OSA ONE STEP AHEAD SA"/>
    <s v="SOIAR-000015308"/>
    <s v="4101011200-Twitter-ARG-IARG-ARG-Rep"/>
    <s v="GJT224190"/>
    <s v="IARG_CI_00018544"/>
    <d v="2026-02-11T00:00:00"/>
    <s v="4101011200-Twitter-ARG-IARG-ARG-Rep"/>
    <s v="4101011200"/>
    <s v="Representation"/>
    <x v="0"/>
    <n v="-1998874.92"/>
    <n v="-1998874.92"/>
    <n v="-1399.78"/>
    <s v="Current"/>
    <s v="ana.scotti"/>
    <x v="0"/>
    <x v="0"/>
    <x v="0"/>
  </r>
  <r>
    <s v="Sales order revenue"/>
    <d v="2026-02-11T00:00:00"/>
    <s v="OSA ONE STEP AHEAD SA"/>
    <s v="30712014047"/>
    <m/>
    <m/>
    <s v="SOIAR-000015308, 30712014047, OSA ONE STEP AHEAD SA"/>
    <s v="SOIAR-000015308"/>
    <s v="4101011200-Twitter-ARG-IARG-ARG-Rep"/>
    <s v="GJT224190"/>
    <s v="IARG_CI_00018544"/>
    <d v="2026-02-11T00:00:00"/>
    <s v="4101011200-Twitter-ARG-IARG-ARG-Rep"/>
    <s v="4101011200"/>
    <s v="Representation"/>
    <x v="0"/>
    <n v="0"/>
    <n v="0"/>
    <n v="18.760000000000002"/>
    <s v="Current"/>
    <s v="ana.scotti"/>
    <x v="0"/>
    <x v="0"/>
    <x v="0"/>
  </r>
  <r>
    <s v="Sales - packing slip revenue"/>
    <d v="2026-02-11T00:00:00"/>
    <s v="OSA ONE STEP AHEAD SA"/>
    <s v="30712014047"/>
    <m/>
    <m/>
    <s v="SOIAR-000015308, 30712014047, OSA ONE STEP AHEAD SA"/>
    <s v="SOIAR-000015308"/>
    <s v="4101011200-Twitter-ARG-IARG-ARG-Rep"/>
    <s v="GJT224190"/>
    <s v="IARG_CI_00018544"/>
    <d v="2026-02-11T00:00:00"/>
    <s v="4101011200-Twitter-ARG-IARG-ARG-Rep"/>
    <s v="4101011200"/>
    <s v="Representation"/>
    <x v="0"/>
    <n v="1998874.92"/>
    <n v="1998874.92"/>
    <n v="1381.02"/>
    <s v="Current"/>
    <s v="ana.scotti"/>
    <x v="0"/>
    <x v="0"/>
    <x v="0"/>
  </r>
  <r>
    <s v="Sales order revenue"/>
    <d v="2026-02-11T00:00:00"/>
    <s v="OSA ONE STEP AHEAD SA"/>
    <s v="30712014047"/>
    <m/>
    <m/>
    <s v="SOIAR-000016500, 30712014047, OSA ONE STEP AHEAD SA"/>
    <s v="SOIAR-000016500"/>
    <s v="4101011200-Twitter-ARG-IARG-ARG-Rep"/>
    <s v="GJT224189"/>
    <s v="IARG_CI_00018543"/>
    <d v="2026-02-11T00:00:00"/>
    <s v="4101011200-Twitter-ARG-IARG-ARG-Rep"/>
    <s v="4101011200"/>
    <s v="Representation"/>
    <x v="0"/>
    <n v="-1984646.13"/>
    <n v="-1984646.13"/>
    <n v="-1389.82"/>
    <s v="Current"/>
    <s v="ana.scotti"/>
    <x v="0"/>
    <x v="0"/>
    <x v="0"/>
  </r>
  <r>
    <s v="Sales order revenue"/>
    <d v="2026-02-11T00:00:00"/>
    <s v="OSA ONE STEP AHEAD SA"/>
    <s v="30712014047"/>
    <m/>
    <m/>
    <s v="SOIAR-000016500, 30712014047, OSA ONE STEP AHEAD SA"/>
    <s v="SOIAR-000016500"/>
    <s v="4101011200-Twitter-ARG-IARG-ARG-Rep"/>
    <s v="GJT224189"/>
    <s v="IARG_CI_00018543"/>
    <d v="2026-02-11T00:00:00"/>
    <s v="4101011200-Twitter-ARG-IARG-ARG-Rep"/>
    <s v="4101011200"/>
    <s v="Representation"/>
    <x v="0"/>
    <n v="0"/>
    <n v="0"/>
    <n v="18.63"/>
    <s v="Current"/>
    <s v="ana.scotti"/>
    <x v="0"/>
    <x v="0"/>
    <x v="0"/>
  </r>
  <r>
    <s v="Sales - packing slip revenue"/>
    <d v="2026-02-11T00:00:00"/>
    <s v="OSA ONE STEP AHEAD SA"/>
    <s v="30712014047"/>
    <m/>
    <m/>
    <s v="SOIAR-000016500, 30712014047, OSA ONE STEP AHEAD SA"/>
    <s v="SOIAR-000016500"/>
    <s v="4101011200-Twitter-ARG-IARG-ARG-Rep"/>
    <s v="GJT224189"/>
    <s v="IARG_CI_00018543"/>
    <d v="2026-02-11T00:00:00"/>
    <s v="4101011200-Twitter-ARG-IARG-ARG-Rep"/>
    <s v="4101011200"/>
    <s v="Representation"/>
    <x v="0"/>
    <n v="1984646.13"/>
    <n v="1984646.13"/>
    <n v="1371.19"/>
    <s v="Current"/>
    <s v="ana.scotti"/>
    <x v="0"/>
    <x v="0"/>
    <x v="0"/>
  </r>
  <r>
    <s v="Sales order revenue"/>
    <d v="2026-02-11T00:00:00"/>
    <s v="OSA ONE STEP AHEAD SA"/>
    <s v="30712014047"/>
    <m/>
    <m/>
    <s v="SOIAR-000013026, 30712014047, OSA ONE STEP AHEAD SA"/>
    <s v="SOIAR-000013026"/>
    <s v="4101011200-Twitter-ARG-IARG-ARG-Rep"/>
    <s v="GJT224188"/>
    <s v="IARG_CI_00018542"/>
    <d v="2026-02-11T00:00:00"/>
    <s v="4101011200-Twitter-ARG-IARG-ARG-Rep"/>
    <s v="4101011200"/>
    <s v="Representation"/>
    <x v="0"/>
    <n v="-1692448.78"/>
    <n v="-1692448.78"/>
    <n v="-1185.2"/>
    <s v="Current"/>
    <s v="ana.scotti"/>
    <x v="0"/>
    <x v="0"/>
    <x v="0"/>
  </r>
  <r>
    <s v="Sales order revenue"/>
    <d v="2026-02-11T00:00:00"/>
    <s v="OSA ONE STEP AHEAD SA"/>
    <s v="30712014047"/>
    <m/>
    <m/>
    <s v="SOIAR-000013026, 30712014047, OSA ONE STEP AHEAD SA"/>
    <s v="SOIAR-000013026"/>
    <s v="4101011200-Twitter-ARG-IARG-ARG-Rep"/>
    <s v="GJT224188"/>
    <s v="IARG_CI_00018542"/>
    <d v="2026-02-11T00:00:00"/>
    <s v="4101011200-Twitter-ARG-IARG-ARG-Rep"/>
    <s v="4101011200"/>
    <s v="Representation"/>
    <x v="0"/>
    <n v="0"/>
    <n v="0"/>
    <n v="15.89"/>
    <s v="Current"/>
    <s v="ana.scotti"/>
    <x v="0"/>
    <x v="0"/>
    <x v="0"/>
  </r>
  <r>
    <s v="Sales - packing slip revenue"/>
    <d v="2026-02-11T00:00:00"/>
    <s v="OSA ONE STEP AHEAD SA"/>
    <s v="30712014047"/>
    <m/>
    <m/>
    <s v="SOIAR-000013026, 30712014047, OSA ONE STEP AHEAD SA"/>
    <s v="SOIAR-000013026"/>
    <s v="4101011200-Twitter-ARG-IARG-ARG-Rep"/>
    <s v="GJT224188"/>
    <s v="IARG_CI_00018542"/>
    <d v="2026-02-11T00:00:00"/>
    <s v="4101011200-Twitter-ARG-IARG-ARG-Rep"/>
    <s v="4101011200"/>
    <s v="Representation"/>
    <x v="0"/>
    <n v="1692448.78"/>
    <n v="1692448.78"/>
    <n v="1169.31"/>
    <s v="Current"/>
    <s v="ana.scotti"/>
    <x v="0"/>
    <x v="0"/>
    <x v="0"/>
  </r>
  <r>
    <s v="Sales order revenue"/>
    <d v="2026-02-11T00:00:00"/>
    <s v="OSA ONE STEP AHEAD SA"/>
    <s v="30712014047"/>
    <m/>
    <m/>
    <s v="SOIAR-000015200, 30712014047, OSA ONE STEP AHEAD SA"/>
    <s v="SOIAR-000015200"/>
    <s v="4101011200-Twitter-ARG-IARG-ARG-Rep"/>
    <s v="GJT224187"/>
    <s v="IARG_CI_00018541"/>
    <d v="2026-02-11T00:00:00"/>
    <s v="4101011200-Twitter-ARG-IARG-ARG-Rep"/>
    <s v="4101011200"/>
    <s v="Representation"/>
    <x v="0"/>
    <n v="-1794491.64"/>
    <n v="-1794491.64"/>
    <n v="-1256.6600000000001"/>
    <s v="Current"/>
    <s v="ana.scotti"/>
    <x v="0"/>
    <x v="0"/>
    <x v="0"/>
  </r>
  <r>
    <s v="Sales order revenue"/>
    <d v="2026-02-11T00:00:00"/>
    <s v="OSA ONE STEP AHEAD SA"/>
    <s v="30712014047"/>
    <m/>
    <m/>
    <s v="SOIAR-000015200, 30712014047, OSA ONE STEP AHEAD SA"/>
    <s v="SOIAR-000015200"/>
    <s v="4101011200-Twitter-ARG-IARG-ARG-Rep"/>
    <s v="GJT224187"/>
    <s v="IARG_CI_00018541"/>
    <d v="2026-02-11T00:00:00"/>
    <s v="4101011200-Twitter-ARG-IARG-ARG-Rep"/>
    <s v="4101011200"/>
    <s v="Representation"/>
    <x v="0"/>
    <n v="0"/>
    <n v="0"/>
    <n v="16.850000000000001"/>
    <s v="Current"/>
    <s v="ana.scotti"/>
    <x v="0"/>
    <x v="0"/>
    <x v="0"/>
  </r>
  <r>
    <s v="Sales - packing slip revenue"/>
    <d v="2026-02-11T00:00:00"/>
    <s v="OSA ONE STEP AHEAD SA"/>
    <s v="30712014047"/>
    <m/>
    <m/>
    <s v="SOIAR-000015200, 30712014047, OSA ONE STEP AHEAD SA"/>
    <s v="SOIAR-000015200"/>
    <s v="4101011200-Twitter-ARG-IARG-ARG-Rep"/>
    <s v="GJT224187"/>
    <s v="IARG_CI_00018541"/>
    <d v="2026-02-11T00:00:00"/>
    <s v="4101011200-Twitter-ARG-IARG-ARG-Rep"/>
    <s v="4101011200"/>
    <s v="Representation"/>
    <x v="0"/>
    <n v="1794491.64"/>
    <n v="1794491.64"/>
    <n v="1239.81"/>
    <s v="Current"/>
    <s v="ana.scotti"/>
    <x v="0"/>
    <x v="0"/>
    <x v="0"/>
  </r>
  <r>
    <s v="Sales order revenue"/>
    <d v="2026-02-11T00:00:00"/>
    <s v="OSA ONE STEP AHEAD SA"/>
    <s v="30712014047"/>
    <m/>
    <m/>
    <s v="SOIAR-000015194, 30712014047, OSA ONE STEP AHEAD SA"/>
    <s v="SOIAR-000015194"/>
    <s v="4101011200-Twitter-ARG-IARG-ARG-Rep"/>
    <s v="GJT224186"/>
    <s v="IARG_CI_00018540"/>
    <d v="2026-02-11T00:00:00"/>
    <s v="4101011200-Twitter-ARG-IARG-ARG-Rep"/>
    <s v="4101011200"/>
    <s v="Representation"/>
    <x v="0"/>
    <n v="-2491924.9700000002"/>
    <n v="-2491924.9700000002"/>
    <n v="-1745.06"/>
    <s v="Current"/>
    <s v="ana.scotti"/>
    <x v="0"/>
    <x v="0"/>
    <x v="0"/>
  </r>
  <r>
    <s v="Sales order revenue"/>
    <d v="2026-02-11T00:00:00"/>
    <s v="OSA ONE STEP AHEAD SA"/>
    <s v="30712014047"/>
    <m/>
    <m/>
    <s v="SOIAR-000015194, 30712014047, OSA ONE STEP AHEAD SA"/>
    <s v="SOIAR-000015194"/>
    <s v="4101011200-Twitter-ARG-IARG-ARG-Rep"/>
    <s v="GJT224186"/>
    <s v="IARG_CI_00018540"/>
    <d v="2026-02-11T00:00:00"/>
    <s v="4101011200-Twitter-ARG-IARG-ARG-Rep"/>
    <s v="4101011200"/>
    <s v="Representation"/>
    <x v="0"/>
    <n v="0"/>
    <n v="0"/>
    <n v="23.4"/>
    <s v="Current"/>
    <s v="ana.scotti"/>
    <x v="0"/>
    <x v="0"/>
    <x v="0"/>
  </r>
  <r>
    <s v="Sales - packing slip revenue"/>
    <d v="2026-02-11T00:00:00"/>
    <s v="OSA ONE STEP AHEAD SA"/>
    <s v="30712014047"/>
    <m/>
    <m/>
    <s v="SOIAR-000015194, 30712014047, OSA ONE STEP AHEAD SA"/>
    <s v="SOIAR-000015194"/>
    <s v="4101011200-Twitter-ARG-IARG-ARG-Rep"/>
    <s v="GJT224186"/>
    <s v="IARG_CI_00018540"/>
    <d v="2026-02-11T00:00:00"/>
    <s v="4101011200-Twitter-ARG-IARG-ARG-Rep"/>
    <s v="4101011200"/>
    <s v="Representation"/>
    <x v="0"/>
    <n v="2491924.9700000002"/>
    <n v="2491924.9700000002"/>
    <n v="1721.66"/>
    <s v="Current"/>
    <s v="ana.scotti"/>
    <x v="0"/>
    <x v="0"/>
    <x v="0"/>
  </r>
  <r>
    <s v="Sales order revenue"/>
    <d v="2026-02-11T00:00:00"/>
    <s v="OSA ONE STEP AHEAD SA"/>
    <s v="30712014047"/>
    <m/>
    <m/>
    <s v="SOIAR-000011645, 30712014047, OSA ONE STEP AHEAD SA"/>
    <s v="SOIAR-000011645"/>
    <s v="4101011200-Twitter-ARG-IARG-ARG-Rep"/>
    <s v="GJT224178"/>
    <s v="IARG_CI_00018539"/>
    <d v="2026-02-11T00:00:00"/>
    <s v="4101011200-Twitter-ARG-IARG-ARG-Rep"/>
    <s v="4101011200"/>
    <s v="Representation"/>
    <x v="0"/>
    <n v="-1897845.65"/>
    <n v="-1897845.65"/>
    <n v="-1329.04"/>
    <s v="Current"/>
    <s v="ana.scotti"/>
    <x v="0"/>
    <x v="0"/>
    <x v="0"/>
  </r>
  <r>
    <s v="Sales order revenue"/>
    <d v="2026-02-11T00:00:00"/>
    <s v="OSA ONE STEP AHEAD SA"/>
    <s v="30712014047"/>
    <m/>
    <m/>
    <s v="SOIAR-000011645, 30712014047, OSA ONE STEP AHEAD SA"/>
    <s v="SOIAR-000011645"/>
    <s v="4101011200-Twitter-ARG-IARG-ARG-Rep"/>
    <s v="GJT224178"/>
    <s v="IARG_CI_00018539"/>
    <d v="2026-02-11T00:00:00"/>
    <s v="4101011200-Twitter-ARG-IARG-ARG-Rep"/>
    <s v="4101011200"/>
    <s v="Representation"/>
    <x v="0"/>
    <n v="0"/>
    <n v="0"/>
    <n v="17.82"/>
    <s v="Current"/>
    <s v="ana.scotti"/>
    <x v="0"/>
    <x v="0"/>
    <x v="0"/>
  </r>
  <r>
    <s v="Sales - packing slip revenue"/>
    <d v="2026-02-11T00:00:00"/>
    <s v="OSA ONE STEP AHEAD SA"/>
    <s v="30712014047"/>
    <m/>
    <m/>
    <s v="SOIAR-000011645, 30712014047, OSA ONE STEP AHEAD SA"/>
    <s v="SOIAR-000011645"/>
    <s v="4101011200-Twitter-ARG-IARG-ARG-Rep"/>
    <s v="GJT224178"/>
    <s v="IARG_CI_00018539"/>
    <d v="2026-02-11T00:00:00"/>
    <s v="4101011200-Twitter-ARG-IARG-ARG-Rep"/>
    <s v="4101011200"/>
    <s v="Representation"/>
    <x v="0"/>
    <n v="1897845.65"/>
    <n v="1897845.65"/>
    <n v="1311.22"/>
    <s v="Current"/>
    <s v="ana.scotti"/>
    <x v="0"/>
    <x v="0"/>
    <x v="0"/>
  </r>
  <r>
    <s v="Sales order revenue"/>
    <d v="2026-02-11T00:00:00"/>
    <s v="OSA ONE STEP AHEAD SA"/>
    <s v="30712014047"/>
    <m/>
    <m/>
    <s v="SOIAR-000016477, 30712014047, OSA ONE STEP AHEAD SA"/>
    <s v="SOIAR-000016477"/>
    <s v="4101011200-Twitter-ARG-IARG-ARG-Rep"/>
    <s v="GJT224177"/>
    <s v="IARG_CI_00018538"/>
    <d v="2026-02-11T00:00:00"/>
    <s v="4101011200-Twitter-ARG-IARG-ARG-Rep"/>
    <s v="4101011200"/>
    <s v="Representation"/>
    <x v="0"/>
    <n v="-3071442.71"/>
    <n v="-3071442.71"/>
    <n v="-2150.89"/>
    <s v="Current"/>
    <s v="ana.scotti"/>
    <x v="0"/>
    <x v="0"/>
    <x v="0"/>
  </r>
  <r>
    <s v="Sales order revenue"/>
    <d v="2026-02-11T00:00:00"/>
    <s v="OSA ONE STEP AHEAD SA"/>
    <s v="30712014047"/>
    <m/>
    <m/>
    <s v="SOIAR-000016477, 30712014047, OSA ONE STEP AHEAD SA"/>
    <s v="SOIAR-000016477"/>
    <s v="4101011200-Twitter-ARG-IARG-ARG-Rep"/>
    <s v="GJT224177"/>
    <s v="IARG_CI_00018538"/>
    <d v="2026-02-11T00:00:00"/>
    <s v="4101011200-Twitter-ARG-IARG-ARG-Rep"/>
    <s v="4101011200"/>
    <s v="Representation"/>
    <x v="0"/>
    <n v="0"/>
    <n v="0"/>
    <n v="28.84"/>
    <s v="Current"/>
    <s v="ana.scotti"/>
    <x v="0"/>
    <x v="0"/>
    <x v="0"/>
  </r>
  <r>
    <s v="Sales - packing slip revenue"/>
    <d v="2026-02-11T00:00:00"/>
    <s v="OSA ONE STEP AHEAD SA"/>
    <s v="30712014047"/>
    <m/>
    <m/>
    <s v="SOIAR-000016477, 30712014047, OSA ONE STEP AHEAD SA"/>
    <s v="SOIAR-000016477"/>
    <s v="4101011200-Twitter-ARG-IARG-ARG-Rep"/>
    <s v="GJT224177"/>
    <s v="IARG_CI_00018538"/>
    <d v="2026-02-11T00:00:00"/>
    <s v="4101011200-Twitter-ARG-IARG-ARG-Rep"/>
    <s v="4101011200"/>
    <s v="Representation"/>
    <x v="0"/>
    <n v="3071442.71"/>
    <n v="3071442.71"/>
    <n v="2122.0500000000002"/>
    <s v="Current"/>
    <s v="ana.scotti"/>
    <x v="0"/>
    <x v="0"/>
    <x v="0"/>
  </r>
  <r>
    <s v="Sales order revenue"/>
    <d v="2026-02-10T00:00:00"/>
    <s v="MMS Comunicaciones Argentina S.R.L"/>
    <s v="30630308557"/>
    <m/>
    <m/>
    <s v="SOIAR-000016506, 30630308557, MMS Comunicaciones Argentina S.R.L"/>
    <s v="SOIAR-000016506"/>
    <s v="4101011200-Twitter-ARG-IARG-ARG-Rep"/>
    <s v="GJT224053"/>
    <s v="IARG_CI_00018512"/>
    <d v="2026-02-10T00:00:00"/>
    <s v="4101011200-Twitter-ARG-IARG-ARG-Rep"/>
    <s v="4101011200"/>
    <s v="Representation"/>
    <x v="0"/>
    <n v="-1796491.65"/>
    <n v="-1796491.65"/>
    <n v="-1254.27"/>
    <s v="Current"/>
    <s v="ana.scotti"/>
    <x v="0"/>
    <x v="0"/>
    <x v="0"/>
  </r>
  <r>
    <s v="Sales order revenue"/>
    <d v="2026-02-10T00:00:00"/>
    <s v="MMS Comunicaciones Argentina S.R.L"/>
    <s v="30630308557"/>
    <m/>
    <m/>
    <s v="SOIAR-000016506, 30630308557, MMS Comunicaciones Argentina S.R.L"/>
    <s v="SOIAR-000016506"/>
    <s v="4101011200-Twitter-ARG-IARG-ARG-Rep"/>
    <s v="GJT224053"/>
    <s v="IARG_CI_00018512"/>
    <d v="2026-02-10T00:00:00"/>
    <s v="4101011200-Twitter-ARG-IARG-ARG-Rep"/>
    <s v="4101011200"/>
    <s v="Representation"/>
    <x v="0"/>
    <n v="0"/>
    <n v="0"/>
    <n v="13.08"/>
    <s v="Current"/>
    <s v="ana.scotti"/>
    <x v="0"/>
    <x v="0"/>
    <x v="0"/>
  </r>
  <r>
    <s v="Sales - packing slip revenue"/>
    <d v="2026-02-10T00:00:00"/>
    <s v="MMS Comunicaciones Argentina S.R.L"/>
    <s v="30630308557"/>
    <m/>
    <m/>
    <s v="SOIAR-000016506, 30630308557, MMS Comunicaciones Argentina S.R.L"/>
    <s v="SOIAR-000016506"/>
    <s v="4101011200-Twitter-ARG-IARG-ARG-Rep"/>
    <s v="GJT224053"/>
    <s v="IARG_CI_00018512"/>
    <d v="2026-02-10T00:00:00"/>
    <s v="4101011200-Twitter-ARG-IARG-ARG-Rep"/>
    <s v="4101011200"/>
    <s v="Representation"/>
    <x v="0"/>
    <n v="1796491.65"/>
    <n v="1796491.65"/>
    <n v="1241.19"/>
    <s v="Current"/>
    <s v="ana.scotti"/>
    <x v="0"/>
    <x v="0"/>
    <x v="0"/>
  </r>
  <r>
    <s v="Sales order revenue"/>
    <d v="2026-02-10T00:00:00"/>
    <s v="MMS Comunicaciones Argentina S.R.L"/>
    <s v="30630308557"/>
    <m/>
    <m/>
    <s v="SOIAR-000016492, 30630308557, MMS Comunicaciones Argentina S.R.L"/>
    <s v="SOIAR-000016492"/>
    <s v="4101011200-Twitter-ARG-IARG-ARG-Rep"/>
    <s v="GJT224052"/>
    <s v="IARG_CI_00018511"/>
    <d v="2026-02-10T00:00:00"/>
    <s v="4101011200-Twitter-ARG-IARG-ARG-Rep"/>
    <s v="4101011200"/>
    <s v="Representation"/>
    <x v="0"/>
    <n v="-1118172.1299999999"/>
    <n v="-1118172.1299999999"/>
    <n v="-780.68"/>
    <s v="Current"/>
    <s v="ana.scotti"/>
    <x v="0"/>
    <x v="0"/>
    <x v="0"/>
  </r>
  <r>
    <s v="Sales order revenue"/>
    <d v="2026-02-10T00:00:00"/>
    <s v="MMS Comunicaciones Argentina S.R.L"/>
    <s v="30630308557"/>
    <m/>
    <m/>
    <s v="SOIAR-000016492, 30630308557, MMS Comunicaciones Argentina S.R.L"/>
    <s v="SOIAR-000016492"/>
    <s v="4101011200-Twitter-ARG-IARG-ARG-Rep"/>
    <s v="GJT224052"/>
    <s v="IARG_CI_00018511"/>
    <d v="2026-02-10T00:00:00"/>
    <s v="4101011200-Twitter-ARG-IARG-ARG-Rep"/>
    <s v="4101011200"/>
    <s v="Representation"/>
    <x v="0"/>
    <n v="0"/>
    <n v="0"/>
    <n v="8.14"/>
    <s v="Current"/>
    <s v="ana.scotti"/>
    <x v="0"/>
    <x v="0"/>
    <x v="0"/>
  </r>
  <r>
    <s v="Sales - packing slip revenue"/>
    <d v="2026-02-10T00:00:00"/>
    <s v="MMS Comunicaciones Argentina S.R.L"/>
    <s v="30630308557"/>
    <m/>
    <m/>
    <s v="SOIAR-000016492, 30630308557, MMS Comunicaciones Argentina S.R.L"/>
    <s v="SOIAR-000016492"/>
    <s v="4101011200-Twitter-ARG-IARG-ARG-Rep"/>
    <s v="GJT224052"/>
    <s v="IARG_CI_00018511"/>
    <d v="2026-02-10T00:00:00"/>
    <s v="4101011200-Twitter-ARG-IARG-ARG-Rep"/>
    <s v="4101011200"/>
    <s v="Representation"/>
    <x v="0"/>
    <n v="1118172.1299999999"/>
    <n v="1118172.1299999999"/>
    <n v="772.54"/>
    <s v="Current"/>
    <s v="ana.scotti"/>
    <x v="0"/>
    <x v="0"/>
    <x v="0"/>
  </r>
  <r>
    <s v="Sales order revenue"/>
    <d v="2026-02-10T00:00:00"/>
    <s v="MMS Comunicaciones Argentina S.R.L"/>
    <s v="30630308557"/>
    <m/>
    <m/>
    <s v="SOIAR-000015295, 30630308557, MMS Comunicaciones Argentina S.R.L"/>
    <s v="SOIAR-000015295"/>
    <s v="4101011200-Twitter-ARG-IARG-ARG-Rep"/>
    <s v="GJT224051"/>
    <s v="IARG_CI_00018510"/>
    <d v="2026-02-10T00:00:00"/>
    <s v="4101011200-Twitter-ARG-IARG-ARG-Rep"/>
    <s v="4101011200"/>
    <s v="Representation"/>
    <x v="0"/>
    <n v="-458820"/>
    <n v="-458820"/>
    <n v="-320.33999999999997"/>
    <s v="Current"/>
    <s v="ana.scotti"/>
    <x v="0"/>
    <x v="0"/>
    <x v="0"/>
  </r>
  <r>
    <s v="Sales order revenue"/>
    <d v="2026-02-10T00:00:00"/>
    <s v="MMS Comunicaciones Argentina S.R.L"/>
    <s v="30630308557"/>
    <m/>
    <m/>
    <s v="SOIAR-000015295, 30630308557, MMS Comunicaciones Argentina S.R.L"/>
    <s v="SOIAR-000015295"/>
    <s v="4101011200-Twitter-ARG-IARG-ARG-Rep"/>
    <s v="GJT224051"/>
    <s v="IARG_CI_00018510"/>
    <d v="2026-02-10T00:00:00"/>
    <s v="4101011200-Twitter-ARG-IARG-ARG-Rep"/>
    <s v="4101011200"/>
    <s v="Representation"/>
    <x v="0"/>
    <n v="0"/>
    <n v="0"/>
    <n v="3.34"/>
    <s v="Current"/>
    <s v="ana.scotti"/>
    <x v="0"/>
    <x v="0"/>
    <x v="0"/>
  </r>
  <r>
    <s v="Sales - packing slip revenue"/>
    <d v="2026-02-10T00:00:00"/>
    <s v="MMS Comunicaciones Argentina S.R.L"/>
    <s v="30630308557"/>
    <m/>
    <m/>
    <s v="SOIAR-000015295, 30630308557, MMS Comunicaciones Argentina S.R.L"/>
    <s v="SOIAR-000015295"/>
    <s v="4101011200-Twitter-ARG-IARG-ARG-Rep"/>
    <s v="GJT224051"/>
    <s v="IARG_CI_00018510"/>
    <d v="2026-02-10T00:00:00"/>
    <s v="4101011200-Twitter-ARG-IARG-ARG-Rep"/>
    <s v="4101011200"/>
    <s v="Representation"/>
    <x v="0"/>
    <n v="458820"/>
    <n v="458820"/>
    <n v="317"/>
    <s v="Current"/>
    <s v="ana.scotti"/>
    <x v="0"/>
    <x v="0"/>
    <x v="0"/>
  </r>
  <r>
    <s v="Sales order revenue"/>
    <d v="2026-02-10T00:00:00"/>
    <s v="PREX CARD SAS"/>
    <s v="33716797959"/>
    <m/>
    <m/>
    <s v="SOIAR-000015288, 33716797959, PREX CARD SAS"/>
    <s v="SOIAR-000015288"/>
    <s v="4101011200-Twitter-ARG-IARG-ARG-Rep"/>
    <s v="GJT224035"/>
    <s v="IARG_CI_00018497"/>
    <d v="2026-02-10T00:00:00"/>
    <s v="4101011200-Twitter-ARG-IARG-ARG-Rep"/>
    <s v="4101011200"/>
    <s v="Representation"/>
    <x v="0"/>
    <n v="-3456000"/>
    <n v="-3456000"/>
    <n v="-2412.9"/>
    <s v="Current"/>
    <s v="ana.scotti"/>
    <x v="0"/>
    <x v="0"/>
    <x v="0"/>
  </r>
  <r>
    <s v="Sales order revenue"/>
    <d v="2026-02-10T00:00:00"/>
    <s v="PREX CARD SAS"/>
    <s v="33716797959"/>
    <m/>
    <m/>
    <s v="SOIAR-000015288, 33716797959, PREX CARD SAS"/>
    <s v="SOIAR-000015288"/>
    <s v="4101011200-Twitter-ARG-IARG-ARG-Rep"/>
    <s v="GJT224035"/>
    <s v="IARG_CI_00018497"/>
    <d v="2026-02-10T00:00:00"/>
    <s v="4101011200-Twitter-ARG-IARG-ARG-Rep"/>
    <s v="4101011200"/>
    <s v="Representation"/>
    <x v="0"/>
    <n v="0"/>
    <n v="0"/>
    <n v="8.39"/>
    <s v="Current"/>
    <s v="ana.scotti"/>
    <x v="0"/>
    <x v="0"/>
    <x v="0"/>
  </r>
  <r>
    <s v="Sales order revenue"/>
    <d v="2026-02-10T00:00:00"/>
    <s v="PREX CARD SAS"/>
    <s v="33716797959"/>
    <m/>
    <m/>
    <s v="SOIAR-000015288, 33716797959, PREX CARD SAS"/>
    <s v="SOIAR-000015288"/>
    <s v="4101011200-Twitter-ARG-IARG-ARG-Rep"/>
    <s v="GJT224035"/>
    <s v="IARG_CI_00018497"/>
    <d v="2026-02-10T00:00:00"/>
    <s v="4101011200-Twitter-ARG-IARG-ARG-Rep"/>
    <s v="4101011200"/>
    <s v="Representation"/>
    <x v="0"/>
    <n v="0"/>
    <n v="0"/>
    <n v="16.77"/>
    <s v="Current"/>
    <s v="ana.scotti"/>
    <x v="0"/>
    <x v="0"/>
    <x v="0"/>
  </r>
  <r>
    <s v="Sales - packing slip revenue"/>
    <d v="2026-02-10T00:00:00"/>
    <s v="PREX CARD SAS"/>
    <s v="33716797959"/>
    <m/>
    <m/>
    <s v="SOIAR-000015288, 33716797959, PREX CARD SAS"/>
    <s v="SOIAR-000015288"/>
    <s v="4101011200-Twitter-ARG-IARG-ARG-Rep"/>
    <s v="GJT224035"/>
    <s v="IARG_CI_00018497"/>
    <d v="2026-02-10T00:00:00"/>
    <s v="4101011200-Twitter-ARG-IARG-ARG-Rep"/>
    <s v="4101011200"/>
    <s v="Representation"/>
    <x v="0"/>
    <n v="3456000"/>
    <n v="3456000"/>
    <n v="2387.7399999999998"/>
    <s v="Current"/>
    <s v="ana.scotti"/>
    <x v="0"/>
    <x v="0"/>
    <x v="0"/>
  </r>
  <r>
    <s v="Sales order revenue"/>
    <d v="2026-02-10T00:00:00"/>
    <s v="SUPER MEDIA S.A"/>
    <s v="30716209551"/>
    <m/>
    <m/>
    <s v="SOIAR-000016504, 30716209551, SUPER MEDIA S.A"/>
    <s v="SOIAR-000016504"/>
    <s v="4101011200-Twitter-ARG-IARG-ARG-Rep"/>
    <s v="GJT224030"/>
    <s v="IARG_CI_00018493"/>
    <d v="2026-02-10T00:00:00"/>
    <s v="4101011200-Twitter-ARG-IARG-ARG-Rep"/>
    <s v="4101011200"/>
    <s v="Representation"/>
    <x v="0"/>
    <n v="-3153925.53"/>
    <n v="-3153925.53"/>
    <n v="-2202"/>
    <s v="Current"/>
    <s v="ana.scotti"/>
    <x v="0"/>
    <x v="0"/>
    <x v="0"/>
  </r>
  <r>
    <s v="Sales order revenue"/>
    <d v="2026-02-10T00:00:00"/>
    <s v="SUPER MEDIA S.A"/>
    <s v="30716209551"/>
    <m/>
    <m/>
    <s v="SOIAR-000016504, 30716209551, SUPER MEDIA S.A"/>
    <s v="SOIAR-000016504"/>
    <s v="4101011200-Twitter-ARG-IARG-ARG-Rep"/>
    <s v="GJT224030"/>
    <s v="IARG_CI_00018493"/>
    <d v="2026-02-10T00:00:00"/>
    <s v="4101011200-Twitter-ARG-IARG-ARG-Rep"/>
    <s v="4101011200"/>
    <s v="Representation"/>
    <x v="0"/>
    <n v="0"/>
    <n v="0"/>
    <n v="22.96"/>
    <s v="Current"/>
    <s v="ana.scotti"/>
    <x v="0"/>
    <x v="0"/>
    <x v="0"/>
  </r>
  <r>
    <s v="Sales - packing slip revenue"/>
    <d v="2026-02-10T00:00:00"/>
    <s v="SUPER MEDIA S.A"/>
    <s v="30716209551"/>
    <m/>
    <m/>
    <s v="SOIAR-000016504, 30716209551, SUPER MEDIA S.A"/>
    <s v="SOIAR-000016504"/>
    <s v="4101011200-Twitter-ARG-IARG-ARG-Rep"/>
    <s v="GJT224030"/>
    <s v="IARG_CI_00018493"/>
    <d v="2026-02-10T00:00:00"/>
    <s v="4101011200-Twitter-ARG-IARG-ARG-Rep"/>
    <s v="4101011200"/>
    <s v="Representation"/>
    <x v="0"/>
    <n v="3153925.53"/>
    <n v="3153925.53"/>
    <n v="2179.04"/>
    <s v="Current"/>
    <s v="ana.scotti"/>
    <x v="0"/>
    <x v="0"/>
    <x v="0"/>
  </r>
  <r>
    <s v="Sales order revenue"/>
    <d v="2026-02-10T00:00:00"/>
    <s v="WEDOIT S.R.L."/>
    <s v="30711620857"/>
    <m/>
    <m/>
    <s v="SOIAR-000016494, 30711620857, WEDOIT S.R.L."/>
    <s v="SOIAR-000016494"/>
    <s v="4101011200-Twitter-ARG-IARG-ARG-Rep"/>
    <s v="GJT224025"/>
    <s v="IARG_CI_00018488"/>
    <d v="2026-02-10T00:00:00"/>
    <s v="4101011200-Twitter-ARG-IARG-ARG-Rep"/>
    <s v="4101011200"/>
    <s v="Representation"/>
    <x v="0"/>
    <n v="-690638.53"/>
    <n v="-690638.53"/>
    <n v="-482.19"/>
    <s v="Current"/>
    <s v="ana.scotti"/>
    <x v="0"/>
    <x v="0"/>
    <x v="0"/>
  </r>
  <r>
    <s v="Sales order revenue"/>
    <d v="2026-02-10T00:00:00"/>
    <s v="WEDOIT S.R.L."/>
    <s v="30711620857"/>
    <m/>
    <m/>
    <s v="SOIAR-000016494, 30711620857, WEDOIT S.R.L."/>
    <s v="SOIAR-000016494"/>
    <s v="4101011200-Twitter-ARG-IARG-ARG-Rep"/>
    <s v="GJT224025"/>
    <s v="IARG_CI_00018488"/>
    <d v="2026-02-10T00:00:00"/>
    <s v="4101011200-Twitter-ARG-IARG-ARG-Rep"/>
    <s v="4101011200"/>
    <s v="Representation"/>
    <x v="0"/>
    <n v="0"/>
    <n v="0"/>
    <n v="5.03"/>
    <s v="Current"/>
    <s v="ana.scotti"/>
    <x v="0"/>
    <x v="0"/>
    <x v="0"/>
  </r>
  <r>
    <s v="Sales - packing slip revenue"/>
    <d v="2026-02-10T00:00:00"/>
    <s v="WEDOIT S.R.L."/>
    <s v="30711620857"/>
    <m/>
    <m/>
    <s v="SOIAR-000016494, 30711620857, WEDOIT S.R.L."/>
    <s v="SOIAR-000016494"/>
    <s v="4101011200-Twitter-ARG-IARG-ARG-Rep"/>
    <s v="GJT224025"/>
    <s v="IARG_CI_00018488"/>
    <d v="2026-02-10T00:00:00"/>
    <s v="4101011200-Twitter-ARG-IARG-ARG-Rep"/>
    <s v="4101011200"/>
    <s v="Representation"/>
    <x v="0"/>
    <n v="690638.53"/>
    <n v="690638.53"/>
    <n v="477.16"/>
    <s v="Current"/>
    <s v="ana.scotti"/>
    <x v="0"/>
    <x v="0"/>
    <x v="0"/>
  </r>
  <r>
    <s v="Sales order revenue"/>
    <d v="2026-02-10T00:00:00"/>
    <s v="WILD FI ARGENTINA S.A."/>
    <s v="30715907948"/>
    <m/>
    <m/>
    <s v="SOIAR-000016493, 30715907948, WILD FI ARGENTINA S.A."/>
    <s v="SOIAR-000016493"/>
    <s v="4101011200-Twitter-ALL-IARG-ARG-Rep"/>
    <s v="GJT224024"/>
    <s v="IARG_CI_00018487"/>
    <d v="2026-02-10T00:00:00"/>
    <s v="4101011200-Twitter-ALL-IARG-ARG-Rep"/>
    <s v="4101011200"/>
    <s v="Representation"/>
    <x v="0"/>
    <n v="-930000"/>
    <n v="-930000"/>
    <n v="-649.30999999999995"/>
    <s v="Current"/>
    <s v="ana.scotti"/>
    <x v="0"/>
    <x v="0"/>
    <x v="0"/>
  </r>
  <r>
    <s v="Sales order revenue"/>
    <d v="2026-02-10T00:00:00"/>
    <s v="WILD FI ARGENTINA S.A."/>
    <s v="30715907948"/>
    <m/>
    <m/>
    <s v="SOIAR-000016493, 30715907948, WILD FI ARGENTINA S.A."/>
    <s v="SOIAR-000016493"/>
    <s v="4101011200-Twitter-ALL-IARG-ARG-Rep"/>
    <s v="GJT224024"/>
    <s v="IARG_CI_00018487"/>
    <d v="2026-02-10T00:00:00"/>
    <s v="4101011200-Twitter-ALL-IARG-ARG-Rep"/>
    <s v="4101011200"/>
    <s v="Representation"/>
    <x v="0"/>
    <n v="0"/>
    <n v="0"/>
    <n v="6.78"/>
    <s v="Current"/>
    <s v="ana.scotti"/>
    <x v="0"/>
    <x v="0"/>
    <x v="0"/>
  </r>
  <r>
    <s v="Sales - packing slip revenue"/>
    <d v="2026-02-10T00:00:00"/>
    <s v="WILD FI ARGENTINA S.A."/>
    <s v="30715907948"/>
    <m/>
    <m/>
    <s v="SOIAR-000016493, 30715907948, WILD FI ARGENTINA S.A."/>
    <s v="SOIAR-000016493"/>
    <s v="4101011200-Twitter-ALL-IARG-ARG-Rep"/>
    <s v="GJT224024"/>
    <s v="IARG_CI_00018487"/>
    <d v="2026-02-10T00:00:00"/>
    <s v="4101011200-Twitter-ALL-IARG-ARG-Rep"/>
    <s v="4101011200"/>
    <s v="Representation"/>
    <x v="0"/>
    <n v="930000"/>
    <n v="930000"/>
    <n v="642.53"/>
    <s v="Current"/>
    <s v="ana.scotti"/>
    <x v="0"/>
    <x v="0"/>
    <x v="0"/>
  </r>
  <r>
    <s v="Sales order revenue"/>
    <d v="2026-02-10T00:00:00"/>
    <s v="Wobra S.A.S."/>
    <s v="33716040149"/>
    <m/>
    <m/>
    <s v="SOIAR-000002794, 33716040149, Wobra S.A.S."/>
    <s v="SOIAR-000002794"/>
    <s v="4101011200-Twitter-ARG-IARG-ARG-Rep"/>
    <s v="GJT224023"/>
    <s v="IARG_CI_00018486"/>
    <d v="2026-02-10T00:00:00"/>
    <s v="4101011200-Twitter-ARG-IARG-ARG-Rep"/>
    <s v="4101011200"/>
    <s v="Representation"/>
    <x v="0"/>
    <n v="-2485711.7599999998"/>
    <n v="-2485711.7599999998"/>
    <n v="-1735.47"/>
    <s v="Current"/>
    <s v="ana.scotti"/>
    <x v="0"/>
    <x v="0"/>
    <x v="0"/>
  </r>
  <r>
    <s v="Sales order revenue"/>
    <d v="2026-02-10T00:00:00"/>
    <s v="Wobra S.A.S."/>
    <s v="33716040149"/>
    <m/>
    <m/>
    <s v="SOIAR-000002794, 33716040149, Wobra S.A.S."/>
    <s v="SOIAR-000002794"/>
    <s v="4101011200-Twitter-ARG-IARG-ARG-Rep"/>
    <s v="GJT224023"/>
    <s v="IARG_CI_00018486"/>
    <d v="2026-02-10T00:00:00"/>
    <s v="4101011200-Twitter-ARG-IARG-ARG-Rep"/>
    <s v="4101011200"/>
    <s v="Representation"/>
    <x v="0"/>
    <n v="0"/>
    <n v="0"/>
    <n v="18.100000000000001"/>
    <s v="Current"/>
    <s v="ana.scotti"/>
    <x v="0"/>
    <x v="0"/>
    <x v="0"/>
  </r>
  <r>
    <s v="Sales - packing slip revenue"/>
    <d v="2026-02-10T00:00:00"/>
    <s v="Wobra S.A.S."/>
    <s v="33716040149"/>
    <m/>
    <m/>
    <s v="SOIAR-000002794, 33716040149, Wobra S.A.S."/>
    <s v="SOIAR-000002794"/>
    <s v="4101011200-Twitter-ARG-IARG-ARG-Rep"/>
    <s v="GJT224023"/>
    <s v="IARG_CI_00018486"/>
    <d v="2026-02-10T00:00:00"/>
    <s v="4101011200-Twitter-ARG-IARG-ARG-Rep"/>
    <s v="4101011200"/>
    <s v="Representation"/>
    <x v="0"/>
    <n v="2485711.7599999998"/>
    <n v="2485711.7599999998"/>
    <n v="1717.37"/>
    <s v="Current"/>
    <s v="ana.scotti"/>
    <x v="0"/>
    <x v="0"/>
    <x v="0"/>
  </r>
  <r>
    <s v="Sales order revenue"/>
    <d v="2026-02-10T00:00:00"/>
    <s v="FINTECH SOCIEDAD ANONIMA"/>
    <s v="30716342790"/>
    <m/>
    <m/>
    <s v="SOIAR-000005460, 30716342790, FINTECH SOCIEDAD ANONIMA"/>
    <s v="SOIAR-000005460"/>
    <s v="4101011200-Twitter-ARG-IARG-ARG-Rep"/>
    <s v="GJT223839"/>
    <s v="IARG_CI_00018480"/>
    <d v="2026-02-10T00:00:00"/>
    <s v="4101011200-Twitter-ARG-IARG-ARG-Rep"/>
    <s v="4101011200"/>
    <s v="Representation"/>
    <x v="0"/>
    <n v="-1755143.03"/>
    <n v="-1755143.03"/>
    <n v="-1225.4000000000001"/>
    <s v="Current"/>
    <s v="ana.scotti"/>
    <x v="0"/>
    <x v="0"/>
    <x v="0"/>
  </r>
  <r>
    <s v="Sales order revenue"/>
    <d v="2026-02-10T00:00:00"/>
    <s v="FINTECH SOCIEDAD ANONIMA"/>
    <s v="30716342790"/>
    <m/>
    <m/>
    <s v="SOIAR-000005460, 30716342790, FINTECH SOCIEDAD ANONIMA"/>
    <s v="SOIAR-000005460"/>
    <s v="4101011200-Twitter-ARG-IARG-ARG-Rep"/>
    <s v="GJT223839"/>
    <s v="IARG_CI_00018480"/>
    <d v="2026-02-10T00:00:00"/>
    <s v="4101011200-Twitter-ARG-IARG-ARG-Rep"/>
    <s v="4101011200"/>
    <s v="Representation"/>
    <x v="0"/>
    <n v="0"/>
    <n v="0"/>
    <n v="12.78"/>
    <s v="Current"/>
    <s v="ana.scotti"/>
    <x v="0"/>
    <x v="0"/>
    <x v="0"/>
  </r>
  <r>
    <s v="Sales - packing slip revenue"/>
    <d v="2026-02-10T00:00:00"/>
    <s v="FINTECH SOCIEDAD ANONIMA"/>
    <s v="30716342790"/>
    <m/>
    <m/>
    <s v="SOIAR-000005460, 30716342790, FINTECH SOCIEDAD ANONIMA"/>
    <s v="SOIAR-000005460"/>
    <s v="4101011200-Twitter-ARG-IARG-ARG-Rep"/>
    <s v="GJT223839"/>
    <s v="IARG_CI_00018480"/>
    <d v="2026-02-10T00:00:00"/>
    <s v="4101011200-Twitter-ARG-IARG-ARG-Rep"/>
    <s v="4101011200"/>
    <s v="Representation"/>
    <x v="0"/>
    <n v="1755143.03"/>
    <n v="1755143.03"/>
    <n v="1212.6199999999999"/>
    <s v="Current"/>
    <s v="ana.scotti"/>
    <x v="0"/>
    <x v="0"/>
    <x v="0"/>
  </r>
  <r>
    <s v="Sales order revenue"/>
    <d v="2026-02-10T00:00:00"/>
    <s v="Encender S.A."/>
    <s v="33707344089"/>
    <m/>
    <m/>
    <s v="SOIAR-000004457, 33707344089, Encender S.A."/>
    <s v="SOIAR-000004457"/>
    <s v="4101011200-Twitter-ARG-IARG-ARG-Rep"/>
    <s v="GJT223837"/>
    <s v="IARG_CI_00018479"/>
    <d v="2026-02-10T00:00:00"/>
    <s v="4101011200-Twitter-ARG-IARG-ARG-Rep"/>
    <s v="4101011200"/>
    <s v="Representation"/>
    <x v="0"/>
    <n v="-600340.42000000004"/>
    <n v="-600340.42000000004"/>
    <n v="-419.15"/>
    <s v="Current"/>
    <s v="ana.scotti"/>
    <x v="0"/>
    <x v="0"/>
    <x v="0"/>
  </r>
  <r>
    <s v="Sales order revenue"/>
    <d v="2026-02-10T00:00:00"/>
    <s v="Encender S.A."/>
    <s v="33707344089"/>
    <m/>
    <m/>
    <s v="SOIAR-000004457, 33707344089, Encender S.A."/>
    <s v="SOIAR-000004457"/>
    <s v="4101011200-Twitter-ARG-IARG-ARG-Rep"/>
    <s v="GJT223837"/>
    <s v="IARG_CI_00018479"/>
    <d v="2026-02-10T00:00:00"/>
    <s v="4101011200-Twitter-ARG-IARG-ARG-Rep"/>
    <s v="4101011200"/>
    <s v="Representation"/>
    <x v="0"/>
    <n v="0"/>
    <n v="0"/>
    <n v="4.37"/>
    <s v="Current"/>
    <s v="ana.scotti"/>
    <x v="0"/>
    <x v="0"/>
    <x v="0"/>
  </r>
  <r>
    <s v="Sales - packing slip revenue"/>
    <d v="2026-02-10T00:00:00"/>
    <s v="Encender S.A."/>
    <s v="33707344089"/>
    <m/>
    <m/>
    <s v="SOIAR-000004457, 33707344089, Encender S.A."/>
    <s v="SOIAR-000004457"/>
    <s v="4101011200-Twitter-ARG-IARG-ARG-Rep"/>
    <s v="GJT223837"/>
    <s v="IARG_CI_00018479"/>
    <d v="2026-02-10T00:00:00"/>
    <s v="4101011200-Twitter-ARG-IARG-ARG-Rep"/>
    <s v="4101011200"/>
    <s v="Representation"/>
    <x v="0"/>
    <n v="600340.42000000004"/>
    <n v="600340.42000000004"/>
    <n v="414.78"/>
    <s v="Current"/>
    <s v="ana.scotti"/>
    <x v="0"/>
    <x v="0"/>
    <x v="0"/>
  </r>
  <r>
    <s v="Sales order revenue"/>
    <d v="2026-02-10T00:00:00"/>
    <s v="Digital Soul SA"/>
    <s v="30715825852"/>
    <m/>
    <m/>
    <s v="SOIAR-000016490, 30715825852, Digital Soul SA"/>
    <s v="SOIAR-000016490"/>
    <s v="4101011200-Twitter-ARG-IARG-ARG-Rep"/>
    <s v="GJT223835"/>
    <s v="IARG_CI_00018477"/>
    <d v="2026-02-10T00:00:00"/>
    <s v="4101011200-Twitter-ARG-IARG-ARG-Rep"/>
    <s v="4101011200"/>
    <s v="Representation"/>
    <x v="0"/>
    <n v="-2497560.9900000002"/>
    <n v="-2497560.9900000002"/>
    <n v="-1743.74"/>
    <s v="Current"/>
    <s v="ana.scotti"/>
    <x v="0"/>
    <x v="0"/>
    <x v="0"/>
  </r>
  <r>
    <s v="Sales order revenue"/>
    <d v="2026-02-10T00:00:00"/>
    <s v="Digital Soul SA"/>
    <s v="30715825852"/>
    <m/>
    <m/>
    <s v="SOIAR-000016490, 30715825852, Digital Soul SA"/>
    <s v="SOIAR-000016490"/>
    <s v="4101011200-Twitter-ARG-IARG-ARG-Rep"/>
    <s v="GJT223835"/>
    <s v="IARG_CI_00018477"/>
    <d v="2026-02-10T00:00:00"/>
    <s v="4101011200-Twitter-ARG-IARG-ARG-Rep"/>
    <s v="4101011200"/>
    <s v="Representation"/>
    <x v="0"/>
    <n v="0"/>
    <n v="0"/>
    <n v="18.18"/>
    <s v="Current"/>
    <s v="ana.scotti"/>
    <x v="0"/>
    <x v="0"/>
    <x v="0"/>
  </r>
  <r>
    <s v="Sales - packing slip revenue"/>
    <d v="2026-02-10T00:00:00"/>
    <s v="Digital Soul SA"/>
    <s v="30715825852"/>
    <m/>
    <m/>
    <s v="SOIAR-000016490, 30715825852, Digital Soul SA"/>
    <s v="SOIAR-000016490"/>
    <s v="4101011200-Twitter-ARG-IARG-ARG-Rep"/>
    <s v="GJT223835"/>
    <s v="IARG_CI_00018477"/>
    <d v="2026-02-10T00:00:00"/>
    <s v="4101011200-Twitter-ARG-IARG-ARG-Rep"/>
    <s v="4101011200"/>
    <s v="Representation"/>
    <x v="0"/>
    <n v="2497560.9900000002"/>
    <n v="2497560.9900000002"/>
    <n v="1725.56"/>
    <s v="Current"/>
    <s v="ana.scotti"/>
    <x v="0"/>
    <x v="0"/>
    <x v="0"/>
  </r>
  <r>
    <s v="Sales order revenue"/>
    <d v="2026-02-10T00:00:00"/>
    <s v="DIGITAL HIVE GROUP S.A."/>
    <s v="30715225537"/>
    <m/>
    <m/>
    <s v="SOIAR-000016481, 30715225537, DIGITAL HIVE GROUP S.A."/>
    <s v="SOIAR-000016481"/>
    <s v="4101011200-Twitter-ARG-IARG-ARG-Rep"/>
    <s v="GJT223834"/>
    <s v="IARG_CI_00018476"/>
    <d v="2026-02-10T00:00:00"/>
    <s v="4101011200-Twitter-ARG-IARG-ARG-Rep"/>
    <s v="4101011200"/>
    <s v="Representation"/>
    <x v="0"/>
    <n v="-3447016.51"/>
    <n v="-3447016.51"/>
    <n v="-2406.63"/>
    <s v="Current"/>
    <s v="ana.scotti"/>
    <x v="0"/>
    <x v="0"/>
    <x v="0"/>
  </r>
  <r>
    <s v="Sales order revenue"/>
    <d v="2026-02-10T00:00:00"/>
    <s v="DIGITAL HIVE GROUP S.A."/>
    <s v="30715225537"/>
    <m/>
    <m/>
    <s v="SOIAR-000016481, 30715225537, DIGITAL HIVE GROUP S.A."/>
    <s v="SOIAR-000016481"/>
    <s v="4101011200-Twitter-ARG-IARG-ARG-Rep"/>
    <s v="GJT223834"/>
    <s v="IARG_CI_00018476"/>
    <d v="2026-02-10T00:00:00"/>
    <s v="4101011200-Twitter-ARG-IARG-ARG-Rep"/>
    <s v="4101011200"/>
    <s v="Representation"/>
    <x v="0"/>
    <n v="0"/>
    <n v="0"/>
    <n v="25.1"/>
    <s v="Current"/>
    <s v="ana.scotti"/>
    <x v="0"/>
    <x v="0"/>
    <x v="0"/>
  </r>
  <r>
    <s v="Sales - packing slip revenue"/>
    <d v="2026-02-10T00:00:00"/>
    <s v="DIGITAL HIVE GROUP S.A."/>
    <s v="30715225537"/>
    <m/>
    <m/>
    <s v="SOIAR-000016481, 30715225537, DIGITAL HIVE GROUP S.A."/>
    <s v="SOIAR-000016481"/>
    <s v="4101011200-Twitter-ARG-IARG-ARG-Rep"/>
    <s v="GJT223834"/>
    <s v="IARG_CI_00018476"/>
    <d v="2026-02-10T00:00:00"/>
    <s v="4101011200-Twitter-ARG-IARG-ARG-Rep"/>
    <s v="4101011200"/>
    <s v="Representation"/>
    <x v="0"/>
    <n v="3447016.51"/>
    <n v="3447016.51"/>
    <n v="2381.5300000000002"/>
    <s v="Current"/>
    <s v="ana.scotti"/>
    <x v="0"/>
    <x v="0"/>
    <x v="0"/>
  </r>
  <r>
    <s v="Sales order revenue"/>
    <d v="2026-02-10T00:00:00"/>
    <s v="DIGITAL HIVE GROUP S.A."/>
    <s v="30715225537"/>
    <m/>
    <m/>
    <s v="SOIAR-000016478, 30715225537, DIGITAL HIVE GROUP S.A."/>
    <s v="SOIAR-000016478"/>
    <s v="4101011200-Twitter-ARG-IARG-ARG-Rep"/>
    <s v="GJT223833"/>
    <s v="IARG_CI_00018475"/>
    <d v="2026-02-10T00:00:00"/>
    <s v="4101011200-Twitter-ARG-IARG-ARG-Rep"/>
    <s v="4101011200"/>
    <s v="Representation"/>
    <x v="0"/>
    <n v="-2430435.27"/>
    <n v="-2430435.27"/>
    <n v="-1696.88"/>
    <s v="Current"/>
    <s v="ana.scotti"/>
    <x v="0"/>
    <x v="0"/>
    <x v="0"/>
  </r>
  <r>
    <s v="Sales order revenue"/>
    <d v="2026-02-10T00:00:00"/>
    <s v="DIGITAL HIVE GROUP S.A."/>
    <s v="30715225537"/>
    <m/>
    <m/>
    <s v="SOIAR-000016478, 30715225537, DIGITAL HIVE GROUP S.A."/>
    <s v="SOIAR-000016478"/>
    <s v="4101011200-Twitter-ARG-IARG-ARG-Rep"/>
    <s v="GJT223833"/>
    <s v="IARG_CI_00018475"/>
    <d v="2026-02-10T00:00:00"/>
    <s v="4101011200-Twitter-ARG-IARG-ARG-Rep"/>
    <s v="4101011200"/>
    <s v="Representation"/>
    <x v="0"/>
    <n v="0"/>
    <n v="0"/>
    <n v="17.7"/>
    <s v="Current"/>
    <s v="ana.scotti"/>
    <x v="0"/>
    <x v="0"/>
    <x v="0"/>
  </r>
  <r>
    <s v="Sales - packing slip revenue"/>
    <d v="2026-02-10T00:00:00"/>
    <s v="DIGITAL HIVE GROUP S.A."/>
    <s v="30715225537"/>
    <m/>
    <m/>
    <s v="SOIAR-000016478, 30715225537, DIGITAL HIVE GROUP S.A."/>
    <s v="SOIAR-000016478"/>
    <s v="4101011200-Twitter-ARG-IARG-ARG-Rep"/>
    <s v="GJT223833"/>
    <s v="IARG_CI_00018475"/>
    <d v="2026-02-10T00:00:00"/>
    <s v="4101011200-Twitter-ARG-IARG-ARG-Rep"/>
    <s v="4101011200"/>
    <s v="Representation"/>
    <x v="0"/>
    <n v="2430435.27"/>
    <n v="2430435.27"/>
    <n v="1679.18"/>
    <s v="Current"/>
    <s v="ana.scotti"/>
    <x v="0"/>
    <x v="0"/>
    <x v="0"/>
  </r>
  <r>
    <s v="Sales order revenue"/>
    <d v="2026-02-10T00:00:00"/>
    <s v="DIGITAL HIVE GROUP S.A."/>
    <s v="30715225537"/>
    <m/>
    <m/>
    <s v="SOIAR-000016479, 30715225537, DIGITAL HIVE GROUP S.A."/>
    <s v="SOIAR-000016479"/>
    <s v="4101011200-Twitter-ARG-IARG-ARG-Rep"/>
    <s v="GJT223828"/>
    <s v="IARG_CI_00018474"/>
    <d v="2026-02-10T00:00:00"/>
    <s v="4101011200-Twitter-ARG-IARG-ARG-Rep"/>
    <s v="4101011200"/>
    <s v="Representation"/>
    <x v="0"/>
    <n v="-725907.62"/>
    <n v="-725907.62"/>
    <n v="-506.81"/>
    <s v="Current"/>
    <s v="ana.scotti"/>
    <x v="0"/>
    <x v="0"/>
    <x v="0"/>
  </r>
  <r>
    <s v="Sales order revenue"/>
    <d v="2026-02-10T00:00:00"/>
    <s v="DIGITAL HIVE GROUP S.A."/>
    <s v="30715225537"/>
    <m/>
    <m/>
    <s v="SOIAR-000016479, 30715225537, DIGITAL HIVE GROUP S.A."/>
    <s v="SOIAR-000016479"/>
    <s v="4101011200-Twitter-ARG-IARG-ARG-Rep"/>
    <s v="GJT223828"/>
    <s v="IARG_CI_00018474"/>
    <d v="2026-02-10T00:00:00"/>
    <s v="4101011200-Twitter-ARG-IARG-ARG-Rep"/>
    <s v="4101011200"/>
    <s v="Representation"/>
    <x v="0"/>
    <n v="0"/>
    <n v="0"/>
    <n v="5.28"/>
    <s v="Current"/>
    <s v="ana.scotti"/>
    <x v="0"/>
    <x v="0"/>
    <x v="0"/>
  </r>
  <r>
    <s v="Sales - packing slip revenue"/>
    <d v="2026-02-10T00:00:00"/>
    <s v="DIGITAL HIVE GROUP S.A."/>
    <s v="30715225537"/>
    <m/>
    <m/>
    <s v="SOIAR-000016479, 30715225537, DIGITAL HIVE GROUP S.A."/>
    <s v="SOIAR-000016479"/>
    <s v="4101011200-Twitter-ARG-IARG-ARG-Rep"/>
    <s v="GJT223828"/>
    <s v="IARG_CI_00018474"/>
    <d v="2026-02-10T00:00:00"/>
    <s v="4101011200-Twitter-ARG-IARG-ARG-Rep"/>
    <s v="4101011200"/>
    <s v="Representation"/>
    <x v="0"/>
    <n v="725907.62"/>
    <n v="725907.62"/>
    <n v="501.53"/>
    <s v="Current"/>
    <s v="ana.scotti"/>
    <x v="0"/>
    <x v="0"/>
    <x v="0"/>
  </r>
  <r>
    <s v="Sales order revenue"/>
    <d v="2026-02-10T00:00:00"/>
    <s v="DIGITAL HIVE GROUP S.A."/>
    <s v="30715225537"/>
    <m/>
    <m/>
    <s v="SOIAR-000016476, 30715225537, DIGITAL HIVE GROUP S.A."/>
    <s v="SOIAR-000016476"/>
    <s v="4101011200-Twitter-ARG-IARG-ARG-Rep"/>
    <s v="GJT223827"/>
    <s v="IARG_CI_00018473"/>
    <d v="2026-02-10T00:00:00"/>
    <s v="4101011200-Twitter-ARG-IARG-ARG-Rep"/>
    <s v="4101011200"/>
    <s v="Representation"/>
    <x v="0"/>
    <n v="-10613094.800000001"/>
    <n v="-10613094.800000001"/>
    <n v="-7409.84"/>
    <s v="Current"/>
    <s v="ana.scotti"/>
    <x v="0"/>
    <x v="0"/>
    <x v="0"/>
  </r>
  <r>
    <s v="Sales order revenue"/>
    <d v="2026-02-10T00:00:00"/>
    <s v="DIGITAL HIVE GROUP S.A."/>
    <s v="30715225537"/>
    <m/>
    <m/>
    <s v="SOIAR-000016476, 30715225537, DIGITAL HIVE GROUP S.A."/>
    <s v="SOIAR-000016476"/>
    <s v="4101011200-Twitter-ARG-IARG-ARG-Rep"/>
    <s v="GJT223827"/>
    <s v="IARG_CI_00018473"/>
    <d v="2026-02-10T00:00:00"/>
    <s v="4101011200-Twitter-ARG-IARG-ARG-Rep"/>
    <s v="4101011200"/>
    <s v="Representation"/>
    <x v="0"/>
    <n v="0"/>
    <n v="0"/>
    <n v="77.290000000000006"/>
    <s v="Current"/>
    <s v="ana.scotti"/>
    <x v="0"/>
    <x v="0"/>
    <x v="0"/>
  </r>
  <r>
    <s v="Sales - packing slip revenue"/>
    <d v="2026-02-10T00:00:00"/>
    <s v="DIGITAL HIVE GROUP S.A."/>
    <s v="30715225537"/>
    <m/>
    <m/>
    <s v="SOIAR-000016476, 30715225537, DIGITAL HIVE GROUP S.A."/>
    <s v="SOIAR-000016476"/>
    <s v="4101011200-Twitter-ARG-IARG-ARG-Rep"/>
    <s v="GJT223827"/>
    <s v="IARG_CI_00018473"/>
    <d v="2026-02-10T00:00:00"/>
    <s v="4101011200-Twitter-ARG-IARG-ARG-Rep"/>
    <s v="4101011200"/>
    <s v="Representation"/>
    <x v="0"/>
    <n v="10613094.800000001"/>
    <n v="10613094.800000001"/>
    <n v="7332.55"/>
    <s v="Current"/>
    <s v="ana.scotti"/>
    <x v="0"/>
    <x v="0"/>
    <x v="0"/>
  </r>
  <r>
    <s v="Sales order revenue"/>
    <d v="2026-02-10T00:00:00"/>
    <s v="DIGITAL HIVE GROUP S.A."/>
    <s v="30715225537"/>
    <m/>
    <m/>
    <s v="SOIAR-000016491, 30715225537, DIGITAL HIVE GROUP S.A."/>
    <s v="SOIAR-000016491"/>
    <s v="4101011200-Twitter-ARG-IARG-ARG-Rep"/>
    <s v="GJT223826"/>
    <s v="IARG_CI_00018472"/>
    <d v="2026-02-10T00:00:00"/>
    <s v="4101011200-Twitter-ARG-IARG-ARG-Rep"/>
    <s v="4101011200"/>
    <s v="Representation"/>
    <x v="0"/>
    <n v="-1000000"/>
    <n v="-1000000"/>
    <n v="-698.18"/>
    <s v="Current"/>
    <s v="ana.scotti"/>
    <x v="0"/>
    <x v="0"/>
    <x v="0"/>
  </r>
  <r>
    <s v="Sales order revenue"/>
    <d v="2026-02-10T00:00:00"/>
    <s v="DIGITAL HIVE GROUP S.A."/>
    <s v="30715225537"/>
    <m/>
    <m/>
    <s v="SOIAR-000016491, 30715225537, DIGITAL HIVE GROUP S.A."/>
    <s v="SOIAR-000016491"/>
    <s v="4101011200-Twitter-ARG-IARG-ARG-Rep"/>
    <s v="GJT223826"/>
    <s v="IARG_CI_00018472"/>
    <d v="2026-02-10T00:00:00"/>
    <s v="4101011200-Twitter-ARG-IARG-ARG-Rep"/>
    <s v="4101011200"/>
    <s v="Representation"/>
    <x v="0"/>
    <n v="0"/>
    <n v="0"/>
    <n v="7.28"/>
    <s v="Current"/>
    <s v="ana.scotti"/>
    <x v="0"/>
    <x v="0"/>
    <x v="0"/>
  </r>
  <r>
    <s v="Sales - packing slip revenue"/>
    <d v="2026-02-10T00:00:00"/>
    <s v="DIGITAL HIVE GROUP S.A."/>
    <s v="30715225537"/>
    <m/>
    <m/>
    <s v="SOIAR-000016491, 30715225537, DIGITAL HIVE GROUP S.A."/>
    <s v="SOIAR-000016491"/>
    <s v="4101011200-Twitter-ARG-IARG-ARG-Rep"/>
    <s v="GJT223826"/>
    <s v="IARG_CI_00018472"/>
    <d v="2026-02-10T00:00:00"/>
    <s v="4101011200-Twitter-ARG-IARG-ARG-Rep"/>
    <s v="4101011200"/>
    <s v="Representation"/>
    <x v="0"/>
    <n v="1000000"/>
    <n v="1000000"/>
    <n v="690.9"/>
    <s v="Current"/>
    <s v="ana.scotti"/>
    <x v="0"/>
    <x v="0"/>
    <x v="0"/>
  </r>
  <r>
    <s v="Sales order revenue"/>
    <d v="2026-02-10T00:00:00"/>
    <s v="Cocos Capital SA"/>
    <s v="30708424478"/>
    <m/>
    <m/>
    <s v="SOIAR-000008235, 30708424478, Cocos Capital SA"/>
    <s v="SOIAR-000008235"/>
    <s v="4101011200-Twitter-ARG-IARG-ARG-Rep"/>
    <s v="GJT223822"/>
    <s v="IARG_CI_00018471"/>
    <d v="2026-02-10T00:00:00"/>
    <s v="4101011200-Twitter-ARG-IARG-ARG-Rep"/>
    <s v="4101011200"/>
    <s v="Representation"/>
    <x v="0"/>
    <n v="-2801604.45"/>
    <n v="-2801604.45"/>
    <n v="-1956.02"/>
    <s v="Current"/>
    <s v="ana.scotti"/>
    <x v="0"/>
    <x v="0"/>
    <x v="0"/>
  </r>
  <r>
    <s v="Sales order revenue"/>
    <d v="2026-02-10T00:00:00"/>
    <s v="Cocos Capital SA"/>
    <s v="30708424478"/>
    <m/>
    <m/>
    <s v="SOIAR-000008235, 30708424478, Cocos Capital SA"/>
    <s v="SOIAR-000008235"/>
    <s v="4101011200-Twitter-ARG-IARG-ARG-Rep"/>
    <s v="GJT223822"/>
    <s v="IARG_CI_00018471"/>
    <d v="2026-02-10T00:00:00"/>
    <s v="4101011200-Twitter-ARG-IARG-ARG-Rep"/>
    <s v="4101011200"/>
    <s v="Representation"/>
    <x v="0"/>
    <n v="0"/>
    <n v="0"/>
    <n v="20.399999999999999"/>
    <s v="Current"/>
    <s v="ana.scotti"/>
    <x v="0"/>
    <x v="0"/>
    <x v="0"/>
  </r>
  <r>
    <s v="Sales - packing slip revenue"/>
    <d v="2026-02-10T00:00:00"/>
    <s v="Cocos Capital SA"/>
    <s v="30708424478"/>
    <m/>
    <m/>
    <s v="SOIAR-000008235, 30708424478, Cocos Capital SA"/>
    <s v="SOIAR-000008235"/>
    <s v="4101011200-Twitter-ARG-IARG-ARG-Rep"/>
    <s v="GJT223822"/>
    <s v="IARG_CI_00018471"/>
    <d v="2026-02-10T00:00:00"/>
    <s v="4101011200-Twitter-ARG-IARG-ARG-Rep"/>
    <s v="4101011200"/>
    <s v="Representation"/>
    <x v="0"/>
    <n v="2801604.45"/>
    <n v="2801604.45"/>
    <n v="1935.62"/>
    <s v="Current"/>
    <s v="ana.scotti"/>
    <x v="0"/>
    <x v="0"/>
    <x v="0"/>
  </r>
  <r>
    <s v="Sales order revenue"/>
    <d v="2026-02-10T00:00:00"/>
    <s v="Bullmetrix SRL"/>
    <s v="30715554530"/>
    <m/>
    <m/>
    <s v="SOIAR-000004486, 30715554530, Bullmetrix SRL"/>
    <s v="SOIAR-000004486"/>
    <s v="4101011200-Twitter-ARG-IARG-ARG-Rep"/>
    <s v="GJT223821"/>
    <s v="IARG_CI_00018470"/>
    <d v="2026-02-10T00:00:00"/>
    <s v="4101011200-Twitter-ARG-IARG-ARG-Rep"/>
    <s v="4101011200"/>
    <s v="Representation"/>
    <x v="0"/>
    <n v="-5514278.2300000004"/>
    <n v="-5514278.2300000004"/>
    <n v="-3849.95"/>
    <s v="Current"/>
    <s v="ana.scotti"/>
    <x v="0"/>
    <x v="0"/>
    <x v="0"/>
  </r>
  <r>
    <s v="Sales order revenue"/>
    <d v="2026-02-10T00:00:00"/>
    <s v="Bullmetrix SRL"/>
    <s v="30715554530"/>
    <m/>
    <m/>
    <s v="SOIAR-000004486, 30715554530, Bullmetrix SRL"/>
    <s v="SOIAR-000004486"/>
    <s v="4101011200-Twitter-ARG-IARG-ARG-Rep"/>
    <s v="GJT223821"/>
    <s v="IARG_CI_00018470"/>
    <d v="2026-02-10T00:00:00"/>
    <s v="4101011200-Twitter-ARG-IARG-ARG-Rep"/>
    <s v="4101011200"/>
    <s v="Representation"/>
    <x v="0"/>
    <n v="0"/>
    <n v="0"/>
    <n v="40.15"/>
    <s v="Current"/>
    <s v="ana.scotti"/>
    <x v="0"/>
    <x v="0"/>
    <x v="0"/>
  </r>
  <r>
    <s v="Sales - packing slip revenue"/>
    <d v="2026-02-10T00:00:00"/>
    <s v="Bullmetrix SRL"/>
    <s v="30715554530"/>
    <m/>
    <m/>
    <s v="SOIAR-000004486, 30715554530, Bullmetrix SRL"/>
    <s v="SOIAR-000004486"/>
    <s v="4101011200-Twitter-ARG-IARG-ARG-Rep"/>
    <s v="GJT223821"/>
    <s v="IARG_CI_00018470"/>
    <d v="2026-02-10T00:00:00"/>
    <s v="4101011200-Twitter-ARG-IARG-ARG-Rep"/>
    <s v="4101011200"/>
    <s v="Representation"/>
    <x v="0"/>
    <n v="5514278.2300000004"/>
    <n v="5514278.2300000004"/>
    <n v="3809.8"/>
    <s v="Current"/>
    <s v="ana.scotti"/>
    <x v="0"/>
    <x v="0"/>
    <x v="0"/>
  </r>
  <r>
    <s v="Sales order revenue"/>
    <d v="2026-02-10T00:00:00"/>
    <s v="Bullmetrix SRL"/>
    <s v="30715554530"/>
    <m/>
    <m/>
    <s v="SOIAR-000015196, 30715554530, Bullmetrix SRL"/>
    <s v="SOIAR-000015196"/>
    <s v="4101011200-Twitter-ARG-IARG-ARG-Rep"/>
    <s v="GJT223820"/>
    <s v="IARG_CI_00018469"/>
    <d v="2026-02-10T00:00:00"/>
    <s v="4101011200-Twitter-ARG-IARG-ARG-Rep"/>
    <s v="4101011200"/>
    <s v="Representation"/>
    <x v="0"/>
    <n v="-1926896.74"/>
    <n v="-1926896.74"/>
    <n v="-1345.32"/>
    <s v="Current"/>
    <s v="ana.scotti"/>
    <x v="0"/>
    <x v="0"/>
    <x v="0"/>
  </r>
  <r>
    <s v="Sales order revenue"/>
    <d v="2026-02-10T00:00:00"/>
    <s v="Bullmetrix SRL"/>
    <s v="30715554530"/>
    <m/>
    <m/>
    <s v="SOIAR-000015196, 30715554530, Bullmetrix SRL"/>
    <s v="SOIAR-000015196"/>
    <s v="4101011200-Twitter-ARG-IARG-ARG-Rep"/>
    <s v="GJT223820"/>
    <s v="IARG_CI_00018469"/>
    <d v="2026-02-10T00:00:00"/>
    <s v="4101011200-Twitter-ARG-IARG-ARG-Rep"/>
    <s v="4101011200"/>
    <s v="Representation"/>
    <x v="0"/>
    <n v="0"/>
    <n v="0"/>
    <n v="14.03"/>
    <s v="Current"/>
    <s v="ana.scotti"/>
    <x v="0"/>
    <x v="0"/>
    <x v="0"/>
  </r>
  <r>
    <s v="Sales - packing slip revenue"/>
    <d v="2026-02-10T00:00:00"/>
    <s v="Bullmetrix SRL"/>
    <s v="30715554530"/>
    <m/>
    <m/>
    <s v="SOIAR-000015196, 30715554530, Bullmetrix SRL"/>
    <s v="SOIAR-000015196"/>
    <s v="4101011200-Twitter-ARG-IARG-ARG-Rep"/>
    <s v="GJT223820"/>
    <s v="IARG_CI_00018469"/>
    <d v="2026-02-10T00:00:00"/>
    <s v="4101011200-Twitter-ARG-IARG-ARG-Rep"/>
    <s v="4101011200"/>
    <s v="Representation"/>
    <x v="0"/>
    <n v="1926896.74"/>
    <n v="1926896.74"/>
    <n v="1331.29"/>
    <s v="Current"/>
    <s v="ana.scotti"/>
    <x v="0"/>
    <x v="0"/>
    <x v="0"/>
  </r>
  <r>
    <s v="Sales order revenue"/>
    <d v="2026-02-10T00:00:00"/>
    <s v="BRANDLIVE S.A."/>
    <s v="30709964360"/>
    <m/>
    <m/>
    <s v="SOIAR-000012331, 30709964360, BRANDLIVE S.A."/>
    <s v="SOIAR-000012331"/>
    <s v="4101011200-Twitter-ARG-IARG-ARG-Rep"/>
    <s v="GJT223819"/>
    <s v="IARG_CI_00018468"/>
    <d v="2026-02-10T00:00:00"/>
    <s v="4101011200-Twitter-ARG-IARG-ARG-Rep"/>
    <s v="4101011200"/>
    <s v="Representation"/>
    <x v="0"/>
    <n v="-9580.14"/>
    <n v="-9580.14"/>
    <n v="-6.69"/>
    <s v="Current"/>
    <s v="ana.scotti"/>
    <x v="0"/>
    <x v="0"/>
    <x v="0"/>
  </r>
  <r>
    <s v="Sales order revenue"/>
    <d v="2026-02-10T00:00:00"/>
    <s v="BRANDLIVE S.A."/>
    <s v="30709964360"/>
    <m/>
    <m/>
    <s v="SOIAR-000012331, 30709964360, BRANDLIVE S.A."/>
    <s v="SOIAR-000012331"/>
    <s v="4101011200-Twitter-ARG-IARG-ARG-Rep"/>
    <s v="GJT223819"/>
    <s v="IARG_CI_00018468"/>
    <d v="2026-02-10T00:00:00"/>
    <s v="4101011200-Twitter-ARG-IARG-ARG-Rep"/>
    <s v="4101011200"/>
    <s v="Representation"/>
    <x v="0"/>
    <n v="0"/>
    <n v="0"/>
    <n v="7.0000000000000007E-2"/>
    <s v="Current"/>
    <s v="ana.scotti"/>
    <x v="0"/>
    <x v="0"/>
    <x v="0"/>
  </r>
  <r>
    <s v="Sales - packing slip revenue"/>
    <d v="2026-02-10T00:00:00"/>
    <s v="BRANDLIVE S.A."/>
    <s v="30709964360"/>
    <m/>
    <m/>
    <s v="SOIAR-000012331, 30709964360, BRANDLIVE S.A."/>
    <s v="SOIAR-000012331"/>
    <s v="4101011200-Twitter-ARG-IARG-ARG-Rep"/>
    <s v="GJT223819"/>
    <s v="IARG_CI_00018468"/>
    <d v="2026-02-10T00:00:00"/>
    <s v="4101011200-Twitter-ARG-IARG-ARG-Rep"/>
    <s v="4101011200"/>
    <s v="Representation"/>
    <x v="0"/>
    <n v="9580.14"/>
    <n v="9580.14"/>
    <n v="6.62"/>
    <s v="Current"/>
    <s v="ana.scotti"/>
    <x v="0"/>
    <x v="0"/>
    <x v="0"/>
  </r>
  <r>
    <s v="Sales order revenue"/>
    <d v="2026-02-10T00:00:00"/>
    <s v="BI MEDIA S.R.L"/>
    <s v="XI4AP1YG9A"/>
    <m/>
    <m/>
    <s v="SOIAR-000016484, XI4AP1YG9A, BI MEDIA S.R.L"/>
    <s v="SOIAR-000016484"/>
    <s v="4101011200-Twitter-ARG-IARG-ARG-Rep"/>
    <s v="GJT223818"/>
    <s v="IARG_CI_00018467"/>
    <d v="2026-02-10T00:00:00"/>
    <s v="4101011200-Twitter-ARG-IARG-ARG-Rep"/>
    <s v="4101011200"/>
    <s v="Representation"/>
    <x v="0"/>
    <n v="-989705.28"/>
    <n v="-989705.28"/>
    <n v="-690.99"/>
    <s v="Current"/>
    <s v="ana.scotti"/>
    <x v="0"/>
    <x v="0"/>
    <x v="0"/>
  </r>
  <r>
    <s v="Sales order revenue"/>
    <d v="2026-02-10T00:00:00"/>
    <s v="BI MEDIA S.R.L"/>
    <s v="XI4AP1YG9A"/>
    <m/>
    <m/>
    <s v="SOIAR-000016484, XI4AP1YG9A, BI MEDIA S.R.L"/>
    <s v="SOIAR-000016484"/>
    <s v="4101011200-Twitter-ARG-IARG-ARG-Rep"/>
    <s v="GJT223818"/>
    <s v="IARG_CI_00018467"/>
    <d v="2026-02-10T00:00:00"/>
    <s v="4101011200-Twitter-ARG-IARG-ARG-Rep"/>
    <s v="4101011200"/>
    <s v="Representation"/>
    <x v="0"/>
    <n v="0"/>
    <n v="0"/>
    <n v="7.21"/>
    <s v="Current"/>
    <s v="ana.scotti"/>
    <x v="0"/>
    <x v="0"/>
    <x v="0"/>
  </r>
  <r>
    <s v="Sales - packing slip revenue"/>
    <d v="2026-02-10T00:00:00"/>
    <s v="BI MEDIA S.R.L"/>
    <s v="XI4AP1YG9A"/>
    <m/>
    <m/>
    <s v="SOIAR-000016484, XI4AP1YG9A, BI MEDIA S.R.L"/>
    <s v="SOIAR-000016484"/>
    <s v="4101011200-Twitter-ARG-IARG-ARG-Rep"/>
    <s v="GJT223818"/>
    <s v="IARG_CI_00018467"/>
    <d v="2026-02-10T00:00:00"/>
    <s v="4101011200-Twitter-ARG-IARG-ARG-Rep"/>
    <s v="4101011200"/>
    <s v="Representation"/>
    <x v="0"/>
    <n v="989705.28"/>
    <n v="989705.28"/>
    <n v="683.78"/>
    <s v="Current"/>
    <s v="ana.scotti"/>
    <x v="0"/>
    <x v="0"/>
    <x v="0"/>
  </r>
  <r>
    <s v="Sales order revenue"/>
    <d v="2026-02-10T00:00:00"/>
    <s v="BI MEDIA S.R.L"/>
    <s v="XI4AP1YG9A"/>
    <m/>
    <m/>
    <s v="SOIAR-000016485, XI4AP1YG9A, BI MEDIA S.R.L"/>
    <s v="SOIAR-000016485"/>
    <s v="4101011200-Twitter-ARG-IARG-ARG-Rep"/>
    <s v="GJT223817"/>
    <s v="IARG_CI_00018466"/>
    <d v="2026-02-10T00:00:00"/>
    <s v="4101011200-Twitter-ARG-IARG-ARG-Rep"/>
    <s v="4101011200"/>
    <s v="Representation"/>
    <x v="0"/>
    <n v="-2449631.33"/>
    <n v="-2449631.33"/>
    <n v="-1710.28"/>
    <s v="Current"/>
    <s v="ana.scotti"/>
    <x v="0"/>
    <x v="0"/>
    <x v="0"/>
  </r>
  <r>
    <s v="Sales order revenue"/>
    <d v="2026-02-10T00:00:00"/>
    <s v="BI MEDIA S.R.L"/>
    <s v="XI4AP1YG9A"/>
    <m/>
    <m/>
    <s v="SOIAR-000016485, XI4AP1YG9A, BI MEDIA S.R.L"/>
    <s v="SOIAR-000016485"/>
    <s v="4101011200-Twitter-ARG-IARG-ARG-Rep"/>
    <s v="GJT223817"/>
    <s v="IARG_CI_00018466"/>
    <d v="2026-02-10T00:00:00"/>
    <s v="4101011200-Twitter-ARG-IARG-ARG-Rep"/>
    <s v="4101011200"/>
    <s v="Representation"/>
    <x v="0"/>
    <n v="0"/>
    <n v="0"/>
    <n v="17.84"/>
    <s v="Current"/>
    <s v="ana.scotti"/>
    <x v="0"/>
    <x v="0"/>
    <x v="0"/>
  </r>
  <r>
    <s v="Sales - packing slip revenue"/>
    <d v="2026-02-10T00:00:00"/>
    <s v="BI MEDIA S.R.L"/>
    <s v="XI4AP1YG9A"/>
    <m/>
    <m/>
    <s v="SOIAR-000016485, XI4AP1YG9A, BI MEDIA S.R.L"/>
    <s v="SOIAR-000016485"/>
    <s v="4101011200-Twitter-ARG-IARG-ARG-Rep"/>
    <s v="GJT223817"/>
    <s v="IARG_CI_00018466"/>
    <d v="2026-02-10T00:00:00"/>
    <s v="4101011200-Twitter-ARG-IARG-ARG-Rep"/>
    <s v="4101011200"/>
    <s v="Representation"/>
    <x v="0"/>
    <n v="2449631.33"/>
    <n v="2449631.33"/>
    <n v="1692.44"/>
    <s v="Current"/>
    <s v="ana.scotti"/>
    <x v="0"/>
    <x v="0"/>
    <x v="0"/>
  </r>
  <r>
    <s v="Sales order revenue"/>
    <d v="2026-02-10T00:00:00"/>
    <s v="BI MEDIA S.R.L"/>
    <s v="XI4AP1YG9A"/>
    <m/>
    <m/>
    <s v="SOIAR-000016483, XI4AP1YG9A, BI MEDIA S.R.L"/>
    <s v="SOIAR-000016483"/>
    <s v="4101011200-Twitter-ARG-IARG-ARG-Rep"/>
    <s v="GJT223816"/>
    <s v="IARG_CI_00018465"/>
    <d v="2026-02-10T00:00:00"/>
    <s v="4101011200-Twitter-ARG-IARG-ARG-Rep"/>
    <s v="4101011200"/>
    <s v="Representation"/>
    <x v="0"/>
    <n v="-297122.52"/>
    <n v="-297122.52"/>
    <n v="-207.44"/>
    <s v="Current"/>
    <s v="ana.scotti"/>
    <x v="0"/>
    <x v="0"/>
    <x v="0"/>
  </r>
  <r>
    <s v="Sales order revenue"/>
    <d v="2026-02-10T00:00:00"/>
    <s v="BI MEDIA S.R.L"/>
    <s v="XI4AP1YG9A"/>
    <m/>
    <m/>
    <s v="SOIAR-000016483, XI4AP1YG9A, BI MEDIA S.R.L"/>
    <s v="SOIAR-000016483"/>
    <s v="4101011200-Twitter-ARG-IARG-ARG-Rep"/>
    <s v="GJT223816"/>
    <s v="IARG_CI_00018465"/>
    <d v="2026-02-10T00:00:00"/>
    <s v="4101011200-Twitter-ARG-IARG-ARG-Rep"/>
    <s v="4101011200"/>
    <s v="Representation"/>
    <x v="0"/>
    <n v="0"/>
    <n v="0"/>
    <n v="2.16"/>
    <s v="Current"/>
    <s v="ana.scotti"/>
    <x v="0"/>
    <x v="0"/>
    <x v="0"/>
  </r>
  <r>
    <s v="Sales - packing slip revenue"/>
    <d v="2026-02-10T00:00:00"/>
    <s v="BI MEDIA S.R.L"/>
    <s v="XI4AP1YG9A"/>
    <m/>
    <m/>
    <s v="SOIAR-000016483, XI4AP1YG9A, BI MEDIA S.R.L"/>
    <s v="SOIAR-000016483"/>
    <s v="4101011200-Twitter-ARG-IARG-ARG-Rep"/>
    <s v="GJT223816"/>
    <s v="IARG_CI_00018465"/>
    <d v="2026-02-10T00:00:00"/>
    <s v="4101011200-Twitter-ARG-IARG-ARG-Rep"/>
    <s v="4101011200"/>
    <s v="Representation"/>
    <x v="0"/>
    <n v="297122.52"/>
    <n v="297122.52"/>
    <n v="205.28"/>
    <s v="Current"/>
    <s v="ana.scotti"/>
    <x v="0"/>
    <x v="0"/>
    <x v="0"/>
  </r>
  <r>
    <s v="Sales order revenue"/>
    <d v="2026-02-10T00:00:00"/>
    <s v="BI MEDIA S.R.L"/>
    <s v="XI4AP1YG9A"/>
    <m/>
    <m/>
    <s v="SOIAR-000016474, XI4AP1YG9A, BI MEDIA S.R.L"/>
    <s v="SOIAR-000016474"/>
    <s v="4101011200-Twitter-ARG-IARG-ARG-Rep"/>
    <s v="GJT223815"/>
    <s v="IARG_CI_00018464"/>
    <d v="2026-02-10T00:00:00"/>
    <s v="4101011200-Twitter-ARG-IARG-ARG-Rep"/>
    <s v="4101011200"/>
    <s v="Representation"/>
    <x v="0"/>
    <n v="-6220800"/>
    <n v="-6220800"/>
    <n v="-4343.2299999999996"/>
    <s v="Current"/>
    <s v="ana.scotti"/>
    <x v="0"/>
    <x v="0"/>
    <x v="0"/>
  </r>
  <r>
    <s v="Sales order revenue"/>
    <d v="2026-02-10T00:00:00"/>
    <s v="BI MEDIA S.R.L"/>
    <s v="XI4AP1YG9A"/>
    <m/>
    <m/>
    <s v="SOIAR-000016474, XI4AP1YG9A, BI MEDIA S.R.L"/>
    <s v="SOIAR-000016474"/>
    <s v="4101011200-Twitter-ARG-IARG-ARG-Rep"/>
    <s v="GJT223815"/>
    <s v="IARG_CI_00018464"/>
    <d v="2026-02-10T00:00:00"/>
    <s v="4101011200-Twitter-ARG-IARG-ARG-Rep"/>
    <s v="4101011200"/>
    <s v="Representation"/>
    <x v="0"/>
    <n v="0"/>
    <n v="0"/>
    <n v="45.3"/>
    <s v="Current"/>
    <s v="ana.scotti"/>
    <x v="0"/>
    <x v="0"/>
    <x v="0"/>
  </r>
  <r>
    <s v="Sales - packing slip revenue"/>
    <d v="2026-02-10T00:00:00"/>
    <s v="BI MEDIA S.R.L"/>
    <s v="XI4AP1YG9A"/>
    <m/>
    <m/>
    <s v="SOIAR-000016474, XI4AP1YG9A, BI MEDIA S.R.L"/>
    <s v="SOIAR-000016474"/>
    <s v="4101011200-Twitter-ARG-IARG-ARG-Rep"/>
    <s v="GJT223815"/>
    <s v="IARG_CI_00018464"/>
    <d v="2026-02-10T00:00:00"/>
    <s v="4101011200-Twitter-ARG-IARG-ARG-Rep"/>
    <s v="4101011200"/>
    <s v="Representation"/>
    <x v="0"/>
    <n v="6220800"/>
    <n v="6220800"/>
    <n v="4297.93"/>
    <s v="Current"/>
    <s v="ana.scotti"/>
    <x v="0"/>
    <x v="0"/>
    <x v="0"/>
  </r>
  <r>
    <s v="Sales order revenue"/>
    <d v="2026-02-10T00:00:00"/>
    <s v="Banco Santander Argentina S.A"/>
    <s v="30500008454"/>
    <m/>
    <m/>
    <s v="SOIAR-000015321, 30500008454, Banco Santander Argentina S.A"/>
    <s v="SOIAR-000015321"/>
    <s v="4101011200-Twitter-ARG-IARG-ARG-Rep"/>
    <s v="GJT223811"/>
    <s v="IARG_CI_00018460"/>
    <d v="2026-02-10T00:00:00"/>
    <s v="4101011200-Twitter-ARG-IARG-ARG-Rep"/>
    <s v="4101011200"/>
    <s v="Representation"/>
    <x v="0"/>
    <n v="-17899981.09"/>
    <n v="-17899981.09"/>
    <n v="-12497.39"/>
    <s v="Current"/>
    <s v="ana.scotti"/>
    <x v="0"/>
    <x v="0"/>
    <x v="0"/>
  </r>
  <r>
    <s v="Sales order revenue"/>
    <d v="2026-02-10T00:00:00"/>
    <s v="Banco Santander Argentina S.A"/>
    <s v="30500008454"/>
    <m/>
    <m/>
    <s v="SOIAR-000015321, 30500008454, Banco Santander Argentina S.A"/>
    <s v="SOIAR-000015321"/>
    <s v="4101011200-Twitter-ARG-IARG-ARG-Rep"/>
    <s v="GJT223811"/>
    <s v="IARG_CI_00018460"/>
    <d v="2026-02-10T00:00:00"/>
    <s v="4101011200-Twitter-ARG-IARG-ARG-Rep"/>
    <s v="4101011200"/>
    <s v="Representation"/>
    <x v="0"/>
    <n v="0"/>
    <n v="0"/>
    <n v="130.35"/>
    <s v="Current"/>
    <s v="ana.scotti"/>
    <x v="0"/>
    <x v="0"/>
    <x v="0"/>
  </r>
  <r>
    <s v="Sales - packing slip revenue"/>
    <d v="2026-02-10T00:00:00"/>
    <s v="Banco Santander Argentina S.A"/>
    <s v="30500008454"/>
    <m/>
    <m/>
    <s v="SOIAR-000015321, 30500008454, Banco Santander Argentina S.A"/>
    <s v="SOIAR-000015321"/>
    <s v="4101011200-Twitter-ARG-IARG-ARG-Rep"/>
    <s v="GJT223811"/>
    <s v="IARG_CI_00018460"/>
    <d v="2026-02-10T00:00:00"/>
    <s v="4101011200-Twitter-ARG-IARG-ARG-Rep"/>
    <s v="4101011200"/>
    <s v="Representation"/>
    <x v="0"/>
    <n v="17899981.09"/>
    <n v="17899981.09"/>
    <n v="12367.04"/>
    <s v="Current"/>
    <s v="ana.scotti"/>
    <x v="0"/>
    <x v="0"/>
    <x v="0"/>
  </r>
  <r>
    <s v="Sales order revenue"/>
    <d v="2026-02-10T00:00:00"/>
    <s v="Banco Santander Argentina S.A"/>
    <s v="30500008454"/>
    <m/>
    <m/>
    <s v="SOIAR-000016475, 30500008454, Banco Santander Argentina S.A"/>
    <s v="SOIAR-000016475"/>
    <s v="4101011200-Twitter-ARG-IARG-ARG-Rep"/>
    <s v="GJT223810"/>
    <s v="IARG_CI_00018459"/>
    <d v="2026-02-10T00:00:00"/>
    <s v="4101011200-Twitter-ARG-IARG-ARG-Rep"/>
    <s v="4101011200"/>
    <s v="Representation"/>
    <x v="0"/>
    <n v="-3456000"/>
    <n v="-3456000"/>
    <n v="-2412.91"/>
    <s v="Current"/>
    <s v="ana.scotti"/>
    <x v="0"/>
    <x v="0"/>
    <x v="0"/>
  </r>
  <r>
    <s v="Sales order revenue"/>
    <d v="2026-02-10T00:00:00"/>
    <s v="Banco Santander Argentina S.A"/>
    <s v="30500008454"/>
    <m/>
    <m/>
    <s v="SOIAR-000016475, 30500008454, Banco Santander Argentina S.A"/>
    <s v="SOIAR-000016475"/>
    <s v="4101011200-Twitter-ARG-IARG-ARG-Rep"/>
    <s v="GJT223810"/>
    <s v="IARG_CI_00018459"/>
    <d v="2026-02-10T00:00:00"/>
    <s v="4101011200-Twitter-ARG-IARG-ARG-Rep"/>
    <s v="4101011200"/>
    <s v="Representation"/>
    <x v="0"/>
    <n v="0"/>
    <n v="0"/>
    <n v="25.17"/>
    <s v="Current"/>
    <s v="ana.scotti"/>
    <x v="0"/>
    <x v="0"/>
    <x v="0"/>
  </r>
  <r>
    <s v="Sales - packing slip revenue"/>
    <d v="2026-02-10T00:00:00"/>
    <s v="Banco Santander Argentina S.A"/>
    <s v="30500008454"/>
    <m/>
    <m/>
    <s v="SOIAR-000016475, 30500008454, Banco Santander Argentina S.A"/>
    <s v="SOIAR-000016475"/>
    <s v="4101011200-Twitter-ARG-IARG-ARG-Rep"/>
    <s v="GJT223810"/>
    <s v="IARG_CI_00018459"/>
    <d v="2026-02-10T00:00:00"/>
    <s v="4101011200-Twitter-ARG-IARG-ARG-Rep"/>
    <s v="4101011200"/>
    <s v="Representation"/>
    <x v="0"/>
    <n v="3456000"/>
    <n v="3456000"/>
    <n v="2387.7399999999998"/>
    <s v="Current"/>
    <s v="ana.scotti"/>
    <x v="0"/>
    <x v="0"/>
    <x v="0"/>
  </r>
  <r>
    <s v="Sales order revenue"/>
    <d v="2026-02-10T00:00:00"/>
    <s v="BALANZ CAPITAL VALORES SAU"/>
    <s v="30710630670"/>
    <m/>
    <m/>
    <s v="SOIAR-000008711, 30710630670, BALANZ CAPITAL VALORES SAU"/>
    <s v="SOIAR-000008711"/>
    <s v="4101011200-Twitter-ARG-IARG-ARG-Rep"/>
    <s v="GJT223809"/>
    <s v="IARG_CI_00018458"/>
    <d v="2026-02-10T00:00:00"/>
    <s v="4101011200-Twitter-ARG-IARG-ARG-Rep"/>
    <s v="4101011200"/>
    <s v="Representation"/>
    <x v="0"/>
    <n v="-65202.33"/>
    <n v="-65202.33"/>
    <n v="-45.52"/>
    <s v="Current"/>
    <s v="ana.scotti"/>
    <x v="0"/>
    <x v="0"/>
    <x v="0"/>
  </r>
  <r>
    <s v="Sales order revenue"/>
    <d v="2026-02-10T00:00:00"/>
    <s v="BALANZ CAPITAL VALORES SAU"/>
    <s v="30710630670"/>
    <m/>
    <m/>
    <s v="SOIAR-000008711, 30710630670, BALANZ CAPITAL VALORES SAU"/>
    <s v="SOIAR-000008711"/>
    <s v="4101011200-Twitter-ARG-IARG-ARG-Rep"/>
    <s v="GJT223809"/>
    <s v="IARG_CI_00018458"/>
    <d v="2026-02-10T00:00:00"/>
    <s v="4101011200-Twitter-ARG-IARG-ARG-Rep"/>
    <s v="4101011200"/>
    <s v="Representation"/>
    <x v="0"/>
    <n v="0"/>
    <n v="0"/>
    <n v="0.47"/>
    <s v="Current"/>
    <s v="ana.scotti"/>
    <x v="0"/>
    <x v="0"/>
    <x v="0"/>
  </r>
  <r>
    <s v="Sales - packing slip revenue"/>
    <d v="2026-02-10T00:00:00"/>
    <s v="BALANZ CAPITAL VALORES SAU"/>
    <s v="30710630670"/>
    <m/>
    <m/>
    <s v="SOIAR-000008711, 30710630670, BALANZ CAPITAL VALORES SAU"/>
    <s v="SOIAR-000008711"/>
    <s v="4101011200-Twitter-ARG-IARG-ARG-Rep"/>
    <s v="GJT223809"/>
    <s v="IARG_CI_00018458"/>
    <d v="2026-02-10T00:00:00"/>
    <s v="4101011200-Twitter-ARG-IARG-ARG-Rep"/>
    <s v="4101011200"/>
    <s v="Representation"/>
    <x v="0"/>
    <n v="65202.33"/>
    <n v="65202.33"/>
    <n v="45.05"/>
    <s v="Current"/>
    <s v="ana.scotti"/>
    <x v="0"/>
    <x v="0"/>
    <x v="0"/>
  </r>
  <r>
    <s v="Sales order revenue"/>
    <d v="2026-02-10T00:00:00"/>
    <s v="Assist Card Argentina Sociedad Anonima De Servicios"/>
    <s v="33547992429"/>
    <m/>
    <m/>
    <s v="SOIAR-000016497, 33547992429, Assist Card Argentina Sociedad Anonima De Servicios"/>
    <s v="SOIAR-000016497"/>
    <s v="4101011200-Twitter-ARG-IARG-ARG-Rep"/>
    <s v="GJT223804"/>
    <s v="IARG_CI_00018453"/>
    <d v="2026-02-10T00:00:00"/>
    <s v="4101011200-Twitter-ARG-IARG-ARG-Rep"/>
    <s v="4101011200"/>
    <s v="Representation"/>
    <x v="0"/>
    <n v="-4603990.84"/>
    <n v="-4603990.84"/>
    <n v="-3214.41"/>
    <s v="Current"/>
    <s v="ana.scotti"/>
    <x v="0"/>
    <x v="0"/>
    <x v="0"/>
  </r>
  <r>
    <s v="Sales order revenue"/>
    <d v="2026-02-10T00:00:00"/>
    <s v="Assist Card Argentina Sociedad Anonima De Servicios"/>
    <s v="33547992429"/>
    <m/>
    <m/>
    <s v="SOIAR-000016497, 33547992429, Assist Card Argentina Sociedad Anonima De Servicios"/>
    <s v="SOIAR-000016497"/>
    <s v="4101011200-Twitter-ARG-IARG-ARG-Rep"/>
    <s v="GJT223804"/>
    <s v="IARG_CI_00018453"/>
    <d v="2026-02-10T00:00:00"/>
    <s v="4101011200-Twitter-ARG-IARG-ARG-Rep"/>
    <s v="4101011200"/>
    <s v="Representation"/>
    <x v="0"/>
    <n v="0"/>
    <n v="0"/>
    <n v="33.53"/>
    <s v="Current"/>
    <s v="ana.scotti"/>
    <x v="0"/>
    <x v="0"/>
    <x v="0"/>
  </r>
  <r>
    <s v="Sales - packing slip revenue"/>
    <d v="2026-02-10T00:00:00"/>
    <s v="Assist Card Argentina Sociedad Anonima De Servicios"/>
    <s v="33547992429"/>
    <m/>
    <m/>
    <s v="SOIAR-000016497, 33547992429, Assist Card Argentina Sociedad Anonima De Servicios"/>
    <s v="SOIAR-000016497"/>
    <s v="4101011200-Twitter-ARG-IARG-ARG-Rep"/>
    <s v="GJT223804"/>
    <s v="IARG_CI_00018453"/>
    <d v="2026-02-10T00:00:00"/>
    <s v="4101011200-Twitter-ARG-IARG-ARG-Rep"/>
    <s v="4101011200"/>
    <s v="Representation"/>
    <x v="0"/>
    <n v="4603990.84"/>
    <n v="4603990.84"/>
    <n v="3180.88"/>
    <s v="Current"/>
    <s v="ana.scotti"/>
    <x v="0"/>
    <x v="0"/>
    <x v="0"/>
  </r>
  <r>
    <s v="Sales order revenue"/>
    <d v="2026-02-10T00:00:00"/>
    <s v="Almundo.com SRL"/>
    <s v="30659514628"/>
    <m/>
    <m/>
    <s v="SOIAR-000003203, 30659514628, Almundo.com SRL"/>
    <s v="SOIAR-000003203"/>
    <s v="4101011200-Twitter-ARG-IARG-ARG-Rep"/>
    <s v="GJT223803"/>
    <s v="IARG_CI_00018452"/>
    <d v="2026-02-10T00:00:00"/>
    <s v="4101011200-Twitter-ARG-IARG-ARG-Rep"/>
    <s v="4101011200"/>
    <s v="Representation"/>
    <x v="0"/>
    <n v="-4441227.74"/>
    <n v="-4441227.74"/>
    <n v="-3100.77"/>
    <s v="Current"/>
    <s v="ana.scotti"/>
    <x v="0"/>
    <x v="0"/>
    <x v="0"/>
  </r>
  <r>
    <s v="Sales order revenue"/>
    <d v="2026-02-10T00:00:00"/>
    <s v="Almundo.com SRL"/>
    <s v="30659514628"/>
    <m/>
    <m/>
    <s v="SOIAR-000003203, 30659514628, Almundo.com SRL"/>
    <s v="SOIAR-000003203"/>
    <s v="4101011200-Twitter-ARG-IARG-ARG-Rep"/>
    <s v="GJT223803"/>
    <s v="IARG_CI_00018452"/>
    <d v="2026-02-10T00:00:00"/>
    <s v="4101011200-Twitter-ARG-IARG-ARG-Rep"/>
    <s v="4101011200"/>
    <s v="Representation"/>
    <x v="0"/>
    <n v="0"/>
    <n v="0"/>
    <n v="32.340000000000003"/>
    <s v="Current"/>
    <s v="ana.scotti"/>
    <x v="0"/>
    <x v="0"/>
    <x v="0"/>
  </r>
  <r>
    <s v="Sales - packing slip revenue"/>
    <d v="2026-02-10T00:00:00"/>
    <s v="Almundo.com SRL"/>
    <s v="30659514628"/>
    <m/>
    <m/>
    <s v="SOIAR-000003203, 30659514628, Almundo.com SRL"/>
    <s v="SOIAR-000003203"/>
    <s v="4101011200-Twitter-ARG-IARG-ARG-Rep"/>
    <s v="GJT223803"/>
    <s v="IARG_CI_00018452"/>
    <d v="2026-02-10T00:00:00"/>
    <s v="4101011200-Twitter-ARG-IARG-ARG-Rep"/>
    <s v="4101011200"/>
    <s v="Representation"/>
    <x v="0"/>
    <n v="4441227.74"/>
    <n v="4441227.74"/>
    <n v="3068.43"/>
    <s v="Current"/>
    <s v="ana.scotti"/>
    <x v="0"/>
    <x v="0"/>
    <x v="0"/>
  </r>
  <r>
    <s v="Sales order revenue"/>
    <d v="2026-02-10T00:00:00"/>
    <s v="Gustavo Quiroga EPM SA"/>
    <s v="30707906959"/>
    <m/>
    <m/>
    <s v="SOIAR-000016482, 30707906959, Gustavo Quiroga EPM SA"/>
    <s v="SOIAR-000016482"/>
    <s v="4101011200-Twitter-ARG-IARG-ARG-Rep"/>
    <s v="GJT223797"/>
    <s v="IARG_CI_00018447"/>
    <d v="2026-02-10T00:00:00"/>
    <s v="4101011200-Twitter-ARG-IARG-ARG-Rep"/>
    <s v="4101011200"/>
    <s v="Representation"/>
    <x v="0"/>
    <n v="-656761.32999999996"/>
    <n v="-656761.32999999996"/>
    <n v="-458.54"/>
    <s v="Current"/>
    <s v="ana.scotti"/>
    <x v="0"/>
    <x v="0"/>
    <x v="0"/>
  </r>
  <r>
    <s v="Sales order revenue"/>
    <d v="2026-02-10T00:00:00"/>
    <s v="Gustavo Quiroga EPM SA"/>
    <s v="30707906959"/>
    <m/>
    <m/>
    <s v="SOIAR-000016482, 30707906959, Gustavo Quiroga EPM SA"/>
    <s v="SOIAR-000016482"/>
    <s v="4101011200-Twitter-ARG-IARG-ARG-Rep"/>
    <s v="GJT223797"/>
    <s v="IARG_CI_00018447"/>
    <d v="2026-02-10T00:00:00"/>
    <s v="4101011200-Twitter-ARG-IARG-ARG-Rep"/>
    <s v="4101011200"/>
    <s v="Representation"/>
    <x v="0"/>
    <n v="0"/>
    <n v="0"/>
    <n v="4.79"/>
    <s v="Current"/>
    <s v="ana.scotti"/>
    <x v="0"/>
    <x v="0"/>
    <x v="0"/>
  </r>
  <r>
    <s v="Sales - packing slip revenue"/>
    <d v="2026-02-10T00:00:00"/>
    <s v="Gustavo Quiroga EPM SA"/>
    <s v="30707906959"/>
    <m/>
    <m/>
    <s v="SOIAR-000016482, 30707906959, Gustavo Quiroga EPM SA"/>
    <s v="SOIAR-000016482"/>
    <s v="4101011200-Twitter-ARG-IARG-ARG-Rep"/>
    <s v="GJT223797"/>
    <s v="IARG_CI_00018447"/>
    <d v="2026-02-10T00:00:00"/>
    <s v="4101011200-Twitter-ARG-IARG-ARG-Rep"/>
    <s v="4101011200"/>
    <s v="Representation"/>
    <x v="0"/>
    <n v="656761.32999999996"/>
    <n v="656761.32999999996"/>
    <n v="453.75"/>
    <s v="Current"/>
    <s v="ana.scotti"/>
    <x v="0"/>
    <x v="0"/>
    <x v="0"/>
  </r>
  <r>
    <s v="Sales order revenue"/>
    <d v="2026-02-10T00:00:00"/>
    <s v="OMD Argentina SA"/>
    <s v="30691546833"/>
    <m/>
    <m/>
    <s v="SOIAR-000015317, 30691546833, OMD Argentina SA"/>
    <s v="SOIAR-000015317"/>
    <s v="4101011200-Twitter-ARG-IARG-ARG-Rep"/>
    <s v="GJT223796"/>
    <s v="IARG_CI_00018446"/>
    <d v="2026-02-10T00:00:00"/>
    <s v="4101011200-Twitter-ARG-IARG-ARG-Rep"/>
    <s v="4101011200"/>
    <s v="Representation"/>
    <x v="0"/>
    <n v="-655743.79"/>
    <n v="-655743.79"/>
    <n v="-457.83"/>
    <s v="Current"/>
    <s v="ana.scotti"/>
    <x v="0"/>
    <x v="0"/>
    <x v="0"/>
  </r>
  <r>
    <s v="Sales order revenue"/>
    <d v="2026-02-10T00:00:00"/>
    <s v="OMD Argentina SA"/>
    <s v="30691546833"/>
    <m/>
    <m/>
    <s v="SOIAR-000015317, 30691546833, OMD Argentina SA"/>
    <s v="SOIAR-000015317"/>
    <s v="4101011200-Twitter-ARG-IARG-ARG-Rep"/>
    <s v="GJT223796"/>
    <s v="IARG_CI_00018446"/>
    <d v="2026-02-10T00:00:00"/>
    <s v="4101011200-Twitter-ARG-IARG-ARG-Rep"/>
    <s v="4101011200"/>
    <s v="Representation"/>
    <x v="0"/>
    <n v="0"/>
    <n v="0"/>
    <n v="4.78"/>
    <s v="Current"/>
    <s v="ana.scotti"/>
    <x v="0"/>
    <x v="0"/>
    <x v="0"/>
  </r>
  <r>
    <s v="Sales - packing slip revenue"/>
    <d v="2026-02-10T00:00:00"/>
    <s v="OMD Argentina SA"/>
    <s v="30691546833"/>
    <m/>
    <m/>
    <s v="SOIAR-000015317, 30691546833, OMD Argentina SA"/>
    <s v="SOIAR-000015317"/>
    <s v="4101011200-Twitter-ARG-IARG-ARG-Rep"/>
    <s v="GJT223796"/>
    <s v="IARG_CI_00018446"/>
    <d v="2026-02-10T00:00:00"/>
    <s v="4101011200-Twitter-ARG-IARG-ARG-Rep"/>
    <s v="4101011200"/>
    <s v="Representation"/>
    <x v="0"/>
    <n v="655743.79"/>
    <n v="655743.79"/>
    <n v="453.05"/>
    <s v="Current"/>
    <s v="ana.scotti"/>
    <x v="0"/>
    <x v="0"/>
    <x v="0"/>
  </r>
  <r>
    <s v="Sales order revenue"/>
    <d v="2026-02-10T00:00:00"/>
    <s v="OMD Argentina SA"/>
    <s v="30691546833"/>
    <m/>
    <m/>
    <s v="SOIAR-000016499, 30691546833, OMD Argentina SA"/>
    <s v="SOIAR-000016499"/>
    <s v="4101011200-Twitter-ARG-IARG-ARG-Rep"/>
    <s v="GJT223795"/>
    <s v="IARG_CI_00018445"/>
    <d v="2026-02-10T00:00:00"/>
    <s v="4101011200-Twitter-ARG-IARG-ARG-Rep"/>
    <s v="4101011200"/>
    <s v="Representation"/>
    <x v="0"/>
    <n v="-3000000"/>
    <n v="-3000000"/>
    <n v="-2094.54"/>
    <s v="Current"/>
    <s v="ana.scotti"/>
    <x v="0"/>
    <x v="0"/>
    <x v="0"/>
  </r>
  <r>
    <s v="Sales order revenue"/>
    <d v="2026-02-10T00:00:00"/>
    <s v="OMD Argentina SA"/>
    <s v="30691546833"/>
    <m/>
    <m/>
    <s v="SOIAR-000016499, 30691546833, OMD Argentina SA"/>
    <s v="SOIAR-000016499"/>
    <s v="4101011200-Twitter-ARG-IARG-ARG-Rep"/>
    <s v="GJT223795"/>
    <s v="IARG_CI_00018445"/>
    <d v="2026-02-10T00:00:00"/>
    <s v="4101011200-Twitter-ARG-IARG-ARG-Rep"/>
    <s v="4101011200"/>
    <s v="Representation"/>
    <x v="0"/>
    <n v="0"/>
    <n v="0"/>
    <n v="21.85"/>
    <s v="Current"/>
    <s v="ana.scotti"/>
    <x v="0"/>
    <x v="0"/>
    <x v="0"/>
  </r>
  <r>
    <s v="Sales - packing slip revenue"/>
    <d v="2026-02-10T00:00:00"/>
    <s v="OMD Argentina SA"/>
    <s v="30691546833"/>
    <m/>
    <m/>
    <s v="SOIAR-000016499, 30691546833, OMD Argentina SA"/>
    <s v="SOIAR-000016499"/>
    <s v="4101011200-Twitter-ARG-IARG-ARG-Rep"/>
    <s v="GJT223795"/>
    <s v="IARG_CI_00018445"/>
    <d v="2026-02-10T00:00:00"/>
    <s v="4101011200-Twitter-ARG-IARG-ARG-Rep"/>
    <s v="4101011200"/>
    <s v="Representation"/>
    <x v="0"/>
    <n v="3000000"/>
    <n v="3000000"/>
    <n v="2072.69"/>
    <s v="Current"/>
    <s v="ana.scotti"/>
    <x v="0"/>
    <x v="0"/>
    <x v="0"/>
  </r>
  <r>
    <s v="Sales order revenue"/>
    <d v="2026-02-10T00:00:00"/>
    <s v="OMD Argentina SA"/>
    <s v="30691546833"/>
    <m/>
    <m/>
    <s v="SOIAR-000016488, 30691546833, OMD Argentina SA"/>
    <s v="SOIAR-000016488"/>
    <s v="4101011200-Twitter-ARG-IARG-ARG-Rep"/>
    <s v="GJT223794"/>
    <s v="IARG_CI_00018444"/>
    <d v="2026-02-10T00:00:00"/>
    <s v="4101011200-Twitter-ARG-IARG-ARG-Rep"/>
    <s v="4101011200"/>
    <s v="Representation"/>
    <x v="0"/>
    <n v="-2499998.29"/>
    <n v="-2499998.29"/>
    <n v="-1745.45"/>
    <s v="Current"/>
    <s v="ana.scotti"/>
    <x v="0"/>
    <x v="0"/>
    <x v="0"/>
  </r>
  <r>
    <s v="Sales order revenue"/>
    <d v="2026-02-10T00:00:00"/>
    <s v="OMD Argentina SA"/>
    <s v="30691546833"/>
    <m/>
    <m/>
    <s v="SOIAR-000016488, 30691546833, OMD Argentina SA"/>
    <s v="SOIAR-000016488"/>
    <s v="4101011200-Twitter-ARG-IARG-ARG-Rep"/>
    <s v="GJT223794"/>
    <s v="IARG_CI_00018444"/>
    <d v="2026-02-10T00:00:00"/>
    <s v="4101011200-Twitter-ARG-IARG-ARG-Rep"/>
    <s v="4101011200"/>
    <s v="Representation"/>
    <x v="0"/>
    <n v="0"/>
    <n v="0"/>
    <n v="18.21"/>
    <s v="Current"/>
    <s v="ana.scotti"/>
    <x v="0"/>
    <x v="0"/>
    <x v="0"/>
  </r>
  <r>
    <s v="Sales - packing slip revenue"/>
    <d v="2026-02-10T00:00:00"/>
    <s v="OMD Argentina SA"/>
    <s v="30691546833"/>
    <m/>
    <m/>
    <s v="SOIAR-000016488, 30691546833, OMD Argentina SA"/>
    <s v="SOIAR-000016488"/>
    <s v="4101011200-Twitter-ARG-IARG-ARG-Rep"/>
    <s v="GJT223794"/>
    <s v="IARG_CI_00018444"/>
    <d v="2026-02-10T00:00:00"/>
    <s v="4101011200-Twitter-ARG-IARG-ARG-Rep"/>
    <s v="4101011200"/>
    <s v="Representation"/>
    <x v="0"/>
    <n v="2499998.29"/>
    <n v="2499998.29"/>
    <n v="1727.24"/>
    <s v="Current"/>
    <s v="ana.scotti"/>
    <x v="0"/>
    <x v="0"/>
    <x v="0"/>
  </r>
  <r>
    <s v="Sales order revenue"/>
    <d v="2026-02-10T00:00:00"/>
    <s v="TARJETA NARANJA SA"/>
    <s v="30685376349"/>
    <m/>
    <m/>
    <s v="SOIAR-000016502, 30685376349, TARJETA NARANJA SA"/>
    <s v="SOIAR-000016502"/>
    <s v="4101011200-Twitter-ARG-IARG-ARG-Rep"/>
    <s v="GJT223747"/>
    <s v="IARG_CI_00018430"/>
    <d v="2026-02-10T00:00:00"/>
    <s v="4101011200-Twitter-ARG-IARG-ARG-Rep"/>
    <s v="4101011200"/>
    <s v="Representation"/>
    <x v="0"/>
    <n v="-12108660.5"/>
    <n v="-12108660.5"/>
    <n v="-8454.01"/>
    <s v="Current"/>
    <s v="ana.scotti"/>
    <x v="0"/>
    <x v="0"/>
    <x v="0"/>
  </r>
  <r>
    <s v="Sales order revenue"/>
    <d v="2026-02-10T00:00:00"/>
    <s v="TARJETA NARANJA SA"/>
    <s v="30685376349"/>
    <m/>
    <m/>
    <s v="SOIAR-000016502, 30685376349, TARJETA NARANJA SA"/>
    <s v="SOIAR-000016502"/>
    <s v="4101011200-Twitter-ARG-IARG-ARG-Rep"/>
    <s v="GJT223747"/>
    <s v="IARG_CI_00018430"/>
    <d v="2026-02-10T00:00:00"/>
    <s v="4101011200-Twitter-ARG-IARG-ARG-Rep"/>
    <s v="4101011200"/>
    <s v="Representation"/>
    <x v="0"/>
    <n v="0"/>
    <n v="0"/>
    <n v="88.18"/>
    <s v="Current"/>
    <s v="ana.scotti"/>
    <x v="0"/>
    <x v="0"/>
    <x v="0"/>
  </r>
  <r>
    <s v="Sales - packing slip revenue"/>
    <d v="2026-02-10T00:00:00"/>
    <s v="TARJETA NARANJA SA"/>
    <s v="30685376349"/>
    <m/>
    <m/>
    <s v="SOIAR-000016502, 30685376349, TARJETA NARANJA SA"/>
    <s v="SOIAR-000016502"/>
    <s v="4101011200-Twitter-ARG-IARG-ARG-Rep"/>
    <s v="GJT223747"/>
    <s v="IARG_CI_00018430"/>
    <d v="2026-02-10T00:00:00"/>
    <s v="4101011200-Twitter-ARG-IARG-ARG-Rep"/>
    <s v="4101011200"/>
    <s v="Representation"/>
    <x v="0"/>
    <n v="12108660.5"/>
    <n v="12108660.5"/>
    <n v="8365.83"/>
    <s v="Current"/>
    <s v="ana.scotti"/>
    <x v="0"/>
    <x v="0"/>
    <x v="0"/>
  </r>
  <r>
    <s v="Sales order revenue"/>
    <d v="2026-02-10T00:00:00"/>
    <s v="Digital Age S.A."/>
    <s v="30717552047"/>
    <m/>
    <m/>
    <s v="SOIAR-000000476, 30702020944, Digital Age S.A."/>
    <s v="SOIAR-000000476"/>
    <s v="4101011200-Twitter--IARG-ARG-Rep"/>
    <s v="GJT223653"/>
    <s v="IARG_CI_00018419"/>
    <d v="2026-02-10T00:00:00"/>
    <s v="4101011200-Twitter--IARG-ARG-Rep"/>
    <s v="4101011200"/>
    <s v="Representation"/>
    <x v="0"/>
    <n v="-104981.62"/>
    <n v="-104981.62"/>
    <n v="-73.3"/>
    <s v="Current"/>
    <s v="roman.villanueva"/>
    <x v="0"/>
    <x v="0"/>
    <x v="0"/>
  </r>
  <r>
    <s v="Sales order revenue"/>
    <d v="2026-02-10T00:00:00"/>
    <s v="Digital Age S.A."/>
    <s v="30717552047"/>
    <m/>
    <m/>
    <s v="SOIAR-000000476, 30702020944, Digital Age S.A."/>
    <s v="SOIAR-000000476"/>
    <s v="4101011200-Twitter--IARG-ARG-Rep"/>
    <s v="GJT223653"/>
    <s v="IARG_CI_00018419"/>
    <d v="2026-02-10T00:00:00"/>
    <s v="4101011200-Twitter--IARG-ARG-Rep"/>
    <s v="4101011200"/>
    <s v="Representation"/>
    <x v="0"/>
    <n v="0"/>
    <n v="0"/>
    <n v="0.53"/>
    <s v="Current"/>
    <s v="roman.villanueva"/>
    <x v="0"/>
    <x v="0"/>
    <x v="0"/>
  </r>
  <r>
    <s v="Sales - packing slip revenue"/>
    <d v="2026-02-10T00:00:00"/>
    <s v="Digital Age S.A."/>
    <s v="30717552047"/>
    <m/>
    <m/>
    <s v="SOIAR-000000476, 30702020944, Digital Age S.A."/>
    <s v="SOIAR-000000476"/>
    <s v="4101011200-Twitter--IARG-ARG-Rep"/>
    <s v="GJT223653"/>
    <s v="IARG_CI_00018419"/>
    <d v="2026-02-10T00:00:00"/>
    <s v="4101011200-Twitter--IARG-ARG-Rep"/>
    <s v="4101011200"/>
    <s v="Representation"/>
    <x v="0"/>
    <n v="104981.62"/>
    <n v="104981.62"/>
    <n v="72.77"/>
    <s v="Current"/>
    <s v="roman.villanueva"/>
    <x v="0"/>
    <x v="0"/>
    <x v="0"/>
  </r>
  <r>
    <s v="Sales order revenue"/>
    <d v="2026-02-09T00:00:00"/>
    <s v="Telecom Argentina SA"/>
    <s v="30639453738"/>
    <m/>
    <m/>
    <s v="SOIAR-000016509, 30639453738, Telecom Argentina SA"/>
    <s v="SOIAR-000016509"/>
    <s v="4101011200-Twitter-ARG-IARG-ARG-Rep"/>
    <s v="GJT223154"/>
    <s v="IARG_CI_00018418"/>
    <d v="2026-02-09T00:00:00"/>
    <s v="4101011200-Twitter-ARG-IARG-ARG-Rep"/>
    <s v="4101011200"/>
    <s v="Representation"/>
    <x v="0"/>
    <n v="-3456000"/>
    <n v="-3456000"/>
    <n v="-2413.48"/>
    <s v="Current"/>
    <s v="ana.scotti"/>
    <x v="0"/>
    <x v="0"/>
    <x v="0"/>
  </r>
  <r>
    <s v="Sales order revenue"/>
    <d v="2026-02-09T00:00:00"/>
    <s v="Telecom Argentina SA"/>
    <s v="30639453738"/>
    <m/>
    <m/>
    <s v="SOIAR-000016509, 30639453738, Telecom Argentina SA"/>
    <s v="SOIAR-000016509"/>
    <s v="4101011200-Twitter-ARG-IARG-ARG-Rep"/>
    <s v="GJT223154"/>
    <s v="IARG_CI_00018418"/>
    <d v="2026-02-09T00:00:00"/>
    <s v="4101011200-Twitter-ARG-IARG-ARG-Rep"/>
    <s v="4101011200"/>
    <s v="Representation"/>
    <x v="0"/>
    <n v="0"/>
    <n v="0"/>
    <n v="25.74"/>
    <s v="Current"/>
    <s v="ana.scotti"/>
    <x v="0"/>
    <x v="0"/>
    <x v="0"/>
  </r>
  <r>
    <s v="Sales - packing slip revenue"/>
    <d v="2026-02-09T00:00:00"/>
    <s v="Telecom Argentina SA"/>
    <s v="30639453738"/>
    <m/>
    <m/>
    <s v="SOIAR-000016509, 30639453738, Telecom Argentina SA"/>
    <s v="SOIAR-000016509"/>
    <s v="4101011200-Twitter-ARG-IARG-ARG-Rep"/>
    <s v="GJT223154"/>
    <s v="IARG_CI_00018418"/>
    <d v="2026-02-09T00:00:00"/>
    <s v="4101011200-Twitter-ARG-IARG-ARG-Rep"/>
    <s v="4101011200"/>
    <s v="Representation"/>
    <x v="0"/>
    <n v="3456000"/>
    <n v="3456000"/>
    <n v="2387.7399999999998"/>
    <s v="Current"/>
    <s v="ana.scotti"/>
    <x v="0"/>
    <x v="0"/>
    <x v="0"/>
  </r>
  <r>
    <s v="Sales order revenue"/>
    <d v="2026-02-09T00:00:00"/>
    <s v="Telecom Argentina SA"/>
    <s v="30639453738"/>
    <m/>
    <m/>
    <s v="SOIAR-000016505, 30639453738, Telecom Argentina SA"/>
    <s v="SOIAR-000016505"/>
    <s v="4101011200-Twitter-ARG-IARG-ARG-Rep"/>
    <s v="GJT221206"/>
    <s v="IARG_CI_00018415"/>
    <d v="2026-02-09T00:00:00"/>
    <s v="4101011200-Twitter-ARG-IARG-ARG-Rep"/>
    <s v="4101011200"/>
    <s v="Representation"/>
    <x v="0"/>
    <n v="-346941.11"/>
    <n v="-346941.11"/>
    <n v="-242.28"/>
    <s v="Current"/>
    <s v="ana.scotti"/>
    <x v="0"/>
    <x v="0"/>
    <x v="0"/>
  </r>
  <r>
    <s v="Sales order revenue"/>
    <d v="2026-02-09T00:00:00"/>
    <s v="Telecom Argentina SA"/>
    <s v="30639453738"/>
    <m/>
    <m/>
    <s v="SOIAR-000016505, 30639453738, Telecom Argentina SA"/>
    <s v="SOIAR-000016505"/>
    <s v="4101011200-Twitter-ARG-IARG-ARG-Rep"/>
    <s v="GJT221206"/>
    <s v="IARG_CI_00018415"/>
    <d v="2026-02-09T00:00:00"/>
    <s v="4101011200-Twitter-ARG-IARG-ARG-Rep"/>
    <s v="4101011200"/>
    <s v="Representation"/>
    <x v="0"/>
    <n v="0"/>
    <n v="0"/>
    <n v="2.58"/>
    <s v="Current"/>
    <s v="ana.scotti"/>
    <x v="0"/>
    <x v="0"/>
    <x v="0"/>
  </r>
  <r>
    <s v="Sales - packing slip revenue"/>
    <d v="2026-02-09T00:00:00"/>
    <s v="Telecom Argentina SA"/>
    <s v="30639453738"/>
    <m/>
    <m/>
    <s v="SOIAR-000016505, 30639453738, Telecom Argentina SA"/>
    <s v="SOIAR-000016505"/>
    <s v="4101011200-Twitter-ARG-IARG-ARG-Rep"/>
    <s v="GJT221206"/>
    <s v="IARG_CI_00018415"/>
    <d v="2026-02-09T00:00:00"/>
    <s v="4101011200-Twitter-ARG-IARG-ARG-Rep"/>
    <s v="4101011200"/>
    <s v="Representation"/>
    <x v="0"/>
    <n v="346941.11"/>
    <n v="346941.11"/>
    <n v="239.7"/>
    <s v="Current"/>
    <s v="ana.scotti"/>
    <x v="0"/>
    <x v="0"/>
    <x v="0"/>
  </r>
  <r>
    <s v="Sales order revenue"/>
    <d v="2026-02-09T00:00:00"/>
    <s v="Telecom Argentina SA"/>
    <s v="30639453738"/>
    <m/>
    <m/>
    <s v="SOIAR-000016508, 30639453738, Telecom Argentina SA"/>
    <s v="SOIAR-000016508"/>
    <s v="4101011200-Twitter-ARG-IARG-ARG-Rep"/>
    <s v="GJT221205"/>
    <s v="IARG_CI_00018414"/>
    <d v="2026-02-09T00:00:00"/>
    <s v="4101011200-Twitter-ARG-IARG-ARG-Rep"/>
    <s v="4101011200"/>
    <s v="Representation"/>
    <x v="0"/>
    <n v="-19670621.600000001"/>
    <n v="-19670621.600000001"/>
    <n v="-13736.87"/>
    <s v="Current"/>
    <s v="ana.scotti"/>
    <x v="0"/>
    <x v="0"/>
    <x v="0"/>
  </r>
  <r>
    <s v="Sales order revenue"/>
    <d v="2026-02-09T00:00:00"/>
    <s v="Telecom Argentina SA"/>
    <s v="30639453738"/>
    <m/>
    <m/>
    <s v="SOIAR-000016508, 30639453738, Telecom Argentina SA"/>
    <s v="SOIAR-000016508"/>
    <s v="4101011200-Twitter-ARG-IARG-ARG-Rep"/>
    <s v="GJT221205"/>
    <s v="IARG_CI_00018414"/>
    <d v="2026-02-09T00:00:00"/>
    <s v="4101011200-Twitter-ARG-IARG-ARG-Rep"/>
    <s v="4101011200"/>
    <s v="Representation"/>
    <x v="0"/>
    <n v="0"/>
    <n v="0"/>
    <n v="146.5"/>
    <s v="Current"/>
    <s v="ana.scotti"/>
    <x v="0"/>
    <x v="0"/>
    <x v="0"/>
  </r>
  <r>
    <s v="Sales - packing slip revenue"/>
    <d v="2026-02-09T00:00:00"/>
    <s v="Telecom Argentina SA"/>
    <s v="30639453738"/>
    <m/>
    <m/>
    <s v="SOIAR-000016508, 30639453738, Telecom Argentina SA"/>
    <s v="SOIAR-000016508"/>
    <s v="4101011200-Twitter-ARG-IARG-ARG-Rep"/>
    <s v="GJT221205"/>
    <s v="IARG_CI_00018414"/>
    <d v="2026-02-09T00:00:00"/>
    <s v="4101011200-Twitter-ARG-IARG-ARG-Rep"/>
    <s v="4101011200"/>
    <s v="Representation"/>
    <x v="0"/>
    <n v="19670621.600000001"/>
    <n v="19670621.600000001"/>
    <n v="13590.37"/>
    <s v="Current"/>
    <s v="ana.scotti"/>
    <x v="0"/>
    <x v="0"/>
    <x v="0"/>
  </r>
  <r>
    <s v="Sales order revenue"/>
    <d v="2026-02-09T00:00:00"/>
    <s v="Telecom Argentina SA"/>
    <s v="30639453738"/>
    <m/>
    <m/>
    <s v="SOIAR-000015131, 30639453738, Telecom Argentina SA"/>
    <s v="SOIAR-000015131"/>
    <s v="4101011200-Twitter-ARG-IARG-ARG-Rep"/>
    <s v="GJT221204"/>
    <s v="IARG_CI_00018413"/>
    <d v="2026-02-09T00:00:00"/>
    <s v="4101011200-Twitter-ARG-IARG-ARG-Rep"/>
    <s v="4101011200"/>
    <s v="Representation"/>
    <x v="0"/>
    <n v="-17617223.91"/>
    <n v="-17617223.91"/>
    <n v="-12302.89"/>
    <s v="Current"/>
    <s v="ana.scotti"/>
    <x v="0"/>
    <x v="0"/>
    <x v="0"/>
  </r>
  <r>
    <s v="Sales order revenue"/>
    <d v="2026-02-09T00:00:00"/>
    <s v="Telecom Argentina SA"/>
    <s v="30639453738"/>
    <m/>
    <m/>
    <s v="SOIAR-000015131, 30639453738, Telecom Argentina SA"/>
    <s v="SOIAR-000015131"/>
    <s v="4101011200-Twitter-ARG-IARG-ARG-Rep"/>
    <s v="GJT221204"/>
    <s v="IARG_CI_00018413"/>
    <d v="2026-02-09T00:00:00"/>
    <s v="4101011200-Twitter-ARG-IARG-ARG-Rep"/>
    <s v="4101011200"/>
    <s v="Representation"/>
    <x v="0"/>
    <n v="0"/>
    <n v="0"/>
    <n v="131.21"/>
    <s v="Current"/>
    <s v="ana.scotti"/>
    <x v="0"/>
    <x v="0"/>
    <x v="0"/>
  </r>
  <r>
    <s v="Sales - packing slip revenue"/>
    <d v="2026-02-09T00:00:00"/>
    <s v="Telecom Argentina SA"/>
    <s v="30639453738"/>
    <m/>
    <m/>
    <s v="SOIAR-000015131, 30639453738, Telecom Argentina SA"/>
    <s v="SOIAR-000015131"/>
    <s v="4101011200-Twitter-ARG-IARG-ARG-Rep"/>
    <s v="GJT221204"/>
    <s v="IARG_CI_00018413"/>
    <d v="2026-02-09T00:00:00"/>
    <s v="4101011200-Twitter-ARG-IARG-ARG-Rep"/>
    <s v="4101011200"/>
    <s v="Representation"/>
    <x v="0"/>
    <n v="17617223.91"/>
    <n v="17617223.91"/>
    <n v="12171.68"/>
    <s v="Current"/>
    <s v="ana.scotti"/>
    <x v="0"/>
    <x v="0"/>
    <x v="0"/>
  </r>
  <r>
    <s v="Sales order revenue"/>
    <d v="2026-02-06T00:00:00"/>
    <s v="Kickads SRL"/>
    <s v="30714474150"/>
    <m/>
    <m/>
    <s v="SOIAR-000016480, 30714474150, Kickads SRL"/>
    <s v="SOIAR-000016480"/>
    <s v="4101011200-Twitter-ARG-IARG-ARG-Rep"/>
    <s v="GJT221109"/>
    <s v="IARG_CI_00018410"/>
    <d v="2026-02-06T00:00:00"/>
    <s v="4101011200-Twitter-ARG-IARG-ARG-Rep"/>
    <s v="4101011200"/>
    <s v="Representation"/>
    <x v="0"/>
    <n v="-3002422.36"/>
    <n v="-3002422.36"/>
    <n v="-2076.21"/>
    <s v="Current"/>
    <s v="ana.scotti"/>
    <x v="0"/>
    <x v="0"/>
    <x v="0"/>
  </r>
  <r>
    <s v="Sales order revenue"/>
    <d v="2026-02-04T00:00:00"/>
    <s v="IPG Media Brands SA"/>
    <s v="30693739698"/>
    <m/>
    <m/>
    <s v="SOIAR-000015941, 30693739698, IPG Media Brands SA"/>
    <s v="SOIAR-000015941"/>
    <s v="4101011200-Twitter Billing-ARG-IARG-ARG-Rep"/>
    <s v="GJT219870"/>
    <s v="IARG_CI_00017931"/>
    <d v="2026-02-04T00:00:00"/>
    <s v="4101011200-Twitter Billing-ARG-IARG-ARG-Rep"/>
    <s v="4101011200"/>
    <s v="Representation"/>
    <x v="0"/>
    <n v="-1860335.44"/>
    <n v="-1860335.44"/>
    <n v="-1282.5999999999999"/>
    <s v="Current"/>
    <s v="ana.scotti"/>
    <x v="0"/>
    <x v="1"/>
    <x v="0"/>
  </r>
  <r>
    <s v="Sales order revenue"/>
    <d v="2026-02-04T00:00:00"/>
    <s v="IPG Media Brands SA"/>
    <s v="30693739698"/>
    <m/>
    <m/>
    <s v="SOIAR-000015941, 30693739698, IPG Media Brands SA"/>
    <s v="SOIAR-000015941"/>
    <s v="4101011200-Twitter Billing-ARG-IARG-ARG-Rep"/>
    <s v="GJT219870"/>
    <s v="IARG_CI_00017931"/>
    <d v="2026-02-04T00:00:00"/>
    <s v="4101011200-Twitter Billing-ARG-IARG-ARG-Rep"/>
    <s v="4101011200"/>
    <s v="Representation"/>
    <x v="0"/>
    <n v="0"/>
    <n v="0"/>
    <n v="-2.7"/>
    <s v="Current"/>
    <s v="ana.scotti"/>
    <x v="0"/>
    <x v="1"/>
    <x v="0"/>
  </r>
  <r>
    <s v="Sales - packing slip revenue"/>
    <d v="2026-02-04T00:00:00"/>
    <s v="IPG Media Brands SA"/>
    <s v="30693739698"/>
    <m/>
    <m/>
    <s v="SOIAR-000015941, 30693739698, IPG Media Brands SA"/>
    <s v="SOIAR-000015941"/>
    <s v="4101011200-Twitter Billing-ARG-IARG-ARG-Rep"/>
    <s v="GJT219870"/>
    <s v="IARG_CI_00017931"/>
    <d v="2026-02-04T00:00:00"/>
    <s v="4101011200-Twitter Billing-ARG-IARG-ARG-Rep"/>
    <s v="4101011200"/>
    <s v="Representation"/>
    <x v="0"/>
    <n v="1860335.44"/>
    <n v="1860335.44"/>
    <n v="1285.3"/>
    <s v="Current"/>
    <s v="ana.scotti"/>
    <x v="0"/>
    <x v="1"/>
    <x v="0"/>
  </r>
  <r>
    <s v="Sales order revenue"/>
    <d v="2026-02-04T00:00:00"/>
    <s v="IPG Media Brands SA"/>
    <s v="30693739698"/>
    <m/>
    <m/>
    <s v="SOIAR-000015162, 30693739698, IPG Media Brands SA"/>
    <s v="SOIAR-000015162"/>
    <s v="4101011200-Twitter Billing-ARG-IARG-ARG-Rep"/>
    <s v="GJT219869"/>
    <s v="IARG_CI_00017930"/>
    <d v="2026-02-04T00:00:00"/>
    <s v="4101011200-Twitter Billing-ARG-IARG-ARG-Rep"/>
    <s v="4101011200"/>
    <s v="Representation"/>
    <x v="0"/>
    <n v="-5624367.0800000001"/>
    <n v="-5624367.0800000001"/>
    <n v="-3877.68"/>
    <s v="Current"/>
    <s v="ana.scotti"/>
    <x v="0"/>
    <x v="1"/>
    <x v="0"/>
  </r>
  <r>
    <s v="Sales order revenue"/>
    <d v="2026-02-04T00:00:00"/>
    <s v="IPG Media Brands SA"/>
    <s v="30693739698"/>
    <m/>
    <m/>
    <s v="SOIAR-000015162, 30693739698, IPG Media Brands SA"/>
    <s v="SOIAR-000015162"/>
    <s v="4101011200-Twitter Billing-ARG-IARG-ARG-Rep"/>
    <s v="GJT219869"/>
    <s v="IARG_CI_00017930"/>
    <d v="2026-02-04T00:00:00"/>
    <s v="4101011200-Twitter Billing-ARG-IARG-ARG-Rep"/>
    <s v="4101011200"/>
    <s v="Representation"/>
    <x v="0"/>
    <n v="0"/>
    <n v="0"/>
    <n v="-8.18"/>
    <s v="Current"/>
    <s v="ana.scotti"/>
    <x v="0"/>
    <x v="1"/>
    <x v="0"/>
  </r>
  <r>
    <s v="Sales - packing slip revenue"/>
    <d v="2026-02-04T00:00:00"/>
    <s v="IPG Media Brands SA"/>
    <s v="30693739698"/>
    <m/>
    <m/>
    <s v="SOIAR-000015162, 30693739698, IPG Media Brands SA"/>
    <s v="SOIAR-000015162"/>
    <s v="4101011200-Twitter Billing-ARG-IARG-ARG-Rep"/>
    <s v="GJT219869"/>
    <s v="IARG_CI_00017930"/>
    <d v="2026-02-04T00:00:00"/>
    <s v="4101011200-Twitter Billing-ARG-IARG-ARG-Rep"/>
    <s v="4101011200"/>
    <s v="Representation"/>
    <x v="0"/>
    <n v="5624367.0800000001"/>
    <n v="5624367.0800000001"/>
    <n v="3885.86"/>
    <s v="Current"/>
    <s v="ana.scotti"/>
    <x v="0"/>
    <x v="1"/>
    <x v="0"/>
  </r>
  <r>
    <s v="Sales order revenue"/>
    <d v="2026-02-04T00:00:00"/>
    <s v="IPG Media Brands SA"/>
    <s v="30693739698"/>
    <m/>
    <m/>
    <s v="SOIAR-000015169, 30693739698, IPG Media Brands SA"/>
    <s v="SOIAR-000015169"/>
    <s v="4101011200-Twitter Billing-ARG-IARG-ARG-Rep"/>
    <s v="GJT219868"/>
    <s v="IARG_CI_00017929"/>
    <d v="2026-02-04T00:00:00"/>
    <s v="4101011200-Twitter Billing-ARG-IARG-ARG-Rep"/>
    <s v="4101011200"/>
    <s v="Representation"/>
    <x v="0"/>
    <n v="-4501351.08"/>
    <n v="-4501351.08"/>
    <n v="-3103.42"/>
    <s v="Current"/>
    <s v="ana.scotti"/>
    <x v="0"/>
    <x v="1"/>
    <x v="0"/>
  </r>
  <r>
    <s v="Sales order revenue"/>
    <d v="2026-02-04T00:00:00"/>
    <s v="IPG Media Brands SA"/>
    <s v="30693739698"/>
    <m/>
    <m/>
    <s v="SOIAR-000015169, 30693739698, IPG Media Brands SA"/>
    <s v="SOIAR-000015169"/>
    <s v="4101011200-Twitter Billing-ARG-IARG-ARG-Rep"/>
    <s v="GJT219868"/>
    <s v="IARG_CI_00017929"/>
    <d v="2026-02-04T00:00:00"/>
    <s v="4101011200-Twitter Billing-ARG-IARG-ARG-Rep"/>
    <s v="4101011200"/>
    <s v="Representation"/>
    <x v="0"/>
    <n v="0"/>
    <n v="0"/>
    <n v="-5.04"/>
    <s v="Current"/>
    <s v="ana.scotti"/>
    <x v="0"/>
    <x v="1"/>
    <x v="0"/>
  </r>
  <r>
    <s v="Sales order revenue"/>
    <d v="2026-02-04T00:00:00"/>
    <s v="IPG Media Brands SA"/>
    <s v="30693739698"/>
    <m/>
    <m/>
    <s v="SOIAR-000015169, 30693739698, IPG Media Brands SA"/>
    <s v="SOIAR-000015169"/>
    <s v="4101011200-Twitter Billing-ARG-IARG-ARG-Rep"/>
    <s v="GJT219868"/>
    <s v="IARG_CI_00017929"/>
    <d v="2026-02-04T00:00:00"/>
    <s v="4101011200-Twitter Billing-ARG-IARG-ARG-Rep"/>
    <s v="4101011200"/>
    <s v="Representation"/>
    <x v="0"/>
    <n v="0"/>
    <n v="0"/>
    <n v="-1.5"/>
    <s v="Current"/>
    <s v="ana.scotti"/>
    <x v="0"/>
    <x v="1"/>
    <x v="0"/>
  </r>
  <r>
    <s v="Sales - packing slip revenue"/>
    <d v="2026-02-04T00:00:00"/>
    <s v="IPG Media Brands SA"/>
    <s v="30693739698"/>
    <m/>
    <m/>
    <s v="SOIAR-000015169, 30693739698, IPG Media Brands SA"/>
    <s v="SOIAR-000015169"/>
    <s v="4101011200-Twitter Billing-ARG-IARG-ARG-Rep"/>
    <s v="GJT219868"/>
    <s v="IARG_CI_00017929"/>
    <d v="2026-02-04T00:00:00"/>
    <s v="4101011200-Twitter Billing-ARG-IARG-ARG-Rep"/>
    <s v="4101011200"/>
    <s v="Representation"/>
    <x v="0"/>
    <n v="4501351.08"/>
    <n v="4501351.08"/>
    <n v="3109.96"/>
    <s v="Current"/>
    <s v="ana.scotti"/>
    <x v="0"/>
    <x v="1"/>
    <x v="0"/>
  </r>
  <r>
    <s v="Sales - packing slip revenue"/>
    <d v="2026-02-28T00:00:00"/>
    <m/>
    <m/>
    <m/>
    <m/>
    <s v="SOIUS-000002102, 6OXMON0FEY"/>
    <s v="SOIUS-000002102"/>
    <s v="4101011200-Twitter-ARG-IUSA-ARG-Rep"/>
    <s v="GJT074159"/>
    <s v="PS005401"/>
    <d v="2026-02-28T00:00:00"/>
    <s v="4101011200-Twitter-ARG-IUSA-ARG-Rep"/>
    <s v="4101011200"/>
    <s v="Representation"/>
    <x v="1"/>
    <n v="-902.75"/>
    <n v="-902.75"/>
    <n v="-902.75"/>
    <s v="Current"/>
    <s v="pedro.ferrauti"/>
    <x v="1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700-000000000000}" name="com" cacheId="459" applyNumberFormats="0" applyBorderFormats="0" applyFontFormats="0" applyPatternFormats="0" applyAlignmentFormats="0" applyWidthHeightFormats="0" dataCaption="" updatedVersion="8" createdVersion="6" compact="0" compactData="0">
  <location ref="A5:E9" firstHeaderRow="1" firstDataRow="1" firstDataCol="4" rowPageCount="1" colPageCount="1"/>
  <pivotFields count="64">
    <pivotField name="Account ID" compact="0" numFmtId="49" outline="0" multipleItemSelectionAllowed="1" showAll="0"/>
    <pivotField name="BU Name" axis="axisRow" compact="0" numFmtId="49" outline="0" multipleItemSelectionAllowed="1" showAll="0" sortType="ascending" defaultSubtotal="0">
      <items count="6">
        <item m="1" x="2"/>
        <item m="1" x="3"/>
        <item x="1"/>
        <item m="1" x="4"/>
        <item x="0"/>
        <item m="1" x="5"/>
      </items>
    </pivotField>
    <pivotField name="Division" compact="0" numFmtId="49" outline="0" multipleItemSelectionAllowed="1" showAll="0"/>
    <pivotField name="Structured Name" compact="0" numFmtId="49" outline="0" multipleItemSelectionAllowed="1" showAll="0"/>
    <pivotField name="SO Status" compact="0" numFmtId="49" outline="0" multipleItemSelectionAllowed="1" showAll="0"/>
    <pivotField name="PO Status" compact="0" numFmtId="49" outline="0" multipleItemSelectionAllowed="1" showAll="0"/>
    <pivotField name="Reporting Country" axis="axisRow" compact="0" numFmtId="49" outline="0" multipleItemSelectionAllowed="1" showAll="0" sortType="ascending">
      <items count="46">
        <item x="0"/>
        <item m="1" x="17"/>
        <item m="1" x="3"/>
        <item m="1" x="6"/>
        <item m="1" x="12"/>
        <item m="1" x="10"/>
        <item m="1" x="43"/>
        <item m="1" x="22"/>
        <item m="1" x="13"/>
        <item m="1" x="11"/>
        <item m="1" x="2"/>
        <item m="1" x="33"/>
        <item m="1" x="32"/>
        <item m="1" x="9"/>
        <item m="1" x="42"/>
        <item m="1" x="23"/>
        <item m="1" x="19"/>
        <item m="1" x="36"/>
        <item m="1" x="21"/>
        <item m="1" x="27"/>
        <item m="1" x="29"/>
        <item m="1" x="30"/>
        <item m="1" x="5"/>
        <item m="1" x="34"/>
        <item m="1" x="25"/>
        <item m="1" x="44"/>
        <item m="1" x="35"/>
        <item m="1" x="8"/>
        <item m="1" x="4"/>
        <item m="1" x="37"/>
        <item m="1" x="31"/>
        <item m="1" x="18"/>
        <item m="1" x="39"/>
        <item m="1" x="14"/>
        <item m="1" x="40"/>
        <item m="1" x="38"/>
        <item m="1" x="41"/>
        <item m="1" x="26"/>
        <item m="1" x="20"/>
        <item m="1" x="28"/>
        <item m="1" x="15"/>
        <item m="1" x="16"/>
        <item m="1" x="1"/>
        <item m="1" x="24"/>
        <item m="1" x="7"/>
        <item t="default"/>
      </items>
    </pivotField>
    <pivotField name="Billing Entity" axis="axisRow" compact="0" numFmtId="49" outline="0" multipleItemSelectionAllowed="1" showAll="0" sortType="ascending" defaultSubtotal="0">
      <items count="42">
        <item x="1"/>
        <item m="1" x="16"/>
        <item m="1" x="4"/>
        <item m="1" x="7"/>
        <item m="1" x="39"/>
        <item m="1" x="23"/>
        <item m="1" x="12"/>
        <item m="1" x="3"/>
        <item m="1" x="40"/>
        <item m="1" x="38"/>
        <item m="1" x="21"/>
        <item m="1" x="18"/>
        <item m="1" x="36"/>
        <item m="1" x="25"/>
        <item m="1" x="27"/>
        <item m="1" x="41"/>
        <item m="1" x="28"/>
        <item m="1" x="6"/>
        <item m="1" x="30"/>
        <item m="1" x="10"/>
        <item m="1" x="5"/>
        <item m="1" x="29"/>
        <item m="1" x="9"/>
        <item m="1" x="33"/>
        <item m="1" x="13"/>
        <item m="1" x="35"/>
        <item m="1" x="32"/>
        <item m="1" x="37"/>
        <item m="1" x="24"/>
        <item m="1" x="14"/>
        <item m="1" x="15"/>
        <item m="1" x="22"/>
        <item m="1" x="20"/>
        <item m="1" x="2"/>
        <item x="0"/>
        <item m="1" x="11"/>
        <item m="1" x="31"/>
        <item m="1" x="17"/>
        <item m="1" x="19"/>
        <item m="1" x="26"/>
        <item m="1" x="34"/>
        <item m="1" x="8"/>
      </items>
    </pivotField>
    <pivotField name="Billing Country" compact="0" numFmtId="49" outline="0" multipleItemSelectionAllowed="1" showAll="0"/>
    <pivotField name="Revenue (Net Budget Delivered (Billing Currency))" compact="0" outline="0" multipleItemSelectionAllowed="1" showAll="0"/>
    <pivotField name="Revenue (Net Budget Delivered (Billing Currency)) w/o deals" compact="0" outline="0" multipleItemSelectionAllowed="1" showAll="0"/>
    <pivotField name="Bill Curr" compact="0" numFmtId="49" outline="0" multipleItemSelectionAllowed="1" showAll="0"/>
    <pivotField name="Total Net Budget (Delivered)" compact="0" outline="0" multipleItemSelectionAllowed="1" showAll="0"/>
    <pivotField name="Account Curr" compact="0" numFmtId="49" outline="0" multipleItemSelectionAllowed="1" showAll="0"/>
    <pivotField name="Qualified Purch Qty" axis="axisPage" compact="0" outline="0" multipleItemSelectionAllowed="1" showAll="0">
      <items count="2157"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79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x="0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x="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x="2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80"/>
        <item m="1" x="81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x="3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x="4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82"/>
        <item m="1" x="382"/>
        <item m="1" x="383"/>
        <item m="1" x="384"/>
        <item m="1" x="385"/>
        <item m="1" x="386"/>
        <item x="5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83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x="6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x="7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x="8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84"/>
        <item m="1" x="154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85"/>
        <item m="1" x="86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x="9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x="10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87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x="12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99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8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9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x="11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1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2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x="13"/>
        <item m="1" x="1008"/>
        <item m="1" x="1009"/>
        <item m="1" x="1010"/>
        <item m="1" x="1011"/>
        <item m="1" x="1012"/>
        <item m="1" x="1013"/>
        <item m="1" x="93"/>
        <item x="14"/>
        <item m="1" x="94"/>
        <item m="1" x="1014"/>
        <item m="1" x="1015"/>
        <item m="1" x="1016"/>
        <item x="15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x="16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95"/>
        <item x="17"/>
        <item m="1" x="1109"/>
        <item m="1" x="1110"/>
        <item m="1" x="1111"/>
        <item m="1" x="1112"/>
        <item x="18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x="19"/>
        <item m="1" x="1134"/>
        <item m="1" x="1135"/>
        <item m="1" x="1136"/>
        <item m="1" x="1137"/>
        <item m="1" x="96"/>
        <item m="1" x="1138"/>
        <item m="1" x="1139"/>
        <item m="1" x="1140"/>
        <item m="1" x="1141"/>
        <item m="1" x="1142"/>
        <item m="1" x="1143"/>
        <item m="1" x="97"/>
        <item m="1" x="98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x="20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x="21"/>
        <item m="1" x="1202"/>
        <item m="1" x="1203"/>
        <item m="1" x="1204"/>
        <item m="1" x="1205"/>
        <item m="1" x="1206"/>
        <item m="1" x="1207"/>
        <item m="1" x="1208"/>
        <item m="1" x="1209"/>
        <item m="1" x="157"/>
        <item m="1" x="1210"/>
        <item m="1" x="1211"/>
        <item m="1" x="1212"/>
        <item m="1" x="1213"/>
        <item m="1" x="1214"/>
        <item m="1" x="1215"/>
        <item x="22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00"/>
        <item x="23"/>
        <item m="1" x="101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x="24"/>
        <item m="1" x="1281"/>
        <item m="1" x="1282"/>
        <item m="1" x="1283"/>
        <item m="1" x="102"/>
        <item m="1" x="103"/>
        <item m="1" x="104"/>
        <item m="1" x="105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06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x="25"/>
        <item x="26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x="27"/>
        <item m="1" x="107"/>
        <item x="28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x="29"/>
        <item x="30"/>
        <item x="31"/>
        <item m="1" x="1341"/>
        <item x="32"/>
        <item m="1" x="1342"/>
        <item m="1" x="108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09"/>
        <item m="1" x="110"/>
        <item m="1" x="111"/>
        <item m="1" x="112"/>
        <item m="1" x="113"/>
        <item m="1" x="114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7"/>
        <item m="1" x="1382"/>
        <item m="1" x="1383"/>
        <item x="33"/>
        <item x="34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15"/>
        <item m="1" x="1408"/>
        <item x="35"/>
        <item m="1" x="1409"/>
        <item m="1" x="1410"/>
        <item x="36"/>
        <item m="1" x="116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x="37"/>
        <item m="1" x="117"/>
        <item x="38"/>
        <item m="1" x="118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19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x="39"/>
        <item x="40"/>
        <item m="1" x="120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21"/>
        <item m="1" x="1506"/>
        <item m="1" x="122"/>
        <item m="1" x="123"/>
        <item x="41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24"/>
        <item m="1" x="125"/>
        <item m="1" x="1524"/>
        <item x="42"/>
        <item m="1" x="126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27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x="43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x="44"/>
        <item m="1" x="1582"/>
        <item m="1" x="1583"/>
        <item m="1" x="1584"/>
        <item m="1" x="1585"/>
        <item m="1" x="1586"/>
        <item m="1" x="128"/>
        <item x="45"/>
        <item m="1" x="129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x="46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x="47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30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x="48"/>
        <item x="49"/>
        <item m="1" x="1709"/>
        <item m="1" x="1710"/>
        <item x="5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x="51"/>
        <item m="1" x="1742"/>
        <item m="1" x="131"/>
        <item m="1" x="1743"/>
        <item m="1" x="1744"/>
        <item m="1" x="132"/>
        <item m="1" x="133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x="52"/>
        <item m="1" x="1757"/>
        <item m="1" x="1758"/>
        <item m="1" x="1759"/>
        <item x="53"/>
        <item m="1" x="134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35"/>
        <item m="1" x="136"/>
        <item m="1" x="1777"/>
        <item m="1" x="1778"/>
        <item x="54"/>
        <item m="1" x="1779"/>
        <item x="55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63"/>
        <item m="1" x="1805"/>
        <item x="56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38"/>
        <item m="1" x="139"/>
        <item m="1" x="140"/>
        <item m="1" x="141"/>
        <item m="1" x="142"/>
        <item m="1" x="143"/>
        <item m="1" x="144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x="57"/>
        <item m="1" x="1840"/>
        <item m="1" x="1841"/>
        <item m="1" x="1842"/>
        <item m="1" x="1843"/>
        <item m="1" x="1844"/>
        <item m="1" x="1845"/>
        <item x="58"/>
        <item m="1" x="145"/>
        <item m="1" x="146"/>
        <item m="1" x="147"/>
        <item m="1" x="148"/>
        <item x="59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x="60"/>
        <item m="1" x="149"/>
        <item m="1" x="1868"/>
        <item m="1" x="1869"/>
        <item m="1" x="1870"/>
        <item m="1" x="150"/>
        <item m="1" x="151"/>
        <item m="1" x="152"/>
        <item x="61"/>
        <item x="62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53"/>
        <item m="1" x="1899"/>
        <item m="1" x="1900"/>
        <item m="1" x="155"/>
        <item m="1" x="156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58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59"/>
        <item x="63"/>
        <item m="1" x="160"/>
        <item m="1" x="1947"/>
        <item m="1" x="161"/>
        <item m="1" x="162"/>
        <item m="1" x="164"/>
        <item m="1" x="165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x="64"/>
        <item x="65"/>
        <item x="66"/>
        <item m="1" x="166"/>
        <item m="1" x="167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x="67"/>
        <item m="1" x="168"/>
        <item m="1" x="169"/>
        <item x="68"/>
        <item x="69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170"/>
        <item m="1" x="2003"/>
        <item m="1" x="2004"/>
        <item x="70"/>
        <item x="71"/>
        <item m="1" x="171"/>
        <item x="72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x="73"/>
        <item m="1" x="172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x="74"/>
        <item m="1" x="2042"/>
        <item m="1" x="2043"/>
        <item m="1" x="173"/>
        <item m="1" x="174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175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176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17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x="76"/>
        <item m="1" x="178"/>
        <item m="1" x="2125"/>
        <item m="1" x="2126"/>
        <item m="1" x="179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180"/>
        <item x="77"/>
        <item m="1" x="181"/>
        <item m="1" x="2137"/>
        <item m="1" x="2138"/>
        <item m="1" x="2139"/>
        <item m="1" x="2140"/>
        <item m="1" x="2141"/>
        <item m="1" x="2142"/>
        <item m="1" x="2143"/>
        <item x="78"/>
        <item m="1" x="2144"/>
        <item m="1" x="2145"/>
        <item m="1" x="2146"/>
        <item m="1" x="2147"/>
        <item m="1" x="2148"/>
        <item m="1" x="182"/>
        <item m="1" x="2149"/>
        <item m="1" x="2150"/>
        <item m="1" x="2151"/>
        <item m="1" x="2152"/>
        <item m="1" x="2153"/>
        <item m="1" x="2154"/>
        <item m="1" x="2155"/>
        <item x="75"/>
        <item t="default"/>
      </items>
    </pivotField>
    <pivotField name="Costs" compact="0" outline="0" multipleItemSelectionAllowed="1" showAll="0"/>
    <pivotField name="Purch Curr" compact="0" numFmtId="49" outline="0" multipleItemSelectionAllowed="1" showAll="0"/>
    <pivotField name="Purch Country" axis="axisRow" compact="0" numFmtId="49" outline="0" multipleItemSelectionAllowed="1" showAll="0" sortType="ascending" defaultSubtotal="0">
      <items count="13">
        <item m="1" x="12"/>
        <item m="1" x="9"/>
        <item m="1" x="7"/>
        <item m="1" x="11"/>
        <item x="0"/>
        <item m="1" x="2"/>
        <item m="1" x="6"/>
        <item m="1" x="4"/>
        <item m="1" x="8"/>
        <item m="1" x="3"/>
        <item m="1" x="10"/>
        <item m="1" x="5"/>
        <item m="1" x="1"/>
      </items>
    </pivotField>
    <pivotField name="Deal Name" compact="0" numFmtId="49" outline="0" multipleItemSelectionAllowed="1" showAll="0"/>
    <pivotField name="Expected Discount %" compact="0" outline="0" multipleItemSelectionAllowed="1" showAll="0"/>
    <pivotField name="Real Discount %" compact="0" outline="0" multipleItemSelectionAllowed="1" showAll="0"/>
    <pivotField name="Year Month" compact="0" numFmtId="49" outline="0" multipleItemSelectionAllowed="1" showAll="0"/>
    <pivotField name="Posting Period" compact="0" numFmtId="49" outline="0" multipleItemSelectionAllowed="1" showAll="0"/>
    <pivotField name="division2" compact="0" numFmtId="49" outline="0" multipleItemSelectionAllowed="1" showAll="0"/>
    <pivotField name="Quota Country" compact="0" numFmtId="49" outline="0" multipleItemSelectionAllowed="1" showAll="0"/>
    <pivotField name="Purchase Country" compact="0" numFmtId="49" outline="0" multipleItemSelectionAllowed="1" showAll="0"/>
    <pivotField name="account curr2" compact="0" numFmtId="49" outline="0" multipleItemSelectionAllowed="1" showAll="0"/>
    <pivotField name="Revenue" compact="0" outline="0" multipleItemSelectionAllowed="1" showAll="0"/>
    <pivotField name="purch curr2" compact="0" numFmtId="49" outline="0" multipleItemSelectionAllowed="1" showAll="0"/>
    <pivotField name="Cost" compact="0" outline="0" multipleItemSelectionAllowed="1" showAll="0"/>
    <pivotField name="Commision percentage" compact="0" outline="0" multipleItemSelectionAllowed="1" showAll="0"/>
    <pivotField name="Purch Curr (SF-Bil)" compact="0" numFmtId="49" outline="0" multipleItemSelectionAllowed="1" showAll="0"/>
    <pivotField name="Rev Dif (SF-Bil)" compact="0" outline="0" multipleItemSelectionAllowed="1" showAll="0"/>
    <pivotField name="Rev Dif (SF-Bil) USD" compact="0" outline="0" multipleItemSelectionAllowed="1" showAll="0"/>
    <pivotField name="Cost Dif (SF-Bil)" compact="0" outline="0" multipleItemSelectionAllowed="1" showAll="0"/>
    <pivotField name="Cost Dif (SF-Bil)  USD" compact="0" outline="0" multipleItemSelectionAllowed="1" showAll="0"/>
    <pivotField name="Margin _x000a_(SF Rev-Cogs)" compact="0" outline="0" multipleItemSelectionAllowed="1" showAll="0"/>
    <pivotField name="Purch Country (SF-Bil)" compact="0" numFmtId="49" outline="0" multipleItemSelectionAllowed="1" showAll="0"/>
    <pivotField name="Invoice Number" compact="0" numFmtId="49" outline="0" multipleItemSelectionAllowed="1" showAll="0"/>
    <pivotField name="Action Point" compact="0" numFmtId="49" outline="0" multipleItemSelectionAllowed="1" showAll="0"/>
    <pivotField name="Bill To" compact="0" numFmtId="49" outline="0" multipleItemSelectionAllowed="1" showAll="0"/>
    <pivotField name="account curr3" compact="0" numFmtId="49" outline="0" multipleItemSelectionAllowed="1" showAll="0"/>
    <pivotField name="Account Spend Net" compact="0" numFmtId="49" outline="0" multipleItemSelectionAllowed="1" showAll="0"/>
    <pivotField name="purch curr3" compact="0" numFmtId="49" outline="0" multipleItemSelectionAllowed="1" showAll="0"/>
    <pivotField name="Purch Spend Net" compact="0" numFmtId="49" outline="0" multipleItemSelectionAllowed="1" showAll="0"/>
    <pivotField name="Account Curr (inv-SF)" compact="0" numFmtId="49" outline="0" multipleItemSelectionAllowed="1" showAll="0"/>
    <pivotField name="Rev Dif (Inv - SF)" compact="0" outline="0" multipleItemSelectionAllowed="1" showAll="0"/>
    <pivotField name="Rev Dif (Inv - SF) USD" compact="0" outline="0" multipleItemSelectionAllowed="1" showAll="0"/>
    <pivotField name="Purch Curr (SF-Inv)" compact="0" numFmtId="49" outline="0" multipleItemSelectionAllowed="1" showAll="0"/>
    <pivotField name="Cost Dif (SF-Inv)" compact="0" outline="0" multipleItemSelectionAllowed="1" showAll="0"/>
    <pivotField name="Cost Dif (SF-Inv) USD" compact="0" outline="0" multipleItemSelectionAllowed="1" showAll="0"/>
    <pivotField name="purch curr4" compact="0" numFmtId="49" outline="0" multipleItemSelectionAllowed="1" showAll="0"/>
    <pivotField name="Spend Amount" compact="0" outline="0" multipleItemSelectionAllowed="1" showAll="0"/>
    <pivotField name="Curr (SF-Stat)" compact="0" numFmtId="49" outline="0" multipleItemSelectionAllowed="1" showAll="0"/>
    <pivotField name="Dif (SF-Stat)" compact="0" outline="0" multipleItemSelectionAllowed="1" showAll="0"/>
    <pivotField name="Dif (SF-Stat) USD" compact="0" outline="0" multipleItemSelectionAllowed="1" showAll="0"/>
    <pivotField name="Comm Percent" compact="0" outline="0" multipleItemSelectionAllowed="1" showAll="0"/>
    <pivotField name="Comm Purch Curr" compact="0" outline="0" multipleItemSelectionAllowed="1" showAll="0"/>
    <pivotField name="Comm USD Curr" dataField="1" compact="0" outline="0" multipleItemSelectionAllowed="1" showAll="0"/>
    <pivotField name="Net Interco" compact="0" outline="0" multipleItemSelectionAllowed="1" showAll="0"/>
    <pivotField name="Direct Tax Percent" compact="0" outline="0" multipleItemSelectionAllowed="1" showAll="0"/>
    <pivotField name="Direct Tax Purch Curr" compact="0" outline="0" multipleItemSelectionAllowed="1" showAll="0"/>
    <pivotField name="Direct Tax USD Curr" compact="0" outline="0" multipleItemSelectionAllowed="1" showAll="0"/>
    <pivotField name="With Tax Percent" compact="0" outline="0" multipleItemSelectionAllowed="1" showAll="0"/>
  </pivotFields>
  <rowFields count="4">
    <field x="17"/>
    <field x="1"/>
    <field x="7"/>
    <field x="6"/>
  </rowFields>
  <rowItems count="4">
    <i>
      <x v="4"/>
      <x v="2"/>
      <x/>
      <x/>
    </i>
    <i r="1">
      <x v="4"/>
      <x/>
      <x/>
    </i>
    <i r="2">
      <x v="34"/>
      <x/>
    </i>
    <i t="grand">
      <x/>
    </i>
  </rowItems>
  <colItems count="1">
    <i/>
  </colItems>
  <pageFields count="1">
    <pageField fld="14" hier="0"/>
  </pageFields>
  <dataFields count="1">
    <dataField name="Total Comm USD Curr" fld="58" baseField="0"/>
  </dataFields>
  <pivotTableStyleInfo showRowHeaders="1" showColHeaders="1" showRowStripes="0" showColStripes="0" showLastColumn="1"/>
  <filters count="1">
    <filter fld="14" type="captionNotContains" evalOrder="-1" id="2" stringValue1="Purch">
      <autoFilter ref="A1">
        <filterColumn colId="0">
          <customFilters>
            <customFilter operator="notEqual" val="*Purch*"/>
          </customFilters>
        </filterColumn>
      </autoFilter>
    </filter>
  </filters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A00-000002000000}" name="int 3" cacheId="459" applyNumberFormats="0" applyBorderFormats="0" applyFontFormats="0" applyPatternFormats="0" applyAlignmentFormats="0" applyWidthHeightFormats="0" dataCaption="" updatedVersion="8" rowGrandTotals="0" createdVersion="6" compact="0" compactData="0">
  <location ref="M7:Q10" firstHeaderRow="1" firstDataRow="1" firstDataCol="4" rowPageCount="1" colPageCount="1"/>
  <pivotFields count="64">
    <pivotField name="Account ID" compact="0" numFmtId="49" outline="0" multipleItemSelectionAllowed="1" showAll="0"/>
    <pivotField name="BU Name" compact="0" numFmtId="49" outline="0" multipleItemSelectionAllowed="1" showAll="0"/>
    <pivotField name="Division" compact="0" numFmtId="49" outline="0" multipleItemSelectionAllowed="1" showAll="0"/>
    <pivotField name="Structured Name" compact="0" numFmtId="49" outline="0" multipleItemSelectionAllowed="1" showAll="0"/>
    <pivotField name="SO Status" compact="0" numFmtId="49" outline="0" multipleItemSelectionAllowed="1" showAll="0"/>
    <pivotField name="PO Status" compact="0" numFmtId="49" outline="0" multipleItemSelectionAllowed="1" showAll="0"/>
    <pivotField name="Reporting Country" axis="axisRow" compact="0" numFmtId="49" outline="0" multipleItemSelectionAllowed="1" showAll="0" sortType="ascending">
      <items count="46">
        <item x="0"/>
        <item m="1" x="17"/>
        <item m="1" x="3"/>
        <item m="1" x="6"/>
        <item m="1" x="12"/>
        <item m="1" x="10"/>
        <item m="1" x="43"/>
        <item m="1" x="22"/>
        <item m="1" x="13"/>
        <item m="1" x="11"/>
        <item m="1" x="2"/>
        <item m="1" x="33"/>
        <item m="1" x="32"/>
        <item m="1" x="9"/>
        <item m="1" x="42"/>
        <item m="1" x="23"/>
        <item m="1" x="19"/>
        <item m="1" x="36"/>
        <item m="1" x="21"/>
        <item m="1" x="27"/>
        <item m="1" x="29"/>
        <item m="1" x="30"/>
        <item m="1" x="5"/>
        <item m="1" x="34"/>
        <item m="1" x="25"/>
        <item m="1" x="44"/>
        <item m="1" x="35"/>
        <item m="1" x="8"/>
        <item m="1" x="4"/>
        <item m="1" x="37"/>
        <item m="1" x="31"/>
        <item m="1" x="18"/>
        <item m="1" x="39"/>
        <item m="1" x="14"/>
        <item m="1" x="40"/>
        <item m="1" x="38"/>
        <item m="1" x="41"/>
        <item m="1" x="26"/>
        <item m="1" x="20"/>
        <item m="1" x="28"/>
        <item m="1" x="15"/>
        <item m="1" x="16"/>
        <item m="1" x="1"/>
        <item m="1" x="24"/>
        <item m="1" x="7"/>
        <item t="default"/>
      </items>
    </pivotField>
    <pivotField name="Billing Entity" axis="axisRow" compact="0" numFmtId="49" outline="0" multipleItemSelectionAllowed="1" showAll="0" sortType="ascending" defaultSubtotal="0">
      <items count="42">
        <item x="1"/>
        <item m="1" x="16"/>
        <item m="1" x="4"/>
        <item m="1" x="7"/>
        <item m="1" x="39"/>
        <item m="1" x="23"/>
        <item m="1" x="12"/>
        <item m="1" x="3"/>
        <item m="1" x="40"/>
        <item m="1" x="38"/>
        <item m="1" x="21"/>
        <item m="1" x="18"/>
        <item m="1" x="36"/>
        <item m="1" x="25"/>
        <item m="1" x="27"/>
        <item m="1" x="41"/>
        <item m="1" x="28"/>
        <item m="1" x="6"/>
        <item m="1" x="30"/>
        <item m="1" x="10"/>
        <item m="1" x="5"/>
        <item m="1" x="29"/>
        <item m="1" x="9"/>
        <item m="1" x="33"/>
        <item m="1" x="13"/>
        <item m="1" x="35"/>
        <item m="1" x="32"/>
        <item m="1" x="37"/>
        <item m="1" x="24"/>
        <item m="1" x="14"/>
        <item m="1" x="15"/>
        <item m="1" x="22"/>
        <item m="1" x="20"/>
        <item m="1" x="2"/>
        <item x="0"/>
        <item m="1" x="11"/>
        <item m="1" x="31"/>
        <item m="1" x="17"/>
        <item m="1" x="19"/>
        <item m="1" x="26"/>
        <item m="1" x="34"/>
        <item m="1" x="8"/>
      </items>
    </pivotField>
    <pivotField name="Billing Country" compact="0" numFmtId="49" outline="0" multipleItemSelectionAllowed="1" showAll="0"/>
    <pivotField name="Revenue (Net Budget Delivered (Billing Currency))" compact="0" outline="0" multipleItemSelectionAllowed="1" showAll="0"/>
    <pivotField name="Revenue (Net Budget Delivered (Billing Currency)) w/o deals" compact="0" outline="0" multipleItemSelectionAllowed="1" showAll="0"/>
    <pivotField name="Bill Curr" compact="0" numFmtId="49" outline="0" multipleItemSelectionAllowed="1" showAll="0"/>
    <pivotField name="Total Net Budget (Delivered)" compact="0" outline="0" multipleItemSelectionAllowed="1" showAll="0"/>
    <pivotField name="Account Curr" compact="0" numFmtId="49" outline="0" multipleItemSelectionAllowed="1" showAll="0"/>
    <pivotField name="Qualified Purch Qty" compact="0" outline="0" multipleItemSelectionAllowed="1" showAll="0"/>
    <pivotField name="Costs" compact="0" outline="0" multipleItemSelectionAllowed="1" showAll="0"/>
    <pivotField name="Purch Curr" axis="axisRow" compact="0" numFmtId="49" outline="0" multipleItemSelectionAllowed="1" showAll="0" sortType="ascending" defaultSubtotal="0">
      <items count="21">
        <item m="1" x="20"/>
        <item x="0"/>
        <item m="1" x="2"/>
        <item m="1" x="5"/>
        <item m="1" x="8"/>
        <item m="1" x="11"/>
        <item m="1" x="13"/>
        <item m="1" x="12"/>
        <item m="1" x="4"/>
        <item m="1" x="17"/>
        <item m="1" x="14"/>
        <item m="1" x="3"/>
        <item m="1" x="18"/>
        <item m="1" x="7"/>
        <item m="1" x="9"/>
        <item m="1" x="16"/>
        <item m="1" x="10"/>
        <item x="1"/>
        <item m="1" x="19"/>
        <item m="1" x="15"/>
        <item m="1" x="6"/>
      </items>
    </pivotField>
    <pivotField name="Purch Country" axis="axisRow" compact="0" numFmtId="49" outline="0" multipleItemSelectionAllowed="1" showAll="0" sortType="ascending" defaultSubtotal="0">
      <items count="13">
        <item m="1" x="12"/>
        <item m="1" x="9"/>
        <item m="1" x="7"/>
        <item m="1" x="11"/>
        <item x="0"/>
        <item m="1" x="2"/>
        <item m="1" x="6"/>
        <item m="1" x="4"/>
        <item m="1" x="8"/>
        <item m="1" x="3"/>
        <item m="1" x="10"/>
        <item m="1" x="5"/>
        <item m="1" x="1"/>
      </items>
    </pivotField>
    <pivotField name="Deal Name" compact="0" numFmtId="49" outline="0" multipleItemSelectionAllowed="1" showAll="0"/>
    <pivotField name="Expected Discount %" compact="0" outline="0" multipleItemSelectionAllowed="1" showAll="0"/>
    <pivotField name="Real Discount %" compact="0" outline="0" multipleItemSelectionAllowed="1" showAll="0"/>
    <pivotField name="Year Month" compact="0" numFmtId="49" outline="0" multipleItemSelectionAllowed="1" showAll="0"/>
    <pivotField name="Posting Period" compact="0" numFmtId="49" outline="0" multipleItemSelectionAllowed="1" showAll="0"/>
    <pivotField name="division2" compact="0" numFmtId="49" outline="0" multipleItemSelectionAllowed="1" showAll="0"/>
    <pivotField name="Quota Country" compact="0" numFmtId="49" outline="0" multipleItemSelectionAllowed="1" showAll="0"/>
    <pivotField name="Purchase Country" axis="axisPage" compact="0" numFmtId="49" outline="0" multipleItemSelectionAllowed="1" showAll="0">
      <items count="14">
        <item m="1" x="1"/>
        <item m="1" x="2"/>
        <item m="1" x="3"/>
        <item m="1" x="4"/>
        <item m="1" x="5"/>
        <item m="1" x="6"/>
        <item m="1" x="7"/>
        <item m="1" x="8"/>
        <item x="0"/>
        <item m="1" x="9"/>
        <item m="1" x="10"/>
        <item m="1" x="11"/>
        <item m="1" x="12"/>
        <item t="default"/>
      </items>
    </pivotField>
    <pivotField name="account curr2" compact="0" numFmtId="49" outline="0" multipleItemSelectionAllowed="1" showAll="0"/>
    <pivotField name="Revenue" compact="0" outline="0" multipleItemSelectionAllowed="1" showAll="0"/>
    <pivotField name="purch curr2" compact="0" numFmtId="49" outline="0" multipleItemSelectionAllowed="1" showAll="0"/>
    <pivotField name="Cost" compact="0" outline="0" multipleItemSelectionAllowed="1" showAll="0"/>
    <pivotField name="Commision percentage" compact="0" outline="0" multipleItemSelectionAllowed="1" showAll="0"/>
    <pivotField name="Purch Curr (SF-Bil)" compact="0" numFmtId="49" outline="0" multipleItemSelectionAllowed="1" showAll="0"/>
    <pivotField name="Rev Dif (SF-Bil)" compact="0" outline="0" multipleItemSelectionAllowed="1" showAll="0"/>
    <pivotField name="Rev Dif (SF-Bil) USD" compact="0" outline="0" multipleItemSelectionAllowed="1" showAll="0"/>
    <pivotField name="Cost Dif (SF-Bil)" compact="0" outline="0" multipleItemSelectionAllowed="1" showAll="0"/>
    <pivotField name="Cost Dif (SF-Bil)  USD" compact="0" outline="0" multipleItemSelectionAllowed="1" showAll="0"/>
    <pivotField name="Margin _x000a_(SF Rev-Cogs)" compact="0" outline="0" multipleItemSelectionAllowed="1" showAll="0"/>
    <pivotField name="Purch Country (SF-Bil)" compact="0" numFmtId="49" outline="0" multipleItemSelectionAllowed="1" showAll="0"/>
    <pivotField name="Invoice Number" compact="0" numFmtId="49" outline="0" multipleItemSelectionAllowed="1" showAll="0"/>
    <pivotField name="Action Point" compact="0" numFmtId="49" outline="0" multipleItemSelectionAllowed="1" showAll="0"/>
    <pivotField name="Bill To" compact="0" numFmtId="49" outline="0" multipleItemSelectionAllowed="1" showAll="0"/>
    <pivotField name="account curr3" compact="0" numFmtId="49" outline="0" multipleItemSelectionAllowed="1" showAll="0"/>
    <pivotField name="Account Spend Net" compact="0" numFmtId="49" outline="0" multipleItemSelectionAllowed="1" showAll="0"/>
    <pivotField name="purch curr3" compact="0" numFmtId="49" outline="0" multipleItemSelectionAllowed="1" showAll="0"/>
    <pivotField name="Purch Spend Net" compact="0" numFmtId="49" outline="0" multipleItemSelectionAllowed="1" showAll="0"/>
    <pivotField name="Account Curr (inv-SF)" compact="0" numFmtId="49" outline="0" multipleItemSelectionAllowed="1" showAll="0"/>
    <pivotField name="Rev Dif (Inv - SF)" compact="0" outline="0" multipleItemSelectionAllowed="1" showAll="0"/>
    <pivotField name="Rev Dif (Inv - SF) USD" compact="0" outline="0" multipleItemSelectionAllowed="1" showAll="0"/>
    <pivotField name="Purch Curr (SF-Inv)" compact="0" numFmtId="49" outline="0" multipleItemSelectionAllowed="1" showAll="0"/>
    <pivotField name="Cost Dif (SF-Inv)" compact="0" outline="0" multipleItemSelectionAllowed="1" showAll="0"/>
    <pivotField name="Cost Dif (SF-Inv) USD" compact="0" outline="0" multipleItemSelectionAllowed="1" showAll="0"/>
    <pivotField name="purch curr4" compact="0" numFmtId="49" outline="0" multipleItemSelectionAllowed="1" showAll="0"/>
    <pivotField name="Spend Amount" compact="0" outline="0" multipleItemSelectionAllowed="1" showAll="0"/>
    <pivotField name="Curr (SF-Stat)" compact="0" numFmtId="49" outline="0" multipleItemSelectionAllowed="1" showAll="0"/>
    <pivotField name="Dif (SF-Stat)" compact="0" outline="0" multipleItemSelectionAllowed="1" showAll="0"/>
    <pivotField name="Dif (SF-Stat) USD" compact="0" outline="0" multipleItemSelectionAllowed="1" showAll="0"/>
    <pivotField name="Comm Percent" compact="0" outline="0" multipleItemSelectionAllowed="1" showAll="0"/>
    <pivotField name="Comm Purch Curr" compact="0" outline="0" multipleItemSelectionAllowed="1" showAll="0"/>
    <pivotField name="Comm USD Curr" compact="0" outline="0" multipleItemSelectionAllowed="1" showAll="0"/>
    <pivotField name="Net Interco" dataField="1" compact="0" outline="0" multipleItemSelectionAllowed="1" showAll="0"/>
    <pivotField name="Direct Tax Percent" compact="0" outline="0" multipleItemSelectionAllowed="1" showAll="0"/>
    <pivotField name="Direct Tax Purch Curr" compact="0" outline="0" multipleItemSelectionAllowed="1" showAll="0"/>
    <pivotField name="Direct Tax USD Curr" compact="0" outline="0" multipleItemSelectionAllowed="1" showAll="0"/>
    <pivotField name="With Tax Percent" compact="0" outline="0" multipleItemSelectionAllowed="1" showAll="0"/>
  </pivotFields>
  <rowFields count="4">
    <field x="17"/>
    <field x="7"/>
    <field x="16"/>
    <field x="6"/>
  </rowFields>
  <rowItems count="3">
    <i>
      <x v="4"/>
      <x/>
      <x v="1"/>
      <x/>
    </i>
    <i r="2">
      <x v="17"/>
      <x/>
    </i>
    <i r="1">
      <x v="34"/>
      <x v="1"/>
      <x/>
    </i>
  </rowItems>
  <colItems count="1">
    <i/>
  </colItems>
  <pageFields count="1">
    <pageField fld="25" hier="0"/>
  </pageFields>
  <dataFields count="1">
    <dataField name="Total Net Interco" fld="59" baseField="0"/>
  </dataFields>
  <pivotTableStyleInfo showRowHeaders="1" showColHeaders="1" showRowStripes="0" showColStripes="0" showLastColumn="1"/>
  <filters count="1">
    <filter fld="25" type="captionNotContains" evalOrder="-1" id="2" stringValue1="purch">
      <autoFilter ref="A1">
        <filterColumn colId="0">
          <customFilters>
            <customFilter operator="notEqual" val="*purch*"/>
          </customFilters>
        </filterColumn>
      </autoFilter>
    </filter>
  </filters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A00-000001000000}" name="int" cacheId="459" applyNumberFormats="0" applyBorderFormats="0" applyFontFormats="0" applyPatternFormats="0" applyAlignmentFormats="0" applyWidthHeightFormats="0" dataCaption="" updatedVersion="8" rowGrandTotals="0" createdVersion="6" compact="0" compactData="0">
  <location ref="A7:E10" firstHeaderRow="1" firstDataRow="1" firstDataCol="4" rowPageCount="1" colPageCount="1"/>
  <pivotFields count="64">
    <pivotField name="Account ID" compact="0" numFmtId="49" outline="0" multipleItemSelectionAllowed="1" showAll="0"/>
    <pivotField name="BU Name" axis="axisPage" compact="0" numFmtId="49" outline="0" multipleItemSelectionAllowed="1" showAll="0">
      <items count="7">
        <item m="1" x="2"/>
        <item m="1" x="3"/>
        <item x="0"/>
        <item x="1"/>
        <item m="1" x="4"/>
        <item m="1" x="5"/>
        <item t="default"/>
      </items>
    </pivotField>
    <pivotField name="Division" compact="0" numFmtId="49" outline="0" multipleItemSelectionAllowed="1" showAll="0"/>
    <pivotField name="Structured Name" compact="0" numFmtId="49" outline="0" multipleItemSelectionAllowed="1" showAll="0"/>
    <pivotField name="SO Status" compact="0" numFmtId="49" outline="0" multipleItemSelectionAllowed="1" showAll="0"/>
    <pivotField name="PO Status" compact="0" numFmtId="49" outline="0" multipleItemSelectionAllowed="1" showAll="0"/>
    <pivotField name="Reporting Country" axis="axisRow" compact="0" numFmtId="49" outline="0" multipleItemSelectionAllowed="1" showAll="0" sortType="ascending">
      <items count="46">
        <item x="0"/>
        <item m="1" x="17"/>
        <item m="1" x="3"/>
        <item m="1" x="6"/>
        <item m="1" x="12"/>
        <item m="1" x="10"/>
        <item m="1" x="43"/>
        <item m="1" x="22"/>
        <item m="1" x="13"/>
        <item m="1" x="11"/>
        <item m="1" x="2"/>
        <item m="1" x="33"/>
        <item m="1" x="32"/>
        <item m="1" x="9"/>
        <item m="1" x="42"/>
        <item m="1" x="23"/>
        <item m="1" x="19"/>
        <item m="1" x="36"/>
        <item m="1" x="21"/>
        <item m="1" x="27"/>
        <item m="1" x="29"/>
        <item m="1" x="30"/>
        <item m="1" x="5"/>
        <item m="1" x="34"/>
        <item m="1" x="25"/>
        <item m="1" x="44"/>
        <item m="1" x="35"/>
        <item m="1" x="8"/>
        <item m="1" x="4"/>
        <item m="1" x="37"/>
        <item m="1" x="31"/>
        <item m="1" x="18"/>
        <item m="1" x="39"/>
        <item m="1" x="14"/>
        <item m="1" x="40"/>
        <item m="1" x="38"/>
        <item m="1" x="41"/>
        <item m="1" x="26"/>
        <item m="1" x="20"/>
        <item m="1" x="28"/>
        <item m="1" x="15"/>
        <item m="1" x="16"/>
        <item m="1" x="1"/>
        <item m="1" x="24"/>
        <item m="1" x="7"/>
        <item t="default"/>
      </items>
    </pivotField>
    <pivotField name="Billing Entity" axis="axisRow" compact="0" numFmtId="49" outline="0" multipleItemSelectionAllowed="1" showAll="0" sortType="ascending" defaultSubtotal="0">
      <items count="42">
        <item x="1"/>
        <item m="1" x="16"/>
        <item m="1" x="4"/>
        <item m="1" x="7"/>
        <item m="1" x="39"/>
        <item m="1" x="23"/>
        <item m="1" x="12"/>
        <item m="1" x="3"/>
        <item m="1" x="40"/>
        <item m="1" x="38"/>
        <item m="1" x="21"/>
        <item m="1" x="18"/>
        <item m="1" x="36"/>
        <item m="1" x="25"/>
        <item m="1" x="27"/>
        <item m="1" x="41"/>
        <item m="1" x="28"/>
        <item m="1" x="6"/>
        <item m="1" x="30"/>
        <item m="1" x="10"/>
        <item m="1" x="5"/>
        <item m="1" x="29"/>
        <item m="1" x="9"/>
        <item m="1" x="33"/>
        <item m="1" x="13"/>
        <item m="1" x="35"/>
        <item m="1" x="32"/>
        <item m="1" x="37"/>
        <item m="1" x="24"/>
        <item m="1" x="14"/>
        <item m="1" x="15"/>
        <item m="1" x="22"/>
        <item m="1" x="20"/>
        <item m="1" x="2"/>
        <item x="0"/>
        <item m="1" x="11"/>
        <item m="1" x="31"/>
        <item m="1" x="17"/>
        <item m="1" x="19"/>
        <item m="1" x="26"/>
        <item m="1" x="34"/>
        <item m="1" x="8"/>
      </items>
    </pivotField>
    <pivotField name="Billing Country" compact="0" numFmtId="49" outline="0" multipleItemSelectionAllowed="1" showAll="0"/>
    <pivotField name="Revenue (Net Budget Delivered (Billing Currency))" compact="0" outline="0" multipleItemSelectionAllowed="1" showAll="0"/>
    <pivotField name="Revenue (Net Budget Delivered (Billing Currency)) w/o deals" compact="0" outline="0" multipleItemSelectionAllowed="1" showAll="0"/>
    <pivotField name="Bill Curr" compact="0" numFmtId="49" outline="0" multipleItemSelectionAllowed="1" showAll="0"/>
    <pivotField name="Total Net Budget (Delivered)" compact="0" outline="0" multipleItemSelectionAllowed="1" showAll="0"/>
    <pivotField name="Account Curr" compact="0" numFmtId="49" outline="0" multipleItemSelectionAllowed="1" showAll="0"/>
    <pivotField name="Qualified Purch Qty" compact="0" outline="0" multipleItemSelectionAllowed="1" showAll="0"/>
    <pivotField name="Costs" dataField="1" compact="0" outline="0" multipleItemSelectionAllowed="1" showAll="0"/>
    <pivotField name="Purch Curr" axis="axisRow" compact="0" numFmtId="49" outline="0" multipleItemSelectionAllowed="1" showAll="0" sortType="ascending" defaultSubtotal="0">
      <items count="21">
        <item m="1" x="20"/>
        <item x="0"/>
        <item m="1" x="2"/>
        <item m="1" x="5"/>
        <item m="1" x="8"/>
        <item m="1" x="11"/>
        <item m="1" x="13"/>
        <item m="1" x="12"/>
        <item m="1" x="4"/>
        <item m="1" x="17"/>
        <item m="1" x="14"/>
        <item m="1" x="3"/>
        <item m="1" x="18"/>
        <item m="1" x="7"/>
        <item m="1" x="9"/>
        <item m="1" x="16"/>
        <item m="1" x="10"/>
        <item x="1"/>
        <item m="1" x="19"/>
        <item m="1" x="15"/>
        <item m="1" x="6"/>
      </items>
    </pivotField>
    <pivotField name="Purch Country" axis="axisRow" compact="0" numFmtId="49" outline="0" multipleItemSelectionAllowed="1" showAll="0" sortType="ascending" defaultSubtotal="0">
      <items count="13">
        <item m="1" x="12"/>
        <item m="1" x="9"/>
        <item m="1" x="7"/>
        <item m="1" x="11"/>
        <item x="0"/>
        <item m="1" x="2"/>
        <item m="1" x="6"/>
        <item m="1" x="4"/>
        <item m="1" x="8"/>
        <item m="1" x="3"/>
        <item m="1" x="10"/>
        <item m="1" x="5"/>
        <item m="1" x="1"/>
      </items>
    </pivotField>
    <pivotField name="Deal Name" compact="0" numFmtId="49" outline="0" multipleItemSelectionAllowed="1" showAll="0"/>
    <pivotField name="Expected Discount %" compact="0" outline="0" multipleItemSelectionAllowed="1" showAll="0"/>
    <pivotField name="Real Discount %" compact="0" outline="0" multipleItemSelectionAllowed="1" showAll="0"/>
    <pivotField name="Year Month" compact="0" numFmtId="49" outline="0" multipleItemSelectionAllowed="1" showAll="0"/>
    <pivotField name="Posting Period" compact="0" numFmtId="49" outline="0" multipleItemSelectionAllowed="1" showAll="0"/>
    <pivotField name="division2" compact="0" numFmtId="49" outline="0" multipleItemSelectionAllowed="1" showAll="0"/>
    <pivotField name="Quota Country" compact="0" numFmtId="49" outline="0" multipleItemSelectionAllowed="1" showAll="0"/>
    <pivotField name="Purchase Country" compact="0" numFmtId="49" outline="0" multipleItemSelectionAllowed="1" showAll="0"/>
    <pivotField name="account curr2" compact="0" numFmtId="49" outline="0" multipleItemSelectionAllowed="1" showAll="0"/>
    <pivotField name="Revenue" compact="0" outline="0" multipleItemSelectionAllowed="1" showAll="0"/>
    <pivotField name="purch curr2" compact="0" numFmtId="49" outline="0" multipleItemSelectionAllowed="1" showAll="0"/>
    <pivotField name="Cost" compact="0" outline="0" multipleItemSelectionAllowed="1" showAll="0"/>
    <pivotField name="Commision percentage" compact="0" outline="0" multipleItemSelectionAllowed="1" showAll="0"/>
    <pivotField name="Purch Curr (SF-Bil)" compact="0" numFmtId="49" outline="0" multipleItemSelectionAllowed="1" showAll="0"/>
    <pivotField name="Rev Dif (SF-Bil)" compact="0" outline="0" multipleItemSelectionAllowed="1" showAll="0"/>
    <pivotField name="Rev Dif (SF-Bil) USD" compact="0" outline="0" multipleItemSelectionAllowed="1" showAll="0"/>
    <pivotField name="Cost Dif (SF-Bil)" compact="0" outline="0" multipleItemSelectionAllowed="1" showAll="0"/>
    <pivotField name="Cost Dif (SF-Bil)  USD" compact="0" outline="0" multipleItemSelectionAllowed="1" showAll="0"/>
    <pivotField name="Margin _x000a_(SF Rev-Cogs)" compact="0" outline="0" multipleItemSelectionAllowed="1" showAll="0"/>
    <pivotField name="Purch Country (SF-Bil)" compact="0" numFmtId="49" outline="0" multipleItemSelectionAllowed="1" showAll="0"/>
    <pivotField name="Invoice Number" compact="0" numFmtId="49" outline="0" multipleItemSelectionAllowed="1" showAll="0"/>
    <pivotField name="Action Point" compact="0" numFmtId="49" outline="0" multipleItemSelectionAllowed="1" showAll="0"/>
    <pivotField name="Bill To" compact="0" numFmtId="49" outline="0" multipleItemSelectionAllowed="1" showAll="0"/>
    <pivotField name="account curr3" compact="0" numFmtId="49" outline="0" multipleItemSelectionAllowed="1" showAll="0"/>
    <pivotField name="Account Spend Net" compact="0" numFmtId="49" outline="0" multipleItemSelectionAllowed="1" showAll="0"/>
    <pivotField name="purch curr3" compact="0" numFmtId="49" outline="0" multipleItemSelectionAllowed="1" showAll="0"/>
    <pivotField name="Purch Spend Net" compact="0" numFmtId="49" outline="0" multipleItemSelectionAllowed="1" showAll="0"/>
    <pivotField name="Account Curr (inv-SF)" compact="0" numFmtId="49" outline="0" multipleItemSelectionAllowed="1" showAll="0"/>
    <pivotField name="Rev Dif (Inv - SF)" compact="0" outline="0" multipleItemSelectionAllowed="1" showAll="0"/>
    <pivotField name="Rev Dif (Inv - SF) USD" compact="0" outline="0" multipleItemSelectionAllowed="1" showAll="0"/>
    <pivotField name="Purch Curr (SF-Inv)" compact="0" numFmtId="49" outline="0" multipleItemSelectionAllowed="1" showAll="0"/>
    <pivotField name="Cost Dif (SF-Inv)" compact="0" outline="0" multipleItemSelectionAllowed="1" showAll="0"/>
    <pivotField name="Cost Dif (SF-Inv) USD" compact="0" outline="0" multipleItemSelectionAllowed="1" showAll="0"/>
    <pivotField name="purch curr4" compact="0" numFmtId="49" outline="0" multipleItemSelectionAllowed="1" showAll="0"/>
    <pivotField name="Spend Amount" compact="0" outline="0" multipleItemSelectionAllowed="1" showAll="0"/>
    <pivotField name="Curr (SF-Stat)" compact="0" numFmtId="49" outline="0" multipleItemSelectionAllowed="1" showAll="0"/>
    <pivotField name="Dif (SF-Stat)" compact="0" outline="0" multipleItemSelectionAllowed="1" showAll="0"/>
    <pivotField name="Dif (SF-Stat) USD" compact="0" outline="0" multipleItemSelectionAllowed="1" showAll="0"/>
    <pivotField name="Comm Percent" compact="0" outline="0" multipleItemSelectionAllowed="1" showAll="0"/>
    <pivotField name="Comm Purch Curr" compact="0" outline="0" multipleItemSelectionAllowed="1" showAll="0"/>
    <pivotField name="Comm USD Curr" compact="0" outline="0" multipleItemSelectionAllowed="1" showAll="0"/>
    <pivotField name="Net Interco" compact="0" outline="0" multipleItemSelectionAllowed="1" showAll="0"/>
    <pivotField name="Direct Tax Percent" compact="0" outline="0" multipleItemSelectionAllowed="1" showAll="0"/>
    <pivotField name="Direct Tax Purch Curr" compact="0" outline="0" multipleItemSelectionAllowed="1" showAll="0"/>
    <pivotField name="Direct Tax USD Curr" compact="0" outline="0" multipleItemSelectionAllowed="1" showAll="0"/>
    <pivotField name="With Tax Percent" compact="0" outline="0" multipleItemSelectionAllowed="1" showAll="0"/>
  </pivotFields>
  <rowFields count="4">
    <field x="17"/>
    <field x="7"/>
    <field x="16"/>
    <field x="6"/>
  </rowFields>
  <rowItems count="3">
    <i>
      <x v="4"/>
      <x/>
      <x v="1"/>
      <x/>
    </i>
    <i r="2">
      <x v="17"/>
      <x/>
    </i>
    <i r="1">
      <x v="34"/>
      <x v="1"/>
      <x/>
    </i>
  </rowItems>
  <colItems count="1">
    <i/>
  </colItems>
  <pageFields count="1">
    <pageField fld="1" hier="0"/>
  </pageFields>
  <dataFields count="1">
    <dataField name="Costs" fld="15" baseField="0"/>
  </dataFields>
  <pivotTableStyleInfo showRowHeaders="1" showColHeaders="1" showRowStripes="0" showColStripes="0" showLastColumn="1"/>
  <filters count="1">
    <filter fld="1" type="captionContains" evalOrder="-1" id="1" stringValue1="rep">
      <autoFilter ref="A1">
        <filterColumn colId="0">
          <customFilters>
            <customFilter val="*rep*"/>
          </customFilters>
        </filterColumn>
      </autoFilter>
    </filter>
  </filters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A00-000003000000}" name="int 2" cacheId="459" applyNumberFormats="0" applyBorderFormats="0" applyFontFormats="0" applyPatternFormats="0" applyAlignmentFormats="0" applyWidthHeightFormats="0" dataCaption="" updatedVersion="8" rowGrandTotals="0" createdVersion="6" compact="0" compactData="0">
  <location ref="G7:K10" firstHeaderRow="1" firstDataRow="1" firstDataCol="4" rowPageCount="1" colPageCount="1"/>
  <pivotFields count="64">
    <pivotField name="Account ID" compact="0" numFmtId="49" outline="0" multipleItemSelectionAllowed="1" showAll="0"/>
    <pivotField name="BU Name" compact="0" numFmtId="49" outline="0" multipleItemSelectionAllowed="1" showAll="0"/>
    <pivotField name="Division" compact="0" numFmtId="49" outline="0" multipleItemSelectionAllowed="1" showAll="0"/>
    <pivotField name="Structured Name" compact="0" numFmtId="49" outline="0" multipleItemSelectionAllowed="1" showAll="0"/>
    <pivotField name="SO Status" compact="0" numFmtId="49" outline="0" multipleItemSelectionAllowed="1" showAll="0"/>
    <pivotField name="PO Status" compact="0" numFmtId="49" outline="0" multipleItemSelectionAllowed="1" showAll="0"/>
    <pivotField name="Reporting Country" axis="axisRow" compact="0" numFmtId="49" outline="0" multipleItemSelectionAllowed="1" showAll="0" sortType="ascending">
      <items count="46">
        <item x="0"/>
        <item m="1" x="17"/>
        <item m="1" x="3"/>
        <item m="1" x="6"/>
        <item m="1" x="12"/>
        <item m="1" x="10"/>
        <item m="1" x="43"/>
        <item m="1" x="22"/>
        <item m="1" x="13"/>
        <item m="1" x="11"/>
        <item m="1" x="2"/>
        <item m="1" x="33"/>
        <item m="1" x="32"/>
        <item m="1" x="9"/>
        <item m="1" x="42"/>
        <item m="1" x="23"/>
        <item m="1" x="19"/>
        <item m="1" x="36"/>
        <item m="1" x="21"/>
        <item m="1" x="27"/>
        <item m="1" x="29"/>
        <item m="1" x="30"/>
        <item m="1" x="5"/>
        <item m="1" x="34"/>
        <item m="1" x="25"/>
        <item m="1" x="44"/>
        <item m="1" x="35"/>
        <item m="1" x="8"/>
        <item m="1" x="4"/>
        <item m="1" x="37"/>
        <item m="1" x="31"/>
        <item m="1" x="18"/>
        <item m="1" x="39"/>
        <item m="1" x="14"/>
        <item m="1" x="40"/>
        <item m="1" x="38"/>
        <item m="1" x="41"/>
        <item m="1" x="26"/>
        <item m="1" x="20"/>
        <item m="1" x="28"/>
        <item m="1" x="15"/>
        <item m="1" x="16"/>
        <item m="1" x="1"/>
        <item m="1" x="24"/>
        <item m="1" x="7"/>
        <item t="default"/>
      </items>
    </pivotField>
    <pivotField name="Billing Entity" axis="axisRow" compact="0" numFmtId="49" outline="0" multipleItemSelectionAllowed="1" showAll="0" sortType="ascending" defaultSubtotal="0">
      <items count="42">
        <item x="1"/>
        <item m="1" x="16"/>
        <item m="1" x="4"/>
        <item m="1" x="7"/>
        <item m="1" x="39"/>
        <item m="1" x="23"/>
        <item m="1" x="12"/>
        <item m="1" x="3"/>
        <item m="1" x="40"/>
        <item m="1" x="38"/>
        <item m="1" x="21"/>
        <item m="1" x="18"/>
        <item m="1" x="36"/>
        <item m="1" x="25"/>
        <item m="1" x="27"/>
        <item m="1" x="41"/>
        <item m="1" x="28"/>
        <item m="1" x="6"/>
        <item m="1" x="30"/>
        <item m="1" x="10"/>
        <item m="1" x="5"/>
        <item m="1" x="29"/>
        <item m="1" x="9"/>
        <item m="1" x="33"/>
        <item m="1" x="13"/>
        <item m="1" x="35"/>
        <item m="1" x="32"/>
        <item m="1" x="37"/>
        <item m="1" x="24"/>
        <item m="1" x="14"/>
        <item m="1" x="15"/>
        <item m="1" x="22"/>
        <item m="1" x="20"/>
        <item m="1" x="2"/>
        <item x="0"/>
        <item m="1" x="11"/>
        <item m="1" x="31"/>
        <item m="1" x="17"/>
        <item m="1" x="19"/>
        <item m="1" x="26"/>
        <item m="1" x="34"/>
        <item m="1" x="8"/>
      </items>
    </pivotField>
    <pivotField name="Billing Country" compact="0" numFmtId="49" outline="0" multipleItemSelectionAllowed="1" showAll="0"/>
    <pivotField name="Revenue (Net Budget Delivered (Billing Currency))" compact="0" outline="0" multipleItemSelectionAllowed="1" showAll="0"/>
    <pivotField name="Revenue (Net Budget Delivered (Billing Currency)) w/o deals" compact="0" outline="0" multipleItemSelectionAllowed="1" showAll="0"/>
    <pivotField name="Bill Curr" compact="0" numFmtId="49" outline="0" multipleItemSelectionAllowed="1" showAll="0"/>
    <pivotField name="Total Net Budget (Delivered)" compact="0" outline="0" multipleItemSelectionAllowed="1" showAll="0"/>
    <pivotField name="Account Curr" compact="0" numFmtId="49" outline="0" multipleItemSelectionAllowed="1" showAll="0"/>
    <pivotField name="Qualified Purch Qty" compact="0" outline="0" multipleItemSelectionAllowed="1" showAll="0"/>
    <pivotField name="Costs" compact="0" outline="0" multipleItemSelectionAllowed="1" showAll="0"/>
    <pivotField name="Purch Curr" axis="axisRow" compact="0" numFmtId="49" outline="0" multipleItemSelectionAllowed="1" showAll="0" sortType="ascending" defaultSubtotal="0">
      <items count="21">
        <item m="1" x="20"/>
        <item x="0"/>
        <item m="1" x="2"/>
        <item m="1" x="5"/>
        <item m="1" x="8"/>
        <item m="1" x="11"/>
        <item m="1" x="13"/>
        <item m="1" x="12"/>
        <item m="1" x="4"/>
        <item m="1" x="17"/>
        <item m="1" x="14"/>
        <item m="1" x="3"/>
        <item m="1" x="18"/>
        <item m="1" x="7"/>
        <item m="1" x="9"/>
        <item m="1" x="16"/>
        <item m="1" x="10"/>
        <item x="1"/>
        <item m="1" x="19"/>
        <item m="1" x="15"/>
        <item m="1" x="6"/>
      </items>
    </pivotField>
    <pivotField name="Purch Country" axis="axisRow" compact="0" numFmtId="49" outline="0" multipleItemSelectionAllowed="1" showAll="0" sortType="ascending" defaultSubtotal="0">
      <items count="13">
        <item m="1" x="12"/>
        <item m="1" x="9"/>
        <item m="1" x="7"/>
        <item m="1" x="11"/>
        <item x="0"/>
        <item m="1" x="2"/>
        <item m="1" x="6"/>
        <item m="1" x="4"/>
        <item m="1" x="8"/>
        <item m="1" x="3"/>
        <item m="1" x="10"/>
        <item m="1" x="5"/>
        <item m="1" x="1"/>
      </items>
    </pivotField>
    <pivotField name="Deal Name" compact="0" numFmtId="49" outline="0" multipleItemSelectionAllowed="1" showAll="0"/>
    <pivotField name="Expected Discount %" compact="0" outline="0" multipleItemSelectionAllowed="1" showAll="0"/>
    <pivotField name="Real Discount %" compact="0" outline="0" multipleItemSelectionAllowed="1" showAll="0"/>
    <pivotField name="Year Month" compact="0" numFmtId="49" outline="0" multipleItemSelectionAllowed="1" showAll="0"/>
    <pivotField name="Posting Period" compact="0" numFmtId="49" outline="0" multipleItemSelectionAllowed="1" showAll="0"/>
    <pivotField name="division2" compact="0" numFmtId="49" outline="0" multipleItemSelectionAllowed="1" showAll="0"/>
    <pivotField name="Quota Country" compact="0" numFmtId="49" outline="0" multipleItemSelectionAllowed="1" showAll="0"/>
    <pivotField name="Purchase Country" axis="axisPage" compact="0" numFmtId="49" outline="0" multipleItemSelectionAllowed="1" showAll="0">
      <items count="14">
        <item m="1" x="1"/>
        <item m="1" x="2"/>
        <item m="1" x="3"/>
        <item m="1" x="4"/>
        <item m="1" x="5"/>
        <item m="1" x="6"/>
        <item m="1" x="7"/>
        <item m="1" x="8"/>
        <item x="0"/>
        <item m="1" x="9"/>
        <item m="1" x="10"/>
        <item m="1" x="11"/>
        <item m="1" x="12"/>
        <item t="default"/>
      </items>
    </pivotField>
    <pivotField name="account curr2" compact="0" numFmtId="49" outline="0" multipleItemSelectionAllowed="1" showAll="0"/>
    <pivotField name="Revenue" compact="0" outline="0" multipleItemSelectionAllowed="1" showAll="0"/>
    <pivotField name="purch curr2" compact="0" numFmtId="49" outline="0" multipleItemSelectionAllowed="1" showAll="0"/>
    <pivotField name="Cost" compact="0" outline="0" multipleItemSelectionAllowed="1" showAll="0"/>
    <pivotField name="Commision percentage" compact="0" outline="0" multipleItemSelectionAllowed="1" showAll="0"/>
    <pivotField name="Purch Curr (SF-Bil)" compact="0" numFmtId="49" outline="0" multipleItemSelectionAllowed="1" showAll="0"/>
    <pivotField name="Rev Dif (SF-Bil)" compact="0" outline="0" multipleItemSelectionAllowed="1" showAll="0"/>
    <pivotField name="Rev Dif (SF-Bil) USD" compact="0" outline="0" multipleItemSelectionAllowed="1" showAll="0"/>
    <pivotField name="Cost Dif (SF-Bil)" compact="0" outline="0" multipleItemSelectionAllowed="1" showAll="0"/>
    <pivotField name="Cost Dif (SF-Bil)  USD" compact="0" outline="0" multipleItemSelectionAllowed="1" showAll="0"/>
    <pivotField name="Margin _x000a_(SF Rev-Cogs)" compact="0" outline="0" multipleItemSelectionAllowed="1" showAll="0"/>
    <pivotField name="Purch Country (SF-Bil)" compact="0" numFmtId="49" outline="0" multipleItemSelectionAllowed="1" showAll="0"/>
    <pivotField name="Invoice Number" compact="0" numFmtId="49" outline="0" multipleItemSelectionAllowed="1" showAll="0"/>
    <pivotField name="Action Point" compact="0" numFmtId="49" outline="0" multipleItemSelectionAllowed="1" showAll="0"/>
    <pivotField name="Bill To" compact="0" numFmtId="49" outline="0" multipleItemSelectionAllowed="1" showAll="0"/>
    <pivotField name="account curr3" compact="0" numFmtId="49" outline="0" multipleItemSelectionAllowed="1" showAll="0"/>
    <pivotField name="Account Spend Net" compact="0" numFmtId="49" outline="0" multipleItemSelectionAllowed="1" showAll="0"/>
    <pivotField name="purch curr3" compact="0" numFmtId="49" outline="0" multipleItemSelectionAllowed="1" showAll="0"/>
    <pivotField name="Purch Spend Net" compact="0" numFmtId="49" outline="0" multipleItemSelectionAllowed="1" showAll="0"/>
    <pivotField name="Account Curr (inv-SF)" compact="0" numFmtId="49" outline="0" multipleItemSelectionAllowed="1" showAll="0"/>
    <pivotField name="Rev Dif (Inv - SF)" compact="0" outline="0" multipleItemSelectionAllowed="1" showAll="0"/>
    <pivotField name="Rev Dif (Inv - SF) USD" compact="0" outline="0" multipleItemSelectionAllowed="1" showAll="0"/>
    <pivotField name="Purch Curr (SF-Inv)" compact="0" numFmtId="49" outline="0" multipleItemSelectionAllowed="1" showAll="0"/>
    <pivotField name="Cost Dif (SF-Inv)" compact="0" outline="0" multipleItemSelectionAllowed="1" showAll="0"/>
    <pivotField name="Cost Dif (SF-Inv) USD" compact="0" outline="0" multipleItemSelectionAllowed="1" showAll="0"/>
    <pivotField name="purch curr4" compact="0" numFmtId="49" outline="0" multipleItemSelectionAllowed="1" showAll="0"/>
    <pivotField name="Spend Amount" compact="0" outline="0" multipleItemSelectionAllowed="1" showAll="0"/>
    <pivotField name="Curr (SF-Stat)" compact="0" numFmtId="49" outline="0" multipleItemSelectionAllowed="1" showAll="0"/>
    <pivotField name="Dif (SF-Stat)" compact="0" outline="0" multipleItemSelectionAllowed="1" showAll="0"/>
    <pivotField name="Dif (SF-Stat) USD" compact="0" outline="0" multipleItemSelectionAllowed="1" showAll="0"/>
    <pivotField name="Comm Percent" compact="0" outline="0" multipleItemSelectionAllowed="1" showAll="0"/>
    <pivotField name="Comm Purch Curr" dataField="1" compact="0" outline="0" multipleItemSelectionAllowed="1" showAll="0"/>
    <pivotField name="Comm USD Curr" compact="0" outline="0" multipleItemSelectionAllowed="1" showAll="0"/>
    <pivotField name="Net Interco" compact="0" outline="0" multipleItemSelectionAllowed="1" showAll="0"/>
    <pivotField name="Direct Tax Percent" compact="0" outline="0" multipleItemSelectionAllowed="1" showAll="0"/>
    <pivotField name="Direct Tax Purch Curr" compact="0" outline="0" multipleItemSelectionAllowed="1" showAll="0"/>
    <pivotField name="Direct Tax USD Curr" compact="0" outline="0" multipleItemSelectionAllowed="1" showAll="0"/>
    <pivotField name="With Tax Percent" compact="0" outline="0" multipleItemSelectionAllowed="1" showAll="0"/>
  </pivotFields>
  <rowFields count="4">
    <field x="17"/>
    <field x="7"/>
    <field x="16"/>
    <field x="6"/>
  </rowFields>
  <rowItems count="3">
    <i>
      <x v="4"/>
      <x/>
      <x v="1"/>
      <x/>
    </i>
    <i r="2">
      <x v="17"/>
      <x/>
    </i>
    <i r="1">
      <x v="34"/>
      <x v="1"/>
      <x/>
    </i>
  </rowItems>
  <colItems count="1">
    <i/>
  </colItems>
  <pageFields count="1">
    <pageField fld="25" hier="0"/>
  </pageFields>
  <dataFields count="1">
    <dataField name="Comm Purch Curr" fld="57" baseField="0"/>
  </dataFields>
  <pivotTableStyleInfo showRowHeaders="1" showColHeaders="1" showRowStripes="0" showColStripes="0" showLastColumn="1"/>
  <filters count="1">
    <filter fld="25" type="captionNotContains" evalOrder="-1" id="2" stringValue1="purch">
      <autoFilter ref="A1">
        <filterColumn colId="0">
          <customFilters>
            <customFilter operator="notEqual" val="*purch*"/>
          </customFilters>
        </filterColumn>
      </autoFilter>
    </filter>
  </filters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D65F29-3F1D-4DC7-B2FF-601A0375AB1A}" name="Billing_Rev" cacheId="471" applyNumberFormats="0" applyBorderFormats="0" applyFontFormats="0" applyPatternFormats="0" applyAlignmentFormats="0" applyWidthHeightFormats="0" dataCaption="" updatedVersion="8" rowGrandTotals="0" compact="0" compactData="0">
  <location ref="A4:J86" firstHeaderRow="1" firstDataRow="1" firstDataCol="9"/>
  <pivotFields count="137">
    <pivotField name="Division" compact="0" numFmtId="49" outline="0" multipleItemSelectionAllowed="1" showAll="0"/>
    <pivotField name="PPO ID" compact="0" numFmtId="49" outline="0" multipleItemSelectionAllowed="1" showAll="0"/>
    <pivotField name="Year Month" compact="0" numFmtId="49" outline="0" multipleItemSelectionAllowed="1" showAll="0"/>
    <pivotField name="Posting Period" compact="0" outline="0" multipleItemSelectionAllowed="1" showAll="0"/>
    <pivotField name="Finance Date" compact="0" numFmtId="14" outline="0" multipleItemSelectionAllowed="1" showAll="0"/>
    <pivotField name="Salesforce Project Number" axis="axisRow" compact="0" numFmtId="49" outline="0" multipleItemSelectionAllowed="1" showAll="0" sortType="ascending" defaultSubtotal="0">
      <items count="191">
        <item m="1" x="81"/>
        <item x="1"/>
        <item x="2"/>
        <item m="1" x="83"/>
        <item m="1" x="82"/>
        <item x="3"/>
        <item x="4"/>
        <item m="1" x="84"/>
        <item x="5"/>
        <item m="1" x="85"/>
        <item x="6"/>
        <item x="7"/>
        <item x="0"/>
        <item x="8"/>
        <item m="1" x="86"/>
        <item m="1" x="88"/>
        <item m="1" x="87"/>
        <item x="9"/>
        <item x="10"/>
        <item m="1" x="89"/>
        <item x="34"/>
        <item m="1" x="90"/>
        <item m="1" x="91"/>
        <item m="1" x="92"/>
        <item x="12"/>
        <item x="11"/>
        <item m="1" x="93"/>
        <item m="1" x="94"/>
        <item x="14"/>
        <item m="1" x="95"/>
        <item x="15"/>
        <item m="1" x="96"/>
        <item x="16"/>
        <item m="1" x="97"/>
        <item x="20"/>
        <item x="21"/>
        <item m="1" x="100"/>
        <item m="1" x="99"/>
        <item x="23"/>
        <item m="1" x="101"/>
        <item m="1" x="98"/>
        <item x="25"/>
        <item m="1" x="108"/>
        <item m="1" x="107"/>
        <item m="1" x="104"/>
        <item m="1" x="106"/>
        <item x="27"/>
        <item x="28"/>
        <item m="1" x="109"/>
        <item x="30"/>
        <item m="1" x="102"/>
        <item x="26"/>
        <item x="31"/>
        <item x="33"/>
        <item x="32"/>
        <item x="18"/>
        <item x="29"/>
        <item m="1" x="110"/>
        <item m="1" x="111"/>
        <item m="1" x="112"/>
        <item m="1" x="113"/>
        <item m="1" x="114"/>
        <item m="1" x="116"/>
        <item x="35"/>
        <item x="36"/>
        <item m="1" x="115"/>
        <item x="37"/>
        <item x="39"/>
        <item m="1" x="117"/>
        <item m="1" x="118"/>
        <item x="40"/>
        <item m="1" x="120"/>
        <item m="1" x="119"/>
        <item m="1" x="121"/>
        <item x="41"/>
        <item m="1" x="123"/>
        <item m="1" x="124"/>
        <item m="1" x="125"/>
        <item x="22"/>
        <item m="1" x="126"/>
        <item m="1" x="127"/>
        <item m="1" x="128"/>
        <item m="1" x="103"/>
        <item x="46"/>
        <item m="1" x="130"/>
        <item x="47"/>
        <item m="1" x="131"/>
        <item x="45"/>
        <item x="48"/>
        <item x="49"/>
        <item x="42"/>
        <item x="44"/>
        <item m="1" x="129"/>
        <item x="13"/>
        <item m="1" x="122"/>
        <item x="53"/>
        <item x="38"/>
        <item x="52"/>
        <item x="51"/>
        <item x="50"/>
        <item m="1" x="105"/>
        <item x="17"/>
        <item m="1" x="134"/>
        <item m="1" x="135"/>
        <item m="1" x="136"/>
        <item x="43"/>
        <item m="1" x="137"/>
        <item x="56"/>
        <item m="1" x="138"/>
        <item m="1" x="140"/>
        <item m="1" x="139"/>
        <item x="55"/>
        <item x="54"/>
        <item x="59"/>
        <item x="58"/>
        <item m="1" x="144"/>
        <item m="1" x="142"/>
        <item m="1" x="143"/>
        <item m="1" x="141"/>
        <item m="1" x="147"/>
        <item m="1" x="146"/>
        <item m="1" x="145"/>
        <item x="60"/>
        <item x="61"/>
        <item m="1" x="148"/>
        <item m="1" x="149"/>
        <item m="1" x="150"/>
        <item m="1" x="151"/>
        <item m="1" x="133"/>
        <item x="62"/>
        <item m="1" x="153"/>
        <item m="1" x="154"/>
        <item m="1" x="155"/>
        <item m="1" x="156"/>
        <item m="1" x="152"/>
        <item x="64"/>
        <item x="65"/>
        <item m="1" x="157"/>
        <item m="1" x="158"/>
        <item m="1" x="160"/>
        <item m="1" x="161"/>
        <item x="63"/>
        <item m="1" x="163"/>
        <item m="1" x="164"/>
        <item m="1" x="165"/>
        <item m="1" x="162"/>
        <item x="66"/>
        <item m="1" x="169"/>
        <item m="1" x="170"/>
        <item m="1" x="171"/>
        <item m="1" x="172"/>
        <item m="1" x="167"/>
        <item m="1" x="168"/>
        <item x="67"/>
        <item x="69"/>
        <item m="1" x="173"/>
        <item m="1" x="174"/>
        <item x="70"/>
        <item m="1" x="175"/>
        <item m="1" x="176"/>
        <item x="72"/>
        <item x="71"/>
        <item m="1" x="159"/>
        <item m="1" x="177"/>
        <item x="74"/>
        <item x="68"/>
        <item x="73"/>
        <item x="76"/>
        <item m="1" x="179"/>
        <item m="1" x="166"/>
        <item x="77"/>
        <item m="1" x="180"/>
        <item m="1" x="182"/>
        <item m="1" x="178"/>
        <item m="1" x="132"/>
        <item x="57"/>
        <item m="1" x="183"/>
        <item x="24"/>
        <item x="75"/>
        <item m="1" x="184"/>
        <item x="19"/>
        <item x="78"/>
        <item m="1" x="185"/>
        <item m="1" x="186"/>
        <item m="1" x="187"/>
        <item m="1" x="181"/>
        <item x="79"/>
        <item m="1" x="188"/>
        <item x="80"/>
        <item m="1" x="189"/>
        <item m="1" x="190"/>
      </items>
    </pivotField>
    <pivotField name="Line ID" compact="0" numFmtId="49" outline="0" multipleItemSelectionAllowed="1" showAll="0"/>
    <pivotField name="Opportunity: Aleph Campaign ID" compact="0" numFmtId="49" outline="0" multipleItemSelectionAllowed="1" showAll="0"/>
    <pivotField name="Opportunity ID" compact="0" numFmtId="49" outline="0" multipleItemSelectionAllowed="1" showAll="0"/>
    <pivotField name="Line Product Number" compact="0" numFmtId="49" outline="0" multipleItemSelectionAllowed="1" showAll="0"/>
    <pivotField name="Type of Line" axis="axisRow" compact="0" numFmtId="49" outline="0" multipleItemSelectionAllowed="1" showAll="0" sortType="ascending" defaultSubtotal="0">
      <items count="3">
        <item x="1"/>
        <item x="0"/>
        <item m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Status" compact="0" numFmtId="49" outline="0" multipleItemSelectionAllowed="1" showAll="0"/>
    <pivotField name="Order Line Status" compact="0" outline="0" multipleItemSelectionAllowed="1" showAll="0"/>
    <pivotField name="Company Name (Latin Name)" compact="0" numFmtId="49" outline="0" multipleItemSelectionAllowed="1" showAll="0"/>
    <pivotField name="Company To Invoice Legal Name" axis="axisRow" compact="0" numFmtId="49" outline="0" multipleItemSelectionAllowed="1" showAll="0" sortType="ascending" defaultSubtotal="0">
      <items count="100">
        <item x="0"/>
        <item x="9"/>
        <item m="1" x="70"/>
        <item m="1" x="61"/>
        <item m="1" x="73"/>
        <item m="1" x="84"/>
        <item x="2"/>
        <item m="1" x="82"/>
        <item x="23"/>
        <item m="1" x="66"/>
        <item m="1" x="63"/>
        <item m="1" x="45"/>
        <item m="1" x="95"/>
        <item x="7"/>
        <item m="1" x="59"/>
        <item m="1" x="97"/>
        <item m="1" x="58"/>
        <item x="17"/>
        <item m="1" x="90"/>
        <item x="11"/>
        <item m="1" x="43"/>
        <item x="3"/>
        <item x="20"/>
        <item m="1" x="71"/>
        <item m="1" x="83"/>
        <item m="1" x="92"/>
        <item x="6"/>
        <item m="1" x="62"/>
        <item m="1" x="65"/>
        <item m="1" x="91"/>
        <item m="1" x="34"/>
        <item m="1" x="77"/>
        <item m="1" x="55"/>
        <item x="15"/>
        <item x="29"/>
        <item m="1" x="69"/>
        <item x="13"/>
        <item m="1" x="49"/>
        <item x="25"/>
        <item x="4"/>
        <item m="1" x="64"/>
        <item x="14"/>
        <item m="1" x="98"/>
        <item x="31"/>
        <item m="1" x="88"/>
        <item x="28"/>
        <item m="1" x="85"/>
        <item m="1" x="54"/>
        <item m="1" x="57"/>
        <item m="1" x="72"/>
        <item m="1" x="50"/>
        <item x="12"/>
        <item x="5"/>
        <item m="1" x="38"/>
        <item m="1" x="81"/>
        <item m="1" x="39"/>
        <item m="1" x="93"/>
        <item m="1" x="44"/>
        <item m="1" x="89"/>
        <item m="1" x="94"/>
        <item m="1" x="40"/>
        <item m="1" x="99"/>
        <item x="21"/>
        <item m="1" x="51"/>
        <item m="1" x="35"/>
        <item m="1" x="36"/>
        <item m="1" x="41"/>
        <item m="1" x="76"/>
        <item m="1" x="75"/>
        <item m="1" x="47"/>
        <item m="1" x="67"/>
        <item x="32"/>
        <item x="10"/>
        <item m="1" x="96"/>
        <item x="16"/>
        <item x="30"/>
        <item m="1" x="78"/>
        <item x="8"/>
        <item m="1" x="37"/>
        <item m="1" x="33"/>
        <item m="1" x="52"/>
        <item m="1" x="80"/>
        <item m="1" x="60"/>
        <item m="1" x="68"/>
        <item m="1" x="42"/>
        <item m="1" x="74"/>
        <item m="1" x="46"/>
        <item m="1" x="86"/>
        <item x="24"/>
        <item m="1" x="87"/>
        <item x="22"/>
        <item m="1" x="48"/>
        <item x="18"/>
        <item m="1" x="53"/>
        <item m="1" x="79"/>
        <item x="26"/>
        <item x="27"/>
        <item x="1"/>
        <item m="1" x="56"/>
        <item x="19"/>
      </items>
    </pivotField>
    <pivotField name="Vendor: Company Name (Latin Name)" compact="0" numFmtId="49" outline="0" multipleItemSelectionAllowed="1" showAll="0"/>
    <pivotField name="Product Business Unit" compact="0" numFmtId="49" outline="0" multipleItemSelectionAllowed="1" showAll="0"/>
    <pivotField name="Reporting Region" compact="0" numFmtId="49" outline="0" multipleItemSelectionAllowed="1" showAll="0"/>
    <pivotField name="Reporting Country" compact="0" numFmtId="49" outline="0" multipleItemSelectionAllowed="1" showAll="0"/>
    <pivotField name="Billing Country" compact="0" numFmtId="49" outline="0" multipleItemSelectionAllowed="1" showAll="0"/>
    <pivotField name="Billing Entity" axis="axisRow" compact="0" outline="0" multipleItemSelectionAllowed="1" showAll="0" sortType="ascending" defaultSubtotal="0">
      <items count="10">
        <item x="1"/>
        <item m="1" x="4"/>
        <item m="1" x="7"/>
        <item m="1" x="3"/>
        <item m="1" x="6"/>
        <item m="1" x="9"/>
        <item m="1" x="5"/>
        <item m="1" x="8"/>
        <item m="1"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Purchase Country" compact="0" numFmtId="49" outline="0" multipleItemSelectionAllowed="1" showAll="0"/>
    <pivotField name="Purchase Entity" compact="0" numFmtId="49" outline="0" multipleItemSelectionAllowed="1" showAll="0"/>
    <pivotField name="Product Name" compact="0" numFmtId="49" outline="0" multipleItemSelectionAllowed="1" showAll="0"/>
    <pivotField name="Sales UOM" compact="0" numFmtId="49" outline="0" multipleItemSelectionAllowed="1" showAll="0"/>
    <pivotField name="Purchase UOM" compact="0" numFmtId="49" outline="0" multipleItemSelectionAllowed="1" showAll="0"/>
    <pivotField name="Billing Currency" axis="axisRow" compact="0" numFmtId="49" outline="0" multipleItemSelectionAllowed="1" showAll="0" sortType="ascending" defaultSubtotal="0">
      <items count="6">
        <item x="1"/>
        <item m="1" x="2"/>
        <item m="1" x="5"/>
        <item m="1" x="4"/>
        <item m="1" x="3"/>
        <item x="0"/>
      </items>
    </pivotField>
    <pivotField name="Purchase Currency" compact="0" numFmtId="4" outline="0" multipleItemSelectionAllowed="1" showAll="0"/>
    <pivotField name="Qualified Sales Quantity" compact="0" numFmtId="4" outline="0" multipleItemSelectionAllowed="1" showAll="0"/>
    <pivotField name="Qualified Purchase Quantity" compact="0" numFmtId="4" outline="0" multipleItemSelectionAllowed="1" showAll="0"/>
    <pivotField name="Gross Discounted" compact="0" numFmtId="4" outline="0" multipleItemSelectionAllowed="1" showAll="0"/>
    <pivotField name="Gross Sales Price" compact="0" numFmtId="4" outline="0" multipleItemSelectionAllowed="1" showAll="0"/>
    <pivotField name="Net Sales Price" compact="0" numFmtId="4" outline="0" multipleItemSelectionAllowed="1" showAll="0"/>
    <pivotField name="Gross Purchase Price" compact="0" numFmtId="4" outline="0" multipleItemSelectionAllowed="1" showAll="0"/>
    <pivotField name="Net Purchase Price" compact="0" numFmtId="4" outline="0" multipleItemSelectionAllowed="1" showAll="0"/>
    <pivotField name="Client Discount" compact="0" numFmtId="4" outline="0" multipleItemSelectionAllowed="1" showAll="0"/>
    <pivotField name="Agency Commission" compact="0" outline="0" multipleItemSelectionAllowed="1" showAll="0"/>
    <pivotField name="Delivered Sales Quantity" compact="0" numFmtId="4" outline="0" multipleItemSelectionAllowed="1" showAll="0"/>
    <pivotField name="Delivered Purchase Quantity" compact="0" numFmtId="4" outline="0" multipleItemSelectionAllowed="1" showAll="0"/>
    <pivotField name="Net Budget Delivered (Billing Currency)" dataField="1" compact="0" numFmtId="4" outline="0" multipleItemSelectionAllowed="1" showAll="0"/>
    <pivotField name="Net Cost Delivered (Buying Currency)" compact="0" numFmtId="4" outline="0" multipleItemSelectionAllowed="1" showAll="0"/>
    <pivotField name="Net Cost Delivered w/o Tax (Buying Curr)" compact="0" numFmtId="4" outline="0" multipleItemSelectionAllowed="1" showAll="0"/>
    <pivotField name="Activation Exchange Rate" compact="0" outline="0" multipleItemSelectionAllowed="1" showAll="0"/>
    <pivotField name="Total Net Budget Delivered" compact="0" numFmtId="4" outline="0" multipleItemSelectionAllowed="1" showAll="0"/>
    <pivotField name="Total Net Budget Delivered in USD" compact="0" numFmtId="4" outline="0" multipleItemSelectionAllowed="1" showAll="0"/>
    <pivotField name="Total Net Cost Delivered in USD" compact="0" numFmtId="4" outline="0" multipleItemSelectionAllowed="1" showAll="0"/>
    <pivotField name="Margin Delivered (Billing Currency)" compact="0" numFmtId="4" outline="0" multipleItemSelectionAllowed="1" showAll="0"/>
    <pivotField name="Margin Amount (Delivered)" compact="0" numFmtId="4" outline="0" multipleItemSelectionAllowed="1" showAll="0"/>
    <pivotField name="Margin Amount Delivered in USD" compact="0" numFmtId="4" outline="0" multipleItemSelectionAllowed="1" showAll="0"/>
    <pivotField name="Margin % (Delivered)" compact="0" numFmtId="4" outline="0" multipleItemSelectionAllowed="1" showAll="0"/>
    <pivotField name="Sales Order Number" axis="axisRow" compact="0" outline="0" multipleItemSelectionAllowed="1" showAll="0" sortType="ascending" defaultSubtotal="0">
      <items count="190">
        <item x="50"/>
        <item m="1" x="148"/>
        <item m="1" x="147"/>
        <item x="1"/>
        <item x="2"/>
        <item x="3"/>
        <item x="4"/>
        <item x="5"/>
        <item x="6"/>
        <item x="7"/>
        <item x="8"/>
        <item x="9"/>
        <item x="10"/>
        <item x="34"/>
        <item x="15"/>
        <item x="16"/>
        <item x="14"/>
        <item x="20"/>
        <item x="25"/>
        <item x="23"/>
        <item x="44"/>
        <item x="42"/>
        <item x="26"/>
        <item x="29"/>
        <item x="18"/>
        <item x="11"/>
        <item x="27"/>
        <item x="30"/>
        <item x="21"/>
        <item x="28"/>
        <item x="33"/>
        <item x="32"/>
        <item x="31"/>
        <item x="36"/>
        <item x="35"/>
        <item x="53"/>
        <item x="48"/>
        <item x="39"/>
        <item x="46"/>
        <item x="37"/>
        <item x="47"/>
        <item x="41"/>
        <item x="40"/>
        <item x="45"/>
        <item x="49"/>
        <item x="71"/>
        <item x="61"/>
        <item x="55"/>
        <item x="24"/>
        <item x="13"/>
        <item x="17"/>
        <item x="43"/>
        <item x="64"/>
        <item x="19"/>
        <item x="76"/>
        <item x="38"/>
        <item x="80"/>
        <item x="12"/>
        <item x="59"/>
        <item x="60"/>
        <item x="54"/>
        <item x="79"/>
        <item x="58"/>
        <item x="65"/>
        <item x="52"/>
        <item x="63"/>
        <item x="78"/>
        <item x="62"/>
        <item x="81"/>
        <item x="73"/>
        <item x="70"/>
        <item x="22"/>
        <item x="68"/>
        <item x="66"/>
        <item x="57"/>
        <item x="67"/>
        <item x="51"/>
        <item x="74"/>
        <item x="56"/>
        <item x="72"/>
        <item x="77"/>
        <item x="75"/>
        <item x="69"/>
        <item m="1" x="85"/>
        <item m="1" x="125"/>
        <item m="1" x="117"/>
        <item m="1" x="184"/>
        <item m="1" x="177"/>
        <item m="1" x="102"/>
        <item m="1" x="188"/>
        <item m="1" x="139"/>
        <item m="1" x="93"/>
        <item m="1" x="100"/>
        <item m="1" x="130"/>
        <item m="1" x="104"/>
        <item m="1" x="110"/>
        <item m="1" x="126"/>
        <item m="1" x="106"/>
        <item m="1" x="178"/>
        <item m="1" x="138"/>
        <item m="1" x="144"/>
        <item m="1" x="135"/>
        <item m="1" x="142"/>
        <item m="1" x="151"/>
        <item m="1" x="155"/>
        <item m="1" x="134"/>
        <item m="1" x="150"/>
        <item m="1" x="153"/>
        <item m="1" x="154"/>
        <item m="1" x="156"/>
        <item m="1" x="165"/>
        <item m="1" x="157"/>
        <item m="1" x="163"/>
        <item m="1" x="164"/>
        <item m="1" x="169"/>
        <item m="1" x="158"/>
        <item m="1" x="171"/>
        <item m="1" x="161"/>
        <item m="1" x="172"/>
        <item m="1" x="180"/>
        <item m="1" x="179"/>
        <item m="1" x="174"/>
        <item m="1" x="168"/>
        <item m="1" x="176"/>
        <item m="1" x="167"/>
        <item m="1" x="182"/>
        <item m="1" x="133"/>
        <item m="1" x="187"/>
        <item m="1" x="189"/>
        <item m="1" x="83"/>
        <item m="1" x="84"/>
        <item m="1" x="86"/>
        <item m="1" x="97"/>
        <item m="1" x="101"/>
        <item m="1" x="132"/>
        <item m="1" x="128"/>
        <item m="1" x="124"/>
        <item m="1" x="121"/>
        <item m="1" x="127"/>
        <item m="1" x="113"/>
        <item m="1" x="115"/>
        <item m="1" x="111"/>
        <item m="1" x="114"/>
        <item m="1" x="112"/>
        <item m="1" x="99"/>
        <item m="1" x="141"/>
        <item m="1" x="140"/>
        <item m="1" x="185"/>
        <item m="1" x="175"/>
        <item m="1" x="170"/>
        <item m="1" x="152"/>
        <item m="1" x="159"/>
        <item m="1" x="186"/>
        <item m="1" x="183"/>
        <item m="1" x="162"/>
        <item m="1" x="89"/>
        <item m="1" x="88"/>
        <item m="1" x="91"/>
        <item m="1" x="92"/>
        <item m="1" x="95"/>
        <item m="1" x="109"/>
        <item m="1" x="94"/>
        <item m="1" x="119"/>
        <item m="1" x="137"/>
        <item m="1" x="136"/>
        <item m="1" x="145"/>
        <item m="1" x="173"/>
        <item m="1" x="160"/>
        <item m="1" x="90"/>
        <item m="1" x="96"/>
        <item m="1" x="120"/>
        <item m="1" x="129"/>
        <item m="1" x="87"/>
        <item m="1" x="166"/>
        <item m="1" x="143"/>
        <item x="0"/>
        <item m="1" x="98"/>
        <item m="1" x="107"/>
        <item m="1" x="105"/>
        <item m="1" x="108"/>
        <item m="1" x="118"/>
        <item m="1" x="131"/>
        <item m="1" x="116"/>
        <item m="1" x="149"/>
        <item m="1" x="146"/>
        <item m="1" x="82"/>
        <item m="1" x="103"/>
        <item m="1" x="123"/>
        <item m="1" x="122"/>
        <item m="1" x="18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SO Status" compact="0" outline="0" multipleItemSelectionAllowed="1" showAll="0"/>
    <pivotField name="ERP Sales Order Item ID" compact="0" outline="0" multipleItemSelectionAllowed="1" showAll="0"/>
    <pivotField name="Purchase Order Number" compact="0" outline="0" multipleItemSelectionAllowed="1" showAll="0"/>
    <pivotField name="PO Status" compact="0" outline="0" multipleItemSelectionAllowed="1" showAll="0"/>
    <pivotField name="ERP Purchase Order Item ID" compact="0" outline="0" multipleItemSelectionAllowed="1" showAll="0"/>
    <pivotField name="Invoice Description" compact="0" outline="0" multipleItemSelectionAllowed="1" showAll="0"/>
    <pivotField name="Line Description" compact="0" outline="0" multipleItemSelectionAllowed="1" showAll="0"/>
    <pivotField name="Billing Exchange Rate" axis="axisRow" compact="0" numFmtId="4" outline="0" multipleItemSelectionAllowed="1" showAll="0" sortType="ascending">
      <items count="4">
        <item x="0"/>
        <item x="1"/>
        <item x="2"/>
        <item t="default"/>
      </items>
    </pivotField>
    <pivotField name="Project Name" axis="axisRow" compact="0" numFmtId="4" outline="0" multipleItemSelectionAllowed="1" showAll="0" sortType="ascending" defaultSubtotal="0">
      <items count="191">
        <item x="6"/>
        <item x="0"/>
        <item x="11"/>
        <item x="12"/>
        <item x="24"/>
        <item x="25"/>
        <item x="28"/>
        <item x="27"/>
        <item x="31"/>
        <item x="33"/>
        <item x="32"/>
        <item x="35"/>
        <item x="37"/>
        <item x="39"/>
        <item x="40"/>
        <item m="1" x="119"/>
        <item m="1" x="124"/>
        <item m="1" x="125"/>
        <item x="46"/>
        <item x="49"/>
        <item x="50"/>
        <item x="52"/>
        <item x="51"/>
        <item x="53"/>
        <item x="54"/>
        <item x="59"/>
        <item x="60"/>
        <item x="64"/>
        <item x="65"/>
        <item x="66"/>
        <item x="67"/>
        <item x="69"/>
        <item x="70"/>
        <item x="72"/>
        <item x="74"/>
        <item x="76"/>
        <item x="77"/>
        <item x="78"/>
        <item m="1" x="146"/>
        <item m="1" x="147"/>
        <item m="1" x="173"/>
        <item m="1" x="123"/>
        <item m="1" x="114"/>
        <item m="1" x="187"/>
        <item m="1" x="127"/>
        <item m="1" x="110"/>
        <item m="1" x="162"/>
        <item m="1" x="96"/>
        <item m="1" x="97"/>
        <item m="1" x="170"/>
        <item m="1" x="159"/>
        <item m="1" x="131"/>
        <item m="1" x="151"/>
        <item m="1" x="183"/>
        <item m="1" x="140"/>
        <item m="1" x="175"/>
        <item m="1" x="100"/>
        <item m="1" x="126"/>
        <item m="1" x="139"/>
        <item m="1" x="98"/>
        <item m="1" x="120"/>
        <item m="1" x="160"/>
        <item m="1" x="130"/>
        <item m="1" x="113"/>
        <item m="1" x="112"/>
        <item m="1" x="111"/>
        <item m="1" x="186"/>
        <item m="1" x="116"/>
        <item m="1" x="185"/>
        <item m="1" x="101"/>
        <item m="1" x="138"/>
        <item m="1" x="177"/>
        <item m="1" x="189"/>
        <item m="1" x="89"/>
        <item m="1" x="95"/>
        <item m="1" x="128"/>
        <item m="1" x="142"/>
        <item m="1" x="166"/>
        <item m="1" x="81"/>
        <item m="1" x="84"/>
        <item m="1" x="83"/>
        <item m="1" x="82"/>
        <item x="7"/>
        <item x="1"/>
        <item x="3"/>
        <item x="5"/>
        <item m="1" x="85"/>
        <item x="8"/>
        <item m="1" x="86"/>
        <item x="13"/>
        <item x="17"/>
        <item x="18"/>
        <item x="19"/>
        <item m="1" x="102"/>
        <item x="26"/>
        <item m="1" x="105"/>
        <item x="29"/>
        <item x="38"/>
        <item x="42"/>
        <item m="1" x="122"/>
        <item x="43"/>
        <item x="44"/>
        <item m="1" x="129"/>
        <item x="63"/>
        <item m="1" x="178"/>
        <item x="75"/>
        <item m="1" x="181"/>
        <item x="79"/>
        <item x="10"/>
        <item x="4"/>
        <item x="2"/>
        <item x="61"/>
        <item x="16"/>
        <item x="47"/>
        <item x="62"/>
        <item x="21"/>
        <item x="58"/>
        <item x="68"/>
        <item x="15"/>
        <item m="1" x="93"/>
        <item m="1" x="121"/>
        <item x="9"/>
        <item x="73"/>
        <item x="56"/>
        <item x="48"/>
        <item x="71"/>
        <item x="36"/>
        <item x="41"/>
        <item x="57"/>
        <item x="45"/>
        <item x="80"/>
        <item x="30"/>
        <item x="20"/>
        <item x="34"/>
        <item x="14"/>
        <item x="55"/>
        <item x="22"/>
        <item x="23"/>
        <item m="1" x="117"/>
        <item m="1" x="169"/>
        <item m="1" x="133"/>
        <item m="1" x="103"/>
        <item m="1" x="171"/>
        <item m="1" x="179"/>
        <item m="1" x="132"/>
        <item m="1" x="135"/>
        <item m="1" x="136"/>
        <item m="1" x="109"/>
        <item m="1" x="115"/>
        <item m="1" x="163"/>
        <item m="1" x="154"/>
        <item m="1" x="156"/>
        <item m="1" x="155"/>
        <item m="1" x="168"/>
        <item m="1" x="99"/>
        <item m="1" x="164"/>
        <item m="1" x="92"/>
        <item m="1" x="167"/>
        <item m="1" x="176"/>
        <item m="1" x="165"/>
        <item m="1" x="141"/>
        <item m="1" x="161"/>
        <item m="1" x="144"/>
        <item m="1" x="94"/>
        <item m="1" x="148"/>
        <item m="1" x="158"/>
        <item m="1" x="150"/>
        <item m="1" x="149"/>
        <item m="1" x="172"/>
        <item m="1" x="190"/>
        <item m="1" x="108"/>
        <item m="1" x="88"/>
        <item m="1" x="87"/>
        <item m="1" x="90"/>
        <item m="1" x="137"/>
        <item m="1" x="118"/>
        <item m="1" x="91"/>
        <item m="1" x="157"/>
        <item m="1" x="174"/>
        <item m="1" x="143"/>
        <item m="1" x="153"/>
        <item m="1" x="184"/>
        <item m="1" x="106"/>
        <item m="1" x="107"/>
        <item m="1" x="104"/>
        <item m="1" x="188"/>
        <item m="1" x="152"/>
        <item m="1" x="182"/>
        <item m="1" x="145"/>
        <item m="1" x="180"/>
        <item m="1" x="134"/>
      </items>
    </pivotField>
    <pivotField name="Company to invoice: Company Name (Latin Name)" compact="0" numFmtId="49" outline="0" multipleItemSelectionAllowed="1" showAll="0"/>
    <pivotField name="Company To Invoice Tax Id" axis="axisRow" compact="0" numFmtId="49" outline="0" multipleItemSelectionAllowed="1" showAll="0" sortType="ascending" defaultSubtotal="0">
      <items count="100">
        <item m="1" x="34"/>
        <item m="1" x="59"/>
        <item m="1" x="58"/>
        <item m="1" x="76"/>
        <item m="1" x="44"/>
        <item m="1" x="89"/>
        <item m="1" x="67"/>
        <item m="1" x="96"/>
        <item m="1" x="46"/>
        <item m="1" x="57"/>
        <item m="1" x="84"/>
        <item m="1" x="98"/>
        <item m="1" x="94"/>
        <item m="1" x="82"/>
        <item m="1" x="36"/>
        <item m="1" x="56"/>
        <item m="1" x="69"/>
        <item m="1" x="48"/>
        <item m="1" x="86"/>
        <item m="1" x="78"/>
        <item m="1" x="63"/>
        <item m="1" x="92"/>
        <item m="1" x="37"/>
        <item m="1" x="39"/>
        <item m="1" x="61"/>
        <item m="1" x="50"/>
        <item m="1" x="33"/>
        <item x="17"/>
        <item x="19"/>
        <item x="14"/>
        <item x="13"/>
        <item x="21"/>
        <item x="18"/>
        <item x="2"/>
        <item x="22"/>
        <item x="12"/>
        <item x="5"/>
        <item x="31"/>
        <item x="6"/>
        <item x="20"/>
        <item x="7"/>
        <item x="26"/>
        <item x="16"/>
        <item x="10"/>
        <item x="11"/>
        <item x="15"/>
        <item x="3"/>
        <item x="8"/>
        <item x="29"/>
        <item x="27"/>
        <item x="24"/>
        <item x="30"/>
        <item x="4"/>
        <item x="9"/>
        <item x="32"/>
        <item m="1" x="81"/>
        <item m="1" x="87"/>
        <item x="23"/>
        <item x="28"/>
        <item x="25"/>
        <item x="1"/>
        <item m="1" x="95"/>
        <item m="1" x="80"/>
        <item m="1" x="68"/>
        <item m="1" x="65"/>
        <item m="1" x="35"/>
        <item m="1" x="60"/>
        <item m="1" x="70"/>
        <item m="1" x="91"/>
        <item m="1" x="66"/>
        <item m="1" x="64"/>
        <item m="1" x="85"/>
        <item m="1" x="72"/>
        <item m="1" x="47"/>
        <item m="1" x="52"/>
        <item m="1" x="51"/>
        <item m="1" x="41"/>
        <item x="0"/>
        <item m="1" x="90"/>
        <item m="1" x="45"/>
        <item m="1" x="93"/>
        <item m="1" x="53"/>
        <item m="1" x="74"/>
        <item m="1" x="71"/>
        <item m="1" x="55"/>
        <item m="1" x="77"/>
        <item m="1" x="83"/>
        <item m="1" x="88"/>
        <item m="1" x="49"/>
        <item m="1" x="97"/>
        <item m="1" x="99"/>
        <item m="1" x="75"/>
        <item m="1" x="73"/>
        <item m="1" x="43"/>
        <item m="1" x="62"/>
        <item m="1" x="54"/>
        <item m="1" x="38"/>
        <item m="1" x="40"/>
        <item m="1" x="42"/>
        <item m="1" x="79"/>
      </items>
    </pivotField>
    <pivotField name="Sales Manager" compact="0" numFmtId="49" outline="0" multipleItemSelectionAllowed="1" showAll="0"/>
    <pivotField name="Account Manager" compact="0" numFmtId="49" outline="0" multipleItemSelectionAllowed="1" showAll="0"/>
    <pivotField name="Campaign Manager" compact="0" numFmtId="49" outline="0" multipleItemSelectionAllowed="1" showAll="0"/>
    <pivotField name="Ratecard: Vendor Contract: Contract Name" compact="0" numFmtId="49" outline="0" multipleItemSelectionAllowed="1" showAll="0"/>
    <pivotField name="Vendor Contract" compact="0" outline="0" multipleItemSelectionAllowed="1" showAll="0"/>
    <pivotField name="Managing Entity" compact="0" numFmtId="49" outline="0" multipleItemSelectionAllowed="1" showAll="0"/>
    <pivotField name="Start Date" compact="0" numFmtId="173" outline="0" multipleItemSelectionAllowed="1" showAll="0"/>
    <pivotField name="End Date" compact="0" numFmtId="14" outline="0" multipleItemSelectionAllowed="1" showAll="0"/>
    <pivotField name="Company to invoice: Payment condition" compact="0" numFmtId="49" outline="0" multipleItemSelectionAllowed="1" showAll="0"/>
    <pivotField name="Company to invoice status (Opp)" compact="0" outline="0" multipleItemSelectionAllowed="1" showAll="0"/>
    <pivotField name="# Standard Lines" compact="0" numFmtId="4" outline="0" multipleItemSelectionAllowed="1" showAll="0"/>
    <pivotField name="URL" compact="0" numFmtId="4" outline="0" multipleItemSelectionAllowed="1" showAll="0"/>
    <pivotField name="Httpool Line ID" compact="0" numFmtId="4" outline="0" multipleItemSelectionAllowed="1" showAll="0"/>
    <pivotField name="Partner Commission" compact="0" numFmtId="4" outline="0" multipleItemSelectionAllowed="1" showAll="0"/>
    <pivotField name="Partner Commision Amount" compact="0" numFmtId="4" outline="0" multipleItemSelectionAllowed="1" showAll="0"/>
    <pivotField name="Partner Commision Amount in USD" compact="0" numFmtId="4" outline="0" multipleItemSelectionAllowed="1" showAll="0"/>
    <pivotField name="Partner Commission Amount Purchase" compact="0" numFmtId="4" outline="0" multipleItemSelectionAllowed="1" showAll="0"/>
    <pivotField name="Gross Sales Budget" compact="0" numFmtId="4" outline="0" multipleItemSelectionAllowed="1" showAll="0"/>
    <pivotField name="Net Sales Budget" compact="0" numFmtId="4" outline="0" multipleItemSelectionAllowed="1" showAll="0"/>
    <pivotField name="Net Purchase Budget" compact="0" numFmtId="4" outline="0" multipleItemSelectionAllowed="1" showAll="0"/>
    <pivotField name="Net Cost Delivered (Billing Currency)" compact="0" numFmtId="4" outline="0" multipleItemSelectionAllowed="1" showAll="0"/>
    <pivotField name="Net Sales Price (Billing Currency)" compact="0" numFmtId="4" outline="0" multipleItemSelectionAllowed="1" showAll="0"/>
    <pivotField name="Net Sales Price in USD" compact="0" numFmtId="4" outline="0" multipleItemSelectionAllowed="1" showAll="0"/>
    <pivotField name="Gross Sales Price in USD" compact="0" numFmtId="4" outline="0" multipleItemSelectionAllowed="1" showAll="0"/>
    <pivotField name="Late Line" compact="0" numFmtId="4" outline="0" multipleItemSelectionAllowed="1" showAll="0"/>
    <pivotField name="Late Delivery" compact="0" numFmtId="4" outline="0" multipleItemSelectionAllowed="1" showAll="0"/>
    <pivotField name="Sales Channel" compact="0" numFmtId="4" outline="0" multipleItemSelectionAllowed="1" showAll="0"/>
    <pivotField name="Reporting Entity: Entity Name" compact="0" outline="0" multipleItemSelectionAllowed="1" showAll="0"/>
    <pivotField name="Client PO ID" compact="0" outline="0" multipleItemSelectionAllowed="1" showAll="0"/>
    <pivotField name="Net Budget Delivered (in USD)" compact="0" numFmtId="4" outline="0" multipleItemSelectionAllowed="1" showAll="0"/>
    <pivotField name="Net Cost Delivered (in USD)" compact="0" numFmtId="4" outline="0" multipleItemSelectionAllowed="1" showAll="0"/>
    <pivotField name="Billing Country (text only)" compact="0" numFmtId="4" outline="0" multipleItemSelectionAllowed="1" showAll="0"/>
    <pivotField name="Agency: Company Name (Know as + Country)" compact="0" numFmtId="4" outline="0" multipleItemSelectionAllowed="1" showAll="0"/>
    <pivotField name="Company to invoice: Aleph Account ID" compact="0" numFmtId="49" outline="0" multipleItemSelectionAllowed="1" showAll="0"/>
    <pivotField name="Company to invoice: Account No. Dynamics" compact="0" numFmtId="49" outline="0" multipleItemSelectionAllowed="1" showAll="0"/>
    <pivotField name="Company Name (Know as + Country): Tax ID" compact="0" outline="0" multipleItemSelectionAllowed="1" showAll="0"/>
    <pivotField name="Opp Branding Performance" compact="0" outline="0" multipleItemSelectionAllowed="1" showAll="0"/>
    <pivotField name="Last Updated Time" compact="0" numFmtId="164" outline="0" multipleItemSelectionAllowed="1" showAll="0"/>
    <pivotField name="Last Modified Time (UTC)" compact="0" numFmtId="164" outline="0" multipleItemSelectionAllowed="1" showAll="0"/>
    <pivotField name="Sales Delivery API Import" compact="0" outline="0" multipleItemSelectionAllowed="1" showAll="0"/>
    <pivotField name="Purchase Delivery API Import" compact="0" outline="0" multipleItemSelectionAllowed="1" showAll="0"/>
    <pivotField name="posting period2" compact="0" numFmtId="168" outline="0" multipleItemSelectionAllowed="1" showAll="0"/>
    <pivotField name="IO Type" compact="0" numFmtId="4" outline="0" multipleItemSelectionAllowed="1" showAll="0"/>
    <pivotField name="Fee Percentage" compact="0" outline="0" multipleItemSelectionAllowed="1" showAll="0"/>
    <pivotField name="Trade Deal" compact="0" outline="0" multipleItemSelectionAllowed="1" showAll="0"/>
    <pivotField name="Deal Status" compact="0" outline="0" multipleItemSelectionAllowed="1" showAll="0"/>
    <pivotField name="Plan Sales Qty Line- Group" compact="0" outline="0" multipleItemSelectionAllowed="1" showAll="0"/>
    <pivotField name="Qualified Sales Qty Line- Group" compact="0" outline="0" multipleItemSelectionAllowed="1" showAll="0"/>
    <pivotField name="Remaining budget/sales Qty Line- Group" compact="0" outline="0" multipleItemSelectionAllowed="1" showAll="0"/>
    <pivotField name="Amount of Coupon" compact="0" outline="0" multipleItemSelectionAllowed="1" showAll="0"/>
    <pivotField name="Action Point" compact="0" outline="0" multipleItemSelectionAllowed="1" showAll="0"/>
    <pivotField name="Purch Country" compact="0" numFmtId="4" outline="0" multipleItemSelectionAllowed="1" showAll="0"/>
    <pivotField name="Purch Curr" compact="0" numFmtId="4" outline="0" multipleItemSelectionAllowed="1" showAll="0"/>
    <pivotField name="Spend Amount" compact="0" numFmtId="4" outline="0" multipleItemSelectionAllowed="1" showAll="0"/>
    <pivotField name="Purch Country OK? (SF-Del)" compact="0" numFmtId="4" outline="0" multipleItemSelectionAllowed="1" showAll="0"/>
    <pivotField name="Purch Curr OK? (SF-Del)" compact="0" numFmtId="4" outline="0" multipleItemSelectionAllowed="1" showAll="0"/>
    <pivotField name="Dif (SF-Del)" compact="0" numFmtId="4" outline="0" multipleItemSelectionAllowed="1" showAll="0"/>
    <pivotField name="Account ID platform" compact="0" numFmtId="4" outline="0" multipleItemSelectionAllowed="1" showAll="0"/>
    <pivotField name="purch curr2" compact="0" numFmtId="4" outline="0" multipleItemSelectionAllowed="1" showAll="0"/>
    <pivotField name="spend amount2" compact="0" numFmtId="4" outline="0" multipleItemSelectionAllowed="1" showAll="0"/>
    <pivotField name="Purch Curr OK? (SF-Bil)" compact="0" numFmtId="4" outline="0" multipleItemSelectionAllowed="1" showAll="0"/>
    <pivotField name="Dif (SF-Bil)" compact="0" numFmtId="4" outline="0" multipleItemSelectionAllowed="1" showAll="0"/>
    <pivotField name="purch curr3" compact="0" outline="0" multipleItemSelectionAllowed="1" showAll="0"/>
    <pivotField name="spend amount3" compact="0" outline="0" multipleItemSelectionAllowed="1" showAll="0"/>
    <pivotField name="Purch Curr OK? (SF-Inv)" compact="0" numFmtId="4" outline="0" multipleItemSelectionAllowed="1" showAll="0"/>
    <pivotField name="Dif (SF-Inv)" compact="0" outline="0" multipleItemSelectionAllowed="1" showAll="0"/>
    <pivotField name="purch curr4" compact="0" numFmtId="4" outline="0" multipleItemSelectionAllowed="1" showAll="0"/>
    <pivotField name="Account Spend" compact="0" numFmtId="4" outline="0" multipleItemSelectionAllowed="1" showAll="0"/>
    <pivotField name="Purch Curr OK? (SF-Stat)" compact="0" numFmtId="4" outline="0" multipleItemSelectionAllowed="1" showAll="0"/>
    <pivotField name="Dif (SF-Sta)" compact="0" numFmtId="4" outline="0" multipleItemSelectionAllowed="1" showAll="0"/>
    <pivotField name="Comments for Operations" compact="0" outline="0" multipleItemSelectionAllowed="1" showAll="0"/>
    <pivotField name="Comments for Rev&amp;Cogs team" compact="0" numFmtId="4" outline="0" multipleItemSelectionAllowed="1" showAll="0"/>
    <pivotField name="TODO REV" compact="0" numFmtId="4" outline="0" multipleItemSelectionAllowed="1" showAll="0"/>
    <pivotField name="TODO COST" compact="0" numFmtId="4" outline="0" multipleItemSelectionAllowed="1" showAll="0"/>
    <pivotField name="Rev. Act. FX / Closing FX" compact="0" numFmtId="4" outline="0" multipleItemSelectionAllowed="1" showAll="0"/>
  </pivotFields>
  <rowFields count="9">
    <field x="20"/>
    <field x="10"/>
    <field x="50"/>
    <field x="61"/>
    <field x="14"/>
    <field x="5"/>
    <field x="59"/>
    <field x="26"/>
    <field x="58"/>
  </rowFields>
  <rowItems count="82">
    <i>
      <x/>
      <x/>
      <x/>
      <x v="28"/>
      <x v="99"/>
      <x v="89"/>
      <x v="19"/>
      <x/>
      <x v="1"/>
    </i>
    <i r="1">
      <x v="1"/>
      <x v="3"/>
      <x v="60"/>
      <x v="97"/>
      <x v="1"/>
      <x v="83"/>
      <x/>
      <x v="1"/>
    </i>
    <i r="2">
      <x v="4"/>
      <x v="33"/>
      <x v="6"/>
      <x v="2"/>
      <x v="110"/>
      <x/>
      <x v="1"/>
    </i>
    <i r="2">
      <x v="5"/>
      <x v="46"/>
      <x v="21"/>
      <x v="5"/>
      <x v="84"/>
      <x/>
      <x v="1"/>
    </i>
    <i r="2">
      <x v="6"/>
      <x v="52"/>
      <x v="39"/>
      <x v="6"/>
      <x v="109"/>
      <x/>
      <x v="1"/>
    </i>
    <i r="2">
      <x v="7"/>
      <x v="36"/>
      <x v="52"/>
      <x v="8"/>
      <x v="85"/>
      <x/>
      <x v="1"/>
    </i>
    <i r="2">
      <x v="8"/>
      <x v="38"/>
      <x v="26"/>
      <x v="10"/>
      <x/>
      <x/>
      <x v="1"/>
    </i>
    <i r="2">
      <x v="9"/>
      <x v="40"/>
      <x v="13"/>
      <x v="11"/>
      <x v="82"/>
      <x/>
      <x v="1"/>
    </i>
    <i r="2">
      <x v="10"/>
      <x v="47"/>
      <x v="77"/>
      <x v="13"/>
      <x v="87"/>
      <x/>
      <x v="1"/>
    </i>
    <i r="2">
      <x v="11"/>
      <x v="53"/>
      <x v="1"/>
      <x v="17"/>
      <x v="121"/>
      <x/>
      <x v="1"/>
    </i>
    <i r="2">
      <x v="12"/>
      <x v="43"/>
      <x v="72"/>
      <x v="18"/>
      <x v="108"/>
      <x/>
      <x v="1"/>
    </i>
    <i r="2">
      <x v="13"/>
      <x v="43"/>
      <x v="72"/>
      <x v="20"/>
      <x v="133"/>
      <x/>
      <x v="1"/>
    </i>
    <i r="2">
      <x v="14"/>
      <x v="30"/>
      <x v="36"/>
      <x v="30"/>
      <x v="118"/>
      <x/>
      <x v="1"/>
    </i>
    <i r="2">
      <x v="15"/>
      <x v="46"/>
      <x v="21"/>
      <x v="32"/>
      <x v="112"/>
      <x/>
      <x v="1"/>
    </i>
    <i r="2">
      <x v="16"/>
      <x v="43"/>
      <x v="72"/>
      <x v="28"/>
      <x v="134"/>
      <x/>
      <x v="1"/>
    </i>
    <i r="2">
      <x v="17"/>
      <x v="43"/>
      <x v="72"/>
      <x v="34"/>
      <x v="132"/>
      <x/>
      <x v="1"/>
    </i>
    <i r="2">
      <x v="18"/>
      <x v="28"/>
      <x v="99"/>
      <x v="41"/>
      <x v="5"/>
      <x/>
      <x v="1"/>
    </i>
    <i r="2">
      <x v="19"/>
      <x v="27"/>
      <x v="17"/>
      <x v="38"/>
      <x v="137"/>
      <x/>
      <x v="1"/>
    </i>
    <i r="2">
      <x v="20"/>
      <x v="35"/>
      <x v="51"/>
      <x v="91"/>
      <x v="101"/>
      <x/>
      <x v="1"/>
    </i>
    <i r="2">
      <x v="21"/>
      <x v="35"/>
      <x v="51"/>
      <x v="90"/>
      <x v="98"/>
      <x/>
      <x v="1"/>
    </i>
    <i r="2">
      <x v="22"/>
      <x v="35"/>
      <x v="51"/>
      <x v="51"/>
      <x v="94"/>
      <x/>
      <x v="1"/>
    </i>
    <i r="2">
      <x v="23"/>
      <x v="39"/>
      <x v="22"/>
      <x v="56"/>
      <x v="96"/>
      <x/>
      <x v="1"/>
    </i>
    <i r="2">
      <x v="24"/>
      <x v="35"/>
      <x v="51"/>
      <x v="55"/>
      <x v="91"/>
      <x/>
      <x v="1"/>
    </i>
    <i r="2">
      <x v="25"/>
      <x v="44"/>
      <x v="19"/>
      <x v="25"/>
      <x v="2"/>
      <x/>
      <x v="1"/>
    </i>
    <i r="2">
      <x v="26"/>
      <x v="45"/>
      <x v="33"/>
      <x v="46"/>
      <x v="7"/>
      <x/>
      <x v="1"/>
    </i>
    <i r="2">
      <x v="27"/>
      <x v="43"/>
      <x v="72"/>
      <x v="49"/>
      <x v="131"/>
      <x/>
      <x v="1"/>
    </i>
    <i r="2">
      <x v="28"/>
      <x v="45"/>
      <x v="33"/>
      <x v="35"/>
      <x v="115"/>
      <x/>
      <x v="1"/>
    </i>
    <i r="2">
      <x v="29"/>
      <x v="45"/>
      <x v="33"/>
      <x v="47"/>
      <x v="6"/>
      <x/>
      <x v="1"/>
    </i>
    <i r="2">
      <x v="30"/>
      <x v="44"/>
      <x v="19"/>
      <x v="53"/>
      <x v="9"/>
      <x/>
      <x v="1"/>
    </i>
    <i r="2">
      <x v="31"/>
      <x v="44"/>
      <x v="19"/>
      <x v="54"/>
      <x v="10"/>
      <x/>
      <x v="1"/>
    </i>
    <i r="2">
      <x v="32"/>
      <x v="44"/>
      <x v="19"/>
      <x v="52"/>
      <x v="8"/>
      <x/>
      <x v="1"/>
    </i>
    <i r="2">
      <x v="33"/>
      <x v="45"/>
      <x v="33"/>
      <x v="64"/>
      <x v="126"/>
      <x/>
      <x v="1"/>
    </i>
    <i r="2">
      <x v="34"/>
      <x v="31"/>
      <x v="62"/>
      <x v="63"/>
      <x v="11"/>
      <x/>
      <x v="1"/>
    </i>
    <i r="2">
      <x v="35"/>
      <x v="49"/>
      <x v="96"/>
      <x v="97"/>
      <x v="21"/>
      <x/>
      <x v="2"/>
    </i>
    <i r="2">
      <x v="36"/>
      <x v="41"/>
      <x v="95"/>
      <x v="88"/>
      <x v="124"/>
      <x/>
      <x v="1"/>
    </i>
    <i r="2">
      <x v="37"/>
      <x v="57"/>
      <x v="8"/>
      <x v="67"/>
      <x v="13"/>
      <x/>
      <x v="1"/>
    </i>
    <i r="2">
      <x v="38"/>
      <x v="43"/>
      <x v="72"/>
      <x v="83"/>
      <x v="18"/>
      <x/>
      <x v="1"/>
    </i>
    <i r="2">
      <x v="39"/>
      <x v="34"/>
      <x v="90"/>
      <x v="66"/>
      <x v="12"/>
      <x/>
      <x v="1"/>
    </i>
    <i r="2">
      <x v="40"/>
      <x v="59"/>
      <x v="38"/>
      <x v="85"/>
      <x v="113"/>
      <x/>
      <x v="1"/>
    </i>
    <i r="2">
      <x v="41"/>
      <x v="50"/>
      <x v="88"/>
      <x v="74"/>
      <x v="127"/>
      <x/>
      <x v="1"/>
    </i>
    <i r="2">
      <x v="42"/>
      <x v="32"/>
      <x v="92"/>
      <x v="70"/>
      <x v="14"/>
      <x/>
      <x v="1"/>
    </i>
    <i r="2">
      <x v="43"/>
      <x v="39"/>
      <x v="22"/>
      <x v="87"/>
      <x v="129"/>
      <x/>
      <x v="1"/>
    </i>
    <i r="2">
      <x v="44"/>
      <x v="28"/>
      <x v="99"/>
      <x v="89"/>
      <x v="19"/>
      <x/>
      <x v="1"/>
    </i>
    <i r="2">
      <x v="45"/>
      <x v="32"/>
      <x v="92"/>
      <x v="157"/>
      <x v="32"/>
      <x/>
      <x v="1"/>
    </i>
    <i r="2">
      <x v="46"/>
      <x v="32"/>
      <x v="92"/>
      <x v="122"/>
      <x v="26"/>
      <x/>
      <x v="1"/>
    </i>
    <i r="2">
      <x v="47"/>
      <x v="32"/>
      <x v="92"/>
      <x v="112"/>
      <x v="24"/>
      <x/>
      <x v="1"/>
    </i>
    <i r="2">
      <x v="48"/>
      <x v="32"/>
      <x v="92"/>
      <x v="177"/>
      <x v="4"/>
      <x/>
      <x v="1"/>
    </i>
    <i r="2">
      <x v="49"/>
      <x v="35"/>
      <x v="51"/>
      <x v="93"/>
      <x v="89"/>
      <x/>
      <x v="1"/>
    </i>
    <i r="2">
      <x v="50"/>
      <x v="29"/>
      <x v="41"/>
      <x v="101"/>
      <x v="90"/>
      <x/>
      <x v="1"/>
    </i>
    <i r="2">
      <x v="51"/>
      <x v="35"/>
      <x v="51"/>
      <x v="105"/>
      <x v="100"/>
      <x/>
      <x v="1"/>
    </i>
    <i r="2">
      <x v="52"/>
      <x v="39"/>
      <x v="22"/>
      <x v="141"/>
      <x v="103"/>
      <x/>
      <x v="1"/>
    </i>
    <i r="2">
      <x v="53"/>
      <x v="29"/>
      <x v="41"/>
      <x v="180"/>
      <x v="92"/>
      <x/>
      <x v="1"/>
    </i>
    <i r="2">
      <x v="54"/>
      <x v="35"/>
      <x v="51"/>
      <x v="178"/>
      <x v="105"/>
      <x/>
      <x v="1"/>
    </i>
    <i r="2">
      <x v="55"/>
      <x v="35"/>
      <x v="51"/>
      <x v="96"/>
      <x v="97"/>
      <x/>
      <x v="1"/>
    </i>
    <i r="2">
      <x v="56"/>
      <x v="39"/>
      <x v="22"/>
      <x v="186"/>
      <x v="107"/>
      <x/>
      <x v="1"/>
    </i>
    <i r="2">
      <x v="57"/>
      <x v="44"/>
      <x v="19"/>
      <x v="24"/>
      <x v="3"/>
      <x/>
      <x v="1"/>
    </i>
    <i r="2">
      <x v="58"/>
      <x v="45"/>
      <x v="33"/>
      <x v="114"/>
      <x v="116"/>
      <x/>
      <x v="1"/>
    </i>
    <i r="2">
      <x v="59"/>
      <x v="58"/>
      <x v="45"/>
      <x v="113"/>
      <x v="25"/>
      <x/>
      <x v="1"/>
    </i>
    <i r="2">
      <x v="60"/>
      <x v="58"/>
      <x v="45"/>
      <x v="95"/>
      <x v="23"/>
      <x/>
      <x v="1"/>
    </i>
    <i r="2">
      <x v="61"/>
      <x v="28"/>
      <x v="99"/>
      <x v="181"/>
      <x v="37"/>
      <x/>
      <x v="1"/>
    </i>
    <i r="2">
      <x v="62"/>
      <x v="51"/>
      <x v="75"/>
      <x v="175"/>
      <x v="128"/>
      <x/>
      <x v="1"/>
    </i>
    <i r="2">
      <x v="63"/>
      <x v="31"/>
      <x v="62"/>
      <x v="135"/>
      <x v="27"/>
      <x/>
      <x v="1"/>
    </i>
    <i r="2">
      <x v="64"/>
      <x v="49"/>
      <x v="96"/>
      <x v="98"/>
      <x v="22"/>
      <x/>
      <x v="2"/>
    </i>
    <i r="2">
      <x v="65"/>
      <x v="37"/>
      <x v="43"/>
      <x v="129"/>
      <x v="114"/>
      <x/>
      <x v="1"/>
    </i>
    <i r="2">
      <x v="66"/>
      <x v="31"/>
      <x v="62"/>
      <x v="170"/>
      <x v="36"/>
      <x/>
      <x v="1"/>
    </i>
    <i r="2">
      <x v="67"/>
      <x v="36"/>
      <x v="52"/>
      <x v="123"/>
      <x v="111"/>
      <x/>
      <x v="1"/>
    </i>
    <i r="2">
      <x v="68"/>
      <x v="54"/>
      <x v="71"/>
      <x v="188"/>
      <x v="130"/>
      <x/>
      <x v="1"/>
    </i>
    <i r="2">
      <x v="69"/>
      <x v="28"/>
      <x v="99"/>
      <x v="160"/>
      <x v="33"/>
      <x/>
      <x v="1"/>
    </i>
    <i r="2">
      <x v="70"/>
      <x v="31"/>
      <x v="62"/>
      <x v="154"/>
      <x v="31"/>
      <x/>
      <x v="1"/>
    </i>
    <i r="2">
      <x v="71"/>
      <x v="42"/>
      <x v="74"/>
      <x v="78"/>
      <x v="136"/>
      <x/>
      <x v="1"/>
    </i>
    <i r="2">
      <x v="72"/>
      <x v="28"/>
      <x v="99"/>
      <x v="153"/>
      <x v="30"/>
      <x/>
      <x v="1"/>
    </i>
    <i r="2">
      <x v="73"/>
      <x v="31"/>
      <x v="62"/>
      <x v="136"/>
      <x v="28"/>
      <x/>
      <x v="1"/>
    </i>
    <i r="2">
      <x v="74"/>
      <x v="48"/>
      <x v="34"/>
      <x v="107"/>
      <x v="123"/>
      <x/>
      <x v="1"/>
    </i>
    <i r="2">
      <x v="75"/>
      <x v="43"/>
      <x v="72"/>
      <x v="146"/>
      <x v="29"/>
      <x/>
      <x v="1"/>
    </i>
    <i r="2">
      <x v="76"/>
      <x v="44"/>
      <x v="19"/>
      <x v="99"/>
      <x v="20"/>
      <x/>
      <x v="1"/>
    </i>
    <i r="2">
      <x v="77"/>
      <x v="35"/>
      <x v="51"/>
      <x v="166"/>
      <x v="122"/>
      <x/>
      <x v="1"/>
    </i>
    <i r="2">
      <x v="78"/>
      <x v="42"/>
      <x v="74"/>
      <x v="111"/>
      <x v="135"/>
      <x/>
      <x v="1"/>
    </i>
    <i r="2">
      <x v="79"/>
      <x v="58"/>
      <x v="45"/>
      <x v="161"/>
      <x v="125"/>
      <x/>
      <x v="1"/>
    </i>
    <i r="2">
      <x v="80"/>
      <x v="28"/>
      <x v="99"/>
      <x v="167"/>
      <x v="35"/>
      <x/>
      <x v="1"/>
    </i>
    <i r="2">
      <x v="81"/>
      <x v="35"/>
      <x v="51"/>
      <x v="164"/>
      <x v="34"/>
      <x/>
      <x v="1"/>
    </i>
    <i r="2">
      <x v="82"/>
      <x v="45"/>
      <x v="33"/>
      <x v="165"/>
      <x v="117"/>
      <x/>
      <x v="1"/>
    </i>
    <i>
      <x v="9"/>
      <x v="1"/>
      <x v="175"/>
      <x v="77"/>
      <x/>
      <x v="12"/>
      <x v="1"/>
      <x v="5"/>
      <x/>
    </i>
  </rowItems>
  <colItems count="1">
    <i/>
  </colItems>
  <dataFields count="1">
    <dataField name="Suma de Net Budget Delivered (Billing Currency)" fld="39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2384A2-62FF-4049-862C-2EBC422D719A}" name="Interco" cacheId="478" applyNumberFormats="0" applyBorderFormats="0" applyFontFormats="0" applyPatternFormats="0" applyAlignmentFormats="0" applyWidthHeightFormats="0" dataCaption="" updatedVersion="8" compact="0" compactData="0">
  <location ref="B3:E7" firstHeaderRow="1" firstDataRow="1" firstDataCol="3" rowPageCount="1" colPageCount="1"/>
  <pivotFields count="24">
    <pivotField name="Posting type" compact="0" numFmtId="49" outline="0" multipleItemSelectionAllowed="1" showAll="0"/>
    <pivotField name="Date" compact="0" numFmtId="14" outline="0" multipleItemSelectionAllowed="1" showAll="0"/>
    <pivotField name="Customer name" compact="0" outline="0" multipleItemSelectionAllowed="1" showAll="0"/>
    <pivotField name="Customer account" compact="0" outline="0" multipleItemSelectionAllowed="1" showAll="0"/>
    <pivotField name="Vendor name" compact="0" outline="0" multipleItemSelectionAllowed="1" showAll="0"/>
    <pivotField name="Vendor account" compact="0" outline="0" multipleItemSelectionAllowed="1" showAll="0"/>
    <pivotField name="Description" compact="0" numFmtId="49" outline="0" multipleItemSelectionAllowed="1" showAll="0"/>
    <pivotField name="SO / PO" compact="0" numFmtId="49" outline="0" multipleItemSelectionAllowed="1" showAll="0"/>
    <pivotField name="Ledger account" compact="0" numFmtId="49" outline="0" multipleItemSelectionAllowed="1" showAll="0"/>
    <pivotField name="Journal number" compact="0" numFmtId="49" outline="0" multipleItemSelectionAllowed="1" showAll="0"/>
    <pivotField name="Voucher" compact="0" numFmtId="49" outline="0" multipleItemSelectionAllowed="1" showAll="0"/>
    <pivotField name="Document date" compact="0" numFmtId="14" outline="0" multipleItemSelectionAllowed="1" showAll="0"/>
    <pivotField name="Ledger account2" compact="0" numFmtId="49" outline="0" multipleItemSelectionAllowed="1" showAll="0"/>
    <pivotField name="Main account" compact="0" numFmtId="49" outline="0" multipleItemSelectionAllowed="1" showAll="0"/>
    <pivotField name="Account name" compact="0" numFmtId="49" outline="0" multipleItemSelectionAllowed="1" showAll="0"/>
    <pivotField name="Currency" axis="axisRow" compact="0" numFmtId="49" outline="0" multipleItemSelectionAllowed="1" showAll="0" sortType="ascending">
      <items count="7">
        <item x="0"/>
        <item m="1" x="3"/>
        <item m="1" x="2"/>
        <item m="1" x="5"/>
        <item m="1" x="4"/>
        <item x="1"/>
        <item t="default"/>
      </items>
    </pivotField>
    <pivotField name="Amount in transaction currency" dataField="1" compact="0" numFmtId="4" outline="0" multipleItemSelectionAllowed="1" showAll="0"/>
    <pivotField name="Amount" compact="0" numFmtId="4" outline="0" multipleItemSelectionAllowed="1" showAll="0"/>
    <pivotField name="Amount in reporting currency" compact="0" numFmtId="4" outline="0" multipleItemSelectionAllowed="1" showAll="0"/>
    <pivotField name="Posting layer" compact="0" numFmtId="49" outline="0" multipleItemSelectionAllowed="1" showAll="0"/>
    <pivotField name="Created by" compact="0" numFmtId="49" outline="0" multipleItemSelectionAllowed="1" showAll="0"/>
    <pivotField name="ENTITY" axis="axisRow" compact="0" outline="0" multipleItemSelectionAllowed="1" showAll="0" sortType="ascending" defaultSubtotal="0">
      <items count="9">
        <item x="0"/>
        <item m="1" x="4"/>
        <item m="1" x="2"/>
        <item m="1" x="3"/>
        <item m="1" x="8"/>
        <item m="1" x="7"/>
        <item m="1" x="6"/>
        <item x="1"/>
        <item m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BU" axis="axisRow" compact="0" outline="0" multipleItemSelectionAllowed="1" showAll="0" sortType="ascending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ACCOUNT" axis="axisPage" compact="0" outline="0" multipleItemSelectionAllowed="1" showAll="0">
      <items count="4">
        <item x="0"/>
        <item h="1" m="1" x="1"/>
        <item h="1" m="1" x="2"/>
        <item t="default"/>
      </items>
    </pivotField>
  </pivotFields>
  <rowFields count="3">
    <field x="21"/>
    <field x="22"/>
    <field x="15"/>
  </rowFields>
  <rowItems count="4">
    <i>
      <x/>
      <x/>
      <x/>
    </i>
    <i r="1">
      <x v="1"/>
      <x/>
    </i>
    <i>
      <x v="7"/>
      <x/>
      <x v="5"/>
    </i>
    <i t="grand">
      <x/>
    </i>
  </rowItems>
  <colItems count="1">
    <i/>
  </colItems>
  <pageFields count="1">
    <pageField fld="23" hier="0"/>
  </pageFields>
  <dataFields count="1">
    <dataField name="Suma de Amount in transaction currency" fld="16" baseField="21" baseItem="0" numFmtId="3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5" dT="2025-02-05T18:13:11.00" personId="{B3A62621-4040-46C7-983B-05F5EF27BA81}" id="{8D4EB436-5828-499C-AF19-2F2885F40EB3}" done="1">
    <text>@aleksandar.vujinovic@alephholding.com not correct SF field!!
Dodeljeno uporabniku aleksandar.vujinovic@alephholding.com</text>
    <mentions>
      <mention mentionpersonId="{821715F1-8747-4D72-B9E2-60FFE4CAD0DB}" mentionId="{F9B212D0-D38D-4500-8320-F13C7E0C1A22}" startIndex="0" length="38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" dT="2025-04-18T08:36:52.00" personId="{B3A62621-4040-46C7-983B-05F5EF27BA81}" id="{EEF62D54-529B-4886-BA7E-D9617C5F4783}">
    <text>@aleksandar.vujinovic@alephholding.com we should see Quota Country from bil report in this column
Dodeljeno uporabniku aleksandar.vujinovic@alephholding.com</text>
    <mentions>
      <mention mentionpersonId="{821715F1-8747-4D72-B9E2-60FFE4CAD0DB}" mentionId="{7C51AF38-0AD4-4F67-B178-20477D517BFB}" startIndex="0" length="38"/>
    </mentions>
  </threadedComment>
  <threadedComment ref="B1" dT="2025-04-18T08:44:34.00" personId="{37386E05-3FD9-4247-A0A7-7E1424B8CA8E}" id="{4F067947-6715-4710-AABD-C787F48FEC86}" parentId="{EEF62D54-529B-4886-BA7E-D9617C5F4783}">
    <text>@katja.ozbolt@alephholding.com you mean this field should be matched with quota country from bil report in the equation?</text>
    <mentions>
      <mention mentionpersonId="{CB27A50B-6CE9-4AC5-B7F9-7AF4FD48FE91}" mentionId="{9D0669FB-6738-48A9-8337-0830191798E4}" startIndex="0" length="30"/>
    </mentions>
  </threadedComment>
  <threadedComment ref="B1" dT="2025-04-18T08:47:23.00" personId="{B3A62621-4040-46C7-983B-05F5EF27BA81}" id="{DFDAFBB7-68DC-45C6-8F11-BA0A1AC9FC93}" parentId="{EEF62D54-529B-4886-BA7E-D9617C5F4783}">
    <text>yes. commissions are based on quota countries and not purchase countries
Skupaj 1 odziv
Oseba Aleksandar Vujinović je dodala odziv 👍 ob 2025-04-18 08:51 AM</text>
  </threadedComment>
  <threadedComment ref="B1" dT="2025-04-18T09:52:55.00" personId="{B486C6E1-EC82-4965-B6CD-96F4D11077C5}" id="{C46C763B-B15A-4E75-9283-38F5CE699BC2}" parentId="{EEF62D54-529B-4886-BA7E-D9617C5F4783}">
    <text>hey, so I need to apply formula to "Reporting" country from Salesforce, right?</text>
  </threadedComment>
  <threadedComment ref="B1" dT="2025-04-18T09:53:18.00" personId="{B486C6E1-EC82-4965-B6CD-96F4D11077C5}" id="{590EF95F-29E9-4E27-8625-7E63D37DF97B}" parentId="{EEF62D54-529B-4886-BA7E-D9617C5F4783}">
    <text>I've also changed the name of the colum</text>
  </threadedComment>
  <threadedComment ref="B1" dT="2025-04-18T09:53:55.00" personId="{37386E05-3FD9-4247-A0A7-7E1424B8CA8E}" id="{FC0F5799-5EEB-4B60-9AF2-49060059CBAA}" parentId="{EEF62D54-529B-4886-BA7E-D9617C5F4783}">
    <text>I have already adjusted the formulas</text>
  </threadedComment>
  <threadedComment ref="B1" dT="2025-04-18T09:54:46.00" personId="{37386E05-3FD9-4247-A0A7-7E1424B8CA8E}" id="{EE67493A-E1F9-4640-BB24-A35FB3749D22}" parentId="{EEF62D54-529B-4886-BA7E-D9617C5F4783}">
    <text>and added three new columns With Tax Percent, With Tax Purch Curr,	With Tax USD Curr</text>
  </threadedComment>
  <threadedComment ref="B1" dT="2025-04-18T10:42:17.00" personId="{B486C6E1-EC82-4965-B6CD-96F4D11077C5}" id="{F1C1ABCB-84F8-4E06-B74D-D25FE9E8BBD8}" parentId="{EEF62D54-529B-4886-BA7E-D9617C5F4783}">
    <text>great, thanks a lot</text>
  </threadedComment>
  <threadedComment ref="E2" dT="2025-04-18T08:52:41.00" personId="{B3A62621-4040-46C7-983B-05F5EF27BA81}" id="{08E5C5A9-46D3-460B-ADB9-4F58B3A4878C}">
    <text>@aleksandar.vujinovic@alephholding.com 
not sure hot to write this down: for AR commission is build based on the comm 15% + 7% financial Fee. for calculating TAX we should use only comm 15%, therefore maybe best to insert here only 15% and add additional column for Financial Fee?
Dodeljeno uporabniku aleksandar.vujinovic@alephholding.com</text>
    <mentions>
      <mention mentionpersonId="{821715F1-8747-4D72-B9E2-60FFE4CAD0DB}" mentionId="{125BB40E-E18E-4DA8-A109-A76545B28EEB}" startIndex="0" length="38"/>
    </mentions>
  </threadedComment>
  <threadedComment ref="E2" dT="2025-04-18T09:05:16.00" personId="{37386E05-3FD9-4247-A0A7-7E1424B8CA8E}" id="{DC1B15EB-52CE-40DF-8D7B-EE41EB901D53}" parentId="{08E5C5A9-46D3-460B-ADB9-4F58B3A4878C}">
    <text>not sure. @matic.turk@alephholding.com what do you think?</text>
    <mentions>
      <mention mentionpersonId="{A8CB7C55-1A3E-42EA-AD36-FCBC1136E9CC}" mentionId="{FCB0FE58-B25B-4F64-9BA6-FFB18545D939}" startIndex="10" length="28"/>
    </mentions>
  </threadedComment>
  <threadedComment ref="E2" dT="2025-04-18T09:54:47.00" personId="{B486C6E1-EC82-4965-B6CD-96F4D11077C5}" id="{38469B85-1C48-4711-8A02-817FB3D62B5A}" parentId="{08E5C5A9-46D3-460B-ADB9-4F58B3A4878C}">
    <text>yes, you mean like this?</text>
  </threadedComment>
  <threadedComment ref="E2" dT="2025-04-18T10:03:42.00" personId="{B3A62621-4040-46C7-983B-05F5EF27BA81}" id="{C166B37E-A5AA-471C-8101-37093F6AB45C}" parentId="{08E5C5A9-46D3-460B-ADB9-4F58B3A4878C}">
    <text>yes, thank you!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alephholding.lightning.force.com/lightning/r/OrderItem/802Um00000DauvRIAR/view" TargetMode="External"/><Relationship Id="rId21" Type="http://schemas.openxmlformats.org/officeDocument/2006/relationships/hyperlink" Target="https://alephholding.lightning.force.com/lightning/r/OrderItem/802Um00000DiLPTIA3/view" TargetMode="External"/><Relationship Id="rId42" Type="http://schemas.openxmlformats.org/officeDocument/2006/relationships/hyperlink" Target="https://alephholding.lightning.force.com/lightning/r/OrderItem/802Um00000DdWDRIA3/view" TargetMode="External"/><Relationship Id="rId47" Type="http://schemas.openxmlformats.org/officeDocument/2006/relationships/hyperlink" Target="https://alephholding.lightning.force.com/lightning/r/OrderItem/802Um00000DiWvyIAF/view" TargetMode="External"/><Relationship Id="rId63" Type="http://schemas.openxmlformats.org/officeDocument/2006/relationships/hyperlink" Target="https://alephholding.lightning.force.com/lightning/r/OrderItem/802Um00000DlGoDIAV/view" TargetMode="External"/><Relationship Id="rId68" Type="http://schemas.openxmlformats.org/officeDocument/2006/relationships/hyperlink" Target="https://alephholding.lightning.force.com/lightning/r/OrderItem/802Um00000Dx4MfIAJ/view" TargetMode="External"/><Relationship Id="rId84" Type="http://schemas.openxmlformats.org/officeDocument/2006/relationships/vmlDrawing" Target="../drawings/vmlDrawing2.vml"/><Relationship Id="rId16" Type="http://schemas.openxmlformats.org/officeDocument/2006/relationships/hyperlink" Target="https://alephholding.lightning.force.com/lightning/r/OrderItem/802Um00000Dzk02IAB/view" TargetMode="External"/><Relationship Id="rId11" Type="http://schemas.openxmlformats.org/officeDocument/2006/relationships/hyperlink" Target="https://alephholding.lightning.force.com/lightning/r/OrderItem/802Um00000DnpTJIAZ/view" TargetMode="External"/><Relationship Id="rId32" Type="http://schemas.openxmlformats.org/officeDocument/2006/relationships/hyperlink" Target="https://alephholding.lightning.force.com/lightning/r/OrderItem/802Um00000DiFtVIAV/view" TargetMode="External"/><Relationship Id="rId37" Type="http://schemas.openxmlformats.org/officeDocument/2006/relationships/hyperlink" Target="https://alephholding.lightning.force.com/lightning/r/OrderItem/802Um00000Db3kDIAR/view" TargetMode="External"/><Relationship Id="rId53" Type="http://schemas.openxmlformats.org/officeDocument/2006/relationships/hyperlink" Target="https://alephholding.lightning.force.com/lightning/r/OrderItem/802Um00000DXR3aIAH/view" TargetMode="External"/><Relationship Id="rId58" Type="http://schemas.openxmlformats.org/officeDocument/2006/relationships/hyperlink" Target="https://alephholding.lightning.force.com/lightning/r/OrderItem/802Um00000DayqzIAB/view" TargetMode="External"/><Relationship Id="rId74" Type="http://schemas.openxmlformats.org/officeDocument/2006/relationships/hyperlink" Target="https://alephholding.lightning.force.com/lightning/r/OrderItem/802Um00000E2OfhIAF/view" TargetMode="External"/><Relationship Id="rId79" Type="http://schemas.openxmlformats.org/officeDocument/2006/relationships/hyperlink" Target="https://alephholding.lightning.force.com/lightning/r/OrderItem/802Um00000EBbPBIA1/view" TargetMode="External"/><Relationship Id="rId5" Type="http://schemas.openxmlformats.org/officeDocument/2006/relationships/hyperlink" Target="https://alephholding.lightning.force.com/lightning/r/OrderItem/802Uj00000PfsUIIAZ/view" TargetMode="External"/><Relationship Id="rId19" Type="http://schemas.openxmlformats.org/officeDocument/2006/relationships/hyperlink" Target="https://alephholding.lightning.force.com/lightning/r/OrderItem/802Uj00000PMtXKIA1/view" TargetMode="External"/><Relationship Id="rId14" Type="http://schemas.openxmlformats.org/officeDocument/2006/relationships/hyperlink" Target="https://alephholding.lightning.force.com/lightning/r/OrderItem/802Um00000DVQ0LIAX/view" TargetMode="External"/><Relationship Id="rId22" Type="http://schemas.openxmlformats.org/officeDocument/2006/relationships/hyperlink" Target="https://alephholding.lightning.force.com/lightning/r/OrderItem/802Uj00000OWFNuIAP/view" TargetMode="External"/><Relationship Id="rId27" Type="http://schemas.openxmlformats.org/officeDocument/2006/relationships/hyperlink" Target="https://alephholding.lightning.force.com/lightning/r/OrderItem/802Uj00000PIdB5IAL/view" TargetMode="External"/><Relationship Id="rId30" Type="http://schemas.openxmlformats.org/officeDocument/2006/relationships/hyperlink" Target="https://alephholding.lightning.force.com/lightning/r/OrderItem/802Um00000EncvJIAR/view" TargetMode="External"/><Relationship Id="rId35" Type="http://schemas.openxmlformats.org/officeDocument/2006/relationships/hyperlink" Target="https://alephholding.lightning.force.com/lightning/r/OrderItem/802Um00000DdVpGIAV/view" TargetMode="External"/><Relationship Id="rId43" Type="http://schemas.openxmlformats.org/officeDocument/2006/relationships/hyperlink" Target="https://alephholding.lightning.force.com/lightning/r/OrderItem/802Um00000DMxRmIAL/view" TargetMode="External"/><Relationship Id="rId48" Type="http://schemas.openxmlformats.org/officeDocument/2006/relationships/hyperlink" Target="https://alephholding.lightning.force.com/lightning/r/OrderItem/802Um00000DFbkYIAT/view" TargetMode="External"/><Relationship Id="rId56" Type="http://schemas.openxmlformats.org/officeDocument/2006/relationships/hyperlink" Target="https://alephholding.lightning.force.com/lightning/r/OrderItem/802Um00000DhqezIAB/view" TargetMode="External"/><Relationship Id="rId64" Type="http://schemas.openxmlformats.org/officeDocument/2006/relationships/hyperlink" Target="https://alephholding.lightning.force.com/lightning/r/OrderItem/802Um00000DnavhIAB/view" TargetMode="External"/><Relationship Id="rId69" Type="http://schemas.openxmlformats.org/officeDocument/2006/relationships/hyperlink" Target="https://alephholding.lightning.force.com/lightning/r/OrderItem/802Um00000DznKTIAZ/view" TargetMode="External"/><Relationship Id="rId77" Type="http://schemas.openxmlformats.org/officeDocument/2006/relationships/hyperlink" Target="https://alephholding.lightning.force.com/lightning/r/OrderItem/802Um00000ELURFIA5/view" TargetMode="External"/><Relationship Id="rId8" Type="http://schemas.openxmlformats.org/officeDocument/2006/relationships/hyperlink" Target="https://alephholding.lightning.force.com/lightning/r/OrderItem/802Um00000DpkpKIAR/view" TargetMode="External"/><Relationship Id="rId51" Type="http://schemas.openxmlformats.org/officeDocument/2006/relationships/hyperlink" Target="https://alephholding.lightning.force.com/lightning/r/OrderItem/802Um00000Enav7IAB/view" TargetMode="External"/><Relationship Id="rId72" Type="http://schemas.openxmlformats.org/officeDocument/2006/relationships/hyperlink" Target="https://alephholding.lightning.force.com/lightning/r/OrderItem/802Um00000E1jsfIAB/view" TargetMode="External"/><Relationship Id="rId80" Type="http://schemas.openxmlformats.org/officeDocument/2006/relationships/hyperlink" Target="https://alephholding.lightning.force.com/lightning/r/OrderItem/802Um00000Eq3mZIAR/view" TargetMode="External"/><Relationship Id="rId85" Type="http://schemas.openxmlformats.org/officeDocument/2006/relationships/comments" Target="../comments2.xml"/><Relationship Id="rId3" Type="http://schemas.openxmlformats.org/officeDocument/2006/relationships/hyperlink" Target="https://alephholding.lightning.force.com/lightning/r/OrderItem/802Um00000DkfiDIAR/view" TargetMode="External"/><Relationship Id="rId12" Type="http://schemas.openxmlformats.org/officeDocument/2006/relationships/hyperlink" Target="https://alephholding.lightning.force.com/lightning/r/OrderItem/802Uj00000MBp7OIAT/view" TargetMode="External"/><Relationship Id="rId17" Type="http://schemas.openxmlformats.org/officeDocument/2006/relationships/hyperlink" Target="https://alephholding.lightning.force.com/lightning/r/OrderItem/802Um00000DlCZJIA3/view" TargetMode="External"/><Relationship Id="rId25" Type="http://schemas.openxmlformats.org/officeDocument/2006/relationships/hyperlink" Target="https://alephholding.lightning.force.com/lightning/r/OrderItem/802Um00000EJIUDIA5/view" TargetMode="External"/><Relationship Id="rId33" Type="http://schemas.openxmlformats.org/officeDocument/2006/relationships/hyperlink" Target="https://alephholding.lightning.force.com/lightning/r/OrderItem/802Um00000DdMcIIAV/view" TargetMode="External"/><Relationship Id="rId38" Type="http://schemas.openxmlformats.org/officeDocument/2006/relationships/hyperlink" Target="https://alephholding.lightning.force.com/lightning/r/OrderItem/802Uj00000PVKIiIAP/view" TargetMode="External"/><Relationship Id="rId46" Type="http://schemas.openxmlformats.org/officeDocument/2006/relationships/hyperlink" Target="https://alephholding.lightning.force.com/lightning/r/OrderItem/802Um00000DHmqOIAT/view" TargetMode="External"/><Relationship Id="rId59" Type="http://schemas.openxmlformats.org/officeDocument/2006/relationships/hyperlink" Target="https://alephholding.lightning.force.com/lightning/r/OrderItem/802Um00000EIoj3IAD/view" TargetMode="External"/><Relationship Id="rId67" Type="http://schemas.openxmlformats.org/officeDocument/2006/relationships/hyperlink" Target="https://alephholding.lightning.force.com/lightning/r/OrderItem/802Um00000Do1SrIAJ/view" TargetMode="External"/><Relationship Id="rId20" Type="http://schemas.openxmlformats.org/officeDocument/2006/relationships/hyperlink" Target="https://alephholding.lightning.force.com/lightning/r/OrderItem/802Um00000EPvz7IAD/view" TargetMode="External"/><Relationship Id="rId41" Type="http://schemas.openxmlformats.org/officeDocument/2006/relationships/hyperlink" Target="https://alephholding.lightning.force.com/lightning/r/OrderItem/802Uj00000PYiReIAL/view" TargetMode="External"/><Relationship Id="rId54" Type="http://schemas.openxmlformats.org/officeDocument/2006/relationships/hyperlink" Target="https://alephholding.lightning.force.com/lightning/r/OrderItem/802Um00000DVuGAIA1/view" TargetMode="External"/><Relationship Id="rId62" Type="http://schemas.openxmlformats.org/officeDocument/2006/relationships/hyperlink" Target="https://alephholding.lightning.force.com/lightning/r/OrderItem/802Um00000DkjYvIAJ/view" TargetMode="External"/><Relationship Id="rId70" Type="http://schemas.openxmlformats.org/officeDocument/2006/relationships/hyperlink" Target="https://alephholding.lightning.force.com/lightning/r/OrderItem/802Um00000E59trIAB/view" TargetMode="External"/><Relationship Id="rId75" Type="http://schemas.openxmlformats.org/officeDocument/2006/relationships/hyperlink" Target="https://alephholding.lightning.force.com/lightning/r/OrderItem/802Um00000E6vd3IAB/view" TargetMode="External"/><Relationship Id="rId83" Type="http://schemas.openxmlformats.org/officeDocument/2006/relationships/hyperlink" Target="https://alephholding.lightning.force.com/lightning/r/OrderItem/802Um00000EUuUXIA1/view" TargetMode="External"/><Relationship Id="rId1" Type="http://schemas.openxmlformats.org/officeDocument/2006/relationships/hyperlink" Target="https://alephholding.lightning.force.com/lightning/r/OrderItem/802Um00000EQBe5IAH/view" TargetMode="External"/><Relationship Id="rId6" Type="http://schemas.openxmlformats.org/officeDocument/2006/relationships/hyperlink" Target="https://alephholding.lightning.force.com/lightning/r/OrderItem/802Um00000DqJyLIAV/view" TargetMode="External"/><Relationship Id="rId15" Type="http://schemas.openxmlformats.org/officeDocument/2006/relationships/hyperlink" Target="https://alephholding.lightning.force.com/lightning/r/OrderItem/802Um00000DlYwPIAV/view" TargetMode="External"/><Relationship Id="rId23" Type="http://schemas.openxmlformats.org/officeDocument/2006/relationships/hyperlink" Target="https://alephholding.lightning.force.com/lightning/r/OrderItem/802Uj00000PlUViIAN/view" TargetMode="External"/><Relationship Id="rId28" Type="http://schemas.openxmlformats.org/officeDocument/2006/relationships/hyperlink" Target="https://alephholding.lightning.force.com/lightning/r/OrderItem/802Um00000Dhwu5IAB/view" TargetMode="External"/><Relationship Id="rId36" Type="http://schemas.openxmlformats.org/officeDocument/2006/relationships/hyperlink" Target="https://alephholding.lightning.force.com/lightning/r/OrderItem/802Uj00000PT1vCIAT/view" TargetMode="External"/><Relationship Id="rId49" Type="http://schemas.openxmlformats.org/officeDocument/2006/relationships/hyperlink" Target="https://alephholding.lightning.force.com/lightning/r/OrderItem/802Um00000DJwQcIAL/view" TargetMode="External"/><Relationship Id="rId57" Type="http://schemas.openxmlformats.org/officeDocument/2006/relationships/hyperlink" Target="https://alephholding.lightning.force.com/lightning/r/OrderItem/802Um00000DdKAfIAN/view" TargetMode="External"/><Relationship Id="rId10" Type="http://schemas.openxmlformats.org/officeDocument/2006/relationships/hyperlink" Target="https://alephholding.lightning.force.com/lightning/r/OrderItem/802Uj00000OpcOoIAJ/view" TargetMode="External"/><Relationship Id="rId31" Type="http://schemas.openxmlformats.org/officeDocument/2006/relationships/hyperlink" Target="https://alephholding.lightning.force.com/lightning/r/OrderItem/802Um00000DiXnBIAV/view" TargetMode="External"/><Relationship Id="rId44" Type="http://schemas.openxmlformats.org/officeDocument/2006/relationships/hyperlink" Target="https://alephholding.lightning.force.com/lightning/r/OrderItem/802Um00000DarEPIAZ/view" TargetMode="External"/><Relationship Id="rId52" Type="http://schemas.openxmlformats.org/officeDocument/2006/relationships/hyperlink" Target="https://alephholding.lightning.force.com/lightning/r/OrderItem/802Um00000DXgU1IAL/view" TargetMode="External"/><Relationship Id="rId60" Type="http://schemas.openxmlformats.org/officeDocument/2006/relationships/hyperlink" Target="https://alephholding.lightning.force.com/lightning/r/OrderItem/802Um00000DiOQXIA3/view" TargetMode="External"/><Relationship Id="rId65" Type="http://schemas.openxmlformats.org/officeDocument/2006/relationships/hyperlink" Target="https://alephholding.lightning.force.com/lightning/r/OrderItem/802Um00000Ds1inIAB/view" TargetMode="External"/><Relationship Id="rId73" Type="http://schemas.openxmlformats.org/officeDocument/2006/relationships/hyperlink" Target="https://alephholding.lightning.force.com/lightning/r/OrderItem/802Um00000E2SL7IAN/view" TargetMode="External"/><Relationship Id="rId78" Type="http://schemas.openxmlformats.org/officeDocument/2006/relationships/hyperlink" Target="https://alephholding.lightning.force.com/lightning/r/OrderItem/802Um00000E7fsnIAB/view" TargetMode="External"/><Relationship Id="rId81" Type="http://schemas.openxmlformats.org/officeDocument/2006/relationships/hyperlink" Target="https://alephholding.lightning.force.com/lightning/r/OrderItem/802Um00000EPwS9IAL/view" TargetMode="External"/><Relationship Id="rId4" Type="http://schemas.openxmlformats.org/officeDocument/2006/relationships/hyperlink" Target="https://alephholding.lightning.force.com/lightning/r/OrderItem/802Um00000DilmvIAB/view" TargetMode="External"/><Relationship Id="rId9" Type="http://schemas.openxmlformats.org/officeDocument/2006/relationships/hyperlink" Target="https://alephholding.lightning.force.com/lightning/r/OrderItem/802Um00000DplQQIAZ/view" TargetMode="External"/><Relationship Id="rId13" Type="http://schemas.openxmlformats.org/officeDocument/2006/relationships/hyperlink" Target="https://alephholding.lightning.force.com/lightning/r/OrderItem/802Uj00000LwXp8IAF/view" TargetMode="External"/><Relationship Id="rId18" Type="http://schemas.openxmlformats.org/officeDocument/2006/relationships/hyperlink" Target="https://alephholding.lightning.force.com/lightning/r/OrderItem/802Um00000DXrR3IAL/view" TargetMode="External"/><Relationship Id="rId39" Type="http://schemas.openxmlformats.org/officeDocument/2006/relationships/hyperlink" Target="https://alephholding.lightning.force.com/lightning/r/OrderItem/802Um00000DVg3VIAT/view" TargetMode="External"/><Relationship Id="rId34" Type="http://schemas.openxmlformats.org/officeDocument/2006/relationships/hyperlink" Target="https://alephholding.lightning.force.com/lightning/r/OrderItem/802Um00000DdQMXIA3/view" TargetMode="External"/><Relationship Id="rId50" Type="http://schemas.openxmlformats.org/officeDocument/2006/relationships/hyperlink" Target="https://alephholding.lightning.force.com/lightning/r/OrderItem/802Um00000DsAFpIAN/view" TargetMode="External"/><Relationship Id="rId55" Type="http://schemas.openxmlformats.org/officeDocument/2006/relationships/hyperlink" Target="https://alephholding.lightning.force.com/lightning/r/OrderItem/802Um00000DVdATIA1/view" TargetMode="External"/><Relationship Id="rId76" Type="http://schemas.openxmlformats.org/officeDocument/2006/relationships/hyperlink" Target="https://alephholding.lightning.force.com/lightning/r/OrderItem/802Um00000E5Cq6IAF/view" TargetMode="External"/><Relationship Id="rId7" Type="http://schemas.openxmlformats.org/officeDocument/2006/relationships/hyperlink" Target="https://alephholding.lightning.force.com/lightning/r/OrderItem/802Um00000DkfQTIAZ/view" TargetMode="External"/><Relationship Id="rId71" Type="http://schemas.openxmlformats.org/officeDocument/2006/relationships/hyperlink" Target="https://alephholding.lightning.force.com/lightning/r/OrderItem/802Um00000E09T3IAJ/view" TargetMode="External"/><Relationship Id="rId2" Type="http://schemas.openxmlformats.org/officeDocument/2006/relationships/hyperlink" Target="https://alephholding.lightning.force.com/lightning/r/OrderItem/802Um00000DJtMHIA1/view" TargetMode="External"/><Relationship Id="rId29" Type="http://schemas.openxmlformats.org/officeDocument/2006/relationships/hyperlink" Target="https://alephholding.lightning.force.com/lightning/r/OrderItem/802Um00000DhxF3IAJ/view" TargetMode="External"/><Relationship Id="rId24" Type="http://schemas.openxmlformats.org/officeDocument/2006/relationships/hyperlink" Target="https://alephholding.lightning.force.com/lightning/r/OrderItem/802Um00000DlSvpIAF/view" TargetMode="External"/><Relationship Id="rId40" Type="http://schemas.openxmlformats.org/officeDocument/2006/relationships/hyperlink" Target="https://alephholding.lightning.force.com/lightning/r/OrderItem/802Uj00000PXUFSIA5/view" TargetMode="External"/><Relationship Id="rId45" Type="http://schemas.openxmlformats.org/officeDocument/2006/relationships/hyperlink" Target="https://alephholding.lightning.force.com/lightning/r/OrderItem/802Um00000DN15aIAD/view" TargetMode="External"/><Relationship Id="rId66" Type="http://schemas.openxmlformats.org/officeDocument/2006/relationships/hyperlink" Target="https://alephholding.lightning.force.com/lightning/r/OrderItem/802Um00000Do11RIAR/view" TargetMode="External"/><Relationship Id="rId61" Type="http://schemas.openxmlformats.org/officeDocument/2006/relationships/hyperlink" Target="https://alephholding.lightning.force.com/lightning/r/OrderItem/802Um00000Di2ZhIAJ/view" TargetMode="External"/><Relationship Id="rId82" Type="http://schemas.openxmlformats.org/officeDocument/2006/relationships/hyperlink" Target="https://alephholding.lightning.force.com/lightning/r/OrderItem/802Um00000ET3AXIA1/view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alephholding.lightning.force.com/lightning/r/Orderitem/801Uj00000yNoCsIAK/view" TargetMode="External"/><Relationship Id="rId21" Type="http://schemas.openxmlformats.org/officeDocument/2006/relationships/hyperlink" Target="https://alephholding.lightning.force.com/lightning/r/Orderitem/801Uj00000ynLjuIAE/view" TargetMode="External"/><Relationship Id="rId42" Type="http://schemas.openxmlformats.org/officeDocument/2006/relationships/hyperlink" Target="https://alephholding.lightning.force.com/lightning/r/Orderitem/802Uj00000PfsUIIAZ/view" TargetMode="External"/><Relationship Id="rId63" Type="http://schemas.openxmlformats.org/officeDocument/2006/relationships/hyperlink" Target="https://alephholding.lightning.force.com/lightning/r/Orderitem/801Uj00000bXzKNIA0/view" TargetMode="External"/><Relationship Id="rId84" Type="http://schemas.openxmlformats.org/officeDocument/2006/relationships/hyperlink" Target="https://alephholding.lightning.force.com/lightning/r/Orderitem/802Um00000DznKTIAZ/view" TargetMode="External"/><Relationship Id="rId138" Type="http://schemas.openxmlformats.org/officeDocument/2006/relationships/comments" Target="../comments4.xml"/><Relationship Id="rId16" Type="http://schemas.openxmlformats.org/officeDocument/2006/relationships/hyperlink" Target="https://alephholding.lightning.force.com/lightning/r/Orderitem/802Uj00000PXUFSIA5/view" TargetMode="External"/><Relationship Id="rId107" Type="http://schemas.openxmlformats.org/officeDocument/2006/relationships/hyperlink" Target="https://alephholding.lightning.force.com/lightning/r/Orderitem/801Um00001FoQxRIAV/view" TargetMode="External"/><Relationship Id="rId11" Type="http://schemas.openxmlformats.org/officeDocument/2006/relationships/hyperlink" Target="https://alephholding.lightning.force.com/lightning/r/Orderitem/801Uj00000yth6kIAA/view" TargetMode="External"/><Relationship Id="rId32" Type="http://schemas.openxmlformats.org/officeDocument/2006/relationships/hyperlink" Target="https://alephholding.lightning.force.com/lightning/r/Orderitem/802Um00000DXR3aIAH/view" TargetMode="External"/><Relationship Id="rId37" Type="http://schemas.openxmlformats.org/officeDocument/2006/relationships/hyperlink" Target="https://alephholding.lightning.force.com/lightning/r/Orderitem/801Um00001GekwtIAB/view" TargetMode="External"/><Relationship Id="rId53" Type="http://schemas.openxmlformats.org/officeDocument/2006/relationships/hyperlink" Target="https://alephholding.lightning.force.com/lightning/r/Orderitem/801Uj00000eBYydIAG/view" TargetMode="External"/><Relationship Id="rId58" Type="http://schemas.openxmlformats.org/officeDocument/2006/relationships/hyperlink" Target="https://alephholding.lightning.force.com/lightning/r/Orderitem/802Um00000DdWDRIA3/view" TargetMode="External"/><Relationship Id="rId74" Type="http://schemas.openxmlformats.org/officeDocument/2006/relationships/hyperlink" Target="https://alephholding.lightning.force.com/lightning/r/Orderitem/802Um00000DdQMXIA3/view" TargetMode="External"/><Relationship Id="rId79" Type="http://schemas.openxmlformats.org/officeDocument/2006/relationships/hyperlink" Target="https://alephholding.lightning.force.com/lightning/r/Orderitem/801Uj00000ymK9zIAE/view" TargetMode="External"/><Relationship Id="rId102" Type="http://schemas.openxmlformats.org/officeDocument/2006/relationships/hyperlink" Target="https://alephholding.lightning.force.com/lightning/r/Orderitem/802Um00000DayqzIAB/view" TargetMode="External"/><Relationship Id="rId123" Type="http://schemas.openxmlformats.org/officeDocument/2006/relationships/hyperlink" Target="https://alephholding.lightning.force.com/lightning/r/Orderitem/801Uj00000PhPsnIAF/view" TargetMode="External"/><Relationship Id="rId128" Type="http://schemas.openxmlformats.org/officeDocument/2006/relationships/hyperlink" Target="https://alephholding.lightning.force.com/lightning/r/Orderitem/802Um00000DlGoDIAV/view" TargetMode="External"/><Relationship Id="rId5" Type="http://schemas.openxmlformats.org/officeDocument/2006/relationships/hyperlink" Target="https://alephholding.lightning.force.com/lightning/r/Orderitem/801Uj00000zHxzwIAC/view" TargetMode="External"/><Relationship Id="rId90" Type="http://schemas.openxmlformats.org/officeDocument/2006/relationships/hyperlink" Target="https://alephholding.lightning.force.com/lightning/r/Orderitem/802Um00000DnavhIAB/view" TargetMode="External"/><Relationship Id="rId95" Type="http://schemas.openxmlformats.org/officeDocument/2006/relationships/hyperlink" Target="https://alephholding.lightning.force.com/lightning/r/Orderitem/801Um00001FqlsvIAB/view" TargetMode="External"/><Relationship Id="rId22" Type="http://schemas.openxmlformats.org/officeDocument/2006/relationships/hyperlink" Target="https://alephholding.lightning.force.com/lightning/r/Orderitem/802Um00000DdVpGIAV/view" TargetMode="External"/><Relationship Id="rId27" Type="http://schemas.openxmlformats.org/officeDocument/2006/relationships/hyperlink" Target="https://alephholding.lightning.force.com/lightning/r/Orderitem/801Um00001HDAaNIAX/view" TargetMode="External"/><Relationship Id="rId43" Type="http://schemas.openxmlformats.org/officeDocument/2006/relationships/hyperlink" Target="https://alephholding.lightning.force.com/lightning/r/Orderitem/801Uj00000J4vCsIAJ/view" TargetMode="External"/><Relationship Id="rId48" Type="http://schemas.openxmlformats.org/officeDocument/2006/relationships/hyperlink" Target="https://alephholding.lightning.force.com/lightning/r/Orderitem/802Um00000Db3kDIAR/view" TargetMode="External"/><Relationship Id="rId64" Type="http://schemas.openxmlformats.org/officeDocument/2006/relationships/hyperlink" Target="https://alephholding.lightning.force.com/lightning/r/Orderitem/802Um00000DkfiDIAR/view" TargetMode="External"/><Relationship Id="rId69" Type="http://schemas.openxmlformats.org/officeDocument/2006/relationships/hyperlink" Target="https://alephholding.lightning.force.com/lightning/r/Orderitem/801Um00001HtpIwIAJ/view" TargetMode="External"/><Relationship Id="rId113" Type="http://schemas.openxmlformats.org/officeDocument/2006/relationships/hyperlink" Target="https://alephholding.lightning.force.com/lightning/r/Orderitem/801Uj00000Rz5jEIAR/view" TargetMode="External"/><Relationship Id="rId118" Type="http://schemas.openxmlformats.org/officeDocument/2006/relationships/hyperlink" Target="https://alephholding.lightning.force.com/lightning/r/Orderitem/802Um00000DauvRIAR/view" TargetMode="External"/><Relationship Id="rId134" Type="http://schemas.openxmlformats.org/officeDocument/2006/relationships/hyperlink" Target="https://alephholding.lightning.force.com/lightning/r/Orderitem/802Uj00000PT1vCIAT/view" TargetMode="External"/><Relationship Id="rId80" Type="http://schemas.openxmlformats.org/officeDocument/2006/relationships/hyperlink" Target="https://alephholding.lightning.force.com/lightning/r/Orderitem/802Um00000DdMcIIAV/view" TargetMode="External"/><Relationship Id="rId85" Type="http://schemas.openxmlformats.org/officeDocument/2006/relationships/hyperlink" Target="https://alephholding.lightning.force.com/lightning/r/Orderitem/801Um00001EDPzJIAX/view" TargetMode="External"/><Relationship Id="rId12" Type="http://schemas.openxmlformats.org/officeDocument/2006/relationships/hyperlink" Target="https://alephholding.lightning.force.com/lightning/r/Orderitem/802Um00000DiLPTIA3/view" TargetMode="External"/><Relationship Id="rId17" Type="http://schemas.openxmlformats.org/officeDocument/2006/relationships/hyperlink" Target="https://alephholding.lightning.force.com/lightning/r/Orderitem/801Uj00000qsec1IAA/view" TargetMode="External"/><Relationship Id="rId33" Type="http://schemas.openxmlformats.org/officeDocument/2006/relationships/hyperlink" Target="https://alephholding.lightning.force.com/lightning/r/Orderitem/801Um00001H7n6fIAB/view" TargetMode="External"/><Relationship Id="rId38" Type="http://schemas.openxmlformats.org/officeDocument/2006/relationships/hyperlink" Target="https://alephholding.lightning.force.com/lightning/r/Orderitem/802Um00000Dx4MfIAJ/view" TargetMode="External"/><Relationship Id="rId59" Type="http://schemas.openxmlformats.org/officeDocument/2006/relationships/hyperlink" Target="https://alephholding.lightning.force.com/lightning/r/Orderitem/801Um00001I0VsAIAV/view" TargetMode="External"/><Relationship Id="rId103" Type="http://schemas.openxmlformats.org/officeDocument/2006/relationships/hyperlink" Target="https://alephholding.lightning.force.com/lightning/r/Orderitem/801Um00001FGGAxIAP/view" TargetMode="External"/><Relationship Id="rId108" Type="http://schemas.openxmlformats.org/officeDocument/2006/relationships/hyperlink" Target="https://alephholding.lightning.force.com/lightning/r/Orderitem/802Um00000DhqezIAB/view" TargetMode="External"/><Relationship Id="rId124" Type="http://schemas.openxmlformats.org/officeDocument/2006/relationships/hyperlink" Target="https://alephholding.lightning.force.com/lightning/r/Orderitem/802Um00000DpkpKIAR/view" TargetMode="External"/><Relationship Id="rId129" Type="http://schemas.openxmlformats.org/officeDocument/2006/relationships/hyperlink" Target="https://alephholding.lightning.force.com/lightning/r/Orderitem/801Uj00000AQGZeIAP/view" TargetMode="External"/><Relationship Id="rId54" Type="http://schemas.openxmlformats.org/officeDocument/2006/relationships/hyperlink" Target="https://alephholding.lightning.force.com/lightning/r/Orderitem/802Um00000DnpTJIAZ/view" TargetMode="External"/><Relationship Id="rId70" Type="http://schemas.openxmlformats.org/officeDocument/2006/relationships/hyperlink" Target="https://alephholding.lightning.force.com/lightning/r/Orderitem/802Um00000EJIUDIA5/view" TargetMode="External"/><Relationship Id="rId75" Type="http://schemas.openxmlformats.org/officeDocument/2006/relationships/hyperlink" Target="https://alephholding.lightning.force.com/lightning/r/Orderitem/801Um00001G9UMzIAN/view" TargetMode="External"/><Relationship Id="rId91" Type="http://schemas.openxmlformats.org/officeDocument/2006/relationships/hyperlink" Target="https://alephholding.lightning.force.com/lightning/r/Orderitem/801Um00001GqvF0IAJ/view" TargetMode="External"/><Relationship Id="rId96" Type="http://schemas.openxmlformats.org/officeDocument/2006/relationships/hyperlink" Target="https://alephholding.lightning.force.com/lightning/r/Orderitem/802Um00000DiOQXIA3/view" TargetMode="External"/><Relationship Id="rId1" Type="http://schemas.openxmlformats.org/officeDocument/2006/relationships/hyperlink" Target="https://alephholding.lightning.force.com/lightning/r/Orderitem/801Um00001JEBY3IAP/view" TargetMode="External"/><Relationship Id="rId6" Type="http://schemas.openxmlformats.org/officeDocument/2006/relationships/hyperlink" Target="https://alephholding.lightning.force.com/lightning/r/Orderitem/802Uj00000PYiReIAL/view" TargetMode="External"/><Relationship Id="rId23" Type="http://schemas.openxmlformats.org/officeDocument/2006/relationships/hyperlink" Target="https://alephholding.lightning.force.com/lightning/r/Orderitem/801Um00001GA28TIAT/view" TargetMode="External"/><Relationship Id="rId28" Type="http://schemas.openxmlformats.org/officeDocument/2006/relationships/hyperlink" Target="https://alephholding.lightning.force.com/lightning/r/Orderitem/802Um00000E6vd3IAB/view" TargetMode="External"/><Relationship Id="rId49" Type="http://schemas.openxmlformats.org/officeDocument/2006/relationships/hyperlink" Target="https://alephholding.lightning.force.com/lightning/r/Orderitem/801Uj00000yYtyrIAC/view" TargetMode="External"/><Relationship Id="rId114" Type="http://schemas.openxmlformats.org/officeDocument/2006/relationships/hyperlink" Target="https://alephholding.lightning.force.com/lightning/r/Orderitem/802Um00000EQBe5IAH/view" TargetMode="External"/><Relationship Id="rId119" Type="http://schemas.openxmlformats.org/officeDocument/2006/relationships/hyperlink" Target="https://alephholding.lightning.force.com/lightning/r/Orderitem/801Um00001HUFddIAH/view" TargetMode="External"/><Relationship Id="rId44" Type="http://schemas.openxmlformats.org/officeDocument/2006/relationships/hyperlink" Target="https://alephholding.lightning.force.com/lightning/r/Orderitem/802Um00000DqJyLIAV/view" TargetMode="External"/><Relationship Id="rId60" Type="http://schemas.openxmlformats.org/officeDocument/2006/relationships/hyperlink" Target="https://alephholding.lightning.force.com/lightning/r/Orderitem/802Um00000Eq3mZIAR/view" TargetMode="External"/><Relationship Id="rId65" Type="http://schemas.openxmlformats.org/officeDocument/2006/relationships/hyperlink" Target="https://alephholding.lightning.force.com/lightning/r/Orderitem/801Uj00000wrFXOIA2/view" TargetMode="External"/><Relationship Id="rId81" Type="http://schemas.openxmlformats.org/officeDocument/2006/relationships/hyperlink" Target="https://alephholding.lightning.force.com/lightning/r/Orderitem/801Um00001F9QTZIA3/view" TargetMode="External"/><Relationship Id="rId86" Type="http://schemas.openxmlformats.org/officeDocument/2006/relationships/hyperlink" Target="https://alephholding.lightning.force.com/lightning/r/Orderitem/802Um00000DiWvyIAF/view" TargetMode="External"/><Relationship Id="rId130" Type="http://schemas.openxmlformats.org/officeDocument/2006/relationships/hyperlink" Target="https://alephholding.lightning.force.com/lightning/r/Orderitem/802Um00000DilmvIAB/view" TargetMode="External"/><Relationship Id="rId135" Type="http://schemas.openxmlformats.org/officeDocument/2006/relationships/hyperlink" Target="https://alephholding.lightning.force.com/lightning/r/Orderitem/801Uj00000xlf2iIAA/view" TargetMode="External"/><Relationship Id="rId13" Type="http://schemas.openxmlformats.org/officeDocument/2006/relationships/hyperlink" Target="https://alephholding.lightning.force.com/lightning/r/Orderitem/801Um00001GytvyIAB/view" TargetMode="External"/><Relationship Id="rId18" Type="http://schemas.openxmlformats.org/officeDocument/2006/relationships/hyperlink" Target="https://alephholding.lightning.force.com/lightning/r/Orderitem/802Uj00000MBp7OIAT/view" TargetMode="External"/><Relationship Id="rId39" Type="http://schemas.openxmlformats.org/officeDocument/2006/relationships/hyperlink" Target="https://alephholding.lightning.force.com/lightning/r/Orderitem/801Uj00000t1rk9IAA/view" TargetMode="External"/><Relationship Id="rId109" Type="http://schemas.openxmlformats.org/officeDocument/2006/relationships/hyperlink" Target="https://alephholding.lightning.force.com/lightning/r/Orderitem/801Uj00000zrflCIAQ/view" TargetMode="External"/><Relationship Id="rId34" Type="http://schemas.openxmlformats.org/officeDocument/2006/relationships/hyperlink" Target="https://alephholding.lightning.force.com/lightning/r/Orderitem/802Um00000E59trIAB/view" TargetMode="External"/><Relationship Id="rId50" Type="http://schemas.openxmlformats.org/officeDocument/2006/relationships/hyperlink" Target="https://alephholding.lightning.force.com/lightning/r/Orderitem/802Um00000Dhwu5IAB/view" TargetMode="External"/><Relationship Id="rId55" Type="http://schemas.openxmlformats.org/officeDocument/2006/relationships/hyperlink" Target="https://alephholding.lightning.force.com/lightning/r/Orderitem/801Uj00000yYzXxIAK/view" TargetMode="External"/><Relationship Id="rId76" Type="http://schemas.openxmlformats.org/officeDocument/2006/relationships/hyperlink" Target="https://alephholding.lightning.force.com/lightning/r/Orderitem/802Um00000Do11RIAR/view" TargetMode="External"/><Relationship Id="rId97" Type="http://schemas.openxmlformats.org/officeDocument/2006/relationships/hyperlink" Target="https://alephholding.lightning.force.com/lightning/r/Orderitem/801Um00001EVdhFIAT/view" TargetMode="External"/><Relationship Id="rId104" Type="http://schemas.openxmlformats.org/officeDocument/2006/relationships/hyperlink" Target="https://alephholding.lightning.force.com/lightning/r/Orderitem/802Um00000DXgU1IAL/view" TargetMode="External"/><Relationship Id="rId120" Type="http://schemas.openxmlformats.org/officeDocument/2006/relationships/hyperlink" Target="https://alephholding.lightning.force.com/lightning/r/Orderitem/802Um00000EBbPBIA1/view" TargetMode="External"/><Relationship Id="rId125" Type="http://schemas.openxmlformats.org/officeDocument/2006/relationships/hyperlink" Target="https://alephholding.lightning.force.com/lightning/r/Orderitem/801Um00001FpDuvIAF/view" TargetMode="External"/><Relationship Id="rId7" Type="http://schemas.openxmlformats.org/officeDocument/2006/relationships/hyperlink" Target="https://alephholding.lightning.force.com/lightning/r/Orderitem/801Um00001H7qsRIAR/view" TargetMode="External"/><Relationship Id="rId71" Type="http://schemas.openxmlformats.org/officeDocument/2006/relationships/hyperlink" Target="https://alephholding.lightning.force.com/lightning/r/Orderitem/801Uj00000zGzxHIAS/view" TargetMode="External"/><Relationship Id="rId92" Type="http://schemas.openxmlformats.org/officeDocument/2006/relationships/hyperlink" Target="https://alephholding.lightning.force.com/lightning/r/Orderitem/802Um00000E09T3IAJ/view" TargetMode="External"/><Relationship Id="rId2" Type="http://schemas.openxmlformats.org/officeDocument/2006/relationships/hyperlink" Target="https://alephholding.lightning.force.com/lightning/r/Orderitem/802Um00000EihijIAB/view" TargetMode="External"/><Relationship Id="rId29" Type="http://schemas.openxmlformats.org/officeDocument/2006/relationships/hyperlink" Target="https://alephholding.lightning.force.com/lightning/r/Orderitem/801Uj0000084jObIAI/view" TargetMode="External"/><Relationship Id="rId24" Type="http://schemas.openxmlformats.org/officeDocument/2006/relationships/hyperlink" Target="https://alephholding.lightning.force.com/lightning/r/Orderitem/802Um00000Do1SrIAJ/view" TargetMode="External"/><Relationship Id="rId40" Type="http://schemas.openxmlformats.org/officeDocument/2006/relationships/hyperlink" Target="https://alephholding.lightning.force.com/lightning/r/Orderitem/802Um00000Dzk02IAB/view" TargetMode="External"/><Relationship Id="rId45" Type="http://schemas.openxmlformats.org/officeDocument/2006/relationships/hyperlink" Target="https://alephholding.lightning.force.com/lightning/r/Orderitem/801Um00001FyUZyIAN/view" TargetMode="External"/><Relationship Id="rId66" Type="http://schemas.openxmlformats.org/officeDocument/2006/relationships/hyperlink" Target="https://alephholding.lightning.force.com/lightning/r/Orderitem/802Uj00000OWFNuIAP/view" TargetMode="External"/><Relationship Id="rId87" Type="http://schemas.openxmlformats.org/officeDocument/2006/relationships/hyperlink" Target="https://alephholding.lightning.force.com/lightning/r/Orderitem/801Um00001Gw8YDIAZ/view" TargetMode="External"/><Relationship Id="rId110" Type="http://schemas.openxmlformats.org/officeDocument/2006/relationships/hyperlink" Target="https://alephholding.lightning.force.com/lightning/r/Orderitem/802Uj00000PlUViIAN/view" TargetMode="External"/><Relationship Id="rId115" Type="http://schemas.openxmlformats.org/officeDocument/2006/relationships/hyperlink" Target="https://alephholding.lightning.force.com/lightning/r/Orderitem/801Uj00000sxtm9IAA/view" TargetMode="External"/><Relationship Id="rId131" Type="http://schemas.openxmlformats.org/officeDocument/2006/relationships/hyperlink" Target="https://alephholding.lightning.force.com/lightning/r/Orderitem/801Um00001FXiPNIA1/view" TargetMode="External"/><Relationship Id="rId136" Type="http://schemas.openxmlformats.org/officeDocument/2006/relationships/hyperlink" Target="https://alephholding.lightning.force.com/lightning/r/Orderitem/802Um00000DlSvpIAF/view" TargetMode="External"/><Relationship Id="rId61" Type="http://schemas.openxmlformats.org/officeDocument/2006/relationships/hyperlink" Target="https://alephholding.lightning.force.com/lightning/r/Orderitem/801Um00001EFp87IAD/view" TargetMode="External"/><Relationship Id="rId82" Type="http://schemas.openxmlformats.org/officeDocument/2006/relationships/hyperlink" Target="https://alephholding.lightning.force.com/lightning/r/Orderitem/802Um00000DVuGAIA1/view" TargetMode="External"/><Relationship Id="rId19" Type="http://schemas.openxmlformats.org/officeDocument/2006/relationships/hyperlink" Target="https://alephholding.lightning.force.com/lightning/r/Orderitem/801Uj00000yeGZmIAM/view" TargetMode="External"/><Relationship Id="rId14" Type="http://schemas.openxmlformats.org/officeDocument/2006/relationships/hyperlink" Target="https://alephholding.lightning.force.com/lightning/r/Orderitem/802Um00000E2OfhIAF/view" TargetMode="External"/><Relationship Id="rId30" Type="http://schemas.openxmlformats.org/officeDocument/2006/relationships/hyperlink" Target="https://alephholding.lightning.force.com/lightning/r/Orderitem/802Um00000DJtMHIA1/view" TargetMode="External"/><Relationship Id="rId35" Type="http://schemas.openxmlformats.org/officeDocument/2006/relationships/hyperlink" Target="https://alephholding.lightning.force.com/lightning/r/Orderitem/801Um00001F7OcNIAV/view" TargetMode="External"/><Relationship Id="rId56" Type="http://schemas.openxmlformats.org/officeDocument/2006/relationships/hyperlink" Target="https://alephholding.lightning.force.com/lightning/r/Orderitem/802Um00000DhxF3IAJ/view" TargetMode="External"/><Relationship Id="rId77" Type="http://schemas.openxmlformats.org/officeDocument/2006/relationships/hyperlink" Target="https://alephholding.lightning.force.com/lightning/r/Orderitem/801Um00001Ee1T3IAJ/view" TargetMode="External"/><Relationship Id="rId100" Type="http://schemas.openxmlformats.org/officeDocument/2006/relationships/hyperlink" Target="https://alephholding.lightning.force.com/lightning/r/Orderitem/802Um00000EUuUXIA1/view" TargetMode="External"/><Relationship Id="rId105" Type="http://schemas.openxmlformats.org/officeDocument/2006/relationships/hyperlink" Target="https://alephholding.lightning.force.com/lightning/r/Orderitem/801Uj00000qKdk3IAC/view" TargetMode="External"/><Relationship Id="rId126" Type="http://schemas.openxmlformats.org/officeDocument/2006/relationships/hyperlink" Target="https://alephholding.lightning.force.com/lightning/r/Orderitem/802Um00000Di2ZhIAJ/view" TargetMode="External"/><Relationship Id="rId8" Type="http://schemas.openxmlformats.org/officeDocument/2006/relationships/hyperlink" Target="https://alephholding.lightning.force.com/lightning/r/Orderitem/802Um00000E5Cq6IAF/view" TargetMode="External"/><Relationship Id="rId51" Type="http://schemas.openxmlformats.org/officeDocument/2006/relationships/hyperlink" Target="https://alephholding.lightning.force.com/lightning/r/Orderitem/801Um00001Gz5QsIAJ/view" TargetMode="External"/><Relationship Id="rId72" Type="http://schemas.openxmlformats.org/officeDocument/2006/relationships/hyperlink" Target="https://alephholding.lightning.force.com/lightning/r/Orderitem/802Um00000DkfQTIAZ/view" TargetMode="External"/><Relationship Id="rId93" Type="http://schemas.openxmlformats.org/officeDocument/2006/relationships/hyperlink" Target="https://alephholding.lightning.force.com/lightning/r/Orderitem/801Um00001HrZ5PIAV/view" TargetMode="External"/><Relationship Id="rId98" Type="http://schemas.openxmlformats.org/officeDocument/2006/relationships/hyperlink" Target="https://alephholding.lightning.force.com/lightning/r/Orderitem/802Um00000DJwQcIAL/view" TargetMode="External"/><Relationship Id="rId121" Type="http://schemas.openxmlformats.org/officeDocument/2006/relationships/hyperlink" Target="https://alephholding.lightning.force.com/lightning/r/Orderitem/801Uj00000ymBugIAE/view" TargetMode="External"/><Relationship Id="rId3" Type="http://schemas.openxmlformats.org/officeDocument/2006/relationships/hyperlink" Target="https://alephholding.lightning.force.com/lightning/r/Orderitem/801Um00001ENDqQIAX/view" TargetMode="External"/><Relationship Id="rId25" Type="http://schemas.openxmlformats.org/officeDocument/2006/relationships/hyperlink" Target="https://alephholding.lightning.force.com/lightning/r/Orderitem/801Uj00000toR6zIAE/view" TargetMode="External"/><Relationship Id="rId46" Type="http://schemas.openxmlformats.org/officeDocument/2006/relationships/hyperlink" Target="https://alephholding.lightning.force.com/lightning/r/Orderitem/802Um00000DkjYvIAJ/view" TargetMode="External"/><Relationship Id="rId67" Type="http://schemas.openxmlformats.org/officeDocument/2006/relationships/hyperlink" Target="https://alephholding.lightning.force.com/lightning/r/Orderitem/801Uj00000z9wXuIAI/view" TargetMode="External"/><Relationship Id="rId116" Type="http://schemas.openxmlformats.org/officeDocument/2006/relationships/hyperlink" Target="https://alephholding.lightning.force.com/lightning/r/Orderitem/802Um00000DlYwPIAV/view" TargetMode="External"/><Relationship Id="rId137" Type="http://schemas.openxmlformats.org/officeDocument/2006/relationships/vmlDrawing" Target="../drawings/vmlDrawing4.vml"/><Relationship Id="rId20" Type="http://schemas.openxmlformats.org/officeDocument/2006/relationships/hyperlink" Target="https://alephholding.lightning.force.com/lightning/r/Orderitem/802Um00000DiXnBIAV/view" TargetMode="External"/><Relationship Id="rId41" Type="http://schemas.openxmlformats.org/officeDocument/2006/relationships/hyperlink" Target="https://alephholding.lightning.force.com/lightning/r/Orderitem/801Uj00000FgqETIAZ/view" TargetMode="External"/><Relationship Id="rId62" Type="http://schemas.openxmlformats.org/officeDocument/2006/relationships/hyperlink" Target="https://alephholding.lightning.force.com/lightning/r/Orderitem/802Um00000DFbkYIAT/view" TargetMode="External"/><Relationship Id="rId83" Type="http://schemas.openxmlformats.org/officeDocument/2006/relationships/hyperlink" Target="https://alephholding.lightning.force.com/lightning/r/Orderitem/801Um00001GpH57IAF/view" TargetMode="External"/><Relationship Id="rId88" Type="http://schemas.openxmlformats.org/officeDocument/2006/relationships/hyperlink" Target="https://alephholding.lightning.force.com/lightning/r/Orderitem/802Um00000E1jsfIAB/view" TargetMode="External"/><Relationship Id="rId111" Type="http://schemas.openxmlformats.org/officeDocument/2006/relationships/hyperlink" Target="https://alephholding.lightning.force.com/lightning/r/Orderitem/801Um00001IGH6rIAH/view" TargetMode="External"/><Relationship Id="rId132" Type="http://schemas.openxmlformats.org/officeDocument/2006/relationships/hyperlink" Target="https://alephholding.lightning.force.com/lightning/r/Orderitem/802Um00000DdKAfIAN/view" TargetMode="External"/><Relationship Id="rId15" Type="http://schemas.openxmlformats.org/officeDocument/2006/relationships/hyperlink" Target="https://alephholding.lightning.force.com/lightning/r/Orderitem/801Uj00000zF6N1IAK/view" TargetMode="External"/><Relationship Id="rId36" Type="http://schemas.openxmlformats.org/officeDocument/2006/relationships/hyperlink" Target="https://alephholding.lightning.force.com/lightning/r/Orderitem/802Um00000DVdATIA1/view" TargetMode="External"/><Relationship Id="rId57" Type="http://schemas.openxmlformats.org/officeDocument/2006/relationships/hyperlink" Target="https://alephholding.lightning.force.com/lightning/r/Orderitem/801Uj00000zdbasIAA/view" TargetMode="External"/><Relationship Id="rId106" Type="http://schemas.openxmlformats.org/officeDocument/2006/relationships/hyperlink" Target="https://alephholding.lightning.force.com/lightning/r/Orderitem/802Uj00000LwXp8IAF/view" TargetMode="External"/><Relationship Id="rId127" Type="http://schemas.openxmlformats.org/officeDocument/2006/relationships/hyperlink" Target="https://alephholding.lightning.force.com/lightning/r/Orderitem/801Um00001G03x6IAB/view" TargetMode="External"/><Relationship Id="rId10" Type="http://schemas.openxmlformats.org/officeDocument/2006/relationships/hyperlink" Target="https://alephholding.lightning.force.com/lightning/r/Orderitem/802Um00000E7fsnIAB/view" TargetMode="External"/><Relationship Id="rId31" Type="http://schemas.openxmlformats.org/officeDocument/2006/relationships/hyperlink" Target="https://alephholding.lightning.force.com/lightning/r/Orderitem/801Um00001FEossIAD/view" TargetMode="External"/><Relationship Id="rId52" Type="http://schemas.openxmlformats.org/officeDocument/2006/relationships/hyperlink" Target="https://alephholding.lightning.force.com/lightning/r/Orderitem/802Um00000E2SL7IAN/view" TargetMode="External"/><Relationship Id="rId73" Type="http://schemas.openxmlformats.org/officeDocument/2006/relationships/hyperlink" Target="https://alephholding.lightning.force.com/lightning/r/Orderitem/801Uj00000ymVADIA2/view" TargetMode="External"/><Relationship Id="rId78" Type="http://schemas.openxmlformats.org/officeDocument/2006/relationships/hyperlink" Target="https://alephholding.lightning.force.com/lightning/r/Orderitem/802Um00000Enav7IAB/view" TargetMode="External"/><Relationship Id="rId94" Type="http://schemas.openxmlformats.org/officeDocument/2006/relationships/hyperlink" Target="https://alephholding.lightning.force.com/lightning/r/Orderitem/802Um00000EIoj3IAD/view" TargetMode="External"/><Relationship Id="rId99" Type="http://schemas.openxmlformats.org/officeDocument/2006/relationships/hyperlink" Target="https://alephholding.lightning.force.com/lightning/r/Orderitem/801Um00001IWWEsIAP/view" TargetMode="External"/><Relationship Id="rId101" Type="http://schemas.openxmlformats.org/officeDocument/2006/relationships/hyperlink" Target="https://alephholding.lightning.force.com/lightning/r/Orderitem/801Um00001FQxg3IAD/view" TargetMode="External"/><Relationship Id="rId122" Type="http://schemas.openxmlformats.org/officeDocument/2006/relationships/hyperlink" Target="https://alephholding.lightning.force.com/lightning/r/Orderitem/802Um00000DiFtVIAV/view" TargetMode="External"/><Relationship Id="rId4" Type="http://schemas.openxmlformats.org/officeDocument/2006/relationships/hyperlink" Target="https://alephholding.lightning.force.com/lightning/r/Orderitem/802Um00000DHmqMIAT/view" TargetMode="External"/><Relationship Id="rId9" Type="http://schemas.openxmlformats.org/officeDocument/2006/relationships/hyperlink" Target="https://alephholding.lightning.force.com/lightning/r/Orderitem/801Um00001HHiQYIA1/view" TargetMode="External"/><Relationship Id="rId26" Type="http://schemas.openxmlformats.org/officeDocument/2006/relationships/hyperlink" Target="https://alephholding.lightning.force.com/lightning/r/Orderitem/802Um00000DlCZJIA3/view" TargetMode="External"/><Relationship Id="rId47" Type="http://schemas.openxmlformats.org/officeDocument/2006/relationships/hyperlink" Target="https://alephholding.lightning.force.com/lightning/r/Orderitem/801Uj00000z95RzIAI/view" TargetMode="External"/><Relationship Id="rId68" Type="http://schemas.openxmlformats.org/officeDocument/2006/relationships/hyperlink" Target="https://alephholding.lightning.force.com/lightning/r/Orderitem/802Uj00000PVKIiIAP/view" TargetMode="External"/><Relationship Id="rId89" Type="http://schemas.openxmlformats.org/officeDocument/2006/relationships/hyperlink" Target="https://alephholding.lightning.force.com/lightning/r/Orderitem/801Um00001G7zg9IAB/view" TargetMode="External"/><Relationship Id="rId112" Type="http://schemas.openxmlformats.org/officeDocument/2006/relationships/hyperlink" Target="https://alephholding.lightning.force.com/lightning/r/Orderitem/802Um00000EPwS9IAL/view" TargetMode="External"/><Relationship Id="rId133" Type="http://schemas.openxmlformats.org/officeDocument/2006/relationships/hyperlink" Target="https://alephholding.lightning.force.com/lightning/r/Orderitem/801Uj00000z3O16IAE/view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Relationship Id="rId4" Type="http://schemas.microsoft.com/office/2019/04/relationships/documenttask" Target="../documenttasks/documenttask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Relationship Id="rId4" Type="http://schemas.microsoft.com/office/2019/04/relationships/documenttask" Target="../documenttasks/documenttask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outlinePr summaryBelow="0" summaryRight="0"/>
  </sheetPr>
  <dimension ref="A1:CN87"/>
  <sheetViews>
    <sheetView zoomScale="80" zoomScaleNormal="80" workbookViewId="0">
      <pane xSplit="1" ySplit="5" topLeftCell="B6" activePane="bottomRight" state="frozen"/>
      <selection pane="topRight" activeCell="B1" sqref="B1"/>
      <selection pane="bottomLeft" activeCell="A8" sqref="A8"/>
      <selection pane="bottomRight" activeCell="J5" sqref="J5"/>
    </sheetView>
  </sheetViews>
  <sheetFormatPr defaultColWidth="12.6328125" defaultRowHeight="15.75" customHeight="1" x14ac:dyDescent="0.25"/>
  <cols>
    <col min="1" max="1" width="10.453125" customWidth="1"/>
    <col min="2" max="2" width="10.90625" customWidth="1"/>
    <col min="3" max="3" width="10.453125" customWidth="1"/>
    <col min="4" max="4" width="33" customWidth="1"/>
    <col min="8" max="9" width="19.81640625" customWidth="1"/>
    <col min="12" max="12" width="7.6328125" customWidth="1"/>
    <col min="13" max="13" width="10.1796875" customWidth="1"/>
    <col min="14" max="16" width="12.6328125" customWidth="1"/>
    <col min="17" max="17" width="8.36328125" customWidth="1"/>
    <col min="18" max="18" width="17.81640625" customWidth="1"/>
    <col min="19" max="19" width="19.1796875" customWidth="1"/>
    <col min="22" max="22" width="12.08984375" customWidth="1"/>
    <col min="23" max="23" width="13.36328125" customWidth="1"/>
    <col min="24" max="24" width="17.1796875" customWidth="1"/>
    <col min="25" max="25" width="10.08984375" customWidth="1"/>
    <col min="26" max="26" width="13.1796875" customWidth="1"/>
    <col min="27" max="27" width="8.1796875" customWidth="1"/>
    <col min="32" max="32" width="9.6328125" customWidth="1"/>
    <col min="41" max="44" width="8" hidden="1" customWidth="1"/>
    <col min="45" max="45" width="12.6328125" hidden="1"/>
    <col min="46" max="49" width="10" hidden="1" customWidth="1"/>
    <col min="50" max="51" width="12.6328125" hidden="1"/>
    <col min="52" max="52" width="8.1796875" customWidth="1"/>
    <col min="57" max="57" width="10.08984375" customWidth="1"/>
    <col min="58" max="58" width="11.54296875" bestFit="1" customWidth="1"/>
    <col min="59" max="66" width="10.08984375" customWidth="1"/>
    <col min="67" max="67" width="6.81640625" customWidth="1"/>
    <col min="68" max="80" width="10.08984375" customWidth="1"/>
    <col min="81" max="85" width="11.81640625" customWidth="1"/>
    <col min="86" max="86" width="40" bestFit="1" customWidth="1"/>
    <col min="87" max="87" width="41.453125" customWidth="1"/>
  </cols>
  <sheetData>
    <row r="1" spans="1:92" ht="63" x14ac:dyDescent="0.3">
      <c r="A1" s="9" t="s">
        <v>15</v>
      </c>
      <c r="B1" s="3"/>
      <c r="C1" s="3"/>
      <c r="D1" s="3"/>
      <c r="E1" s="3"/>
      <c r="F1" s="3"/>
      <c r="G1" s="3"/>
      <c r="H1" s="3"/>
      <c r="I1" s="3"/>
      <c r="J1" s="52"/>
      <c r="K1" s="52"/>
      <c r="L1" s="3"/>
      <c r="M1" s="3"/>
      <c r="N1" s="52"/>
      <c r="O1" s="52"/>
      <c r="P1" s="52"/>
      <c r="Q1" s="3"/>
      <c r="R1" s="3"/>
      <c r="S1" s="3"/>
      <c r="T1" s="53"/>
      <c r="U1" s="52"/>
      <c r="V1" s="40"/>
      <c r="W1" s="3"/>
      <c r="X1" s="54"/>
      <c r="Y1" s="54"/>
      <c r="Z1" s="54"/>
      <c r="AA1" s="54"/>
      <c r="AB1" s="52"/>
      <c r="AC1" s="52"/>
      <c r="AD1" s="52"/>
      <c r="AE1" s="55" t="s">
        <v>16</v>
      </c>
      <c r="AF1" s="31"/>
      <c r="AG1" s="32"/>
      <c r="AH1" s="32"/>
      <c r="AI1" s="32"/>
      <c r="AJ1" s="32"/>
      <c r="AK1" s="32"/>
      <c r="AL1" s="32"/>
      <c r="AM1" s="56"/>
      <c r="AN1" s="56"/>
      <c r="AO1" s="3"/>
      <c r="AP1" s="3"/>
      <c r="AQ1" s="3"/>
      <c r="AR1" s="3"/>
      <c r="AS1" s="55" t="s">
        <v>16</v>
      </c>
      <c r="AT1" s="31"/>
      <c r="AU1" s="31"/>
      <c r="AV1" s="31"/>
      <c r="AW1" s="31"/>
      <c r="AX1" s="32"/>
      <c r="AY1" s="32"/>
      <c r="AZ1" s="3"/>
      <c r="BA1" s="55" t="s">
        <v>16</v>
      </c>
      <c r="BB1" s="31"/>
      <c r="BC1" s="32"/>
      <c r="BD1" s="32"/>
      <c r="BE1" s="57">
        <f>COLUMN((BE1))</f>
        <v>57</v>
      </c>
      <c r="BF1" s="57"/>
      <c r="BG1" s="57"/>
      <c r="BH1" s="57"/>
      <c r="BI1" s="57"/>
      <c r="BJ1" s="57"/>
      <c r="BK1" s="57"/>
      <c r="BL1" s="57"/>
      <c r="BM1" s="57"/>
      <c r="BN1" s="57"/>
      <c r="BO1" s="57"/>
      <c r="BP1" s="57"/>
      <c r="BQ1" s="57"/>
      <c r="BR1" s="98"/>
      <c r="BS1" s="57"/>
      <c r="BT1" s="57"/>
      <c r="BU1" s="98"/>
      <c r="BV1" s="57"/>
      <c r="BW1" s="57"/>
      <c r="BX1" s="98"/>
      <c r="BY1" s="57"/>
      <c r="BZ1" s="57"/>
      <c r="CA1" s="57"/>
      <c r="CB1" s="57"/>
      <c r="CC1" s="57"/>
      <c r="CD1" s="57"/>
      <c r="CE1" s="57"/>
      <c r="CF1" s="57"/>
      <c r="CG1" s="57"/>
      <c r="CH1" s="57">
        <f>COLUMN(CH1)</f>
        <v>86</v>
      </c>
      <c r="CI1" s="99">
        <v>46087.744444444441</v>
      </c>
      <c r="CJ1" s="3"/>
    </row>
    <row r="2" spans="1:92" ht="13" x14ac:dyDescent="0.3">
      <c r="A2" s="11"/>
      <c r="B2" s="3"/>
      <c r="C2" s="3"/>
      <c r="D2" s="3"/>
      <c r="E2" s="3"/>
      <c r="F2" s="3"/>
      <c r="G2" s="3"/>
      <c r="H2" s="3"/>
      <c r="I2" s="3"/>
      <c r="J2" s="52"/>
      <c r="K2" s="52"/>
      <c r="L2" s="52"/>
      <c r="M2" s="52"/>
      <c r="N2" s="52"/>
      <c r="O2" s="52"/>
      <c r="P2" s="52"/>
      <c r="Q2" s="3"/>
      <c r="R2" s="3"/>
      <c r="S2" s="3"/>
      <c r="T2" s="53"/>
      <c r="U2" s="52"/>
      <c r="V2" s="40"/>
      <c r="W2" s="3"/>
      <c r="X2" s="54"/>
      <c r="Y2" s="54"/>
      <c r="Z2" s="54"/>
      <c r="AA2" s="54"/>
      <c r="AB2" s="52"/>
      <c r="AC2" s="52"/>
      <c r="AD2" s="52"/>
      <c r="AE2" s="61" t="s">
        <v>17</v>
      </c>
      <c r="AF2" s="31"/>
      <c r="AG2" s="32"/>
      <c r="AH2" s="32"/>
      <c r="AI2" s="32"/>
      <c r="AJ2" s="32"/>
      <c r="AK2" s="32"/>
      <c r="AL2" s="32"/>
      <c r="AM2" s="56"/>
      <c r="AN2" s="56"/>
      <c r="AO2" s="3"/>
      <c r="AP2" s="3"/>
      <c r="AQ2" s="3"/>
      <c r="AR2" s="3"/>
      <c r="AS2" s="61" t="s">
        <v>17</v>
      </c>
      <c r="AT2" s="31"/>
      <c r="AU2" s="31"/>
      <c r="AV2" s="31"/>
      <c r="AW2" s="31"/>
      <c r="AX2" s="32"/>
      <c r="AY2" s="32"/>
      <c r="AZ2" s="3"/>
      <c r="BA2" s="61" t="s">
        <v>17</v>
      </c>
      <c r="BB2" s="31"/>
      <c r="BC2" s="32"/>
      <c r="BD2" s="32"/>
      <c r="BE2" s="60"/>
      <c r="BF2" s="55"/>
      <c r="BG2" s="62">
        <f ca="1">er!A3</f>
        <v>46054</v>
      </c>
      <c r="BH2" s="55"/>
      <c r="BI2" s="59"/>
      <c r="BJ2" s="58"/>
      <c r="BK2" s="58"/>
      <c r="BL2" s="58"/>
      <c r="BM2" s="58"/>
      <c r="BN2" s="58"/>
      <c r="BO2" s="60"/>
      <c r="BP2" s="58"/>
      <c r="BQ2" s="58"/>
      <c r="BR2" s="60"/>
      <c r="BS2" s="58"/>
      <c r="BT2" s="58"/>
      <c r="BU2" s="60"/>
      <c r="BV2" s="58"/>
      <c r="BW2" s="58"/>
      <c r="BX2" s="60"/>
      <c r="BY2" s="58"/>
      <c r="BZ2" s="58"/>
      <c r="CA2" s="60"/>
      <c r="CB2" s="60"/>
      <c r="CC2" s="60"/>
      <c r="CD2" s="60"/>
      <c r="CE2" s="65"/>
      <c r="CF2" s="60"/>
      <c r="CG2" s="60"/>
      <c r="CH2" s="3" t="s">
        <v>445</v>
      </c>
      <c r="CI2" s="100">
        <f ca="1">30-MINUTE(NOW()-CI1)</f>
        <v>24</v>
      </c>
      <c r="CJ2" s="3"/>
    </row>
    <row r="3" spans="1:92" ht="13" x14ac:dyDescent="0.3">
      <c r="A3" s="3"/>
      <c r="B3" s="63"/>
      <c r="C3" s="52"/>
      <c r="D3" s="52"/>
      <c r="E3" s="52"/>
      <c r="F3" s="52"/>
      <c r="G3" s="64"/>
      <c r="H3" s="64"/>
      <c r="I3" s="64"/>
      <c r="J3" s="58"/>
      <c r="K3" s="58"/>
      <c r="L3" s="65"/>
      <c r="M3" s="65"/>
      <c r="N3" s="52"/>
      <c r="O3" s="52"/>
      <c r="P3" s="58"/>
      <c r="Q3" s="65"/>
      <c r="R3" s="63"/>
      <c r="S3" s="63"/>
      <c r="T3" s="66"/>
      <c r="U3" s="101"/>
      <c r="V3" s="40"/>
      <c r="W3" s="3"/>
      <c r="X3" s="54"/>
      <c r="Y3" s="54"/>
      <c r="Z3" s="54"/>
      <c r="AA3" s="54"/>
      <c r="AB3" s="52"/>
      <c r="AC3" s="52"/>
      <c r="AD3" s="52"/>
      <c r="AE3" s="52"/>
      <c r="AF3" s="67" t="s">
        <v>20</v>
      </c>
      <c r="AG3" s="68"/>
      <c r="AH3" s="68"/>
      <c r="AI3" s="68" t="s">
        <v>21</v>
      </c>
      <c r="AJ3" s="68"/>
      <c r="AK3" s="68" t="s">
        <v>22</v>
      </c>
      <c r="AL3" s="68"/>
      <c r="AM3" s="69"/>
      <c r="AN3" s="69"/>
      <c r="AO3" s="3"/>
      <c r="AP3" s="3"/>
      <c r="AQ3" s="3"/>
      <c r="AR3" s="3"/>
      <c r="AS3" s="52"/>
      <c r="AT3" s="67"/>
      <c r="AU3" s="67"/>
      <c r="AV3" s="67"/>
      <c r="AW3" s="67" t="s">
        <v>23</v>
      </c>
      <c r="AX3" s="68" t="s">
        <v>24</v>
      </c>
      <c r="AY3" s="68"/>
      <c r="AZ3" s="3"/>
      <c r="BA3" s="52"/>
      <c r="BB3" s="67" t="s">
        <v>25</v>
      </c>
      <c r="BC3" s="68" t="s">
        <v>26</v>
      </c>
      <c r="BD3" s="68"/>
      <c r="BE3" s="60"/>
      <c r="BF3" s="58"/>
      <c r="BG3" s="58"/>
      <c r="BH3" s="58"/>
      <c r="BI3" s="70"/>
      <c r="BJ3" s="71"/>
      <c r="BK3" s="71"/>
      <c r="BL3" s="71"/>
      <c r="BM3" s="71"/>
      <c r="BN3" s="71"/>
      <c r="BO3" s="72"/>
      <c r="BP3" s="71"/>
      <c r="BQ3" s="71"/>
      <c r="BR3" s="72"/>
      <c r="BS3" s="71"/>
      <c r="BT3" s="71"/>
      <c r="BU3" s="72"/>
      <c r="BV3" s="71"/>
      <c r="BW3" s="71"/>
      <c r="BX3" s="72"/>
      <c r="BY3" s="71"/>
      <c r="BZ3" s="71"/>
      <c r="CA3" s="72"/>
      <c r="CB3" s="72"/>
      <c r="CC3" s="72"/>
      <c r="CD3" s="72"/>
      <c r="CE3" s="72"/>
      <c r="CF3" s="72"/>
      <c r="CG3" s="72"/>
      <c r="CH3" s="1" t="s">
        <v>446</v>
      </c>
      <c r="CI3" s="3"/>
      <c r="CJ3" s="3"/>
    </row>
    <row r="4" spans="1:92" ht="13" x14ac:dyDescent="0.3">
      <c r="A4" s="74"/>
      <c r="B4" s="75"/>
      <c r="C4" s="102"/>
      <c r="D4" s="75"/>
      <c r="E4" s="102"/>
      <c r="F4" s="102"/>
      <c r="G4" s="75"/>
      <c r="H4" s="75"/>
      <c r="I4" s="102"/>
      <c r="J4" s="77"/>
      <c r="K4" s="78"/>
      <c r="L4" s="75"/>
      <c r="M4" s="75"/>
      <c r="N4" s="25"/>
      <c r="O4" s="77"/>
      <c r="P4" s="77"/>
      <c r="Q4" s="75"/>
      <c r="R4" s="75"/>
      <c r="S4" s="24"/>
      <c r="T4" s="79"/>
      <c r="U4" s="25"/>
      <c r="V4" s="103"/>
      <c r="W4" s="75"/>
      <c r="X4" s="29"/>
      <c r="Y4" s="29"/>
      <c r="Z4" s="29"/>
      <c r="AA4" s="28"/>
      <c r="AB4" s="29"/>
      <c r="AC4" s="29"/>
      <c r="AD4" s="29"/>
      <c r="AE4" s="81"/>
      <c r="AF4" s="82"/>
      <c r="AG4" s="83"/>
      <c r="AH4" s="32"/>
      <c r="AI4" s="83"/>
      <c r="AJ4" s="32"/>
      <c r="AK4" s="83"/>
      <c r="AL4" s="32"/>
      <c r="AM4" s="33"/>
      <c r="AN4" s="80"/>
      <c r="AO4" s="34"/>
      <c r="AP4" s="34"/>
      <c r="AQ4" s="35"/>
      <c r="AR4" s="34"/>
      <c r="AS4" s="35"/>
      <c r="AT4" s="31"/>
      <c r="AU4" s="31"/>
      <c r="AV4" s="31"/>
      <c r="AW4" s="31"/>
      <c r="AX4" s="32"/>
      <c r="AY4" s="32"/>
      <c r="AZ4" s="84"/>
      <c r="BA4" s="85"/>
      <c r="BB4" s="82"/>
      <c r="BC4" s="83"/>
      <c r="BD4" s="32"/>
      <c r="BE4" s="86"/>
      <c r="BF4" s="87"/>
      <c r="BG4" s="87"/>
      <c r="BH4" s="87"/>
      <c r="BI4" s="88"/>
      <c r="BJ4" s="89"/>
      <c r="BK4" s="89"/>
      <c r="BL4" s="89"/>
      <c r="BM4" s="89"/>
      <c r="BN4" s="89"/>
      <c r="BO4" s="90"/>
      <c r="BP4" s="89"/>
      <c r="BQ4" s="89"/>
      <c r="BR4" s="104"/>
      <c r="BS4" s="105"/>
      <c r="BT4" s="105"/>
      <c r="BU4" s="104"/>
      <c r="BV4" s="105"/>
      <c r="BW4" s="105"/>
      <c r="BX4" s="104"/>
      <c r="BY4" s="105"/>
      <c r="BZ4" s="105"/>
      <c r="CA4" s="91"/>
      <c r="CB4" s="106"/>
      <c r="CC4" s="106"/>
      <c r="CD4" s="107"/>
      <c r="CE4" s="107"/>
      <c r="CF4" s="107"/>
      <c r="CG4" s="80"/>
      <c r="CH4" s="92"/>
      <c r="CI4" s="92"/>
      <c r="CJ4" s="73"/>
    </row>
    <row r="5" spans="1:92" ht="78" x14ac:dyDescent="0.3">
      <c r="A5" s="74" t="s">
        <v>28</v>
      </c>
      <c r="B5" s="75" t="s">
        <v>31</v>
      </c>
      <c r="C5" s="76" t="s">
        <v>30</v>
      </c>
      <c r="D5" s="75" t="s">
        <v>32</v>
      </c>
      <c r="E5" s="76" t="s">
        <v>402</v>
      </c>
      <c r="F5" s="76" t="s">
        <v>403</v>
      </c>
      <c r="G5" s="75" t="s">
        <v>35</v>
      </c>
      <c r="H5" s="75" t="s">
        <v>37</v>
      </c>
      <c r="I5" s="76" t="s">
        <v>447</v>
      </c>
      <c r="J5" s="77" t="s">
        <v>404</v>
      </c>
      <c r="K5" s="78" t="s">
        <v>405</v>
      </c>
      <c r="L5" s="75" t="s">
        <v>41</v>
      </c>
      <c r="M5" s="75" t="s">
        <v>406</v>
      </c>
      <c r="N5" s="25" t="s">
        <v>45</v>
      </c>
      <c r="O5" s="77" t="s">
        <v>42</v>
      </c>
      <c r="P5" s="77" t="s">
        <v>43</v>
      </c>
      <c r="Q5" s="75" t="s">
        <v>44</v>
      </c>
      <c r="R5" s="75" t="s">
        <v>46</v>
      </c>
      <c r="S5" s="24" t="s">
        <v>407</v>
      </c>
      <c r="T5" s="79" t="s">
        <v>408</v>
      </c>
      <c r="U5" s="25" t="s">
        <v>409</v>
      </c>
      <c r="V5" s="103" t="s">
        <v>47</v>
      </c>
      <c r="W5" s="75" t="s">
        <v>48</v>
      </c>
      <c r="X5" s="29" t="s">
        <v>30</v>
      </c>
      <c r="Y5" s="29" t="s">
        <v>29</v>
      </c>
      <c r="Z5" s="29" t="s">
        <v>410</v>
      </c>
      <c r="AA5" s="28" t="s">
        <v>45</v>
      </c>
      <c r="AB5" s="29" t="s">
        <v>40</v>
      </c>
      <c r="AC5" s="29" t="s">
        <v>44</v>
      </c>
      <c r="AD5" s="29" t="s">
        <v>58</v>
      </c>
      <c r="AE5" s="81" t="s">
        <v>448</v>
      </c>
      <c r="AF5" s="82" t="s">
        <v>59</v>
      </c>
      <c r="AG5" s="83" t="s">
        <v>411</v>
      </c>
      <c r="AH5" s="32" t="s">
        <v>60</v>
      </c>
      <c r="AI5" s="83" t="s">
        <v>412</v>
      </c>
      <c r="AJ5" s="32" t="s">
        <v>61</v>
      </c>
      <c r="AK5" s="83" t="s">
        <v>62</v>
      </c>
      <c r="AL5" s="32" t="s">
        <v>449</v>
      </c>
      <c r="AM5" s="33" t="s">
        <v>413</v>
      </c>
      <c r="AN5" s="80" t="s">
        <v>56</v>
      </c>
      <c r="AO5" s="34" t="s">
        <v>450</v>
      </c>
      <c r="AP5" s="34" t="s">
        <v>45</v>
      </c>
      <c r="AQ5" s="35" t="s">
        <v>451</v>
      </c>
      <c r="AR5" s="34" t="s">
        <v>44</v>
      </c>
      <c r="AS5" s="35" t="s">
        <v>452</v>
      </c>
      <c r="AT5" s="31" t="s">
        <v>453</v>
      </c>
      <c r="AU5" s="31" t="s">
        <v>454</v>
      </c>
      <c r="AV5" s="31" t="s">
        <v>455</v>
      </c>
      <c r="AW5" s="31" t="s">
        <v>456</v>
      </c>
      <c r="AX5" s="32" t="s">
        <v>457</v>
      </c>
      <c r="AY5" s="32" t="s">
        <v>458</v>
      </c>
      <c r="AZ5" s="84" t="s">
        <v>44</v>
      </c>
      <c r="BA5" s="85" t="s">
        <v>14</v>
      </c>
      <c r="BB5" s="82" t="s">
        <v>64</v>
      </c>
      <c r="BC5" s="83" t="s">
        <v>65</v>
      </c>
      <c r="BD5" s="32" t="s">
        <v>459</v>
      </c>
      <c r="BE5" s="86" t="s">
        <v>414</v>
      </c>
      <c r="BF5" s="87" t="s">
        <v>415</v>
      </c>
      <c r="BG5" s="87" t="s">
        <v>416</v>
      </c>
      <c r="BH5" s="87" t="s">
        <v>417</v>
      </c>
      <c r="BI5" s="88" t="s">
        <v>418</v>
      </c>
      <c r="BJ5" s="89" t="s">
        <v>419</v>
      </c>
      <c r="BK5" s="89" t="s">
        <v>420</v>
      </c>
      <c r="BL5" s="89" t="s">
        <v>421</v>
      </c>
      <c r="BM5" s="89" t="s">
        <v>422</v>
      </c>
      <c r="BN5" s="89" t="s">
        <v>423</v>
      </c>
      <c r="BO5" s="90" t="s">
        <v>424</v>
      </c>
      <c r="BP5" s="89" t="s">
        <v>425</v>
      </c>
      <c r="BQ5" s="89" t="s">
        <v>426</v>
      </c>
      <c r="BR5" s="104" t="s">
        <v>418</v>
      </c>
      <c r="BS5" s="105" t="s">
        <v>419</v>
      </c>
      <c r="BT5" s="105" t="s">
        <v>420</v>
      </c>
      <c r="BU5" s="104" t="s">
        <v>421</v>
      </c>
      <c r="BV5" s="105" t="s">
        <v>422</v>
      </c>
      <c r="BW5" s="105" t="s">
        <v>423</v>
      </c>
      <c r="BX5" s="104" t="s">
        <v>424</v>
      </c>
      <c r="BY5" s="105" t="s">
        <v>425</v>
      </c>
      <c r="BZ5" s="105" t="s">
        <v>426</v>
      </c>
      <c r="CA5" s="91" t="s">
        <v>427</v>
      </c>
      <c r="CB5" s="106" t="s">
        <v>460</v>
      </c>
      <c r="CC5" s="106" t="s">
        <v>461</v>
      </c>
      <c r="CD5" s="107" t="s">
        <v>462</v>
      </c>
      <c r="CE5" s="107" t="s">
        <v>463</v>
      </c>
      <c r="CF5" s="107" t="s">
        <v>464</v>
      </c>
      <c r="CG5" s="80" t="s">
        <v>465</v>
      </c>
      <c r="CH5" s="92" t="s">
        <v>66</v>
      </c>
      <c r="CI5" s="92" t="s">
        <v>67</v>
      </c>
      <c r="CJ5" s="73"/>
      <c r="CK5" s="238" t="s">
        <v>1943</v>
      </c>
      <c r="CL5" s="238" t="s">
        <v>1944</v>
      </c>
      <c r="CN5" s="238" t="s">
        <v>1945</v>
      </c>
    </row>
    <row r="6" spans="1:92" ht="12.5" x14ac:dyDescent="0.25">
      <c r="A6" s="93" t="s">
        <v>106</v>
      </c>
      <c r="B6" s="93" t="s">
        <v>96</v>
      </c>
      <c r="C6" s="93" t="s">
        <v>103</v>
      </c>
      <c r="D6" s="93" t="s">
        <v>108</v>
      </c>
      <c r="E6" s="93"/>
      <c r="F6" s="93"/>
      <c r="G6" s="94" t="s">
        <v>107</v>
      </c>
      <c r="H6" s="93" t="s">
        <v>433</v>
      </c>
      <c r="I6" s="94" t="s">
        <v>435</v>
      </c>
      <c r="J6" s="94">
        <v>902.75</v>
      </c>
      <c r="K6" s="94">
        <v>902.74894380000001</v>
      </c>
      <c r="L6" s="94" t="s">
        <v>95</v>
      </c>
      <c r="M6" s="94">
        <v>911867.62</v>
      </c>
      <c r="N6" s="94" t="s">
        <v>111</v>
      </c>
      <c r="O6" s="94">
        <v>911867.62</v>
      </c>
      <c r="P6" s="94">
        <v>711256.74</v>
      </c>
      <c r="Q6" s="93" t="s">
        <v>111</v>
      </c>
      <c r="R6" s="94" t="s">
        <v>105</v>
      </c>
      <c r="S6" s="94"/>
      <c r="T6" s="94"/>
      <c r="U6" s="94">
        <v>0</v>
      </c>
      <c r="V6" s="93" t="s">
        <v>94</v>
      </c>
      <c r="W6" s="8" t="s">
        <v>98</v>
      </c>
      <c r="X6" s="94" t="s">
        <v>103</v>
      </c>
      <c r="Y6" s="94" t="s">
        <v>107</v>
      </c>
      <c r="Z6" s="94" t="s">
        <v>105</v>
      </c>
      <c r="AA6" s="94" t="s">
        <v>111</v>
      </c>
      <c r="AB6" s="94">
        <v>911867.62</v>
      </c>
      <c r="AC6" s="94" t="s">
        <v>111</v>
      </c>
      <c r="AD6" s="94">
        <v>551201.18000000005</v>
      </c>
      <c r="AE6" s="94">
        <v>39.549999999999997</v>
      </c>
      <c r="AF6" s="94" t="s">
        <v>99</v>
      </c>
      <c r="AG6" s="94">
        <v>0</v>
      </c>
      <c r="AH6" s="94">
        <v>0</v>
      </c>
      <c r="AI6" s="94">
        <v>160055.56</v>
      </c>
      <c r="AJ6" s="94">
        <v>114.57</v>
      </c>
      <c r="AK6" s="94">
        <v>0.43602157330847224</v>
      </c>
      <c r="AL6" s="94" t="s">
        <v>99</v>
      </c>
      <c r="AM6" s="93" t="s">
        <v>467</v>
      </c>
      <c r="AN6" s="94"/>
      <c r="AO6" s="94" t="s">
        <v>16</v>
      </c>
      <c r="AP6" s="94" t="s">
        <v>16</v>
      </c>
      <c r="AQ6" s="94"/>
      <c r="AR6" s="94" t="s">
        <v>16</v>
      </c>
      <c r="AS6" s="94"/>
      <c r="AT6" s="94" t="s">
        <v>16</v>
      </c>
      <c r="AU6" s="94">
        <v>911867.62</v>
      </c>
      <c r="AV6" s="94">
        <v>651</v>
      </c>
      <c r="AW6" s="94" t="s">
        <v>16</v>
      </c>
      <c r="AX6" s="94">
        <v>911867.62</v>
      </c>
      <c r="AY6" s="94">
        <v>652.73</v>
      </c>
      <c r="AZ6" s="94" t="s">
        <v>111</v>
      </c>
      <c r="BA6" s="94">
        <v>551201.18000000005</v>
      </c>
      <c r="BB6" s="94" t="s">
        <v>99</v>
      </c>
      <c r="BC6" s="94">
        <v>160055.56</v>
      </c>
      <c r="BD6" s="94">
        <v>114.57</v>
      </c>
      <c r="BE6" s="60">
        <f t="array" ref="BE6">IFERROR(INDEX('Com&amp;tax'!$E$2:$E$5, MATCH(1, ('Com&amp;tax'!$A$2:$A$5=B6)*('Com&amp;tax'!$B$2:$B$5=G6), 0)),"")</f>
        <v>0.15</v>
      </c>
      <c r="BF6" s="58">
        <f t="shared" ref="BF6:BF11" si="0">IF(A6="","",( IFERROR(O6*BE6,"")))</f>
        <v>136780.14299999998</v>
      </c>
      <c r="BG6" s="58">
        <f t="array" aca="1" ref="BG6" ca="1">IF(A6="","",( IFERROR((O6/ INDEX(er!$D$3:$D$75,MATCH(1, (er!$A$3:$A$75=$BG$2)*(er!$C$3:$C$75=Q6), 0)))*BE6,"")))</f>
        <v>97.909909090909096</v>
      </c>
      <c r="BH6" s="58">
        <f t="shared" ref="BH6:BH11" si="1">IF(A6="","",( IF(B6="Snapchat Rep", IF(A6="","",(P6-BF6)),-BF6)))</f>
        <v>-136780.14299999998</v>
      </c>
      <c r="BI6" s="59">
        <f t="array" ref="BI6">IFERROR(INDEX('Com&amp;tax'!$F$2:$F$5, MATCH(1, ('Com&amp;tax'!$A$2:$A$5=B6)*('Com&amp;tax'!$B$2:$B$5=Y6), 0)),0)</f>
        <v>4.9000000000000002E-2</v>
      </c>
      <c r="BJ6" s="58">
        <f t="shared" ref="BJ6:BJ11" si="2">IF(A6="","",( IFERROR((J6*(1-BE6))*BI6,0)))</f>
        <v>37.599537500000004</v>
      </c>
      <c r="BK6" s="58">
        <f t="array" aca="1" ref="BK6" ca="1">IF(A6="","",( IFERROR((J6*(1-BE6))*BI6/INDEX(er!D:D, MATCH(Q6,er!C:C,0),1),0)))</f>
        <v>2.6914486399427347E-2</v>
      </c>
      <c r="BL6" s="60">
        <f t="array" ref="BL6">IFERROR(INDEX('Com&amp;tax'!$G$2:$G$5, MATCH(1, ('Com&amp;tax'!$A$2:$A$5=B6)*('Com&amp;tax'!$B$2:$B$5=Y6), 0)),0)</f>
        <v>0.1575</v>
      </c>
      <c r="BM6" s="58">
        <f t="shared" ref="BM6:BM11" si="3">IF(A6="","",( IFERROR((J6*(1-BE6))*BL6,0)))</f>
        <v>120.85565625</v>
      </c>
      <c r="BN6" s="58">
        <f t="array" aca="1" ref="BN6" ca="1">IF(A6="","",( IFERROR((J6*(1-BE6))*BL6/INDEX(er!D:D, MATCH(Q6,er!C:C,0),1),0)))</f>
        <v>8.6510849141016463E-2</v>
      </c>
      <c r="BO6" s="60">
        <f t="array" ref="BO6">IFERROR(INDEX('Com&amp;tax'!$H$2:$H$5, MATCH(1, ('Com&amp;tax'!$A$2:$A$5=B6)*('Com&amp;tax'!$B$2:$B$5=Y6), 0)),0)</f>
        <v>7.0000000000000007E-2</v>
      </c>
      <c r="BP6" s="58">
        <f t="shared" ref="BP6:BP11" si="4">IF(A6="","",( IFERROR(J6*BO6,0)))</f>
        <v>63.192500000000003</v>
      </c>
      <c r="BQ6" s="58">
        <f t="array" aca="1" ref="BQ6" ca="1">IF(A6="","",( IFERROR(J6*BO6/INDEX(er!D:D, MATCH(Q6,er!C:C,0),1),0)))</f>
        <v>4.5234430923407301E-2</v>
      </c>
      <c r="BR6" s="108">
        <f t="array" ref="BR6">IFERROR(INDEX('Com&amp;tax'!$F$2:$F$5, MATCH(1, ('Com&amp;tax'!$A$2:$A$5=B6)*('Com&amp;tax'!$D$2:$D$5=H6), 0)),0)</f>
        <v>0</v>
      </c>
      <c r="BS6" s="109">
        <f t="shared" ref="BS6:BS11" si="5">IF(A6="","",( IFERROR((J6*(1-BE6))*BR6,0)))</f>
        <v>0</v>
      </c>
      <c r="BT6" s="109">
        <f t="array" aca="1" ref="BT6" ca="1">IF(A6="","",( IFERROR((J6*(1-BE6))*BR6/INDEX(er!D:D, MATCH(Q6,er!C:C,0),1),0)))</f>
        <v>0</v>
      </c>
      <c r="BU6" s="108">
        <f t="array" ref="BU6">IFERROR(INDEX('Com&amp;tax'!$G$2:$G$5, MATCH(1, ('Com&amp;tax'!$A$2:$A$5=B6)*('Com&amp;tax'!$D$2:$D$5=H6), 0)),0)</f>
        <v>0</v>
      </c>
      <c r="BV6" s="109">
        <f t="shared" ref="BV6:BV11" si="6">IF(A6="","",( IFERROR((J6*(1-BE6))*BU6,0)))</f>
        <v>0</v>
      </c>
      <c r="BW6" s="109">
        <f t="array" aca="1" ref="BW6" ca="1">IF(A6="","",( IFERROR((J6*(1-BE6))*BU6/INDEX(er!D:D, MATCH(Q6,er!C:C,0),1),0)))</f>
        <v>0</v>
      </c>
      <c r="BX6" s="108">
        <f t="array" ref="BX6">IFERROR(INDEX('Com&amp;tax'!$H$2:$H$5, MATCH(1, ('Com&amp;tax'!$A$2:$A$5=B6)*('Com&amp;tax'!$D$2:$D$5=H6), 0)),0)</f>
        <v>0</v>
      </c>
      <c r="BY6" s="109">
        <f t="shared" ref="BY6:BY11" si="7">IF(A6="","",( IFERROR(J6*BX6,0)))</f>
        <v>0</v>
      </c>
      <c r="BZ6" s="109">
        <f t="array" aca="1" ref="BZ6" ca="1">IF(A6="","",( IFERROR(J6*BX6/INDEX(er!D:D, MATCH(Q6,er!C:C,0),1),0)))</f>
        <v>0</v>
      </c>
      <c r="CA6" s="96">
        <f t="array" aca="1" ref="CA6" ca="1">IF(A6="","",( IFERROR(1-((P6/ INDEX(er!$D$3:$D$75,MATCH(1, (er!$A$3:$A$75=$BG$2)*(er!$C$3:$C$75=Q6), 0))   /  (J6/ INDEX(er!$D$3:$D$75,MATCH(1, (er!$A$3:$A$75=$BG$2)*(er!$C$3:$C$75=L6), 0))))),"")))</f>
        <v>0.43602157330847224</v>
      </c>
      <c r="CB6" s="96">
        <f t="shared" ref="CB6:CB11" si="8">IF(AB6="","",1-AD6/AB6)</f>
        <v>0.39552499956079146</v>
      </c>
      <c r="CC6" s="111">
        <f t="shared" ref="CC6:CC11" ca="1" si="9">IF(AND(CA6="", CB6=""), "", CA6-CB6)</f>
        <v>4.0496573747680786E-2</v>
      </c>
      <c r="CD6" s="110">
        <f t="shared" ref="CD6:CE6" si="10">BJ6+BM6-BS6-BV6</f>
        <v>158.45519375000001</v>
      </c>
      <c r="CE6" s="110">
        <f t="shared" ca="1" si="10"/>
        <v>0.11342533554044382</v>
      </c>
      <c r="CF6" s="110">
        <f t="shared" ref="CF6:CF11" ca="1" si="11">AJ6-CE6</f>
        <v>114.45657466445955</v>
      </c>
      <c r="CG6" s="8" t="str">
        <f t="shared" ref="CG6:CG11" si="12">IF(OR(BE6="", AE6=""), "Miss", IF(ABS(AE6/100-AK6)&lt;0.005, "OK", "Incorrect"))</f>
        <v>Incorrect</v>
      </c>
      <c r="CI6" t="s">
        <v>553</v>
      </c>
      <c r="CK6" s="240">
        <v>0</v>
      </c>
      <c r="CL6" s="239">
        <f ca="1">(AI6+CK6)/INDEX(er!D:D,MATCH(AC6,er!C:C,0),1)</f>
        <v>114.57090909090908</v>
      </c>
      <c r="CN6" s="239">
        <f ca="1">CK6/INDEX(er!D:D,MATCH(AC6,er!C:C,0),1)</f>
        <v>0</v>
      </c>
    </row>
    <row r="7" spans="1:92" ht="12.5" x14ac:dyDescent="0.25">
      <c r="A7" s="93" t="s">
        <v>113</v>
      </c>
      <c r="B7" s="93" t="s">
        <v>96</v>
      </c>
      <c r="C7" s="93" t="s">
        <v>103</v>
      </c>
      <c r="D7" s="93" t="s">
        <v>114</v>
      </c>
      <c r="E7" s="93"/>
      <c r="F7" s="93"/>
      <c r="G7" s="94" t="s">
        <v>107</v>
      </c>
      <c r="H7" s="93" t="s">
        <v>436</v>
      </c>
      <c r="I7" s="94" t="s">
        <v>107</v>
      </c>
      <c r="J7" s="94">
        <v>3855555.79</v>
      </c>
      <c r="K7" s="94">
        <v>3855555.79</v>
      </c>
      <c r="L7" s="94" t="s">
        <v>111</v>
      </c>
      <c r="M7" s="94">
        <v>3855555.79</v>
      </c>
      <c r="N7" s="94" t="s">
        <v>111</v>
      </c>
      <c r="O7" s="94">
        <v>3855555.79</v>
      </c>
      <c r="P7" s="94">
        <v>2330587.2400000002</v>
      </c>
      <c r="Q7" s="93" t="s">
        <v>111</v>
      </c>
      <c r="R7" s="94" t="s">
        <v>105</v>
      </c>
      <c r="S7" s="94"/>
      <c r="T7" s="94"/>
      <c r="U7" s="94">
        <v>0</v>
      </c>
      <c r="V7" s="93" t="s">
        <v>94</v>
      </c>
      <c r="W7" s="8" t="s">
        <v>98</v>
      </c>
      <c r="X7" s="94" t="s">
        <v>103</v>
      </c>
      <c r="Y7" s="94" t="s">
        <v>107</v>
      </c>
      <c r="Z7" s="94" t="s">
        <v>105</v>
      </c>
      <c r="AA7" s="94" t="s">
        <v>111</v>
      </c>
      <c r="AB7" s="94">
        <v>3855555.79</v>
      </c>
      <c r="AC7" s="94" t="s">
        <v>111</v>
      </c>
      <c r="AD7" s="94">
        <v>2330587.09</v>
      </c>
      <c r="AE7" s="94">
        <v>39.549999999999997</v>
      </c>
      <c r="AF7" s="94" t="s">
        <v>99</v>
      </c>
      <c r="AG7" s="94">
        <v>0</v>
      </c>
      <c r="AH7" s="94">
        <v>0</v>
      </c>
      <c r="AI7" s="94">
        <v>0.15</v>
      </c>
      <c r="AJ7" s="94">
        <v>0</v>
      </c>
      <c r="AK7" s="94">
        <v>0.39552496009920268</v>
      </c>
      <c r="AL7" s="94" t="s">
        <v>99</v>
      </c>
      <c r="AM7" s="93" t="s">
        <v>468</v>
      </c>
      <c r="AN7" s="94"/>
      <c r="AO7" s="94" t="s">
        <v>16</v>
      </c>
      <c r="AP7" s="94" t="s">
        <v>16</v>
      </c>
      <c r="AQ7" s="94"/>
      <c r="AR7" s="94" t="s">
        <v>16</v>
      </c>
      <c r="AS7" s="94"/>
      <c r="AT7" s="94" t="s">
        <v>16</v>
      </c>
      <c r="AU7" s="94">
        <v>3855555.79</v>
      </c>
      <c r="AV7" s="94">
        <v>2758</v>
      </c>
      <c r="AW7" s="94" t="s">
        <v>16</v>
      </c>
      <c r="AX7" s="94">
        <v>3855555.79</v>
      </c>
      <c r="AY7" s="94">
        <v>2759.88</v>
      </c>
      <c r="AZ7" s="94" t="s">
        <v>111</v>
      </c>
      <c r="BA7" s="94">
        <v>2330587.08</v>
      </c>
      <c r="BB7" s="94" t="s">
        <v>99</v>
      </c>
      <c r="BC7" s="94">
        <v>0.16</v>
      </c>
      <c r="BD7" s="94">
        <v>0</v>
      </c>
      <c r="BE7" s="60">
        <f t="array" ref="BE7">IFERROR(INDEX('Com&amp;tax'!$E$2:$E$5, MATCH(1, ('Com&amp;tax'!$A$2:$A$5=B7)*('Com&amp;tax'!$B$2:$B$5=G7), 0)),"")</f>
        <v>0.15</v>
      </c>
      <c r="BF7" s="58">
        <f t="shared" si="0"/>
        <v>578333.36849999998</v>
      </c>
      <c r="BG7" s="58">
        <f t="array" aca="1" ref="BG7" ca="1">IF(A7="","",( IFERROR((O7/ INDEX(er!$D$3:$D$75,MATCH(1, (er!$A$3:$A$75=$BG$2)*(er!$C$3:$C$75=Q7), 0)))*BE7,"")))</f>
        <v>413.98236828919113</v>
      </c>
      <c r="BH7" s="58">
        <f t="shared" si="1"/>
        <v>-578333.36849999998</v>
      </c>
      <c r="BI7" s="59">
        <f t="array" ref="BI7">IFERROR(INDEX('Com&amp;tax'!$F$2:$F$5, MATCH(1, ('Com&amp;tax'!$A$2:$A$5=B7)*('Com&amp;tax'!$B$2:$B$5=Y7), 0)),0)</f>
        <v>4.9000000000000002E-2</v>
      </c>
      <c r="BJ7" s="58">
        <f t="shared" si="2"/>
        <v>160583.89865350001</v>
      </c>
      <c r="BK7" s="58">
        <f t="array" aca="1" ref="BK7" ca="1">IF(A7="","",( IFERROR((J7*(1-BE7))*BI7/INDEX(er!D:D, MATCH(Q7,er!C:C,0),1),0)))</f>
        <v>114.94910426163207</v>
      </c>
      <c r="BL7" s="60">
        <f t="array" ref="BL7">IFERROR(INDEX('Com&amp;tax'!$G$2:$G$5, MATCH(1, ('Com&amp;tax'!$A$2:$A$5=B7)*('Com&amp;tax'!$B$2:$B$5=Y7), 0)),0)</f>
        <v>0.1575</v>
      </c>
      <c r="BM7" s="58">
        <f t="shared" si="3"/>
        <v>516162.53138625005</v>
      </c>
      <c r="BN7" s="58">
        <f t="array" aca="1" ref="BN7" ca="1">IF(A7="","",( IFERROR((J7*(1-BE7))*BL7/INDEX(er!D:D, MATCH(Q7,er!C:C,0),1),0)))</f>
        <v>369.47926369810313</v>
      </c>
      <c r="BO7" s="60">
        <f t="array" ref="BO7">IFERROR(INDEX('Com&amp;tax'!$H$2:$H$5, MATCH(1, ('Com&amp;tax'!$A$2:$A$5=B7)*('Com&amp;tax'!$B$2:$B$5=Y7), 0)),0)</f>
        <v>7.0000000000000007E-2</v>
      </c>
      <c r="BP7" s="58">
        <f t="shared" si="4"/>
        <v>269888.90530000004</v>
      </c>
      <c r="BQ7" s="58">
        <f t="array" aca="1" ref="BQ7" ca="1">IF(A7="","",( IFERROR(J7*BO7/INDEX(er!D:D, MATCH(Q7,er!C:C,0),1),0)))</f>
        <v>193.19177186828921</v>
      </c>
      <c r="BR7" s="108">
        <f t="array" ref="BR7">IFERROR(INDEX('Com&amp;tax'!$F$2:$F$5, MATCH(1, ('Com&amp;tax'!$A$2:$A$5=B7)*('Com&amp;tax'!$D$2:$D$5=H7), 0)),0)</f>
        <v>4.9000000000000002E-2</v>
      </c>
      <c r="BS7" s="109">
        <f t="shared" si="5"/>
        <v>160583.89865350001</v>
      </c>
      <c r="BT7" s="109">
        <f t="array" aca="1" ref="BT7" ca="1">IF(A7="","",( IFERROR((J7*(1-BE7))*BR7/INDEX(er!D:D, MATCH(Q7,er!C:C,0),1),0)))</f>
        <v>114.94910426163207</v>
      </c>
      <c r="BU7" s="108">
        <f t="array" ref="BU7">IFERROR(INDEX('Com&amp;tax'!$G$2:$G$5, MATCH(1, ('Com&amp;tax'!$A$2:$A$5=B7)*('Com&amp;tax'!$D$2:$D$5=H7), 0)),0)</f>
        <v>0.1575</v>
      </c>
      <c r="BV7" s="109">
        <f t="shared" si="6"/>
        <v>516162.53138625005</v>
      </c>
      <c r="BW7" s="109">
        <f t="array" aca="1" ref="BW7" ca="1">IF(A7="","",( IFERROR((J7*(1-BE7))*BU7/INDEX(er!D:D, MATCH(Q7,er!C:C,0),1),0)))</f>
        <v>369.47926369810313</v>
      </c>
      <c r="BX7" s="108">
        <f t="array" ref="BX7">IFERROR(INDEX('Com&amp;tax'!$H$2:$H$5, MATCH(1, ('Com&amp;tax'!$A$2:$A$5=B7)*('Com&amp;tax'!$D$2:$D$5=H7), 0)),0)</f>
        <v>7.0000000000000007E-2</v>
      </c>
      <c r="BY7" s="109">
        <f t="shared" si="7"/>
        <v>269888.90530000004</v>
      </c>
      <c r="BZ7" s="109">
        <f t="array" aca="1" ref="BZ7" ca="1">IF(A7="","",( IFERROR(J7*BX7/INDEX(er!D:D, MATCH(Q7,er!C:C,0),1),0)))</f>
        <v>193.19177186828921</v>
      </c>
      <c r="CA7" s="96">
        <f t="array" aca="1" ref="CA7" ca="1">IF(A7="","",( IFERROR(1-((P7/ INDEX(er!$D$3:$D$75,MATCH(1, (er!$A$3:$A$75=$BG$2)*(er!$C$3:$C$75=Q7), 0))   /  (J7/ INDEX(er!$D$3:$D$75,MATCH(1, (er!$A$3:$A$75=$BG$2)*(er!$C$3:$C$75=L7), 0))))),"")))</f>
        <v>0.39552496009920268</v>
      </c>
      <c r="CB7" s="96">
        <f t="shared" si="8"/>
        <v>0.39552499900409954</v>
      </c>
      <c r="CC7" s="111">
        <f t="shared" ca="1" si="9"/>
        <v>-3.8904896859648375E-8</v>
      </c>
      <c r="CD7" s="110">
        <f t="shared" ref="CD7:CE7" si="13">BJ7+BM7-BS7-BV7</f>
        <v>0</v>
      </c>
      <c r="CE7" s="110">
        <f t="shared" ca="1" si="13"/>
        <v>0</v>
      </c>
      <c r="CF7" s="110">
        <f t="shared" ca="1" si="11"/>
        <v>0</v>
      </c>
      <c r="CG7" s="8" t="str">
        <f t="shared" si="12"/>
        <v>OK</v>
      </c>
      <c r="CI7" t="s">
        <v>99</v>
      </c>
      <c r="CK7" s="240">
        <v>0</v>
      </c>
      <c r="CL7" s="239">
        <f ca="1">(AI7+CK7)/INDEX(er!D:D,MATCH(AC7,er!C:C,0),1)</f>
        <v>1.0737294201861131E-4</v>
      </c>
      <c r="CN7" s="239">
        <f ca="1">CK7/INDEX(er!D:D,MATCH(AC7,er!C:C,0),1)</f>
        <v>0</v>
      </c>
    </row>
    <row r="8" spans="1:92" ht="12.5" x14ac:dyDescent="0.25">
      <c r="A8" s="93" t="s">
        <v>117</v>
      </c>
      <c r="B8" s="93" t="s">
        <v>96</v>
      </c>
      <c r="C8" s="93" t="s">
        <v>103</v>
      </c>
      <c r="D8" s="93" t="s">
        <v>118</v>
      </c>
      <c r="E8" s="93"/>
      <c r="F8" s="93"/>
      <c r="G8" s="94" t="s">
        <v>107</v>
      </c>
      <c r="H8" s="93" t="s">
        <v>436</v>
      </c>
      <c r="I8" s="94" t="s">
        <v>107</v>
      </c>
      <c r="J8" s="94">
        <v>3113913.08</v>
      </c>
      <c r="K8" s="94">
        <v>3113913.08</v>
      </c>
      <c r="L8" s="94" t="s">
        <v>111</v>
      </c>
      <c r="M8" s="94">
        <v>3113913.08</v>
      </c>
      <c r="N8" s="94" t="s">
        <v>111</v>
      </c>
      <c r="O8" s="94">
        <v>3113913.08</v>
      </c>
      <c r="P8" s="94">
        <v>1882282.73</v>
      </c>
      <c r="Q8" s="93" t="s">
        <v>111</v>
      </c>
      <c r="R8" s="94" t="s">
        <v>105</v>
      </c>
      <c r="S8" s="94"/>
      <c r="T8" s="94"/>
      <c r="U8" s="94">
        <v>0</v>
      </c>
      <c r="V8" s="93" t="s">
        <v>94</v>
      </c>
      <c r="W8" s="8" t="s">
        <v>98</v>
      </c>
      <c r="X8" s="94" t="s">
        <v>103</v>
      </c>
      <c r="Y8" s="94" t="s">
        <v>107</v>
      </c>
      <c r="Z8" s="94" t="s">
        <v>105</v>
      </c>
      <c r="AA8" s="94" t="s">
        <v>111</v>
      </c>
      <c r="AB8" s="94">
        <v>3113913.08</v>
      </c>
      <c r="AC8" s="94" t="s">
        <v>111</v>
      </c>
      <c r="AD8" s="94">
        <v>1882282.61</v>
      </c>
      <c r="AE8" s="94">
        <v>39.549999999999997</v>
      </c>
      <c r="AF8" s="94" t="s">
        <v>99</v>
      </c>
      <c r="AG8" s="94">
        <v>0</v>
      </c>
      <c r="AH8" s="94">
        <v>0</v>
      </c>
      <c r="AI8" s="94">
        <v>0.12</v>
      </c>
      <c r="AJ8" s="94">
        <v>0</v>
      </c>
      <c r="AK8" s="94">
        <v>0.39552496115273705</v>
      </c>
      <c r="AL8" s="94" t="s">
        <v>99</v>
      </c>
      <c r="AM8" s="93" t="s">
        <v>469</v>
      </c>
      <c r="AN8" s="94"/>
      <c r="AO8" s="94" t="s">
        <v>16</v>
      </c>
      <c r="AP8" s="94" t="s">
        <v>16</v>
      </c>
      <c r="AQ8" s="94"/>
      <c r="AR8" s="94" t="s">
        <v>16</v>
      </c>
      <c r="AS8" s="94"/>
      <c r="AT8" s="94" t="s">
        <v>16</v>
      </c>
      <c r="AU8" s="94">
        <v>3113913.08</v>
      </c>
      <c r="AV8" s="94">
        <v>2227</v>
      </c>
      <c r="AW8" s="94" t="s">
        <v>16</v>
      </c>
      <c r="AX8" s="94">
        <v>3113913.08</v>
      </c>
      <c r="AY8" s="94">
        <v>2229</v>
      </c>
      <c r="AZ8" s="94" t="s">
        <v>111</v>
      </c>
      <c r="BA8" s="94">
        <v>1882282.61</v>
      </c>
      <c r="BB8" s="94" t="s">
        <v>99</v>
      </c>
      <c r="BC8" s="94">
        <v>0.12</v>
      </c>
      <c r="BD8" s="94">
        <v>0</v>
      </c>
      <c r="BE8" s="60">
        <f t="array" ref="BE8">IFERROR(INDEX('Com&amp;tax'!$E$2:$E$5, MATCH(1, ('Com&amp;tax'!$A$2:$A$5=B8)*('Com&amp;tax'!$B$2:$B$5=G8), 0)),"")</f>
        <v>0.15</v>
      </c>
      <c r="BF8" s="58">
        <f t="shared" si="0"/>
        <v>467086.962</v>
      </c>
      <c r="BG8" s="58">
        <f t="array" aca="1" ref="BG8" ca="1">IF(A8="","",( IFERROR((O8/ INDEX(er!$D$3:$D$75,MATCH(1, (er!$A$3:$A$75=$BG$2)*(er!$C$3:$C$75=Q8), 0)))*BE8,"")))</f>
        <v>334.35000858983534</v>
      </c>
      <c r="BH8" s="58">
        <f t="shared" si="1"/>
        <v>-467086.962</v>
      </c>
      <c r="BI8" s="59">
        <f t="array" ref="BI8">IFERROR(INDEX('Com&amp;tax'!$F$2:$F$5, MATCH(1, ('Com&amp;tax'!$A$2:$A$5=B8)*('Com&amp;tax'!$B$2:$B$5=Y8), 0)),0)</f>
        <v>4.9000000000000002E-2</v>
      </c>
      <c r="BJ8" s="58">
        <f t="shared" si="2"/>
        <v>129694.47978199999</v>
      </c>
      <c r="BK8" s="58">
        <f t="array" aca="1" ref="BK8" ca="1">IF(A8="","",( IFERROR((J8*(1-BE8))*BI8/INDEX(er!D:D, MATCH(Q8,er!C:C,0),1),0)))</f>
        <v>92.837852385110949</v>
      </c>
      <c r="BL8" s="60">
        <f t="array" ref="BL8">IFERROR(INDEX('Com&amp;tax'!$G$2:$G$5, MATCH(1, ('Com&amp;tax'!$A$2:$A$5=B8)*('Com&amp;tax'!$B$2:$B$5=Y8), 0)),0)</f>
        <v>0.1575</v>
      </c>
      <c r="BM8" s="58">
        <f t="shared" si="3"/>
        <v>416875.11358499998</v>
      </c>
      <c r="BN8" s="58">
        <f t="array" aca="1" ref="BN8" ca="1">IF(A8="","",( IFERROR((J8*(1-BE8))*BL8/INDEX(er!D:D, MATCH(Q8,er!C:C,0),1),0)))</f>
        <v>298.40738266642808</v>
      </c>
      <c r="BO8" s="60">
        <f t="array" ref="BO8">IFERROR(INDEX('Com&amp;tax'!$H$2:$H$5, MATCH(1, ('Com&amp;tax'!$A$2:$A$5=B8)*('Com&amp;tax'!$B$2:$B$5=Y8), 0)),0)</f>
        <v>7.0000000000000007E-2</v>
      </c>
      <c r="BP8" s="58">
        <f t="shared" si="4"/>
        <v>217973.91560000004</v>
      </c>
      <c r="BQ8" s="58">
        <f t="array" aca="1" ref="BQ8" ca="1">IF(A8="","",( IFERROR(J8*BO8/INDEX(er!D:D, MATCH(Q8,er!C:C,0),1),0)))</f>
        <v>156.03000400858986</v>
      </c>
      <c r="BR8" s="108">
        <f t="array" ref="BR8">IFERROR(INDEX('Com&amp;tax'!$F$2:$F$5, MATCH(1, ('Com&amp;tax'!$A$2:$A$5=B8)*('Com&amp;tax'!$D$2:$D$5=H8), 0)),0)</f>
        <v>4.9000000000000002E-2</v>
      </c>
      <c r="BS8" s="109">
        <f t="shared" si="5"/>
        <v>129694.47978199999</v>
      </c>
      <c r="BT8" s="109">
        <f t="array" aca="1" ref="BT8" ca="1">IF(A8="","",( IFERROR((J8*(1-BE8))*BR8/INDEX(er!D:D, MATCH(Q8,er!C:C,0),1),0)))</f>
        <v>92.837852385110949</v>
      </c>
      <c r="BU8" s="108">
        <f t="array" ref="BU8">IFERROR(INDEX('Com&amp;tax'!$G$2:$G$5, MATCH(1, ('Com&amp;tax'!$A$2:$A$5=B8)*('Com&amp;tax'!$D$2:$D$5=H8), 0)),0)</f>
        <v>0.1575</v>
      </c>
      <c r="BV8" s="109">
        <f t="shared" si="6"/>
        <v>416875.11358499998</v>
      </c>
      <c r="BW8" s="109">
        <f t="array" aca="1" ref="BW8" ca="1">IF(A8="","",( IFERROR((J8*(1-BE8))*BU8/INDEX(er!D:D, MATCH(Q8,er!C:C,0),1),0)))</f>
        <v>298.40738266642808</v>
      </c>
      <c r="BX8" s="108">
        <f t="array" ref="BX8">IFERROR(INDEX('Com&amp;tax'!$H$2:$H$5, MATCH(1, ('Com&amp;tax'!$A$2:$A$5=B8)*('Com&amp;tax'!$D$2:$D$5=H8), 0)),0)</f>
        <v>7.0000000000000007E-2</v>
      </c>
      <c r="BY8" s="109">
        <f t="shared" si="7"/>
        <v>217973.91560000004</v>
      </c>
      <c r="BZ8" s="109">
        <f t="array" aca="1" ref="BZ8" ca="1">IF(A8="","",( IFERROR(J8*BX8/INDEX(er!D:D, MATCH(Q8,er!C:C,0),1),0)))</f>
        <v>156.03000400858986</v>
      </c>
      <c r="CA8" s="96">
        <f t="array" aca="1" ref="CA8" ca="1">IF(A8="","",( IFERROR(1-((P8/ INDEX(er!$D$3:$D$75,MATCH(1, (er!$A$3:$A$75=$BG$2)*(er!$C$3:$C$75=Q8), 0))   /  (J8/ INDEX(er!$D$3:$D$75,MATCH(1, (er!$A$3:$A$75=$BG$2)*(er!$C$3:$C$75=L8), 0))))),"")))</f>
        <v>0.39552496115273705</v>
      </c>
      <c r="CB8" s="96">
        <f t="shared" si="8"/>
        <v>0.3955249996894582</v>
      </c>
      <c r="CC8" s="111">
        <f t="shared" ca="1" si="9"/>
        <v>-3.8536721147508501E-8</v>
      </c>
      <c r="CD8" s="110">
        <f t="shared" ref="CD8:CE8" si="14">BJ8+BM8-BS8-BV8</f>
        <v>0</v>
      </c>
      <c r="CE8" s="110">
        <f t="shared" ca="1" si="14"/>
        <v>0</v>
      </c>
      <c r="CF8" s="110">
        <f t="shared" ca="1" si="11"/>
        <v>0</v>
      </c>
      <c r="CG8" s="8" t="str">
        <f t="shared" si="12"/>
        <v>OK</v>
      </c>
      <c r="CI8" t="s">
        <v>99</v>
      </c>
      <c r="CK8" s="240">
        <v>0</v>
      </c>
      <c r="CL8" s="239">
        <f ca="1">(AI8+CK8)/INDEX(er!D:D,MATCH(AC8,er!C:C,0),1)</f>
        <v>8.5898353614889049E-5</v>
      </c>
      <c r="CN8" s="239">
        <f ca="1">CK8/INDEX(er!D:D,MATCH(AC8,er!C:C,0),1)</f>
        <v>0</v>
      </c>
    </row>
    <row r="9" spans="1:92" ht="12.5" x14ac:dyDescent="0.25">
      <c r="A9" s="93" t="s">
        <v>121</v>
      </c>
      <c r="B9" s="93" t="s">
        <v>96</v>
      </c>
      <c r="C9" s="93" t="s">
        <v>103</v>
      </c>
      <c r="D9" s="93" t="s">
        <v>122</v>
      </c>
      <c r="E9" s="93"/>
      <c r="F9" s="93"/>
      <c r="G9" s="94" t="s">
        <v>107</v>
      </c>
      <c r="H9" s="93" t="s">
        <v>436</v>
      </c>
      <c r="I9" s="94" t="s">
        <v>107</v>
      </c>
      <c r="J9" s="94">
        <v>2687841.46</v>
      </c>
      <c r="K9" s="94">
        <v>2687841.46</v>
      </c>
      <c r="L9" s="94" t="s">
        <v>111</v>
      </c>
      <c r="M9" s="94">
        <v>2687841.46</v>
      </c>
      <c r="N9" s="94" t="s">
        <v>111</v>
      </c>
      <c r="O9" s="94">
        <v>2687841.46</v>
      </c>
      <c r="P9" s="94">
        <v>1624733.07</v>
      </c>
      <c r="Q9" s="93" t="s">
        <v>111</v>
      </c>
      <c r="R9" s="94" t="s">
        <v>105</v>
      </c>
      <c r="S9" s="94"/>
      <c r="T9" s="94"/>
      <c r="U9" s="94">
        <v>0</v>
      </c>
      <c r="V9" s="93" t="s">
        <v>94</v>
      </c>
      <c r="W9" s="8" t="s">
        <v>98</v>
      </c>
      <c r="X9" s="94" t="s">
        <v>103</v>
      </c>
      <c r="Y9" s="94" t="s">
        <v>107</v>
      </c>
      <c r="Z9" s="94" t="s">
        <v>105</v>
      </c>
      <c r="AA9" s="94" t="s">
        <v>111</v>
      </c>
      <c r="AB9" s="94">
        <v>2687841.46</v>
      </c>
      <c r="AC9" s="94" t="s">
        <v>111</v>
      </c>
      <c r="AD9" s="94">
        <v>1624732.97</v>
      </c>
      <c r="AE9" s="94">
        <v>39.549999999999997</v>
      </c>
      <c r="AF9" s="94" t="s">
        <v>99</v>
      </c>
      <c r="AG9" s="94">
        <v>0</v>
      </c>
      <c r="AH9" s="94">
        <v>0</v>
      </c>
      <c r="AI9" s="94">
        <v>0.1</v>
      </c>
      <c r="AJ9" s="94">
        <v>0</v>
      </c>
      <c r="AK9" s="94">
        <v>0.39552496150572813</v>
      </c>
      <c r="AL9" s="94" t="s">
        <v>99</v>
      </c>
      <c r="AM9" s="93" t="s">
        <v>471</v>
      </c>
      <c r="AN9" s="94"/>
      <c r="AO9" s="94" t="s">
        <v>16</v>
      </c>
      <c r="AP9" s="94" t="s">
        <v>16</v>
      </c>
      <c r="AQ9" s="94"/>
      <c r="AR9" s="94" t="s">
        <v>16</v>
      </c>
      <c r="AS9" s="94"/>
      <c r="AT9" s="94" t="s">
        <v>16</v>
      </c>
      <c r="AU9" s="94">
        <v>2687841.46</v>
      </c>
      <c r="AV9" s="94">
        <v>1922</v>
      </c>
      <c r="AW9" s="94" t="s">
        <v>16</v>
      </c>
      <c r="AX9" s="94">
        <v>2687841.46</v>
      </c>
      <c r="AY9" s="94">
        <v>1924.01</v>
      </c>
      <c r="AZ9" s="94" t="s">
        <v>111</v>
      </c>
      <c r="BA9" s="94">
        <v>1624732.96</v>
      </c>
      <c r="BB9" s="94" t="s">
        <v>99</v>
      </c>
      <c r="BC9" s="94">
        <v>0.11</v>
      </c>
      <c r="BD9" s="94">
        <v>0</v>
      </c>
      <c r="BE9" s="60">
        <f t="array" ref="BE9">IFERROR(INDEX('Com&amp;tax'!$E$2:$E$5, MATCH(1, ('Com&amp;tax'!$A$2:$A$5=B9)*('Com&amp;tax'!$B$2:$B$5=G9), 0)),"")</f>
        <v>0.15</v>
      </c>
      <c r="BF9" s="58">
        <f t="shared" si="0"/>
        <v>403176.21899999998</v>
      </c>
      <c r="BG9" s="58">
        <f t="array" aca="1" ref="BG9" ca="1">IF(A9="","",( IFERROR((O9/ INDEX(er!$D$3:$D$75,MATCH(1, (er!$A$3:$A$75=$BG$2)*(er!$C$3:$C$75=Q9), 0)))*BE9,"")))</f>
        <v>288.60144523979955</v>
      </c>
      <c r="BH9" s="58">
        <f t="shared" si="1"/>
        <v>-403176.21899999998</v>
      </c>
      <c r="BI9" s="59">
        <f t="array" ref="BI9">IFERROR(INDEX('Com&amp;tax'!$F$2:$F$5, MATCH(1, ('Com&amp;tax'!$A$2:$A$5=B9)*('Com&amp;tax'!$B$2:$B$5=Y9), 0)),0)</f>
        <v>4.9000000000000002E-2</v>
      </c>
      <c r="BJ9" s="58">
        <f t="shared" si="2"/>
        <v>111948.596809</v>
      </c>
      <c r="BK9" s="58">
        <f t="array" aca="1" ref="BK9" ca="1">IF(A9="","",( IFERROR((J9*(1-BE9))*BI9/INDEX(er!D:D, MATCH(Q9,er!C:C,0),1),0)))</f>
        <v>80.135001294917672</v>
      </c>
      <c r="BL9" s="60">
        <f t="array" ref="BL9">IFERROR(INDEX('Com&amp;tax'!$G$2:$G$5, MATCH(1, ('Com&amp;tax'!$A$2:$A$5=B9)*('Com&amp;tax'!$B$2:$B$5=Y9), 0)),0)</f>
        <v>0.1575</v>
      </c>
      <c r="BM9" s="58">
        <f t="shared" si="3"/>
        <v>359834.77545750001</v>
      </c>
      <c r="BN9" s="58">
        <f t="array" aca="1" ref="BN9" ca="1">IF(A9="","",( IFERROR((J9*(1-BE9))*BL9/INDEX(er!D:D, MATCH(Q9,er!C:C,0),1),0)))</f>
        <v>257.5767898765211</v>
      </c>
      <c r="BO9" s="60">
        <f t="array" ref="BO9">IFERROR(INDEX('Com&amp;tax'!$H$2:$H$5, MATCH(1, ('Com&amp;tax'!$A$2:$A$5=B9)*('Com&amp;tax'!$B$2:$B$5=Y9), 0)),0)</f>
        <v>7.0000000000000007E-2</v>
      </c>
      <c r="BP9" s="58">
        <f t="shared" si="4"/>
        <v>188148.90220000001</v>
      </c>
      <c r="BQ9" s="58">
        <f t="array" aca="1" ref="BQ9" ca="1">IF(A9="","",( IFERROR(J9*BO9/INDEX(er!D:D, MATCH(Q9,er!C:C,0),1),0)))</f>
        <v>134.68067444523982</v>
      </c>
      <c r="BR9" s="108">
        <f t="array" ref="BR9">IFERROR(INDEX('Com&amp;tax'!$F$2:$F$5, MATCH(1, ('Com&amp;tax'!$A$2:$A$5=B9)*('Com&amp;tax'!$D$2:$D$5=H9), 0)),0)</f>
        <v>4.9000000000000002E-2</v>
      </c>
      <c r="BS9" s="109">
        <f t="shared" si="5"/>
        <v>111948.596809</v>
      </c>
      <c r="BT9" s="109">
        <f t="array" aca="1" ref="BT9" ca="1">IF(A9="","",( IFERROR((J9*(1-BE9))*BR9/INDEX(er!D:D, MATCH(Q9,er!C:C,0),1),0)))</f>
        <v>80.135001294917672</v>
      </c>
      <c r="BU9" s="108">
        <f t="array" ref="BU9">IFERROR(INDEX('Com&amp;tax'!$G$2:$G$5, MATCH(1, ('Com&amp;tax'!$A$2:$A$5=B9)*('Com&amp;tax'!$D$2:$D$5=H9), 0)),0)</f>
        <v>0.1575</v>
      </c>
      <c r="BV9" s="109">
        <f t="shared" si="6"/>
        <v>359834.77545750001</v>
      </c>
      <c r="BW9" s="109">
        <f t="array" aca="1" ref="BW9" ca="1">IF(A9="","",( IFERROR((J9*(1-BE9))*BU9/INDEX(er!D:D, MATCH(Q9,er!C:C,0),1),0)))</f>
        <v>257.5767898765211</v>
      </c>
      <c r="BX9" s="108">
        <f t="array" ref="BX9">IFERROR(INDEX('Com&amp;tax'!$H$2:$H$5, MATCH(1, ('Com&amp;tax'!$A$2:$A$5=B9)*('Com&amp;tax'!$D$2:$D$5=H9), 0)),0)</f>
        <v>7.0000000000000007E-2</v>
      </c>
      <c r="BY9" s="109">
        <f t="shared" si="7"/>
        <v>188148.90220000001</v>
      </c>
      <c r="BZ9" s="109">
        <f t="array" aca="1" ref="BZ9" ca="1">IF(A9="","",( IFERROR(J9*BX9/INDEX(er!D:D, MATCH(Q9,er!C:C,0),1),0)))</f>
        <v>134.68067444523982</v>
      </c>
      <c r="CA9" s="96">
        <f t="array" aca="1" ref="CA9" ca="1">IF(A9="","",( IFERROR(1-((P9/ INDEX(er!$D$3:$D$75,MATCH(1, (er!$A$3:$A$75=$BG$2)*(er!$C$3:$C$75=Q9), 0))   /  (J9/ INDEX(er!$D$3:$D$75,MATCH(1, (er!$A$3:$A$75=$BG$2)*(er!$C$3:$C$75=L9), 0))))),"")))</f>
        <v>0.39552496150572813</v>
      </c>
      <c r="CB9" s="96">
        <f t="shared" si="8"/>
        <v>0.39552499871030344</v>
      </c>
      <c r="CC9" s="111">
        <f t="shared" ca="1" si="9"/>
        <v>-3.7204575309424115E-8</v>
      </c>
      <c r="CD9" s="110">
        <f t="shared" ref="CD9:CE9" si="15">BJ9+BM9-BS9-BV9</f>
        <v>0</v>
      </c>
      <c r="CE9" s="110">
        <f t="shared" ca="1" si="15"/>
        <v>0</v>
      </c>
      <c r="CF9" s="110">
        <f t="shared" ca="1" si="11"/>
        <v>0</v>
      </c>
      <c r="CG9" s="8" t="str">
        <f t="shared" si="12"/>
        <v>OK</v>
      </c>
      <c r="CI9" t="s">
        <v>99</v>
      </c>
      <c r="CK9" s="240">
        <v>0</v>
      </c>
      <c r="CL9" s="239">
        <f ca="1">(AI9+CK9)/INDEX(er!D:D,MATCH(AC9,er!C:C,0),1)</f>
        <v>7.1581961345740878E-5</v>
      </c>
      <c r="CN9" s="239">
        <f ca="1">CK9/INDEX(er!D:D,MATCH(AC9,er!C:C,0),1)</f>
        <v>0</v>
      </c>
    </row>
    <row r="10" spans="1:92" ht="12.5" x14ac:dyDescent="0.25">
      <c r="A10" s="93" t="s">
        <v>125</v>
      </c>
      <c r="B10" s="93" t="s">
        <v>96</v>
      </c>
      <c r="C10" s="93" t="s">
        <v>103</v>
      </c>
      <c r="D10" s="93" t="s">
        <v>126</v>
      </c>
      <c r="E10" s="93"/>
      <c r="F10" s="93"/>
      <c r="G10" s="94" t="s">
        <v>107</v>
      </c>
      <c r="H10" s="93" t="s">
        <v>436</v>
      </c>
      <c r="I10" s="94" t="s">
        <v>107</v>
      </c>
      <c r="J10" s="94">
        <v>1055530.21</v>
      </c>
      <c r="K10" s="94">
        <v>1055530.21</v>
      </c>
      <c r="L10" s="94" t="s">
        <v>111</v>
      </c>
      <c r="M10" s="94">
        <v>1055530.21</v>
      </c>
      <c r="N10" s="94" t="s">
        <v>111</v>
      </c>
      <c r="O10" s="94">
        <v>1055530.21</v>
      </c>
      <c r="P10" s="94">
        <v>638041.67000000004</v>
      </c>
      <c r="Q10" s="93" t="s">
        <v>111</v>
      </c>
      <c r="R10" s="94" t="s">
        <v>105</v>
      </c>
      <c r="S10" s="94"/>
      <c r="T10" s="94"/>
      <c r="U10" s="94">
        <v>0</v>
      </c>
      <c r="V10" s="93" t="s">
        <v>94</v>
      </c>
      <c r="W10" s="8" t="s">
        <v>98</v>
      </c>
      <c r="X10" s="94" t="s">
        <v>103</v>
      </c>
      <c r="Y10" s="94" t="s">
        <v>107</v>
      </c>
      <c r="Z10" s="94" t="s">
        <v>105</v>
      </c>
      <c r="AA10" s="94" t="s">
        <v>111</v>
      </c>
      <c r="AB10" s="94">
        <v>1055530.21</v>
      </c>
      <c r="AC10" s="94" t="s">
        <v>111</v>
      </c>
      <c r="AD10" s="94">
        <v>638041.63</v>
      </c>
      <c r="AE10" s="94">
        <v>39.549999999999997</v>
      </c>
      <c r="AF10" s="94" t="s">
        <v>99</v>
      </c>
      <c r="AG10" s="94">
        <v>0</v>
      </c>
      <c r="AH10" s="94">
        <v>0</v>
      </c>
      <c r="AI10" s="94">
        <v>0.04</v>
      </c>
      <c r="AJ10" s="94">
        <v>0</v>
      </c>
      <c r="AK10" s="94">
        <v>0.39552495612607808</v>
      </c>
      <c r="AL10" s="94" t="s">
        <v>99</v>
      </c>
      <c r="AM10" s="93" t="s">
        <v>472</v>
      </c>
      <c r="AN10" s="94"/>
      <c r="AO10" s="94" t="s">
        <v>16</v>
      </c>
      <c r="AP10" s="94" t="s">
        <v>16</v>
      </c>
      <c r="AQ10" s="94"/>
      <c r="AR10" s="94" t="s">
        <v>16</v>
      </c>
      <c r="AS10" s="94"/>
      <c r="AT10" s="94" t="s">
        <v>16</v>
      </c>
      <c r="AU10" s="94">
        <v>1055530.21</v>
      </c>
      <c r="AV10" s="94">
        <v>754</v>
      </c>
      <c r="AW10" s="94" t="s">
        <v>16</v>
      </c>
      <c r="AX10" s="94">
        <v>1055530.21</v>
      </c>
      <c r="AY10" s="94">
        <v>755.57</v>
      </c>
      <c r="AZ10" s="94" t="s">
        <v>111</v>
      </c>
      <c r="BA10" s="94">
        <v>638041.62</v>
      </c>
      <c r="BB10" s="94" t="s">
        <v>99</v>
      </c>
      <c r="BC10" s="94">
        <v>0.05</v>
      </c>
      <c r="BD10" s="94">
        <v>0</v>
      </c>
      <c r="BE10" s="60">
        <f t="array" ref="BE10">IFERROR(INDEX('Com&amp;tax'!$E$2:$E$5, MATCH(1, ('Com&amp;tax'!$A$2:$A$5=B10)*('Com&amp;tax'!$B$2:$B$5=G10), 0)),"")</f>
        <v>0.15</v>
      </c>
      <c r="BF10" s="58">
        <f t="shared" si="0"/>
        <v>158329.53149999998</v>
      </c>
      <c r="BG10" s="58">
        <f t="array" aca="1" ref="BG10" ca="1">IF(A10="","",( IFERROR((O10/ INDEX(er!$D$3:$D$75,MATCH(1, (er!$A$3:$A$75=$BG$2)*(er!$C$3:$C$75=Q10), 0)))*BE10,"")))</f>
        <v>113.33538403722262</v>
      </c>
      <c r="BH10" s="58">
        <f t="shared" si="1"/>
        <v>-158329.53149999998</v>
      </c>
      <c r="BI10" s="59">
        <f t="array" ref="BI10">IFERROR(INDEX('Com&amp;tax'!$F$2:$F$5, MATCH(1, ('Com&amp;tax'!$A$2:$A$5=B10)*('Com&amp;tax'!$B$2:$B$5=Y10), 0)),0)</f>
        <v>4.9000000000000002E-2</v>
      </c>
      <c r="BJ10" s="58">
        <f t="shared" si="2"/>
        <v>43962.833246499998</v>
      </c>
      <c r="BK10" s="58">
        <f t="array" aca="1" ref="BK10" ca="1">IF(A10="","",( IFERROR((J10*(1-BE10))*BI10/INDEX(er!D:D, MATCH(Q10,er!C:C,0),1),0)))</f>
        <v>31.469458301002145</v>
      </c>
      <c r="BL10" s="60">
        <f t="array" ref="BL10">IFERROR(INDEX('Com&amp;tax'!$G$2:$G$5, MATCH(1, ('Com&amp;tax'!$A$2:$A$5=B10)*('Com&amp;tax'!$B$2:$B$5=Y10), 0)),0)</f>
        <v>0.1575</v>
      </c>
      <c r="BM10" s="58">
        <f t="shared" si="3"/>
        <v>141309.10686375</v>
      </c>
      <c r="BN10" s="58">
        <f t="array" aca="1" ref="BN10" ca="1">IF(A10="","",( IFERROR((J10*(1-BE10))*BL10/INDEX(er!D:D, MATCH(Q10,er!C:C,0),1),0)))</f>
        <v>101.15183025322119</v>
      </c>
      <c r="BO10" s="60">
        <f t="array" ref="BO10">IFERROR(INDEX('Com&amp;tax'!$H$2:$H$5, MATCH(1, ('Com&amp;tax'!$A$2:$A$5=B10)*('Com&amp;tax'!$B$2:$B$5=Y10), 0)),0)</f>
        <v>7.0000000000000007E-2</v>
      </c>
      <c r="BP10" s="58">
        <f t="shared" si="4"/>
        <v>73887.114700000006</v>
      </c>
      <c r="BQ10" s="58">
        <f t="array" aca="1" ref="BQ10" ca="1">IF(A10="","",( IFERROR(J10*BO10/INDEX(er!D:D, MATCH(Q10,er!C:C,0),1),0)))</f>
        <v>52.889845884037229</v>
      </c>
      <c r="BR10" s="108">
        <f t="array" ref="BR10">IFERROR(INDEX('Com&amp;tax'!$F$2:$F$5, MATCH(1, ('Com&amp;tax'!$A$2:$A$5=B10)*('Com&amp;tax'!$D$2:$D$5=H10), 0)),0)</f>
        <v>4.9000000000000002E-2</v>
      </c>
      <c r="BS10" s="109">
        <f t="shared" si="5"/>
        <v>43962.833246499998</v>
      </c>
      <c r="BT10" s="109">
        <f t="array" aca="1" ref="BT10" ca="1">IF(A10="","",( IFERROR((J10*(1-BE10))*BR10/INDEX(er!D:D, MATCH(Q10,er!C:C,0),1),0)))</f>
        <v>31.469458301002145</v>
      </c>
      <c r="BU10" s="108">
        <f t="array" ref="BU10">IFERROR(INDEX('Com&amp;tax'!$G$2:$G$5, MATCH(1, ('Com&amp;tax'!$A$2:$A$5=B10)*('Com&amp;tax'!$D$2:$D$5=H10), 0)),0)</f>
        <v>0.1575</v>
      </c>
      <c r="BV10" s="109">
        <f t="shared" si="6"/>
        <v>141309.10686375</v>
      </c>
      <c r="BW10" s="109">
        <f t="array" aca="1" ref="BW10" ca="1">IF(A10="","",( IFERROR((J10*(1-BE10))*BU10/INDEX(er!D:D, MATCH(Q10,er!C:C,0),1),0)))</f>
        <v>101.15183025322119</v>
      </c>
      <c r="BX10" s="108">
        <f t="array" ref="BX10">IFERROR(INDEX('Com&amp;tax'!$H$2:$H$5, MATCH(1, ('Com&amp;tax'!$A$2:$A$5=B10)*('Com&amp;tax'!$D$2:$D$5=H10), 0)),0)</f>
        <v>7.0000000000000007E-2</v>
      </c>
      <c r="BY10" s="109">
        <f t="shared" si="7"/>
        <v>73887.114700000006</v>
      </c>
      <c r="BZ10" s="109">
        <f t="array" aca="1" ref="BZ10" ca="1">IF(A10="","",( IFERROR(J10*BX10/INDEX(er!D:D, MATCH(Q10,er!C:C,0),1),0)))</f>
        <v>52.889845884037229</v>
      </c>
      <c r="CA10" s="96">
        <f t="array" aca="1" ref="CA10" ca="1">IF(A10="","",( IFERROR(1-((P10/ INDEX(er!$D$3:$D$75,MATCH(1, (er!$A$3:$A$75=$BG$2)*(er!$C$3:$C$75=Q10), 0))   /  (J10/ INDEX(er!$D$3:$D$75,MATCH(1, (er!$A$3:$A$75=$BG$2)*(er!$C$3:$C$75=L10), 0))))),"")))</f>
        <v>0.39552495612607808</v>
      </c>
      <c r="CB10" s="96">
        <f t="shared" si="8"/>
        <v>0.39552499402172481</v>
      </c>
      <c r="CC10" s="111">
        <f t="shared" ca="1" si="9"/>
        <v>-3.7895646731733734E-8</v>
      </c>
      <c r="CD10" s="110">
        <f t="shared" ref="CD10:CE10" si="16">BJ10+BM10-BS10-BV10</f>
        <v>0</v>
      </c>
      <c r="CE10" s="110">
        <f t="shared" ca="1" si="16"/>
        <v>0</v>
      </c>
      <c r="CF10" s="110">
        <f t="shared" ca="1" si="11"/>
        <v>0</v>
      </c>
      <c r="CG10" s="8" t="str">
        <f t="shared" si="12"/>
        <v>OK</v>
      </c>
      <c r="CH10" s="8"/>
      <c r="CI10" t="s">
        <v>99</v>
      </c>
      <c r="CK10" s="240">
        <v>0</v>
      </c>
      <c r="CL10" s="239">
        <f ca="1">(AI10+CK10)/INDEX(er!D:D,MATCH(AC10,er!C:C,0),1)</f>
        <v>2.8632784538296351E-5</v>
      </c>
      <c r="CN10" s="239">
        <f ca="1">CK10/INDEX(er!D:D,MATCH(AC10,er!C:C,0),1)</f>
        <v>0</v>
      </c>
    </row>
    <row r="11" spans="1:92" ht="12.5" x14ac:dyDescent="0.25">
      <c r="A11" s="93" t="s">
        <v>129</v>
      </c>
      <c r="B11" s="93" t="s">
        <v>96</v>
      </c>
      <c r="C11" s="93" t="s">
        <v>103</v>
      </c>
      <c r="D11" s="93" t="s">
        <v>130</v>
      </c>
      <c r="E11" s="93"/>
      <c r="F11" s="93"/>
      <c r="G11" s="94" t="s">
        <v>107</v>
      </c>
      <c r="H11" s="93" t="s">
        <v>436</v>
      </c>
      <c r="I11" s="94" t="s">
        <v>107</v>
      </c>
      <c r="J11" s="94">
        <v>1269863.22</v>
      </c>
      <c r="K11" s="94">
        <v>1269863.22</v>
      </c>
      <c r="L11" s="94" t="s">
        <v>111</v>
      </c>
      <c r="M11" s="94">
        <v>1269863.22</v>
      </c>
      <c r="N11" s="94" t="s">
        <v>111</v>
      </c>
      <c r="O11" s="94">
        <v>1269863.22</v>
      </c>
      <c r="P11" s="94">
        <v>767600.62</v>
      </c>
      <c r="Q11" s="93" t="s">
        <v>111</v>
      </c>
      <c r="R11" s="94" t="s">
        <v>105</v>
      </c>
      <c r="S11" s="94"/>
      <c r="T11" s="94"/>
      <c r="U11" s="94">
        <v>0</v>
      </c>
      <c r="V11" s="93" t="s">
        <v>94</v>
      </c>
      <c r="W11" s="8" t="s">
        <v>98</v>
      </c>
      <c r="X11" s="94" t="s">
        <v>103</v>
      </c>
      <c r="Y11" s="94" t="s">
        <v>107</v>
      </c>
      <c r="Z11" s="94" t="s">
        <v>105</v>
      </c>
      <c r="AA11" s="94" t="s">
        <v>111</v>
      </c>
      <c r="AB11" s="94">
        <v>1269863.22</v>
      </c>
      <c r="AC11" s="94" t="s">
        <v>111</v>
      </c>
      <c r="AD11" s="94">
        <v>767600.57</v>
      </c>
      <c r="AE11" s="94">
        <v>39.549999999999997</v>
      </c>
      <c r="AF11" s="94" t="s">
        <v>99</v>
      </c>
      <c r="AG11" s="94">
        <v>0</v>
      </c>
      <c r="AH11" s="94">
        <v>0</v>
      </c>
      <c r="AI11" s="94">
        <v>0.05</v>
      </c>
      <c r="AJ11" s="94">
        <v>0</v>
      </c>
      <c r="AK11" s="94">
        <v>0.39552496055441311</v>
      </c>
      <c r="AL11" s="94" t="s">
        <v>99</v>
      </c>
      <c r="AM11" s="93" t="s">
        <v>473</v>
      </c>
      <c r="AN11" s="94"/>
      <c r="AO11" s="94" t="s">
        <v>16</v>
      </c>
      <c r="AP11" s="94" t="s">
        <v>16</v>
      </c>
      <c r="AQ11" s="94"/>
      <c r="AR11" s="94" t="s">
        <v>16</v>
      </c>
      <c r="AS11" s="94"/>
      <c r="AT11" s="94" t="s">
        <v>16</v>
      </c>
      <c r="AU11" s="94">
        <v>1269863.22</v>
      </c>
      <c r="AV11" s="94">
        <v>907</v>
      </c>
      <c r="AW11" s="94" t="s">
        <v>16</v>
      </c>
      <c r="AX11" s="94">
        <v>1269863.22</v>
      </c>
      <c r="AY11" s="94">
        <v>908.99</v>
      </c>
      <c r="AZ11" s="94" t="s">
        <v>111</v>
      </c>
      <c r="BA11" s="94">
        <v>767600.57</v>
      </c>
      <c r="BB11" s="94" t="s">
        <v>99</v>
      </c>
      <c r="BC11" s="94">
        <v>0.05</v>
      </c>
      <c r="BD11" s="94">
        <v>0</v>
      </c>
      <c r="BE11" s="60">
        <f t="array" ref="BE11">IFERROR(INDEX('Com&amp;tax'!$E$2:$E$5, MATCH(1, ('Com&amp;tax'!$A$2:$A$5=B11)*('Com&amp;tax'!$B$2:$B$5=G11), 0)),"")</f>
        <v>0.15</v>
      </c>
      <c r="BF11" s="58">
        <f t="shared" si="0"/>
        <v>190479.48299999998</v>
      </c>
      <c r="BG11" s="58">
        <f t="array" aca="1" ref="BG11" ca="1">IF(A11="","",( IFERROR((O11/ INDEX(er!$D$3:$D$75,MATCH(1, (er!$A$3:$A$75=$BG$2)*(er!$C$3:$C$75=Q11), 0)))*BE11,"")))</f>
        <v>136.34894989262705</v>
      </c>
      <c r="BH11" s="58">
        <f t="shared" si="1"/>
        <v>-190479.48299999998</v>
      </c>
      <c r="BI11" s="59">
        <f t="array" ref="BI11">IFERROR(INDEX('Com&amp;tax'!$F$2:$F$5, MATCH(1, ('Com&amp;tax'!$A$2:$A$5=B11)*('Com&amp;tax'!$B$2:$B$5=Y11), 0)),0)</f>
        <v>4.9000000000000002E-2</v>
      </c>
      <c r="BJ11" s="58">
        <f t="shared" si="2"/>
        <v>52889.803113000002</v>
      </c>
      <c r="BK11" s="58">
        <f t="array" aca="1" ref="BK11" ca="1">IF(A11="","",( IFERROR((J11*(1-BE11))*BI11/INDEX(er!D:D, MATCH(Q11,er!C:C,0),1),0)))</f>
        <v>37.859558420186112</v>
      </c>
      <c r="BL11" s="60">
        <f t="array" ref="BL11">IFERROR(INDEX('Com&amp;tax'!$G$2:$G$5, MATCH(1, ('Com&amp;tax'!$A$2:$A$5=B11)*('Com&amp;tax'!$B$2:$B$5=Y11), 0)),0)</f>
        <v>0.1575</v>
      </c>
      <c r="BM11" s="58">
        <f t="shared" si="3"/>
        <v>170002.9385775</v>
      </c>
      <c r="BN11" s="58">
        <f t="array" aca="1" ref="BN11" ca="1">IF(A11="","",( IFERROR((J11*(1-BE11))*BL11/INDEX(er!D:D, MATCH(Q11,er!C:C,0),1),0)))</f>
        <v>121.69143777916965</v>
      </c>
      <c r="BO11" s="60">
        <f t="array" ref="BO11">IFERROR(INDEX('Com&amp;tax'!$H$2:$H$5, MATCH(1, ('Com&amp;tax'!$A$2:$A$5=B11)*('Com&amp;tax'!$B$2:$B$5=Y11), 0)),0)</f>
        <v>7.0000000000000007E-2</v>
      </c>
      <c r="BP11" s="58">
        <f t="shared" si="4"/>
        <v>88890.425400000007</v>
      </c>
      <c r="BQ11" s="58">
        <f t="array" aca="1" ref="BQ11" ca="1">IF(A11="","",( IFERROR(J11*BO11/INDEX(er!D:D, MATCH(Q11,er!C:C,0),1),0)))</f>
        <v>63.629509949892629</v>
      </c>
      <c r="BR11" s="108">
        <f t="array" ref="BR11">IFERROR(INDEX('Com&amp;tax'!$F$2:$F$5, MATCH(1, ('Com&amp;tax'!$A$2:$A$5=B11)*('Com&amp;tax'!$D$2:$D$5=H11), 0)),0)</f>
        <v>4.9000000000000002E-2</v>
      </c>
      <c r="BS11" s="109">
        <f t="shared" si="5"/>
        <v>52889.803113000002</v>
      </c>
      <c r="BT11" s="109">
        <f t="array" aca="1" ref="BT11" ca="1">IF(A11="","",( IFERROR((J11*(1-BE11))*BR11/INDEX(er!D:D, MATCH(Q11,er!C:C,0),1),0)))</f>
        <v>37.859558420186112</v>
      </c>
      <c r="BU11" s="108">
        <f t="array" ref="BU11">IFERROR(INDEX('Com&amp;tax'!$G$2:$G$5, MATCH(1, ('Com&amp;tax'!$A$2:$A$5=B11)*('Com&amp;tax'!$D$2:$D$5=H11), 0)),0)</f>
        <v>0.1575</v>
      </c>
      <c r="BV11" s="109">
        <f t="shared" si="6"/>
        <v>170002.9385775</v>
      </c>
      <c r="BW11" s="109">
        <f t="array" aca="1" ref="BW11" ca="1">IF(A11="","",( IFERROR((J11*(1-BE11))*BU11/INDEX(er!D:D, MATCH(Q11,er!C:C,0),1),0)))</f>
        <v>121.69143777916965</v>
      </c>
      <c r="BX11" s="108">
        <f t="array" ref="BX11">IFERROR(INDEX('Com&amp;tax'!$H$2:$H$5, MATCH(1, ('Com&amp;tax'!$A$2:$A$5=B11)*('Com&amp;tax'!$D$2:$D$5=H11), 0)),0)</f>
        <v>7.0000000000000007E-2</v>
      </c>
      <c r="BY11" s="109">
        <f t="shared" si="7"/>
        <v>88890.425400000007</v>
      </c>
      <c r="BZ11" s="109">
        <f t="array" aca="1" ref="BZ11" ca="1">IF(A11="","",( IFERROR(J11*BX11/INDEX(er!D:D, MATCH(Q11,er!C:C,0),1),0)))</f>
        <v>63.629509949892629</v>
      </c>
      <c r="CA11" s="96">
        <f t="array" aca="1" ref="CA11" ca="1">IF(A11="","",( IFERROR(1-((P11/ INDEX(er!$D$3:$D$75,MATCH(1, (er!$A$3:$A$75=$BG$2)*(er!$C$3:$C$75=Q11), 0))   /  (J11/ INDEX(er!$D$3:$D$75,MATCH(1, (er!$A$3:$A$75=$BG$2)*(er!$C$3:$C$75=L11), 0))))),"")))</f>
        <v>0.39552496055441311</v>
      </c>
      <c r="CB11" s="96">
        <f t="shared" si="8"/>
        <v>0.39552499992873247</v>
      </c>
      <c r="CC11" s="111">
        <f t="shared" ca="1" si="9"/>
        <v>-3.9374319360518939E-8</v>
      </c>
      <c r="CD11" s="110">
        <f t="shared" ref="CD11:CE11" si="17">BJ11+BM11-BS11-BV11</f>
        <v>0</v>
      </c>
      <c r="CE11" s="110">
        <f t="shared" ca="1" si="17"/>
        <v>0</v>
      </c>
      <c r="CF11" s="110">
        <f t="shared" ca="1" si="11"/>
        <v>0</v>
      </c>
      <c r="CG11" s="8" t="str">
        <f t="shared" si="12"/>
        <v>OK</v>
      </c>
      <c r="CH11" s="8"/>
      <c r="CI11" t="s">
        <v>99</v>
      </c>
      <c r="CK11" s="240">
        <v>0</v>
      </c>
      <c r="CL11" s="239">
        <f ca="1">(AI11+CK11)/INDEX(er!D:D,MATCH(AC11,er!C:C,0),1)</f>
        <v>3.5790980672870439E-5</v>
      </c>
      <c r="CN11" s="239">
        <f ca="1">CK11/INDEX(er!D:D,MATCH(AC11,er!C:C,0),1)</f>
        <v>0</v>
      </c>
    </row>
    <row r="12" spans="1:92" ht="12.5" x14ac:dyDescent="0.25">
      <c r="A12" s="93" t="s">
        <v>133</v>
      </c>
      <c r="B12" s="93" t="s">
        <v>96</v>
      </c>
      <c r="C12" s="93" t="s">
        <v>103</v>
      </c>
      <c r="D12" s="93" t="s">
        <v>134</v>
      </c>
      <c r="E12" s="93"/>
      <c r="F12" s="93"/>
      <c r="G12" s="94" t="s">
        <v>107</v>
      </c>
      <c r="H12" s="93" t="s">
        <v>436</v>
      </c>
      <c r="I12" s="94" t="s">
        <v>107</v>
      </c>
      <c r="J12" s="94">
        <v>1900327.95</v>
      </c>
      <c r="K12" s="94">
        <v>1900327.95</v>
      </c>
      <c r="L12" s="94" t="s">
        <v>111</v>
      </c>
      <c r="M12" s="94">
        <v>1900327.95</v>
      </c>
      <c r="N12" s="94" t="s">
        <v>111</v>
      </c>
      <c r="O12" s="94">
        <v>1900327.95</v>
      </c>
      <c r="P12" s="94">
        <v>1148700.81</v>
      </c>
      <c r="Q12" s="93" t="s">
        <v>111</v>
      </c>
      <c r="R12" s="94" t="s">
        <v>105</v>
      </c>
      <c r="S12" s="94"/>
      <c r="T12" s="94"/>
      <c r="U12" s="94">
        <v>0</v>
      </c>
      <c r="V12" s="93" t="s">
        <v>94</v>
      </c>
      <c r="W12" s="8" t="s">
        <v>98</v>
      </c>
      <c r="X12" s="94" t="s">
        <v>103</v>
      </c>
      <c r="Y12" s="94" t="s">
        <v>107</v>
      </c>
      <c r="Z12" s="94" t="s">
        <v>105</v>
      </c>
      <c r="AA12" s="94" t="s">
        <v>111</v>
      </c>
      <c r="AB12" s="94">
        <v>1900327.95</v>
      </c>
      <c r="AC12" s="94" t="s">
        <v>111</v>
      </c>
      <c r="AD12" s="94">
        <v>1148700.74</v>
      </c>
      <c r="AE12" s="94">
        <v>39.549999999999997</v>
      </c>
      <c r="AF12" s="94" t="s">
        <v>99</v>
      </c>
      <c r="AG12" s="94">
        <v>0</v>
      </c>
      <c r="AH12" s="94">
        <v>0</v>
      </c>
      <c r="AI12" s="94">
        <v>7.0000000000000007E-2</v>
      </c>
      <c r="AJ12" s="94">
        <v>0</v>
      </c>
      <c r="AK12" s="94">
        <v>0.39552496188881503</v>
      </c>
      <c r="AL12" s="94" t="s">
        <v>99</v>
      </c>
      <c r="AM12" s="93" t="s">
        <v>474</v>
      </c>
      <c r="AN12" s="94"/>
      <c r="AO12" s="94" t="s">
        <v>16</v>
      </c>
      <c r="AP12" s="94" t="s">
        <v>16</v>
      </c>
      <c r="AQ12" s="94"/>
      <c r="AR12" s="94" t="s">
        <v>16</v>
      </c>
      <c r="AS12" s="94"/>
      <c r="AT12" s="94" t="s">
        <v>16</v>
      </c>
      <c r="AU12" s="94">
        <v>1900327.95</v>
      </c>
      <c r="AV12" s="94">
        <v>1358</v>
      </c>
      <c r="AW12" s="94" t="s">
        <v>16</v>
      </c>
      <c r="AX12" s="94">
        <v>1900327.95</v>
      </c>
      <c r="AY12" s="94">
        <v>1360.29</v>
      </c>
      <c r="AZ12" s="94" t="s">
        <v>111</v>
      </c>
      <c r="BA12" s="94">
        <v>1148700.73</v>
      </c>
      <c r="BB12" s="94" t="s">
        <v>99</v>
      </c>
      <c r="BC12" s="94">
        <v>0.08</v>
      </c>
      <c r="BD12" s="94">
        <v>0</v>
      </c>
      <c r="BE12" s="60">
        <f t="array" ref="BE12">IFERROR(INDEX('Com&amp;tax'!$E$2:$E$5, MATCH(1, ('Com&amp;tax'!$A$2:$A$5=B12)*('Com&amp;tax'!$B$2:$B$5=G12), 0)),"")</f>
        <v>0.15</v>
      </c>
      <c r="BF12" s="58">
        <f t="shared" ref="BF12:BF15" si="18">IF(A12="","",( IFERROR(O12*BE12,"")))</f>
        <v>285049.1925</v>
      </c>
      <c r="BG12" s="58">
        <f t="array" aca="1" ref="BG12" ca="1">IF(A12="","",( IFERROR((O12/ INDEX(er!$D$3:$D$75,MATCH(1, (er!$A$3:$A$75=$BG$2)*(er!$C$3:$C$75=Q12), 0)))*BE12,"")))</f>
        <v>204.04380279169649</v>
      </c>
      <c r="BH12" s="58">
        <f t="shared" ref="BH12:BH15" si="19">IF(A12="","",( IF(B12="Snapchat Rep", IF(A12="","",(P12-BF12)),-BF12)))</f>
        <v>-285049.1925</v>
      </c>
      <c r="BI12" s="59">
        <f t="array" ref="BI12">IFERROR(INDEX('Com&amp;tax'!$F$2:$F$5, MATCH(1, ('Com&amp;tax'!$A$2:$A$5=B12)*('Com&amp;tax'!$B$2:$B$5=Y12), 0)),0)</f>
        <v>4.9000000000000002E-2</v>
      </c>
      <c r="BJ12" s="58">
        <f t="shared" ref="BJ12:BJ15" si="20">IF(A12="","",( IFERROR((J12*(1-BE12))*BI12,0)))</f>
        <v>79148.659117499992</v>
      </c>
      <c r="BK12" s="58">
        <f t="array" aca="1" ref="BK12" ca="1">IF(A12="","",( IFERROR((J12*(1-BE12))*BI12/INDEX(er!D:D, MATCH(Q12,er!C:C,0),1),0)))</f>
        <v>56.656162575161055</v>
      </c>
      <c r="BL12" s="60">
        <f t="array" ref="BL12">IFERROR(INDEX('Com&amp;tax'!$G$2:$G$5, MATCH(1, ('Com&amp;tax'!$A$2:$A$5=B12)*('Com&amp;tax'!$B$2:$B$5=Y12), 0)),0)</f>
        <v>0.1575</v>
      </c>
      <c r="BM12" s="58">
        <f t="shared" ref="BM12:BM15" si="21">IF(A12="","",( IFERROR((J12*(1-BE12))*BL12,0)))</f>
        <v>254406.40430624998</v>
      </c>
      <c r="BN12" s="58">
        <f t="array" aca="1" ref="BN12" ca="1">IF(A12="","",( IFERROR((J12*(1-BE12))*BL12/INDEX(er!D:D, MATCH(Q12,er!C:C,0),1),0)))</f>
        <v>182.10909399158911</v>
      </c>
      <c r="BO12" s="60">
        <f t="array" ref="BO12">IFERROR(INDEX('Com&amp;tax'!$H$2:$H$5, MATCH(1, ('Com&amp;tax'!$A$2:$A$5=B12)*('Com&amp;tax'!$B$2:$B$5=Y12), 0)),0)</f>
        <v>7.0000000000000007E-2</v>
      </c>
      <c r="BP12" s="58">
        <f t="shared" ref="BP12:BP15" si="22">IF(A12="","",( IFERROR(J12*BO12,0)))</f>
        <v>133022.9565</v>
      </c>
      <c r="BQ12" s="58">
        <f t="array" aca="1" ref="BQ12" ca="1">IF(A12="","",( IFERROR(J12*BO12/INDEX(er!D:D, MATCH(Q12,er!C:C,0),1),0)))</f>
        <v>95.220441302791698</v>
      </c>
      <c r="BR12" s="108">
        <f t="array" ref="BR12">IFERROR(INDEX('Com&amp;tax'!$F$2:$F$5, MATCH(1, ('Com&amp;tax'!$A$2:$A$5=B12)*('Com&amp;tax'!$D$2:$D$5=H12), 0)),0)</f>
        <v>4.9000000000000002E-2</v>
      </c>
      <c r="BS12" s="109">
        <f t="shared" ref="BS12:BS15" si="23">IF(A12="","",( IFERROR((J12*(1-BE12))*BR12,0)))</f>
        <v>79148.659117499992</v>
      </c>
      <c r="BT12" s="109">
        <f t="array" aca="1" ref="BT12" ca="1">IF(A12="","",( IFERROR((J12*(1-BE12))*BR12/INDEX(er!D:D, MATCH(Q12,er!C:C,0),1),0)))</f>
        <v>56.656162575161055</v>
      </c>
      <c r="BU12" s="108">
        <f t="array" ref="BU12">IFERROR(INDEX('Com&amp;tax'!$G$2:$G$5, MATCH(1, ('Com&amp;tax'!$A$2:$A$5=B12)*('Com&amp;tax'!$D$2:$D$5=H12), 0)),0)</f>
        <v>0.1575</v>
      </c>
      <c r="BV12" s="109">
        <f t="shared" ref="BV12:BV15" si="24">IF(A12="","",( IFERROR((J12*(1-BE12))*BU12,0)))</f>
        <v>254406.40430624998</v>
      </c>
      <c r="BW12" s="109">
        <f t="array" aca="1" ref="BW12" ca="1">IF(A12="","",( IFERROR((J12*(1-BE12))*BU12/INDEX(er!D:D, MATCH(Q12,er!C:C,0),1),0)))</f>
        <v>182.10909399158911</v>
      </c>
      <c r="BX12" s="108">
        <f t="array" ref="BX12">IFERROR(INDEX('Com&amp;tax'!$H$2:$H$5, MATCH(1, ('Com&amp;tax'!$A$2:$A$5=B12)*('Com&amp;tax'!$D$2:$D$5=H12), 0)),0)</f>
        <v>7.0000000000000007E-2</v>
      </c>
      <c r="BY12" s="109">
        <f t="shared" ref="BY12:BY15" si="25">IF(A12="","",( IFERROR(J12*BX12,0)))</f>
        <v>133022.9565</v>
      </c>
      <c r="BZ12" s="109">
        <f t="array" aca="1" ref="BZ12" ca="1">IF(A12="","",( IFERROR(J12*BX12/INDEX(er!D:D, MATCH(Q12,er!C:C,0),1),0)))</f>
        <v>95.220441302791698</v>
      </c>
      <c r="CA12" s="96">
        <f t="array" aca="1" ref="CA12" ca="1">IF(A12="","",( IFERROR(1-((P12/ INDEX(er!$D$3:$D$75,MATCH(1, (er!$A$3:$A$75=$BG$2)*(er!$C$3:$C$75=Q12), 0))   /  (J12/ INDEX(er!$D$3:$D$75,MATCH(1, (er!$A$3:$A$75=$BG$2)*(er!$C$3:$C$75=L12), 0))))),"")))</f>
        <v>0.39552496188881503</v>
      </c>
      <c r="CB12" s="96">
        <f t="shared" ref="CB12:CB15" si="26">IF(AB12="","",1-AD12/AB12)</f>
        <v>0.39552499872456226</v>
      </c>
      <c r="CC12" s="111">
        <f t="shared" ref="CC12:CC15" ca="1" si="27">IF(AND(CA12="", CB12=""), "", CA12-CB12)</f>
        <v>-3.6835747230234972E-8</v>
      </c>
      <c r="CD12" s="110">
        <f t="shared" ref="CD12:CE12" si="28">BJ12+BM12-BS12-BV12</f>
        <v>0</v>
      </c>
      <c r="CE12" s="110">
        <f t="shared" ca="1" si="28"/>
        <v>0</v>
      </c>
      <c r="CF12" s="110">
        <f t="shared" ref="CF12:CF15" ca="1" si="29">AJ12-CE12</f>
        <v>0</v>
      </c>
      <c r="CG12" s="8" t="str">
        <f t="shared" ref="CG12:CG15" si="30">IF(OR(BE12="", AE12=""), "Miss", IF(ABS(AE12/100-AK12)&lt;0.005, "OK", "Incorrect"))</f>
        <v>OK</v>
      </c>
      <c r="CH12" s="8"/>
      <c r="CI12" t="s">
        <v>99</v>
      </c>
      <c r="CK12" s="240">
        <v>0</v>
      </c>
      <c r="CL12" s="239">
        <f ca="1">(AI12+CK12)/INDEX(er!D:D,MATCH(AC12,er!C:C,0),1)</f>
        <v>5.0107372942018616E-5</v>
      </c>
      <c r="CN12" s="239">
        <f ca="1">CK12/INDEX(er!D:D,MATCH(AC12,er!C:C,0),1)</f>
        <v>0</v>
      </c>
    </row>
    <row r="13" spans="1:92" ht="12.5" x14ac:dyDescent="0.25">
      <c r="A13" s="93" t="s">
        <v>137</v>
      </c>
      <c r="B13" s="93" t="s">
        <v>96</v>
      </c>
      <c r="C13" s="93" t="s">
        <v>103</v>
      </c>
      <c r="D13" s="93" t="s">
        <v>138</v>
      </c>
      <c r="E13" s="93"/>
      <c r="F13" s="93"/>
      <c r="G13" s="94" t="s">
        <v>107</v>
      </c>
      <c r="H13" s="93" t="s">
        <v>436</v>
      </c>
      <c r="I13" s="94" t="s">
        <v>107</v>
      </c>
      <c r="J13" s="94">
        <v>81926.990000000005</v>
      </c>
      <c r="K13" s="94">
        <v>81926.990000000005</v>
      </c>
      <c r="L13" s="94" t="s">
        <v>111</v>
      </c>
      <c r="M13" s="94">
        <v>81926.990000000005</v>
      </c>
      <c r="N13" s="94" t="s">
        <v>111</v>
      </c>
      <c r="O13" s="94">
        <v>81926.990000000005</v>
      </c>
      <c r="P13" s="94">
        <v>49522.82</v>
      </c>
      <c r="Q13" s="93" t="s">
        <v>111</v>
      </c>
      <c r="R13" s="94" t="s">
        <v>105</v>
      </c>
      <c r="S13" s="94"/>
      <c r="T13" s="94"/>
      <c r="U13" s="94">
        <v>0</v>
      </c>
      <c r="V13" s="93" t="s">
        <v>94</v>
      </c>
      <c r="W13" s="8" t="s">
        <v>98</v>
      </c>
      <c r="X13" s="94" t="s">
        <v>103</v>
      </c>
      <c r="Y13" s="94" t="s">
        <v>107</v>
      </c>
      <c r="Z13" s="94" t="s">
        <v>105</v>
      </c>
      <c r="AA13" s="94" t="s">
        <v>111</v>
      </c>
      <c r="AB13" s="94">
        <v>81926.990000000005</v>
      </c>
      <c r="AC13" s="94" t="s">
        <v>111</v>
      </c>
      <c r="AD13" s="94">
        <v>49522.81</v>
      </c>
      <c r="AE13" s="94">
        <v>39.549999999999997</v>
      </c>
      <c r="AF13" s="94" t="s">
        <v>99</v>
      </c>
      <c r="AG13" s="94">
        <v>0</v>
      </c>
      <c r="AH13" s="94">
        <v>0</v>
      </c>
      <c r="AI13" s="94">
        <v>0.01</v>
      </c>
      <c r="AJ13" s="94">
        <v>0</v>
      </c>
      <c r="AK13" s="94">
        <v>0.3955249668027595</v>
      </c>
      <c r="AL13" s="94" t="s">
        <v>99</v>
      </c>
      <c r="AM13" s="93" t="s">
        <v>475</v>
      </c>
      <c r="AN13" s="94"/>
      <c r="AO13" s="94" t="s">
        <v>16</v>
      </c>
      <c r="AP13" s="94" t="s">
        <v>16</v>
      </c>
      <c r="AQ13" s="94"/>
      <c r="AR13" s="94" t="s">
        <v>16</v>
      </c>
      <c r="AS13" s="94"/>
      <c r="AT13" s="94" t="s">
        <v>16</v>
      </c>
      <c r="AU13" s="94">
        <v>81926.990000000005</v>
      </c>
      <c r="AV13" s="94">
        <v>57</v>
      </c>
      <c r="AW13" s="94" t="s">
        <v>16</v>
      </c>
      <c r="AX13" s="94">
        <v>81926.990000000005</v>
      </c>
      <c r="AY13" s="94">
        <v>58.64</v>
      </c>
      <c r="AZ13" s="94" t="s">
        <v>111</v>
      </c>
      <c r="BA13" s="94">
        <v>49522.81</v>
      </c>
      <c r="BB13" s="94" t="s">
        <v>99</v>
      </c>
      <c r="BC13" s="94">
        <v>0.01</v>
      </c>
      <c r="BD13" s="94">
        <v>0</v>
      </c>
      <c r="BE13" s="60">
        <f t="array" ref="BE13">IFERROR(INDEX('Com&amp;tax'!$E$2:$E$5, MATCH(1, ('Com&amp;tax'!$A$2:$A$5=B13)*('Com&amp;tax'!$B$2:$B$5=G13), 0)),"")</f>
        <v>0.15</v>
      </c>
      <c r="BF13" s="58">
        <f t="shared" si="18"/>
        <v>12289.048500000001</v>
      </c>
      <c r="BG13" s="58">
        <f t="array" aca="1" ref="BG13" ca="1">IF(A13="","",( IFERROR((O13/ INDEX(er!$D$3:$D$75,MATCH(1, (er!$A$3:$A$75=$BG$2)*(er!$C$3:$C$75=Q13), 0)))*BE13,"")))</f>
        <v>8.79674194702935</v>
      </c>
      <c r="BH13" s="58">
        <f t="shared" si="19"/>
        <v>-12289.048500000001</v>
      </c>
      <c r="BI13" s="59">
        <f t="array" ref="BI13">IFERROR(INDEX('Com&amp;tax'!$F$2:$F$5, MATCH(1, ('Com&amp;tax'!$A$2:$A$5=B13)*('Com&amp;tax'!$B$2:$B$5=Y13), 0)),0)</f>
        <v>4.9000000000000002E-2</v>
      </c>
      <c r="BJ13" s="58">
        <f t="shared" si="20"/>
        <v>3412.2591335000002</v>
      </c>
      <c r="BK13" s="58">
        <f t="array" aca="1" ref="BK13" ca="1">IF(A13="","",( IFERROR((J13*(1-BE13))*BI13/INDEX(er!D:D, MATCH(Q13,er!C:C,0),1),0)))</f>
        <v>2.4425620139584825</v>
      </c>
      <c r="BL13" s="60">
        <f t="array" ref="BL13">IFERROR(INDEX('Com&amp;tax'!$G$2:$G$5, MATCH(1, ('Com&amp;tax'!$A$2:$A$5=B13)*('Com&amp;tax'!$B$2:$B$5=Y13), 0)),0)</f>
        <v>0.1575</v>
      </c>
      <c r="BM13" s="58">
        <f t="shared" si="21"/>
        <v>10967.975786250001</v>
      </c>
      <c r="BN13" s="58">
        <f t="array" aca="1" ref="BN13" ca="1">IF(A13="","",( IFERROR((J13*(1-BE13))*BL13/INDEX(er!D:D, MATCH(Q13,er!C:C,0),1),0)))</f>
        <v>7.8510921877236939</v>
      </c>
      <c r="BO13" s="60">
        <f t="array" ref="BO13">IFERROR(INDEX('Com&amp;tax'!$H$2:$H$5, MATCH(1, ('Com&amp;tax'!$A$2:$A$5=B13)*('Com&amp;tax'!$B$2:$B$5=Y13), 0)),0)</f>
        <v>7.0000000000000007E-2</v>
      </c>
      <c r="BP13" s="58">
        <f t="shared" si="22"/>
        <v>5734.8893000000007</v>
      </c>
      <c r="BQ13" s="58">
        <f t="array" aca="1" ref="BQ13" ca="1">IF(A13="","",( IFERROR(J13*BO13/INDEX(er!D:D, MATCH(Q13,er!C:C,0),1),0)))</f>
        <v>4.1051462419470299</v>
      </c>
      <c r="BR13" s="108">
        <f t="array" ref="BR13">IFERROR(INDEX('Com&amp;tax'!$F$2:$F$5, MATCH(1, ('Com&amp;tax'!$A$2:$A$5=B13)*('Com&amp;tax'!$D$2:$D$5=H13), 0)),0)</f>
        <v>4.9000000000000002E-2</v>
      </c>
      <c r="BS13" s="109">
        <f t="shared" si="23"/>
        <v>3412.2591335000002</v>
      </c>
      <c r="BT13" s="109">
        <f t="array" aca="1" ref="BT13" ca="1">IF(A13="","",( IFERROR((J13*(1-BE13))*BR13/INDEX(er!D:D, MATCH(Q13,er!C:C,0),1),0)))</f>
        <v>2.4425620139584825</v>
      </c>
      <c r="BU13" s="108">
        <f t="array" ref="BU13">IFERROR(INDEX('Com&amp;tax'!$G$2:$G$5, MATCH(1, ('Com&amp;tax'!$A$2:$A$5=B13)*('Com&amp;tax'!$D$2:$D$5=H13), 0)),0)</f>
        <v>0.1575</v>
      </c>
      <c r="BV13" s="109">
        <f t="shared" si="24"/>
        <v>10967.975786250001</v>
      </c>
      <c r="BW13" s="109">
        <f t="array" aca="1" ref="BW13" ca="1">IF(A13="","",( IFERROR((J13*(1-BE13))*BU13/INDEX(er!D:D, MATCH(Q13,er!C:C,0),1),0)))</f>
        <v>7.8510921877236939</v>
      </c>
      <c r="BX13" s="108">
        <f t="array" ref="BX13">IFERROR(INDEX('Com&amp;tax'!$H$2:$H$5, MATCH(1, ('Com&amp;tax'!$A$2:$A$5=B13)*('Com&amp;tax'!$D$2:$D$5=H13), 0)),0)</f>
        <v>7.0000000000000007E-2</v>
      </c>
      <c r="BY13" s="109">
        <f t="shared" si="25"/>
        <v>5734.8893000000007</v>
      </c>
      <c r="BZ13" s="109">
        <f t="array" aca="1" ref="BZ13" ca="1">IF(A13="","",( IFERROR(J13*BX13/INDEX(er!D:D, MATCH(Q13,er!C:C,0),1),0)))</f>
        <v>4.1051462419470299</v>
      </c>
      <c r="CA13" s="96">
        <f t="array" aca="1" ref="CA13" ca="1">IF(A13="","",( IFERROR(1-((P13/ INDEX(er!$D$3:$D$75,MATCH(1, (er!$A$3:$A$75=$BG$2)*(er!$C$3:$C$75=Q13), 0))   /  (J13/ INDEX(er!$D$3:$D$75,MATCH(1, (er!$A$3:$A$75=$BG$2)*(er!$C$3:$C$75=L13), 0))))),"")))</f>
        <v>0.3955249668027595</v>
      </c>
      <c r="CB13" s="96">
        <f t="shared" si="26"/>
        <v>0.39552508886265692</v>
      </c>
      <c r="CC13" s="111">
        <f t="shared" ca="1" si="27"/>
        <v>-1.2205989741165268E-7</v>
      </c>
      <c r="CD13" s="110">
        <f t="shared" ref="CD13:CE13" si="31">BJ13+BM13-BS13-BV13</f>
        <v>0</v>
      </c>
      <c r="CE13" s="110">
        <f t="shared" ca="1" si="31"/>
        <v>0</v>
      </c>
      <c r="CF13" s="110">
        <f t="shared" ca="1" si="29"/>
        <v>0</v>
      </c>
      <c r="CG13" s="8" t="str">
        <f t="shared" si="30"/>
        <v>OK</v>
      </c>
      <c r="CH13" s="8"/>
      <c r="CI13" t="s">
        <v>99</v>
      </c>
      <c r="CK13" s="240">
        <v>0</v>
      </c>
      <c r="CL13" s="239">
        <f ca="1">(AI13+CK13)/INDEX(er!D:D,MATCH(AC13,er!C:C,0),1)</f>
        <v>7.1581961345740877E-6</v>
      </c>
      <c r="CN13" s="239">
        <f ca="1">CK13/INDEX(er!D:D,MATCH(AC13,er!C:C,0),1)</f>
        <v>0</v>
      </c>
    </row>
    <row r="14" spans="1:92" ht="12.5" x14ac:dyDescent="0.25">
      <c r="A14" s="93" t="s">
        <v>141</v>
      </c>
      <c r="B14" s="93" t="s">
        <v>100</v>
      </c>
      <c r="C14" s="93" t="s">
        <v>103</v>
      </c>
      <c r="D14" s="93" t="s">
        <v>142</v>
      </c>
      <c r="E14" s="93"/>
      <c r="F14" s="93"/>
      <c r="G14" s="94" t="s">
        <v>107</v>
      </c>
      <c r="H14" s="93" t="s">
        <v>436</v>
      </c>
      <c r="I14" s="94" t="s">
        <v>107</v>
      </c>
      <c r="J14" s="94">
        <v>16336337.960000001</v>
      </c>
      <c r="K14" s="94">
        <v>16336337.960000001</v>
      </c>
      <c r="L14" s="94" t="s">
        <v>111</v>
      </c>
      <c r="M14" s="94">
        <v>16336337.960000001</v>
      </c>
      <c r="N14" s="94" t="s">
        <v>111</v>
      </c>
      <c r="O14" s="94">
        <v>16336337.960000001</v>
      </c>
      <c r="P14" s="94">
        <v>10781901.369999999</v>
      </c>
      <c r="Q14" s="93" t="s">
        <v>111</v>
      </c>
      <c r="R14" s="94" t="s">
        <v>105</v>
      </c>
      <c r="S14" s="94"/>
      <c r="T14" s="94"/>
      <c r="U14" s="94">
        <v>0</v>
      </c>
      <c r="V14" s="93" t="s">
        <v>94</v>
      </c>
      <c r="W14" s="8" t="s">
        <v>98</v>
      </c>
      <c r="X14" s="94" t="s">
        <v>103</v>
      </c>
      <c r="Y14" s="94" t="s">
        <v>107</v>
      </c>
      <c r="Z14" s="94" t="s">
        <v>105</v>
      </c>
      <c r="AA14" s="94" t="s">
        <v>111</v>
      </c>
      <c r="AB14" s="94">
        <v>16336337.960000001</v>
      </c>
      <c r="AC14" s="94" t="s">
        <v>111</v>
      </c>
      <c r="AD14" s="94">
        <v>10782309.779999999</v>
      </c>
      <c r="AE14" s="94">
        <v>34</v>
      </c>
      <c r="AF14" s="94" t="s">
        <v>99</v>
      </c>
      <c r="AG14" s="94">
        <v>0</v>
      </c>
      <c r="AH14" s="94">
        <v>0</v>
      </c>
      <c r="AI14" s="94">
        <v>-408.41</v>
      </c>
      <c r="AJ14" s="94">
        <v>-0.28999999999999998</v>
      </c>
      <c r="AK14" s="94">
        <v>0.34000500011692958</v>
      </c>
      <c r="AL14" s="94" t="s">
        <v>99</v>
      </c>
      <c r="AM14" s="93" t="s">
        <v>476</v>
      </c>
      <c r="AN14" s="94"/>
      <c r="AO14" s="94" t="s">
        <v>16</v>
      </c>
      <c r="AP14" s="94" t="s">
        <v>16</v>
      </c>
      <c r="AQ14" s="94"/>
      <c r="AR14" s="94" t="s">
        <v>16</v>
      </c>
      <c r="AS14" s="94"/>
      <c r="AT14" s="94" t="s">
        <v>16</v>
      </c>
      <c r="AU14" s="94">
        <v>16336337.960000001</v>
      </c>
      <c r="AV14" s="94">
        <v>11692</v>
      </c>
      <c r="AW14" s="94" t="s">
        <v>16</v>
      </c>
      <c r="AX14" s="94">
        <v>16336337.960000001</v>
      </c>
      <c r="AY14" s="94">
        <v>11693.87</v>
      </c>
      <c r="AZ14" s="94" t="s">
        <v>111</v>
      </c>
      <c r="BA14" s="94">
        <v>10782309.779999999</v>
      </c>
      <c r="BB14" s="94" t="s">
        <v>99</v>
      </c>
      <c r="BC14" s="94">
        <v>-408.41</v>
      </c>
      <c r="BD14" s="94">
        <v>-0.28999999999999998</v>
      </c>
      <c r="BE14" s="60">
        <f t="array" ref="BE14">IFERROR(INDEX('Com&amp;tax'!$E$2:$E$5, MATCH(1, ('Com&amp;tax'!$A$2:$A$5=B14)*('Com&amp;tax'!$B$2:$B$5=G14), 0)),"")</f>
        <v>0.15</v>
      </c>
      <c r="BF14" s="58">
        <f t="shared" si="18"/>
        <v>2450450.6940000001</v>
      </c>
      <c r="BG14" s="58">
        <f t="array" aca="1" ref="BG14" ca="1">IF(A14="","",( IFERROR((O14/ INDEX(er!$D$3:$D$75,MATCH(1, (er!$A$3:$A$75=$BG$2)*(er!$C$3:$C$75=Q14), 0)))*BE14,"")))</f>
        <v>1754.080668575519</v>
      </c>
      <c r="BH14" s="58">
        <f t="shared" si="19"/>
        <v>-2450450.6940000001</v>
      </c>
      <c r="BI14" s="59">
        <f t="array" ref="BI14">IFERROR(INDEX('Com&amp;tax'!$F$2:$F$5, MATCH(1, ('Com&amp;tax'!$A$2:$A$5=B14)*('Com&amp;tax'!$B$2:$B$5=Y14), 0)),0)</f>
        <v>4.9000000000000002E-2</v>
      </c>
      <c r="BJ14" s="58">
        <f t="shared" si="20"/>
        <v>680408.47603400005</v>
      </c>
      <c r="BK14" s="58">
        <f t="array" aca="1" ref="BK14" ca="1">IF(A14="","",( IFERROR((J14*(1-BE14))*BI14/INDEX(er!D:D, MATCH(Q14,er!C:C,0),1),0)))</f>
        <v>487.04973230780246</v>
      </c>
      <c r="BL14" s="60">
        <f t="array" ref="BL14">IFERROR(INDEX('Com&amp;tax'!$G$2:$G$5, MATCH(1, ('Com&amp;tax'!$A$2:$A$5=B14)*('Com&amp;tax'!$B$2:$B$5=Y14), 0)),0)</f>
        <v>0.1575</v>
      </c>
      <c r="BM14" s="58">
        <f t="shared" si="21"/>
        <v>2187027.2443949999</v>
      </c>
      <c r="BN14" s="58">
        <f t="array" aca="1" ref="BN14" ca="1">IF(A14="","",( IFERROR((J14*(1-BE14))*BL14/INDEX(er!D:D, MATCH(Q14,er!C:C,0),1),0)))</f>
        <v>1565.5169967036506</v>
      </c>
      <c r="BO14" s="60">
        <f t="array" ref="BO14">IFERROR(INDEX('Com&amp;tax'!$H$2:$H$5, MATCH(1, ('Com&amp;tax'!$A$2:$A$5=B14)*('Com&amp;tax'!$B$2:$B$5=Y14), 0)),0)</f>
        <v>0</v>
      </c>
      <c r="BP14" s="58">
        <f t="shared" si="22"/>
        <v>0</v>
      </c>
      <c r="BQ14" s="58">
        <f t="array" aca="1" ref="BQ14" ca="1">IF(A14="","",( IFERROR(J14*BO14/INDEX(er!D:D, MATCH(Q14,er!C:C,0),1),0)))</f>
        <v>0</v>
      </c>
      <c r="BR14" s="108">
        <f t="array" ref="BR14">IFERROR(INDEX('Com&amp;tax'!$F$2:$F$5, MATCH(1, ('Com&amp;tax'!$A$2:$A$5=B14)*('Com&amp;tax'!$D$2:$D$5=H14), 0)),0)</f>
        <v>4.9000000000000002E-2</v>
      </c>
      <c r="BS14" s="109">
        <f t="shared" si="23"/>
        <v>680408.47603400005</v>
      </c>
      <c r="BT14" s="109">
        <f t="array" aca="1" ref="BT14" ca="1">IF(A14="","",( IFERROR((J14*(1-BE14))*BR14/INDEX(er!D:D, MATCH(Q14,er!C:C,0),1),0)))</f>
        <v>487.04973230780246</v>
      </c>
      <c r="BU14" s="108">
        <f t="array" ref="BU14">IFERROR(INDEX('Com&amp;tax'!$G$2:$G$5, MATCH(1, ('Com&amp;tax'!$A$2:$A$5=B14)*('Com&amp;tax'!$D$2:$D$5=H14), 0)),0)</f>
        <v>0.1575</v>
      </c>
      <c r="BV14" s="109">
        <f t="shared" si="24"/>
        <v>2187027.2443949999</v>
      </c>
      <c r="BW14" s="109">
        <f t="array" aca="1" ref="BW14" ca="1">IF(A14="","",( IFERROR((J14*(1-BE14))*BU14/INDEX(er!D:D, MATCH(Q14,er!C:C,0),1),0)))</f>
        <v>1565.5169967036506</v>
      </c>
      <c r="BX14" s="108">
        <f t="array" ref="BX14">IFERROR(INDEX('Com&amp;tax'!$H$2:$H$5, MATCH(1, ('Com&amp;tax'!$A$2:$A$5=B14)*('Com&amp;tax'!$D$2:$D$5=H14), 0)),0)</f>
        <v>0</v>
      </c>
      <c r="BY14" s="109">
        <f t="shared" si="25"/>
        <v>0</v>
      </c>
      <c r="BZ14" s="109">
        <f t="array" aca="1" ref="BZ14" ca="1">IF(A14="","",( IFERROR(J14*BX14/INDEX(er!D:D, MATCH(Q14,er!C:C,0),1),0)))</f>
        <v>0</v>
      </c>
      <c r="CA14" s="96">
        <f t="array" aca="1" ref="CA14" ca="1">IF(A14="","",( IFERROR(1-((P14/ INDEX(er!$D$3:$D$75,MATCH(1, (er!$A$3:$A$75=$BG$2)*(er!$C$3:$C$75=Q14), 0))   /  (J14/ INDEX(er!$D$3:$D$75,MATCH(1, (er!$A$3:$A$75=$BG$2)*(er!$C$3:$C$75=L14), 0))))),"")))</f>
        <v>0.34000500011692958</v>
      </c>
      <c r="CB14" s="96">
        <f t="shared" si="26"/>
        <v>0.33998000002198792</v>
      </c>
      <c r="CC14" s="111">
        <f t="shared" ca="1" si="27"/>
        <v>2.5000094941662887E-5</v>
      </c>
      <c r="CD14" s="110">
        <f t="shared" ref="CD14:CE14" si="32">BJ14+BM14-BS14-BV14</f>
        <v>0</v>
      </c>
      <c r="CE14" s="110">
        <f t="shared" ca="1" si="32"/>
        <v>0</v>
      </c>
      <c r="CF14" s="110">
        <f t="shared" ca="1" si="29"/>
        <v>-0.28999999999999998</v>
      </c>
      <c r="CG14" s="8" t="str">
        <f t="shared" si="30"/>
        <v>OK</v>
      </c>
      <c r="CH14" s="8"/>
      <c r="CI14" t="s">
        <v>99</v>
      </c>
      <c r="CK14" s="240">
        <v>0</v>
      </c>
      <c r="CL14" s="239">
        <f ca="1">(AI14+CK14)/INDEX(er!D:D,MATCH(AC14,er!C:C,0),1)</f>
        <v>-0.29234788833214032</v>
      </c>
      <c r="CN14" s="239">
        <f ca="1">CK14/INDEX(er!D:D,MATCH(AC14,er!C:C,0),1)</f>
        <v>0</v>
      </c>
    </row>
    <row r="15" spans="1:92" ht="12.5" x14ac:dyDescent="0.25">
      <c r="A15" s="93" t="s">
        <v>147</v>
      </c>
      <c r="B15" s="93" t="s">
        <v>96</v>
      </c>
      <c r="C15" s="93" t="s">
        <v>103</v>
      </c>
      <c r="D15" s="93" t="s">
        <v>148</v>
      </c>
      <c r="E15" s="93"/>
      <c r="F15" s="93"/>
      <c r="G15" s="94" t="s">
        <v>107</v>
      </c>
      <c r="H15" s="93" t="s">
        <v>436</v>
      </c>
      <c r="I15" s="94" t="s">
        <v>107</v>
      </c>
      <c r="J15" s="94">
        <v>610190.21</v>
      </c>
      <c r="K15" s="94">
        <v>610190.21</v>
      </c>
      <c r="L15" s="94" t="s">
        <v>111</v>
      </c>
      <c r="M15" s="94">
        <v>610190.21</v>
      </c>
      <c r="N15" s="94" t="s">
        <v>111</v>
      </c>
      <c r="O15" s="94">
        <v>610190.21</v>
      </c>
      <c r="P15" s="94">
        <v>368844.75</v>
      </c>
      <c r="Q15" s="93" t="s">
        <v>111</v>
      </c>
      <c r="R15" s="94" t="s">
        <v>105</v>
      </c>
      <c r="S15" s="94"/>
      <c r="T15" s="94"/>
      <c r="U15" s="94">
        <v>0</v>
      </c>
      <c r="V15" s="93" t="s">
        <v>94</v>
      </c>
      <c r="W15" s="8" t="s">
        <v>98</v>
      </c>
      <c r="X15" s="94" t="s">
        <v>103</v>
      </c>
      <c r="Y15" s="94" t="s">
        <v>107</v>
      </c>
      <c r="Z15" s="94" t="s">
        <v>105</v>
      </c>
      <c r="AA15" s="94" t="s">
        <v>111</v>
      </c>
      <c r="AB15" s="94">
        <v>610190.21</v>
      </c>
      <c r="AC15" s="94" t="s">
        <v>111</v>
      </c>
      <c r="AD15" s="94">
        <v>368844.72</v>
      </c>
      <c r="AE15" s="94">
        <v>39.549999999999997</v>
      </c>
      <c r="AF15" s="94" t="s">
        <v>99</v>
      </c>
      <c r="AG15" s="94">
        <v>0</v>
      </c>
      <c r="AH15" s="94">
        <v>0</v>
      </c>
      <c r="AI15" s="94">
        <v>0.03</v>
      </c>
      <c r="AJ15" s="94">
        <v>0</v>
      </c>
      <c r="AK15" s="94">
        <v>0.39552496261780401</v>
      </c>
      <c r="AL15" s="94" t="s">
        <v>99</v>
      </c>
      <c r="AM15" s="93" t="s">
        <v>477</v>
      </c>
      <c r="AN15" s="94" t="s">
        <v>144</v>
      </c>
      <c r="AO15" s="94" t="s">
        <v>16</v>
      </c>
      <c r="AP15" s="94" t="s">
        <v>16</v>
      </c>
      <c r="AQ15" s="94"/>
      <c r="AR15" s="94" t="s">
        <v>16</v>
      </c>
      <c r="AS15" s="94"/>
      <c r="AT15" s="94" t="s">
        <v>16</v>
      </c>
      <c r="AU15" s="94">
        <v>610190.21</v>
      </c>
      <c r="AV15" s="94">
        <v>435</v>
      </c>
      <c r="AW15" s="94" t="s">
        <v>16</v>
      </c>
      <c r="AX15" s="94">
        <v>610190.21</v>
      </c>
      <c r="AY15" s="94">
        <v>436.79</v>
      </c>
      <c r="AZ15" s="94" t="s">
        <v>111</v>
      </c>
      <c r="BA15" s="94">
        <v>368844.73</v>
      </c>
      <c r="BB15" s="94" t="s">
        <v>99</v>
      </c>
      <c r="BC15" s="94">
        <v>0.02</v>
      </c>
      <c r="BD15" s="94">
        <v>0</v>
      </c>
      <c r="BE15" s="60">
        <f t="array" ref="BE15">IFERROR(INDEX('Com&amp;tax'!$E$2:$E$5, MATCH(1, ('Com&amp;tax'!$A$2:$A$5=B15)*('Com&amp;tax'!$B$2:$B$5=G15), 0)),"")</f>
        <v>0.15</v>
      </c>
      <c r="BF15" s="58">
        <f t="shared" si="18"/>
        <v>91528.531499999997</v>
      </c>
      <c r="BG15" s="58">
        <f t="array" aca="1" ref="BG15" ca="1">IF(A15="","",( IFERROR((O15/ INDEX(er!$D$3:$D$75,MATCH(1, (er!$A$3:$A$75=$BG$2)*(er!$C$3:$C$75=Q15), 0)))*BE15,"")))</f>
        <v>65.517918038654244</v>
      </c>
      <c r="BH15" s="58">
        <f t="shared" si="19"/>
        <v>-91528.531499999997</v>
      </c>
      <c r="BI15" s="59">
        <f t="array" ref="BI15">IFERROR(INDEX('Com&amp;tax'!$F$2:$F$5, MATCH(1, ('Com&amp;tax'!$A$2:$A$5=B15)*('Com&amp;tax'!$B$2:$B$5=Y15), 0)),0)</f>
        <v>4.9000000000000002E-2</v>
      </c>
      <c r="BJ15" s="58">
        <f t="shared" si="20"/>
        <v>25414.422246499998</v>
      </c>
      <c r="BK15" s="58">
        <f t="array" aca="1" ref="BK15" ca="1">IF(A15="","",( IFERROR((J15*(1-BE15))*BI15/INDEX(er!D:D, MATCH(Q15,er!C:C,0),1),0)))</f>
        <v>18.192141908732999</v>
      </c>
      <c r="BL15" s="60">
        <f t="array" ref="BL15">IFERROR(INDEX('Com&amp;tax'!$G$2:$G$5, MATCH(1, ('Com&amp;tax'!$A$2:$A$5=B15)*('Com&amp;tax'!$B$2:$B$5=Y15), 0)),0)</f>
        <v>0.1575</v>
      </c>
      <c r="BM15" s="58">
        <f t="shared" si="21"/>
        <v>81689.214363749998</v>
      </c>
      <c r="BN15" s="58">
        <f t="array" aca="1" ref="BN15" ca="1">IF(A15="","",( IFERROR((J15*(1-BE15))*BL15/INDEX(er!D:D, MATCH(Q15,er!C:C,0),1),0)))</f>
        <v>58.474741849498926</v>
      </c>
      <c r="BO15" s="60">
        <f t="array" ref="BO15">IFERROR(INDEX('Com&amp;tax'!$H$2:$H$5, MATCH(1, ('Com&amp;tax'!$A$2:$A$5=B15)*('Com&amp;tax'!$B$2:$B$5=Y15), 0)),0)</f>
        <v>7.0000000000000007E-2</v>
      </c>
      <c r="BP15" s="58">
        <f t="shared" si="22"/>
        <v>42713.314700000003</v>
      </c>
      <c r="BQ15" s="58">
        <f t="array" aca="1" ref="BQ15" ca="1">IF(A15="","",( IFERROR(J15*BO15/INDEX(er!D:D, MATCH(Q15,er!C:C,0),1),0)))</f>
        <v>30.575028418038656</v>
      </c>
      <c r="BR15" s="108">
        <f t="array" ref="BR15">IFERROR(INDEX('Com&amp;tax'!$F$2:$F$5, MATCH(1, ('Com&amp;tax'!$A$2:$A$5=B15)*('Com&amp;tax'!$D$2:$D$5=H15), 0)),0)</f>
        <v>4.9000000000000002E-2</v>
      </c>
      <c r="BS15" s="109">
        <f t="shared" si="23"/>
        <v>25414.422246499998</v>
      </c>
      <c r="BT15" s="109">
        <f t="array" aca="1" ref="BT15" ca="1">IF(A15="","",( IFERROR((J15*(1-BE15))*BR15/INDEX(er!D:D, MATCH(Q15,er!C:C,0),1),0)))</f>
        <v>18.192141908732999</v>
      </c>
      <c r="BU15" s="108">
        <f t="array" ref="BU15">IFERROR(INDEX('Com&amp;tax'!$G$2:$G$5, MATCH(1, ('Com&amp;tax'!$A$2:$A$5=B15)*('Com&amp;tax'!$D$2:$D$5=H15), 0)),0)</f>
        <v>0.1575</v>
      </c>
      <c r="BV15" s="109">
        <f t="shared" si="24"/>
        <v>81689.214363749998</v>
      </c>
      <c r="BW15" s="109">
        <f t="array" aca="1" ref="BW15" ca="1">IF(A15="","",( IFERROR((J15*(1-BE15))*BU15/INDEX(er!D:D, MATCH(Q15,er!C:C,0),1),0)))</f>
        <v>58.474741849498926</v>
      </c>
      <c r="BX15" s="108">
        <f t="array" ref="BX15">IFERROR(INDEX('Com&amp;tax'!$H$2:$H$5, MATCH(1, ('Com&amp;tax'!$A$2:$A$5=B15)*('Com&amp;tax'!$D$2:$D$5=H15), 0)),0)</f>
        <v>7.0000000000000007E-2</v>
      </c>
      <c r="BY15" s="109">
        <f t="shared" si="25"/>
        <v>42713.314700000003</v>
      </c>
      <c r="BZ15" s="109">
        <f t="array" aca="1" ref="BZ15" ca="1">IF(A15="","",( IFERROR(J15*BX15/INDEX(er!D:D, MATCH(Q15,er!C:C,0),1),0)))</f>
        <v>30.575028418038656</v>
      </c>
      <c r="CA15" s="96">
        <f t="array" aca="1" ref="CA15" ca="1">IF(A15="","",( IFERROR(1-((P15/ INDEX(er!$D$3:$D$75,MATCH(1, (er!$A$3:$A$75=$BG$2)*(er!$C$3:$C$75=Q15), 0))   /  (J15/ INDEX(er!$D$3:$D$75,MATCH(1, (er!$A$3:$A$75=$BG$2)*(er!$C$3:$C$75=L15), 0))))),"")))</f>
        <v>0.39552496261780401</v>
      </c>
      <c r="CB15" s="96">
        <f t="shared" si="26"/>
        <v>0.39552501178280131</v>
      </c>
      <c r="CC15" s="111">
        <f t="shared" ca="1" si="27"/>
        <v>-4.916499729556989E-8</v>
      </c>
      <c r="CD15" s="110">
        <f t="shared" ref="CD15:CE15" si="33">BJ15+BM15-BS15-BV15</f>
        <v>0</v>
      </c>
      <c r="CE15" s="110">
        <f t="shared" ca="1" si="33"/>
        <v>0</v>
      </c>
      <c r="CF15" s="110">
        <f t="shared" ca="1" si="29"/>
        <v>0</v>
      </c>
      <c r="CG15" s="8" t="str">
        <f t="shared" si="30"/>
        <v>OK</v>
      </c>
      <c r="CH15" s="8"/>
      <c r="CI15" t="s">
        <v>99</v>
      </c>
      <c r="CK15" s="240">
        <v>0</v>
      </c>
      <c r="CL15" s="239">
        <f ca="1">(AI15+CK15)/INDEX(er!D:D,MATCH(AC15,er!C:C,0),1)</f>
        <v>2.1474588403722262E-5</v>
      </c>
      <c r="CN15" s="239">
        <f ca="1">CK15/INDEX(er!D:D,MATCH(AC15,er!C:C,0),1)</f>
        <v>0</v>
      </c>
    </row>
    <row r="16" spans="1:92" ht="12.5" x14ac:dyDescent="0.25">
      <c r="A16" s="93" t="s">
        <v>151</v>
      </c>
      <c r="B16" s="93" t="s">
        <v>96</v>
      </c>
      <c r="C16" s="93" t="s">
        <v>103</v>
      </c>
      <c r="D16" s="93" t="s">
        <v>152</v>
      </c>
      <c r="E16" s="93"/>
      <c r="F16" s="93"/>
      <c r="G16" s="94" t="s">
        <v>107</v>
      </c>
      <c r="H16" s="93" t="s">
        <v>436</v>
      </c>
      <c r="I16" s="94" t="s">
        <v>107</v>
      </c>
      <c r="J16" s="94">
        <v>2007664.48</v>
      </c>
      <c r="K16" s="94">
        <v>2007664.48</v>
      </c>
      <c r="L16" s="94" t="s">
        <v>111</v>
      </c>
      <c r="M16" s="94">
        <v>2007664.48</v>
      </c>
      <c r="N16" s="94" t="s">
        <v>111</v>
      </c>
      <c r="O16" s="94">
        <v>2007664.48</v>
      </c>
      <c r="P16" s="94">
        <v>1213583.07</v>
      </c>
      <c r="Q16" s="93" t="s">
        <v>111</v>
      </c>
      <c r="R16" s="94" t="s">
        <v>105</v>
      </c>
      <c r="S16" s="94"/>
      <c r="T16" s="94"/>
      <c r="U16" s="94">
        <v>0</v>
      </c>
      <c r="V16" s="93" t="s">
        <v>94</v>
      </c>
      <c r="W16" s="8" t="s">
        <v>98</v>
      </c>
      <c r="X16" s="94" t="s">
        <v>103</v>
      </c>
      <c r="Y16" s="94" t="s">
        <v>107</v>
      </c>
      <c r="Z16" s="94" t="s">
        <v>105</v>
      </c>
      <c r="AA16" s="94" t="s">
        <v>111</v>
      </c>
      <c r="AB16" s="94">
        <v>2007664.48</v>
      </c>
      <c r="AC16" s="94" t="s">
        <v>111</v>
      </c>
      <c r="AD16" s="94">
        <v>1213582.99</v>
      </c>
      <c r="AE16" s="94">
        <v>39.549999999999997</v>
      </c>
      <c r="AF16" s="94" t="s">
        <v>99</v>
      </c>
      <c r="AG16" s="94">
        <v>0</v>
      </c>
      <c r="AH16" s="94">
        <v>0</v>
      </c>
      <c r="AI16" s="94">
        <v>0.08</v>
      </c>
      <c r="AJ16" s="94">
        <v>0</v>
      </c>
      <c r="AK16" s="94">
        <v>0.39552495843329349</v>
      </c>
      <c r="AL16" s="94" t="s">
        <v>99</v>
      </c>
      <c r="AM16" s="93" t="s">
        <v>478</v>
      </c>
      <c r="AN16" s="94"/>
      <c r="AO16" s="94" t="s">
        <v>16</v>
      </c>
      <c r="AP16" s="94" t="s">
        <v>16</v>
      </c>
      <c r="AQ16" s="94"/>
      <c r="AR16" s="94" t="s">
        <v>16</v>
      </c>
      <c r="AS16" s="94"/>
      <c r="AT16" s="94" t="s">
        <v>16</v>
      </c>
      <c r="AU16" s="94">
        <v>2007664.48</v>
      </c>
      <c r="AV16" s="94">
        <v>1435</v>
      </c>
      <c r="AW16" s="94" t="s">
        <v>16</v>
      </c>
      <c r="AX16" s="94">
        <v>2007664.48</v>
      </c>
      <c r="AY16" s="94">
        <v>1437.13</v>
      </c>
      <c r="AZ16" s="94" t="s">
        <v>111</v>
      </c>
      <c r="BA16" s="94">
        <v>1213582.99</v>
      </c>
      <c r="BB16" s="94" t="s">
        <v>99</v>
      </c>
      <c r="BC16" s="94">
        <v>0.08</v>
      </c>
      <c r="BD16" s="94">
        <v>0</v>
      </c>
      <c r="BE16" s="60">
        <f t="array" ref="BE16">IFERROR(INDEX('Com&amp;tax'!$E$2:$E$5, MATCH(1, ('Com&amp;tax'!$A$2:$A$5=B16)*('Com&amp;tax'!$B$2:$B$5=G16), 0)),"")</f>
        <v>0.15</v>
      </c>
      <c r="BF16" s="58">
        <f t="shared" ref="BF16" si="34">IF(A16="","",( IFERROR(O16*BE16,"")))</f>
        <v>301149.67199999996</v>
      </c>
      <c r="BG16" s="58">
        <f t="array" aca="1" ref="BG16" ca="1">IF(A16="","",( IFERROR((O16/ INDEX(er!$D$3:$D$75,MATCH(1, (er!$A$3:$A$75=$BG$2)*(er!$C$3:$C$75=Q16), 0)))*BE16,"")))</f>
        <v>215.56884180386541</v>
      </c>
      <c r="BH16" s="58">
        <f t="shared" ref="BH16" si="35">IF(A16="","",( IF(B16="Snapchat Rep", IF(A16="","",(P16-BF16)),-BF16)))</f>
        <v>-301149.67199999996</v>
      </c>
      <c r="BI16" s="59">
        <f t="array" ref="BI16">IFERROR(INDEX('Com&amp;tax'!$F$2:$F$5, MATCH(1, ('Com&amp;tax'!$A$2:$A$5=B16)*('Com&amp;tax'!$B$2:$B$5=Y16), 0)),0)</f>
        <v>4.9000000000000002E-2</v>
      </c>
      <c r="BJ16" s="58">
        <f t="shared" ref="BJ16" si="36">IF(A16="","",( IFERROR((J16*(1-BE16))*BI16,0)))</f>
        <v>83619.225592000003</v>
      </c>
      <c r="BK16" s="58">
        <f t="array" aca="1" ref="BK16" ca="1">IF(A16="","",( IFERROR((J16*(1-BE16))*BI16/INDEX(er!D:D, MATCH(Q16,er!C:C,0),1),0)))</f>
        <v>59.8562817408733</v>
      </c>
      <c r="BL16" s="60">
        <f t="array" ref="BL16">IFERROR(INDEX('Com&amp;tax'!$G$2:$G$5, MATCH(1, ('Com&amp;tax'!$A$2:$A$5=B16)*('Com&amp;tax'!$B$2:$B$5=Y16), 0)),0)</f>
        <v>0.1575</v>
      </c>
      <c r="BM16" s="58">
        <f t="shared" ref="BM16" si="37">IF(A16="","",( IFERROR((J16*(1-BE16))*BL16,0)))</f>
        <v>268776.08226</v>
      </c>
      <c r="BN16" s="58">
        <f t="array" aca="1" ref="BN16" ca="1">IF(A16="","",( IFERROR((J16*(1-BE16))*BL16/INDEX(er!D:D, MATCH(Q16,er!C:C,0),1),0)))</f>
        <v>192.39519130994989</v>
      </c>
      <c r="BO16" s="60">
        <f t="array" ref="BO16">IFERROR(INDEX('Com&amp;tax'!$H$2:$H$5, MATCH(1, ('Com&amp;tax'!$A$2:$A$5=B16)*('Com&amp;tax'!$B$2:$B$5=Y16), 0)),0)</f>
        <v>7.0000000000000007E-2</v>
      </c>
      <c r="BP16" s="58">
        <f t="shared" ref="BP16" si="38">IF(A16="","",( IFERROR(J16*BO16,0)))</f>
        <v>140536.51360000001</v>
      </c>
      <c r="BQ16" s="58">
        <f t="array" aca="1" ref="BQ16" ca="1">IF(A16="","",( IFERROR(J16*BO16/INDEX(er!D:D, MATCH(Q16,er!C:C,0),1),0)))</f>
        <v>100.59879284180387</v>
      </c>
      <c r="BR16" s="108">
        <f t="array" ref="BR16">IFERROR(INDEX('Com&amp;tax'!$F$2:$F$5, MATCH(1, ('Com&amp;tax'!$A$2:$A$5=B16)*('Com&amp;tax'!$D$2:$D$5=H16), 0)),0)</f>
        <v>4.9000000000000002E-2</v>
      </c>
      <c r="BS16" s="109">
        <f t="shared" ref="BS16" si="39">IF(A16="","",( IFERROR((J16*(1-BE16))*BR16,0)))</f>
        <v>83619.225592000003</v>
      </c>
      <c r="BT16" s="109">
        <f t="array" aca="1" ref="BT16" ca="1">IF(A16="","",( IFERROR((J16*(1-BE16))*BR16/INDEX(er!D:D, MATCH(Q16,er!C:C,0),1),0)))</f>
        <v>59.8562817408733</v>
      </c>
      <c r="BU16" s="108">
        <f t="array" ref="BU16">IFERROR(INDEX('Com&amp;tax'!$G$2:$G$5, MATCH(1, ('Com&amp;tax'!$A$2:$A$5=B16)*('Com&amp;tax'!$D$2:$D$5=H16), 0)),0)</f>
        <v>0.1575</v>
      </c>
      <c r="BV16" s="109">
        <f t="shared" ref="BV16" si="40">IF(A16="","",( IFERROR((J16*(1-BE16))*BU16,0)))</f>
        <v>268776.08226</v>
      </c>
      <c r="BW16" s="109">
        <f t="array" aca="1" ref="BW16" ca="1">IF(A16="","",( IFERROR((J16*(1-BE16))*BU16/INDEX(er!D:D, MATCH(Q16,er!C:C,0),1),0)))</f>
        <v>192.39519130994989</v>
      </c>
      <c r="BX16" s="108">
        <f t="array" ref="BX16">IFERROR(INDEX('Com&amp;tax'!$H$2:$H$5, MATCH(1, ('Com&amp;tax'!$A$2:$A$5=B16)*('Com&amp;tax'!$D$2:$D$5=H16), 0)),0)</f>
        <v>7.0000000000000007E-2</v>
      </c>
      <c r="BY16" s="109">
        <f t="shared" ref="BY16" si="41">IF(A16="","",( IFERROR(J16*BX16,0)))</f>
        <v>140536.51360000001</v>
      </c>
      <c r="BZ16" s="109">
        <f t="array" aca="1" ref="BZ16" ca="1">IF(A16="","",( IFERROR(J16*BX16/INDEX(er!D:D, MATCH(Q16,er!C:C,0),1),0)))</f>
        <v>100.59879284180387</v>
      </c>
      <c r="CA16" s="96">
        <f t="array" aca="1" ref="CA16" ca="1">IF(A16="","",( IFERROR(1-((P16/ INDEX(er!$D$3:$D$75,MATCH(1, (er!$A$3:$A$75=$BG$2)*(er!$C$3:$C$75=Q16), 0))   /  (J16/ INDEX(er!$D$3:$D$75,MATCH(1, (er!$A$3:$A$75=$BG$2)*(er!$C$3:$C$75=L16), 0))))),"")))</f>
        <v>0.39552495843329349</v>
      </c>
      <c r="CB16" s="96">
        <f t="shared" ref="CB16" si="42">IF(AB16="","",1-AD16/AB16)</f>
        <v>0.39552499828058918</v>
      </c>
      <c r="CC16" s="111">
        <f t="shared" ref="CC16" ca="1" si="43">IF(AND(CA16="", CB16=""), "", CA16-CB16)</f>
        <v>-3.9847295685291328E-8</v>
      </c>
      <c r="CD16" s="110">
        <f t="shared" ref="CD16:CE16" si="44">BJ16+BM16-BS16-BV16</f>
        <v>0</v>
      </c>
      <c r="CE16" s="110">
        <f t="shared" ca="1" si="44"/>
        <v>0</v>
      </c>
      <c r="CF16" s="110">
        <f t="shared" ref="CF16" ca="1" si="45">AJ16-CE16</f>
        <v>0</v>
      </c>
      <c r="CG16" s="8" t="str">
        <f t="shared" ref="CG16" si="46">IF(OR(BE16="", AE16=""), "Miss", IF(ABS(AE16/100-AK16)&lt;0.005, "OK", "Incorrect"))</f>
        <v>OK</v>
      </c>
      <c r="CH16" s="8"/>
      <c r="CI16" t="s">
        <v>99</v>
      </c>
      <c r="CK16" s="240">
        <v>0</v>
      </c>
      <c r="CL16" s="239">
        <f ca="1">(AI16+CK16)/INDEX(er!D:D,MATCH(AC16,er!C:C,0),1)</f>
        <v>5.7265569076592701E-5</v>
      </c>
      <c r="CN16" s="239">
        <f ca="1">CK16/INDEX(er!D:D,MATCH(AC16,er!C:C,0),1)</f>
        <v>0</v>
      </c>
    </row>
    <row r="17" spans="1:92" ht="12.5" x14ac:dyDescent="0.25">
      <c r="A17" s="93" t="s">
        <v>155</v>
      </c>
      <c r="B17" s="93" t="s">
        <v>96</v>
      </c>
      <c r="C17" s="93" t="s">
        <v>103</v>
      </c>
      <c r="D17" s="93" t="s">
        <v>156</v>
      </c>
      <c r="E17" s="93"/>
      <c r="F17" s="93"/>
      <c r="G17" s="94" t="s">
        <v>107</v>
      </c>
      <c r="H17" s="93" t="s">
        <v>436</v>
      </c>
      <c r="I17" s="94" t="s">
        <v>107</v>
      </c>
      <c r="J17" s="94">
        <v>3110400</v>
      </c>
      <c r="K17" s="94">
        <v>3110400</v>
      </c>
      <c r="L17" s="94" t="s">
        <v>111</v>
      </c>
      <c r="M17" s="94">
        <v>3110400</v>
      </c>
      <c r="N17" s="94" t="s">
        <v>111</v>
      </c>
      <c r="O17" s="94">
        <v>3110400</v>
      </c>
      <c r="P17" s="94">
        <v>1880159.16</v>
      </c>
      <c r="Q17" s="93" t="s">
        <v>111</v>
      </c>
      <c r="R17" s="94" t="s">
        <v>105</v>
      </c>
      <c r="S17" s="94"/>
      <c r="T17" s="94"/>
      <c r="U17" s="94">
        <v>0</v>
      </c>
      <c r="V17" s="93" t="s">
        <v>94</v>
      </c>
      <c r="W17" s="8" t="s">
        <v>98</v>
      </c>
      <c r="X17" s="94" t="s">
        <v>103</v>
      </c>
      <c r="Y17" s="94" t="s">
        <v>107</v>
      </c>
      <c r="Z17" s="94" t="s">
        <v>105</v>
      </c>
      <c r="AA17" s="94" t="s">
        <v>111</v>
      </c>
      <c r="AB17" s="94">
        <v>3110400</v>
      </c>
      <c r="AC17" s="94" t="s">
        <v>111</v>
      </c>
      <c r="AD17" s="94">
        <v>1880159.04</v>
      </c>
      <c r="AE17" s="94">
        <v>39.549999999999997</v>
      </c>
      <c r="AF17" s="94" t="s">
        <v>99</v>
      </c>
      <c r="AG17" s="94">
        <v>0</v>
      </c>
      <c r="AH17" s="94">
        <v>0</v>
      </c>
      <c r="AI17" s="94">
        <v>0.12</v>
      </c>
      <c r="AJ17" s="94">
        <v>0</v>
      </c>
      <c r="AK17" s="94">
        <v>0.39552496141975313</v>
      </c>
      <c r="AL17" s="94" t="s">
        <v>99</v>
      </c>
      <c r="AM17" s="93" t="s">
        <v>479</v>
      </c>
      <c r="AN17" s="94"/>
      <c r="AO17" s="94" t="s">
        <v>16</v>
      </c>
      <c r="AP17" s="94" t="s">
        <v>16</v>
      </c>
      <c r="AQ17" s="94"/>
      <c r="AR17" s="94" t="s">
        <v>16</v>
      </c>
      <c r="AS17" s="94"/>
      <c r="AT17" s="94" t="s">
        <v>16</v>
      </c>
      <c r="AU17" s="94">
        <v>3110400</v>
      </c>
      <c r="AV17" s="94">
        <v>2224</v>
      </c>
      <c r="AW17" s="94" t="s">
        <v>16</v>
      </c>
      <c r="AX17" s="94">
        <v>3110400</v>
      </c>
      <c r="AY17" s="94">
        <v>2226.4899999999998</v>
      </c>
      <c r="AZ17" s="94" t="s">
        <v>111</v>
      </c>
      <c r="BA17" s="94">
        <v>1880159.04</v>
      </c>
      <c r="BB17" s="94" t="s">
        <v>99</v>
      </c>
      <c r="BC17" s="94">
        <v>0.12</v>
      </c>
      <c r="BD17" s="94">
        <v>0</v>
      </c>
      <c r="BE17" s="60">
        <f t="array" ref="BE17">IFERROR(INDEX('Com&amp;tax'!$E$2:$E$5, MATCH(1, ('Com&amp;tax'!$A$2:$A$5=B17)*('Com&amp;tax'!$B$2:$B$5=G17), 0)),"")</f>
        <v>0.15</v>
      </c>
      <c r="BF17" s="58">
        <f t="shared" ref="BF17:BF26" si="47">IF(A17="","",( IFERROR(O17*BE17,"")))</f>
        <v>466560</v>
      </c>
      <c r="BG17" s="58">
        <f t="array" aca="1" ref="BG17" ca="1">IF(A17="","",( IFERROR((O17/ INDEX(er!$D$3:$D$75,MATCH(1, (er!$A$3:$A$75=$BG$2)*(er!$C$3:$C$75=Q17), 0)))*BE17,"")))</f>
        <v>333.97279885468862</v>
      </c>
      <c r="BH17" s="58">
        <f t="shared" ref="BH17:BH26" si="48">IF(A17="","",( IF(B17="Snapchat Rep", IF(A17="","",(P17-BF17)),-BF17)))</f>
        <v>-466560</v>
      </c>
      <c r="BI17" s="59">
        <f t="array" ref="BI17">IFERROR(INDEX('Com&amp;tax'!$F$2:$F$5, MATCH(1, ('Com&amp;tax'!$A$2:$A$5=B17)*('Com&amp;tax'!$B$2:$B$5=Y17), 0)),0)</f>
        <v>4.9000000000000002E-2</v>
      </c>
      <c r="BJ17" s="58">
        <f t="shared" ref="BJ17:BJ26" si="49">IF(A17="","",( IFERROR((J17*(1-BE17))*BI17,0)))</f>
        <v>129548.16</v>
      </c>
      <c r="BK17" s="58">
        <f t="array" aca="1" ref="BK17" ca="1">IF(A17="","",( IFERROR((J17*(1-BE17))*BI17/INDEX(er!D:D, MATCH(Q17,er!C:C,0),1),0)))</f>
        <v>92.733113815318546</v>
      </c>
      <c r="BL17" s="60">
        <f t="array" ref="BL17">IFERROR(INDEX('Com&amp;tax'!$G$2:$G$5, MATCH(1, ('Com&amp;tax'!$A$2:$A$5=B17)*('Com&amp;tax'!$B$2:$B$5=Y17), 0)),0)</f>
        <v>0.1575</v>
      </c>
      <c r="BM17" s="58">
        <f t="shared" ref="BM17:BM26" si="50">IF(A17="","",( IFERROR((J17*(1-BE17))*BL17,0)))</f>
        <v>416404.8</v>
      </c>
      <c r="BN17" s="58">
        <f t="array" aca="1" ref="BN17" ca="1">IF(A17="","",( IFERROR((J17*(1-BE17))*BL17/INDEX(er!D:D, MATCH(Q17,er!C:C,0),1),0)))</f>
        <v>298.07072297780957</v>
      </c>
      <c r="BO17" s="60">
        <f t="array" ref="BO17">IFERROR(INDEX('Com&amp;tax'!$H$2:$H$5, MATCH(1, ('Com&amp;tax'!$A$2:$A$5=B17)*('Com&amp;tax'!$B$2:$B$5=Y17), 0)),0)</f>
        <v>7.0000000000000007E-2</v>
      </c>
      <c r="BP17" s="58">
        <f t="shared" ref="BP17:BP26" si="51">IF(A17="","",( IFERROR(J17*BO17,0)))</f>
        <v>217728.00000000003</v>
      </c>
      <c r="BQ17" s="58">
        <f t="array" aca="1" ref="BQ17" ca="1">IF(A17="","",( IFERROR(J17*BO17/INDEX(er!D:D, MATCH(Q17,er!C:C,0),1),0)))</f>
        <v>155.8539727988547</v>
      </c>
      <c r="BR17" s="108">
        <f t="array" ref="BR17">IFERROR(INDEX('Com&amp;tax'!$F$2:$F$5, MATCH(1, ('Com&amp;tax'!$A$2:$A$5=B17)*('Com&amp;tax'!$D$2:$D$5=H17), 0)),0)</f>
        <v>4.9000000000000002E-2</v>
      </c>
      <c r="BS17" s="109">
        <f t="shared" ref="BS17:BS26" si="52">IF(A17="","",( IFERROR((J17*(1-BE17))*BR17,0)))</f>
        <v>129548.16</v>
      </c>
      <c r="BT17" s="109">
        <f t="array" aca="1" ref="BT17" ca="1">IF(A17="","",( IFERROR((J17*(1-BE17))*BR17/INDEX(er!D:D, MATCH(Q17,er!C:C,0),1),0)))</f>
        <v>92.733113815318546</v>
      </c>
      <c r="BU17" s="108">
        <f t="array" ref="BU17">IFERROR(INDEX('Com&amp;tax'!$G$2:$G$5, MATCH(1, ('Com&amp;tax'!$A$2:$A$5=B17)*('Com&amp;tax'!$D$2:$D$5=H17), 0)),0)</f>
        <v>0.1575</v>
      </c>
      <c r="BV17" s="109">
        <f t="shared" ref="BV17:BV26" si="53">IF(A17="","",( IFERROR((J17*(1-BE17))*BU17,0)))</f>
        <v>416404.8</v>
      </c>
      <c r="BW17" s="109">
        <f t="array" aca="1" ref="BW17" ca="1">IF(A17="","",( IFERROR((J17*(1-BE17))*BU17/INDEX(er!D:D, MATCH(Q17,er!C:C,0),1),0)))</f>
        <v>298.07072297780957</v>
      </c>
      <c r="BX17" s="108">
        <f t="array" ref="BX17">IFERROR(INDEX('Com&amp;tax'!$H$2:$H$5, MATCH(1, ('Com&amp;tax'!$A$2:$A$5=B17)*('Com&amp;tax'!$D$2:$D$5=H17), 0)),0)</f>
        <v>7.0000000000000007E-2</v>
      </c>
      <c r="BY17" s="109">
        <f t="shared" ref="BY17:BY26" si="54">IF(A17="","",( IFERROR(J17*BX17,0)))</f>
        <v>217728.00000000003</v>
      </c>
      <c r="BZ17" s="109">
        <f t="array" aca="1" ref="BZ17" ca="1">IF(A17="","",( IFERROR(J17*BX17/INDEX(er!D:D, MATCH(Q17,er!C:C,0),1),0)))</f>
        <v>155.8539727988547</v>
      </c>
      <c r="CA17" s="96">
        <f t="array" aca="1" ref="CA17" ca="1">IF(A17="","",( IFERROR(1-((P17/ INDEX(er!$D$3:$D$75,MATCH(1, (er!$A$3:$A$75=$BG$2)*(er!$C$3:$C$75=Q17), 0))   /  (J17/ INDEX(er!$D$3:$D$75,MATCH(1, (er!$A$3:$A$75=$BG$2)*(er!$C$3:$C$75=L17), 0))))),"")))</f>
        <v>0.39552496141975313</v>
      </c>
      <c r="CB17" s="96">
        <f t="shared" ref="CB17:CB26" si="55">IF(AB17="","",1-AD17/AB17)</f>
        <v>0.39552500000000002</v>
      </c>
      <c r="CC17" s="111">
        <f t="shared" ref="CC17:CC26" ca="1" si="56">IF(AND(CA17="", CB17=""), "", CA17-CB17)</f>
        <v>-3.8580246886077418E-8</v>
      </c>
      <c r="CD17" s="110">
        <f t="shared" ref="CD17:CE17" si="57">BJ17+BM17-BS17-BV17</f>
        <v>0</v>
      </c>
      <c r="CE17" s="110">
        <f t="shared" ca="1" si="57"/>
        <v>0</v>
      </c>
      <c r="CF17" s="110">
        <f t="shared" ref="CF17:CF26" ca="1" si="58">AJ17-CE17</f>
        <v>0</v>
      </c>
      <c r="CG17" s="8" t="str">
        <f t="shared" ref="CG17:CG26" si="59">IF(OR(BE17="", AE17=""), "Miss", IF(ABS(AE17/100-AK17)&lt;0.005, "OK", "Incorrect"))</f>
        <v>OK</v>
      </c>
      <c r="CH17" s="8"/>
      <c r="CI17" t="s">
        <v>99</v>
      </c>
      <c r="CK17" s="240">
        <v>0</v>
      </c>
      <c r="CL17" s="239">
        <f ca="1">(AI17+CK17)/INDEX(er!D:D,MATCH(AC17,er!C:C,0),1)</f>
        <v>8.5898353614889049E-5</v>
      </c>
      <c r="CN17" s="239">
        <f ca="1">CK17/INDEX(er!D:D,MATCH(AC17,er!C:C,0),1)</f>
        <v>0</v>
      </c>
    </row>
    <row r="18" spans="1:92" ht="12.5" x14ac:dyDescent="0.25">
      <c r="A18" s="93" t="s">
        <v>159</v>
      </c>
      <c r="B18" s="93" t="s">
        <v>96</v>
      </c>
      <c r="C18" s="93" t="s">
        <v>103</v>
      </c>
      <c r="D18" s="93" t="s">
        <v>160</v>
      </c>
      <c r="E18" s="93"/>
      <c r="F18" s="93"/>
      <c r="G18" s="94" t="s">
        <v>107</v>
      </c>
      <c r="H18" s="93" t="s">
        <v>436</v>
      </c>
      <c r="I18" s="94" t="s">
        <v>107</v>
      </c>
      <c r="J18" s="94">
        <v>3110400</v>
      </c>
      <c r="K18" s="94">
        <v>3110400</v>
      </c>
      <c r="L18" s="94" t="s">
        <v>111</v>
      </c>
      <c r="M18" s="94">
        <v>3110400</v>
      </c>
      <c r="N18" s="94" t="s">
        <v>111</v>
      </c>
      <c r="O18" s="94">
        <v>3110400</v>
      </c>
      <c r="P18" s="94">
        <v>1880159.16</v>
      </c>
      <c r="Q18" s="93" t="s">
        <v>111</v>
      </c>
      <c r="R18" s="94" t="s">
        <v>105</v>
      </c>
      <c r="S18" s="94"/>
      <c r="T18" s="94"/>
      <c r="U18" s="94">
        <v>0</v>
      </c>
      <c r="V18" s="93" t="s">
        <v>94</v>
      </c>
      <c r="W18" s="8" t="s">
        <v>98</v>
      </c>
      <c r="X18" s="94" t="s">
        <v>103</v>
      </c>
      <c r="Y18" s="94" t="s">
        <v>107</v>
      </c>
      <c r="Z18" s="94" t="s">
        <v>105</v>
      </c>
      <c r="AA18" s="94" t="s">
        <v>111</v>
      </c>
      <c r="AB18" s="94">
        <v>3110400</v>
      </c>
      <c r="AC18" s="94" t="s">
        <v>111</v>
      </c>
      <c r="AD18" s="94">
        <v>1880159.04</v>
      </c>
      <c r="AE18" s="94">
        <v>39.549999999999997</v>
      </c>
      <c r="AF18" s="94" t="s">
        <v>99</v>
      </c>
      <c r="AG18" s="94">
        <v>0</v>
      </c>
      <c r="AH18" s="94">
        <v>0</v>
      </c>
      <c r="AI18" s="94">
        <v>0.12</v>
      </c>
      <c r="AJ18" s="94">
        <v>0</v>
      </c>
      <c r="AK18" s="94">
        <v>0.39552496141975313</v>
      </c>
      <c r="AL18" s="94" t="s">
        <v>99</v>
      </c>
      <c r="AM18" s="93" t="s">
        <v>480</v>
      </c>
      <c r="AN18" s="94"/>
      <c r="AO18" s="94" t="s">
        <v>16</v>
      </c>
      <c r="AP18" s="94" t="s">
        <v>16</v>
      </c>
      <c r="AQ18" s="94"/>
      <c r="AR18" s="94" t="s">
        <v>16</v>
      </c>
      <c r="AS18" s="94"/>
      <c r="AT18" s="94" t="s">
        <v>16</v>
      </c>
      <c r="AU18" s="94">
        <v>3110400</v>
      </c>
      <c r="AV18" s="94">
        <v>2224</v>
      </c>
      <c r="AW18" s="94" t="s">
        <v>16</v>
      </c>
      <c r="AX18" s="94">
        <v>3110400</v>
      </c>
      <c r="AY18" s="94">
        <v>2226.4899999999998</v>
      </c>
      <c r="AZ18" s="94" t="s">
        <v>111</v>
      </c>
      <c r="BA18" s="94">
        <v>1880159.04</v>
      </c>
      <c r="BB18" s="94" t="s">
        <v>99</v>
      </c>
      <c r="BC18" s="94">
        <v>0.12</v>
      </c>
      <c r="BD18" s="94">
        <v>0</v>
      </c>
      <c r="BE18" s="60">
        <f t="array" ref="BE18">IFERROR(INDEX('Com&amp;tax'!$E$2:$E$5, MATCH(1, ('Com&amp;tax'!$A$2:$A$5=B18)*('Com&amp;tax'!$B$2:$B$5=G18), 0)),"")</f>
        <v>0.15</v>
      </c>
      <c r="BF18" s="58">
        <f t="shared" si="47"/>
        <v>466560</v>
      </c>
      <c r="BG18" s="58">
        <f t="array" aca="1" ref="BG18" ca="1">IF(A18="","",( IFERROR((O18/ INDEX(er!$D$3:$D$75,MATCH(1, (er!$A$3:$A$75=$BG$2)*(er!$C$3:$C$75=Q18), 0)))*BE18,"")))</f>
        <v>333.97279885468862</v>
      </c>
      <c r="BH18" s="58">
        <f t="shared" si="48"/>
        <v>-466560</v>
      </c>
      <c r="BI18" s="59">
        <f t="array" ref="BI18">IFERROR(INDEX('Com&amp;tax'!$F$2:$F$5, MATCH(1, ('Com&amp;tax'!$A$2:$A$5=B18)*('Com&amp;tax'!$B$2:$B$5=Y18), 0)),0)</f>
        <v>4.9000000000000002E-2</v>
      </c>
      <c r="BJ18" s="58">
        <f t="shared" si="49"/>
        <v>129548.16</v>
      </c>
      <c r="BK18" s="58">
        <f t="array" aca="1" ref="BK18" ca="1">IF(A18="","",( IFERROR((J18*(1-BE18))*BI18/INDEX(er!D:D, MATCH(Q18,er!C:C,0),1),0)))</f>
        <v>92.733113815318546</v>
      </c>
      <c r="BL18" s="60">
        <f t="array" ref="BL18">IFERROR(INDEX('Com&amp;tax'!$G$2:$G$5, MATCH(1, ('Com&amp;tax'!$A$2:$A$5=B18)*('Com&amp;tax'!$B$2:$B$5=Y18), 0)),0)</f>
        <v>0.1575</v>
      </c>
      <c r="BM18" s="58">
        <f t="shared" si="50"/>
        <v>416404.8</v>
      </c>
      <c r="BN18" s="58">
        <f t="array" aca="1" ref="BN18" ca="1">IF(A18="","",( IFERROR((J18*(1-BE18))*BL18/INDEX(er!D:D, MATCH(Q18,er!C:C,0),1),0)))</f>
        <v>298.07072297780957</v>
      </c>
      <c r="BO18" s="60">
        <f t="array" ref="BO18">IFERROR(INDEX('Com&amp;tax'!$H$2:$H$5, MATCH(1, ('Com&amp;tax'!$A$2:$A$5=B18)*('Com&amp;tax'!$B$2:$B$5=Y18), 0)),0)</f>
        <v>7.0000000000000007E-2</v>
      </c>
      <c r="BP18" s="58">
        <f t="shared" si="51"/>
        <v>217728.00000000003</v>
      </c>
      <c r="BQ18" s="58">
        <f t="array" aca="1" ref="BQ18" ca="1">IF(A18="","",( IFERROR(J18*BO18/INDEX(er!D:D, MATCH(Q18,er!C:C,0),1),0)))</f>
        <v>155.8539727988547</v>
      </c>
      <c r="BR18" s="108">
        <f t="array" ref="BR18">IFERROR(INDEX('Com&amp;tax'!$F$2:$F$5, MATCH(1, ('Com&amp;tax'!$A$2:$A$5=B18)*('Com&amp;tax'!$D$2:$D$5=H18), 0)),0)</f>
        <v>4.9000000000000002E-2</v>
      </c>
      <c r="BS18" s="109">
        <f t="shared" si="52"/>
        <v>129548.16</v>
      </c>
      <c r="BT18" s="109">
        <f t="array" aca="1" ref="BT18" ca="1">IF(A18="","",( IFERROR((J18*(1-BE18))*BR18/INDEX(er!D:D, MATCH(Q18,er!C:C,0),1),0)))</f>
        <v>92.733113815318546</v>
      </c>
      <c r="BU18" s="108">
        <f t="array" ref="BU18">IFERROR(INDEX('Com&amp;tax'!$G$2:$G$5, MATCH(1, ('Com&amp;tax'!$A$2:$A$5=B18)*('Com&amp;tax'!$D$2:$D$5=H18), 0)),0)</f>
        <v>0.1575</v>
      </c>
      <c r="BV18" s="109">
        <f t="shared" si="53"/>
        <v>416404.8</v>
      </c>
      <c r="BW18" s="109">
        <f t="array" aca="1" ref="BW18" ca="1">IF(A18="","",( IFERROR((J18*(1-BE18))*BU18/INDEX(er!D:D, MATCH(Q18,er!C:C,0),1),0)))</f>
        <v>298.07072297780957</v>
      </c>
      <c r="BX18" s="108">
        <f t="array" ref="BX18">IFERROR(INDEX('Com&amp;tax'!$H$2:$H$5, MATCH(1, ('Com&amp;tax'!$A$2:$A$5=B18)*('Com&amp;tax'!$D$2:$D$5=H18), 0)),0)</f>
        <v>7.0000000000000007E-2</v>
      </c>
      <c r="BY18" s="109">
        <f t="shared" si="54"/>
        <v>217728.00000000003</v>
      </c>
      <c r="BZ18" s="109">
        <f t="array" aca="1" ref="BZ18" ca="1">IF(A18="","",( IFERROR(J18*BX18/INDEX(er!D:D, MATCH(Q18,er!C:C,0),1),0)))</f>
        <v>155.8539727988547</v>
      </c>
      <c r="CA18" s="96">
        <f t="array" aca="1" ref="CA18" ca="1">IF(A18="","",( IFERROR(1-((P18/ INDEX(er!$D$3:$D$75,MATCH(1, (er!$A$3:$A$75=$BG$2)*(er!$C$3:$C$75=Q18), 0))   /  (J18/ INDEX(er!$D$3:$D$75,MATCH(1, (er!$A$3:$A$75=$BG$2)*(er!$C$3:$C$75=L18), 0))))),"")))</f>
        <v>0.39552496141975313</v>
      </c>
      <c r="CB18" s="96">
        <f t="shared" si="55"/>
        <v>0.39552500000000002</v>
      </c>
      <c r="CC18" s="111">
        <f t="shared" ca="1" si="56"/>
        <v>-3.8580246886077418E-8</v>
      </c>
      <c r="CD18" s="110">
        <f t="shared" ref="CD18:CE18" si="60">BJ18+BM18-BS18-BV18</f>
        <v>0</v>
      </c>
      <c r="CE18" s="110">
        <f t="shared" ca="1" si="60"/>
        <v>0</v>
      </c>
      <c r="CF18" s="110">
        <f t="shared" ca="1" si="58"/>
        <v>0</v>
      </c>
      <c r="CG18" s="8" t="str">
        <f t="shared" si="59"/>
        <v>OK</v>
      </c>
      <c r="CH18" s="8"/>
      <c r="CI18" t="s">
        <v>99</v>
      </c>
      <c r="CK18" s="240">
        <v>0</v>
      </c>
      <c r="CL18" s="239">
        <f ca="1">(AI18+CK18)/INDEX(er!D:D,MATCH(AC18,er!C:C,0),1)</f>
        <v>8.5898353614889049E-5</v>
      </c>
      <c r="CN18" s="239">
        <f ca="1">CK18/INDEX(er!D:D,MATCH(AC18,er!C:C,0),1)</f>
        <v>0</v>
      </c>
    </row>
    <row r="19" spans="1:92" ht="12.5" x14ac:dyDescent="0.25">
      <c r="A19" s="93" t="s">
        <v>162</v>
      </c>
      <c r="B19" s="93" t="s">
        <v>100</v>
      </c>
      <c r="C19" s="93" t="s">
        <v>103</v>
      </c>
      <c r="D19" s="93" t="s">
        <v>163</v>
      </c>
      <c r="E19" s="93"/>
      <c r="F19" s="93"/>
      <c r="G19" s="94" t="s">
        <v>107</v>
      </c>
      <c r="H19" s="93" t="s">
        <v>436</v>
      </c>
      <c r="I19" s="94" t="s">
        <v>107</v>
      </c>
      <c r="J19" s="94">
        <v>2304000</v>
      </c>
      <c r="K19" s="94">
        <v>2304000</v>
      </c>
      <c r="L19" s="94" t="s">
        <v>111</v>
      </c>
      <c r="M19" s="94">
        <v>2304000</v>
      </c>
      <c r="N19" s="94" t="s">
        <v>111</v>
      </c>
      <c r="O19" s="94">
        <v>2304000</v>
      </c>
      <c r="P19" s="94">
        <v>1520628.48</v>
      </c>
      <c r="Q19" s="93" t="s">
        <v>111</v>
      </c>
      <c r="R19" s="94" t="s">
        <v>105</v>
      </c>
      <c r="S19" s="94"/>
      <c r="T19" s="94"/>
      <c r="U19" s="94">
        <v>0</v>
      </c>
      <c r="V19" s="93" t="s">
        <v>94</v>
      </c>
      <c r="W19" s="8" t="s">
        <v>98</v>
      </c>
      <c r="X19" s="94" t="s">
        <v>103</v>
      </c>
      <c r="Y19" s="94" t="s">
        <v>107</v>
      </c>
      <c r="Z19" s="94" t="s">
        <v>105</v>
      </c>
      <c r="AA19" s="94" t="s">
        <v>111</v>
      </c>
      <c r="AB19" s="94">
        <v>2304000</v>
      </c>
      <c r="AC19" s="94" t="s">
        <v>111</v>
      </c>
      <c r="AD19" s="94">
        <v>1520686.0800000001</v>
      </c>
      <c r="AE19" s="94">
        <v>34</v>
      </c>
      <c r="AF19" s="94" t="s">
        <v>99</v>
      </c>
      <c r="AG19" s="94">
        <v>0</v>
      </c>
      <c r="AH19" s="94">
        <v>0</v>
      </c>
      <c r="AI19" s="94">
        <v>-57.6</v>
      </c>
      <c r="AJ19" s="94">
        <v>-0.04</v>
      </c>
      <c r="AK19" s="94">
        <v>0.340005</v>
      </c>
      <c r="AL19" s="94" t="s">
        <v>99</v>
      </c>
      <c r="AM19" s="93" t="s">
        <v>481</v>
      </c>
      <c r="AN19" s="94"/>
      <c r="AO19" s="94" t="s">
        <v>16</v>
      </c>
      <c r="AP19" s="94" t="s">
        <v>16</v>
      </c>
      <c r="AQ19" s="94"/>
      <c r="AR19" s="94" t="s">
        <v>16</v>
      </c>
      <c r="AS19" s="94"/>
      <c r="AT19" s="94" t="s">
        <v>16</v>
      </c>
      <c r="AU19" s="94">
        <v>2304000</v>
      </c>
      <c r="AV19" s="94">
        <v>1647</v>
      </c>
      <c r="AW19" s="94" t="s">
        <v>16</v>
      </c>
      <c r="AX19" s="94">
        <v>2304000</v>
      </c>
      <c r="AY19" s="94">
        <v>1649.25</v>
      </c>
      <c r="AZ19" s="94" t="s">
        <v>111</v>
      </c>
      <c r="BA19" s="94">
        <v>1520686.0800000001</v>
      </c>
      <c r="BB19" s="94" t="s">
        <v>99</v>
      </c>
      <c r="BC19" s="94">
        <v>-57.6</v>
      </c>
      <c r="BD19" s="94">
        <v>-0.04</v>
      </c>
      <c r="BE19" s="60">
        <f t="array" ref="BE19">IFERROR(INDEX('Com&amp;tax'!$E$2:$E$5, MATCH(1, ('Com&amp;tax'!$A$2:$A$5=B19)*('Com&amp;tax'!$B$2:$B$5=G19), 0)),"")</f>
        <v>0.15</v>
      </c>
      <c r="BF19" s="58">
        <f t="shared" si="47"/>
        <v>345600</v>
      </c>
      <c r="BG19" s="58">
        <f t="array" aca="1" ref="BG19" ca="1">IF(A19="","",( IFERROR((O19/ INDEX(er!$D$3:$D$75,MATCH(1, (er!$A$3:$A$75=$BG$2)*(er!$C$3:$C$75=Q19), 0)))*BE19,"")))</f>
        <v>247.38725841088046</v>
      </c>
      <c r="BH19" s="58">
        <f t="shared" si="48"/>
        <v>-345600</v>
      </c>
      <c r="BI19" s="59">
        <f t="array" ref="BI19">IFERROR(INDEX('Com&amp;tax'!$F$2:$F$5, MATCH(1, ('Com&amp;tax'!$A$2:$A$5=B19)*('Com&amp;tax'!$B$2:$B$5=Y19), 0)),0)</f>
        <v>4.9000000000000002E-2</v>
      </c>
      <c r="BJ19" s="58">
        <f t="shared" si="49"/>
        <v>95961.600000000006</v>
      </c>
      <c r="BK19" s="58">
        <f t="array" aca="1" ref="BK19" ca="1">IF(A19="","",( IFERROR((J19*(1-BE19))*BI19/INDEX(er!D:D, MATCH(Q19,er!C:C,0),1),0)))</f>
        <v>68.691195418754475</v>
      </c>
      <c r="BL19" s="60">
        <f t="array" ref="BL19">IFERROR(INDEX('Com&amp;tax'!$G$2:$G$5, MATCH(1, ('Com&amp;tax'!$A$2:$A$5=B19)*('Com&amp;tax'!$B$2:$B$5=Y19), 0)),0)</f>
        <v>0.1575</v>
      </c>
      <c r="BM19" s="58">
        <f t="shared" si="50"/>
        <v>308448</v>
      </c>
      <c r="BN19" s="58">
        <f t="array" aca="1" ref="BN19" ca="1">IF(A19="","",( IFERROR((J19*(1-BE19))*BL19/INDEX(er!D:D, MATCH(Q19,er!C:C,0),1),0)))</f>
        <v>220.7931281317108</v>
      </c>
      <c r="BO19" s="60">
        <f t="array" ref="BO19">IFERROR(INDEX('Com&amp;tax'!$H$2:$H$5, MATCH(1, ('Com&amp;tax'!$A$2:$A$5=B19)*('Com&amp;tax'!$B$2:$B$5=Y19), 0)),0)</f>
        <v>0</v>
      </c>
      <c r="BP19" s="58">
        <f t="shared" si="51"/>
        <v>0</v>
      </c>
      <c r="BQ19" s="58">
        <f t="array" aca="1" ref="BQ19" ca="1">IF(A19="","",( IFERROR(J19*BO19/INDEX(er!D:D, MATCH(Q19,er!C:C,0),1),0)))</f>
        <v>0</v>
      </c>
      <c r="BR19" s="108">
        <f t="array" ref="BR19">IFERROR(INDEX('Com&amp;tax'!$F$2:$F$5, MATCH(1, ('Com&amp;tax'!$A$2:$A$5=B19)*('Com&amp;tax'!$D$2:$D$5=H19), 0)),0)</f>
        <v>4.9000000000000002E-2</v>
      </c>
      <c r="BS19" s="109">
        <f t="shared" si="52"/>
        <v>95961.600000000006</v>
      </c>
      <c r="BT19" s="109">
        <f t="array" aca="1" ref="BT19" ca="1">IF(A19="","",( IFERROR((J19*(1-BE19))*BR19/INDEX(er!D:D, MATCH(Q19,er!C:C,0),1),0)))</f>
        <v>68.691195418754475</v>
      </c>
      <c r="BU19" s="108">
        <f t="array" ref="BU19">IFERROR(INDEX('Com&amp;tax'!$G$2:$G$5, MATCH(1, ('Com&amp;tax'!$A$2:$A$5=B19)*('Com&amp;tax'!$D$2:$D$5=H19), 0)),0)</f>
        <v>0.1575</v>
      </c>
      <c r="BV19" s="109">
        <f t="shared" si="53"/>
        <v>308448</v>
      </c>
      <c r="BW19" s="109">
        <f t="array" aca="1" ref="BW19" ca="1">IF(A19="","",( IFERROR((J19*(1-BE19))*BU19/INDEX(er!D:D, MATCH(Q19,er!C:C,0),1),0)))</f>
        <v>220.7931281317108</v>
      </c>
      <c r="BX19" s="108">
        <f t="array" ref="BX19">IFERROR(INDEX('Com&amp;tax'!$H$2:$H$5, MATCH(1, ('Com&amp;tax'!$A$2:$A$5=B19)*('Com&amp;tax'!$D$2:$D$5=H19), 0)),0)</f>
        <v>0</v>
      </c>
      <c r="BY19" s="109">
        <f t="shared" si="54"/>
        <v>0</v>
      </c>
      <c r="BZ19" s="109">
        <f t="array" aca="1" ref="BZ19" ca="1">IF(A19="","",( IFERROR(J19*BX19/INDEX(er!D:D, MATCH(Q19,er!C:C,0),1),0)))</f>
        <v>0</v>
      </c>
      <c r="CA19" s="96">
        <f t="array" aca="1" ref="CA19" ca="1">IF(A19="","",( IFERROR(1-((P19/ INDEX(er!$D$3:$D$75,MATCH(1, (er!$A$3:$A$75=$BG$2)*(er!$C$3:$C$75=Q19), 0))   /  (J19/ INDEX(er!$D$3:$D$75,MATCH(1, (er!$A$3:$A$75=$BG$2)*(er!$C$3:$C$75=L19), 0))))),"")))</f>
        <v>0.340005</v>
      </c>
      <c r="CB19" s="96">
        <f t="shared" si="55"/>
        <v>0.33997999999999995</v>
      </c>
      <c r="CC19" s="111">
        <f t="shared" ca="1" si="56"/>
        <v>2.5000000000052758E-5</v>
      </c>
      <c r="CD19" s="110">
        <f t="shared" ref="CD19:CE19" si="61">BJ19+BM19-BS19-BV19</f>
        <v>0</v>
      </c>
      <c r="CE19" s="110">
        <f t="shared" ca="1" si="61"/>
        <v>0</v>
      </c>
      <c r="CF19" s="110">
        <f t="shared" ca="1" si="58"/>
        <v>-0.04</v>
      </c>
      <c r="CG19" s="8" t="str">
        <f t="shared" si="59"/>
        <v>OK</v>
      </c>
      <c r="CH19" s="8"/>
      <c r="CI19" t="s">
        <v>99</v>
      </c>
      <c r="CK19" s="240">
        <v>0</v>
      </c>
      <c r="CL19" s="239">
        <f ca="1">(AI19+CK19)/INDEX(er!D:D,MATCH(AC19,er!C:C,0),1)</f>
        <v>-4.1231209735146747E-2</v>
      </c>
      <c r="CN19" s="239">
        <f ca="1">CK19/INDEX(er!D:D,MATCH(AC19,er!C:C,0),1)</f>
        <v>0</v>
      </c>
    </row>
    <row r="20" spans="1:92" ht="12.5" x14ac:dyDescent="0.25">
      <c r="A20" s="93" t="s">
        <v>165</v>
      </c>
      <c r="B20" s="93" t="s">
        <v>96</v>
      </c>
      <c r="C20" s="93" t="s">
        <v>103</v>
      </c>
      <c r="D20" s="93" t="s">
        <v>166</v>
      </c>
      <c r="E20" s="93"/>
      <c r="F20" s="93"/>
      <c r="G20" s="94" t="s">
        <v>107</v>
      </c>
      <c r="H20" s="93" t="s">
        <v>436</v>
      </c>
      <c r="I20" s="94" t="s">
        <v>107</v>
      </c>
      <c r="J20" s="94">
        <v>718276.95</v>
      </c>
      <c r="K20" s="94">
        <v>718276.95</v>
      </c>
      <c r="L20" s="94" t="s">
        <v>111</v>
      </c>
      <c r="M20" s="94">
        <v>718276.95</v>
      </c>
      <c r="N20" s="94" t="s">
        <v>111</v>
      </c>
      <c r="O20" s="94">
        <v>718276.95</v>
      </c>
      <c r="P20" s="94">
        <v>434180.49</v>
      </c>
      <c r="Q20" s="93" t="s">
        <v>111</v>
      </c>
      <c r="R20" s="94" t="s">
        <v>105</v>
      </c>
      <c r="S20" s="94"/>
      <c r="T20" s="94"/>
      <c r="U20" s="94">
        <v>0</v>
      </c>
      <c r="V20" s="93" t="s">
        <v>94</v>
      </c>
      <c r="W20" s="8" t="s">
        <v>98</v>
      </c>
      <c r="X20" s="94" t="s">
        <v>103</v>
      </c>
      <c r="Y20" s="94" t="s">
        <v>107</v>
      </c>
      <c r="Z20" s="94" t="s">
        <v>105</v>
      </c>
      <c r="AA20" s="94" t="s">
        <v>111</v>
      </c>
      <c r="AB20" s="94">
        <v>718276.95</v>
      </c>
      <c r="AC20" s="94" t="s">
        <v>111</v>
      </c>
      <c r="AD20" s="94">
        <v>434180.46</v>
      </c>
      <c r="AE20" s="94">
        <v>39.549999999999997</v>
      </c>
      <c r="AF20" s="94" t="s">
        <v>99</v>
      </c>
      <c r="AG20" s="94">
        <v>0</v>
      </c>
      <c r="AH20" s="94">
        <v>0</v>
      </c>
      <c r="AI20" s="94">
        <v>0.03</v>
      </c>
      <c r="AJ20" s="94">
        <v>0</v>
      </c>
      <c r="AK20" s="94">
        <v>0.39552495733017745</v>
      </c>
      <c r="AL20" s="94" t="s">
        <v>99</v>
      </c>
      <c r="AM20" s="93" t="s">
        <v>483</v>
      </c>
      <c r="AN20" s="94"/>
      <c r="AO20" s="94" t="s">
        <v>16</v>
      </c>
      <c r="AP20" s="94" t="s">
        <v>16</v>
      </c>
      <c r="AQ20" s="94"/>
      <c r="AR20" s="94" t="s">
        <v>16</v>
      </c>
      <c r="AS20" s="94"/>
      <c r="AT20" s="94" t="s">
        <v>16</v>
      </c>
      <c r="AU20" s="94">
        <v>718276.95</v>
      </c>
      <c r="AV20" s="94">
        <v>512</v>
      </c>
      <c r="AW20" s="94" t="s">
        <v>16</v>
      </c>
      <c r="AX20" s="94">
        <v>718276.95</v>
      </c>
      <c r="AY20" s="94">
        <v>514.16</v>
      </c>
      <c r="AZ20" s="94" t="s">
        <v>111</v>
      </c>
      <c r="BA20" s="94">
        <v>434180.46</v>
      </c>
      <c r="BB20" s="94" t="s">
        <v>99</v>
      </c>
      <c r="BC20" s="94">
        <v>0.03</v>
      </c>
      <c r="BD20" s="94">
        <v>0</v>
      </c>
      <c r="BE20" s="60">
        <f t="array" ref="BE20">IFERROR(INDEX('Com&amp;tax'!$E$2:$E$5, MATCH(1, ('Com&amp;tax'!$A$2:$A$5=B20)*('Com&amp;tax'!$B$2:$B$5=G20), 0)),"")</f>
        <v>0.15</v>
      </c>
      <c r="BF20" s="58">
        <f t="shared" si="47"/>
        <v>107741.5425</v>
      </c>
      <c r="BG20" s="58">
        <f t="array" aca="1" ref="BG20" ca="1">IF(A20="","",( IFERROR((O20/ INDEX(er!$D$3:$D$75,MATCH(1, (er!$A$3:$A$75=$BG$2)*(er!$C$3:$C$75=Q20), 0)))*BE20,"")))</f>
        <v>77.123509305654977</v>
      </c>
      <c r="BH20" s="58">
        <f t="shared" si="48"/>
        <v>-107741.5425</v>
      </c>
      <c r="BI20" s="59">
        <f t="array" ref="BI20">IFERROR(INDEX('Com&amp;tax'!$F$2:$F$5, MATCH(1, ('Com&amp;tax'!$A$2:$A$5=B20)*('Com&amp;tax'!$B$2:$B$5=Y20), 0)),0)</f>
        <v>4.9000000000000002E-2</v>
      </c>
      <c r="BJ20" s="58">
        <f t="shared" si="49"/>
        <v>29916.2349675</v>
      </c>
      <c r="BK20" s="58">
        <f t="array" aca="1" ref="BK20" ca="1">IF(A20="","",( IFERROR((J20*(1-BE20))*BI20/INDEX(er!D:D, MATCH(Q20,er!C:C,0),1),0)))</f>
        <v>21.414627750536866</v>
      </c>
      <c r="BL20" s="60">
        <f t="array" ref="BL20">IFERROR(INDEX('Com&amp;tax'!$G$2:$G$5, MATCH(1, ('Com&amp;tax'!$A$2:$A$5=B20)*('Com&amp;tax'!$B$2:$B$5=Y20), 0)),0)</f>
        <v>0.1575</v>
      </c>
      <c r="BM20" s="58">
        <f t="shared" si="50"/>
        <v>96159.326681249993</v>
      </c>
      <c r="BN20" s="58">
        <f t="array" aca="1" ref="BN20" ca="1">IF(A20="","",( IFERROR((J20*(1-BE20))*BL20/INDEX(er!D:D, MATCH(Q20,er!C:C,0),1),0)))</f>
        <v>68.832732055297058</v>
      </c>
      <c r="BO20" s="60">
        <f t="array" ref="BO20">IFERROR(INDEX('Com&amp;tax'!$H$2:$H$5, MATCH(1, ('Com&amp;tax'!$A$2:$A$5=B20)*('Com&amp;tax'!$B$2:$B$5=Y20), 0)),0)</f>
        <v>7.0000000000000007E-2</v>
      </c>
      <c r="BP20" s="58">
        <f t="shared" si="51"/>
        <v>50279.386500000001</v>
      </c>
      <c r="BQ20" s="58">
        <f t="array" aca="1" ref="BQ20" ca="1">IF(A20="","",( IFERROR(J20*BO20/INDEX(er!D:D, MATCH(Q20,er!C:C,0),1),0)))</f>
        <v>35.990971009305653</v>
      </c>
      <c r="BR20" s="108">
        <f t="array" ref="BR20">IFERROR(INDEX('Com&amp;tax'!$F$2:$F$5, MATCH(1, ('Com&amp;tax'!$A$2:$A$5=B20)*('Com&amp;tax'!$D$2:$D$5=H20), 0)),0)</f>
        <v>4.9000000000000002E-2</v>
      </c>
      <c r="BS20" s="109">
        <f t="shared" si="52"/>
        <v>29916.2349675</v>
      </c>
      <c r="BT20" s="109">
        <f t="array" aca="1" ref="BT20" ca="1">IF(A20="","",( IFERROR((J20*(1-BE20))*BR20/INDEX(er!D:D, MATCH(Q20,er!C:C,0),1),0)))</f>
        <v>21.414627750536866</v>
      </c>
      <c r="BU20" s="108">
        <f t="array" ref="BU20">IFERROR(INDEX('Com&amp;tax'!$G$2:$G$5, MATCH(1, ('Com&amp;tax'!$A$2:$A$5=B20)*('Com&amp;tax'!$D$2:$D$5=H20), 0)),0)</f>
        <v>0.1575</v>
      </c>
      <c r="BV20" s="109">
        <f t="shared" si="53"/>
        <v>96159.326681249993</v>
      </c>
      <c r="BW20" s="109">
        <f t="array" aca="1" ref="BW20" ca="1">IF(A20="","",( IFERROR((J20*(1-BE20))*BU20/INDEX(er!D:D, MATCH(Q20,er!C:C,0),1),0)))</f>
        <v>68.832732055297058</v>
      </c>
      <c r="BX20" s="108">
        <f t="array" ref="BX20">IFERROR(INDEX('Com&amp;tax'!$H$2:$H$5, MATCH(1, ('Com&amp;tax'!$A$2:$A$5=B20)*('Com&amp;tax'!$D$2:$D$5=H20), 0)),0)</f>
        <v>7.0000000000000007E-2</v>
      </c>
      <c r="BY20" s="109">
        <f t="shared" si="54"/>
        <v>50279.386500000001</v>
      </c>
      <c r="BZ20" s="109">
        <f t="array" aca="1" ref="BZ20" ca="1">IF(A20="","",( IFERROR(J20*BX20/INDEX(er!D:D, MATCH(Q20,er!C:C,0),1),0)))</f>
        <v>35.990971009305653</v>
      </c>
      <c r="CA20" s="96">
        <f t="array" aca="1" ref="CA20" ca="1">IF(A20="","",( IFERROR(1-((P20/ INDEX(er!$D$3:$D$75,MATCH(1, (er!$A$3:$A$75=$BG$2)*(er!$C$3:$C$75=Q20), 0))   /  (J20/ INDEX(er!$D$3:$D$75,MATCH(1, (er!$A$3:$A$75=$BG$2)*(er!$C$3:$C$75=L20), 0))))),"")))</f>
        <v>0.39552495733017745</v>
      </c>
      <c r="CB20" s="96">
        <f t="shared" si="55"/>
        <v>0.39552499909679684</v>
      </c>
      <c r="CC20" s="111">
        <f t="shared" ca="1" si="56"/>
        <v>-4.1766619385263937E-8</v>
      </c>
      <c r="CD20" s="110">
        <f t="shared" ref="CD20:CE20" si="62">BJ20+BM20-BS20-BV20</f>
        <v>0</v>
      </c>
      <c r="CE20" s="110">
        <f t="shared" ca="1" si="62"/>
        <v>0</v>
      </c>
      <c r="CF20" s="110">
        <f t="shared" ca="1" si="58"/>
        <v>0</v>
      </c>
      <c r="CG20" s="8" t="str">
        <f t="shared" si="59"/>
        <v>OK</v>
      </c>
      <c r="CH20" s="8"/>
      <c r="CI20" t="s">
        <v>99</v>
      </c>
      <c r="CK20" s="240">
        <v>0</v>
      </c>
      <c r="CL20" s="239">
        <f ca="1">(AI20+CK20)/INDEX(er!D:D,MATCH(AC20,er!C:C,0),1)</f>
        <v>2.1474588403722262E-5</v>
      </c>
      <c r="CN20" s="239">
        <f ca="1">CK20/INDEX(er!D:D,MATCH(AC20,er!C:C,0),1)</f>
        <v>0</v>
      </c>
    </row>
    <row r="21" spans="1:92" ht="12.5" x14ac:dyDescent="0.25">
      <c r="A21" s="93" t="s">
        <v>168</v>
      </c>
      <c r="B21" s="93" t="s">
        <v>96</v>
      </c>
      <c r="C21" s="93" t="s">
        <v>103</v>
      </c>
      <c r="D21" s="93" t="s">
        <v>169</v>
      </c>
      <c r="E21" s="93"/>
      <c r="F21" s="93"/>
      <c r="G21" s="94" t="s">
        <v>107</v>
      </c>
      <c r="H21" s="93" t="s">
        <v>436</v>
      </c>
      <c r="I21" s="94" t="s">
        <v>107</v>
      </c>
      <c r="J21" s="94">
        <v>1206718.48</v>
      </c>
      <c r="K21" s="94">
        <v>1206718.48</v>
      </c>
      <c r="L21" s="94" t="s">
        <v>111</v>
      </c>
      <c r="M21" s="94">
        <v>1206718.48</v>
      </c>
      <c r="N21" s="94" t="s">
        <v>111</v>
      </c>
      <c r="O21" s="94">
        <v>1206718.48</v>
      </c>
      <c r="P21" s="94">
        <v>729431.2</v>
      </c>
      <c r="Q21" s="93" t="s">
        <v>111</v>
      </c>
      <c r="R21" s="94" t="s">
        <v>105</v>
      </c>
      <c r="S21" s="94"/>
      <c r="T21" s="94"/>
      <c r="U21" s="94">
        <v>0</v>
      </c>
      <c r="V21" s="93" t="s">
        <v>94</v>
      </c>
      <c r="W21" s="8" t="s">
        <v>98</v>
      </c>
      <c r="X21" s="94" t="s">
        <v>103</v>
      </c>
      <c r="Y21" s="94" t="s">
        <v>107</v>
      </c>
      <c r="Z21" s="94" t="s">
        <v>105</v>
      </c>
      <c r="AA21" s="94" t="s">
        <v>111</v>
      </c>
      <c r="AB21" s="94">
        <v>1206718.48</v>
      </c>
      <c r="AC21" s="94" t="s">
        <v>111</v>
      </c>
      <c r="AD21" s="94">
        <v>729431.15</v>
      </c>
      <c r="AE21" s="94">
        <v>39.549999999999997</v>
      </c>
      <c r="AF21" s="94" t="s">
        <v>99</v>
      </c>
      <c r="AG21" s="94">
        <v>0</v>
      </c>
      <c r="AH21" s="94">
        <v>0</v>
      </c>
      <c r="AI21" s="94">
        <v>0.05</v>
      </c>
      <c r="AJ21" s="94">
        <v>0</v>
      </c>
      <c r="AK21" s="94">
        <v>0.39552496121547764</v>
      </c>
      <c r="AL21" s="94" t="s">
        <v>99</v>
      </c>
      <c r="AM21" s="93" t="s">
        <v>484</v>
      </c>
      <c r="AN21" s="94"/>
      <c r="AO21" s="94" t="s">
        <v>16</v>
      </c>
      <c r="AP21" s="94" t="s">
        <v>16</v>
      </c>
      <c r="AQ21" s="94"/>
      <c r="AR21" s="94" t="s">
        <v>16</v>
      </c>
      <c r="AS21" s="94"/>
      <c r="AT21" s="94" t="s">
        <v>16</v>
      </c>
      <c r="AU21" s="94">
        <v>1206718.48</v>
      </c>
      <c r="AV21" s="94">
        <v>862</v>
      </c>
      <c r="AW21" s="94" t="s">
        <v>16</v>
      </c>
      <c r="AX21" s="94">
        <v>1206718.48</v>
      </c>
      <c r="AY21" s="94">
        <v>863.79</v>
      </c>
      <c r="AZ21" s="94" t="s">
        <v>111</v>
      </c>
      <c r="BA21" s="94">
        <v>729431.15</v>
      </c>
      <c r="BB21" s="94" t="s">
        <v>99</v>
      </c>
      <c r="BC21" s="94">
        <v>0.05</v>
      </c>
      <c r="BD21" s="94">
        <v>0</v>
      </c>
      <c r="BE21" s="60">
        <f t="array" ref="BE21">IFERROR(INDEX('Com&amp;tax'!$E$2:$E$5, MATCH(1, ('Com&amp;tax'!$A$2:$A$5=B21)*('Com&amp;tax'!$B$2:$B$5=G21), 0)),"")</f>
        <v>0.15</v>
      </c>
      <c r="BF21" s="58">
        <f t="shared" si="47"/>
        <v>181007.772</v>
      </c>
      <c r="BG21" s="58">
        <f t="array" aca="1" ref="BG21" ca="1">IF(A21="","",( IFERROR((O21/ INDEX(er!$D$3:$D$75,MATCH(1, (er!$A$3:$A$75=$BG$2)*(er!$C$3:$C$75=Q21), 0)))*BE21,"")))</f>
        <v>129.56891338582676</v>
      </c>
      <c r="BH21" s="58">
        <f t="shared" si="48"/>
        <v>-181007.772</v>
      </c>
      <c r="BI21" s="59">
        <f t="array" ref="BI21">IFERROR(INDEX('Com&amp;tax'!$F$2:$F$5, MATCH(1, ('Com&amp;tax'!$A$2:$A$5=B21)*('Com&amp;tax'!$B$2:$B$5=Y21), 0)),0)</f>
        <v>4.9000000000000002E-2</v>
      </c>
      <c r="BJ21" s="58">
        <f t="shared" si="49"/>
        <v>50259.824692000002</v>
      </c>
      <c r="BK21" s="58">
        <f t="array" aca="1" ref="BK21" ca="1">IF(A21="","",( IFERROR((J21*(1-BE21))*BI21/INDEX(er!D:D, MATCH(Q21,er!C:C,0),1),0)))</f>
        <v>35.976968283464565</v>
      </c>
      <c r="BL21" s="60">
        <f t="array" ref="BL21">IFERROR(INDEX('Com&amp;tax'!$G$2:$G$5, MATCH(1, ('Com&amp;tax'!$A$2:$A$5=B21)*('Com&amp;tax'!$B$2:$B$5=Y21), 0)),0)</f>
        <v>0.1575</v>
      </c>
      <c r="BM21" s="58">
        <f t="shared" si="50"/>
        <v>161549.43651</v>
      </c>
      <c r="BN21" s="58">
        <f t="array" aca="1" ref="BN21" ca="1">IF(A21="","",( IFERROR((J21*(1-BE21))*BL21/INDEX(er!D:D, MATCH(Q21,er!C:C,0),1),0)))</f>
        <v>115.64025519685039</v>
      </c>
      <c r="BO21" s="60">
        <f t="array" ref="BO21">IFERROR(INDEX('Com&amp;tax'!$H$2:$H$5, MATCH(1, ('Com&amp;tax'!$A$2:$A$5=B21)*('Com&amp;tax'!$B$2:$B$5=Y21), 0)),0)</f>
        <v>7.0000000000000007E-2</v>
      </c>
      <c r="BP21" s="58">
        <f t="shared" si="51"/>
        <v>84470.293600000005</v>
      </c>
      <c r="BQ21" s="58">
        <f t="array" aca="1" ref="BQ21" ca="1">IF(A21="","",( IFERROR(J21*BO21/INDEX(er!D:D, MATCH(Q21,er!C:C,0),1),0)))</f>
        <v>60.46549291338583</v>
      </c>
      <c r="BR21" s="108">
        <f t="array" ref="BR21">IFERROR(INDEX('Com&amp;tax'!$F$2:$F$5, MATCH(1, ('Com&amp;tax'!$A$2:$A$5=B21)*('Com&amp;tax'!$D$2:$D$5=H21), 0)),0)</f>
        <v>4.9000000000000002E-2</v>
      </c>
      <c r="BS21" s="109">
        <f t="shared" si="52"/>
        <v>50259.824692000002</v>
      </c>
      <c r="BT21" s="109">
        <f t="array" aca="1" ref="BT21" ca="1">IF(A21="","",( IFERROR((J21*(1-BE21))*BR21/INDEX(er!D:D, MATCH(Q21,er!C:C,0),1),0)))</f>
        <v>35.976968283464565</v>
      </c>
      <c r="BU21" s="108">
        <f t="array" ref="BU21">IFERROR(INDEX('Com&amp;tax'!$G$2:$G$5, MATCH(1, ('Com&amp;tax'!$A$2:$A$5=B21)*('Com&amp;tax'!$D$2:$D$5=H21), 0)),0)</f>
        <v>0.1575</v>
      </c>
      <c r="BV21" s="109">
        <f t="shared" si="53"/>
        <v>161549.43651</v>
      </c>
      <c r="BW21" s="109">
        <f t="array" aca="1" ref="BW21" ca="1">IF(A21="","",( IFERROR((J21*(1-BE21))*BU21/INDEX(er!D:D, MATCH(Q21,er!C:C,0),1),0)))</f>
        <v>115.64025519685039</v>
      </c>
      <c r="BX21" s="108">
        <f t="array" ref="BX21">IFERROR(INDEX('Com&amp;tax'!$H$2:$H$5, MATCH(1, ('Com&amp;tax'!$A$2:$A$5=B21)*('Com&amp;tax'!$D$2:$D$5=H21), 0)),0)</f>
        <v>7.0000000000000007E-2</v>
      </c>
      <c r="BY21" s="109">
        <f t="shared" si="54"/>
        <v>84470.293600000005</v>
      </c>
      <c r="BZ21" s="109">
        <f t="array" aca="1" ref="BZ21" ca="1">IF(A21="","",( IFERROR(J21*BX21/INDEX(er!D:D, MATCH(Q21,er!C:C,0),1),0)))</f>
        <v>60.46549291338583</v>
      </c>
      <c r="CA21" s="96">
        <f t="array" aca="1" ref="CA21" ca="1">IF(A21="","",( IFERROR(1-((P21/ INDEX(er!$D$3:$D$75,MATCH(1, (er!$A$3:$A$75=$BG$2)*(er!$C$3:$C$75=Q21), 0))   /  (J21/ INDEX(er!$D$3:$D$75,MATCH(1, (er!$A$3:$A$75=$BG$2)*(er!$C$3:$C$75=L21), 0))))),"")))</f>
        <v>0.39552496121547764</v>
      </c>
      <c r="CB21" s="96">
        <f t="shared" si="55"/>
        <v>0.39552500265016244</v>
      </c>
      <c r="CC21" s="111">
        <f t="shared" ca="1" si="56"/>
        <v>-4.1434684794339205E-8</v>
      </c>
      <c r="CD21" s="110">
        <f t="shared" ref="CD21:CE21" si="63">BJ21+BM21-BS21-BV21</f>
        <v>0</v>
      </c>
      <c r="CE21" s="110">
        <f t="shared" ca="1" si="63"/>
        <v>0</v>
      </c>
      <c r="CF21" s="110">
        <f t="shared" ca="1" si="58"/>
        <v>0</v>
      </c>
      <c r="CG21" s="8" t="str">
        <f t="shared" si="59"/>
        <v>OK</v>
      </c>
      <c r="CH21" s="8"/>
      <c r="CI21" t="s">
        <v>99</v>
      </c>
      <c r="CK21" s="240">
        <v>0</v>
      </c>
      <c r="CL21" s="239">
        <f ca="1">(AI21+CK21)/INDEX(er!D:D,MATCH(AC21,er!C:C,0),1)</f>
        <v>3.5790980672870439E-5</v>
      </c>
      <c r="CN21" s="239">
        <f ca="1">CK21/INDEX(er!D:D,MATCH(AC21,er!C:C,0),1)</f>
        <v>0</v>
      </c>
    </row>
    <row r="22" spans="1:92" ht="12.5" x14ac:dyDescent="0.25">
      <c r="A22" s="93" t="s">
        <v>172</v>
      </c>
      <c r="B22" s="93" t="s">
        <v>96</v>
      </c>
      <c r="C22" s="93" t="s">
        <v>103</v>
      </c>
      <c r="D22" s="93" t="s">
        <v>173</v>
      </c>
      <c r="E22" s="93"/>
      <c r="F22" s="93"/>
      <c r="G22" s="94" t="s">
        <v>107</v>
      </c>
      <c r="H22" s="93" t="s">
        <v>436</v>
      </c>
      <c r="I22" s="94" t="s">
        <v>107</v>
      </c>
      <c r="J22" s="94">
        <v>2431431.12</v>
      </c>
      <c r="K22" s="94">
        <v>2431431.12</v>
      </c>
      <c r="L22" s="94" t="s">
        <v>111</v>
      </c>
      <c r="M22" s="94">
        <v>2431431.12</v>
      </c>
      <c r="N22" s="94" t="s">
        <v>111</v>
      </c>
      <c r="O22" s="94">
        <v>2431431.12</v>
      </c>
      <c r="P22" s="94">
        <v>1469739.42</v>
      </c>
      <c r="Q22" s="93" t="s">
        <v>111</v>
      </c>
      <c r="R22" s="94" t="s">
        <v>105</v>
      </c>
      <c r="S22" s="94"/>
      <c r="T22" s="94"/>
      <c r="U22" s="94">
        <v>0</v>
      </c>
      <c r="V22" s="93" t="s">
        <v>94</v>
      </c>
      <c r="W22" s="8" t="s">
        <v>98</v>
      </c>
      <c r="X22" s="94" t="s">
        <v>103</v>
      </c>
      <c r="Y22" s="94" t="s">
        <v>107</v>
      </c>
      <c r="Z22" s="94" t="s">
        <v>105</v>
      </c>
      <c r="AA22" s="94" t="s">
        <v>111</v>
      </c>
      <c r="AB22" s="94">
        <v>2431431.12</v>
      </c>
      <c r="AC22" s="94" t="s">
        <v>111</v>
      </c>
      <c r="AD22" s="94">
        <v>1469739.32</v>
      </c>
      <c r="AE22" s="94">
        <v>39.549999999999997</v>
      </c>
      <c r="AF22" s="94" t="s">
        <v>99</v>
      </c>
      <c r="AG22" s="94">
        <v>0</v>
      </c>
      <c r="AH22" s="94">
        <v>0</v>
      </c>
      <c r="AI22" s="94">
        <v>0.1</v>
      </c>
      <c r="AJ22" s="94">
        <v>0</v>
      </c>
      <c r="AK22" s="94">
        <v>0.39552496144739646</v>
      </c>
      <c r="AL22" s="94" t="s">
        <v>99</v>
      </c>
      <c r="AM22" s="93" t="s">
        <v>485</v>
      </c>
      <c r="AN22" s="94"/>
      <c r="AO22" s="94" t="s">
        <v>16</v>
      </c>
      <c r="AP22" s="94" t="s">
        <v>16</v>
      </c>
      <c r="AQ22" s="94"/>
      <c r="AR22" s="94" t="s">
        <v>16</v>
      </c>
      <c r="AS22" s="94"/>
      <c r="AT22" s="94" t="s">
        <v>16</v>
      </c>
      <c r="AU22" s="94">
        <v>2431431.12</v>
      </c>
      <c r="AV22" s="94">
        <v>1738</v>
      </c>
      <c r="AW22" s="94" t="s">
        <v>16</v>
      </c>
      <c r="AX22" s="94">
        <v>2431431.12</v>
      </c>
      <c r="AY22" s="94">
        <v>1740.47</v>
      </c>
      <c r="AZ22" s="94" t="s">
        <v>111</v>
      </c>
      <c r="BA22" s="94">
        <v>1469739.33</v>
      </c>
      <c r="BB22" s="94" t="s">
        <v>99</v>
      </c>
      <c r="BC22" s="94">
        <v>0.09</v>
      </c>
      <c r="BD22" s="94">
        <v>0</v>
      </c>
      <c r="BE22" s="60">
        <f t="array" ref="BE22">IFERROR(INDEX('Com&amp;tax'!$E$2:$E$5, MATCH(1, ('Com&amp;tax'!$A$2:$A$5=B22)*('Com&amp;tax'!$B$2:$B$5=G22), 0)),"")</f>
        <v>0.15</v>
      </c>
      <c r="BF22" s="58">
        <f t="shared" si="47"/>
        <v>364714.66800000001</v>
      </c>
      <c r="BG22" s="58">
        <f t="array" aca="1" ref="BG22" ca="1">IF(A22="","",( IFERROR((O22/ INDEX(er!$D$3:$D$75,MATCH(1, (er!$A$3:$A$75=$BG$2)*(er!$C$3:$C$75=Q22), 0)))*BE22,"")))</f>
        <v>261.06991267000717</v>
      </c>
      <c r="BH22" s="58">
        <f t="shared" si="48"/>
        <v>-364714.66800000001</v>
      </c>
      <c r="BI22" s="59">
        <f t="array" ref="BI22">IFERROR(INDEX('Com&amp;tax'!$F$2:$F$5, MATCH(1, ('Com&amp;tax'!$A$2:$A$5=B22)*('Com&amp;tax'!$B$2:$B$5=Y22), 0)),0)</f>
        <v>4.9000000000000002E-2</v>
      </c>
      <c r="BJ22" s="58">
        <f t="shared" si="49"/>
        <v>101269.10614800001</v>
      </c>
      <c r="BK22" s="58">
        <f t="array" aca="1" ref="BK22" ca="1">IF(A22="","",( IFERROR((J22*(1-BE22))*BI22/INDEX(er!D:D, MATCH(Q22,er!C:C,0),1),0)))</f>
        <v>72.490412418038659</v>
      </c>
      <c r="BL22" s="60">
        <f t="array" ref="BL22">IFERROR(INDEX('Com&amp;tax'!$G$2:$G$5, MATCH(1, ('Com&amp;tax'!$A$2:$A$5=B22)*('Com&amp;tax'!$B$2:$B$5=Y22), 0)),0)</f>
        <v>0.1575</v>
      </c>
      <c r="BM22" s="58">
        <f t="shared" si="50"/>
        <v>325507.84119000001</v>
      </c>
      <c r="BN22" s="58">
        <f t="array" aca="1" ref="BN22" ca="1">IF(A22="","",( IFERROR((J22*(1-BE22))*BL22/INDEX(er!D:D, MATCH(Q22,er!C:C,0),1),0)))</f>
        <v>233.0048970579814</v>
      </c>
      <c r="BO22" s="60">
        <f t="array" ref="BO22">IFERROR(INDEX('Com&amp;tax'!$H$2:$H$5, MATCH(1, ('Com&amp;tax'!$A$2:$A$5=B22)*('Com&amp;tax'!$B$2:$B$5=Y22), 0)),0)</f>
        <v>7.0000000000000007E-2</v>
      </c>
      <c r="BP22" s="58">
        <f t="shared" si="51"/>
        <v>170200.17840000003</v>
      </c>
      <c r="BQ22" s="58">
        <f t="array" aca="1" ref="BQ22" ca="1">IF(A22="","",( IFERROR(J22*BO22/INDEX(er!D:D, MATCH(Q22,er!C:C,0),1),0)))</f>
        <v>121.83262591267003</v>
      </c>
      <c r="BR22" s="108">
        <f t="array" ref="BR22">IFERROR(INDEX('Com&amp;tax'!$F$2:$F$5, MATCH(1, ('Com&amp;tax'!$A$2:$A$5=B22)*('Com&amp;tax'!$D$2:$D$5=H22), 0)),0)</f>
        <v>4.9000000000000002E-2</v>
      </c>
      <c r="BS22" s="109">
        <f t="shared" si="52"/>
        <v>101269.10614800001</v>
      </c>
      <c r="BT22" s="109">
        <f t="array" aca="1" ref="BT22" ca="1">IF(A22="","",( IFERROR((J22*(1-BE22))*BR22/INDEX(er!D:D, MATCH(Q22,er!C:C,0),1),0)))</f>
        <v>72.490412418038659</v>
      </c>
      <c r="BU22" s="108">
        <f t="array" ref="BU22">IFERROR(INDEX('Com&amp;tax'!$G$2:$G$5, MATCH(1, ('Com&amp;tax'!$A$2:$A$5=B22)*('Com&amp;tax'!$D$2:$D$5=H22), 0)),0)</f>
        <v>0.1575</v>
      </c>
      <c r="BV22" s="109">
        <f t="shared" si="53"/>
        <v>325507.84119000001</v>
      </c>
      <c r="BW22" s="109">
        <f t="array" aca="1" ref="BW22" ca="1">IF(A22="","",( IFERROR((J22*(1-BE22))*BU22/INDEX(er!D:D, MATCH(Q22,er!C:C,0),1),0)))</f>
        <v>233.0048970579814</v>
      </c>
      <c r="BX22" s="108">
        <f t="array" ref="BX22">IFERROR(INDEX('Com&amp;tax'!$H$2:$H$5, MATCH(1, ('Com&amp;tax'!$A$2:$A$5=B22)*('Com&amp;tax'!$D$2:$D$5=H22), 0)),0)</f>
        <v>7.0000000000000007E-2</v>
      </c>
      <c r="BY22" s="109">
        <f t="shared" si="54"/>
        <v>170200.17840000003</v>
      </c>
      <c r="BZ22" s="109">
        <f t="array" aca="1" ref="BZ22" ca="1">IF(A22="","",( IFERROR(J22*BX22/INDEX(er!D:D, MATCH(Q22,er!C:C,0),1),0)))</f>
        <v>121.83262591267003</v>
      </c>
      <c r="CA22" s="96">
        <f t="array" aca="1" ref="CA22" ca="1">IF(A22="","",( IFERROR(1-((P22/ INDEX(er!$D$3:$D$75,MATCH(1, (er!$A$3:$A$75=$BG$2)*(er!$C$3:$C$75=Q22), 0))   /  (J22/ INDEX(er!$D$3:$D$75,MATCH(1, (er!$A$3:$A$75=$BG$2)*(er!$C$3:$C$75=L22), 0))))),"")))</f>
        <v>0.39552496144739646</v>
      </c>
      <c r="CB22" s="96">
        <f t="shared" si="55"/>
        <v>0.39552500257543799</v>
      </c>
      <c r="CC22" s="111">
        <f t="shared" ca="1" si="56"/>
        <v>-4.1128041528004644E-8</v>
      </c>
      <c r="CD22" s="110">
        <f t="shared" ref="CD22:CE22" si="64">BJ22+BM22-BS22-BV22</f>
        <v>0</v>
      </c>
      <c r="CE22" s="110">
        <f t="shared" ca="1" si="64"/>
        <v>0</v>
      </c>
      <c r="CF22" s="110">
        <f t="shared" ca="1" si="58"/>
        <v>0</v>
      </c>
      <c r="CG22" s="8" t="str">
        <f t="shared" si="59"/>
        <v>OK</v>
      </c>
      <c r="CH22" s="8"/>
      <c r="CI22" t="s">
        <v>99</v>
      </c>
      <c r="CK22" s="240">
        <v>0</v>
      </c>
      <c r="CL22" s="239">
        <f ca="1">(AI22+CK22)/INDEX(er!D:D,MATCH(AC22,er!C:C,0),1)</f>
        <v>7.1581961345740878E-5</v>
      </c>
      <c r="CN22" s="239">
        <f ca="1">CK22/INDEX(er!D:D,MATCH(AC22,er!C:C,0),1)</f>
        <v>0</v>
      </c>
    </row>
    <row r="23" spans="1:92" ht="12.5" x14ac:dyDescent="0.25">
      <c r="A23" s="93" t="s">
        <v>176</v>
      </c>
      <c r="B23" s="93" t="s">
        <v>100</v>
      </c>
      <c r="C23" s="93" t="s">
        <v>103</v>
      </c>
      <c r="D23" s="93" t="s">
        <v>177</v>
      </c>
      <c r="E23" s="93"/>
      <c r="F23" s="93"/>
      <c r="G23" s="94" t="s">
        <v>107</v>
      </c>
      <c r="H23" s="93" t="s">
        <v>436</v>
      </c>
      <c r="I23" s="94" t="s">
        <v>107</v>
      </c>
      <c r="J23" s="94">
        <v>4454635.05</v>
      </c>
      <c r="K23" s="94">
        <v>4454635.05</v>
      </c>
      <c r="L23" s="94" t="s">
        <v>111</v>
      </c>
      <c r="M23" s="94">
        <v>4454635.05</v>
      </c>
      <c r="N23" s="94" t="s">
        <v>111</v>
      </c>
      <c r="O23" s="94">
        <v>4454635.05</v>
      </c>
      <c r="P23" s="94">
        <v>2940036.86</v>
      </c>
      <c r="Q23" s="93" t="s">
        <v>111</v>
      </c>
      <c r="R23" s="94" t="s">
        <v>105</v>
      </c>
      <c r="S23" s="94"/>
      <c r="T23" s="94"/>
      <c r="U23" s="94">
        <v>0</v>
      </c>
      <c r="V23" s="93" t="s">
        <v>94</v>
      </c>
      <c r="W23" s="8" t="s">
        <v>98</v>
      </c>
      <c r="X23" s="94" t="s">
        <v>103</v>
      </c>
      <c r="Y23" s="94" t="s">
        <v>107</v>
      </c>
      <c r="Z23" s="94" t="s">
        <v>105</v>
      </c>
      <c r="AA23" s="94" t="s">
        <v>111</v>
      </c>
      <c r="AB23" s="94">
        <v>4454635.05</v>
      </c>
      <c r="AC23" s="94" t="s">
        <v>111</v>
      </c>
      <c r="AD23" s="94">
        <v>2940148.23</v>
      </c>
      <c r="AE23" s="94">
        <v>34</v>
      </c>
      <c r="AF23" s="94" t="s">
        <v>99</v>
      </c>
      <c r="AG23" s="94">
        <v>0</v>
      </c>
      <c r="AH23" s="94">
        <v>0</v>
      </c>
      <c r="AI23" s="94">
        <v>-111.37</v>
      </c>
      <c r="AJ23" s="94">
        <v>-0.08</v>
      </c>
      <c r="AK23" s="94">
        <v>0.34000499996065903</v>
      </c>
      <c r="AL23" s="94" t="s">
        <v>99</v>
      </c>
      <c r="AM23" s="93" t="s">
        <v>486</v>
      </c>
      <c r="AN23" s="94"/>
      <c r="AO23" s="94" t="s">
        <v>16</v>
      </c>
      <c r="AP23" s="94" t="s">
        <v>16</v>
      </c>
      <c r="AQ23" s="94"/>
      <c r="AR23" s="94" t="s">
        <v>16</v>
      </c>
      <c r="AS23" s="94"/>
      <c r="AT23" s="94" t="s">
        <v>16</v>
      </c>
      <c r="AU23" s="94">
        <v>4454635.05</v>
      </c>
      <c r="AV23" s="94">
        <v>3187</v>
      </c>
      <c r="AW23" s="94" t="s">
        <v>16</v>
      </c>
      <c r="AX23" s="94">
        <v>4454635.05</v>
      </c>
      <c r="AY23" s="94">
        <v>3188.72</v>
      </c>
      <c r="AZ23" s="94" t="s">
        <v>111</v>
      </c>
      <c r="BA23" s="94">
        <v>2940148.22</v>
      </c>
      <c r="BB23" s="94" t="s">
        <v>99</v>
      </c>
      <c r="BC23" s="94">
        <v>-111.36</v>
      </c>
      <c r="BD23" s="94">
        <v>-0.08</v>
      </c>
      <c r="BE23" s="60">
        <f t="array" ref="BE23">IFERROR(INDEX('Com&amp;tax'!$E$2:$E$5, MATCH(1, ('Com&amp;tax'!$A$2:$A$5=B23)*('Com&amp;tax'!$B$2:$B$5=G23), 0)),"")</f>
        <v>0.15</v>
      </c>
      <c r="BF23" s="58">
        <f t="shared" si="47"/>
        <v>668195.25749999995</v>
      </c>
      <c r="BG23" s="58">
        <f t="array" aca="1" ref="BG23" ca="1">IF(A23="","",( IFERROR((O23/ INDEX(er!$D$3:$D$75,MATCH(1, (er!$A$3:$A$75=$BG$2)*(er!$C$3:$C$75=Q23), 0)))*BE23,"")))</f>
        <v>478.30727093772367</v>
      </c>
      <c r="BH23" s="58">
        <f t="shared" si="48"/>
        <v>-668195.25749999995</v>
      </c>
      <c r="BI23" s="59">
        <f t="array" ref="BI23">IFERROR(INDEX('Com&amp;tax'!$F$2:$F$5, MATCH(1, ('Com&amp;tax'!$A$2:$A$5=B23)*('Com&amp;tax'!$B$2:$B$5=Y23), 0)),0)</f>
        <v>4.9000000000000002E-2</v>
      </c>
      <c r="BJ23" s="58">
        <f t="shared" si="49"/>
        <v>185535.54983249999</v>
      </c>
      <c r="BK23" s="58">
        <f t="array" aca="1" ref="BK23" ca="1">IF(A23="","",( IFERROR((J23*(1-BE23))*BI23/INDEX(er!D:D, MATCH(Q23,er!C:C,0),1),0)))</f>
        <v>132.80998556370795</v>
      </c>
      <c r="BL23" s="60">
        <f t="array" ref="BL23">IFERROR(INDEX('Com&amp;tax'!$G$2:$G$5, MATCH(1, ('Com&amp;tax'!$A$2:$A$5=B23)*('Com&amp;tax'!$B$2:$B$5=Y23), 0)),0)</f>
        <v>0.1575</v>
      </c>
      <c r="BM23" s="58">
        <f t="shared" si="50"/>
        <v>596364.26731874992</v>
      </c>
      <c r="BN23" s="58">
        <f t="array" aca="1" ref="BN23" ca="1">IF(A23="","",( IFERROR((J23*(1-BE23))*BL23/INDEX(er!D:D, MATCH(Q23,er!C:C,0),1),0)))</f>
        <v>426.88923931191835</v>
      </c>
      <c r="BO23" s="60">
        <f t="array" ref="BO23">IFERROR(INDEX('Com&amp;tax'!$H$2:$H$5, MATCH(1, ('Com&amp;tax'!$A$2:$A$5=B23)*('Com&amp;tax'!$B$2:$B$5=Y23), 0)),0)</f>
        <v>0</v>
      </c>
      <c r="BP23" s="58">
        <f t="shared" si="51"/>
        <v>0</v>
      </c>
      <c r="BQ23" s="58">
        <f t="array" aca="1" ref="BQ23" ca="1">IF(A23="","",( IFERROR(J23*BO23/INDEX(er!D:D, MATCH(Q23,er!C:C,0),1),0)))</f>
        <v>0</v>
      </c>
      <c r="BR23" s="108">
        <f t="array" ref="BR23">IFERROR(INDEX('Com&amp;tax'!$F$2:$F$5, MATCH(1, ('Com&amp;tax'!$A$2:$A$5=B23)*('Com&amp;tax'!$D$2:$D$5=H23), 0)),0)</f>
        <v>4.9000000000000002E-2</v>
      </c>
      <c r="BS23" s="109">
        <f t="shared" si="52"/>
        <v>185535.54983249999</v>
      </c>
      <c r="BT23" s="109">
        <f t="array" aca="1" ref="BT23" ca="1">IF(A23="","",( IFERROR((J23*(1-BE23))*BR23/INDEX(er!D:D, MATCH(Q23,er!C:C,0),1),0)))</f>
        <v>132.80998556370795</v>
      </c>
      <c r="BU23" s="108">
        <f t="array" ref="BU23">IFERROR(INDEX('Com&amp;tax'!$G$2:$G$5, MATCH(1, ('Com&amp;tax'!$A$2:$A$5=B23)*('Com&amp;tax'!$D$2:$D$5=H23), 0)),0)</f>
        <v>0.1575</v>
      </c>
      <c r="BV23" s="109">
        <f t="shared" si="53"/>
        <v>596364.26731874992</v>
      </c>
      <c r="BW23" s="109">
        <f t="array" aca="1" ref="BW23" ca="1">IF(A23="","",( IFERROR((J23*(1-BE23))*BU23/INDEX(er!D:D, MATCH(Q23,er!C:C,0),1),0)))</f>
        <v>426.88923931191835</v>
      </c>
      <c r="BX23" s="108">
        <f t="array" ref="BX23">IFERROR(INDEX('Com&amp;tax'!$H$2:$H$5, MATCH(1, ('Com&amp;tax'!$A$2:$A$5=B23)*('Com&amp;tax'!$D$2:$D$5=H23), 0)),0)</f>
        <v>0</v>
      </c>
      <c r="BY23" s="109">
        <f t="shared" si="54"/>
        <v>0</v>
      </c>
      <c r="BZ23" s="109">
        <f t="array" aca="1" ref="BZ23" ca="1">IF(A23="","",( IFERROR(J23*BX23/INDEX(er!D:D, MATCH(Q23,er!C:C,0),1),0)))</f>
        <v>0</v>
      </c>
      <c r="CA23" s="96">
        <f t="array" aca="1" ref="CA23" ca="1">IF(A23="","",( IFERROR(1-((P23/ INDEX(er!$D$3:$D$75,MATCH(1, (er!$A$3:$A$75=$BG$2)*(er!$C$3:$C$75=Q23), 0))   /  (J23/ INDEX(er!$D$3:$D$75,MATCH(1, (er!$A$3:$A$75=$BG$2)*(er!$C$3:$C$75=L23), 0))))),"")))</f>
        <v>0.34000499996065903</v>
      </c>
      <c r="CB23" s="96">
        <f t="shared" si="55"/>
        <v>0.33997999903493781</v>
      </c>
      <c r="CC23" s="111">
        <f t="shared" ca="1" si="56"/>
        <v>2.5000925721219147E-5</v>
      </c>
      <c r="CD23" s="110">
        <f t="shared" ref="CD23:CE23" si="65">BJ23+BM23-BS23-BV23</f>
        <v>0</v>
      </c>
      <c r="CE23" s="110">
        <f t="shared" ca="1" si="65"/>
        <v>0</v>
      </c>
      <c r="CF23" s="110">
        <f t="shared" ca="1" si="58"/>
        <v>-0.08</v>
      </c>
      <c r="CG23" s="8" t="str">
        <f t="shared" si="59"/>
        <v>OK</v>
      </c>
      <c r="CH23" s="8"/>
      <c r="CI23" t="s">
        <v>99</v>
      </c>
      <c r="CK23" s="240">
        <v>0</v>
      </c>
      <c r="CL23" s="239">
        <f ca="1">(AI23+CK23)/INDEX(er!D:D,MATCH(AC23,er!C:C,0),1)</f>
        <v>-7.9720830350751615E-2</v>
      </c>
      <c r="CN23" s="239">
        <f ca="1">CK23/INDEX(er!D:D,MATCH(AC23,er!C:C,0),1)</f>
        <v>0</v>
      </c>
    </row>
    <row r="24" spans="1:92" ht="12.5" x14ac:dyDescent="0.25">
      <c r="A24" s="93" t="s">
        <v>179</v>
      </c>
      <c r="B24" s="93" t="s">
        <v>100</v>
      </c>
      <c r="C24" s="93" t="s">
        <v>103</v>
      </c>
      <c r="D24" s="93" t="s">
        <v>180</v>
      </c>
      <c r="E24" s="93"/>
      <c r="F24" s="93"/>
      <c r="G24" s="94" t="s">
        <v>107</v>
      </c>
      <c r="H24" s="93" t="s">
        <v>436</v>
      </c>
      <c r="I24" s="94" t="s">
        <v>107</v>
      </c>
      <c r="J24" s="94">
        <v>2304000</v>
      </c>
      <c r="K24" s="94">
        <v>2304000</v>
      </c>
      <c r="L24" s="94" t="s">
        <v>111</v>
      </c>
      <c r="M24" s="94">
        <v>2304000</v>
      </c>
      <c r="N24" s="94" t="s">
        <v>111</v>
      </c>
      <c r="O24" s="94">
        <v>2304000</v>
      </c>
      <c r="P24" s="94">
        <v>1520628.48</v>
      </c>
      <c r="Q24" s="93" t="s">
        <v>111</v>
      </c>
      <c r="R24" s="94" t="s">
        <v>105</v>
      </c>
      <c r="S24" s="94"/>
      <c r="T24" s="94"/>
      <c r="U24" s="94">
        <v>0</v>
      </c>
      <c r="V24" s="93" t="s">
        <v>94</v>
      </c>
      <c r="W24" s="8" t="s">
        <v>98</v>
      </c>
      <c r="X24" s="94" t="s">
        <v>103</v>
      </c>
      <c r="Y24" s="94" t="s">
        <v>107</v>
      </c>
      <c r="Z24" s="94" t="s">
        <v>105</v>
      </c>
      <c r="AA24" s="94" t="s">
        <v>111</v>
      </c>
      <c r="AB24" s="94">
        <v>2304000</v>
      </c>
      <c r="AC24" s="94" t="s">
        <v>111</v>
      </c>
      <c r="AD24" s="94">
        <v>1520686.0800000001</v>
      </c>
      <c r="AE24" s="94">
        <v>34</v>
      </c>
      <c r="AF24" s="94" t="s">
        <v>99</v>
      </c>
      <c r="AG24" s="94">
        <v>0</v>
      </c>
      <c r="AH24" s="94">
        <v>0</v>
      </c>
      <c r="AI24" s="94">
        <v>-57.6</v>
      </c>
      <c r="AJ24" s="94">
        <v>-0.04</v>
      </c>
      <c r="AK24" s="94">
        <v>0.340005</v>
      </c>
      <c r="AL24" s="94" t="s">
        <v>99</v>
      </c>
      <c r="AM24" s="93" t="s">
        <v>487</v>
      </c>
      <c r="AN24" s="94"/>
      <c r="AO24" s="94" t="s">
        <v>16</v>
      </c>
      <c r="AP24" s="94" t="s">
        <v>16</v>
      </c>
      <c r="AQ24" s="94"/>
      <c r="AR24" s="94" t="s">
        <v>16</v>
      </c>
      <c r="AS24" s="94"/>
      <c r="AT24" s="94" t="s">
        <v>16</v>
      </c>
      <c r="AU24" s="94">
        <v>2304000</v>
      </c>
      <c r="AV24" s="94">
        <v>1647</v>
      </c>
      <c r="AW24" s="94" t="s">
        <v>16</v>
      </c>
      <c r="AX24" s="94">
        <v>2304000</v>
      </c>
      <c r="AY24" s="94">
        <v>1649.25</v>
      </c>
      <c r="AZ24" s="94" t="s">
        <v>111</v>
      </c>
      <c r="BA24" s="94">
        <v>1520686.0800000001</v>
      </c>
      <c r="BB24" s="94" t="s">
        <v>99</v>
      </c>
      <c r="BC24" s="94">
        <v>-57.6</v>
      </c>
      <c r="BD24" s="94">
        <v>-0.04</v>
      </c>
      <c r="BE24" s="60">
        <f t="array" ref="BE24">IFERROR(INDEX('Com&amp;tax'!$E$2:$E$5, MATCH(1, ('Com&amp;tax'!$A$2:$A$5=B24)*('Com&amp;tax'!$B$2:$B$5=G24), 0)),"")</f>
        <v>0.15</v>
      </c>
      <c r="BF24" s="58">
        <f t="shared" si="47"/>
        <v>345600</v>
      </c>
      <c r="BG24" s="58">
        <f t="array" aca="1" ref="BG24" ca="1">IF(A24="","",( IFERROR((O24/ INDEX(er!$D$3:$D$75,MATCH(1, (er!$A$3:$A$75=$BG$2)*(er!$C$3:$C$75=Q24), 0)))*BE24,"")))</f>
        <v>247.38725841088046</v>
      </c>
      <c r="BH24" s="58">
        <f t="shared" si="48"/>
        <v>-345600</v>
      </c>
      <c r="BI24" s="59">
        <f t="array" ref="BI24">IFERROR(INDEX('Com&amp;tax'!$F$2:$F$5, MATCH(1, ('Com&amp;tax'!$A$2:$A$5=B24)*('Com&amp;tax'!$B$2:$B$5=Y24), 0)),0)</f>
        <v>4.9000000000000002E-2</v>
      </c>
      <c r="BJ24" s="58">
        <f t="shared" si="49"/>
        <v>95961.600000000006</v>
      </c>
      <c r="BK24" s="58">
        <f t="array" aca="1" ref="BK24" ca="1">IF(A24="","",( IFERROR((J24*(1-BE24))*BI24/INDEX(er!D:D, MATCH(Q24,er!C:C,0),1),0)))</f>
        <v>68.691195418754475</v>
      </c>
      <c r="BL24" s="60">
        <f t="array" ref="BL24">IFERROR(INDEX('Com&amp;tax'!$G$2:$G$5, MATCH(1, ('Com&amp;tax'!$A$2:$A$5=B24)*('Com&amp;tax'!$B$2:$B$5=Y24), 0)),0)</f>
        <v>0.1575</v>
      </c>
      <c r="BM24" s="58">
        <f t="shared" si="50"/>
        <v>308448</v>
      </c>
      <c r="BN24" s="58">
        <f t="array" aca="1" ref="BN24" ca="1">IF(A24="","",( IFERROR((J24*(1-BE24))*BL24/INDEX(er!D:D, MATCH(Q24,er!C:C,0),1),0)))</f>
        <v>220.7931281317108</v>
      </c>
      <c r="BO24" s="60">
        <f t="array" ref="BO24">IFERROR(INDEX('Com&amp;tax'!$H$2:$H$5, MATCH(1, ('Com&amp;tax'!$A$2:$A$5=B24)*('Com&amp;tax'!$B$2:$B$5=Y24), 0)),0)</f>
        <v>0</v>
      </c>
      <c r="BP24" s="58">
        <f t="shared" si="51"/>
        <v>0</v>
      </c>
      <c r="BQ24" s="58">
        <f t="array" aca="1" ref="BQ24" ca="1">IF(A24="","",( IFERROR(J24*BO24/INDEX(er!D:D, MATCH(Q24,er!C:C,0),1),0)))</f>
        <v>0</v>
      </c>
      <c r="BR24" s="108">
        <f t="array" ref="BR24">IFERROR(INDEX('Com&amp;tax'!$F$2:$F$5, MATCH(1, ('Com&amp;tax'!$A$2:$A$5=B24)*('Com&amp;tax'!$D$2:$D$5=H24), 0)),0)</f>
        <v>4.9000000000000002E-2</v>
      </c>
      <c r="BS24" s="109">
        <f t="shared" si="52"/>
        <v>95961.600000000006</v>
      </c>
      <c r="BT24" s="109">
        <f t="array" aca="1" ref="BT24" ca="1">IF(A24="","",( IFERROR((J24*(1-BE24))*BR24/INDEX(er!D:D, MATCH(Q24,er!C:C,0),1),0)))</f>
        <v>68.691195418754475</v>
      </c>
      <c r="BU24" s="108">
        <f t="array" ref="BU24">IFERROR(INDEX('Com&amp;tax'!$G$2:$G$5, MATCH(1, ('Com&amp;tax'!$A$2:$A$5=B24)*('Com&amp;tax'!$D$2:$D$5=H24), 0)),0)</f>
        <v>0.1575</v>
      </c>
      <c r="BV24" s="109">
        <f t="shared" si="53"/>
        <v>308448</v>
      </c>
      <c r="BW24" s="109">
        <f t="array" aca="1" ref="BW24" ca="1">IF(A24="","",( IFERROR((J24*(1-BE24))*BU24/INDEX(er!D:D, MATCH(Q24,er!C:C,0),1),0)))</f>
        <v>220.7931281317108</v>
      </c>
      <c r="BX24" s="108">
        <f t="array" ref="BX24">IFERROR(INDEX('Com&amp;tax'!$H$2:$H$5, MATCH(1, ('Com&amp;tax'!$A$2:$A$5=B24)*('Com&amp;tax'!$D$2:$D$5=H24), 0)),0)</f>
        <v>0</v>
      </c>
      <c r="BY24" s="109">
        <f t="shared" si="54"/>
        <v>0</v>
      </c>
      <c r="BZ24" s="109">
        <f t="array" aca="1" ref="BZ24" ca="1">IF(A24="","",( IFERROR(J24*BX24/INDEX(er!D:D, MATCH(Q24,er!C:C,0),1),0)))</f>
        <v>0</v>
      </c>
      <c r="CA24" s="96">
        <f t="array" aca="1" ref="CA24" ca="1">IF(A24="","",( IFERROR(1-((P24/ INDEX(er!$D$3:$D$75,MATCH(1, (er!$A$3:$A$75=$BG$2)*(er!$C$3:$C$75=Q24), 0))   /  (J24/ INDEX(er!$D$3:$D$75,MATCH(1, (er!$A$3:$A$75=$BG$2)*(er!$C$3:$C$75=L24), 0))))),"")))</f>
        <v>0.340005</v>
      </c>
      <c r="CB24" s="96">
        <f t="shared" si="55"/>
        <v>0.33997999999999995</v>
      </c>
      <c r="CC24" s="111">
        <f t="shared" ca="1" si="56"/>
        <v>2.5000000000052758E-5</v>
      </c>
      <c r="CD24" s="110">
        <f t="shared" ref="CD24:CE24" si="66">BJ24+BM24-BS24-BV24</f>
        <v>0</v>
      </c>
      <c r="CE24" s="110">
        <f t="shared" ca="1" si="66"/>
        <v>0</v>
      </c>
      <c r="CF24" s="110">
        <f t="shared" ca="1" si="58"/>
        <v>-0.04</v>
      </c>
      <c r="CG24" s="8" t="str">
        <f t="shared" si="59"/>
        <v>OK</v>
      </c>
      <c r="CH24" s="8"/>
      <c r="CI24" t="s">
        <v>99</v>
      </c>
      <c r="CK24" s="240">
        <v>0</v>
      </c>
      <c r="CL24" s="239">
        <f ca="1">(AI24+CK24)/INDEX(er!D:D,MATCH(AC24,er!C:C,0),1)</f>
        <v>-4.1231209735146747E-2</v>
      </c>
      <c r="CN24" s="239">
        <f ca="1">CK24/INDEX(er!D:D,MATCH(AC24,er!C:C,0),1)</f>
        <v>0</v>
      </c>
    </row>
    <row r="25" spans="1:92" ht="12.5" x14ac:dyDescent="0.25">
      <c r="A25" s="93" t="s">
        <v>182</v>
      </c>
      <c r="B25" s="93" t="s">
        <v>100</v>
      </c>
      <c r="C25" s="93" t="s">
        <v>103</v>
      </c>
      <c r="D25" s="93" t="s">
        <v>183</v>
      </c>
      <c r="E25" s="93"/>
      <c r="F25" s="93"/>
      <c r="G25" s="94" t="s">
        <v>107</v>
      </c>
      <c r="H25" s="93" t="s">
        <v>436</v>
      </c>
      <c r="I25" s="94" t="s">
        <v>107</v>
      </c>
      <c r="J25" s="94">
        <v>1192935.18</v>
      </c>
      <c r="K25" s="94">
        <v>1192935.18</v>
      </c>
      <c r="L25" s="94" t="s">
        <v>111</v>
      </c>
      <c r="M25" s="94">
        <v>1192935.18</v>
      </c>
      <c r="N25" s="94" t="s">
        <v>111</v>
      </c>
      <c r="O25" s="94">
        <v>1192935.18</v>
      </c>
      <c r="P25" s="94">
        <v>787331.25</v>
      </c>
      <c r="Q25" s="93" t="s">
        <v>111</v>
      </c>
      <c r="R25" s="94" t="s">
        <v>105</v>
      </c>
      <c r="S25" s="94"/>
      <c r="T25" s="94"/>
      <c r="U25" s="94">
        <v>0</v>
      </c>
      <c r="V25" s="93" t="s">
        <v>94</v>
      </c>
      <c r="W25" s="8" t="s">
        <v>98</v>
      </c>
      <c r="X25" s="94" t="s">
        <v>103</v>
      </c>
      <c r="Y25" s="94" t="s">
        <v>107</v>
      </c>
      <c r="Z25" s="94" t="s">
        <v>105</v>
      </c>
      <c r="AA25" s="94" t="s">
        <v>111</v>
      </c>
      <c r="AB25" s="94">
        <v>1192935.18</v>
      </c>
      <c r="AC25" s="94" t="s">
        <v>111</v>
      </c>
      <c r="AD25" s="94">
        <v>930489.44</v>
      </c>
      <c r="AE25" s="94">
        <v>22</v>
      </c>
      <c r="AF25" s="94" t="s">
        <v>99</v>
      </c>
      <c r="AG25" s="94">
        <v>0</v>
      </c>
      <c r="AH25" s="94">
        <v>0</v>
      </c>
      <c r="AI25" s="94">
        <v>-143158.19</v>
      </c>
      <c r="AJ25" s="94">
        <v>-102.48</v>
      </c>
      <c r="AK25" s="94">
        <v>0.34000500345710316</v>
      </c>
      <c r="AL25" s="94" t="s">
        <v>99</v>
      </c>
      <c r="AM25" s="93" t="s">
        <v>489</v>
      </c>
      <c r="AN25" s="94"/>
      <c r="AO25" s="94" t="s">
        <v>16</v>
      </c>
      <c r="AP25" s="94" t="s">
        <v>16</v>
      </c>
      <c r="AQ25" s="94"/>
      <c r="AR25" s="94" t="s">
        <v>16</v>
      </c>
      <c r="AS25" s="94"/>
      <c r="AT25" s="94" t="s">
        <v>16</v>
      </c>
      <c r="AU25" s="94">
        <v>1192935.18</v>
      </c>
      <c r="AV25" s="94">
        <v>852</v>
      </c>
      <c r="AW25" s="94" t="s">
        <v>16</v>
      </c>
      <c r="AX25" s="94">
        <v>1192935.18</v>
      </c>
      <c r="AY25" s="94">
        <v>853.93</v>
      </c>
      <c r="AZ25" s="94" t="s">
        <v>111</v>
      </c>
      <c r="BA25" s="94">
        <v>930489.45</v>
      </c>
      <c r="BB25" s="94" t="s">
        <v>99</v>
      </c>
      <c r="BC25" s="94">
        <v>-143158.20000000001</v>
      </c>
      <c r="BD25" s="94">
        <v>-102.48</v>
      </c>
      <c r="BE25" s="60">
        <f t="array" ref="BE25">IFERROR(INDEX('Com&amp;tax'!$E$2:$E$5, MATCH(1, ('Com&amp;tax'!$A$2:$A$5=B25)*('Com&amp;tax'!$B$2:$B$5=G25), 0)),"")</f>
        <v>0.15</v>
      </c>
      <c r="BF25" s="58">
        <f t="shared" si="47"/>
        <v>178940.27699999997</v>
      </c>
      <c r="BG25" s="58">
        <f t="array" aca="1" ref="BG25" ca="1">IF(A25="","",( IFERROR((O25/ INDEX(er!$D$3:$D$75,MATCH(1, (er!$A$3:$A$75=$BG$2)*(er!$C$3:$C$75=Q25), 0)))*BE25,"")))</f>
        <v>128.08895991410162</v>
      </c>
      <c r="BH25" s="58">
        <f t="shared" si="48"/>
        <v>-178940.27699999997</v>
      </c>
      <c r="BI25" s="59">
        <f t="array" ref="BI25">IFERROR(INDEX('Com&amp;tax'!$F$2:$F$5, MATCH(1, ('Com&amp;tax'!$A$2:$A$5=B25)*('Com&amp;tax'!$B$2:$B$5=Y25), 0)),0)</f>
        <v>4.9000000000000002E-2</v>
      </c>
      <c r="BJ25" s="58">
        <f t="shared" si="49"/>
        <v>49685.750246999996</v>
      </c>
      <c r="BK25" s="58">
        <f t="array" aca="1" ref="BK25" ca="1">IF(A25="","",( IFERROR((J25*(1-BE25))*BI25/INDEX(er!D:D, MATCH(Q25,er!C:C,0),1),0)))</f>
        <v>35.566034536148891</v>
      </c>
      <c r="BL25" s="60">
        <f t="array" ref="BL25">IFERROR(INDEX('Com&amp;tax'!$G$2:$G$5, MATCH(1, ('Com&amp;tax'!$A$2:$A$5=B25)*('Com&amp;tax'!$B$2:$B$5=Y25), 0)),0)</f>
        <v>0.1575</v>
      </c>
      <c r="BM25" s="58">
        <f t="shared" si="50"/>
        <v>159704.19722249999</v>
      </c>
      <c r="BN25" s="58">
        <f t="array" aca="1" ref="BN25" ca="1">IF(A25="","",( IFERROR((J25*(1-BE25))*BL25/INDEX(er!D:D, MATCH(Q25,er!C:C,0),1),0)))</f>
        <v>114.31939672333571</v>
      </c>
      <c r="BO25" s="60">
        <f t="array" ref="BO25">IFERROR(INDEX('Com&amp;tax'!$H$2:$H$5, MATCH(1, ('Com&amp;tax'!$A$2:$A$5=B25)*('Com&amp;tax'!$B$2:$B$5=Y25), 0)),0)</f>
        <v>0</v>
      </c>
      <c r="BP25" s="58">
        <f t="shared" si="51"/>
        <v>0</v>
      </c>
      <c r="BQ25" s="58">
        <f t="array" aca="1" ref="BQ25" ca="1">IF(A25="","",( IFERROR(J25*BO25/INDEX(er!D:D, MATCH(Q25,er!C:C,0),1),0)))</f>
        <v>0</v>
      </c>
      <c r="BR25" s="108">
        <f t="array" ref="BR25">IFERROR(INDEX('Com&amp;tax'!$F$2:$F$5, MATCH(1, ('Com&amp;tax'!$A$2:$A$5=B25)*('Com&amp;tax'!$D$2:$D$5=H25), 0)),0)</f>
        <v>4.9000000000000002E-2</v>
      </c>
      <c r="BS25" s="109">
        <f t="shared" si="52"/>
        <v>49685.750246999996</v>
      </c>
      <c r="BT25" s="109">
        <f t="array" aca="1" ref="BT25" ca="1">IF(A25="","",( IFERROR((J25*(1-BE25))*BR25/INDEX(er!D:D, MATCH(Q25,er!C:C,0),1),0)))</f>
        <v>35.566034536148891</v>
      </c>
      <c r="BU25" s="108">
        <f t="array" ref="BU25">IFERROR(INDEX('Com&amp;tax'!$G$2:$G$5, MATCH(1, ('Com&amp;tax'!$A$2:$A$5=B25)*('Com&amp;tax'!$D$2:$D$5=H25), 0)),0)</f>
        <v>0.1575</v>
      </c>
      <c r="BV25" s="109">
        <f t="shared" si="53"/>
        <v>159704.19722249999</v>
      </c>
      <c r="BW25" s="109">
        <f t="array" aca="1" ref="BW25" ca="1">IF(A25="","",( IFERROR((J25*(1-BE25))*BU25/INDEX(er!D:D, MATCH(Q25,er!C:C,0),1),0)))</f>
        <v>114.31939672333571</v>
      </c>
      <c r="BX25" s="108">
        <f t="array" ref="BX25">IFERROR(INDEX('Com&amp;tax'!$H$2:$H$5, MATCH(1, ('Com&amp;tax'!$A$2:$A$5=B25)*('Com&amp;tax'!$D$2:$D$5=H25), 0)),0)</f>
        <v>0</v>
      </c>
      <c r="BY25" s="109">
        <f t="shared" si="54"/>
        <v>0</v>
      </c>
      <c r="BZ25" s="109">
        <f t="array" aca="1" ref="BZ25" ca="1">IF(A25="","",( IFERROR(J25*BX25/INDEX(er!D:D, MATCH(Q25,er!C:C,0),1),0)))</f>
        <v>0</v>
      </c>
      <c r="CA25" s="96">
        <f t="array" aca="1" ref="CA25" ca="1">IF(A25="","",( IFERROR(1-((P25/ INDEX(er!$D$3:$D$75,MATCH(1, (er!$A$3:$A$75=$BG$2)*(er!$C$3:$C$75=Q25), 0))   /  (J25/ INDEX(er!$D$3:$D$75,MATCH(1, (er!$A$3:$A$75=$BG$2)*(er!$C$3:$C$75=L25), 0))))),"")))</f>
        <v>0.34000500345710316</v>
      </c>
      <c r="CB25" s="96">
        <f t="shared" si="55"/>
        <v>0.22000000033530742</v>
      </c>
      <c r="CC25" s="111">
        <f t="shared" ca="1" si="56"/>
        <v>0.12000500312179574</v>
      </c>
      <c r="CD25" s="110">
        <f t="shared" ref="CD25:CE25" si="67">BJ25+BM25-BS25-BV25</f>
        <v>0</v>
      </c>
      <c r="CE25" s="110">
        <f t="shared" ca="1" si="67"/>
        <v>0</v>
      </c>
      <c r="CF25" s="110">
        <f t="shared" ca="1" si="58"/>
        <v>-102.48</v>
      </c>
      <c r="CG25" s="8" t="str">
        <f t="shared" si="59"/>
        <v>Incorrect</v>
      </c>
      <c r="CH25" s="8"/>
      <c r="CI25" t="s">
        <v>1942</v>
      </c>
      <c r="CK25" s="240">
        <v>209389.94746950001</v>
      </c>
      <c r="CL25" s="239">
        <f ca="1">(AI25+CK25)/INDEX(er!D:D,MATCH(AC25,er!C:C,0),1)</f>
        <v>47.40999103042234</v>
      </c>
      <c r="CN25" s="239">
        <f ca="1">CK25/INDEX(er!D:D,MATCH(AC25,er!C:C,0),1)</f>
        <v>149.88543125948462</v>
      </c>
    </row>
    <row r="26" spans="1:92" ht="12.5" x14ac:dyDescent="0.25">
      <c r="A26" s="93" t="s">
        <v>185</v>
      </c>
      <c r="B26" s="93" t="s">
        <v>96</v>
      </c>
      <c r="C26" s="93" t="s">
        <v>103</v>
      </c>
      <c r="D26" s="93" t="s">
        <v>186</v>
      </c>
      <c r="E26" s="93"/>
      <c r="F26" s="93"/>
      <c r="G26" s="94" t="s">
        <v>107</v>
      </c>
      <c r="H26" s="93" t="s">
        <v>436</v>
      </c>
      <c r="I26" s="94" t="s">
        <v>107</v>
      </c>
      <c r="J26" s="94">
        <v>6210184.3200000003</v>
      </c>
      <c r="K26" s="94">
        <v>6210184.3200000003</v>
      </c>
      <c r="L26" s="94" t="s">
        <v>111</v>
      </c>
      <c r="M26" s="94">
        <v>6210184.3200000003</v>
      </c>
      <c r="N26" s="94" t="s">
        <v>111</v>
      </c>
      <c r="O26" s="94">
        <v>6210184.3200000003</v>
      </c>
      <c r="P26" s="94">
        <v>3753901.42</v>
      </c>
      <c r="Q26" s="93" t="s">
        <v>111</v>
      </c>
      <c r="R26" s="94" t="s">
        <v>105</v>
      </c>
      <c r="S26" s="94"/>
      <c r="T26" s="94"/>
      <c r="U26" s="94">
        <v>0</v>
      </c>
      <c r="V26" s="93" t="s">
        <v>94</v>
      </c>
      <c r="W26" s="8" t="s">
        <v>98</v>
      </c>
      <c r="X26" s="94" t="s">
        <v>103</v>
      </c>
      <c r="Y26" s="94" t="s">
        <v>107</v>
      </c>
      <c r="Z26" s="94" t="s">
        <v>105</v>
      </c>
      <c r="AA26" s="94" t="s">
        <v>111</v>
      </c>
      <c r="AB26" s="94">
        <v>6210184.3200000003</v>
      </c>
      <c r="AC26" s="94" t="s">
        <v>111</v>
      </c>
      <c r="AD26" s="94">
        <v>3753901.17</v>
      </c>
      <c r="AE26" s="94">
        <v>39.549999999999997</v>
      </c>
      <c r="AF26" s="94" t="s">
        <v>99</v>
      </c>
      <c r="AG26" s="94">
        <v>0</v>
      </c>
      <c r="AH26" s="94">
        <v>0</v>
      </c>
      <c r="AI26" s="94">
        <v>0.25</v>
      </c>
      <c r="AJ26" s="94">
        <v>0</v>
      </c>
      <c r="AK26" s="94">
        <v>0.39552495923341613</v>
      </c>
      <c r="AL26" s="94" t="s">
        <v>99</v>
      </c>
      <c r="AM26" s="93" t="s">
        <v>490</v>
      </c>
      <c r="AN26" s="94"/>
      <c r="AO26" s="94" t="s">
        <v>16</v>
      </c>
      <c r="AP26" s="94" t="s">
        <v>16</v>
      </c>
      <c r="AQ26" s="94"/>
      <c r="AR26" s="94" t="s">
        <v>16</v>
      </c>
      <c r="AS26" s="94"/>
      <c r="AT26" s="94" t="s">
        <v>16</v>
      </c>
      <c r="AU26" s="94">
        <v>6210184.3200000003</v>
      </c>
      <c r="AV26" s="94">
        <v>4443</v>
      </c>
      <c r="AW26" s="94" t="s">
        <v>16</v>
      </c>
      <c r="AX26" s="94">
        <v>6210184.3200000003</v>
      </c>
      <c r="AY26" s="94">
        <v>4445.37</v>
      </c>
      <c r="AZ26" s="94" t="s">
        <v>111</v>
      </c>
      <c r="BA26" s="94">
        <v>3753901.16</v>
      </c>
      <c r="BB26" s="94" t="s">
        <v>99</v>
      </c>
      <c r="BC26" s="94">
        <v>0.26</v>
      </c>
      <c r="BD26" s="94">
        <v>0</v>
      </c>
      <c r="BE26" s="60">
        <f t="array" ref="BE26">IFERROR(INDEX('Com&amp;tax'!$E$2:$E$5, MATCH(1, ('Com&amp;tax'!$A$2:$A$5=B26)*('Com&amp;tax'!$B$2:$B$5=G26), 0)),"")</f>
        <v>0.15</v>
      </c>
      <c r="BF26" s="58">
        <f t="shared" si="47"/>
        <v>931527.64800000004</v>
      </c>
      <c r="BG26" s="58">
        <f t="array" aca="1" ref="BG26" ca="1">IF(A26="","",( IFERROR((O26/ INDEX(er!$D$3:$D$75,MATCH(1, (er!$A$3:$A$75=$BG$2)*(er!$C$3:$C$75=Q26), 0)))*BE26,"")))</f>
        <v>666.80576091624914</v>
      </c>
      <c r="BH26" s="58">
        <f t="shared" si="48"/>
        <v>-931527.64800000004</v>
      </c>
      <c r="BI26" s="59">
        <f t="array" ref="BI26">IFERROR(INDEX('Com&amp;tax'!$F$2:$F$5, MATCH(1, ('Com&amp;tax'!$A$2:$A$5=B26)*('Com&amp;tax'!$B$2:$B$5=Y26), 0)),0)</f>
        <v>4.9000000000000002E-2</v>
      </c>
      <c r="BJ26" s="58">
        <f t="shared" si="49"/>
        <v>258654.17692800003</v>
      </c>
      <c r="BK26" s="58">
        <f t="array" aca="1" ref="BK26" ca="1">IF(A26="","",( IFERROR((J26*(1-BE26))*BI26/INDEX(er!D:D, MATCH(Q26,er!C:C,0),1),0)))</f>
        <v>185.14973294774518</v>
      </c>
      <c r="BL26" s="60">
        <f t="array" ref="BL26">IFERROR(INDEX('Com&amp;tax'!$G$2:$G$5, MATCH(1, ('Com&amp;tax'!$A$2:$A$5=B26)*('Com&amp;tax'!$B$2:$B$5=Y26), 0)),0)</f>
        <v>0.1575</v>
      </c>
      <c r="BM26" s="58">
        <f t="shared" si="50"/>
        <v>831388.42584000004</v>
      </c>
      <c r="BN26" s="58">
        <f t="array" aca="1" ref="BN26" ca="1">IF(A26="","",( IFERROR((J26*(1-BE26))*BL26/INDEX(er!D:D, MATCH(Q26,er!C:C,0),1),0)))</f>
        <v>595.12414161775234</v>
      </c>
      <c r="BO26" s="60">
        <f t="array" ref="BO26">IFERROR(INDEX('Com&amp;tax'!$H$2:$H$5, MATCH(1, ('Com&amp;tax'!$A$2:$A$5=B26)*('Com&amp;tax'!$B$2:$B$5=Y26), 0)),0)</f>
        <v>7.0000000000000007E-2</v>
      </c>
      <c r="BP26" s="58">
        <f t="shared" si="51"/>
        <v>434712.90240000008</v>
      </c>
      <c r="BQ26" s="58">
        <f t="array" aca="1" ref="BQ26" ca="1">IF(A26="","",( IFERROR(J26*BO26/INDEX(er!D:D, MATCH(Q26,er!C:C,0),1),0)))</f>
        <v>311.17602176091629</v>
      </c>
      <c r="BR26" s="108">
        <f t="array" ref="BR26">IFERROR(INDEX('Com&amp;tax'!$F$2:$F$5, MATCH(1, ('Com&amp;tax'!$A$2:$A$5=B26)*('Com&amp;tax'!$D$2:$D$5=H26), 0)),0)</f>
        <v>4.9000000000000002E-2</v>
      </c>
      <c r="BS26" s="109">
        <f t="shared" si="52"/>
        <v>258654.17692800003</v>
      </c>
      <c r="BT26" s="109">
        <f t="array" aca="1" ref="BT26" ca="1">IF(A26="","",( IFERROR((J26*(1-BE26))*BR26/INDEX(er!D:D, MATCH(Q26,er!C:C,0),1),0)))</f>
        <v>185.14973294774518</v>
      </c>
      <c r="BU26" s="108">
        <f t="array" ref="BU26">IFERROR(INDEX('Com&amp;tax'!$G$2:$G$5, MATCH(1, ('Com&amp;tax'!$A$2:$A$5=B26)*('Com&amp;tax'!$D$2:$D$5=H26), 0)),0)</f>
        <v>0.1575</v>
      </c>
      <c r="BV26" s="109">
        <f t="shared" si="53"/>
        <v>831388.42584000004</v>
      </c>
      <c r="BW26" s="109">
        <f t="array" aca="1" ref="BW26" ca="1">IF(A26="","",( IFERROR((J26*(1-BE26))*BU26/INDEX(er!D:D, MATCH(Q26,er!C:C,0),1),0)))</f>
        <v>595.12414161775234</v>
      </c>
      <c r="BX26" s="108">
        <f t="array" ref="BX26">IFERROR(INDEX('Com&amp;tax'!$H$2:$H$5, MATCH(1, ('Com&amp;tax'!$A$2:$A$5=B26)*('Com&amp;tax'!$D$2:$D$5=H26), 0)),0)</f>
        <v>7.0000000000000007E-2</v>
      </c>
      <c r="BY26" s="109">
        <f t="shared" si="54"/>
        <v>434712.90240000008</v>
      </c>
      <c r="BZ26" s="109">
        <f t="array" aca="1" ref="BZ26" ca="1">IF(A26="","",( IFERROR(J26*BX26/INDEX(er!D:D, MATCH(Q26,er!C:C,0),1),0)))</f>
        <v>311.17602176091629</v>
      </c>
      <c r="CA26" s="96">
        <f t="array" aca="1" ref="CA26" ca="1">IF(A26="","",( IFERROR(1-((P26/ INDEX(er!$D$3:$D$75,MATCH(1, (er!$A$3:$A$75=$BG$2)*(er!$C$3:$C$75=Q26), 0))   /  (J26/ INDEX(er!$D$3:$D$75,MATCH(1, (er!$A$3:$A$75=$BG$2)*(er!$C$3:$C$75=L26), 0))))),"")))</f>
        <v>0.39552495923341613</v>
      </c>
      <c r="CB26" s="96">
        <f t="shared" si="55"/>
        <v>0.3955249994898703</v>
      </c>
      <c r="CC26" s="111">
        <f t="shared" ca="1" si="56"/>
        <v>-4.0256454170162215E-8</v>
      </c>
      <c r="CD26" s="110">
        <f t="shared" ref="CD26:CE26" si="68">BJ26+BM26-BS26-BV26</f>
        <v>0</v>
      </c>
      <c r="CE26" s="110">
        <f t="shared" ca="1" si="68"/>
        <v>0</v>
      </c>
      <c r="CF26" s="110">
        <f t="shared" ca="1" si="58"/>
        <v>0</v>
      </c>
      <c r="CG26" s="8" t="str">
        <f t="shared" si="59"/>
        <v>OK</v>
      </c>
      <c r="CH26" s="8"/>
      <c r="CI26" t="s">
        <v>99</v>
      </c>
      <c r="CK26" s="240">
        <v>0</v>
      </c>
      <c r="CL26" s="239">
        <f ca="1">(AI26+CK26)/INDEX(er!D:D,MATCH(AC26,er!C:C,0),1)</f>
        <v>1.7895490336435218E-4</v>
      </c>
      <c r="CN26" s="239">
        <f ca="1">CK26/INDEX(er!D:D,MATCH(AC26,er!C:C,0),1)</f>
        <v>0</v>
      </c>
    </row>
    <row r="27" spans="1:92" ht="12.5" x14ac:dyDescent="0.25">
      <c r="A27" s="93" t="s">
        <v>188</v>
      </c>
      <c r="B27" s="93" t="s">
        <v>96</v>
      </c>
      <c r="C27" s="93" t="s">
        <v>103</v>
      </c>
      <c r="D27" s="93" t="s">
        <v>189</v>
      </c>
      <c r="E27" s="93"/>
      <c r="F27" s="93"/>
      <c r="G27" s="94" t="s">
        <v>107</v>
      </c>
      <c r="H27" s="93" t="s">
        <v>436</v>
      </c>
      <c r="I27" s="94" t="s">
        <v>107</v>
      </c>
      <c r="J27" s="94">
        <v>5546437.7000000002</v>
      </c>
      <c r="K27" s="94">
        <v>5546437.7000000002</v>
      </c>
      <c r="L27" s="94" t="s">
        <v>111</v>
      </c>
      <c r="M27" s="94">
        <v>5546437.7000000002</v>
      </c>
      <c r="N27" s="94" t="s">
        <v>111</v>
      </c>
      <c r="O27" s="94">
        <v>5546437.7000000002</v>
      </c>
      <c r="P27" s="94">
        <v>3352683.15</v>
      </c>
      <c r="Q27" s="93" t="s">
        <v>111</v>
      </c>
      <c r="R27" s="94" t="s">
        <v>105</v>
      </c>
      <c r="S27" s="94"/>
      <c r="T27" s="94"/>
      <c r="U27" s="94">
        <v>0</v>
      </c>
      <c r="V27" s="93" t="s">
        <v>94</v>
      </c>
      <c r="W27" s="8" t="s">
        <v>98</v>
      </c>
      <c r="X27" s="94" t="s">
        <v>103</v>
      </c>
      <c r="Y27" s="94" t="s">
        <v>107</v>
      </c>
      <c r="Z27" s="94" t="s">
        <v>105</v>
      </c>
      <c r="AA27" s="94" t="s">
        <v>111</v>
      </c>
      <c r="AB27" s="94">
        <v>5546437.7000000002</v>
      </c>
      <c r="AC27" s="94" t="s">
        <v>111</v>
      </c>
      <c r="AD27" s="94">
        <v>3352682.93</v>
      </c>
      <c r="AE27" s="94">
        <v>39.549999999999997</v>
      </c>
      <c r="AF27" s="94" t="s">
        <v>99</v>
      </c>
      <c r="AG27" s="94">
        <v>0</v>
      </c>
      <c r="AH27" s="94">
        <v>0</v>
      </c>
      <c r="AI27" s="94">
        <v>0.22</v>
      </c>
      <c r="AJ27" s="94">
        <v>0</v>
      </c>
      <c r="AK27" s="94">
        <v>0.39552496010186866</v>
      </c>
      <c r="AL27" s="94" t="s">
        <v>99</v>
      </c>
      <c r="AM27" s="93" t="s">
        <v>491</v>
      </c>
      <c r="AN27" s="94"/>
      <c r="AO27" s="94" t="s">
        <v>16</v>
      </c>
      <c r="AP27" s="94" t="s">
        <v>16</v>
      </c>
      <c r="AQ27" s="94"/>
      <c r="AR27" s="94" t="s">
        <v>16</v>
      </c>
      <c r="AS27" s="94"/>
      <c r="AT27" s="94" t="s">
        <v>16</v>
      </c>
      <c r="AU27" s="94">
        <v>5546437.7000000002</v>
      </c>
      <c r="AV27" s="94">
        <v>3968</v>
      </c>
      <c r="AW27" s="94" t="s">
        <v>16</v>
      </c>
      <c r="AX27" s="94">
        <v>5546437.7000000002</v>
      </c>
      <c r="AY27" s="94">
        <v>3970.25</v>
      </c>
      <c r="AZ27" s="94" t="s">
        <v>111</v>
      </c>
      <c r="BA27" s="94">
        <v>3352682.93</v>
      </c>
      <c r="BB27" s="94" t="s">
        <v>99</v>
      </c>
      <c r="BC27" s="94">
        <v>0.22</v>
      </c>
      <c r="BD27" s="94">
        <v>0</v>
      </c>
      <c r="BE27" s="60">
        <f t="array" ref="BE27">IFERROR(INDEX('Com&amp;tax'!$E$2:$E$5, MATCH(1, ('Com&amp;tax'!$A$2:$A$5=B27)*('Com&amp;tax'!$B$2:$B$5=G27), 0)),"")</f>
        <v>0.15</v>
      </c>
      <c r="BF27" s="58">
        <f t="shared" ref="BF27:BF36" si="69">IF(A27="","",( IFERROR(O27*BE27,"")))</f>
        <v>831965.65500000003</v>
      </c>
      <c r="BG27" s="58">
        <f t="array" aca="1" ref="BG27" ca="1">IF(A27="","",( IFERROR((O27/ INDEX(er!$D$3:$D$75,MATCH(1, (er!$A$3:$A$75=$BG$2)*(er!$C$3:$C$75=Q27), 0)))*BE27,"")))</f>
        <v>595.53733357193983</v>
      </c>
      <c r="BH27" s="58">
        <f t="shared" ref="BH27:BH36" si="70">IF(A27="","",( IF(B27="Snapchat Rep", IF(A27="","",(P27-BF27)),-BF27)))</f>
        <v>-831965.65500000003</v>
      </c>
      <c r="BI27" s="59">
        <f t="array" ref="BI27">IFERROR(INDEX('Com&amp;tax'!$F$2:$F$5, MATCH(1, ('Com&amp;tax'!$A$2:$A$5=B27)*('Com&amp;tax'!$B$2:$B$5=Y27), 0)),0)</f>
        <v>4.9000000000000002E-2</v>
      </c>
      <c r="BJ27" s="58">
        <f t="shared" ref="BJ27:BJ36" si="71">IF(A27="","",( IFERROR((J27*(1-BE27))*BI27,0)))</f>
        <v>231009.13020499999</v>
      </c>
      <c r="BK27" s="58">
        <f t="array" aca="1" ref="BK27" ca="1">IF(A27="","",( IFERROR((J27*(1-BE27))*BI27/INDEX(er!D:D, MATCH(Q27,er!C:C,0),1),0)))</f>
        <v>165.36086628847531</v>
      </c>
      <c r="BL27" s="60">
        <f t="array" ref="BL27">IFERROR(INDEX('Com&amp;tax'!$G$2:$G$5, MATCH(1, ('Com&amp;tax'!$A$2:$A$5=B27)*('Com&amp;tax'!$B$2:$B$5=Y27), 0)),0)</f>
        <v>0.1575</v>
      </c>
      <c r="BM27" s="58">
        <f t="shared" ref="BM27:BM36" si="72">IF(A27="","",( IFERROR((J27*(1-BE27))*BL27,0)))</f>
        <v>742529.34708750003</v>
      </c>
      <c r="BN27" s="58">
        <f t="array" aca="1" ref="BN27" ca="1">IF(A27="","",( IFERROR((J27*(1-BE27))*BL27/INDEX(er!D:D, MATCH(Q27,er!C:C,0),1),0)))</f>
        <v>531.51707021295636</v>
      </c>
      <c r="BO27" s="60">
        <f t="array" ref="BO27">IFERROR(INDEX('Com&amp;tax'!$H$2:$H$5, MATCH(1, ('Com&amp;tax'!$A$2:$A$5=B27)*('Com&amp;tax'!$B$2:$B$5=Y27), 0)),0)</f>
        <v>7.0000000000000007E-2</v>
      </c>
      <c r="BP27" s="58">
        <f t="shared" ref="BP27:BP36" si="73">IF(A27="","",( IFERROR(J27*BO27,0)))</f>
        <v>388250.63900000002</v>
      </c>
      <c r="BQ27" s="58">
        <f t="array" aca="1" ref="BQ27" ca="1">IF(A27="","",( IFERROR(J27*BO27/INDEX(er!D:D, MATCH(Q27,er!C:C,0),1),0)))</f>
        <v>277.91742233357195</v>
      </c>
      <c r="BR27" s="108">
        <f t="array" ref="BR27">IFERROR(INDEX('Com&amp;tax'!$F$2:$F$5, MATCH(1, ('Com&amp;tax'!$A$2:$A$5=B27)*('Com&amp;tax'!$D$2:$D$5=H27), 0)),0)</f>
        <v>4.9000000000000002E-2</v>
      </c>
      <c r="BS27" s="109">
        <f t="shared" ref="BS27:BS36" si="74">IF(A27="","",( IFERROR((J27*(1-BE27))*BR27,0)))</f>
        <v>231009.13020499999</v>
      </c>
      <c r="BT27" s="109">
        <f t="array" aca="1" ref="BT27" ca="1">IF(A27="","",( IFERROR((J27*(1-BE27))*BR27/INDEX(er!D:D, MATCH(Q27,er!C:C,0),1),0)))</f>
        <v>165.36086628847531</v>
      </c>
      <c r="BU27" s="108">
        <f t="array" ref="BU27">IFERROR(INDEX('Com&amp;tax'!$G$2:$G$5, MATCH(1, ('Com&amp;tax'!$A$2:$A$5=B27)*('Com&amp;tax'!$D$2:$D$5=H27), 0)),0)</f>
        <v>0.1575</v>
      </c>
      <c r="BV27" s="109">
        <f t="shared" ref="BV27:BV36" si="75">IF(A27="","",( IFERROR((J27*(1-BE27))*BU27,0)))</f>
        <v>742529.34708750003</v>
      </c>
      <c r="BW27" s="109">
        <f t="array" aca="1" ref="BW27" ca="1">IF(A27="","",( IFERROR((J27*(1-BE27))*BU27/INDEX(er!D:D, MATCH(Q27,er!C:C,0),1),0)))</f>
        <v>531.51707021295636</v>
      </c>
      <c r="BX27" s="108">
        <f t="array" ref="BX27">IFERROR(INDEX('Com&amp;tax'!$H$2:$H$5, MATCH(1, ('Com&amp;tax'!$A$2:$A$5=B27)*('Com&amp;tax'!$D$2:$D$5=H27), 0)),0)</f>
        <v>7.0000000000000007E-2</v>
      </c>
      <c r="BY27" s="109">
        <f t="shared" ref="BY27:BY36" si="76">IF(A27="","",( IFERROR(J27*BX27,0)))</f>
        <v>388250.63900000002</v>
      </c>
      <c r="BZ27" s="109">
        <f t="array" aca="1" ref="BZ27" ca="1">IF(A27="","",( IFERROR(J27*BX27/INDEX(er!D:D, MATCH(Q27,er!C:C,0),1),0)))</f>
        <v>277.91742233357195</v>
      </c>
      <c r="CA27" s="96">
        <f t="array" aca="1" ref="CA27" ca="1">IF(A27="","",( IFERROR(1-((P27/ INDEX(er!$D$3:$D$75,MATCH(1, (er!$A$3:$A$75=$BG$2)*(er!$C$3:$C$75=Q27), 0))   /  (J27/ INDEX(er!$D$3:$D$75,MATCH(1, (er!$A$3:$A$75=$BG$2)*(er!$C$3:$C$75=L27), 0))))),"")))</f>
        <v>0.39552496010186866</v>
      </c>
      <c r="CB27" s="96">
        <f t="shared" ref="CB27:CB36" si="77">IF(AB27="","",1-AD27/AB27)</f>
        <v>0.39552499976696753</v>
      </c>
      <c r="CC27" s="111">
        <f t="shared" ref="CC27:CC36" ca="1" si="78">IF(AND(CA27="", CB27=""), "", CA27-CB27)</f>
        <v>-3.9665098872099236E-8</v>
      </c>
      <c r="CD27" s="110">
        <f t="shared" ref="CD27:CE27" si="79">BJ27+BM27-BS27-BV27</f>
        <v>0</v>
      </c>
      <c r="CE27" s="110">
        <f t="shared" ca="1" si="79"/>
        <v>0</v>
      </c>
      <c r="CF27" s="110">
        <f t="shared" ref="CF27:CF36" ca="1" si="80">AJ27-CE27</f>
        <v>0</v>
      </c>
      <c r="CG27" s="8" t="str">
        <f t="shared" ref="CG27:CG36" si="81">IF(OR(BE27="", AE27=""), "Miss", IF(ABS(AE27/100-AK27)&lt;0.005, "OK", "Incorrect"))</f>
        <v>OK</v>
      </c>
      <c r="CH27" s="8"/>
      <c r="CI27" t="s">
        <v>99</v>
      </c>
      <c r="CK27" s="240">
        <v>0</v>
      </c>
      <c r="CL27" s="239">
        <f ca="1">(AI27+CK27)/INDEX(er!D:D,MATCH(AC27,er!C:C,0),1)</f>
        <v>1.5748031496062991E-4</v>
      </c>
      <c r="CN27" s="239">
        <f ca="1">CK27/INDEX(er!D:D,MATCH(AC27,er!C:C,0),1)</f>
        <v>0</v>
      </c>
    </row>
    <row r="28" spans="1:92" ht="12.5" x14ac:dyDescent="0.25">
      <c r="A28" s="93" t="s">
        <v>193</v>
      </c>
      <c r="B28" s="93" t="s">
        <v>96</v>
      </c>
      <c r="C28" s="93" t="s">
        <v>103</v>
      </c>
      <c r="D28" s="93" t="s">
        <v>194</v>
      </c>
      <c r="E28" s="93"/>
      <c r="F28" s="93"/>
      <c r="G28" s="94" t="s">
        <v>107</v>
      </c>
      <c r="H28" s="93" t="s">
        <v>436</v>
      </c>
      <c r="I28" s="94" t="s">
        <v>107</v>
      </c>
      <c r="J28" s="94">
        <v>6912000</v>
      </c>
      <c r="K28" s="94">
        <v>6912000</v>
      </c>
      <c r="L28" s="94" t="s">
        <v>111</v>
      </c>
      <c r="M28" s="94">
        <v>6912000</v>
      </c>
      <c r="N28" s="94" t="s">
        <v>111</v>
      </c>
      <c r="O28" s="94">
        <v>6912000</v>
      </c>
      <c r="P28" s="94">
        <v>4178131.48</v>
      </c>
      <c r="Q28" s="93" t="s">
        <v>111</v>
      </c>
      <c r="R28" s="94" t="s">
        <v>105</v>
      </c>
      <c r="S28" s="94"/>
      <c r="T28" s="94"/>
      <c r="U28" s="94">
        <v>0</v>
      </c>
      <c r="V28" s="93" t="s">
        <v>94</v>
      </c>
      <c r="W28" s="8" t="s">
        <v>98</v>
      </c>
      <c r="X28" s="94" t="s">
        <v>103</v>
      </c>
      <c r="Y28" s="94" t="s">
        <v>107</v>
      </c>
      <c r="Z28" s="94" t="s">
        <v>105</v>
      </c>
      <c r="AA28" s="94" t="s">
        <v>111</v>
      </c>
      <c r="AB28" s="94">
        <v>6912000</v>
      </c>
      <c r="AC28" s="94" t="s">
        <v>111</v>
      </c>
      <c r="AD28" s="94">
        <v>4178131.18</v>
      </c>
      <c r="AE28" s="94">
        <v>39.549999999999997</v>
      </c>
      <c r="AF28" s="94" t="s">
        <v>99</v>
      </c>
      <c r="AG28" s="94">
        <v>0</v>
      </c>
      <c r="AH28" s="94">
        <v>0</v>
      </c>
      <c r="AI28" s="94">
        <v>0.3</v>
      </c>
      <c r="AJ28" s="94">
        <v>0</v>
      </c>
      <c r="AK28" s="94">
        <v>0.39552495949074074</v>
      </c>
      <c r="AL28" s="94" t="s">
        <v>99</v>
      </c>
      <c r="AM28" s="93" t="s">
        <v>492</v>
      </c>
      <c r="AN28" s="94"/>
      <c r="AO28" s="94" t="s">
        <v>16</v>
      </c>
      <c r="AP28" s="94" t="s">
        <v>16</v>
      </c>
      <c r="AQ28" s="94"/>
      <c r="AR28" s="94" t="s">
        <v>16</v>
      </c>
      <c r="AS28" s="94"/>
      <c r="AT28" s="94" t="s">
        <v>16</v>
      </c>
      <c r="AU28" s="94">
        <v>6912000</v>
      </c>
      <c r="AV28" s="94">
        <v>4946</v>
      </c>
      <c r="AW28" s="94" t="s">
        <v>16</v>
      </c>
      <c r="AX28" s="94">
        <v>6912000</v>
      </c>
      <c r="AY28" s="94">
        <v>4947.75</v>
      </c>
      <c r="AZ28" s="94" t="s">
        <v>111</v>
      </c>
      <c r="BA28" s="94">
        <v>4178131.18</v>
      </c>
      <c r="BB28" s="94" t="s">
        <v>99</v>
      </c>
      <c r="BC28" s="94">
        <v>0.3</v>
      </c>
      <c r="BD28" s="94">
        <v>0</v>
      </c>
      <c r="BE28" s="60">
        <f t="array" ref="BE28">IFERROR(INDEX('Com&amp;tax'!$E$2:$E$5, MATCH(1, ('Com&amp;tax'!$A$2:$A$5=B28)*('Com&amp;tax'!$B$2:$B$5=G28), 0)),"")</f>
        <v>0.15</v>
      </c>
      <c r="BF28" s="58">
        <f t="shared" si="69"/>
        <v>1036800</v>
      </c>
      <c r="BG28" s="58">
        <f t="array" aca="1" ref="BG28" ca="1">IF(A28="","",( IFERROR((O28/ INDEX(er!$D$3:$D$75,MATCH(1, (er!$A$3:$A$75=$BG$2)*(er!$C$3:$C$75=Q28), 0)))*BE28,"")))</f>
        <v>742.16177523264128</v>
      </c>
      <c r="BH28" s="58">
        <f t="shared" si="70"/>
        <v>-1036800</v>
      </c>
      <c r="BI28" s="59">
        <f t="array" ref="BI28">IFERROR(INDEX('Com&amp;tax'!$F$2:$F$5, MATCH(1, ('Com&amp;tax'!$A$2:$A$5=B28)*('Com&amp;tax'!$B$2:$B$5=Y28), 0)),0)</f>
        <v>4.9000000000000002E-2</v>
      </c>
      <c r="BJ28" s="58">
        <f t="shared" si="71"/>
        <v>287884.79999999999</v>
      </c>
      <c r="BK28" s="58">
        <f t="array" aca="1" ref="BK28" ca="1">IF(A28="","",( IFERROR((J28*(1-BE28))*BI28/INDEX(er!D:D, MATCH(Q28,er!C:C,0),1),0)))</f>
        <v>206.07358625626341</v>
      </c>
      <c r="BL28" s="60">
        <f t="array" ref="BL28">IFERROR(INDEX('Com&amp;tax'!$G$2:$G$5, MATCH(1, ('Com&amp;tax'!$A$2:$A$5=B28)*('Com&amp;tax'!$B$2:$B$5=Y28), 0)),0)</f>
        <v>0.1575</v>
      </c>
      <c r="BM28" s="58">
        <f t="shared" si="72"/>
        <v>925344</v>
      </c>
      <c r="BN28" s="58">
        <f t="array" aca="1" ref="BN28" ca="1">IF(A28="","",( IFERROR((J28*(1-BE28))*BL28/INDEX(er!D:D, MATCH(Q28,er!C:C,0),1),0)))</f>
        <v>662.37938439513243</v>
      </c>
      <c r="BO28" s="60">
        <f t="array" ref="BO28">IFERROR(INDEX('Com&amp;tax'!$H$2:$H$5, MATCH(1, ('Com&amp;tax'!$A$2:$A$5=B28)*('Com&amp;tax'!$B$2:$B$5=Y28), 0)),0)</f>
        <v>7.0000000000000007E-2</v>
      </c>
      <c r="BP28" s="58">
        <f t="shared" si="73"/>
        <v>483840.00000000006</v>
      </c>
      <c r="BQ28" s="58">
        <f t="array" aca="1" ref="BQ28" ca="1">IF(A28="","",( IFERROR(J28*BO28/INDEX(er!D:D, MATCH(Q28,er!C:C,0),1),0)))</f>
        <v>346.34216177523268</v>
      </c>
      <c r="BR28" s="108">
        <f t="array" ref="BR28">IFERROR(INDEX('Com&amp;tax'!$F$2:$F$5, MATCH(1, ('Com&amp;tax'!$A$2:$A$5=B28)*('Com&amp;tax'!$D$2:$D$5=H28), 0)),0)</f>
        <v>4.9000000000000002E-2</v>
      </c>
      <c r="BS28" s="109">
        <f t="shared" si="74"/>
        <v>287884.79999999999</v>
      </c>
      <c r="BT28" s="109">
        <f t="array" aca="1" ref="BT28" ca="1">IF(A28="","",( IFERROR((J28*(1-BE28))*BR28/INDEX(er!D:D, MATCH(Q28,er!C:C,0),1),0)))</f>
        <v>206.07358625626341</v>
      </c>
      <c r="BU28" s="108">
        <f t="array" ref="BU28">IFERROR(INDEX('Com&amp;tax'!$G$2:$G$5, MATCH(1, ('Com&amp;tax'!$A$2:$A$5=B28)*('Com&amp;tax'!$D$2:$D$5=H28), 0)),0)</f>
        <v>0.1575</v>
      </c>
      <c r="BV28" s="109">
        <f t="shared" si="75"/>
        <v>925344</v>
      </c>
      <c r="BW28" s="109">
        <f t="array" aca="1" ref="BW28" ca="1">IF(A28="","",( IFERROR((J28*(1-BE28))*BU28/INDEX(er!D:D, MATCH(Q28,er!C:C,0),1),0)))</f>
        <v>662.37938439513243</v>
      </c>
      <c r="BX28" s="108">
        <f t="array" ref="BX28">IFERROR(INDEX('Com&amp;tax'!$H$2:$H$5, MATCH(1, ('Com&amp;tax'!$A$2:$A$5=B28)*('Com&amp;tax'!$D$2:$D$5=H28), 0)),0)</f>
        <v>7.0000000000000007E-2</v>
      </c>
      <c r="BY28" s="109">
        <f t="shared" si="76"/>
        <v>483840.00000000006</v>
      </c>
      <c r="BZ28" s="109">
        <f t="array" aca="1" ref="BZ28" ca="1">IF(A28="","",( IFERROR(J28*BX28/INDEX(er!D:D, MATCH(Q28,er!C:C,0),1),0)))</f>
        <v>346.34216177523268</v>
      </c>
      <c r="CA28" s="96">
        <f t="array" aca="1" ref="CA28" ca="1">IF(A28="","",( IFERROR(1-((P28/ INDEX(er!$D$3:$D$75,MATCH(1, (er!$A$3:$A$75=$BG$2)*(er!$C$3:$C$75=Q28), 0))   /  (J28/ INDEX(er!$D$3:$D$75,MATCH(1, (er!$A$3:$A$75=$BG$2)*(er!$C$3:$C$75=L28), 0))))),"")))</f>
        <v>0.39552495949074074</v>
      </c>
      <c r="CB28" s="96">
        <f t="shared" si="77"/>
        <v>0.39552500289351844</v>
      </c>
      <c r="CC28" s="111">
        <f t="shared" ca="1" si="78"/>
        <v>-4.3402777705203732E-8</v>
      </c>
      <c r="CD28" s="110">
        <f t="shared" ref="CD28:CE28" si="82">BJ28+BM28-BS28-BV28</f>
        <v>0</v>
      </c>
      <c r="CE28" s="110">
        <f t="shared" ca="1" si="82"/>
        <v>0</v>
      </c>
      <c r="CF28" s="110">
        <f t="shared" ca="1" si="80"/>
        <v>0</v>
      </c>
      <c r="CG28" s="8" t="str">
        <f t="shared" si="81"/>
        <v>OK</v>
      </c>
      <c r="CH28" s="8"/>
      <c r="CI28" t="s">
        <v>99</v>
      </c>
      <c r="CK28" s="240">
        <v>0</v>
      </c>
      <c r="CL28" s="239">
        <f ca="1">(AI28+CK28)/INDEX(er!D:D,MATCH(AC28,er!C:C,0),1)</f>
        <v>2.1474588403722262E-4</v>
      </c>
      <c r="CN28" s="239">
        <f ca="1">CK28/INDEX(er!D:D,MATCH(AC28,er!C:C,0),1)</f>
        <v>0</v>
      </c>
    </row>
    <row r="29" spans="1:92" ht="12.5" x14ac:dyDescent="0.25">
      <c r="A29" s="93" t="s">
        <v>197</v>
      </c>
      <c r="B29" s="93" t="s">
        <v>96</v>
      </c>
      <c r="C29" s="93" t="s">
        <v>103</v>
      </c>
      <c r="D29" s="93" t="s">
        <v>198</v>
      </c>
      <c r="E29" s="93"/>
      <c r="F29" s="93"/>
      <c r="G29" s="94" t="s">
        <v>107</v>
      </c>
      <c r="H29" s="93" t="s">
        <v>436</v>
      </c>
      <c r="I29" s="94" t="s">
        <v>107</v>
      </c>
      <c r="J29" s="94">
        <v>9005104.1400000006</v>
      </c>
      <c r="K29" s="94">
        <v>9005104.1400000006</v>
      </c>
      <c r="L29" s="94" t="s">
        <v>111</v>
      </c>
      <c r="M29" s="94">
        <v>9005104.1400000006</v>
      </c>
      <c r="N29" s="94" t="s">
        <v>111</v>
      </c>
      <c r="O29" s="94">
        <v>9005104.1400000006</v>
      </c>
      <c r="P29" s="94">
        <v>5443360.6900000004</v>
      </c>
      <c r="Q29" s="93" t="s">
        <v>111</v>
      </c>
      <c r="R29" s="94" t="s">
        <v>105</v>
      </c>
      <c r="S29" s="94"/>
      <c r="T29" s="94"/>
      <c r="U29" s="94">
        <v>0</v>
      </c>
      <c r="V29" s="93" t="s">
        <v>94</v>
      </c>
      <c r="W29" s="8" t="s">
        <v>98</v>
      </c>
      <c r="X29" s="94" t="s">
        <v>103</v>
      </c>
      <c r="Y29" s="94" t="s">
        <v>107</v>
      </c>
      <c r="Z29" s="94" t="s">
        <v>105</v>
      </c>
      <c r="AA29" s="94" t="s">
        <v>111</v>
      </c>
      <c r="AB29" s="94">
        <v>9005104.1400000006</v>
      </c>
      <c r="AC29" s="94" t="s">
        <v>111</v>
      </c>
      <c r="AD29" s="94">
        <v>5443360.3200000003</v>
      </c>
      <c r="AE29" s="94">
        <v>39.549999999999997</v>
      </c>
      <c r="AF29" s="94" t="s">
        <v>99</v>
      </c>
      <c r="AG29" s="94">
        <v>0</v>
      </c>
      <c r="AH29" s="94">
        <v>0</v>
      </c>
      <c r="AI29" s="94">
        <v>0.37</v>
      </c>
      <c r="AJ29" s="94">
        <v>0</v>
      </c>
      <c r="AK29" s="94">
        <v>0.39552495947037425</v>
      </c>
      <c r="AL29" s="94" t="s">
        <v>99</v>
      </c>
      <c r="AM29" s="93" t="s">
        <v>493</v>
      </c>
      <c r="AN29" s="94"/>
      <c r="AO29" s="94" t="s">
        <v>16</v>
      </c>
      <c r="AP29" s="94" t="s">
        <v>16</v>
      </c>
      <c r="AQ29" s="94"/>
      <c r="AR29" s="94" t="s">
        <v>16</v>
      </c>
      <c r="AS29" s="94"/>
      <c r="AT29" s="94" t="s">
        <v>16</v>
      </c>
      <c r="AU29" s="94">
        <v>9005104.1400000006</v>
      </c>
      <c r="AV29" s="94">
        <v>6444</v>
      </c>
      <c r="AW29" s="94" t="s">
        <v>16</v>
      </c>
      <c r="AX29" s="94">
        <v>9005104.1400000006</v>
      </c>
      <c r="AY29" s="94">
        <v>6446.03</v>
      </c>
      <c r="AZ29" s="94" t="s">
        <v>111</v>
      </c>
      <c r="BA29" s="94">
        <v>5443360.3300000001</v>
      </c>
      <c r="BB29" s="94" t="s">
        <v>99</v>
      </c>
      <c r="BC29" s="94">
        <v>0.36</v>
      </c>
      <c r="BD29" s="94">
        <v>0</v>
      </c>
      <c r="BE29" s="60">
        <f t="array" ref="BE29">IFERROR(INDEX('Com&amp;tax'!$E$2:$E$5, MATCH(1, ('Com&amp;tax'!$A$2:$A$5=B29)*('Com&amp;tax'!$B$2:$B$5=G29), 0)),"")</f>
        <v>0.15</v>
      </c>
      <c r="BF29" s="58">
        <f t="shared" si="69"/>
        <v>1350765.621</v>
      </c>
      <c r="BG29" s="58">
        <f t="array" aca="1" ref="BG29" ca="1">IF(A29="","",( IFERROR((O29/ INDEX(er!$D$3:$D$75,MATCH(1, (er!$A$3:$A$75=$BG$2)*(er!$C$3:$C$75=Q29), 0)))*BE29,"")))</f>
        <v>966.90452469577667</v>
      </c>
      <c r="BH29" s="58">
        <f t="shared" si="70"/>
        <v>-1350765.621</v>
      </c>
      <c r="BI29" s="59">
        <f t="array" ref="BI29">IFERROR(INDEX('Com&amp;tax'!$F$2:$F$5, MATCH(1, ('Com&amp;tax'!$A$2:$A$5=B29)*('Com&amp;tax'!$B$2:$B$5=Y29), 0)),0)</f>
        <v>4.9000000000000002E-2</v>
      </c>
      <c r="BJ29" s="58">
        <f t="shared" si="71"/>
        <v>375062.58743100002</v>
      </c>
      <c r="BK29" s="58">
        <f t="array" aca="1" ref="BK29" ca="1">IF(A29="","",( IFERROR((J29*(1-BE29))*BI29/INDEX(er!D:D, MATCH(Q29,er!C:C,0),1),0)))</f>
        <v>268.47715635719402</v>
      </c>
      <c r="BL29" s="60">
        <f t="array" ref="BL29">IFERROR(INDEX('Com&amp;tax'!$G$2:$G$5, MATCH(1, ('Com&amp;tax'!$A$2:$A$5=B29)*('Com&amp;tax'!$B$2:$B$5=Y29), 0)),0)</f>
        <v>0.1575</v>
      </c>
      <c r="BM29" s="58">
        <f t="shared" si="72"/>
        <v>1205558.3167425001</v>
      </c>
      <c r="BN29" s="58">
        <f t="array" aca="1" ref="BN29" ca="1">IF(A29="","",( IFERROR((J29*(1-BE29))*BL29/INDEX(er!D:D, MATCH(Q29,er!C:C,0),1),0)))</f>
        <v>862.96228829098072</v>
      </c>
      <c r="BO29" s="60">
        <f t="array" ref="BO29">IFERROR(INDEX('Com&amp;tax'!$H$2:$H$5, MATCH(1, ('Com&amp;tax'!$A$2:$A$5=B29)*('Com&amp;tax'!$B$2:$B$5=Y29), 0)),0)</f>
        <v>7.0000000000000007E-2</v>
      </c>
      <c r="BP29" s="58">
        <f t="shared" si="73"/>
        <v>630357.28980000014</v>
      </c>
      <c r="BQ29" s="58">
        <f t="array" aca="1" ref="BQ29" ca="1">IF(A29="","",( IFERROR(J29*BO29/INDEX(er!D:D, MATCH(Q29,er!C:C,0),1),0)))</f>
        <v>451.22211152469589</v>
      </c>
      <c r="BR29" s="108">
        <f t="array" ref="BR29">IFERROR(INDEX('Com&amp;tax'!$F$2:$F$5, MATCH(1, ('Com&amp;tax'!$A$2:$A$5=B29)*('Com&amp;tax'!$D$2:$D$5=H29), 0)),0)</f>
        <v>4.9000000000000002E-2</v>
      </c>
      <c r="BS29" s="109">
        <f t="shared" si="74"/>
        <v>375062.58743100002</v>
      </c>
      <c r="BT29" s="109">
        <f t="array" aca="1" ref="BT29" ca="1">IF(A29="","",( IFERROR((J29*(1-BE29))*BR29/INDEX(er!D:D, MATCH(Q29,er!C:C,0),1),0)))</f>
        <v>268.47715635719402</v>
      </c>
      <c r="BU29" s="108">
        <f t="array" ref="BU29">IFERROR(INDEX('Com&amp;tax'!$G$2:$G$5, MATCH(1, ('Com&amp;tax'!$A$2:$A$5=B29)*('Com&amp;tax'!$D$2:$D$5=H29), 0)),0)</f>
        <v>0.1575</v>
      </c>
      <c r="BV29" s="109">
        <f t="shared" si="75"/>
        <v>1205558.3167425001</v>
      </c>
      <c r="BW29" s="109">
        <f t="array" aca="1" ref="BW29" ca="1">IF(A29="","",( IFERROR((J29*(1-BE29))*BU29/INDEX(er!D:D, MATCH(Q29,er!C:C,0),1),0)))</f>
        <v>862.96228829098072</v>
      </c>
      <c r="BX29" s="108">
        <f t="array" ref="BX29">IFERROR(INDEX('Com&amp;tax'!$H$2:$H$5, MATCH(1, ('Com&amp;tax'!$A$2:$A$5=B29)*('Com&amp;tax'!$D$2:$D$5=H29), 0)),0)</f>
        <v>7.0000000000000007E-2</v>
      </c>
      <c r="BY29" s="109">
        <f t="shared" si="76"/>
        <v>630357.28980000014</v>
      </c>
      <c r="BZ29" s="109">
        <f t="array" aca="1" ref="BZ29" ca="1">IF(A29="","",( IFERROR(J29*BX29/INDEX(er!D:D, MATCH(Q29,er!C:C,0),1),0)))</f>
        <v>451.22211152469589</v>
      </c>
      <c r="CA29" s="96">
        <f t="array" aca="1" ref="CA29" ca="1">IF(A29="","",( IFERROR(1-((P29/ INDEX(er!$D$3:$D$75,MATCH(1, (er!$A$3:$A$75=$BG$2)*(er!$C$3:$C$75=Q29), 0))   /  (J29/ INDEX(er!$D$3:$D$75,MATCH(1, (er!$A$3:$A$75=$BG$2)*(er!$C$3:$C$75=L29), 0))))),"")))</f>
        <v>0.39552495947037425</v>
      </c>
      <c r="CB29" s="96">
        <f t="shared" si="77"/>
        <v>0.3955250005581834</v>
      </c>
      <c r="CC29" s="111">
        <f t="shared" ca="1" si="78"/>
        <v>-4.1087809155015975E-8</v>
      </c>
      <c r="CD29" s="110">
        <f t="shared" ref="CD29:CE29" si="83">BJ29+BM29-BS29-BV29</f>
        <v>0</v>
      </c>
      <c r="CE29" s="110">
        <f t="shared" ca="1" si="83"/>
        <v>0</v>
      </c>
      <c r="CF29" s="110">
        <f t="shared" ca="1" si="80"/>
        <v>0</v>
      </c>
      <c r="CG29" s="8" t="str">
        <f t="shared" si="81"/>
        <v>OK</v>
      </c>
      <c r="CH29" s="8"/>
      <c r="CI29" t="s">
        <v>99</v>
      </c>
      <c r="CK29" s="240">
        <v>0</v>
      </c>
      <c r="CL29" s="239">
        <f ca="1">(AI29+CK29)/INDEX(er!D:D,MATCH(AC29,er!C:C,0),1)</f>
        <v>2.6485325697924122E-4</v>
      </c>
      <c r="CN29" s="239">
        <f ca="1">CK29/INDEX(er!D:D,MATCH(AC29,er!C:C,0),1)</f>
        <v>0</v>
      </c>
    </row>
    <row r="30" spans="1:92" ht="12.5" x14ac:dyDescent="0.25">
      <c r="A30" s="93" t="s">
        <v>201</v>
      </c>
      <c r="B30" s="93" t="s">
        <v>96</v>
      </c>
      <c r="C30" s="93" t="s">
        <v>103</v>
      </c>
      <c r="D30" s="93" t="s">
        <v>202</v>
      </c>
      <c r="E30" s="93" t="s">
        <v>101</v>
      </c>
      <c r="F30" s="93"/>
      <c r="G30" s="94" t="s">
        <v>107</v>
      </c>
      <c r="H30" s="93" t="s">
        <v>436</v>
      </c>
      <c r="I30" s="94" t="s">
        <v>107</v>
      </c>
      <c r="J30" s="94">
        <v>241926.19</v>
      </c>
      <c r="K30" s="94">
        <v>241926.19</v>
      </c>
      <c r="L30" s="94" t="s">
        <v>111</v>
      </c>
      <c r="M30" s="94">
        <v>241926.19</v>
      </c>
      <c r="N30" s="94" t="s">
        <v>111</v>
      </c>
      <c r="O30" s="94">
        <v>241926.19</v>
      </c>
      <c r="P30" s="94">
        <v>146238.34</v>
      </c>
      <c r="Q30" s="93" t="s">
        <v>111</v>
      </c>
      <c r="R30" s="94" t="s">
        <v>105</v>
      </c>
      <c r="S30" s="94"/>
      <c r="T30" s="94"/>
      <c r="U30" s="94">
        <v>0</v>
      </c>
      <c r="V30" s="93" t="s">
        <v>94</v>
      </c>
      <c r="W30" s="8" t="s">
        <v>98</v>
      </c>
      <c r="X30" s="94" t="s">
        <v>103</v>
      </c>
      <c r="Y30" s="94" t="s">
        <v>107</v>
      </c>
      <c r="Z30" s="94" t="s">
        <v>105</v>
      </c>
      <c r="AA30" s="94" t="s">
        <v>111</v>
      </c>
      <c r="AB30" s="94">
        <v>241926.19</v>
      </c>
      <c r="AC30" s="94" t="s">
        <v>111</v>
      </c>
      <c r="AD30" s="94">
        <v>188702.43</v>
      </c>
      <c r="AE30" s="94">
        <v>22</v>
      </c>
      <c r="AF30" s="94" t="s">
        <v>99</v>
      </c>
      <c r="AG30" s="94">
        <v>0</v>
      </c>
      <c r="AH30" s="94">
        <v>0</v>
      </c>
      <c r="AI30" s="94">
        <v>-42464.09</v>
      </c>
      <c r="AJ30" s="94">
        <v>-30.4</v>
      </c>
      <c r="AK30" s="94">
        <v>0.39552497396003305</v>
      </c>
      <c r="AL30" s="94" t="s">
        <v>99</v>
      </c>
      <c r="AM30" s="93" t="s">
        <v>494</v>
      </c>
      <c r="AN30" s="94"/>
      <c r="AO30" s="94" t="s">
        <v>16</v>
      </c>
      <c r="AP30" s="94" t="s">
        <v>16</v>
      </c>
      <c r="AQ30" s="94"/>
      <c r="AR30" s="94" t="s">
        <v>16</v>
      </c>
      <c r="AS30" s="94"/>
      <c r="AT30" s="94" t="s">
        <v>16</v>
      </c>
      <c r="AU30" s="94">
        <v>241926.19</v>
      </c>
      <c r="AV30" s="94">
        <v>171</v>
      </c>
      <c r="AW30" s="94" t="s">
        <v>16</v>
      </c>
      <c r="AX30" s="94">
        <v>241926.19</v>
      </c>
      <c r="AY30" s="94">
        <v>173.18</v>
      </c>
      <c r="AZ30" s="94" t="s">
        <v>111</v>
      </c>
      <c r="BA30" s="94">
        <v>188702.43</v>
      </c>
      <c r="BB30" s="94" t="s">
        <v>99</v>
      </c>
      <c r="BC30" s="94">
        <v>-42464.09</v>
      </c>
      <c r="BD30" s="94">
        <v>-30.4</v>
      </c>
      <c r="BE30" s="60">
        <f t="array" ref="BE30">IFERROR(INDEX('Com&amp;tax'!$E$2:$E$5, MATCH(1, ('Com&amp;tax'!$A$2:$A$5=B30)*('Com&amp;tax'!$B$2:$B$5=G30), 0)),"")</f>
        <v>0.15</v>
      </c>
      <c r="BF30" s="58">
        <f t="shared" si="69"/>
        <v>36288.928500000002</v>
      </c>
      <c r="BG30" s="58">
        <f t="array" aca="1" ref="BG30" ca="1">IF(A30="","",( IFERROR((O30/ INDEX(er!$D$3:$D$75,MATCH(1, (er!$A$3:$A$75=$BG$2)*(er!$C$3:$C$75=Q30), 0)))*BE30,"")))</f>
        <v>25.976326771653543</v>
      </c>
      <c r="BH30" s="58">
        <f t="shared" si="70"/>
        <v>-36288.928500000002</v>
      </c>
      <c r="BI30" s="59">
        <f t="array" ref="BI30">IFERROR(INDEX('Com&amp;tax'!$F$2:$F$5, MATCH(1, ('Com&amp;tax'!$A$2:$A$5=B30)*('Com&amp;tax'!$B$2:$B$5=Y30), 0)),0)</f>
        <v>4.9000000000000002E-2</v>
      </c>
      <c r="BJ30" s="58">
        <f t="shared" si="71"/>
        <v>10076.225813499999</v>
      </c>
      <c r="BK30" s="58">
        <f t="array" aca="1" ref="BK30" ca="1">IF(A30="","",( IFERROR((J30*(1-BE30))*BI30/INDEX(er!D:D, MATCH(Q30,er!C:C,0),1),0)))</f>
        <v>7.2127600669291336</v>
      </c>
      <c r="BL30" s="60">
        <f t="array" ref="BL30">IFERROR(INDEX('Com&amp;tax'!$G$2:$G$5, MATCH(1, ('Com&amp;tax'!$A$2:$A$5=B30)*('Com&amp;tax'!$B$2:$B$5=Y30), 0)),0)</f>
        <v>0.1575</v>
      </c>
      <c r="BM30" s="58">
        <f t="shared" si="72"/>
        <v>32387.86868625</v>
      </c>
      <c r="BN30" s="58">
        <f t="array" aca="1" ref="BN30" ca="1">IF(A30="","",( IFERROR((J30*(1-BE30))*BL30/INDEX(er!D:D, MATCH(Q30,er!C:C,0),1),0)))</f>
        <v>23.183871643700787</v>
      </c>
      <c r="BO30" s="60">
        <f t="array" ref="BO30">IFERROR(INDEX('Com&amp;tax'!$H$2:$H$5, MATCH(1, ('Com&amp;tax'!$A$2:$A$5=B30)*('Com&amp;tax'!$B$2:$B$5=Y30), 0)),0)</f>
        <v>7.0000000000000007E-2</v>
      </c>
      <c r="BP30" s="58">
        <f t="shared" si="73"/>
        <v>16934.833300000002</v>
      </c>
      <c r="BQ30" s="58">
        <f t="array" aca="1" ref="BQ30" ca="1">IF(A30="","",( IFERROR(J30*BO30/INDEX(er!D:D, MATCH(Q30,er!C:C,0),1),0)))</f>
        <v>12.122285826771655</v>
      </c>
      <c r="BR30" s="108">
        <f t="array" ref="BR30">IFERROR(INDEX('Com&amp;tax'!$F$2:$F$5, MATCH(1, ('Com&amp;tax'!$A$2:$A$5=B30)*('Com&amp;tax'!$D$2:$D$5=H30), 0)),0)</f>
        <v>4.9000000000000002E-2</v>
      </c>
      <c r="BS30" s="109">
        <f t="shared" si="74"/>
        <v>10076.225813499999</v>
      </c>
      <c r="BT30" s="109">
        <f t="array" aca="1" ref="BT30" ca="1">IF(A30="","",( IFERROR((J30*(1-BE30))*BR30/INDEX(er!D:D, MATCH(Q30,er!C:C,0),1),0)))</f>
        <v>7.2127600669291336</v>
      </c>
      <c r="BU30" s="108">
        <f t="array" ref="BU30">IFERROR(INDEX('Com&amp;tax'!$G$2:$G$5, MATCH(1, ('Com&amp;tax'!$A$2:$A$5=B30)*('Com&amp;tax'!$D$2:$D$5=H30), 0)),0)</f>
        <v>0.1575</v>
      </c>
      <c r="BV30" s="109">
        <f t="shared" si="75"/>
        <v>32387.86868625</v>
      </c>
      <c r="BW30" s="109">
        <f t="array" aca="1" ref="BW30" ca="1">IF(A30="","",( IFERROR((J30*(1-BE30))*BU30/INDEX(er!D:D, MATCH(Q30,er!C:C,0),1),0)))</f>
        <v>23.183871643700787</v>
      </c>
      <c r="BX30" s="108">
        <f t="array" ref="BX30">IFERROR(INDEX('Com&amp;tax'!$H$2:$H$5, MATCH(1, ('Com&amp;tax'!$A$2:$A$5=B30)*('Com&amp;tax'!$D$2:$D$5=H30), 0)),0)</f>
        <v>7.0000000000000007E-2</v>
      </c>
      <c r="BY30" s="109">
        <f t="shared" si="76"/>
        <v>16934.833300000002</v>
      </c>
      <c r="BZ30" s="109">
        <f t="array" aca="1" ref="BZ30" ca="1">IF(A30="","",( IFERROR(J30*BX30/INDEX(er!D:D, MATCH(Q30,er!C:C,0),1),0)))</f>
        <v>12.122285826771655</v>
      </c>
      <c r="CA30" s="96">
        <f t="array" aca="1" ref="CA30" ca="1">IF(A30="","",( IFERROR(1-((P30/ INDEX(er!$D$3:$D$75,MATCH(1, (er!$A$3:$A$75=$BG$2)*(er!$C$3:$C$75=Q30), 0))   /  (J30/ INDEX(er!$D$3:$D$75,MATCH(1, (er!$A$3:$A$75=$BG$2)*(er!$C$3:$C$75=L30), 0))))),"")))</f>
        <v>0.39552497396003305</v>
      </c>
      <c r="CB30" s="96">
        <f t="shared" si="77"/>
        <v>0.21999999255971425</v>
      </c>
      <c r="CC30" s="111">
        <f t="shared" ca="1" si="78"/>
        <v>0.1755249814003188</v>
      </c>
      <c r="CD30" s="110">
        <f t="shared" ref="CD30:CE30" si="84">BJ30+BM30-BS30-BV30</f>
        <v>0</v>
      </c>
      <c r="CE30" s="110">
        <f t="shared" ca="1" si="84"/>
        <v>0</v>
      </c>
      <c r="CF30" s="110">
        <f t="shared" ca="1" si="80"/>
        <v>-30.4</v>
      </c>
      <c r="CG30" s="8" t="str">
        <f t="shared" si="81"/>
        <v>Incorrect</v>
      </c>
      <c r="CH30" s="8"/>
      <c r="CI30" t="s">
        <v>2317</v>
      </c>
      <c r="CK30" s="240">
        <v>42464.094499750005</v>
      </c>
      <c r="CL30" s="239">
        <f ca="1">(AI30+CK30)/INDEX(er!D:D,MATCH(AC30,er!C:C,0),1)</f>
        <v>3.2210093114589078E-6</v>
      </c>
      <c r="CN30" s="239">
        <f ca="1">CK30/INDEX(er!D:D,MATCH(AC30,er!C:C,0),1)</f>
        <v>30.396631710629926</v>
      </c>
    </row>
    <row r="31" spans="1:92" ht="12.5" x14ac:dyDescent="0.25">
      <c r="A31" s="93" t="s">
        <v>207</v>
      </c>
      <c r="B31" s="93" t="s">
        <v>96</v>
      </c>
      <c r="C31" s="93" t="s">
        <v>103</v>
      </c>
      <c r="D31" s="93" t="s">
        <v>208</v>
      </c>
      <c r="E31" s="93"/>
      <c r="F31" s="93"/>
      <c r="G31" s="94" t="s">
        <v>107</v>
      </c>
      <c r="H31" s="93" t="s">
        <v>436</v>
      </c>
      <c r="I31" s="94" t="s">
        <v>107</v>
      </c>
      <c r="J31" s="94">
        <v>1677857.16</v>
      </c>
      <c r="K31" s="94">
        <v>1677857.16</v>
      </c>
      <c r="L31" s="94" t="s">
        <v>111</v>
      </c>
      <c r="M31" s="94">
        <v>1677857.16</v>
      </c>
      <c r="N31" s="94" t="s">
        <v>111</v>
      </c>
      <c r="O31" s="94">
        <v>1677857.16</v>
      </c>
      <c r="P31" s="94">
        <v>1014222.77</v>
      </c>
      <c r="Q31" s="93" t="s">
        <v>111</v>
      </c>
      <c r="R31" s="94" t="s">
        <v>105</v>
      </c>
      <c r="S31" s="94"/>
      <c r="T31" s="94"/>
      <c r="U31" s="94">
        <v>0</v>
      </c>
      <c r="V31" s="93" t="s">
        <v>94</v>
      </c>
      <c r="W31" s="8" t="s">
        <v>98</v>
      </c>
      <c r="X31" s="94" t="s">
        <v>103</v>
      </c>
      <c r="Y31" s="94" t="s">
        <v>107</v>
      </c>
      <c r="Z31" s="94" t="s">
        <v>105</v>
      </c>
      <c r="AA31" s="94" t="s">
        <v>111</v>
      </c>
      <c r="AB31" s="94">
        <v>1677857.16</v>
      </c>
      <c r="AC31" s="94" t="s">
        <v>111</v>
      </c>
      <c r="AD31" s="94">
        <v>1014222.71</v>
      </c>
      <c r="AE31" s="94">
        <v>39.549999999999997</v>
      </c>
      <c r="AF31" s="94" t="s">
        <v>99</v>
      </c>
      <c r="AG31" s="94">
        <v>0</v>
      </c>
      <c r="AH31" s="94">
        <v>0</v>
      </c>
      <c r="AI31" s="94">
        <v>0.06</v>
      </c>
      <c r="AJ31" s="94">
        <v>0</v>
      </c>
      <c r="AK31" s="94">
        <v>0.39552496232754397</v>
      </c>
      <c r="AL31" s="94" t="s">
        <v>99</v>
      </c>
      <c r="AM31" s="93" t="s">
        <v>495</v>
      </c>
      <c r="AN31" s="94"/>
      <c r="AO31" s="94" t="s">
        <v>16</v>
      </c>
      <c r="AP31" s="94" t="s">
        <v>16</v>
      </c>
      <c r="AQ31" s="94"/>
      <c r="AR31" s="94" t="s">
        <v>16</v>
      </c>
      <c r="AS31" s="94"/>
      <c r="AT31" s="94" t="s">
        <v>16</v>
      </c>
      <c r="AU31" s="94">
        <v>1677857.16</v>
      </c>
      <c r="AV31" s="94">
        <v>1199</v>
      </c>
      <c r="AW31" s="94" t="s">
        <v>16</v>
      </c>
      <c r="AX31" s="94">
        <v>1677857.16</v>
      </c>
      <c r="AY31" s="94">
        <v>1201.04</v>
      </c>
      <c r="AZ31" s="94" t="s">
        <v>111</v>
      </c>
      <c r="BA31" s="94">
        <v>1014222.71</v>
      </c>
      <c r="BB31" s="94" t="s">
        <v>99</v>
      </c>
      <c r="BC31" s="94">
        <v>0.06</v>
      </c>
      <c r="BD31" s="94">
        <v>0</v>
      </c>
      <c r="BE31" s="60">
        <f t="array" ref="BE31">IFERROR(INDEX('Com&amp;tax'!$E$2:$E$5, MATCH(1, ('Com&amp;tax'!$A$2:$A$5=B31)*('Com&amp;tax'!$B$2:$B$5=G31), 0)),"")</f>
        <v>0.15</v>
      </c>
      <c r="BF31" s="58">
        <f t="shared" si="69"/>
        <v>251678.57399999996</v>
      </c>
      <c r="BG31" s="58">
        <f t="array" aca="1" ref="BG31" ca="1">IF(A31="","",( IFERROR((O31/ INDEX(er!$D$3:$D$75,MATCH(1, (er!$A$3:$A$75=$BG$2)*(er!$C$3:$C$75=Q31), 0)))*BE31,"")))</f>
        <v>180.15645955619183</v>
      </c>
      <c r="BH31" s="58">
        <f t="shared" si="70"/>
        <v>-251678.57399999996</v>
      </c>
      <c r="BI31" s="59">
        <f t="array" ref="BI31">IFERROR(INDEX('Com&amp;tax'!$F$2:$F$5, MATCH(1, ('Com&amp;tax'!$A$2:$A$5=B31)*('Com&amp;tax'!$B$2:$B$5=Y31), 0)),0)</f>
        <v>4.9000000000000002E-2</v>
      </c>
      <c r="BJ31" s="58">
        <f t="shared" si="71"/>
        <v>69882.750713999994</v>
      </c>
      <c r="BK31" s="58">
        <f t="array" aca="1" ref="BK31" ca="1">IF(A31="","",( IFERROR((J31*(1-BE31))*BI31/INDEX(er!D:D, MATCH(Q31,er!C:C,0),1),0)))</f>
        <v>50.023443603435929</v>
      </c>
      <c r="BL31" s="60">
        <f t="array" ref="BL31">IFERROR(INDEX('Com&amp;tax'!$G$2:$G$5, MATCH(1, ('Com&amp;tax'!$A$2:$A$5=B31)*('Com&amp;tax'!$B$2:$B$5=Y31), 0)),0)</f>
        <v>0.1575</v>
      </c>
      <c r="BM31" s="58">
        <f t="shared" si="72"/>
        <v>224623.12729499998</v>
      </c>
      <c r="BN31" s="58">
        <f t="array" aca="1" ref="BN31" ca="1">IF(A31="","",( IFERROR((J31*(1-BE31))*BL31/INDEX(er!D:D, MATCH(Q31,er!C:C,0),1),0)))</f>
        <v>160.78964015390122</v>
      </c>
      <c r="BO31" s="60">
        <f t="array" ref="BO31">IFERROR(INDEX('Com&amp;tax'!$H$2:$H$5, MATCH(1, ('Com&amp;tax'!$A$2:$A$5=B31)*('Com&amp;tax'!$B$2:$B$5=Y31), 0)),0)</f>
        <v>7.0000000000000007E-2</v>
      </c>
      <c r="BP31" s="58">
        <f t="shared" si="73"/>
        <v>117450.0012</v>
      </c>
      <c r="BQ31" s="58">
        <f t="array" aca="1" ref="BQ31" ca="1">IF(A31="","",( IFERROR(J31*BO31/INDEX(er!D:D, MATCH(Q31,er!C:C,0),1),0)))</f>
        <v>84.073014459556191</v>
      </c>
      <c r="BR31" s="108">
        <f t="array" ref="BR31">IFERROR(INDEX('Com&amp;tax'!$F$2:$F$5, MATCH(1, ('Com&amp;tax'!$A$2:$A$5=B31)*('Com&amp;tax'!$D$2:$D$5=H31), 0)),0)</f>
        <v>4.9000000000000002E-2</v>
      </c>
      <c r="BS31" s="109">
        <f t="shared" si="74"/>
        <v>69882.750713999994</v>
      </c>
      <c r="BT31" s="109">
        <f t="array" aca="1" ref="BT31" ca="1">IF(A31="","",( IFERROR((J31*(1-BE31))*BR31/INDEX(er!D:D, MATCH(Q31,er!C:C,0),1),0)))</f>
        <v>50.023443603435929</v>
      </c>
      <c r="BU31" s="108">
        <f t="array" ref="BU31">IFERROR(INDEX('Com&amp;tax'!$G$2:$G$5, MATCH(1, ('Com&amp;tax'!$A$2:$A$5=B31)*('Com&amp;tax'!$D$2:$D$5=H31), 0)),0)</f>
        <v>0.1575</v>
      </c>
      <c r="BV31" s="109">
        <f t="shared" si="75"/>
        <v>224623.12729499998</v>
      </c>
      <c r="BW31" s="109">
        <f t="array" aca="1" ref="BW31" ca="1">IF(A31="","",( IFERROR((J31*(1-BE31))*BU31/INDEX(er!D:D, MATCH(Q31,er!C:C,0),1),0)))</f>
        <v>160.78964015390122</v>
      </c>
      <c r="BX31" s="108">
        <f t="array" ref="BX31">IFERROR(INDEX('Com&amp;tax'!$H$2:$H$5, MATCH(1, ('Com&amp;tax'!$A$2:$A$5=B31)*('Com&amp;tax'!$D$2:$D$5=H31), 0)),0)</f>
        <v>7.0000000000000007E-2</v>
      </c>
      <c r="BY31" s="109">
        <f t="shared" si="76"/>
        <v>117450.0012</v>
      </c>
      <c r="BZ31" s="109">
        <f t="array" aca="1" ref="BZ31" ca="1">IF(A31="","",( IFERROR(J31*BX31/INDEX(er!D:D, MATCH(Q31,er!C:C,0),1),0)))</f>
        <v>84.073014459556191</v>
      </c>
      <c r="CA31" s="96">
        <f t="array" aca="1" ref="CA31" ca="1">IF(A31="","",( IFERROR(1-((P31/ INDEX(er!$D$3:$D$75,MATCH(1, (er!$A$3:$A$75=$BG$2)*(er!$C$3:$C$75=Q31), 0))   /  (J31/ INDEX(er!$D$3:$D$75,MATCH(1, (er!$A$3:$A$75=$BG$2)*(er!$C$3:$C$75=L31), 0))))),"")))</f>
        <v>0.39552496232754397</v>
      </c>
      <c r="CB31" s="96">
        <f t="shared" si="77"/>
        <v>0.39552499808744146</v>
      </c>
      <c r="CC31" s="111">
        <f t="shared" ca="1" si="78"/>
        <v>-3.5759897487608328E-8</v>
      </c>
      <c r="CD31" s="110">
        <f t="shared" ref="CD31:CE31" si="85">BJ31+BM31-BS31-BV31</f>
        <v>0</v>
      </c>
      <c r="CE31" s="110">
        <f t="shared" ca="1" si="85"/>
        <v>0</v>
      </c>
      <c r="CF31" s="110">
        <f t="shared" ca="1" si="80"/>
        <v>0</v>
      </c>
      <c r="CG31" s="8" t="str">
        <f t="shared" si="81"/>
        <v>OK</v>
      </c>
      <c r="CH31" s="8"/>
      <c r="CI31" t="s">
        <v>99</v>
      </c>
      <c r="CK31" s="240">
        <v>0</v>
      </c>
      <c r="CL31" s="239">
        <f ca="1">(AI31+CK31)/INDEX(er!D:D,MATCH(AC31,er!C:C,0),1)</f>
        <v>4.2949176807444524E-5</v>
      </c>
      <c r="CN31" s="239">
        <f ca="1">CK31/INDEX(er!D:D,MATCH(AC31,er!C:C,0),1)</f>
        <v>0</v>
      </c>
    </row>
    <row r="32" spans="1:92" ht="12.5" x14ac:dyDescent="0.25">
      <c r="A32" s="93" t="s">
        <v>211</v>
      </c>
      <c r="B32" s="93" t="s">
        <v>100</v>
      </c>
      <c r="C32" s="93" t="s">
        <v>103</v>
      </c>
      <c r="D32" s="93" t="s">
        <v>212</v>
      </c>
      <c r="E32" s="93"/>
      <c r="F32" s="93"/>
      <c r="G32" s="94" t="s">
        <v>107</v>
      </c>
      <c r="H32" s="93" t="s">
        <v>436</v>
      </c>
      <c r="I32" s="94" t="s">
        <v>107</v>
      </c>
      <c r="J32" s="94">
        <v>1952420.44</v>
      </c>
      <c r="K32" s="94">
        <v>1952420.44</v>
      </c>
      <c r="L32" s="94" t="s">
        <v>111</v>
      </c>
      <c r="M32" s="94">
        <v>1952420.44</v>
      </c>
      <c r="N32" s="94" t="s">
        <v>111</v>
      </c>
      <c r="O32" s="94">
        <v>1952420.44</v>
      </c>
      <c r="P32" s="94">
        <v>1288587.73</v>
      </c>
      <c r="Q32" s="93" t="s">
        <v>111</v>
      </c>
      <c r="R32" s="94" t="s">
        <v>105</v>
      </c>
      <c r="S32" s="94"/>
      <c r="T32" s="94"/>
      <c r="U32" s="94">
        <v>0</v>
      </c>
      <c r="V32" s="93" t="s">
        <v>94</v>
      </c>
      <c r="W32" s="8" t="s">
        <v>98</v>
      </c>
      <c r="X32" s="94" t="s">
        <v>103</v>
      </c>
      <c r="Y32" s="94" t="s">
        <v>107</v>
      </c>
      <c r="Z32" s="94" t="s">
        <v>105</v>
      </c>
      <c r="AA32" s="94" t="s">
        <v>111</v>
      </c>
      <c r="AB32" s="94">
        <v>1952420.44</v>
      </c>
      <c r="AC32" s="94" t="s">
        <v>111</v>
      </c>
      <c r="AD32" s="94">
        <v>1288636.54</v>
      </c>
      <c r="AE32" s="94">
        <v>34</v>
      </c>
      <c r="AF32" s="94" t="s">
        <v>99</v>
      </c>
      <c r="AG32" s="94">
        <v>0</v>
      </c>
      <c r="AH32" s="94">
        <v>0</v>
      </c>
      <c r="AI32" s="94">
        <v>-48.81</v>
      </c>
      <c r="AJ32" s="94">
        <v>-0.03</v>
      </c>
      <c r="AK32" s="94">
        <v>0.34000499912815907</v>
      </c>
      <c r="AL32" s="94" t="s">
        <v>99</v>
      </c>
      <c r="AM32" s="93" t="s">
        <v>496</v>
      </c>
      <c r="AN32" s="94"/>
      <c r="AO32" s="94" t="s">
        <v>16</v>
      </c>
      <c r="AP32" s="94" t="s">
        <v>16</v>
      </c>
      <c r="AQ32" s="94"/>
      <c r="AR32" s="94" t="s">
        <v>16</v>
      </c>
      <c r="AS32" s="94"/>
      <c r="AT32" s="94" t="s">
        <v>16</v>
      </c>
      <c r="AU32" s="94">
        <v>1952420.44</v>
      </c>
      <c r="AV32" s="94">
        <v>1396</v>
      </c>
      <c r="AW32" s="94" t="s">
        <v>16</v>
      </c>
      <c r="AX32" s="94">
        <v>1952420.44</v>
      </c>
      <c r="AY32" s="94">
        <v>1397.58</v>
      </c>
      <c r="AZ32" s="94" t="s">
        <v>111</v>
      </c>
      <c r="BA32" s="94">
        <v>1288636.54</v>
      </c>
      <c r="BB32" s="94" t="s">
        <v>99</v>
      </c>
      <c r="BC32" s="94">
        <v>-48.81</v>
      </c>
      <c r="BD32" s="94">
        <v>-0.03</v>
      </c>
      <c r="BE32" s="60">
        <f t="array" ref="BE32">IFERROR(INDEX('Com&amp;tax'!$E$2:$E$5, MATCH(1, ('Com&amp;tax'!$A$2:$A$5=B32)*('Com&amp;tax'!$B$2:$B$5=G32), 0)),"")</f>
        <v>0.15</v>
      </c>
      <c r="BF32" s="58">
        <f t="shared" si="69"/>
        <v>292863.06599999999</v>
      </c>
      <c r="BG32" s="58">
        <f t="array" aca="1" ref="BG32" ca="1">IF(A32="","",( IFERROR((O32/ INDEX(er!$D$3:$D$75,MATCH(1, (er!$A$3:$A$75=$BG$2)*(er!$C$3:$C$75=Q32), 0)))*BE32,"")))</f>
        <v>209.63712670007155</v>
      </c>
      <c r="BH32" s="58">
        <f t="shared" si="70"/>
        <v>-292863.06599999999</v>
      </c>
      <c r="BI32" s="59">
        <f t="array" ref="BI32">IFERROR(INDEX('Com&amp;tax'!$F$2:$F$5, MATCH(1, ('Com&amp;tax'!$A$2:$A$5=B32)*('Com&amp;tax'!$B$2:$B$5=Y32), 0)),0)</f>
        <v>4.9000000000000002E-2</v>
      </c>
      <c r="BJ32" s="58">
        <f t="shared" si="71"/>
        <v>81318.311325999995</v>
      </c>
      <c r="BK32" s="58">
        <f t="array" aca="1" ref="BK32" ca="1">IF(A32="","",( IFERROR((J32*(1-BE32))*BI32/INDEX(er!D:D, MATCH(Q32,er!C:C,0),1),0)))</f>
        <v>58.209242180386539</v>
      </c>
      <c r="BL32" s="60">
        <f t="array" ref="BL32">IFERROR(INDEX('Com&amp;tax'!$G$2:$G$5, MATCH(1, ('Com&amp;tax'!$A$2:$A$5=B32)*('Com&amp;tax'!$B$2:$B$5=Y32), 0)),0)</f>
        <v>0.1575</v>
      </c>
      <c r="BM32" s="58">
        <f t="shared" si="72"/>
        <v>261380.28640499996</v>
      </c>
      <c r="BN32" s="58">
        <f t="array" aca="1" ref="BN32" ca="1">IF(A32="","",( IFERROR((J32*(1-BE32))*BL32/INDEX(er!D:D, MATCH(Q32,er!C:C,0),1),0)))</f>
        <v>187.10113557981387</v>
      </c>
      <c r="BO32" s="60">
        <f t="array" ref="BO32">IFERROR(INDEX('Com&amp;tax'!$H$2:$H$5, MATCH(1, ('Com&amp;tax'!$A$2:$A$5=B32)*('Com&amp;tax'!$B$2:$B$5=Y32), 0)),0)</f>
        <v>0</v>
      </c>
      <c r="BP32" s="58">
        <f t="shared" si="73"/>
        <v>0</v>
      </c>
      <c r="BQ32" s="58">
        <f t="array" aca="1" ref="BQ32" ca="1">IF(A32="","",( IFERROR(J32*BO32/INDEX(er!D:D, MATCH(Q32,er!C:C,0),1),0)))</f>
        <v>0</v>
      </c>
      <c r="BR32" s="108">
        <f t="array" ref="BR32">IFERROR(INDEX('Com&amp;tax'!$F$2:$F$5, MATCH(1, ('Com&amp;tax'!$A$2:$A$5=B32)*('Com&amp;tax'!$D$2:$D$5=H32), 0)),0)</f>
        <v>4.9000000000000002E-2</v>
      </c>
      <c r="BS32" s="109">
        <f t="shared" si="74"/>
        <v>81318.311325999995</v>
      </c>
      <c r="BT32" s="109">
        <f t="array" aca="1" ref="BT32" ca="1">IF(A32="","",( IFERROR((J32*(1-BE32))*BR32/INDEX(er!D:D, MATCH(Q32,er!C:C,0),1),0)))</f>
        <v>58.209242180386539</v>
      </c>
      <c r="BU32" s="108">
        <f t="array" ref="BU32">IFERROR(INDEX('Com&amp;tax'!$G$2:$G$5, MATCH(1, ('Com&amp;tax'!$A$2:$A$5=B32)*('Com&amp;tax'!$D$2:$D$5=H32), 0)),0)</f>
        <v>0.1575</v>
      </c>
      <c r="BV32" s="109">
        <f t="shared" si="75"/>
        <v>261380.28640499996</v>
      </c>
      <c r="BW32" s="109">
        <f t="array" aca="1" ref="BW32" ca="1">IF(A32="","",( IFERROR((J32*(1-BE32))*BU32/INDEX(er!D:D, MATCH(Q32,er!C:C,0),1),0)))</f>
        <v>187.10113557981387</v>
      </c>
      <c r="BX32" s="108">
        <f t="array" ref="BX32">IFERROR(INDEX('Com&amp;tax'!$H$2:$H$5, MATCH(1, ('Com&amp;tax'!$A$2:$A$5=B32)*('Com&amp;tax'!$D$2:$D$5=H32), 0)),0)</f>
        <v>0</v>
      </c>
      <c r="BY32" s="109">
        <f t="shared" si="76"/>
        <v>0</v>
      </c>
      <c r="BZ32" s="109">
        <f t="array" aca="1" ref="BZ32" ca="1">IF(A32="","",( IFERROR(J32*BX32/INDEX(er!D:D, MATCH(Q32,er!C:C,0),1),0)))</f>
        <v>0</v>
      </c>
      <c r="CA32" s="96">
        <f t="array" aca="1" ref="CA32" ca="1">IF(A32="","",( IFERROR(1-((P32/ INDEX(er!$D$3:$D$75,MATCH(1, (er!$A$3:$A$75=$BG$2)*(er!$C$3:$C$75=Q32), 0))   /  (J32/ INDEX(er!$D$3:$D$75,MATCH(1, (er!$A$3:$A$75=$BG$2)*(er!$C$3:$C$75=L32), 0))))),"")))</f>
        <v>0.34000499912815907</v>
      </c>
      <c r="CB32" s="96">
        <f t="shared" si="77"/>
        <v>0.33997999938988543</v>
      </c>
      <c r="CC32" s="111">
        <f t="shared" ca="1" si="78"/>
        <v>2.4999738273634442E-5</v>
      </c>
      <c r="CD32" s="110">
        <f t="shared" ref="CD32:CE32" si="86">BJ32+BM32-BS32-BV32</f>
        <v>0</v>
      </c>
      <c r="CE32" s="110">
        <f t="shared" ca="1" si="86"/>
        <v>0</v>
      </c>
      <c r="CF32" s="110">
        <f t="shared" ca="1" si="80"/>
        <v>-0.03</v>
      </c>
      <c r="CG32" s="8" t="str">
        <f t="shared" si="81"/>
        <v>OK</v>
      </c>
      <c r="CH32" s="8"/>
      <c r="CI32" t="s">
        <v>99</v>
      </c>
      <c r="CK32" s="240">
        <v>0</v>
      </c>
      <c r="CL32" s="239">
        <f ca="1">(AI32+CK32)/INDEX(er!D:D,MATCH(AC32,er!C:C,0),1)</f>
        <v>-3.4939155332856124E-2</v>
      </c>
      <c r="CN32" s="239">
        <f ca="1">CK32/INDEX(er!D:D,MATCH(AC32,er!C:C,0),1)</f>
        <v>0</v>
      </c>
    </row>
    <row r="33" spans="1:92" ht="12.5" x14ac:dyDescent="0.25">
      <c r="A33" s="93" t="s">
        <v>214</v>
      </c>
      <c r="B33" s="93" t="s">
        <v>96</v>
      </c>
      <c r="C33" s="93" t="s">
        <v>103</v>
      </c>
      <c r="D33" s="93" t="s">
        <v>215</v>
      </c>
      <c r="E33" s="93"/>
      <c r="F33" s="93"/>
      <c r="G33" s="94" t="s">
        <v>107</v>
      </c>
      <c r="H33" s="93" t="s">
        <v>436</v>
      </c>
      <c r="I33" s="94" t="s">
        <v>107</v>
      </c>
      <c r="J33" s="94">
        <v>9577518.6799999997</v>
      </c>
      <c r="K33" s="94">
        <v>9577518.6799999997</v>
      </c>
      <c r="L33" s="94" t="s">
        <v>111</v>
      </c>
      <c r="M33" s="94">
        <v>9577518.6799999997</v>
      </c>
      <c r="N33" s="94" t="s">
        <v>111</v>
      </c>
      <c r="O33" s="94">
        <v>9577518.6799999997</v>
      </c>
      <c r="P33" s="94">
        <v>5789370.9900000002</v>
      </c>
      <c r="Q33" s="93" t="s">
        <v>111</v>
      </c>
      <c r="R33" s="94" t="s">
        <v>105</v>
      </c>
      <c r="S33" s="94"/>
      <c r="T33" s="94"/>
      <c r="U33" s="94">
        <v>0</v>
      </c>
      <c r="V33" s="93" t="s">
        <v>94</v>
      </c>
      <c r="W33" s="8" t="s">
        <v>98</v>
      </c>
      <c r="X33" s="94" t="s">
        <v>103</v>
      </c>
      <c r="Y33" s="94" t="s">
        <v>107</v>
      </c>
      <c r="Z33" s="94" t="s">
        <v>105</v>
      </c>
      <c r="AA33" s="94" t="s">
        <v>111</v>
      </c>
      <c r="AB33" s="94">
        <v>9577518.6799999997</v>
      </c>
      <c r="AC33" s="94" t="s">
        <v>111</v>
      </c>
      <c r="AD33" s="94">
        <v>5789370.5999999996</v>
      </c>
      <c r="AE33" s="94">
        <v>39.549999999999997</v>
      </c>
      <c r="AF33" s="94" t="s">
        <v>99</v>
      </c>
      <c r="AG33" s="94">
        <v>0</v>
      </c>
      <c r="AH33" s="94">
        <v>0</v>
      </c>
      <c r="AI33" s="94">
        <v>0.39</v>
      </c>
      <c r="AJ33" s="94">
        <v>0</v>
      </c>
      <c r="AK33" s="94">
        <v>0.39552495970699575</v>
      </c>
      <c r="AL33" s="94" t="s">
        <v>99</v>
      </c>
      <c r="AM33" s="93" t="s">
        <v>497</v>
      </c>
      <c r="AN33" s="94"/>
      <c r="AO33" s="94" t="s">
        <v>16</v>
      </c>
      <c r="AP33" s="94" t="s">
        <v>16</v>
      </c>
      <c r="AQ33" s="94"/>
      <c r="AR33" s="94" t="s">
        <v>16</v>
      </c>
      <c r="AS33" s="94"/>
      <c r="AT33" s="94" t="s">
        <v>16</v>
      </c>
      <c r="AU33" s="94">
        <v>9577518.6799999997</v>
      </c>
      <c r="AV33" s="94">
        <v>6854</v>
      </c>
      <c r="AW33" s="94" t="s">
        <v>16</v>
      </c>
      <c r="AX33" s="94">
        <v>9577518.6799999997</v>
      </c>
      <c r="AY33" s="94">
        <v>6855.78</v>
      </c>
      <c r="AZ33" s="94" t="s">
        <v>111</v>
      </c>
      <c r="BA33" s="94">
        <v>5789370.5999999996</v>
      </c>
      <c r="BB33" s="94" t="s">
        <v>99</v>
      </c>
      <c r="BC33" s="94">
        <v>0.39</v>
      </c>
      <c r="BD33" s="94">
        <v>0</v>
      </c>
      <c r="BE33" s="60">
        <f t="array" ref="BE33">IFERROR(INDEX('Com&amp;tax'!$E$2:$E$5, MATCH(1, ('Com&amp;tax'!$A$2:$A$5=B33)*('Com&amp;tax'!$B$2:$B$5=G33), 0)),"")</f>
        <v>0.15</v>
      </c>
      <c r="BF33" s="58">
        <f t="shared" si="69"/>
        <v>1436627.8019999999</v>
      </c>
      <c r="BG33" s="58">
        <f t="array" aca="1" ref="BG33" ca="1">IF(A33="","",( IFERROR((O33/ INDEX(er!$D$3:$D$75,MATCH(1, (er!$A$3:$A$75=$BG$2)*(er!$C$3:$C$75=Q33), 0)))*BE33,"")))</f>
        <v>1028.3663579098065</v>
      </c>
      <c r="BH33" s="58">
        <f t="shared" si="70"/>
        <v>-1436627.8019999999</v>
      </c>
      <c r="BI33" s="59">
        <f t="array" ref="BI33">IFERROR(INDEX('Com&amp;tax'!$F$2:$F$5, MATCH(1, ('Com&amp;tax'!$A$2:$A$5=B33)*('Com&amp;tax'!$B$2:$B$5=Y33), 0)),0)</f>
        <v>4.9000000000000002E-2</v>
      </c>
      <c r="BJ33" s="58">
        <f t="shared" si="71"/>
        <v>398903.65302199998</v>
      </c>
      <c r="BK33" s="58">
        <f t="array" aca="1" ref="BK33" ca="1">IF(A33="","",( IFERROR((J33*(1-BE33))*BI33/INDEX(er!D:D, MATCH(Q33,er!C:C,0),1),0)))</f>
        <v>285.54305871295634</v>
      </c>
      <c r="BL33" s="60">
        <f t="array" ref="BL33">IFERROR(INDEX('Com&amp;tax'!$G$2:$G$5, MATCH(1, ('Com&amp;tax'!$A$2:$A$5=B33)*('Com&amp;tax'!$B$2:$B$5=Y33), 0)),0)</f>
        <v>0.1575</v>
      </c>
      <c r="BM33" s="58">
        <f t="shared" si="72"/>
        <v>1282190.3132849999</v>
      </c>
      <c r="BN33" s="58">
        <f t="array" aca="1" ref="BN33" ca="1">IF(A33="","",( IFERROR((J33*(1-BE33))*BL33/INDEX(er!D:D, MATCH(Q33,er!C:C,0),1),0)))</f>
        <v>917.81697443450241</v>
      </c>
      <c r="BO33" s="60">
        <f t="array" ref="BO33">IFERROR(INDEX('Com&amp;tax'!$H$2:$H$5, MATCH(1, ('Com&amp;tax'!$A$2:$A$5=B33)*('Com&amp;tax'!$B$2:$B$5=Y33), 0)),0)</f>
        <v>7.0000000000000007E-2</v>
      </c>
      <c r="BP33" s="58">
        <f t="shared" si="73"/>
        <v>670426.30760000006</v>
      </c>
      <c r="BQ33" s="58">
        <f t="array" aca="1" ref="BQ33" ca="1">IF(A33="","",( IFERROR(J33*BO33/INDEX(er!D:D, MATCH(Q33,er!C:C,0),1),0)))</f>
        <v>479.90430035790985</v>
      </c>
      <c r="BR33" s="108">
        <f t="array" ref="BR33">IFERROR(INDEX('Com&amp;tax'!$F$2:$F$5, MATCH(1, ('Com&amp;tax'!$A$2:$A$5=B33)*('Com&amp;tax'!$D$2:$D$5=H33), 0)),0)</f>
        <v>4.9000000000000002E-2</v>
      </c>
      <c r="BS33" s="109">
        <f t="shared" si="74"/>
        <v>398903.65302199998</v>
      </c>
      <c r="BT33" s="109">
        <f t="array" aca="1" ref="BT33" ca="1">IF(A33="","",( IFERROR((J33*(1-BE33))*BR33/INDEX(er!D:D, MATCH(Q33,er!C:C,0),1),0)))</f>
        <v>285.54305871295634</v>
      </c>
      <c r="BU33" s="108">
        <f t="array" ref="BU33">IFERROR(INDEX('Com&amp;tax'!$G$2:$G$5, MATCH(1, ('Com&amp;tax'!$A$2:$A$5=B33)*('Com&amp;tax'!$D$2:$D$5=H33), 0)),0)</f>
        <v>0.1575</v>
      </c>
      <c r="BV33" s="109">
        <f t="shared" si="75"/>
        <v>1282190.3132849999</v>
      </c>
      <c r="BW33" s="109">
        <f t="array" aca="1" ref="BW33" ca="1">IF(A33="","",( IFERROR((J33*(1-BE33))*BU33/INDEX(er!D:D, MATCH(Q33,er!C:C,0),1),0)))</f>
        <v>917.81697443450241</v>
      </c>
      <c r="BX33" s="108">
        <f t="array" ref="BX33">IFERROR(INDEX('Com&amp;tax'!$H$2:$H$5, MATCH(1, ('Com&amp;tax'!$A$2:$A$5=B33)*('Com&amp;tax'!$D$2:$D$5=H33), 0)),0)</f>
        <v>7.0000000000000007E-2</v>
      </c>
      <c r="BY33" s="109">
        <f t="shared" si="76"/>
        <v>670426.30760000006</v>
      </c>
      <c r="BZ33" s="109">
        <f t="array" aca="1" ref="BZ33" ca="1">IF(A33="","",( IFERROR(J33*BX33/INDEX(er!D:D, MATCH(Q33,er!C:C,0),1),0)))</f>
        <v>479.90430035790985</v>
      </c>
      <c r="CA33" s="96">
        <f t="array" aca="1" ref="CA33" ca="1">IF(A33="","",( IFERROR(1-((P33/ INDEX(er!$D$3:$D$75,MATCH(1, (er!$A$3:$A$75=$BG$2)*(er!$C$3:$C$75=Q33), 0))   /  (J33/ INDEX(er!$D$3:$D$75,MATCH(1, (er!$A$3:$A$75=$BG$2)*(er!$C$3:$C$75=L33), 0))))),"")))</f>
        <v>0.39552495970699575</v>
      </c>
      <c r="CB33" s="96">
        <f t="shared" si="77"/>
        <v>0.39552500042735494</v>
      </c>
      <c r="CC33" s="111">
        <f t="shared" ca="1" si="78"/>
        <v>-4.0720359195667299E-8</v>
      </c>
      <c r="CD33" s="110">
        <f t="shared" ref="CD33:CE33" si="87">BJ33+BM33-BS33-BV33</f>
        <v>0</v>
      </c>
      <c r="CE33" s="110">
        <f t="shared" ca="1" si="87"/>
        <v>0</v>
      </c>
      <c r="CF33" s="110">
        <f t="shared" ca="1" si="80"/>
        <v>0</v>
      </c>
      <c r="CG33" s="8" t="str">
        <f t="shared" si="81"/>
        <v>OK</v>
      </c>
      <c r="CH33" s="8"/>
      <c r="CI33" t="s">
        <v>99</v>
      </c>
      <c r="CK33" s="240">
        <v>0</v>
      </c>
      <c r="CL33" s="239">
        <f ca="1">(AI33+CK33)/INDEX(er!D:D,MATCH(AC33,er!C:C,0),1)</f>
        <v>2.7916964924838944E-4</v>
      </c>
      <c r="CN33" s="239">
        <f ca="1">CK33/INDEX(er!D:D,MATCH(AC33,er!C:C,0),1)</f>
        <v>0</v>
      </c>
    </row>
    <row r="34" spans="1:92" ht="12.5" x14ac:dyDescent="0.25">
      <c r="A34" s="93" t="s">
        <v>218</v>
      </c>
      <c r="B34" s="93" t="s">
        <v>96</v>
      </c>
      <c r="C34" s="93" t="s">
        <v>103</v>
      </c>
      <c r="D34" s="93" t="s">
        <v>219</v>
      </c>
      <c r="E34" s="93"/>
      <c r="F34" s="93"/>
      <c r="G34" s="94" t="s">
        <v>107</v>
      </c>
      <c r="H34" s="93" t="s">
        <v>436</v>
      </c>
      <c r="I34" s="94" t="s">
        <v>107</v>
      </c>
      <c r="J34" s="94">
        <v>894756.91</v>
      </c>
      <c r="K34" s="94">
        <v>894756.91</v>
      </c>
      <c r="L34" s="94" t="s">
        <v>111</v>
      </c>
      <c r="M34" s="94">
        <v>894756.91</v>
      </c>
      <c r="N34" s="94" t="s">
        <v>111</v>
      </c>
      <c r="O34" s="94">
        <v>894756.91</v>
      </c>
      <c r="P34" s="94">
        <v>540858.22</v>
      </c>
      <c r="Q34" s="93" t="s">
        <v>111</v>
      </c>
      <c r="R34" s="94" t="s">
        <v>105</v>
      </c>
      <c r="S34" s="94"/>
      <c r="T34" s="94"/>
      <c r="U34" s="94">
        <v>0</v>
      </c>
      <c r="V34" s="93" t="s">
        <v>94</v>
      </c>
      <c r="W34" s="8" t="s">
        <v>98</v>
      </c>
      <c r="X34" s="94" t="s">
        <v>103</v>
      </c>
      <c r="Y34" s="94" t="s">
        <v>107</v>
      </c>
      <c r="Z34" s="94" t="s">
        <v>105</v>
      </c>
      <c r="AA34" s="94" t="s">
        <v>111</v>
      </c>
      <c r="AB34" s="94">
        <v>894756.91</v>
      </c>
      <c r="AC34" s="94" t="s">
        <v>111</v>
      </c>
      <c r="AD34" s="94">
        <v>540858.18000000005</v>
      </c>
      <c r="AE34" s="94">
        <v>39.549999999999997</v>
      </c>
      <c r="AF34" s="94" t="s">
        <v>99</v>
      </c>
      <c r="AG34" s="94">
        <v>0</v>
      </c>
      <c r="AH34" s="94">
        <v>0</v>
      </c>
      <c r="AI34" s="94">
        <v>0.04</v>
      </c>
      <c r="AJ34" s="94">
        <v>0</v>
      </c>
      <c r="AK34" s="94">
        <v>0.39552495884049677</v>
      </c>
      <c r="AL34" s="94" t="s">
        <v>99</v>
      </c>
      <c r="AM34" s="93" t="s">
        <v>498</v>
      </c>
      <c r="AN34" s="94"/>
      <c r="AO34" s="94" t="s">
        <v>16</v>
      </c>
      <c r="AP34" s="94" t="s">
        <v>16</v>
      </c>
      <c r="AQ34" s="94"/>
      <c r="AR34" s="94" t="s">
        <v>16</v>
      </c>
      <c r="AS34" s="94"/>
      <c r="AT34" s="94" t="s">
        <v>16</v>
      </c>
      <c r="AU34" s="94">
        <v>894756.91</v>
      </c>
      <c r="AV34" s="94">
        <v>638</v>
      </c>
      <c r="AW34" s="94" t="s">
        <v>16</v>
      </c>
      <c r="AX34" s="94">
        <v>894756.91</v>
      </c>
      <c r="AY34" s="94">
        <v>640.48</v>
      </c>
      <c r="AZ34" s="94" t="s">
        <v>111</v>
      </c>
      <c r="BA34" s="94">
        <v>540858.18999999994</v>
      </c>
      <c r="BB34" s="94" t="s">
        <v>99</v>
      </c>
      <c r="BC34" s="94">
        <v>0.03</v>
      </c>
      <c r="BD34" s="94">
        <v>0</v>
      </c>
      <c r="BE34" s="60">
        <f t="array" ref="BE34">IFERROR(INDEX('Com&amp;tax'!$E$2:$E$5, MATCH(1, ('Com&amp;tax'!$A$2:$A$5=B34)*('Com&amp;tax'!$B$2:$B$5=G34), 0)),"")</f>
        <v>0.15</v>
      </c>
      <c r="BF34" s="58">
        <f t="shared" si="69"/>
        <v>134213.53649999999</v>
      </c>
      <c r="BG34" s="58">
        <f t="array" aca="1" ref="BG34" ca="1">IF(A34="","",( IFERROR((O34/ INDEX(er!$D$3:$D$75,MATCH(1, (er!$A$3:$A$75=$BG$2)*(er!$C$3:$C$75=Q34), 0)))*BE34,"")))</f>
        <v>96.07268181818182</v>
      </c>
      <c r="BH34" s="58">
        <f t="shared" si="70"/>
        <v>-134213.53649999999</v>
      </c>
      <c r="BI34" s="59">
        <f t="array" ref="BI34">IFERROR(INDEX('Com&amp;tax'!$F$2:$F$5, MATCH(1, ('Com&amp;tax'!$A$2:$A$5=B34)*('Com&amp;tax'!$B$2:$B$5=Y34), 0)),0)</f>
        <v>4.9000000000000002E-2</v>
      </c>
      <c r="BJ34" s="58">
        <f t="shared" si="71"/>
        <v>37266.625301500004</v>
      </c>
      <c r="BK34" s="58">
        <f t="array" aca="1" ref="BK34" ca="1">IF(A34="","",( IFERROR((J34*(1-BE34))*BI34/INDEX(er!D:D, MATCH(Q34,er!C:C,0),1),0)))</f>
        <v>26.676181318181822</v>
      </c>
      <c r="BL34" s="60">
        <f t="array" ref="BL34">IFERROR(INDEX('Com&amp;tax'!$G$2:$G$5, MATCH(1, ('Com&amp;tax'!$A$2:$A$5=B34)*('Com&amp;tax'!$B$2:$B$5=Y34), 0)),0)</f>
        <v>0.1575</v>
      </c>
      <c r="BM34" s="58">
        <f t="shared" si="72"/>
        <v>119785.58132625</v>
      </c>
      <c r="BN34" s="58">
        <f t="array" aca="1" ref="BN34" ca="1">IF(A34="","",( IFERROR((J34*(1-BE34))*BL34/INDEX(er!D:D, MATCH(Q34,er!C:C,0),1),0)))</f>
        <v>85.744868522727273</v>
      </c>
      <c r="BO34" s="60">
        <f t="array" ref="BO34">IFERROR(INDEX('Com&amp;tax'!$H$2:$H$5, MATCH(1, ('Com&amp;tax'!$A$2:$A$5=B34)*('Com&amp;tax'!$B$2:$B$5=Y34), 0)),0)</f>
        <v>7.0000000000000007E-2</v>
      </c>
      <c r="BP34" s="58">
        <f t="shared" si="73"/>
        <v>62632.983700000012</v>
      </c>
      <c r="BQ34" s="58">
        <f t="array" aca="1" ref="BQ34" ca="1">IF(A34="","",( IFERROR(J34*BO34/INDEX(er!D:D, MATCH(Q34,er!C:C,0),1),0)))</f>
        <v>44.833918181818191</v>
      </c>
      <c r="BR34" s="108">
        <f t="array" ref="BR34">IFERROR(INDEX('Com&amp;tax'!$F$2:$F$5, MATCH(1, ('Com&amp;tax'!$A$2:$A$5=B34)*('Com&amp;tax'!$D$2:$D$5=H34), 0)),0)</f>
        <v>4.9000000000000002E-2</v>
      </c>
      <c r="BS34" s="109">
        <f t="shared" si="74"/>
        <v>37266.625301500004</v>
      </c>
      <c r="BT34" s="109">
        <f t="array" aca="1" ref="BT34" ca="1">IF(A34="","",( IFERROR((J34*(1-BE34))*BR34/INDEX(er!D:D, MATCH(Q34,er!C:C,0),1),0)))</f>
        <v>26.676181318181822</v>
      </c>
      <c r="BU34" s="108">
        <f t="array" ref="BU34">IFERROR(INDEX('Com&amp;tax'!$G$2:$G$5, MATCH(1, ('Com&amp;tax'!$A$2:$A$5=B34)*('Com&amp;tax'!$D$2:$D$5=H34), 0)),0)</f>
        <v>0.1575</v>
      </c>
      <c r="BV34" s="109">
        <f t="shared" si="75"/>
        <v>119785.58132625</v>
      </c>
      <c r="BW34" s="109">
        <f t="array" aca="1" ref="BW34" ca="1">IF(A34="","",( IFERROR((J34*(1-BE34))*BU34/INDEX(er!D:D, MATCH(Q34,er!C:C,0),1),0)))</f>
        <v>85.744868522727273</v>
      </c>
      <c r="BX34" s="108">
        <f t="array" ref="BX34">IFERROR(INDEX('Com&amp;tax'!$H$2:$H$5, MATCH(1, ('Com&amp;tax'!$A$2:$A$5=B34)*('Com&amp;tax'!$D$2:$D$5=H34), 0)),0)</f>
        <v>7.0000000000000007E-2</v>
      </c>
      <c r="BY34" s="109">
        <f t="shared" si="76"/>
        <v>62632.983700000012</v>
      </c>
      <c r="BZ34" s="109">
        <f t="array" aca="1" ref="BZ34" ca="1">IF(A34="","",( IFERROR(J34*BX34/INDEX(er!D:D, MATCH(Q34,er!C:C,0),1),0)))</f>
        <v>44.833918181818191</v>
      </c>
      <c r="CA34" s="96">
        <f t="array" aca="1" ref="CA34" ca="1">IF(A34="","",( IFERROR(1-((P34/ INDEX(er!$D$3:$D$75,MATCH(1, (er!$A$3:$A$75=$BG$2)*(er!$C$3:$C$75=Q34), 0))   /  (J34/ INDEX(er!$D$3:$D$75,MATCH(1, (er!$A$3:$A$75=$BG$2)*(er!$C$3:$C$75=L34), 0))))),"")))</f>
        <v>0.39552495884049677</v>
      </c>
      <c r="CB34" s="96">
        <f t="shared" si="77"/>
        <v>0.39552500354537634</v>
      </c>
      <c r="CC34" s="111">
        <f t="shared" ca="1" si="78"/>
        <v>-4.4704879575974132E-8</v>
      </c>
      <c r="CD34" s="110">
        <f t="shared" ref="CD34:CE34" si="88">BJ34+BM34-BS34-BV34</f>
        <v>0</v>
      </c>
      <c r="CE34" s="110">
        <f t="shared" ca="1" si="88"/>
        <v>0</v>
      </c>
      <c r="CF34" s="110">
        <f t="shared" ca="1" si="80"/>
        <v>0</v>
      </c>
      <c r="CG34" s="8" t="str">
        <f t="shared" si="81"/>
        <v>OK</v>
      </c>
      <c r="CH34" s="8"/>
      <c r="CI34" t="s">
        <v>99</v>
      </c>
      <c r="CK34" s="240">
        <v>0</v>
      </c>
      <c r="CL34" s="239">
        <f ca="1">(AI34+CK34)/INDEX(er!D:D,MATCH(AC34,er!C:C,0),1)</f>
        <v>2.8632784538296351E-5</v>
      </c>
      <c r="CN34" s="239">
        <f ca="1">CK34/INDEX(er!D:D,MATCH(AC34,er!C:C,0),1)</f>
        <v>0</v>
      </c>
    </row>
    <row r="35" spans="1:92" ht="12.5" x14ac:dyDescent="0.25">
      <c r="A35" s="93" t="s">
        <v>221</v>
      </c>
      <c r="B35" s="93" t="s">
        <v>100</v>
      </c>
      <c r="C35" s="93" t="s">
        <v>103</v>
      </c>
      <c r="D35" s="93" t="s">
        <v>222</v>
      </c>
      <c r="E35" s="93"/>
      <c r="F35" s="93"/>
      <c r="G35" s="94" t="s">
        <v>107</v>
      </c>
      <c r="H35" s="93" t="s">
        <v>436</v>
      </c>
      <c r="I35" s="94" t="s">
        <v>107</v>
      </c>
      <c r="J35" s="94">
        <v>1353203.44</v>
      </c>
      <c r="K35" s="94">
        <v>1353203.44</v>
      </c>
      <c r="L35" s="94" t="s">
        <v>111</v>
      </c>
      <c r="M35" s="94">
        <v>1353203.44</v>
      </c>
      <c r="N35" s="94" t="s">
        <v>111</v>
      </c>
      <c r="O35" s="94">
        <v>1353203.44</v>
      </c>
      <c r="P35" s="94">
        <v>893107.5</v>
      </c>
      <c r="Q35" s="93" t="s">
        <v>111</v>
      </c>
      <c r="R35" s="94" t="s">
        <v>105</v>
      </c>
      <c r="S35" s="94"/>
      <c r="T35" s="94"/>
      <c r="U35" s="94">
        <v>0</v>
      </c>
      <c r="V35" s="93" t="s">
        <v>94</v>
      </c>
      <c r="W35" s="8" t="s">
        <v>98</v>
      </c>
      <c r="X35" s="94" t="s">
        <v>103</v>
      </c>
      <c r="Y35" s="94" t="s">
        <v>107</v>
      </c>
      <c r="Z35" s="94" t="s">
        <v>105</v>
      </c>
      <c r="AA35" s="94" t="s">
        <v>111</v>
      </c>
      <c r="AB35" s="94">
        <v>1353203.44</v>
      </c>
      <c r="AC35" s="94" t="s">
        <v>111</v>
      </c>
      <c r="AD35" s="94">
        <v>893141.33</v>
      </c>
      <c r="AE35" s="94">
        <v>34</v>
      </c>
      <c r="AF35" s="94" t="s">
        <v>99</v>
      </c>
      <c r="AG35" s="94">
        <v>0</v>
      </c>
      <c r="AH35" s="94">
        <v>0</v>
      </c>
      <c r="AI35" s="94">
        <v>-33.83</v>
      </c>
      <c r="AJ35" s="94">
        <v>-0.02</v>
      </c>
      <c r="AK35" s="94">
        <v>0.34000500323883298</v>
      </c>
      <c r="AL35" s="94" t="s">
        <v>99</v>
      </c>
      <c r="AM35" s="93" t="s">
        <v>499</v>
      </c>
      <c r="AN35" s="94"/>
      <c r="AO35" s="94" t="s">
        <v>16</v>
      </c>
      <c r="AP35" s="94" t="s">
        <v>16</v>
      </c>
      <c r="AQ35" s="94"/>
      <c r="AR35" s="94" t="s">
        <v>16</v>
      </c>
      <c r="AS35" s="94"/>
      <c r="AT35" s="94" t="s">
        <v>16</v>
      </c>
      <c r="AU35" s="94">
        <v>1353203.44</v>
      </c>
      <c r="AV35" s="94">
        <v>967</v>
      </c>
      <c r="AW35" s="94" t="s">
        <v>16</v>
      </c>
      <c r="AX35" s="94">
        <v>1353203.44</v>
      </c>
      <c r="AY35" s="94">
        <v>968.65</v>
      </c>
      <c r="AZ35" s="94" t="s">
        <v>111</v>
      </c>
      <c r="BA35" s="94">
        <v>893141.33</v>
      </c>
      <c r="BB35" s="94" t="s">
        <v>99</v>
      </c>
      <c r="BC35" s="94">
        <v>-33.83</v>
      </c>
      <c r="BD35" s="94">
        <v>-0.02</v>
      </c>
      <c r="BE35" s="60">
        <f t="array" ref="BE35">IFERROR(INDEX('Com&amp;tax'!$E$2:$E$5, MATCH(1, ('Com&amp;tax'!$A$2:$A$5=B35)*('Com&amp;tax'!$B$2:$B$5=G35), 0)),"")</f>
        <v>0.15</v>
      </c>
      <c r="BF35" s="58">
        <f t="shared" si="69"/>
        <v>202980.51599999997</v>
      </c>
      <c r="BG35" s="58">
        <f t="array" aca="1" ref="BG35" ca="1">IF(A35="","",( IFERROR((O35/ INDEX(er!$D$3:$D$75,MATCH(1, (er!$A$3:$A$75=$BG$2)*(er!$C$3:$C$75=Q35), 0)))*BE35,"")))</f>
        <v>145.29743450250535</v>
      </c>
      <c r="BH35" s="58">
        <f t="shared" si="70"/>
        <v>-202980.51599999997</v>
      </c>
      <c r="BI35" s="59">
        <f t="array" ref="BI35">IFERROR(INDEX('Com&amp;tax'!$F$2:$F$5, MATCH(1, ('Com&amp;tax'!$A$2:$A$5=B35)*('Com&amp;tax'!$B$2:$B$5=Y35), 0)),0)</f>
        <v>4.9000000000000002E-2</v>
      </c>
      <c r="BJ35" s="58">
        <f t="shared" si="71"/>
        <v>56360.923275999994</v>
      </c>
      <c r="BK35" s="58">
        <f t="array" aca="1" ref="BK35" ca="1">IF(A35="","",( IFERROR((J35*(1-BE35))*BI35/INDEX(er!D:D, MATCH(Q35,er!C:C,0),1),0)))</f>
        <v>40.344254313528985</v>
      </c>
      <c r="BL35" s="60">
        <f t="array" ref="BL35">IFERROR(INDEX('Com&amp;tax'!$G$2:$G$5, MATCH(1, ('Com&amp;tax'!$A$2:$A$5=B35)*('Com&amp;tax'!$B$2:$B$5=Y35), 0)),0)</f>
        <v>0.1575</v>
      </c>
      <c r="BM35" s="58">
        <f t="shared" si="72"/>
        <v>181160.11052999998</v>
      </c>
      <c r="BN35" s="58">
        <f t="array" aca="1" ref="BN35" ca="1">IF(A35="","",( IFERROR((J35*(1-BE35))*BL35/INDEX(er!D:D, MATCH(Q35,er!C:C,0),1),0)))</f>
        <v>129.67796029348602</v>
      </c>
      <c r="BO35" s="60">
        <f t="array" ref="BO35">IFERROR(INDEX('Com&amp;tax'!$H$2:$H$5, MATCH(1, ('Com&amp;tax'!$A$2:$A$5=B35)*('Com&amp;tax'!$B$2:$B$5=Y35), 0)),0)</f>
        <v>0</v>
      </c>
      <c r="BP35" s="58">
        <f t="shared" si="73"/>
        <v>0</v>
      </c>
      <c r="BQ35" s="58">
        <f t="array" aca="1" ref="BQ35" ca="1">IF(A35="","",( IFERROR(J35*BO35/INDEX(er!D:D, MATCH(Q35,er!C:C,0),1),0)))</f>
        <v>0</v>
      </c>
      <c r="BR35" s="108">
        <f t="array" ref="BR35">IFERROR(INDEX('Com&amp;tax'!$F$2:$F$5, MATCH(1, ('Com&amp;tax'!$A$2:$A$5=B35)*('Com&amp;tax'!$D$2:$D$5=H35), 0)),0)</f>
        <v>4.9000000000000002E-2</v>
      </c>
      <c r="BS35" s="109">
        <f t="shared" si="74"/>
        <v>56360.923275999994</v>
      </c>
      <c r="BT35" s="109">
        <f t="array" aca="1" ref="BT35" ca="1">IF(A35="","",( IFERROR((J35*(1-BE35))*BR35/INDEX(er!D:D, MATCH(Q35,er!C:C,0),1),0)))</f>
        <v>40.344254313528985</v>
      </c>
      <c r="BU35" s="108">
        <f t="array" ref="BU35">IFERROR(INDEX('Com&amp;tax'!$G$2:$G$5, MATCH(1, ('Com&amp;tax'!$A$2:$A$5=B35)*('Com&amp;tax'!$D$2:$D$5=H35), 0)),0)</f>
        <v>0.1575</v>
      </c>
      <c r="BV35" s="109">
        <f t="shared" si="75"/>
        <v>181160.11052999998</v>
      </c>
      <c r="BW35" s="109">
        <f t="array" aca="1" ref="BW35" ca="1">IF(A35="","",( IFERROR((J35*(1-BE35))*BU35/INDEX(er!D:D, MATCH(Q35,er!C:C,0),1),0)))</f>
        <v>129.67796029348602</v>
      </c>
      <c r="BX35" s="108">
        <f t="array" ref="BX35">IFERROR(INDEX('Com&amp;tax'!$H$2:$H$5, MATCH(1, ('Com&amp;tax'!$A$2:$A$5=B35)*('Com&amp;tax'!$D$2:$D$5=H35), 0)),0)</f>
        <v>0</v>
      </c>
      <c r="BY35" s="109">
        <f t="shared" si="76"/>
        <v>0</v>
      </c>
      <c r="BZ35" s="109">
        <f t="array" aca="1" ref="BZ35" ca="1">IF(A35="","",( IFERROR(J35*BX35/INDEX(er!D:D, MATCH(Q35,er!C:C,0),1),0)))</f>
        <v>0</v>
      </c>
      <c r="CA35" s="96">
        <f t="array" aca="1" ref="CA35" ca="1">IF(A35="","",( IFERROR(1-((P35/ INDEX(er!$D$3:$D$75,MATCH(1, (er!$A$3:$A$75=$BG$2)*(er!$C$3:$C$75=Q35), 0))   /  (J35/ INDEX(er!$D$3:$D$75,MATCH(1, (er!$A$3:$A$75=$BG$2)*(er!$C$3:$C$75=L35), 0))))),"")))</f>
        <v>0.34000500323883298</v>
      </c>
      <c r="CB35" s="96">
        <f t="shared" si="77"/>
        <v>0.33998000330238598</v>
      </c>
      <c r="CC35" s="111">
        <f t="shared" ca="1" si="78"/>
        <v>2.4999936447001048E-5</v>
      </c>
      <c r="CD35" s="110">
        <f t="shared" ref="CD35:CE35" si="89">BJ35+BM35-BS35-BV35</f>
        <v>0</v>
      </c>
      <c r="CE35" s="110">
        <f t="shared" ca="1" si="89"/>
        <v>0</v>
      </c>
      <c r="CF35" s="110">
        <f t="shared" ca="1" si="80"/>
        <v>-0.02</v>
      </c>
      <c r="CG35" s="8" t="str">
        <f t="shared" si="81"/>
        <v>OK</v>
      </c>
      <c r="CH35" s="112"/>
      <c r="CI35" s="237" t="s">
        <v>99</v>
      </c>
      <c r="CK35" s="240">
        <v>0</v>
      </c>
      <c r="CL35" s="239">
        <f ca="1">(AI35+CK35)/INDEX(er!D:D,MATCH(AC35,er!C:C,0),1)</f>
        <v>-2.4216177523264135E-2</v>
      </c>
      <c r="CN35" s="239">
        <f ca="1">CK35/INDEX(er!D:D,MATCH(AC35,er!C:C,0),1)</f>
        <v>0</v>
      </c>
    </row>
    <row r="36" spans="1:92" ht="12.5" x14ac:dyDescent="0.25">
      <c r="A36" s="93" t="s">
        <v>224</v>
      </c>
      <c r="B36" s="93" t="s">
        <v>96</v>
      </c>
      <c r="C36" s="93" t="s">
        <v>103</v>
      </c>
      <c r="D36" s="93" t="s">
        <v>225</v>
      </c>
      <c r="E36" s="93"/>
      <c r="F36" s="93"/>
      <c r="G36" s="94" t="s">
        <v>107</v>
      </c>
      <c r="H36" s="93" t="s">
        <v>436</v>
      </c>
      <c r="I36" s="94" t="s">
        <v>107</v>
      </c>
      <c r="J36" s="94">
        <v>2414312.9700000002</v>
      </c>
      <c r="K36" s="94">
        <v>2414312.9700000002</v>
      </c>
      <c r="L36" s="94" t="s">
        <v>111</v>
      </c>
      <c r="M36" s="94">
        <v>2414312.9700000002</v>
      </c>
      <c r="N36" s="94" t="s">
        <v>111</v>
      </c>
      <c r="O36" s="94">
        <v>2414312.9700000002</v>
      </c>
      <c r="P36" s="94">
        <v>1459391.93</v>
      </c>
      <c r="Q36" s="93" t="s">
        <v>111</v>
      </c>
      <c r="R36" s="94" t="s">
        <v>105</v>
      </c>
      <c r="S36" s="94"/>
      <c r="T36" s="94"/>
      <c r="U36" s="94">
        <v>0</v>
      </c>
      <c r="V36" s="93" t="s">
        <v>94</v>
      </c>
      <c r="W36" s="8" t="s">
        <v>98</v>
      </c>
      <c r="X36" s="94" t="s">
        <v>103</v>
      </c>
      <c r="Y36" s="94" t="s">
        <v>107</v>
      </c>
      <c r="Z36" s="94" t="s">
        <v>105</v>
      </c>
      <c r="AA36" s="94" t="s">
        <v>111</v>
      </c>
      <c r="AB36" s="94">
        <v>2414312.9700000002</v>
      </c>
      <c r="AC36" s="94" t="s">
        <v>111</v>
      </c>
      <c r="AD36" s="94">
        <v>1459391.84</v>
      </c>
      <c r="AE36" s="94">
        <v>39.549999999999997</v>
      </c>
      <c r="AF36" s="94" t="s">
        <v>99</v>
      </c>
      <c r="AG36" s="94">
        <v>0</v>
      </c>
      <c r="AH36" s="94">
        <v>0</v>
      </c>
      <c r="AI36" s="94">
        <v>0.09</v>
      </c>
      <c r="AJ36" s="94">
        <v>0</v>
      </c>
      <c r="AK36" s="94">
        <v>0.39552495963271905</v>
      </c>
      <c r="AL36" s="94" t="s">
        <v>99</v>
      </c>
      <c r="AM36" s="93" t="s">
        <v>500</v>
      </c>
      <c r="AN36" s="94"/>
      <c r="AO36" s="94" t="s">
        <v>16</v>
      </c>
      <c r="AP36" s="94" t="s">
        <v>16</v>
      </c>
      <c r="AQ36" s="94"/>
      <c r="AR36" s="94" t="s">
        <v>16</v>
      </c>
      <c r="AS36" s="94"/>
      <c r="AT36" s="94" t="s">
        <v>16</v>
      </c>
      <c r="AU36" s="94">
        <v>2414312.9700000002</v>
      </c>
      <c r="AV36" s="94">
        <v>1726</v>
      </c>
      <c r="AW36" s="94" t="s">
        <v>16</v>
      </c>
      <c r="AX36" s="94">
        <v>2414312.9700000002</v>
      </c>
      <c r="AY36" s="94">
        <v>1728.21</v>
      </c>
      <c r="AZ36" s="94" t="s">
        <v>111</v>
      </c>
      <c r="BA36" s="94">
        <v>1459391.83</v>
      </c>
      <c r="BB36" s="94" t="s">
        <v>99</v>
      </c>
      <c r="BC36" s="94">
        <v>0.1</v>
      </c>
      <c r="BD36" s="94">
        <v>0</v>
      </c>
      <c r="BE36" s="60">
        <f t="array" ref="BE36">IFERROR(INDEX('Com&amp;tax'!$E$2:$E$5, MATCH(1, ('Com&amp;tax'!$A$2:$A$5=B36)*('Com&amp;tax'!$B$2:$B$5=G36), 0)),"")</f>
        <v>0.15</v>
      </c>
      <c r="BF36" s="58">
        <f t="shared" si="69"/>
        <v>362146.94550000003</v>
      </c>
      <c r="BG36" s="58">
        <f t="array" aca="1" ref="BG36" ca="1">IF(A36="","",( IFERROR((O36/ INDEX(er!$D$3:$D$75,MATCH(1, (er!$A$3:$A$75=$BG$2)*(er!$C$3:$C$75=Q36), 0)))*BE36,"")))</f>
        <v>259.23188654259127</v>
      </c>
      <c r="BH36" s="58">
        <f t="shared" si="70"/>
        <v>-362146.94550000003</v>
      </c>
      <c r="BI36" s="59">
        <f t="array" ref="BI36">IFERROR(INDEX('Com&amp;tax'!$F$2:$F$5, MATCH(1, ('Com&amp;tax'!$A$2:$A$5=B36)*('Com&amp;tax'!$B$2:$B$5=Y36), 0)),0)</f>
        <v>4.9000000000000002E-2</v>
      </c>
      <c r="BJ36" s="58">
        <f t="shared" si="71"/>
        <v>100556.13520050001</v>
      </c>
      <c r="BK36" s="58">
        <f t="array" aca="1" ref="BK36" ca="1">IF(A36="","",( IFERROR((J36*(1-BE36))*BI36/INDEX(er!D:D, MATCH(Q36,er!C:C,0),1),0)))</f>
        <v>71.980053829992841</v>
      </c>
      <c r="BL36" s="60">
        <f t="array" ref="BL36">IFERROR(INDEX('Com&amp;tax'!$G$2:$G$5, MATCH(1, ('Com&amp;tax'!$A$2:$A$5=B36)*('Com&amp;tax'!$B$2:$B$5=Y36), 0)),0)</f>
        <v>0.1575</v>
      </c>
      <c r="BM36" s="58">
        <f t="shared" si="72"/>
        <v>323216.14885875001</v>
      </c>
      <c r="BN36" s="58">
        <f t="array" aca="1" ref="BN36" ca="1">IF(A36="","",( IFERROR((J36*(1-BE36))*BL36/INDEX(er!D:D, MATCH(Q36,er!C:C,0),1),0)))</f>
        <v>231.36445873926272</v>
      </c>
      <c r="BO36" s="60">
        <f t="array" ref="BO36">IFERROR(INDEX('Com&amp;tax'!$H$2:$H$5, MATCH(1, ('Com&amp;tax'!$A$2:$A$5=B36)*('Com&amp;tax'!$B$2:$B$5=Y36), 0)),0)</f>
        <v>7.0000000000000007E-2</v>
      </c>
      <c r="BP36" s="58">
        <f t="shared" si="73"/>
        <v>169001.90790000002</v>
      </c>
      <c r="BQ36" s="58">
        <f t="array" aca="1" ref="BQ36" ca="1">IF(A36="","",( IFERROR(J36*BO36/INDEX(er!D:D, MATCH(Q36,er!C:C,0),1),0)))</f>
        <v>120.97488038654261</v>
      </c>
      <c r="BR36" s="108">
        <f t="array" ref="BR36">IFERROR(INDEX('Com&amp;tax'!$F$2:$F$5, MATCH(1, ('Com&amp;tax'!$A$2:$A$5=B36)*('Com&amp;tax'!$D$2:$D$5=H36), 0)),0)</f>
        <v>4.9000000000000002E-2</v>
      </c>
      <c r="BS36" s="109">
        <f t="shared" si="74"/>
        <v>100556.13520050001</v>
      </c>
      <c r="BT36" s="109">
        <f t="array" aca="1" ref="BT36" ca="1">IF(A36="","",( IFERROR((J36*(1-BE36))*BR36/INDEX(er!D:D, MATCH(Q36,er!C:C,0),1),0)))</f>
        <v>71.980053829992841</v>
      </c>
      <c r="BU36" s="108">
        <f t="array" ref="BU36">IFERROR(INDEX('Com&amp;tax'!$G$2:$G$5, MATCH(1, ('Com&amp;tax'!$A$2:$A$5=B36)*('Com&amp;tax'!$D$2:$D$5=H36), 0)),0)</f>
        <v>0.1575</v>
      </c>
      <c r="BV36" s="109">
        <f t="shared" si="75"/>
        <v>323216.14885875001</v>
      </c>
      <c r="BW36" s="109">
        <f t="array" aca="1" ref="BW36" ca="1">IF(A36="","",( IFERROR((J36*(1-BE36))*BU36/INDEX(er!D:D, MATCH(Q36,er!C:C,0),1),0)))</f>
        <v>231.36445873926272</v>
      </c>
      <c r="BX36" s="108">
        <f t="array" ref="BX36">IFERROR(INDEX('Com&amp;tax'!$H$2:$H$5, MATCH(1, ('Com&amp;tax'!$A$2:$A$5=B36)*('Com&amp;tax'!$D$2:$D$5=H36), 0)),0)</f>
        <v>7.0000000000000007E-2</v>
      </c>
      <c r="BY36" s="109">
        <f t="shared" si="76"/>
        <v>169001.90790000002</v>
      </c>
      <c r="BZ36" s="109">
        <f t="array" aca="1" ref="BZ36" ca="1">IF(A36="","",( IFERROR(J36*BX36/INDEX(er!D:D, MATCH(Q36,er!C:C,0),1),0)))</f>
        <v>120.97488038654261</v>
      </c>
      <c r="CA36" s="96">
        <f t="array" aca="1" ref="CA36" ca="1">IF(A36="","",( IFERROR(1-((P36/ INDEX(er!$D$3:$D$75,MATCH(1, (er!$A$3:$A$75=$BG$2)*(er!$C$3:$C$75=Q36), 0))   /  (J36/ INDEX(er!$D$3:$D$75,MATCH(1, (er!$A$3:$A$75=$BG$2)*(er!$C$3:$C$75=L36), 0))))),"")))</f>
        <v>0.39552495963271905</v>
      </c>
      <c r="CB36" s="96">
        <f t="shared" si="77"/>
        <v>0.39552499691040477</v>
      </c>
      <c r="CC36" s="111">
        <f t="shared" ca="1" si="78"/>
        <v>-3.7277685716041731E-8</v>
      </c>
      <c r="CD36" s="110">
        <f t="shared" ref="CD36:CE36" si="90">BJ36+BM36-BS36-BV36</f>
        <v>0</v>
      </c>
      <c r="CE36" s="110">
        <f t="shared" ca="1" si="90"/>
        <v>0</v>
      </c>
      <c r="CF36" s="110">
        <f t="shared" ca="1" si="80"/>
        <v>0</v>
      </c>
      <c r="CG36" s="8" t="str">
        <f t="shared" si="81"/>
        <v>OK</v>
      </c>
      <c r="CH36" s="8"/>
      <c r="CI36" t="s">
        <v>99</v>
      </c>
      <c r="CK36" s="240">
        <v>0</v>
      </c>
      <c r="CL36" s="239">
        <f ca="1">(AI36+CK36)/INDEX(er!D:D,MATCH(AC36,er!C:C,0),1)</f>
        <v>6.4423765211166787E-5</v>
      </c>
      <c r="CN36" s="239">
        <f ca="1">CK36/INDEX(er!D:D,MATCH(AC36,er!C:C,0),1)</f>
        <v>0</v>
      </c>
    </row>
    <row r="37" spans="1:92" ht="12.5" x14ac:dyDescent="0.25">
      <c r="A37" s="93" t="s">
        <v>227</v>
      </c>
      <c r="B37" s="93" t="s">
        <v>96</v>
      </c>
      <c r="C37" s="93" t="s">
        <v>103</v>
      </c>
      <c r="D37" s="93" t="s">
        <v>228</v>
      </c>
      <c r="E37" s="93"/>
      <c r="F37" s="93"/>
      <c r="G37" s="94" t="s">
        <v>107</v>
      </c>
      <c r="H37" s="93" t="s">
        <v>436</v>
      </c>
      <c r="I37" s="94" t="s">
        <v>107</v>
      </c>
      <c r="J37" s="94">
        <v>3962972.34</v>
      </c>
      <c r="K37" s="94">
        <v>3962972.34</v>
      </c>
      <c r="L37" s="94" t="s">
        <v>111</v>
      </c>
      <c r="M37" s="94">
        <v>3962972.34</v>
      </c>
      <c r="N37" s="94" t="s">
        <v>111</v>
      </c>
      <c r="O37" s="94">
        <v>3962972.34</v>
      </c>
      <c r="P37" s="94">
        <v>2395517.86</v>
      </c>
      <c r="Q37" s="93" t="s">
        <v>111</v>
      </c>
      <c r="R37" s="94" t="s">
        <v>105</v>
      </c>
      <c r="S37" s="94"/>
      <c r="T37" s="94"/>
      <c r="U37" s="94">
        <v>0</v>
      </c>
      <c r="V37" s="93" t="s">
        <v>94</v>
      </c>
      <c r="W37" s="8" t="s">
        <v>98</v>
      </c>
      <c r="X37" s="94" t="s">
        <v>103</v>
      </c>
      <c r="Y37" s="94" t="s">
        <v>107</v>
      </c>
      <c r="Z37" s="94" t="s">
        <v>105</v>
      </c>
      <c r="AA37" s="94" t="s">
        <v>111</v>
      </c>
      <c r="AB37" s="94">
        <v>3962972.34</v>
      </c>
      <c r="AC37" s="94" t="s">
        <v>111</v>
      </c>
      <c r="AD37" s="94">
        <v>2395517.7000000002</v>
      </c>
      <c r="AE37" s="94">
        <v>39.549999999999997</v>
      </c>
      <c r="AF37" s="94" t="s">
        <v>99</v>
      </c>
      <c r="AG37" s="94">
        <v>0</v>
      </c>
      <c r="AH37" s="94">
        <v>0</v>
      </c>
      <c r="AI37" s="94">
        <v>0.16</v>
      </c>
      <c r="AJ37" s="94">
        <v>0</v>
      </c>
      <c r="AK37" s="94">
        <v>0.39552496094383549</v>
      </c>
      <c r="AL37" s="94" t="s">
        <v>99</v>
      </c>
      <c r="AM37" s="93" t="s">
        <v>501</v>
      </c>
      <c r="AN37" s="94"/>
      <c r="AO37" s="94" t="s">
        <v>16</v>
      </c>
      <c r="AP37" s="94" t="s">
        <v>16</v>
      </c>
      <c r="AQ37" s="94"/>
      <c r="AR37" s="94" t="s">
        <v>16</v>
      </c>
      <c r="AS37" s="94"/>
      <c r="AT37" s="94" t="s">
        <v>16</v>
      </c>
      <c r="AU37" s="94">
        <v>3962972.34</v>
      </c>
      <c r="AV37" s="94">
        <v>2835</v>
      </c>
      <c r="AW37" s="94" t="s">
        <v>16</v>
      </c>
      <c r="AX37" s="94">
        <v>3962972.34</v>
      </c>
      <c r="AY37" s="94">
        <v>2836.77</v>
      </c>
      <c r="AZ37" s="94" t="s">
        <v>111</v>
      </c>
      <c r="BA37" s="94">
        <v>2395517.71</v>
      </c>
      <c r="BB37" s="94" t="s">
        <v>99</v>
      </c>
      <c r="BC37" s="94">
        <v>0.15</v>
      </c>
      <c r="BD37" s="94">
        <v>0</v>
      </c>
      <c r="BE37" s="60">
        <f t="array" ref="BE37">IFERROR(INDEX('Com&amp;tax'!$E$2:$E$5, MATCH(1, ('Com&amp;tax'!$A$2:$A$5=B37)*('Com&amp;tax'!$B$2:$B$5=G37), 0)),"")</f>
        <v>0.15</v>
      </c>
      <c r="BF37" s="58">
        <f t="shared" ref="BF37:BF50" si="91">IF(A37="","",( IFERROR(O37*BE37,"")))</f>
        <v>594445.85099999991</v>
      </c>
      <c r="BG37" s="58">
        <f t="array" aca="1" ref="BG37" ca="1">IF(A37="","",( IFERROR((O37/ INDEX(er!$D$3:$D$75,MATCH(1, (er!$A$3:$A$75=$BG$2)*(er!$C$3:$C$75=Q37), 0)))*BE37,"")))</f>
        <v>425.5159992841804</v>
      </c>
      <c r="BH37" s="58">
        <f t="shared" ref="BH37:BH50" si="92">IF(A37="","",( IF(B37="Snapchat Rep", IF(A37="","",(P37-BF37)),-BF37)))</f>
        <v>-594445.85099999991</v>
      </c>
      <c r="BI37" s="59">
        <f t="array" ref="BI37">IFERROR(INDEX('Com&amp;tax'!$F$2:$F$5, MATCH(1, ('Com&amp;tax'!$A$2:$A$5=B37)*('Com&amp;tax'!$B$2:$B$5=Y37), 0)),0)</f>
        <v>4.9000000000000002E-2</v>
      </c>
      <c r="BJ37" s="58">
        <f t="shared" ref="BJ37:BJ50" si="93">IF(A37="","",( IFERROR((J37*(1-BE37))*BI37,0)))</f>
        <v>165057.79796099997</v>
      </c>
      <c r="BK37" s="58">
        <f t="array" aca="1" ref="BK37" ca="1">IF(A37="","",( IFERROR((J37*(1-BE37))*BI37/INDEX(er!D:D, MATCH(Q37,er!C:C,0),1),0)))</f>
        <v>118.15160913457407</v>
      </c>
      <c r="BL37" s="60">
        <f t="array" ref="BL37">IFERROR(INDEX('Com&amp;tax'!$G$2:$G$5, MATCH(1, ('Com&amp;tax'!$A$2:$A$5=B37)*('Com&amp;tax'!$B$2:$B$5=Y37), 0)),0)</f>
        <v>0.1575</v>
      </c>
      <c r="BM37" s="58">
        <f t="shared" ref="BM37:BM50" si="94">IF(A37="","",( IFERROR((J37*(1-BE37))*BL37,0)))</f>
        <v>530542.92201749992</v>
      </c>
      <c r="BN37" s="58">
        <f t="array" aca="1" ref="BN37" ca="1">IF(A37="","",( IFERROR((J37*(1-BE37))*BL37/INDEX(er!D:D, MATCH(Q37,er!C:C,0),1),0)))</f>
        <v>379.77302936113097</v>
      </c>
      <c r="BO37" s="60">
        <f t="array" ref="BO37">IFERROR(INDEX('Com&amp;tax'!$H$2:$H$5, MATCH(1, ('Com&amp;tax'!$A$2:$A$5=B37)*('Com&amp;tax'!$B$2:$B$5=Y37), 0)),0)</f>
        <v>7.0000000000000007E-2</v>
      </c>
      <c r="BP37" s="58">
        <f t="shared" ref="BP37:BP50" si="95">IF(A37="","",( IFERROR(J37*BO37,0)))</f>
        <v>277408.0638</v>
      </c>
      <c r="BQ37" s="58">
        <f t="array" aca="1" ref="BQ37" ca="1">IF(A37="","",( IFERROR(J37*BO37/INDEX(er!D:D, MATCH(Q37,er!C:C,0),1),0)))</f>
        <v>198.57413299928419</v>
      </c>
      <c r="BR37" s="108">
        <f t="array" ref="BR37">IFERROR(INDEX('Com&amp;tax'!$F$2:$F$5, MATCH(1, ('Com&amp;tax'!$A$2:$A$5=B37)*('Com&amp;tax'!$D$2:$D$5=H37), 0)),0)</f>
        <v>4.9000000000000002E-2</v>
      </c>
      <c r="BS37" s="109">
        <f t="shared" ref="BS37:BS50" si="96">IF(A37="","",( IFERROR((J37*(1-BE37))*BR37,0)))</f>
        <v>165057.79796099997</v>
      </c>
      <c r="BT37" s="109">
        <f t="array" aca="1" ref="BT37" ca="1">IF(A37="","",( IFERROR((J37*(1-BE37))*BR37/INDEX(er!D:D, MATCH(Q37,er!C:C,0),1),0)))</f>
        <v>118.15160913457407</v>
      </c>
      <c r="BU37" s="108">
        <f t="array" ref="BU37">IFERROR(INDEX('Com&amp;tax'!$G$2:$G$5, MATCH(1, ('Com&amp;tax'!$A$2:$A$5=B37)*('Com&amp;tax'!$D$2:$D$5=H37), 0)),0)</f>
        <v>0.1575</v>
      </c>
      <c r="BV37" s="109">
        <f t="shared" ref="BV37:BV50" si="97">IF(A37="","",( IFERROR((J37*(1-BE37))*BU37,0)))</f>
        <v>530542.92201749992</v>
      </c>
      <c r="BW37" s="109">
        <f t="array" aca="1" ref="BW37" ca="1">IF(A37="","",( IFERROR((J37*(1-BE37))*BU37/INDEX(er!D:D, MATCH(Q37,er!C:C,0),1),0)))</f>
        <v>379.77302936113097</v>
      </c>
      <c r="BX37" s="108">
        <f t="array" ref="BX37">IFERROR(INDEX('Com&amp;tax'!$H$2:$H$5, MATCH(1, ('Com&amp;tax'!$A$2:$A$5=B37)*('Com&amp;tax'!$D$2:$D$5=H37), 0)),0)</f>
        <v>7.0000000000000007E-2</v>
      </c>
      <c r="BY37" s="109">
        <f t="shared" ref="BY37:BY50" si="98">IF(A37="","",( IFERROR(J37*BX37,0)))</f>
        <v>277408.0638</v>
      </c>
      <c r="BZ37" s="109">
        <f t="array" aca="1" ref="BZ37" ca="1">IF(A37="","",( IFERROR(J37*BX37/INDEX(er!D:D, MATCH(Q37,er!C:C,0),1),0)))</f>
        <v>198.57413299928419</v>
      </c>
      <c r="CA37" s="96">
        <f t="array" aca="1" ref="CA37" ca="1">IF(A37="","",( IFERROR(1-((P37/ INDEX(er!$D$3:$D$75,MATCH(1, (er!$A$3:$A$75=$BG$2)*(er!$C$3:$C$75=Q37), 0))   /  (J37/ INDEX(er!$D$3:$D$75,MATCH(1, (er!$A$3:$A$75=$BG$2)*(er!$C$3:$C$75=L37), 0))))),"")))</f>
        <v>0.39552496094383549</v>
      </c>
      <c r="CB37" s="96">
        <f t="shared" ref="CB37:CB50" si="99">IF(AB37="","",1-AD37/AB37)</f>
        <v>0.39552500131757162</v>
      </c>
      <c r="CC37" s="111">
        <f t="shared" ref="CC37:CC50" ca="1" si="100">IF(AND(CA37="", CB37=""), "", CA37-CB37)</f>
        <v>-4.0373736132082172E-8</v>
      </c>
      <c r="CD37" s="110">
        <f t="shared" ref="CD37:CE37" si="101">BJ37+BM37-BS37-BV37</f>
        <v>0</v>
      </c>
      <c r="CE37" s="110">
        <f t="shared" ca="1" si="101"/>
        <v>0</v>
      </c>
      <c r="CF37" s="110">
        <f t="shared" ref="CF37:CF50" ca="1" si="102">AJ37-CE37</f>
        <v>0</v>
      </c>
      <c r="CG37" s="8" t="str">
        <f t="shared" ref="CG37:CG50" si="103">IF(OR(BE37="", AE37=""), "Miss", IF(ABS(AE37/100-AK37)&lt;0.005, "OK", "Incorrect"))</f>
        <v>OK</v>
      </c>
      <c r="CH37" s="8"/>
      <c r="CI37" t="s">
        <v>99</v>
      </c>
      <c r="CK37" s="240">
        <v>0</v>
      </c>
      <c r="CL37" s="239">
        <f ca="1">(AI37+CK37)/INDEX(er!D:D,MATCH(AC37,er!C:C,0),1)</f>
        <v>1.145311381531854E-4</v>
      </c>
      <c r="CN37" s="239">
        <f ca="1">CK37/INDEX(er!D:D,MATCH(AC37,er!C:C,0),1)</f>
        <v>0</v>
      </c>
    </row>
    <row r="38" spans="1:92" ht="12.5" x14ac:dyDescent="0.25">
      <c r="A38" s="93" t="s">
        <v>230</v>
      </c>
      <c r="B38" s="93" t="s">
        <v>96</v>
      </c>
      <c r="C38" s="93" t="s">
        <v>103</v>
      </c>
      <c r="D38" s="93" t="s">
        <v>231</v>
      </c>
      <c r="E38" s="93"/>
      <c r="F38" s="93"/>
      <c r="G38" s="94" t="s">
        <v>107</v>
      </c>
      <c r="H38" s="93" t="s">
        <v>436</v>
      </c>
      <c r="I38" s="94" t="s">
        <v>107</v>
      </c>
      <c r="J38" s="94">
        <v>893323.9</v>
      </c>
      <c r="K38" s="94">
        <v>893323.9</v>
      </c>
      <c r="L38" s="94" t="s">
        <v>111</v>
      </c>
      <c r="M38" s="94">
        <v>893323.9</v>
      </c>
      <c r="N38" s="94" t="s">
        <v>111</v>
      </c>
      <c r="O38" s="94">
        <v>893323.9</v>
      </c>
      <c r="P38" s="94">
        <v>539992</v>
      </c>
      <c r="Q38" s="93" t="s">
        <v>111</v>
      </c>
      <c r="R38" s="94" t="s">
        <v>105</v>
      </c>
      <c r="S38" s="94"/>
      <c r="T38" s="94"/>
      <c r="U38" s="94">
        <v>0</v>
      </c>
      <c r="V38" s="93" t="s">
        <v>94</v>
      </c>
      <c r="W38" s="8" t="s">
        <v>98</v>
      </c>
      <c r="X38" s="94" t="s">
        <v>103</v>
      </c>
      <c r="Y38" s="94" t="s">
        <v>107</v>
      </c>
      <c r="Z38" s="94" t="s">
        <v>105</v>
      </c>
      <c r="AA38" s="94" t="s">
        <v>111</v>
      </c>
      <c r="AB38" s="94">
        <v>893323.9</v>
      </c>
      <c r="AC38" s="94" t="s">
        <v>111</v>
      </c>
      <c r="AD38" s="94">
        <v>539991.97</v>
      </c>
      <c r="AE38" s="94">
        <v>39.549999999999997</v>
      </c>
      <c r="AF38" s="94" t="s">
        <v>99</v>
      </c>
      <c r="AG38" s="94">
        <v>0</v>
      </c>
      <c r="AH38" s="94">
        <v>0</v>
      </c>
      <c r="AI38" s="94">
        <v>0.03</v>
      </c>
      <c r="AJ38" s="94">
        <v>0</v>
      </c>
      <c r="AK38" s="94">
        <v>0.39552496020760219</v>
      </c>
      <c r="AL38" s="94" t="s">
        <v>99</v>
      </c>
      <c r="AM38" s="93" t="s">
        <v>502</v>
      </c>
      <c r="AN38" s="94"/>
      <c r="AO38" s="94" t="s">
        <v>16</v>
      </c>
      <c r="AP38" s="94" t="s">
        <v>16</v>
      </c>
      <c r="AQ38" s="94"/>
      <c r="AR38" s="94" t="s">
        <v>16</v>
      </c>
      <c r="AS38" s="94"/>
      <c r="AT38" s="94" t="s">
        <v>16</v>
      </c>
      <c r="AU38" s="94">
        <v>893323.9</v>
      </c>
      <c r="AV38" s="94">
        <v>637</v>
      </c>
      <c r="AW38" s="94" t="s">
        <v>16</v>
      </c>
      <c r="AX38" s="94">
        <v>893323.9</v>
      </c>
      <c r="AY38" s="94">
        <v>639.46</v>
      </c>
      <c r="AZ38" s="94" t="s">
        <v>111</v>
      </c>
      <c r="BA38" s="94">
        <v>539991.96</v>
      </c>
      <c r="BB38" s="94" t="s">
        <v>99</v>
      </c>
      <c r="BC38" s="94">
        <v>0.04</v>
      </c>
      <c r="BD38" s="94">
        <v>0</v>
      </c>
      <c r="BE38" s="60">
        <f t="array" ref="BE38">IFERROR(INDEX('Com&amp;tax'!$E$2:$E$5, MATCH(1, ('Com&amp;tax'!$A$2:$A$5=B38)*('Com&amp;tax'!$B$2:$B$5=G38), 0)),"")</f>
        <v>0.15</v>
      </c>
      <c r="BF38" s="58">
        <f t="shared" si="91"/>
        <v>133998.58499999999</v>
      </c>
      <c r="BG38" s="58">
        <f t="array" aca="1" ref="BG38" ca="1">IF(A38="","",( IFERROR((O38/ INDEX(er!$D$3:$D$75,MATCH(1, (er!$A$3:$A$75=$BG$2)*(er!$C$3:$C$75=Q38), 0)))*BE38,"")))</f>
        <v>95.918815318539728</v>
      </c>
      <c r="BH38" s="58">
        <f t="shared" si="92"/>
        <v>-133998.58499999999</v>
      </c>
      <c r="BI38" s="59">
        <f t="array" ref="BI38">IFERROR(INDEX('Com&amp;tax'!$F$2:$F$5, MATCH(1, ('Com&amp;tax'!$A$2:$A$5=B38)*('Com&amp;tax'!$B$2:$B$5=Y38), 0)),0)</f>
        <v>4.9000000000000002E-2</v>
      </c>
      <c r="BJ38" s="58">
        <f t="shared" si="93"/>
        <v>37206.940434999997</v>
      </c>
      <c r="BK38" s="58">
        <f t="array" aca="1" ref="BK38" ca="1">IF(A38="","",( IFERROR((J38*(1-BE38))*BI38/INDEX(er!D:D, MATCH(Q38,er!C:C,0),1),0)))</f>
        <v>26.633457720114528</v>
      </c>
      <c r="BL38" s="60">
        <f t="array" ref="BL38">IFERROR(INDEX('Com&amp;tax'!$G$2:$G$5, MATCH(1, ('Com&amp;tax'!$A$2:$A$5=B38)*('Com&amp;tax'!$B$2:$B$5=Y38), 0)),0)</f>
        <v>0.1575</v>
      </c>
      <c r="BM38" s="58">
        <f t="shared" si="94"/>
        <v>119593.73711249999</v>
      </c>
      <c r="BN38" s="58">
        <f t="array" aca="1" ref="BN38" ca="1">IF(A38="","",( IFERROR((J38*(1-BE38))*BL38/INDEX(er!D:D, MATCH(Q38,er!C:C,0),1),0)))</f>
        <v>85.607542671796708</v>
      </c>
      <c r="BO38" s="60">
        <f t="array" ref="BO38">IFERROR(INDEX('Com&amp;tax'!$H$2:$H$5, MATCH(1, ('Com&amp;tax'!$A$2:$A$5=B38)*('Com&amp;tax'!$B$2:$B$5=Y38), 0)),0)</f>
        <v>7.0000000000000007E-2</v>
      </c>
      <c r="BP38" s="58">
        <f t="shared" si="95"/>
        <v>62532.67300000001</v>
      </c>
      <c r="BQ38" s="58">
        <f t="array" aca="1" ref="BQ38" ca="1">IF(A38="","",( IFERROR(J38*BO38/INDEX(er!D:D, MATCH(Q38,er!C:C,0),1),0)))</f>
        <v>44.76211381531855</v>
      </c>
      <c r="BR38" s="108">
        <f t="array" ref="BR38">IFERROR(INDEX('Com&amp;tax'!$F$2:$F$5, MATCH(1, ('Com&amp;tax'!$A$2:$A$5=B38)*('Com&amp;tax'!$D$2:$D$5=H38), 0)),0)</f>
        <v>4.9000000000000002E-2</v>
      </c>
      <c r="BS38" s="109">
        <f t="shared" si="96"/>
        <v>37206.940434999997</v>
      </c>
      <c r="BT38" s="109">
        <f t="array" aca="1" ref="BT38" ca="1">IF(A38="","",( IFERROR((J38*(1-BE38))*BR38/INDEX(er!D:D, MATCH(Q38,er!C:C,0),1),0)))</f>
        <v>26.633457720114528</v>
      </c>
      <c r="BU38" s="108">
        <f t="array" ref="BU38">IFERROR(INDEX('Com&amp;tax'!$G$2:$G$5, MATCH(1, ('Com&amp;tax'!$A$2:$A$5=B38)*('Com&amp;tax'!$D$2:$D$5=H38), 0)),0)</f>
        <v>0.1575</v>
      </c>
      <c r="BV38" s="109">
        <f t="shared" si="97"/>
        <v>119593.73711249999</v>
      </c>
      <c r="BW38" s="109">
        <f t="array" aca="1" ref="BW38" ca="1">IF(A38="","",( IFERROR((J38*(1-BE38))*BU38/INDEX(er!D:D, MATCH(Q38,er!C:C,0),1),0)))</f>
        <v>85.607542671796708</v>
      </c>
      <c r="BX38" s="108">
        <f t="array" ref="BX38">IFERROR(INDEX('Com&amp;tax'!$H$2:$H$5, MATCH(1, ('Com&amp;tax'!$A$2:$A$5=B38)*('Com&amp;tax'!$D$2:$D$5=H38), 0)),0)</f>
        <v>7.0000000000000007E-2</v>
      </c>
      <c r="BY38" s="109">
        <f t="shared" si="98"/>
        <v>62532.67300000001</v>
      </c>
      <c r="BZ38" s="109">
        <f t="array" aca="1" ref="BZ38" ca="1">IF(A38="","",( IFERROR(J38*BX38/INDEX(er!D:D, MATCH(Q38,er!C:C,0),1),0)))</f>
        <v>44.76211381531855</v>
      </c>
      <c r="CA38" s="96">
        <f t="array" aca="1" ref="CA38" ca="1">IF(A38="","",( IFERROR(1-((P38/ INDEX(er!$D$3:$D$75,MATCH(1, (er!$A$3:$A$75=$BG$2)*(er!$C$3:$C$75=Q38), 0))   /  (J38/ INDEX(er!$D$3:$D$75,MATCH(1, (er!$A$3:$A$75=$BG$2)*(er!$C$3:$C$75=L38), 0))))),"")))</f>
        <v>0.39552496020760219</v>
      </c>
      <c r="CB38" s="96">
        <f t="shared" si="99"/>
        <v>0.39552499379004646</v>
      </c>
      <c r="CC38" s="111">
        <f t="shared" ca="1" si="100"/>
        <v>-3.3582444269875111E-8</v>
      </c>
      <c r="CD38" s="110">
        <f t="shared" ref="CD38:CE38" si="104">BJ38+BM38-BS38-BV38</f>
        <v>0</v>
      </c>
      <c r="CE38" s="110">
        <f t="shared" ca="1" si="104"/>
        <v>0</v>
      </c>
      <c r="CF38" s="110">
        <f t="shared" ca="1" si="102"/>
        <v>0</v>
      </c>
      <c r="CG38" s="8" t="str">
        <f t="shared" si="103"/>
        <v>OK</v>
      </c>
      <c r="CH38" s="8"/>
      <c r="CI38" t="s">
        <v>99</v>
      </c>
      <c r="CK38" s="240">
        <v>0</v>
      </c>
      <c r="CL38" s="239">
        <f ca="1">(AI38+CK38)/INDEX(er!D:D,MATCH(AC38,er!C:C,0),1)</f>
        <v>2.1474588403722262E-5</v>
      </c>
      <c r="CN38" s="239">
        <f ca="1">CK38/INDEX(er!D:D,MATCH(AC38,er!C:C,0),1)</f>
        <v>0</v>
      </c>
    </row>
    <row r="39" spans="1:92" ht="12.5" x14ac:dyDescent="0.25">
      <c r="A39" s="93" t="s">
        <v>233</v>
      </c>
      <c r="B39" s="93" t="s">
        <v>96</v>
      </c>
      <c r="C39" s="93" t="s">
        <v>103</v>
      </c>
      <c r="D39" s="93" t="s">
        <v>234</v>
      </c>
      <c r="E39" s="93"/>
      <c r="F39" s="93"/>
      <c r="G39" s="94" t="s">
        <v>107</v>
      </c>
      <c r="H39" s="93" t="s">
        <v>436</v>
      </c>
      <c r="I39" s="94" t="s">
        <v>107</v>
      </c>
      <c r="J39" s="94">
        <v>4055968.32</v>
      </c>
      <c r="K39" s="94">
        <v>4055968.32</v>
      </c>
      <c r="L39" s="94" t="s">
        <v>111</v>
      </c>
      <c r="M39" s="94">
        <v>4055968.32</v>
      </c>
      <c r="N39" s="94" t="s">
        <v>111</v>
      </c>
      <c r="O39" s="94">
        <v>4055968.32</v>
      </c>
      <c r="P39" s="94">
        <v>2451731.61</v>
      </c>
      <c r="Q39" s="93" t="s">
        <v>111</v>
      </c>
      <c r="R39" s="94" t="s">
        <v>105</v>
      </c>
      <c r="S39" s="94"/>
      <c r="T39" s="94"/>
      <c r="U39" s="94">
        <v>0</v>
      </c>
      <c r="V39" s="93" t="s">
        <v>94</v>
      </c>
      <c r="W39" s="8" t="s">
        <v>98</v>
      </c>
      <c r="X39" s="94" t="s">
        <v>103</v>
      </c>
      <c r="Y39" s="94" t="s">
        <v>107</v>
      </c>
      <c r="Z39" s="94" t="s">
        <v>105</v>
      </c>
      <c r="AA39" s="94" t="s">
        <v>111</v>
      </c>
      <c r="AB39" s="94">
        <v>4055968.32</v>
      </c>
      <c r="AC39" s="94" t="s">
        <v>111</v>
      </c>
      <c r="AD39" s="94">
        <v>2451731.44</v>
      </c>
      <c r="AE39" s="94">
        <v>39.549999999999997</v>
      </c>
      <c r="AF39" s="94" t="s">
        <v>99</v>
      </c>
      <c r="AG39" s="94">
        <v>0</v>
      </c>
      <c r="AH39" s="94">
        <v>0</v>
      </c>
      <c r="AI39" s="94">
        <v>0.17</v>
      </c>
      <c r="AJ39" s="94">
        <v>0</v>
      </c>
      <c r="AK39" s="94">
        <v>0.39552496060915976</v>
      </c>
      <c r="AL39" s="94" t="s">
        <v>99</v>
      </c>
      <c r="AM39" s="93" t="s">
        <v>503</v>
      </c>
      <c r="AN39" s="94"/>
      <c r="AO39" s="94" t="s">
        <v>16</v>
      </c>
      <c r="AP39" s="94" t="s">
        <v>16</v>
      </c>
      <c r="AQ39" s="94"/>
      <c r="AR39" s="94" t="s">
        <v>16</v>
      </c>
      <c r="AS39" s="94"/>
      <c r="AT39" s="94" t="s">
        <v>16</v>
      </c>
      <c r="AU39" s="94">
        <v>4055968.32</v>
      </c>
      <c r="AV39" s="94">
        <v>2901</v>
      </c>
      <c r="AW39" s="94" t="s">
        <v>16</v>
      </c>
      <c r="AX39" s="94">
        <v>4055968.32</v>
      </c>
      <c r="AY39" s="94">
        <v>2903.34</v>
      </c>
      <c r="AZ39" s="94" t="s">
        <v>111</v>
      </c>
      <c r="BA39" s="94">
        <v>2451731.4500000002</v>
      </c>
      <c r="BB39" s="94" t="s">
        <v>99</v>
      </c>
      <c r="BC39" s="94">
        <v>0.16</v>
      </c>
      <c r="BD39" s="94">
        <v>0</v>
      </c>
      <c r="BE39" s="60">
        <f t="array" ref="BE39">IFERROR(INDEX('Com&amp;tax'!$E$2:$E$5, MATCH(1, ('Com&amp;tax'!$A$2:$A$5=B39)*('Com&amp;tax'!$B$2:$B$5=G39), 0)),"")</f>
        <v>0.15</v>
      </c>
      <c r="BF39" s="58">
        <f t="shared" si="91"/>
        <v>608395.24799999991</v>
      </c>
      <c r="BG39" s="58">
        <f t="array" aca="1" ref="BG39" ca="1">IF(A39="","",( IFERROR((O39/ INDEX(er!$D$3:$D$75,MATCH(1, (er!$A$3:$A$75=$BG$2)*(er!$C$3:$C$75=Q39), 0)))*BE39,"")))</f>
        <v>435.50125125268431</v>
      </c>
      <c r="BH39" s="58">
        <f t="shared" si="92"/>
        <v>-608395.24799999991</v>
      </c>
      <c r="BI39" s="59">
        <f t="array" ref="BI39">IFERROR(INDEX('Com&amp;tax'!$F$2:$F$5, MATCH(1, ('Com&amp;tax'!$A$2:$A$5=B39)*('Com&amp;tax'!$B$2:$B$5=Y39), 0)),0)</f>
        <v>4.9000000000000002E-2</v>
      </c>
      <c r="BJ39" s="58">
        <f t="shared" si="93"/>
        <v>168931.08052799999</v>
      </c>
      <c r="BK39" s="58">
        <f t="array" aca="1" ref="BK39" ca="1">IF(A39="","",( IFERROR((J39*(1-BE39))*BI39/INDEX(er!D:D, MATCH(Q39,er!C:C,0),1),0)))</f>
        <v>120.92418076449535</v>
      </c>
      <c r="BL39" s="60">
        <f t="array" ref="BL39">IFERROR(INDEX('Com&amp;tax'!$G$2:$G$5, MATCH(1, ('Com&amp;tax'!$A$2:$A$5=B39)*('Com&amp;tax'!$B$2:$B$5=Y39), 0)),0)</f>
        <v>0.1575</v>
      </c>
      <c r="BM39" s="58">
        <f t="shared" si="94"/>
        <v>542992.75883999991</v>
      </c>
      <c r="BN39" s="58">
        <f t="array" aca="1" ref="BN39" ca="1">IF(A39="","",( IFERROR((J39*(1-BE39))*BL39/INDEX(er!D:D, MATCH(Q39,er!C:C,0),1),0)))</f>
        <v>388.68486674302068</v>
      </c>
      <c r="BO39" s="60">
        <f t="array" ref="BO39">IFERROR(INDEX('Com&amp;tax'!$H$2:$H$5, MATCH(1, ('Com&amp;tax'!$A$2:$A$5=B39)*('Com&amp;tax'!$B$2:$B$5=Y39), 0)),0)</f>
        <v>7.0000000000000007E-2</v>
      </c>
      <c r="BP39" s="58">
        <f t="shared" si="95"/>
        <v>283917.78240000003</v>
      </c>
      <c r="BQ39" s="58">
        <f t="array" aca="1" ref="BQ39" ca="1">IF(A39="","",( IFERROR(J39*BO39/INDEX(er!D:D, MATCH(Q39,er!C:C,0),1),0)))</f>
        <v>203.23391725125271</v>
      </c>
      <c r="BR39" s="108">
        <f t="array" ref="BR39">IFERROR(INDEX('Com&amp;tax'!$F$2:$F$5, MATCH(1, ('Com&amp;tax'!$A$2:$A$5=B39)*('Com&amp;tax'!$D$2:$D$5=H39), 0)),0)</f>
        <v>4.9000000000000002E-2</v>
      </c>
      <c r="BS39" s="109">
        <f t="shared" si="96"/>
        <v>168931.08052799999</v>
      </c>
      <c r="BT39" s="109">
        <f t="array" aca="1" ref="BT39" ca="1">IF(A39="","",( IFERROR((J39*(1-BE39))*BR39/INDEX(er!D:D, MATCH(Q39,er!C:C,0),1),0)))</f>
        <v>120.92418076449535</v>
      </c>
      <c r="BU39" s="108">
        <f t="array" ref="BU39">IFERROR(INDEX('Com&amp;tax'!$G$2:$G$5, MATCH(1, ('Com&amp;tax'!$A$2:$A$5=B39)*('Com&amp;tax'!$D$2:$D$5=H39), 0)),0)</f>
        <v>0.1575</v>
      </c>
      <c r="BV39" s="109">
        <f t="shared" si="97"/>
        <v>542992.75883999991</v>
      </c>
      <c r="BW39" s="109">
        <f t="array" aca="1" ref="BW39" ca="1">IF(A39="","",( IFERROR((J39*(1-BE39))*BU39/INDEX(er!D:D, MATCH(Q39,er!C:C,0),1),0)))</f>
        <v>388.68486674302068</v>
      </c>
      <c r="BX39" s="108">
        <f t="array" ref="BX39">IFERROR(INDEX('Com&amp;tax'!$H$2:$H$5, MATCH(1, ('Com&amp;tax'!$A$2:$A$5=B39)*('Com&amp;tax'!$D$2:$D$5=H39), 0)),0)</f>
        <v>7.0000000000000007E-2</v>
      </c>
      <c r="BY39" s="109">
        <f t="shared" si="98"/>
        <v>283917.78240000003</v>
      </c>
      <c r="BZ39" s="109">
        <f t="array" aca="1" ref="BZ39" ca="1">IF(A39="","",( IFERROR(J39*BX39/INDEX(er!D:D, MATCH(Q39,er!C:C,0),1),0)))</f>
        <v>203.23391725125271</v>
      </c>
      <c r="CA39" s="96">
        <f t="array" aca="1" ref="CA39" ca="1">IF(A39="","",( IFERROR(1-((P39/ INDEX(er!$D$3:$D$75,MATCH(1, (er!$A$3:$A$75=$BG$2)*(er!$C$3:$C$75=Q39), 0))   /  (J39/ INDEX(er!$D$3:$D$75,MATCH(1, (er!$A$3:$A$75=$BG$2)*(er!$C$3:$C$75=L39), 0))))),"")))</f>
        <v>0.39552496060915976</v>
      </c>
      <c r="CB39" s="96">
        <f t="shared" si="99"/>
        <v>0.39552500252270217</v>
      </c>
      <c r="CC39" s="111">
        <f t="shared" ca="1" si="100"/>
        <v>-4.1913542414562244E-8</v>
      </c>
      <c r="CD39" s="110">
        <f t="shared" ref="CD39:CE39" si="105">BJ39+BM39-BS39-BV39</f>
        <v>0</v>
      </c>
      <c r="CE39" s="110">
        <f t="shared" ca="1" si="105"/>
        <v>0</v>
      </c>
      <c r="CF39" s="110">
        <f t="shared" ca="1" si="102"/>
        <v>0</v>
      </c>
      <c r="CG39" s="8" t="str">
        <f t="shared" si="103"/>
        <v>OK</v>
      </c>
      <c r="CH39" s="8"/>
      <c r="CI39" t="s">
        <v>99</v>
      </c>
      <c r="CK39" s="240">
        <v>0</v>
      </c>
      <c r="CL39" s="239">
        <f ca="1">(AI39+CK39)/INDEX(er!D:D,MATCH(AC39,er!C:C,0),1)</f>
        <v>1.2168933428775949E-4</v>
      </c>
      <c r="CN39" s="239">
        <f ca="1">CK39/INDEX(er!D:D,MATCH(AC39,er!C:C,0),1)</f>
        <v>0</v>
      </c>
    </row>
    <row r="40" spans="1:92" ht="12.5" x14ac:dyDescent="0.25">
      <c r="A40" s="93" t="s">
        <v>236</v>
      </c>
      <c r="B40" s="93" t="s">
        <v>96</v>
      </c>
      <c r="C40" s="93" t="s">
        <v>103</v>
      </c>
      <c r="D40" s="93" t="s">
        <v>237</v>
      </c>
      <c r="E40" s="93"/>
      <c r="F40" s="93"/>
      <c r="G40" s="94" t="s">
        <v>107</v>
      </c>
      <c r="H40" s="93" t="s">
        <v>436</v>
      </c>
      <c r="I40" s="94" t="s">
        <v>107</v>
      </c>
      <c r="J40" s="94">
        <v>1699231.77</v>
      </c>
      <c r="K40" s="94">
        <v>1699231.77</v>
      </c>
      <c r="L40" s="94" t="s">
        <v>111</v>
      </c>
      <c r="M40" s="94">
        <v>1699231.77</v>
      </c>
      <c r="N40" s="94" t="s">
        <v>111</v>
      </c>
      <c r="O40" s="94">
        <v>1699231.77</v>
      </c>
      <c r="P40" s="94">
        <v>1027143.19</v>
      </c>
      <c r="Q40" s="93" t="s">
        <v>111</v>
      </c>
      <c r="R40" s="94" t="s">
        <v>105</v>
      </c>
      <c r="S40" s="94"/>
      <c r="T40" s="94"/>
      <c r="U40" s="94">
        <v>0</v>
      </c>
      <c r="V40" s="93" t="s">
        <v>94</v>
      </c>
      <c r="W40" s="8" t="s">
        <v>98</v>
      </c>
      <c r="X40" s="94" t="s">
        <v>103</v>
      </c>
      <c r="Y40" s="94" t="s">
        <v>107</v>
      </c>
      <c r="Z40" s="94" t="s">
        <v>105</v>
      </c>
      <c r="AA40" s="94" t="s">
        <v>111</v>
      </c>
      <c r="AB40" s="94">
        <v>1699231.77</v>
      </c>
      <c r="AC40" s="94" t="s">
        <v>111</v>
      </c>
      <c r="AD40" s="94">
        <v>1027143.13</v>
      </c>
      <c r="AE40" s="94">
        <v>39.549999999999997</v>
      </c>
      <c r="AF40" s="94" t="s">
        <v>99</v>
      </c>
      <c r="AG40" s="94">
        <v>0</v>
      </c>
      <c r="AH40" s="94">
        <v>0</v>
      </c>
      <c r="AI40" s="94">
        <v>0.06</v>
      </c>
      <c r="AJ40" s="94">
        <v>0</v>
      </c>
      <c r="AK40" s="94">
        <v>0.39552496125940495</v>
      </c>
      <c r="AL40" s="94" t="s">
        <v>99</v>
      </c>
      <c r="AM40" s="93" t="s">
        <v>504</v>
      </c>
      <c r="AN40" s="94"/>
      <c r="AO40" s="94" t="s">
        <v>16</v>
      </c>
      <c r="AP40" s="94" t="s">
        <v>16</v>
      </c>
      <c r="AQ40" s="94"/>
      <c r="AR40" s="94" t="s">
        <v>16</v>
      </c>
      <c r="AS40" s="94"/>
      <c r="AT40" s="94" t="s">
        <v>16</v>
      </c>
      <c r="AU40" s="94">
        <v>1699231.77</v>
      </c>
      <c r="AV40" s="94">
        <v>1214</v>
      </c>
      <c r="AW40" s="94" t="s">
        <v>16</v>
      </c>
      <c r="AX40" s="94">
        <v>1699231.77</v>
      </c>
      <c r="AY40" s="94">
        <v>1216.3399999999999</v>
      </c>
      <c r="AZ40" s="94" t="s">
        <v>111</v>
      </c>
      <c r="BA40" s="94">
        <v>1027143.13</v>
      </c>
      <c r="BB40" s="94" t="s">
        <v>99</v>
      </c>
      <c r="BC40" s="94">
        <v>0.06</v>
      </c>
      <c r="BD40" s="94">
        <v>0</v>
      </c>
      <c r="BE40" s="60">
        <f t="array" ref="BE40">IFERROR(INDEX('Com&amp;tax'!$E$2:$E$5, MATCH(1, ('Com&amp;tax'!$A$2:$A$5=B40)*('Com&amp;tax'!$B$2:$B$5=G40), 0)),"")</f>
        <v>0.15</v>
      </c>
      <c r="BF40" s="58">
        <f t="shared" si="91"/>
        <v>254884.76549999998</v>
      </c>
      <c r="BG40" s="58">
        <f t="array" aca="1" ref="BG40" ca="1">IF(A40="","",( IFERROR((O40/ INDEX(er!$D$3:$D$75,MATCH(1, (er!$A$3:$A$75=$BG$2)*(er!$C$3:$C$75=Q40), 0)))*BE40,"")))</f>
        <v>182.45151431639226</v>
      </c>
      <c r="BH40" s="58">
        <f t="shared" si="92"/>
        <v>-254884.76549999998</v>
      </c>
      <c r="BI40" s="59">
        <f t="array" ref="BI40">IFERROR(INDEX('Com&amp;tax'!$F$2:$F$5, MATCH(1, ('Com&amp;tax'!$A$2:$A$5=B40)*('Com&amp;tax'!$B$2:$B$5=Y40), 0)),0)</f>
        <v>4.9000000000000002E-2</v>
      </c>
      <c r="BJ40" s="58">
        <f t="shared" si="93"/>
        <v>70773.003220500002</v>
      </c>
      <c r="BK40" s="58">
        <f t="array" aca="1" ref="BK40" ca="1">IF(A40="","",( IFERROR((J40*(1-BE40))*BI40/INDEX(er!D:D, MATCH(Q40,er!C:C,0),1),0)))</f>
        <v>50.660703808518257</v>
      </c>
      <c r="BL40" s="60">
        <f t="array" ref="BL40">IFERROR(INDEX('Com&amp;tax'!$G$2:$G$5, MATCH(1, ('Com&amp;tax'!$A$2:$A$5=B40)*('Com&amp;tax'!$B$2:$B$5=Y40), 0)),0)</f>
        <v>0.1575</v>
      </c>
      <c r="BM40" s="58">
        <f t="shared" si="94"/>
        <v>227484.65320875001</v>
      </c>
      <c r="BN40" s="58">
        <f t="array" aca="1" ref="BN40" ca="1">IF(A40="","",( IFERROR((J40*(1-BE40))*BL40/INDEX(er!D:D, MATCH(Q40,er!C:C,0),1),0)))</f>
        <v>162.83797652738011</v>
      </c>
      <c r="BO40" s="60">
        <f t="array" ref="BO40">IFERROR(INDEX('Com&amp;tax'!$H$2:$H$5, MATCH(1, ('Com&amp;tax'!$A$2:$A$5=B40)*('Com&amp;tax'!$B$2:$B$5=Y40), 0)),0)</f>
        <v>7.0000000000000007E-2</v>
      </c>
      <c r="BP40" s="58">
        <f t="shared" si="95"/>
        <v>118946.22390000001</v>
      </c>
      <c r="BQ40" s="58">
        <f t="array" aca="1" ref="BQ40" ca="1">IF(A40="","",( IFERROR(J40*BO40/INDEX(er!D:D, MATCH(Q40,er!C:C,0),1),0)))</f>
        <v>85.144040014316403</v>
      </c>
      <c r="BR40" s="108">
        <f t="array" ref="BR40">IFERROR(INDEX('Com&amp;tax'!$F$2:$F$5, MATCH(1, ('Com&amp;tax'!$A$2:$A$5=B40)*('Com&amp;tax'!$D$2:$D$5=H40), 0)),0)</f>
        <v>4.9000000000000002E-2</v>
      </c>
      <c r="BS40" s="109">
        <f t="shared" si="96"/>
        <v>70773.003220500002</v>
      </c>
      <c r="BT40" s="109">
        <f t="array" aca="1" ref="BT40" ca="1">IF(A40="","",( IFERROR((J40*(1-BE40))*BR40/INDEX(er!D:D, MATCH(Q40,er!C:C,0),1),0)))</f>
        <v>50.660703808518257</v>
      </c>
      <c r="BU40" s="108">
        <f t="array" ref="BU40">IFERROR(INDEX('Com&amp;tax'!$G$2:$G$5, MATCH(1, ('Com&amp;tax'!$A$2:$A$5=B40)*('Com&amp;tax'!$D$2:$D$5=H40), 0)),0)</f>
        <v>0.1575</v>
      </c>
      <c r="BV40" s="109">
        <f t="shared" si="97"/>
        <v>227484.65320875001</v>
      </c>
      <c r="BW40" s="109">
        <f t="array" aca="1" ref="BW40" ca="1">IF(A40="","",( IFERROR((J40*(1-BE40))*BU40/INDEX(er!D:D, MATCH(Q40,er!C:C,0),1),0)))</f>
        <v>162.83797652738011</v>
      </c>
      <c r="BX40" s="108">
        <f t="array" ref="BX40">IFERROR(INDEX('Com&amp;tax'!$H$2:$H$5, MATCH(1, ('Com&amp;tax'!$A$2:$A$5=B40)*('Com&amp;tax'!$D$2:$D$5=H40), 0)),0)</f>
        <v>7.0000000000000007E-2</v>
      </c>
      <c r="BY40" s="109">
        <f t="shared" si="98"/>
        <v>118946.22390000001</v>
      </c>
      <c r="BZ40" s="109">
        <f t="array" aca="1" ref="BZ40" ca="1">IF(A40="","",( IFERROR(J40*BX40/INDEX(er!D:D, MATCH(Q40,er!C:C,0),1),0)))</f>
        <v>85.144040014316403</v>
      </c>
      <c r="CA40" s="96">
        <f t="array" aca="1" ref="CA40" ca="1">IF(A40="","",( IFERROR(1-((P40/ INDEX(er!$D$3:$D$75,MATCH(1, (er!$A$3:$A$75=$BG$2)*(er!$C$3:$C$75=Q40), 0))   /  (J40/ INDEX(er!$D$3:$D$75,MATCH(1, (er!$A$3:$A$75=$BG$2)*(er!$C$3:$C$75=L40), 0))))),"")))</f>
        <v>0.39552496125940495</v>
      </c>
      <c r="CB40" s="96">
        <f t="shared" si="99"/>
        <v>0.39552499656947915</v>
      </c>
      <c r="CC40" s="111">
        <f t="shared" ca="1" si="100"/>
        <v>-3.5310074197880681E-8</v>
      </c>
      <c r="CD40" s="110">
        <f t="shared" ref="CD40:CE40" si="106">BJ40+BM40-BS40-BV40</f>
        <v>0</v>
      </c>
      <c r="CE40" s="110">
        <f t="shared" ca="1" si="106"/>
        <v>0</v>
      </c>
      <c r="CF40" s="110">
        <f t="shared" ca="1" si="102"/>
        <v>0</v>
      </c>
      <c r="CG40" s="8" t="str">
        <f t="shared" si="103"/>
        <v>OK</v>
      </c>
      <c r="CH40" s="8"/>
      <c r="CI40" t="s">
        <v>99</v>
      </c>
      <c r="CK40" s="240">
        <v>0</v>
      </c>
      <c r="CL40" s="239">
        <f ca="1">(AI40+CK40)/INDEX(er!D:D,MATCH(AC40,er!C:C,0),1)</f>
        <v>4.2949176807444524E-5</v>
      </c>
      <c r="CN40" s="239">
        <f ca="1">CK40/INDEX(er!D:D,MATCH(AC40,er!C:C,0),1)</f>
        <v>0</v>
      </c>
    </row>
    <row r="41" spans="1:92" ht="12.5" x14ac:dyDescent="0.25">
      <c r="A41" s="93" t="s">
        <v>239</v>
      </c>
      <c r="B41" s="93" t="s">
        <v>96</v>
      </c>
      <c r="C41" s="93" t="s">
        <v>103</v>
      </c>
      <c r="D41" s="93" t="s">
        <v>240</v>
      </c>
      <c r="E41" s="93"/>
      <c r="F41" s="93"/>
      <c r="G41" s="94" t="s">
        <v>107</v>
      </c>
      <c r="H41" s="93" t="s">
        <v>436</v>
      </c>
      <c r="I41" s="94" t="s">
        <v>107</v>
      </c>
      <c r="J41" s="94">
        <v>4381827.7699999996</v>
      </c>
      <c r="K41" s="94">
        <v>4381827.7699999996</v>
      </c>
      <c r="L41" s="94" t="s">
        <v>111</v>
      </c>
      <c r="M41" s="94">
        <v>4381827.7699999996</v>
      </c>
      <c r="N41" s="94" t="s">
        <v>111</v>
      </c>
      <c r="O41" s="94">
        <v>4381827.7699999996</v>
      </c>
      <c r="P41" s="94">
        <v>2648705.52</v>
      </c>
      <c r="Q41" s="93" t="s">
        <v>111</v>
      </c>
      <c r="R41" s="94" t="s">
        <v>105</v>
      </c>
      <c r="S41" s="94"/>
      <c r="T41" s="94"/>
      <c r="U41" s="94">
        <v>0</v>
      </c>
      <c r="V41" s="93" t="s">
        <v>94</v>
      </c>
      <c r="W41" s="8" t="s">
        <v>98</v>
      </c>
      <c r="X41" s="94" t="s">
        <v>103</v>
      </c>
      <c r="Y41" s="94" t="s">
        <v>107</v>
      </c>
      <c r="Z41" s="94" t="s">
        <v>105</v>
      </c>
      <c r="AA41" s="94" t="s">
        <v>111</v>
      </c>
      <c r="AB41" s="94">
        <v>4381827.87</v>
      </c>
      <c r="AC41" s="94" t="s">
        <v>111</v>
      </c>
      <c r="AD41" s="94">
        <v>2648705.4</v>
      </c>
      <c r="AE41" s="94">
        <v>39.549999999999997</v>
      </c>
      <c r="AF41" s="94" t="s">
        <v>99</v>
      </c>
      <c r="AG41" s="94">
        <v>-0.1</v>
      </c>
      <c r="AH41" s="94">
        <v>0</v>
      </c>
      <c r="AI41" s="94">
        <v>0.12</v>
      </c>
      <c r="AJ41" s="94">
        <v>0</v>
      </c>
      <c r="AK41" s="94">
        <v>0.39552495921125619</v>
      </c>
      <c r="AL41" s="94" t="s">
        <v>99</v>
      </c>
      <c r="AM41" s="93" t="s">
        <v>505</v>
      </c>
      <c r="AN41" s="94" t="s">
        <v>206</v>
      </c>
      <c r="AO41" s="94" t="s">
        <v>16</v>
      </c>
      <c r="AP41" s="94" t="s">
        <v>16</v>
      </c>
      <c r="AQ41" s="94"/>
      <c r="AR41" s="94" t="s">
        <v>16</v>
      </c>
      <c r="AS41" s="94"/>
      <c r="AT41" s="94" t="s">
        <v>16</v>
      </c>
      <c r="AU41" s="94">
        <v>4381827.7699999996</v>
      </c>
      <c r="AV41" s="94">
        <v>3135</v>
      </c>
      <c r="AW41" s="94" t="s">
        <v>16</v>
      </c>
      <c r="AX41" s="94">
        <v>4381827.7699999996</v>
      </c>
      <c r="AY41" s="94">
        <v>3136.6</v>
      </c>
      <c r="AZ41" s="94" t="s">
        <v>111</v>
      </c>
      <c r="BA41" s="94">
        <v>2648705.4</v>
      </c>
      <c r="BB41" s="94" t="s">
        <v>99</v>
      </c>
      <c r="BC41" s="94">
        <v>0.12</v>
      </c>
      <c r="BD41" s="94">
        <v>0</v>
      </c>
      <c r="BE41" s="60">
        <f t="array" ref="BE41">IFERROR(INDEX('Com&amp;tax'!$E$2:$E$5, MATCH(1, ('Com&amp;tax'!$A$2:$A$5=B41)*('Com&amp;tax'!$B$2:$B$5=G41), 0)),"")</f>
        <v>0.15</v>
      </c>
      <c r="BF41" s="58">
        <f t="shared" si="91"/>
        <v>657274.16549999989</v>
      </c>
      <c r="BG41" s="58">
        <f t="array" aca="1" ref="BG41" ca="1">IF(A41="","",( IFERROR((O41/ INDEX(er!$D$3:$D$75,MATCH(1, (er!$A$3:$A$75=$BG$2)*(er!$C$3:$C$75=Q41), 0)))*BE41,"")))</f>
        <v>470.48973908375081</v>
      </c>
      <c r="BH41" s="58">
        <f t="shared" si="92"/>
        <v>-657274.16549999989</v>
      </c>
      <c r="BI41" s="59">
        <f t="array" ref="BI41">IFERROR(INDEX('Com&amp;tax'!$F$2:$F$5, MATCH(1, ('Com&amp;tax'!$A$2:$A$5=B41)*('Com&amp;tax'!$B$2:$B$5=Y41), 0)),0)</f>
        <v>4.9000000000000002E-2</v>
      </c>
      <c r="BJ41" s="58">
        <f t="shared" si="93"/>
        <v>182503.12662049997</v>
      </c>
      <c r="BK41" s="58">
        <f t="array" aca="1" ref="BK41" ca="1">IF(A41="","",( IFERROR((J41*(1-BE41))*BI41/INDEX(er!D:D, MATCH(Q41,er!C:C,0),1),0)))</f>
        <v>130.63931755225482</v>
      </c>
      <c r="BL41" s="60">
        <f t="array" ref="BL41">IFERROR(INDEX('Com&amp;tax'!$G$2:$G$5, MATCH(1, ('Com&amp;tax'!$A$2:$A$5=B41)*('Com&amp;tax'!$B$2:$B$5=Y41), 0)),0)</f>
        <v>0.1575</v>
      </c>
      <c r="BM41" s="58">
        <f t="shared" si="94"/>
        <v>586617.19270874991</v>
      </c>
      <c r="BN41" s="58">
        <f t="array" aca="1" ref="BN41" ca="1">IF(A41="","",( IFERROR((J41*(1-BE41))*BL41/INDEX(er!D:D, MATCH(Q41,er!C:C,0),1),0)))</f>
        <v>419.91209213224761</v>
      </c>
      <c r="BO41" s="60">
        <f t="array" ref="BO41">IFERROR(INDEX('Com&amp;tax'!$H$2:$H$5, MATCH(1, ('Com&amp;tax'!$A$2:$A$5=B41)*('Com&amp;tax'!$B$2:$B$5=Y41), 0)),0)</f>
        <v>7.0000000000000007E-2</v>
      </c>
      <c r="BP41" s="58">
        <f t="shared" si="95"/>
        <v>306727.94390000001</v>
      </c>
      <c r="BQ41" s="58">
        <f t="array" aca="1" ref="BQ41" ca="1">IF(A41="","",( IFERROR(J41*BO41/INDEX(er!D:D, MATCH(Q41,er!C:C,0),1),0)))</f>
        <v>219.56187823908377</v>
      </c>
      <c r="BR41" s="108">
        <f t="array" ref="BR41">IFERROR(INDEX('Com&amp;tax'!$F$2:$F$5, MATCH(1, ('Com&amp;tax'!$A$2:$A$5=B41)*('Com&amp;tax'!$D$2:$D$5=H41), 0)),0)</f>
        <v>4.9000000000000002E-2</v>
      </c>
      <c r="BS41" s="109">
        <f t="shared" si="96"/>
        <v>182503.12662049997</v>
      </c>
      <c r="BT41" s="109">
        <f t="array" aca="1" ref="BT41" ca="1">IF(A41="","",( IFERROR((J41*(1-BE41))*BR41/INDEX(er!D:D, MATCH(Q41,er!C:C,0),1),0)))</f>
        <v>130.63931755225482</v>
      </c>
      <c r="BU41" s="108">
        <f t="array" ref="BU41">IFERROR(INDEX('Com&amp;tax'!$G$2:$G$5, MATCH(1, ('Com&amp;tax'!$A$2:$A$5=B41)*('Com&amp;tax'!$D$2:$D$5=H41), 0)),0)</f>
        <v>0.1575</v>
      </c>
      <c r="BV41" s="109">
        <f t="shared" si="97"/>
        <v>586617.19270874991</v>
      </c>
      <c r="BW41" s="109">
        <f t="array" aca="1" ref="BW41" ca="1">IF(A41="","",( IFERROR((J41*(1-BE41))*BU41/INDEX(er!D:D, MATCH(Q41,er!C:C,0),1),0)))</f>
        <v>419.91209213224761</v>
      </c>
      <c r="BX41" s="108">
        <f t="array" ref="BX41">IFERROR(INDEX('Com&amp;tax'!$H$2:$H$5, MATCH(1, ('Com&amp;tax'!$A$2:$A$5=B41)*('Com&amp;tax'!$D$2:$D$5=H41), 0)),0)</f>
        <v>7.0000000000000007E-2</v>
      </c>
      <c r="BY41" s="109">
        <f t="shared" si="98"/>
        <v>306727.94390000001</v>
      </c>
      <c r="BZ41" s="109">
        <f t="array" aca="1" ref="BZ41" ca="1">IF(A41="","",( IFERROR(J41*BX41/INDEX(er!D:D, MATCH(Q41,er!C:C,0),1),0)))</f>
        <v>219.56187823908377</v>
      </c>
      <c r="CA41" s="96">
        <f t="array" aca="1" ref="CA41" ca="1">IF(A41="","",( IFERROR(1-((P41/ INDEX(er!$D$3:$D$75,MATCH(1, (er!$A$3:$A$75=$BG$2)*(er!$C$3:$C$75=Q41), 0))   /  (J41/ INDEX(er!$D$3:$D$75,MATCH(1, (er!$A$3:$A$75=$BG$2)*(er!$C$3:$C$75=L41), 0))))),"")))</f>
        <v>0.39552495921125619</v>
      </c>
      <c r="CB41" s="96">
        <f t="shared" si="99"/>
        <v>0.3955250003921309</v>
      </c>
      <c r="CC41" s="111">
        <f t="shared" ca="1" si="100"/>
        <v>-4.1180874710278204E-8</v>
      </c>
      <c r="CD41" s="110">
        <f t="shared" ref="CD41:CE41" si="107">BJ41+BM41-BS41-BV41</f>
        <v>0</v>
      </c>
      <c r="CE41" s="110">
        <f t="shared" ca="1" si="107"/>
        <v>0</v>
      </c>
      <c r="CF41" s="110">
        <f t="shared" ca="1" si="102"/>
        <v>0</v>
      </c>
      <c r="CG41" s="8" t="str">
        <f t="shared" si="103"/>
        <v>OK</v>
      </c>
      <c r="CH41" s="8"/>
      <c r="CI41" t="s">
        <v>99</v>
      </c>
      <c r="CK41" s="240">
        <v>0</v>
      </c>
      <c r="CL41" s="239">
        <f ca="1">(AI41+CK41)/INDEX(er!D:D,MATCH(AC41,er!C:C,0),1)</f>
        <v>8.5898353614889049E-5</v>
      </c>
      <c r="CN41" s="239">
        <f ca="1">CK41/INDEX(er!D:D,MATCH(AC41,er!C:C,0),1)</f>
        <v>0</v>
      </c>
    </row>
    <row r="42" spans="1:92" ht="12.5" x14ac:dyDescent="0.25">
      <c r="A42" s="93" t="s">
        <v>243</v>
      </c>
      <c r="B42" s="93" t="s">
        <v>96</v>
      </c>
      <c r="C42" s="93" t="s">
        <v>103</v>
      </c>
      <c r="D42" s="93" t="s">
        <v>244</v>
      </c>
      <c r="E42" s="93"/>
      <c r="F42" s="93"/>
      <c r="G42" s="94" t="s">
        <v>107</v>
      </c>
      <c r="H42" s="93" t="s">
        <v>436</v>
      </c>
      <c r="I42" s="94" t="s">
        <v>107</v>
      </c>
      <c r="J42" s="94">
        <v>4712962.42</v>
      </c>
      <c r="K42" s="94">
        <v>4712962.42</v>
      </c>
      <c r="L42" s="94" t="s">
        <v>111</v>
      </c>
      <c r="M42" s="94">
        <v>4712962.42</v>
      </c>
      <c r="N42" s="94" t="s">
        <v>111</v>
      </c>
      <c r="O42" s="94">
        <v>4712962.42</v>
      </c>
      <c r="P42" s="94">
        <v>2848868.15</v>
      </c>
      <c r="Q42" s="93" t="s">
        <v>111</v>
      </c>
      <c r="R42" s="94" t="s">
        <v>105</v>
      </c>
      <c r="S42" s="94"/>
      <c r="T42" s="94"/>
      <c r="U42" s="94">
        <v>0</v>
      </c>
      <c r="V42" s="93" t="s">
        <v>94</v>
      </c>
      <c r="W42" s="8" t="s">
        <v>98</v>
      </c>
      <c r="X42" s="94" t="s">
        <v>103</v>
      </c>
      <c r="Y42" s="94" t="s">
        <v>107</v>
      </c>
      <c r="Z42" s="94" t="s">
        <v>105</v>
      </c>
      <c r="AA42" s="94" t="s">
        <v>111</v>
      </c>
      <c r="AB42" s="94">
        <v>4712962.42</v>
      </c>
      <c r="AC42" s="94" t="s">
        <v>111</v>
      </c>
      <c r="AD42" s="94">
        <v>2848867.96</v>
      </c>
      <c r="AE42" s="94">
        <v>39.549999999999997</v>
      </c>
      <c r="AF42" s="94" t="s">
        <v>99</v>
      </c>
      <c r="AG42" s="94">
        <v>0</v>
      </c>
      <c r="AH42" s="94">
        <v>0</v>
      </c>
      <c r="AI42" s="94">
        <v>0.19</v>
      </c>
      <c r="AJ42" s="94">
        <v>0</v>
      </c>
      <c r="AK42" s="94">
        <v>0.39552495943729593</v>
      </c>
      <c r="AL42" s="94" t="s">
        <v>99</v>
      </c>
      <c r="AM42" s="93" t="s">
        <v>506</v>
      </c>
      <c r="AN42" s="94"/>
      <c r="AO42" s="94" t="s">
        <v>16</v>
      </c>
      <c r="AP42" s="94" t="s">
        <v>16</v>
      </c>
      <c r="AQ42" s="94"/>
      <c r="AR42" s="94" t="s">
        <v>16</v>
      </c>
      <c r="AS42" s="94"/>
      <c r="AT42" s="94" t="s">
        <v>16</v>
      </c>
      <c r="AU42" s="94">
        <v>4712962.42</v>
      </c>
      <c r="AV42" s="94">
        <v>3372</v>
      </c>
      <c r="AW42" s="94" t="s">
        <v>16</v>
      </c>
      <c r="AX42" s="94">
        <v>4712962.42</v>
      </c>
      <c r="AY42" s="94">
        <v>3373.63</v>
      </c>
      <c r="AZ42" s="94" t="s">
        <v>111</v>
      </c>
      <c r="BA42" s="94">
        <v>2848867.95</v>
      </c>
      <c r="BB42" s="94" t="s">
        <v>99</v>
      </c>
      <c r="BC42" s="94">
        <v>0.2</v>
      </c>
      <c r="BD42" s="94">
        <v>0</v>
      </c>
      <c r="BE42" s="60">
        <f t="array" ref="BE42">IFERROR(INDEX('Com&amp;tax'!$E$2:$E$5, MATCH(1, ('Com&amp;tax'!$A$2:$A$5=B42)*('Com&amp;tax'!$B$2:$B$5=G42), 0)),"")</f>
        <v>0.15</v>
      </c>
      <c r="BF42" s="58">
        <f t="shared" si="91"/>
        <v>706944.36300000001</v>
      </c>
      <c r="BG42" s="58">
        <f t="array" aca="1" ref="BG42" ca="1">IF(A42="","",( IFERROR((O42/ INDEX(er!$D$3:$D$75,MATCH(1, (er!$A$3:$A$75=$BG$2)*(er!$C$3:$C$75=Q42), 0)))*BE42,"")))</f>
        <v>506.04464065855399</v>
      </c>
      <c r="BH42" s="58">
        <f t="shared" si="92"/>
        <v>-706944.36300000001</v>
      </c>
      <c r="BI42" s="59">
        <f t="array" ref="BI42">IFERROR(INDEX('Com&amp;tax'!$F$2:$F$5, MATCH(1, ('Com&amp;tax'!$A$2:$A$5=B42)*('Com&amp;tax'!$B$2:$B$5=Y42), 0)),0)</f>
        <v>4.9000000000000002E-2</v>
      </c>
      <c r="BJ42" s="58">
        <f t="shared" si="93"/>
        <v>196294.884793</v>
      </c>
      <c r="BK42" s="58">
        <f t="array" aca="1" ref="BK42" ca="1">IF(A42="","",( IFERROR((J42*(1-BE42))*BI42/INDEX(er!D:D, MATCH(Q42,er!C:C,0),1),0)))</f>
        <v>140.51172855619185</v>
      </c>
      <c r="BL42" s="60">
        <f t="array" ref="BL42">IFERROR(INDEX('Com&amp;tax'!$G$2:$G$5, MATCH(1, ('Com&amp;tax'!$A$2:$A$5=B42)*('Com&amp;tax'!$B$2:$B$5=Y42), 0)),0)</f>
        <v>0.1575</v>
      </c>
      <c r="BM42" s="58">
        <f t="shared" si="94"/>
        <v>630947.84397749999</v>
      </c>
      <c r="BN42" s="58">
        <f t="array" aca="1" ref="BN42" ca="1">IF(A42="","",( IFERROR((J42*(1-BE42))*BL42/INDEX(er!D:D, MATCH(Q42,er!C:C,0),1),0)))</f>
        <v>451.64484178775945</v>
      </c>
      <c r="BO42" s="60">
        <f t="array" ref="BO42">IFERROR(INDEX('Com&amp;tax'!$H$2:$H$5, MATCH(1, ('Com&amp;tax'!$A$2:$A$5=B42)*('Com&amp;tax'!$B$2:$B$5=Y42), 0)),0)</f>
        <v>7.0000000000000007E-2</v>
      </c>
      <c r="BP42" s="58">
        <f t="shared" si="95"/>
        <v>329907.36940000003</v>
      </c>
      <c r="BQ42" s="58">
        <f t="array" aca="1" ref="BQ42" ca="1">IF(A42="","",( IFERROR(J42*BO42/INDEX(er!D:D, MATCH(Q42,er!C:C,0),1),0)))</f>
        <v>236.15416564065856</v>
      </c>
      <c r="BR42" s="108">
        <f t="array" ref="BR42">IFERROR(INDEX('Com&amp;tax'!$F$2:$F$5, MATCH(1, ('Com&amp;tax'!$A$2:$A$5=B42)*('Com&amp;tax'!$D$2:$D$5=H42), 0)),0)</f>
        <v>4.9000000000000002E-2</v>
      </c>
      <c r="BS42" s="109">
        <f t="shared" si="96"/>
        <v>196294.884793</v>
      </c>
      <c r="BT42" s="109">
        <f t="array" aca="1" ref="BT42" ca="1">IF(A42="","",( IFERROR((J42*(1-BE42))*BR42/INDEX(er!D:D, MATCH(Q42,er!C:C,0),1),0)))</f>
        <v>140.51172855619185</v>
      </c>
      <c r="BU42" s="108">
        <f t="array" ref="BU42">IFERROR(INDEX('Com&amp;tax'!$G$2:$G$5, MATCH(1, ('Com&amp;tax'!$A$2:$A$5=B42)*('Com&amp;tax'!$D$2:$D$5=H42), 0)),0)</f>
        <v>0.1575</v>
      </c>
      <c r="BV42" s="109">
        <f t="shared" si="97"/>
        <v>630947.84397749999</v>
      </c>
      <c r="BW42" s="109">
        <f t="array" aca="1" ref="BW42" ca="1">IF(A42="","",( IFERROR((J42*(1-BE42))*BU42/INDEX(er!D:D, MATCH(Q42,er!C:C,0),1),0)))</f>
        <v>451.64484178775945</v>
      </c>
      <c r="BX42" s="108">
        <f t="array" ref="BX42">IFERROR(INDEX('Com&amp;tax'!$H$2:$H$5, MATCH(1, ('Com&amp;tax'!$A$2:$A$5=B42)*('Com&amp;tax'!$D$2:$D$5=H42), 0)),0)</f>
        <v>7.0000000000000007E-2</v>
      </c>
      <c r="BY42" s="109">
        <f t="shared" si="98"/>
        <v>329907.36940000003</v>
      </c>
      <c r="BZ42" s="109">
        <f t="array" aca="1" ref="BZ42" ca="1">IF(A42="","",( IFERROR(J42*BX42/INDEX(er!D:D, MATCH(Q42,er!C:C,0),1),0)))</f>
        <v>236.15416564065856</v>
      </c>
      <c r="CA42" s="96">
        <f t="array" aca="1" ref="CA42" ca="1">IF(A42="","",( IFERROR(1-((P42/ INDEX(er!$D$3:$D$75,MATCH(1, (er!$A$3:$A$75=$BG$2)*(er!$C$3:$C$75=Q42), 0))   /  (J42/ INDEX(er!$D$3:$D$75,MATCH(1, (er!$A$3:$A$75=$BG$2)*(er!$C$3:$C$75=L42), 0))))),"")))</f>
        <v>0.39552495943729593</v>
      </c>
      <c r="CB42" s="96">
        <f t="shared" si="99"/>
        <v>0.39552499975164246</v>
      </c>
      <c r="CC42" s="111">
        <f t="shared" ca="1" si="100"/>
        <v>-4.0314346527736689E-8</v>
      </c>
      <c r="CD42" s="110">
        <f t="shared" ref="CD42:CE42" si="108">BJ42+BM42-BS42-BV42</f>
        <v>0</v>
      </c>
      <c r="CE42" s="110">
        <f t="shared" ca="1" si="108"/>
        <v>0</v>
      </c>
      <c r="CF42" s="110">
        <f t="shared" ca="1" si="102"/>
        <v>0</v>
      </c>
      <c r="CG42" s="8" t="str">
        <f t="shared" si="103"/>
        <v>OK</v>
      </c>
      <c r="CH42" s="8"/>
      <c r="CI42" t="s">
        <v>99</v>
      </c>
      <c r="CK42" s="240">
        <v>0</v>
      </c>
      <c r="CL42" s="239">
        <f ca="1">(AI42+CK42)/INDEX(er!D:D,MATCH(AC42,er!C:C,0),1)</f>
        <v>1.3600572655690765E-4</v>
      </c>
      <c r="CN42" s="239">
        <f ca="1">CK42/INDEX(er!D:D,MATCH(AC42,er!C:C,0),1)</f>
        <v>0</v>
      </c>
    </row>
    <row r="43" spans="1:92" ht="12.5" x14ac:dyDescent="0.25">
      <c r="A43" s="93" t="s">
        <v>247</v>
      </c>
      <c r="B43" s="93" t="s">
        <v>96</v>
      </c>
      <c r="C43" s="93" t="s">
        <v>103</v>
      </c>
      <c r="D43" s="93" t="s">
        <v>248</v>
      </c>
      <c r="E43" s="93"/>
      <c r="F43" s="93"/>
      <c r="G43" s="94" t="s">
        <v>107</v>
      </c>
      <c r="H43" s="93" t="s">
        <v>436</v>
      </c>
      <c r="I43" s="94" t="s">
        <v>107</v>
      </c>
      <c r="J43" s="94">
        <v>7779983.4400000004</v>
      </c>
      <c r="K43" s="94">
        <v>7779983.4400000004</v>
      </c>
      <c r="L43" s="94" t="s">
        <v>111</v>
      </c>
      <c r="M43" s="94">
        <v>7779983.4400000004</v>
      </c>
      <c r="N43" s="94" t="s">
        <v>111</v>
      </c>
      <c r="O43" s="94">
        <v>7779983.4400000004</v>
      </c>
      <c r="P43" s="94">
        <v>4702805.8</v>
      </c>
      <c r="Q43" s="93" t="s">
        <v>111</v>
      </c>
      <c r="R43" s="94" t="s">
        <v>105</v>
      </c>
      <c r="S43" s="94"/>
      <c r="T43" s="94"/>
      <c r="U43" s="94">
        <v>0</v>
      </c>
      <c r="V43" s="93" t="s">
        <v>94</v>
      </c>
      <c r="W43" s="8" t="s">
        <v>98</v>
      </c>
      <c r="X43" s="94" t="s">
        <v>103</v>
      </c>
      <c r="Y43" s="94" t="s">
        <v>107</v>
      </c>
      <c r="Z43" s="94" t="s">
        <v>105</v>
      </c>
      <c r="AA43" s="94" t="s">
        <v>111</v>
      </c>
      <c r="AB43" s="94">
        <v>7779983.4400000004</v>
      </c>
      <c r="AC43" s="94" t="s">
        <v>111</v>
      </c>
      <c r="AD43" s="94">
        <v>4702805.49</v>
      </c>
      <c r="AE43" s="94">
        <v>39.549999999999997</v>
      </c>
      <c r="AF43" s="94" t="s">
        <v>99</v>
      </c>
      <c r="AG43" s="94">
        <v>0</v>
      </c>
      <c r="AH43" s="94">
        <v>0</v>
      </c>
      <c r="AI43" s="94">
        <v>0.31</v>
      </c>
      <c r="AJ43" s="94">
        <v>0</v>
      </c>
      <c r="AK43" s="94">
        <v>0.39552496014053218</v>
      </c>
      <c r="AL43" s="94" t="s">
        <v>99</v>
      </c>
      <c r="AM43" s="93" t="s">
        <v>507</v>
      </c>
      <c r="AN43" s="94"/>
      <c r="AO43" s="94" t="s">
        <v>16</v>
      </c>
      <c r="AP43" s="94" t="s">
        <v>16</v>
      </c>
      <c r="AQ43" s="94"/>
      <c r="AR43" s="94" t="s">
        <v>16</v>
      </c>
      <c r="AS43" s="94"/>
      <c r="AT43" s="94" t="s">
        <v>16</v>
      </c>
      <c r="AU43" s="94">
        <v>7779983.4400000004</v>
      </c>
      <c r="AV43" s="94">
        <v>5567</v>
      </c>
      <c r="AW43" s="94" t="s">
        <v>16</v>
      </c>
      <c r="AX43" s="94">
        <v>7779983.4400000004</v>
      </c>
      <c r="AY43" s="94">
        <v>5569.06</v>
      </c>
      <c r="AZ43" s="94" t="s">
        <v>111</v>
      </c>
      <c r="BA43" s="94">
        <v>4702805.49</v>
      </c>
      <c r="BB43" s="94" t="s">
        <v>99</v>
      </c>
      <c r="BC43" s="94">
        <v>0.31</v>
      </c>
      <c r="BD43" s="94">
        <v>0</v>
      </c>
      <c r="BE43" s="60">
        <f t="array" ref="BE43">IFERROR(INDEX('Com&amp;tax'!$E$2:$E$5, MATCH(1, ('Com&amp;tax'!$A$2:$A$5=B43)*('Com&amp;tax'!$B$2:$B$5=G43), 0)),"")</f>
        <v>0.15</v>
      </c>
      <c r="BF43" s="58">
        <f t="shared" si="91"/>
        <v>1166997.5160000001</v>
      </c>
      <c r="BG43" s="58">
        <f t="array" aca="1" ref="BG43" ca="1">IF(A43="","",( IFERROR((O43/ INDEX(er!$D$3:$D$75,MATCH(1, (er!$A$3:$A$75=$BG$2)*(er!$C$3:$C$75=Q43), 0)))*BE43,"")))</f>
        <v>835.35971080887623</v>
      </c>
      <c r="BH43" s="58">
        <f t="shared" si="92"/>
        <v>-1166997.5160000001</v>
      </c>
      <c r="BI43" s="59">
        <f t="array" ref="BI43">IFERROR(INDEX('Com&amp;tax'!$F$2:$F$5, MATCH(1, ('Com&amp;tax'!$A$2:$A$5=B43)*('Com&amp;tax'!$B$2:$B$5=Y43), 0)),0)</f>
        <v>4.9000000000000002E-2</v>
      </c>
      <c r="BJ43" s="58">
        <f t="shared" si="93"/>
        <v>324036.31027600006</v>
      </c>
      <c r="BK43" s="58">
        <f t="array" aca="1" ref="BK43" ca="1">IF(A43="","",( IFERROR((J43*(1-BE43))*BI43/INDEX(er!D:D, MATCH(Q43,er!C:C,0),1),0)))</f>
        <v>231.95154636793131</v>
      </c>
      <c r="BL43" s="60">
        <f t="array" ref="BL43">IFERROR(INDEX('Com&amp;tax'!$G$2:$G$5, MATCH(1, ('Com&amp;tax'!$A$2:$A$5=B43)*('Com&amp;tax'!$B$2:$B$5=Y43), 0)),0)</f>
        <v>0.1575</v>
      </c>
      <c r="BM43" s="58">
        <f t="shared" si="94"/>
        <v>1041545.28303</v>
      </c>
      <c r="BN43" s="58">
        <f t="array" aca="1" ref="BN43" ca="1">IF(A43="","",( IFERROR((J43*(1-BE43))*BL43/INDEX(er!D:D, MATCH(Q43,er!C:C,0),1),0)))</f>
        <v>745.55854189692207</v>
      </c>
      <c r="BO43" s="60">
        <f t="array" ref="BO43">IFERROR(INDEX('Com&amp;tax'!$H$2:$H$5, MATCH(1, ('Com&amp;tax'!$A$2:$A$5=B43)*('Com&amp;tax'!$B$2:$B$5=Y43), 0)),0)</f>
        <v>7.0000000000000007E-2</v>
      </c>
      <c r="BP43" s="58">
        <f t="shared" si="95"/>
        <v>544598.84080000012</v>
      </c>
      <c r="BQ43" s="58">
        <f t="array" aca="1" ref="BQ43" ca="1">IF(A43="","",( IFERROR(J43*BO43/INDEX(er!D:D, MATCH(Q43,er!C:C,0),1),0)))</f>
        <v>389.83453171080896</v>
      </c>
      <c r="BR43" s="108">
        <f t="array" ref="BR43">IFERROR(INDEX('Com&amp;tax'!$F$2:$F$5, MATCH(1, ('Com&amp;tax'!$A$2:$A$5=B43)*('Com&amp;tax'!$D$2:$D$5=H43), 0)),0)</f>
        <v>4.9000000000000002E-2</v>
      </c>
      <c r="BS43" s="109">
        <f t="shared" si="96"/>
        <v>324036.31027600006</v>
      </c>
      <c r="BT43" s="109">
        <f t="array" aca="1" ref="BT43" ca="1">IF(A43="","",( IFERROR((J43*(1-BE43))*BR43/INDEX(er!D:D, MATCH(Q43,er!C:C,0),1),0)))</f>
        <v>231.95154636793131</v>
      </c>
      <c r="BU43" s="108">
        <f t="array" ref="BU43">IFERROR(INDEX('Com&amp;tax'!$G$2:$G$5, MATCH(1, ('Com&amp;tax'!$A$2:$A$5=B43)*('Com&amp;tax'!$D$2:$D$5=H43), 0)),0)</f>
        <v>0.1575</v>
      </c>
      <c r="BV43" s="109">
        <f t="shared" si="97"/>
        <v>1041545.28303</v>
      </c>
      <c r="BW43" s="109">
        <f t="array" aca="1" ref="BW43" ca="1">IF(A43="","",( IFERROR((J43*(1-BE43))*BU43/INDEX(er!D:D, MATCH(Q43,er!C:C,0),1),0)))</f>
        <v>745.55854189692207</v>
      </c>
      <c r="BX43" s="108">
        <f t="array" ref="BX43">IFERROR(INDEX('Com&amp;tax'!$H$2:$H$5, MATCH(1, ('Com&amp;tax'!$A$2:$A$5=B43)*('Com&amp;tax'!$D$2:$D$5=H43), 0)),0)</f>
        <v>7.0000000000000007E-2</v>
      </c>
      <c r="BY43" s="109">
        <f t="shared" si="98"/>
        <v>544598.84080000012</v>
      </c>
      <c r="BZ43" s="109">
        <f t="array" aca="1" ref="BZ43" ca="1">IF(A43="","",( IFERROR(J43*BX43/INDEX(er!D:D, MATCH(Q43,er!C:C,0),1),0)))</f>
        <v>389.83453171080896</v>
      </c>
      <c r="CA43" s="96">
        <f t="array" aca="1" ref="CA43" ca="1">IF(A43="","",( IFERROR(1-((P43/ INDEX(er!$D$3:$D$75,MATCH(1, (er!$A$3:$A$75=$BG$2)*(er!$C$3:$C$75=Q43), 0))   /  (J43/ INDEX(er!$D$3:$D$75,MATCH(1, (er!$A$3:$A$75=$BG$2)*(er!$C$3:$C$75=L43), 0))))),"")))</f>
        <v>0.39552496014053218</v>
      </c>
      <c r="CB43" s="96">
        <f t="shared" si="99"/>
        <v>0.39552499998637525</v>
      </c>
      <c r="CC43" s="111">
        <f t="shared" ca="1" si="100"/>
        <v>-3.9845843069485909E-8</v>
      </c>
      <c r="CD43" s="110">
        <f t="shared" ref="CD43:CE43" si="109">BJ43+BM43-BS43-BV43</f>
        <v>0</v>
      </c>
      <c r="CE43" s="110">
        <f t="shared" ca="1" si="109"/>
        <v>0</v>
      </c>
      <c r="CF43" s="110">
        <f t="shared" ca="1" si="102"/>
        <v>0</v>
      </c>
      <c r="CG43" s="8" t="str">
        <f t="shared" si="103"/>
        <v>OK</v>
      </c>
      <c r="CH43" s="8"/>
      <c r="CI43" t="s">
        <v>99</v>
      </c>
      <c r="CK43" s="240">
        <v>0</v>
      </c>
      <c r="CL43" s="239">
        <f ca="1">(AI43+CK43)/INDEX(er!D:D,MATCH(AC43,er!C:C,0),1)</f>
        <v>2.219040801717967E-4</v>
      </c>
      <c r="CN43" s="239">
        <f ca="1">CK43/INDEX(er!D:D,MATCH(AC43,er!C:C,0),1)</f>
        <v>0</v>
      </c>
    </row>
    <row r="44" spans="1:92" ht="12.5" x14ac:dyDescent="0.25">
      <c r="A44" s="93" t="s">
        <v>251</v>
      </c>
      <c r="B44" s="93" t="s">
        <v>100</v>
      </c>
      <c r="C44" s="93" t="s">
        <v>103</v>
      </c>
      <c r="D44" s="93" t="s">
        <v>252</v>
      </c>
      <c r="E44" s="93"/>
      <c r="F44" s="93"/>
      <c r="G44" s="94" t="s">
        <v>107</v>
      </c>
      <c r="H44" s="93" t="s">
        <v>436</v>
      </c>
      <c r="I44" s="94" t="s">
        <v>107</v>
      </c>
      <c r="J44" s="94">
        <v>2937600</v>
      </c>
      <c r="K44" s="94">
        <v>2937600</v>
      </c>
      <c r="L44" s="94" t="s">
        <v>111</v>
      </c>
      <c r="M44" s="94">
        <v>2937600</v>
      </c>
      <c r="N44" s="94" t="s">
        <v>111</v>
      </c>
      <c r="O44" s="94">
        <v>2937600</v>
      </c>
      <c r="P44" s="94">
        <v>1938801.31</v>
      </c>
      <c r="Q44" s="93" t="s">
        <v>111</v>
      </c>
      <c r="R44" s="94" t="s">
        <v>105</v>
      </c>
      <c r="S44" s="94"/>
      <c r="T44" s="94"/>
      <c r="U44" s="94">
        <v>0</v>
      </c>
      <c r="V44" s="93" t="s">
        <v>94</v>
      </c>
      <c r="W44" s="8" t="s">
        <v>98</v>
      </c>
      <c r="X44" s="94" t="s">
        <v>103</v>
      </c>
      <c r="Y44" s="94" t="s">
        <v>107</v>
      </c>
      <c r="Z44" s="94" t="s">
        <v>105</v>
      </c>
      <c r="AA44" s="94" t="s">
        <v>111</v>
      </c>
      <c r="AB44" s="94">
        <v>2937600</v>
      </c>
      <c r="AC44" s="94" t="s">
        <v>111</v>
      </c>
      <c r="AD44" s="94">
        <v>1938874.75</v>
      </c>
      <c r="AE44" s="94">
        <v>34</v>
      </c>
      <c r="AF44" s="94" t="s">
        <v>99</v>
      </c>
      <c r="AG44" s="94">
        <v>0</v>
      </c>
      <c r="AH44" s="94">
        <v>0</v>
      </c>
      <c r="AI44" s="94">
        <v>-73.44</v>
      </c>
      <c r="AJ44" s="94">
        <v>-0.05</v>
      </c>
      <c r="AK44" s="94">
        <v>0.34000500068082795</v>
      </c>
      <c r="AL44" s="94" t="s">
        <v>99</v>
      </c>
      <c r="AM44" s="93" t="s">
        <v>508</v>
      </c>
      <c r="AN44" s="94"/>
      <c r="AO44" s="94" t="s">
        <v>16</v>
      </c>
      <c r="AP44" s="94" t="s">
        <v>16</v>
      </c>
      <c r="AQ44" s="94"/>
      <c r="AR44" s="94" t="s">
        <v>16</v>
      </c>
      <c r="AS44" s="94"/>
      <c r="AT44" s="94" t="s">
        <v>16</v>
      </c>
      <c r="AU44" s="94">
        <v>2937600</v>
      </c>
      <c r="AV44" s="94">
        <v>2101</v>
      </c>
      <c r="AW44" s="94" t="s">
        <v>16</v>
      </c>
      <c r="AX44" s="94">
        <v>2937600</v>
      </c>
      <c r="AY44" s="94">
        <v>2102.79</v>
      </c>
      <c r="AZ44" s="94" t="s">
        <v>111</v>
      </c>
      <c r="BA44" s="94">
        <v>1938874.75</v>
      </c>
      <c r="BB44" s="94" t="s">
        <v>99</v>
      </c>
      <c r="BC44" s="94">
        <v>-73.44</v>
      </c>
      <c r="BD44" s="94">
        <v>-0.05</v>
      </c>
      <c r="BE44" s="60">
        <f t="array" ref="BE44">IFERROR(INDEX('Com&amp;tax'!$E$2:$E$5, MATCH(1, ('Com&amp;tax'!$A$2:$A$5=B44)*('Com&amp;tax'!$B$2:$B$5=G44), 0)),"")</f>
        <v>0.15</v>
      </c>
      <c r="BF44" s="58">
        <f t="shared" si="91"/>
        <v>440640</v>
      </c>
      <c r="BG44" s="58">
        <f t="array" aca="1" ref="BG44" ca="1">IF(A44="","",( IFERROR((O44/ INDEX(er!$D$3:$D$75,MATCH(1, (er!$A$3:$A$75=$BG$2)*(er!$C$3:$C$75=Q44), 0)))*BE44,"")))</f>
        <v>315.41875447387258</v>
      </c>
      <c r="BH44" s="58">
        <f t="shared" si="92"/>
        <v>-440640</v>
      </c>
      <c r="BI44" s="59">
        <f t="array" ref="BI44">IFERROR(INDEX('Com&amp;tax'!$F$2:$F$5, MATCH(1, ('Com&amp;tax'!$A$2:$A$5=B44)*('Com&amp;tax'!$B$2:$B$5=Y44), 0)),0)</f>
        <v>4.9000000000000002E-2</v>
      </c>
      <c r="BJ44" s="58">
        <f t="shared" si="93"/>
        <v>122351.04000000001</v>
      </c>
      <c r="BK44" s="58">
        <f t="array" aca="1" ref="BK44" ca="1">IF(A44="","",( IFERROR((J44*(1-BE44))*BI44/INDEX(er!D:D, MATCH(Q44,er!C:C,0),1),0)))</f>
        <v>87.581274158911967</v>
      </c>
      <c r="BL44" s="60">
        <f t="array" ref="BL44">IFERROR(INDEX('Com&amp;tax'!$G$2:$G$5, MATCH(1, ('Com&amp;tax'!$A$2:$A$5=B44)*('Com&amp;tax'!$B$2:$B$5=Y44), 0)),0)</f>
        <v>0.1575</v>
      </c>
      <c r="BM44" s="58">
        <f t="shared" si="94"/>
        <v>393271.2</v>
      </c>
      <c r="BN44" s="58">
        <f t="array" aca="1" ref="BN44" ca="1">IF(A44="","",( IFERROR((J44*(1-BE44))*BL44/INDEX(er!D:D, MATCH(Q44,er!C:C,0),1),0)))</f>
        <v>281.5112383679313</v>
      </c>
      <c r="BO44" s="60">
        <f t="array" ref="BO44">IFERROR(INDEX('Com&amp;tax'!$H$2:$H$5, MATCH(1, ('Com&amp;tax'!$A$2:$A$5=B44)*('Com&amp;tax'!$B$2:$B$5=Y44), 0)),0)</f>
        <v>0</v>
      </c>
      <c r="BP44" s="58">
        <f t="shared" si="95"/>
        <v>0</v>
      </c>
      <c r="BQ44" s="58">
        <f t="array" aca="1" ref="BQ44" ca="1">IF(A44="","",( IFERROR(J44*BO44/INDEX(er!D:D, MATCH(Q44,er!C:C,0),1),0)))</f>
        <v>0</v>
      </c>
      <c r="BR44" s="108">
        <f t="array" ref="BR44">IFERROR(INDEX('Com&amp;tax'!$F$2:$F$5, MATCH(1, ('Com&amp;tax'!$A$2:$A$5=B44)*('Com&amp;tax'!$D$2:$D$5=H44), 0)),0)</f>
        <v>4.9000000000000002E-2</v>
      </c>
      <c r="BS44" s="109">
        <f t="shared" si="96"/>
        <v>122351.04000000001</v>
      </c>
      <c r="BT44" s="109">
        <f t="array" aca="1" ref="BT44" ca="1">IF(A44="","",( IFERROR((J44*(1-BE44))*BR44/INDEX(er!D:D, MATCH(Q44,er!C:C,0),1),0)))</f>
        <v>87.581274158911967</v>
      </c>
      <c r="BU44" s="108">
        <f t="array" ref="BU44">IFERROR(INDEX('Com&amp;tax'!$G$2:$G$5, MATCH(1, ('Com&amp;tax'!$A$2:$A$5=B44)*('Com&amp;tax'!$D$2:$D$5=H44), 0)),0)</f>
        <v>0.1575</v>
      </c>
      <c r="BV44" s="109">
        <f t="shared" si="97"/>
        <v>393271.2</v>
      </c>
      <c r="BW44" s="109">
        <f t="array" aca="1" ref="BW44" ca="1">IF(A44="","",( IFERROR((J44*(1-BE44))*BU44/INDEX(er!D:D, MATCH(Q44,er!C:C,0),1),0)))</f>
        <v>281.5112383679313</v>
      </c>
      <c r="BX44" s="108">
        <f t="array" ref="BX44">IFERROR(INDEX('Com&amp;tax'!$H$2:$H$5, MATCH(1, ('Com&amp;tax'!$A$2:$A$5=B44)*('Com&amp;tax'!$D$2:$D$5=H44), 0)),0)</f>
        <v>0</v>
      </c>
      <c r="BY44" s="109">
        <f t="shared" si="98"/>
        <v>0</v>
      </c>
      <c r="BZ44" s="109">
        <f t="array" aca="1" ref="BZ44" ca="1">IF(A44="","",( IFERROR(J44*BX44/INDEX(er!D:D, MATCH(Q44,er!C:C,0),1),0)))</f>
        <v>0</v>
      </c>
      <c r="CA44" s="96">
        <f t="array" aca="1" ref="CA44" ca="1">IF(A44="","",( IFERROR(1-((P44/ INDEX(er!$D$3:$D$75,MATCH(1, (er!$A$3:$A$75=$BG$2)*(er!$C$3:$C$75=Q44), 0))   /  (J44/ INDEX(er!$D$3:$D$75,MATCH(1, (er!$A$3:$A$75=$BG$2)*(er!$C$3:$C$75=L44), 0))))),"")))</f>
        <v>0.34000500068082795</v>
      </c>
      <c r="CB44" s="96">
        <f t="shared" si="99"/>
        <v>0.3399800006808279</v>
      </c>
      <c r="CC44" s="111">
        <f t="shared" ca="1" si="100"/>
        <v>2.5000000000052758E-5</v>
      </c>
      <c r="CD44" s="110">
        <f t="shared" ref="CD44:CE44" si="110">BJ44+BM44-BS44-BV44</f>
        <v>0</v>
      </c>
      <c r="CE44" s="110">
        <f t="shared" ca="1" si="110"/>
        <v>0</v>
      </c>
      <c r="CF44" s="110">
        <f t="shared" ca="1" si="102"/>
        <v>-0.05</v>
      </c>
      <c r="CG44" s="8" t="str">
        <f t="shared" si="103"/>
        <v>OK</v>
      </c>
      <c r="CH44" s="8"/>
      <c r="CI44" t="s">
        <v>99</v>
      </c>
      <c r="CK44" s="240">
        <v>0</v>
      </c>
      <c r="CL44" s="239">
        <f ca="1">(AI44+CK44)/INDEX(er!D:D,MATCH(AC44,er!C:C,0),1)</f>
        <v>-5.2569792412312098E-2</v>
      </c>
      <c r="CN44" s="239">
        <f ca="1">CK44/INDEX(er!D:D,MATCH(AC44,er!C:C,0),1)</f>
        <v>0</v>
      </c>
    </row>
    <row r="45" spans="1:92" ht="12.5" x14ac:dyDescent="0.25">
      <c r="A45" s="93" t="s">
        <v>254</v>
      </c>
      <c r="B45" s="93" t="s">
        <v>96</v>
      </c>
      <c r="C45" s="93" t="s">
        <v>103</v>
      </c>
      <c r="D45" s="93" t="s">
        <v>255</v>
      </c>
      <c r="E45" s="93"/>
      <c r="F45" s="93"/>
      <c r="G45" s="94" t="s">
        <v>107</v>
      </c>
      <c r="H45" s="93" t="s">
        <v>436</v>
      </c>
      <c r="I45" s="94" t="s">
        <v>107</v>
      </c>
      <c r="J45" s="94">
        <v>1651074.28</v>
      </c>
      <c r="K45" s="94">
        <v>1651074.28</v>
      </c>
      <c r="L45" s="94" t="s">
        <v>111</v>
      </c>
      <c r="M45" s="94">
        <v>1651074.28</v>
      </c>
      <c r="N45" s="94" t="s">
        <v>111</v>
      </c>
      <c r="O45" s="94">
        <v>1651074.28</v>
      </c>
      <c r="P45" s="94">
        <v>998033.19</v>
      </c>
      <c r="Q45" s="93" t="s">
        <v>111</v>
      </c>
      <c r="R45" s="94" t="s">
        <v>105</v>
      </c>
      <c r="S45" s="94"/>
      <c r="T45" s="94"/>
      <c r="U45" s="94">
        <v>0</v>
      </c>
      <c r="V45" s="93" t="s">
        <v>94</v>
      </c>
      <c r="W45" s="8" t="s">
        <v>98</v>
      </c>
      <c r="X45" s="94" t="s">
        <v>103</v>
      </c>
      <c r="Y45" s="94" t="s">
        <v>107</v>
      </c>
      <c r="Z45" s="94" t="s">
        <v>105</v>
      </c>
      <c r="AA45" s="94" t="s">
        <v>111</v>
      </c>
      <c r="AB45" s="94">
        <v>1651074.28</v>
      </c>
      <c r="AC45" s="94" t="s">
        <v>111</v>
      </c>
      <c r="AD45" s="94">
        <v>998033.13</v>
      </c>
      <c r="AE45" s="94">
        <v>39.549999999999997</v>
      </c>
      <c r="AF45" s="94" t="s">
        <v>99</v>
      </c>
      <c r="AG45" s="94">
        <v>0</v>
      </c>
      <c r="AH45" s="94">
        <v>0</v>
      </c>
      <c r="AI45" s="94">
        <v>0.06</v>
      </c>
      <c r="AJ45" s="94">
        <v>0</v>
      </c>
      <c r="AK45" s="94">
        <v>0.39552496087577604</v>
      </c>
      <c r="AL45" s="94" t="s">
        <v>99</v>
      </c>
      <c r="AM45" s="93" t="s">
        <v>509</v>
      </c>
      <c r="AN45" s="94"/>
      <c r="AO45" s="94" t="s">
        <v>16</v>
      </c>
      <c r="AP45" s="94" t="s">
        <v>16</v>
      </c>
      <c r="AQ45" s="94"/>
      <c r="AR45" s="94" t="s">
        <v>16</v>
      </c>
      <c r="AS45" s="94"/>
      <c r="AT45" s="94" t="s">
        <v>16</v>
      </c>
      <c r="AU45" s="94">
        <v>1651074.28</v>
      </c>
      <c r="AV45" s="94">
        <v>1180</v>
      </c>
      <c r="AW45" s="94" t="s">
        <v>16</v>
      </c>
      <c r="AX45" s="94">
        <v>1651074.28</v>
      </c>
      <c r="AY45" s="94">
        <v>1181.8699999999999</v>
      </c>
      <c r="AZ45" s="94" t="s">
        <v>111</v>
      </c>
      <c r="BA45" s="94">
        <v>998033.13</v>
      </c>
      <c r="BB45" s="94" t="s">
        <v>99</v>
      </c>
      <c r="BC45" s="94">
        <v>0.06</v>
      </c>
      <c r="BD45" s="94">
        <v>0</v>
      </c>
      <c r="BE45" s="60">
        <f t="array" ref="BE45">IFERROR(INDEX('Com&amp;tax'!$E$2:$E$5, MATCH(1, ('Com&amp;tax'!$A$2:$A$5=B45)*('Com&amp;tax'!$B$2:$B$5=G45), 0)),"")</f>
        <v>0.15</v>
      </c>
      <c r="BF45" s="58">
        <f t="shared" si="91"/>
        <v>247661.14199999999</v>
      </c>
      <c r="BG45" s="58">
        <f t="array" aca="1" ref="BG45" ca="1">IF(A45="","",( IFERROR((O45/ INDEX(er!$D$3:$D$75,MATCH(1, (er!$A$3:$A$75=$BG$2)*(er!$C$3:$C$75=Q45), 0)))*BE45,"")))</f>
        <v>177.28070293486041</v>
      </c>
      <c r="BH45" s="58">
        <f t="shared" si="92"/>
        <v>-247661.14199999999</v>
      </c>
      <c r="BI45" s="59">
        <f t="array" ref="BI45">IFERROR(INDEX('Com&amp;tax'!$F$2:$F$5, MATCH(1, ('Com&amp;tax'!$A$2:$A$5=B45)*('Com&amp;tax'!$B$2:$B$5=Y45), 0)),0)</f>
        <v>4.9000000000000002E-2</v>
      </c>
      <c r="BJ45" s="58">
        <f t="shared" si="93"/>
        <v>68767.243761999998</v>
      </c>
      <c r="BK45" s="58">
        <f t="array" aca="1" ref="BK45" ca="1">IF(A45="","",( IFERROR((J45*(1-BE45))*BI45/INDEX(er!D:D, MATCH(Q45,er!C:C,0),1),0)))</f>
        <v>49.224941848246239</v>
      </c>
      <c r="BL45" s="60">
        <f t="array" ref="BL45">IFERROR(INDEX('Com&amp;tax'!$G$2:$G$5, MATCH(1, ('Com&amp;tax'!$A$2:$A$5=B45)*('Com&amp;tax'!$B$2:$B$5=Y45), 0)),0)</f>
        <v>0.1575</v>
      </c>
      <c r="BM45" s="58">
        <f t="shared" si="94"/>
        <v>221037.569235</v>
      </c>
      <c r="BN45" s="58">
        <f t="array" aca="1" ref="BN45" ca="1">IF(A45="","",( IFERROR((J45*(1-BE45))*BL45/INDEX(er!D:D, MATCH(Q45,er!C:C,0),1),0)))</f>
        <v>158.22302736936291</v>
      </c>
      <c r="BO45" s="60">
        <f t="array" ref="BO45">IFERROR(INDEX('Com&amp;tax'!$H$2:$H$5, MATCH(1, ('Com&amp;tax'!$A$2:$A$5=B45)*('Com&amp;tax'!$B$2:$B$5=Y45), 0)),0)</f>
        <v>7.0000000000000007E-2</v>
      </c>
      <c r="BP45" s="58">
        <f t="shared" si="95"/>
        <v>115575.19960000001</v>
      </c>
      <c r="BQ45" s="58">
        <f t="array" aca="1" ref="BQ45" ca="1">IF(A45="","",( IFERROR(J45*BO45/INDEX(er!D:D, MATCH(Q45,er!C:C,0),1),0)))</f>
        <v>82.730994702934865</v>
      </c>
      <c r="BR45" s="108">
        <f t="array" ref="BR45">IFERROR(INDEX('Com&amp;tax'!$F$2:$F$5, MATCH(1, ('Com&amp;tax'!$A$2:$A$5=B45)*('Com&amp;tax'!$D$2:$D$5=H45), 0)),0)</f>
        <v>4.9000000000000002E-2</v>
      </c>
      <c r="BS45" s="109">
        <f t="shared" si="96"/>
        <v>68767.243761999998</v>
      </c>
      <c r="BT45" s="109">
        <f t="array" aca="1" ref="BT45" ca="1">IF(A45="","",( IFERROR((J45*(1-BE45))*BR45/INDEX(er!D:D, MATCH(Q45,er!C:C,0),1),0)))</f>
        <v>49.224941848246239</v>
      </c>
      <c r="BU45" s="108">
        <f t="array" ref="BU45">IFERROR(INDEX('Com&amp;tax'!$G$2:$G$5, MATCH(1, ('Com&amp;tax'!$A$2:$A$5=B45)*('Com&amp;tax'!$D$2:$D$5=H45), 0)),0)</f>
        <v>0.1575</v>
      </c>
      <c r="BV45" s="109">
        <f t="shared" si="97"/>
        <v>221037.569235</v>
      </c>
      <c r="BW45" s="109">
        <f t="array" aca="1" ref="BW45" ca="1">IF(A45="","",( IFERROR((J45*(1-BE45))*BU45/INDEX(er!D:D, MATCH(Q45,er!C:C,0),1),0)))</f>
        <v>158.22302736936291</v>
      </c>
      <c r="BX45" s="108">
        <f t="array" ref="BX45">IFERROR(INDEX('Com&amp;tax'!$H$2:$H$5, MATCH(1, ('Com&amp;tax'!$A$2:$A$5=B45)*('Com&amp;tax'!$D$2:$D$5=H45), 0)),0)</f>
        <v>7.0000000000000007E-2</v>
      </c>
      <c r="BY45" s="109">
        <f t="shared" si="98"/>
        <v>115575.19960000001</v>
      </c>
      <c r="BZ45" s="109">
        <f t="array" aca="1" ref="BZ45" ca="1">IF(A45="","",( IFERROR(J45*BX45/INDEX(er!D:D, MATCH(Q45,er!C:C,0),1),0)))</f>
        <v>82.730994702934865</v>
      </c>
      <c r="CA45" s="96">
        <f t="array" aca="1" ref="CA45" ca="1">IF(A45="","",( IFERROR(1-((P45/ INDEX(er!$D$3:$D$75,MATCH(1, (er!$A$3:$A$75=$BG$2)*(er!$C$3:$C$75=Q45), 0))   /  (J45/ INDEX(er!$D$3:$D$75,MATCH(1, (er!$A$3:$A$75=$BG$2)*(er!$C$3:$C$75=L45), 0))))),"")))</f>
        <v>0.39552496087577604</v>
      </c>
      <c r="CB45" s="96">
        <f t="shared" si="99"/>
        <v>0.39552499721575218</v>
      </c>
      <c r="CC45" s="111">
        <f t="shared" ca="1" si="100"/>
        <v>-3.6339976139387886E-8</v>
      </c>
      <c r="CD45" s="110">
        <f t="shared" ref="CD45:CE45" si="111">BJ45+BM45-BS45-BV45</f>
        <v>0</v>
      </c>
      <c r="CE45" s="110">
        <f t="shared" ca="1" si="111"/>
        <v>0</v>
      </c>
      <c r="CF45" s="110">
        <f t="shared" ca="1" si="102"/>
        <v>0</v>
      </c>
      <c r="CG45" s="8" t="str">
        <f t="shared" si="103"/>
        <v>OK</v>
      </c>
      <c r="CH45" s="8"/>
      <c r="CI45" t="s">
        <v>99</v>
      </c>
      <c r="CK45" s="240">
        <v>0</v>
      </c>
      <c r="CL45" s="239">
        <f ca="1">(AI45+CK45)/INDEX(er!D:D,MATCH(AC45,er!C:C,0),1)</f>
        <v>4.2949176807444524E-5</v>
      </c>
      <c r="CN45" s="239">
        <f ca="1">CK45/INDEX(er!D:D,MATCH(AC45,er!C:C,0),1)</f>
        <v>0</v>
      </c>
    </row>
    <row r="46" spans="1:92" ht="12.5" x14ac:dyDescent="0.25">
      <c r="A46" s="93" t="s">
        <v>258</v>
      </c>
      <c r="B46" s="93" t="s">
        <v>96</v>
      </c>
      <c r="C46" s="93" t="s">
        <v>103</v>
      </c>
      <c r="D46" s="93" t="s">
        <v>259</v>
      </c>
      <c r="E46" s="93" t="s">
        <v>101</v>
      </c>
      <c r="F46" s="93"/>
      <c r="G46" s="94" t="s">
        <v>107</v>
      </c>
      <c r="H46" s="93" t="s">
        <v>436</v>
      </c>
      <c r="I46" s="94" t="s">
        <v>107</v>
      </c>
      <c r="J46" s="94">
        <v>7514153.1299999999</v>
      </c>
      <c r="K46" s="94">
        <v>7514153.1299999999</v>
      </c>
      <c r="L46" s="94" t="s">
        <v>111</v>
      </c>
      <c r="M46" s="94">
        <v>7514153.1299999999</v>
      </c>
      <c r="N46" s="94" t="s">
        <v>111</v>
      </c>
      <c r="O46" s="94">
        <v>7514153.1299999999</v>
      </c>
      <c r="P46" s="94">
        <v>4542118.01</v>
      </c>
      <c r="Q46" s="93" t="s">
        <v>111</v>
      </c>
      <c r="R46" s="94" t="s">
        <v>105</v>
      </c>
      <c r="S46" s="94"/>
      <c r="T46" s="94"/>
      <c r="U46" s="94">
        <v>0</v>
      </c>
      <c r="V46" s="93" t="s">
        <v>94</v>
      </c>
      <c r="W46" s="8" t="s">
        <v>98</v>
      </c>
      <c r="X46" s="94" t="s">
        <v>103</v>
      </c>
      <c r="Y46" s="94" t="s">
        <v>107</v>
      </c>
      <c r="Z46" s="94" t="s">
        <v>105</v>
      </c>
      <c r="AA46" s="94" t="s">
        <v>111</v>
      </c>
      <c r="AB46" s="94">
        <v>7514153.1299999999</v>
      </c>
      <c r="AC46" s="94" t="s">
        <v>111</v>
      </c>
      <c r="AD46" s="94">
        <v>4542117.71</v>
      </c>
      <c r="AE46" s="94">
        <v>39.549999999999997</v>
      </c>
      <c r="AF46" s="94" t="s">
        <v>99</v>
      </c>
      <c r="AG46" s="94">
        <v>0</v>
      </c>
      <c r="AH46" s="94">
        <v>0</v>
      </c>
      <c r="AI46" s="94">
        <v>0.3</v>
      </c>
      <c r="AJ46" s="94">
        <v>0</v>
      </c>
      <c r="AK46" s="94">
        <v>0.39552496050875663</v>
      </c>
      <c r="AL46" s="94" t="s">
        <v>99</v>
      </c>
      <c r="AM46" s="93" t="s">
        <v>510</v>
      </c>
      <c r="AN46" s="94"/>
      <c r="AO46" s="94" t="s">
        <v>16</v>
      </c>
      <c r="AP46" s="94" t="s">
        <v>16</v>
      </c>
      <c r="AQ46" s="94"/>
      <c r="AR46" s="94" t="s">
        <v>16</v>
      </c>
      <c r="AS46" s="94"/>
      <c r="AT46" s="94" t="s">
        <v>16</v>
      </c>
      <c r="AU46" s="94">
        <v>7514153.1299999999</v>
      </c>
      <c r="AV46" s="94">
        <v>5377</v>
      </c>
      <c r="AW46" s="94" t="s">
        <v>16</v>
      </c>
      <c r="AX46" s="94">
        <v>7514153.1299999999</v>
      </c>
      <c r="AY46" s="94">
        <v>5378.78</v>
      </c>
      <c r="AZ46" s="94" t="s">
        <v>111</v>
      </c>
      <c r="BA46" s="94">
        <v>4542117.71</v>
      </c>
      <c r="BB46" s="94" t="s">
        <v>99</v>
      </c>
      <c r="BC46" s="94">
        <v>0.3</v>
      </c>
      <c r="BD46" s="94">
        <v>0</v>
      </c>
      <c r="BE46" s="60">
        <f t="array" ref="BE46">IFERROR(INDEX('Com&amp;tax'!$E$2:$E$5, MATCH(1, ('Com&amp;tax'!$A$2:$A$5=B46)*('Com&amp;tax'!$B$2:$B$5=G46), 0)),"")</f>
        <v>0.15</v>
      </c>
      <c r="BF46" s="58">
        <f t="shared" si="91"/>
        <v>1127122.9694999999</v>
      </c>
      <c r="BG46" s="58">
        <f t="array" aca="1" ref="BG46" ca="1">IF(A46="","",( IFERROR((O46/ INDEX(er!$D$3:$D$75,MATCH(1, (er!$A$3:$A$75=$BG$2)*(er!$C$3:$C$75=Q46), 0)))*BE46,"")))</f>
        <v>806.81672834645667</v>
      </c>
      <c r="BH46" s="58">
        <f t="shared" si="92"/>
        <v>-1127122.9694999999</v>
      </c>
      <c r="BI46" s="59">
        <f t="array" ref="BI46">IFERROR(INDEX('Com&amp;tax'!$F$2:$F$5, MATCH(1, ('Com&amp;tax'!$A$2:$A$5=B46)*('Com&amp;tax'!$B$2:$B$5=Y46), 0)),0)</f>
        <v>4.9000000000000002E-2</v>
      </c>
      <c r="BJ46" s="58">
        <f t="shared" si="93"/>
        <v>312964.47786449996</v>
      </c>
      <c r="BK46" s="58">
        <f t="array" aca="1" ref="BK46" ca="1">IF(A46="","",( IFERROR((J46*(1-BE46))*BI46/INDEX(er!D:D, MATCH(Q46,er!C:C,0),1),0)))</f>
        <v>224.02611157086611</v>
      </c>
      <c r="BL46" s="60">
        <f t="array" ref="BL46">IFERROR(INDEX('Com&amp;tax'!$G$2:$G$5, MATCH(1, ('Com&amp;tax'!$A$2:$A$5=B46)*('Com&amp;tax'!$B$2:$B$5=Y46), 0)),0)</f>
        <v>0.1575</v>
      </c>
      <c r="BM46" s="58">
        <f t="shared" si="94"/>
        <v>1005957.2502787499</v>
      </c>
      <c r="BN46" s="58">
        <f t="array" aca="1" ref="BN46" ca="1">IF(A46="","",( IFERROR((J46*(1-BE46))*BL46/INDEX(er!D:D, MATCH(Q46,er!C:C,0),1),0)))</f>
        <v>720.08393004921254</v>
      </c>
      <c r="BO46" s="60">
        <f t="array" ref="BO46">IFERROR(INDEX('Com&amp;tax'!$H$2:$H$5, MATCH(1, ('Com&amp;tax'!$A$2:$A$5=B46)*('Com&amp;tax'!$B$2:$B$5=Y46), 0)),0)</f>
        <v>7.0000000000000007E-2</v>
      </c>
      <c r="BP46" s="58">
        <f t="shared" si="95"/>
        <v>525990.71909999999</v>
      </c>
      <c r="BQ46" s="58">
        <f t="array" aca="1" ref="BQ46" ca="1">IF(A46="","",( IFERROR(J46*BO46/INDEX(er!D:D, MATCH(Q46,er!C:C,0),1),0)))</f>
        <v>376.51447322834645</v>
      </c>
      <c r="BR46" s="108">
        <f t="array" ref="BR46">IFERROR(INDEX('Com&amp;tax'!$F$2:$F$5, MATCH(1, ('Com&amp;tax'!$A$2:$A$5=B46)*('Com&amp;tax'!$D$2:$D$5=H46), 0)),0)</f>
        <v>4.9000000000000002E-2</v>
      </c>
      <c r="BS46" s="109">
        <f t="shared" si="96"/>
        <v>312964.47786449996</v>
      </c>
      <c r="BT46" s="109">
        <f t="array" aca="1" ref="BT46" ca="1">IF(A46="","",( IFERROR((J46*(1-BE46))*BR46/INDEX(er!D:D, MATCH(Q46,er!C:C,0),1),0)))</f>
        <v>224.02611157086611</v>
      </c>
      <c r="BU46" s="108">
        <f t="array" ref="BU46">IFERROR(INDEX('Com&amp;tax'!$G$2:$G$5, MATCH(1, ('Com&amp;tax'!$A$2:$A$5=B46)*('Com&amp;tax'!$D$2:$D$5=H46), 0)),0)</f>
        <v>0.1575</v>
      </c>
      <c r="BV46" s="109">
        <f t="shared" si="97"/>
        <v>1005957.2502787499</v>
      </c>
      <c r="BW46" s="109">
        <f t="array" aca="1" ref="BW46" ca="1">IF(A46="","",( IFERROR((J46*(1-BE46))*BU46/INDEX(er!D:D, MATCH(Q46,er!C:C,0),1),0)))</f>
        <v>720.08393004921254</v>
      </c>
      <c r="BX46" s="108">
        <f t="array" ref="BX46">IFERROR(INDEX('Com&amp;tax'!$H$2:$H$5, MATCH(1, ('Com&amp;tax'!$A$2:$A$5=B46)*('Com&amp;tax'!$D$2:$D$5=H46), 0)),0)</f>
        <v>7.0000000000000007E-2</v>
      </c>
      <c r="BY46" s="109">
        <f t="shared" si="98"/>
        <v>525990.71909999999</v>
      </c>
      <c r="BZ46" s="109">
        <f t="array" aca="1" ref="BZ46" ca="1">IF(A46="","",( IFERROR(J46*BX46/INDEX(er!D:D, MATCH(Q46,er!C:C,0),1),0)))</f>
        <v>376.51447322834645</v>
      </c>
      <c r="CA46" s="96">
        <f t="array" aca="1" ref="CA46" ca="1">IF(A46="","",( IFERROR(1-((P46/ INDEX(er!$D$3:$D$75,MATCH(1, (er!$A$3:$A$75=$BG$2)*(er!$C$3:$C$75=Q46), 0))   /  (J46/ INDEX(er!$D$3:$D$75,MATCH(1, (er!$A$3:$A$75=$BG$2)*(er!$C$3:$C$75=L46), 0))))),"")))</f>
        <v>0.39552496050875663</v>
      </c>
      <c r="CB46" s="96">
        <f t="shared" si="99"/>
        <v>0.39552500043341543</v>
      </c>
      <c r="CC46" s="111">
        <f t="shared" ca="1" si="100"/>
        <v>-3.9924658801204771E-8</v>
      </c>
      <c r="CD46" s="110">
        <f t="shared" ref="CD46:CE46" si="112">BJ46+BM46-BS46-BV46</f>
        <v>0</v>
      </c>
      <c r="CE46" s="110">
        <f t="shared" ca="1" si="112"/>
        <v>0</v>
      </c>
      <c r="CF46" s="110">
        <f t="shared" ca="1" si="102"/>
        <v>0</v>
      </c>
      <c r="CG46" s="8" t="str">
        <f t="shared" si="103"/>
        <v>OK</v>
      </c>
      <c r="CI46" t="s">
        <v>99</v>
      </c>
      <c r="CK46" s="240">
        <v>0</v>
      </c>
      <c r="CL46" s="239">
        <f ca="1">(AI46+CK46)/INDEX(er!D:D,MATCH(AC46,er!C:C,0),1)</f>
        <v>2.1474588403722262E-4</v>
      </c>
      <c r="CN46" s="239">
        <f ca="1">CK46/INDEX(er!D:D,MATCH(AC46,er!C:C,0),1)</f>
        <v>0</v>
      </c>
    </row>
    <row r="47" spans="1:92" ht="12.5" x14ac:dyDescent="0.25">
      <c r="A47" s="93" t="s">
        <v>262</v>
      </c>
      <c r="B47" s="93" t="s">
        <v>96</v>
      </c>
      <c r="C47" s="93" t="s">
        <v>103</v>
      </c>
      <c r="D47" s="93" t="s">
        <v>263</v>
      </c>
      <c r="E47" s="93"/>
      <c r="F47" s="93"/>
      <c r="G47" s="94" t="s">
        <v>107</v>
      </c>
      <c r="H47" s="93" t="s">
        <v>436</v>
      </c>
      <c r="I47" s="94" t="s">
        <v>107</v>
      </c>
      <c r="J47" s="94">
        <v>7991501.8099999996</v>
      </c>
      <c r="K47" s="94">
        <v>7991501.8099999996</v>
      </c>
      <c r="L47" s="94" t="s">
        <v>111</v>
      </c>
      <c r="M47" s="94">
        <v>7991501.8099999996</v>
      </c>
      <c r="N47" s="94" t="s">
        <v>111</v>
      </c>
      <c r="O47" s="94">
        <v>7991501.8099999996</v>
      </c>
      <c r="P47" s="94">
        <v>4830663.38</v>
      </c>
      <c r="Q47" s="93" t="s">
        <v>111</v>
      </c>
      <c r="R47" s="94" t="s">
        <v>105</v>
      </c>
      <c r="S47" s="94"/>
      <c r="T47" s="94"/>
      <c r="U47" s="94">
        <v>0</v>
      </c>
      <c r="V47" s="93" t="s">
        <v>94</v>
      </c>
      <c r="W47" s="8" t="s">
        <v>98</v>
      </c>
      <c r="X47" s="94" t="s">
        <v>103</v>
      </c>
      <c r="Y47" s="94" t="s">
        <v>107</v>
      </c>
      <c r="Z47" s="94" t="s">
        <v>105</v>
      </c>
      <c r="AA47" s="94" t="s">
        <v>111</v>
      </c>
      <c r="AB47" s="94">
        <v>7991501.8099999996</v>
      </c>
      <c r="AC47" s="94" t="s">
        <v>111</v>
      </c>
      <c r="AD47" s="94">
        <v>4830663.04</v>
      </c>
      <c r="AE47" s="94">
        <v>39.549999999999997</v>
      </c>
      <c r="AF47" s="94" t="s">
        <v>99</v>
      </c>
      <c r="AG47" s="94">
        <v>0</v>
      </c>
      <c r="AH47" s="94">
        <v>0</v>
      </c>
      <c r="AI47" s="94">
        <v>0.34</v>
      </c>
      <c r="AJ47" s="94">
        <v>0</v>
      </c>
      <c r="AK47" s="94">
        <v>0.39552495953198064</v>
      </c>
      <c r="AL47" s="94" t="s">
        <v>99</v>
      </c>
      <c r="AM47" s="93" t="s">
        <v>511</v>
      </c>
      <c r="AN47" s="94"/>
      <c r="AO47" s="94" t="s">
        <v>16</v>
      </c>
      <c r="AP47" s="94" t="s">
        <v>16</v>
      </c>
      <c r="AQ47" s="94"/>
      <c r="AR47" s="94" t="s">
        <v>16</v>
      </c>
      <c r="AS47" s="94"/>
      <c r="AT47" s="94" t="s">
        <v>16</v>
      </c>
      <c r="AU47" s="94">
        <v>7991501.8099999996</v>
      </c>
      <c r="AV47" s="94">
        <v>5718</v>
      </c>
      <c r="AW47" s="94" t="s">
        <v>16</v>
      </c>
      <c r="AX47" s="94">
        <v>7991501.8099999996</v>
      </c>
      <c r="AY47" s="94">
        <v>5720.47</v>
      </c>
      <c r="AZ47" s="94" t="s">
        <v>111</v>
      </c>
      <c r="BA47" s="94">
        <v>4830663.0599999996</v>
      </c>
      <c r="BB47" s="94" t="s">
        <v>99</v>
      </c>
      <c r="BC47" s="94">
        <v>0.32</v>
      </c>
      <c r="BD47" s="94">
        <v>0</v>
      </c>
      <c r="BE47" s="60">
        <f t="array" ref="BE47">IFERROR(INDEX('Com&amp;tax'!$E$2:$E$5, MATCH(1, ('Com&amp;tax'!$A$2:$A$5=B47)*('Com&amp;tax'!$B$2:$B$5=G47), 0)),"")</f>
        <v>0.15</v>
      </c>
      <c r="BF47" s="58">
        <f t="shared" si="91"/>
        <v>1198725.2714999998</v>
      </c>
      <c r="BG47" s="58">
        <f t="array" aca="1" ref="BG47" ca="1">IF(A47="","",( IFERROR((O47/ INDEX(er!$D$3:$D$75,MATCH(1, (er!$A$3:$A$75=$BG$2)*(er!$C$3:$C$75=Q47), 0)))*BE47,"")))</f>
        <v>858.07106048675735</v>
      </c>
      <c r="BH47" s="58">
        <f t="shared" si="92"/>
        <v>-1198725.2714999998</v>
      </c>
      <c r="BI47" s="59">
        <f t="array" ref="BI47">IFERROR(INDEX('Com&amp;tax'!$F$2:$F$5, MATCH(1, ('Com&amp;tax'!$A$2:$A$5=B47)*('Com&amp;tax'!$B$2:$B$5=Y47), 0)),0)</f>
        <v>4.9000000000000002E-2</v>
      </c>
      <c r="BJ47" s="58">
        <f t="shared" si="93"/>
        <v>332846.05038650002</v>
      </c>
      <c r="BK47" s="58">
        <f t="array" aca="1" ref="BK47" ca="1">IF(A47="","",( IFERROR((J47*(1-BE47))*BI47/INDEX(er!D:D, MATCH(Q47,er!C:C,0),1),0)))</f>
        <v>238.25773112848964</v>
      </c>
      <c r="BL47" s="60">
        <f t="array" ref="BL47">IFERROR(INDEX('Com&amp;tax'!$G$2:$G$5, MATCH(1, ('Com&amp;tax'!$A$2:$A$5=B47)*('Com&amp;tax'!$B$2:$B$5=Y47), 0)),0)</f>
        <v>0.1575</v>
      </c>
      <c r="BM47" s="58">
        <f t="shared" si="94"/>
        <v>1069862.3048137501</v>
      </c>
      <c r="BN47" s="58">
        <f t="array" aca="1" ref="BN47" ca="1">IF(A47="","",( IFERROR((J47*(1-BE47))*BL47/INDEX(er!D:D, MATCH(Q47,er!C:C,0),1),0)))</f>
        <v>765.82842148443103</v>
      </c>
      <c r="BO47" s="60">
        <f t="array" ref="BO47">IFERROR(INDEX('Com&amp;tax'!$H$2:$H$5, MATCH(1, ('Com&amp;tax'!$A$2:$A$5=B47)*('Com&amp;tax'!$B$2:$B$5=Y47), 0)),0)</f>
        <v>7.0000000000000007E-2</v>
      </c>
      <c r="BP47" s="58">
        <f t="shared" si="95"/>
        <v>559405.12670000002</v>
      </c>
      <c r="BQ47" s="58">
        <f t="array" aca="1" ref="BQ47" ca="1">IF(A47="","",( IFERROR(J47*BO47/INDEX(er!D:D, MATCH(Q47,er!C:C,0),1),0)))</f>
        <v>400.43316156048678</v>
      </c>
      <c r="BR47" s="108">
        <f t="array" ref="BR47">IFERROR(INDEX('Com&amp;tax'!$F$2:$F$5, MATCH(1, ('Com&amp;tax'!$A$2:$A$5=B47)*('Com&amp;tax'!$D$2:$D$5=H47), 0)),0)</f>
        <v>4.9000000000000002E-2</v>
      </c>
      <c r="BS47" s="109">
        <f t="shared" si="96"/>
        <v>332846.05038650002</v>
      </c>
      <c r="BT47" s="109">
        <f t="array" aca="1" ref="BT47" ca="1">IF(A47="","",( IFERROR((J47*(1-BE47))*BR47/INDEX(er!D:D, MATCH(Q47,er!C:C,0),1),0)))</f>
        <v>238.25773112848964</v>
      </c>
      <c r="BU47" s="108">
        <f t="array" ref="BU47">IFERROR(INDEX('Com&amp;tax'!$G$2:$G$5, MATCH(1, ('Com&amp;tax'!$A$2:$A$5=B47)*('Com&amp;tax'!$D$2:$D$5=H47), 0)),0)</f>
        <v>0.1575</v>
      </c>
      <c r="BV47" s="109">
        <f t="shared" si="97"/>
        <v>1069862.3048137501</v>
      </c>
      <c r="BW47" s="109">
        <f t="array" aca="1" ref="BW47" ca="1">IF(A47="","",( IFERROR((J47*(1-BE47))*BU47/INDEX(er!D:D, MATCH(Q47,er!C:C,0),1),0)))</f>
        <v>765.82842148443103</v>
      </c>
      <c r="BX47" s="108">
        <f t="array" ref="BX47">IFERROR(INDEX('Com&amp;tax'!$H$2:$H$5, MATCH(1, ('Com&amp;tax'!$A$2:$A$5=B47)*('Com&amp;tax'!$D$2:$D$5=H47), 0)),0)</f>
        <v>7.0000000000000007E-2</v>
      </c>
      <c r="BY47" s="109">
        <f t="shared" si="98"/>
        <v>559405.12670000002</v>
      </c>
      <c r="BZ47" s="109">
        <f t="array" aca="1" ref="BZ47" ca="1">IF(A47="","",( IFERROR(J47*BX47/INDEX(er!D:D, MATCH(Q47,er!C:C,0),1),0)))</f>
        <v>400.43316156048678</v>
      </c>
      <c r="CA47" s="96">
        <f t="array" aca="1" ref="CA47" ca="1">IF(A47="","",( IFERROR(1-((P47/ INDEX(er!$D$3:$D$75,MATCH(1, (er!$A$3:$A$75=$BG$2)*(er!$C$3:$C$75=Q47), 0))   /  (J47/ INDEX(er!$D$3:$D$75,MATCH(1, (er!$A$3:$A$75=$BG$2)*(er!$C$3:$C$75=L47), 0))))),"")))</f>
        <v>0.39552495953198064</v>
      </c>
      <c r="CB47" s="96">
        <f t="shared" si="99"/>
        <v>0.39552500207717523</v>
      </c>
      <c r="CC47" s="111">
        <f t="shared" ca="1" si="100"/>
        <v>-4.2545194589571622E-8</v>
      </c>
      <c r="CD47" s="110">
        <f t="shared" ref="CD47:CE47" si="113">BJ47+BM47-BS47-BV47</f>
        <v>0</v>
      </c>
      <c r="CE47" s="110">
        <f t="shared" ca="1" si="113"/>
        <v>0</v>
      </c>
      <c r="CF47" s="110">
        <f t="shared" ca="1" si="102"/>
        <v>0</v>
      </c>
      <c r="CG47" s="8" t="str">
        <f t="shared" si="103"/>
        <v>OK</v>
      </c>
      <c r="CH47" s="8"/>
      <c r="CI47" t="s">
        <v>99</v>
      </c>
      <c r="CK47" s="240">
        <v>0</v>
      </c>
      <c r="CL47" s="239">
        <f ca="1">(AI47+CK47)/INDEX(er!D:D,MATCH(AC47,er!C:C,0),1)</f>
        <v>2.4337866857551899E-4</v>
      </c>
      <c r="CN47" s="239">
        <f ca="1">CK47/INDEX(er!D:D,MATCH(AC47,er!C:C,0),1)</f>
        <v>0</v>
      </c>
    </row>
    <row r="48" spans="1:92" ht="12.5" x14ac:dyDescent="0.25">
      <c r="A48" s="93" t="s">
        <v>266</v>
      </c>
      <c r="B48" s="93" t="s">
        <v>100</v>
      </c>
      <c r="C48" s="93" t="s">
        <v>103</v>
      </c>
      <c r="D48" s="93" t="s">
        <v>267</v>
      </c>
      <c r="E48" s="93"/>
      <c r="F48" s="93"/>
      <c r="G48" s="94" t="s">
        <v>107</v>
      </c>
      <c r="H48" s="93" t="s">
        <v>436</v>
      </c>
      <c r="I48" s="94" t="s">
        <v>107</v>
      </c>
      <c r="J48" s="94">
        <v>8088113.9100000001</v>
      </c>
      <c r="K48" s="94">
        <v>8088113.9100000001</v>
      </c>
      <c r="L48" s="94" t="s">
        <v>111</v>
      </c>
      <c r="M48" s="94">
        <v>8088113.9100000001</v>
      </c>
      <c r="N48" s="94" t="s">
        <v>111</v>
      </c>
      <c r="O48" s="94">
        <v>8088113.9100000001</v>
      </c>
      <c r="P48" s="94">
        <v>5338114.74</v>
      </c>
      <c r="Q48" s="93" t="s">
        <v>111</v>
      </c>
      <c r="R48" s="94" t="s">
        <v>105</v>
      </c>
      <c r="S48" s="94"/>
      <c r="T48" s="94"/>
      <c r="U48" s="94">
        <v>0</v>
      </c>
      <c r="V48" s="93" t="s">
        <v>94</v>
      </c>
      <c r="W48" s="8" t="s">
        <v>98</v>
      </c>
      <c r="X48" s="94" t="s">
        <v>103</v>
      </c>
      <c r="Y48" s="94" t="s">
        <v>107</v>
      </c>
      <c r="Z48" s="94" t="s">
        <v>105</v>
      </c>
      <c r="AA48" s="94" t="s">
        <v>111</v>
      </c>
      <c r="AB48" s="94">
        <v>8088113.9100000001</v>
      </c>
      <c r="AC48" s="94" t="s">
        <v>111</v>
      </c>
      <c r="AD48" s="94">
        <v>5338316.9400000004</v>
      </c>
      <c r="AE48" s="94">
        <v>34</v>
      </c>
      <c r="AF48" s="94" t="s">
        <v>99</v>
      </c>
      <c r="AG48" s="94">
        <v>0</v>
      </c>
      <c r="AH48" s="94">
        <v>0</v>
      </c>
      <c r="AI48" s="94">
        <v>-202.2</v>
      </c>
      <c r="AJ48" s="94">
        <v>-0.14000000000000001</v>
      </c>
      <c r="AK48" s="94">
        <v>0.34000500000376477</v>
      </c>
      <c r="AL48" s="94" t="s">
        <v>99</v>
      </c>
      <c r="AM48" s="93" t="s">
        <v>512</v>
      </c>
      <c r="AN48" s="94"/>
      <c r="AO48" s="94" t="s">
        <v>16</v>
      </c>
      <c r="AP48" s="94" t="s">
        <v>16</v>
      </c>
      <c r="AQ48" s="94"/>
      <c r="AR48" s="94" t="s">
        <v>16</v>
      </c>
      <c r="AS48" s="94"/>
      <c r="AT48" s="94" t="s">
        <v>16</v>
      </c>
      <c r="AU48" s="94">
        <v>8088113.9100000001</v>
      </c>
      <c r="AV48" s="94">
        <v>5788</v>
      </c>
      <c r="AW48" s="94" t="s">
        <v>16</v>
      </c>
      <c r="AX48" s="94">
        <v>8088113.9100000001</v>
      </c>
      <c r="AY48" s="94">
        <v>5789.63</v>
      </c>
      <c r="AZ48" s="94" t="s">
        <v>111</v>
      </c>
      <c r="BA48" s="94">
        <v>5338316.9400000004</v>
      </c>
      <c r="BB48" s="94" t="s">
        <v>99</v>
      </c>
      <c r="BC48" s="94">
        <v>-202.2</v>
      </c>
      <c r="BD48" s="94">
        <v>-0.14000000000000001</v>
      </c>
      <c r="BE48" s="60">
        <f t="array" ref="BE48">IFERROR(INDEX('Com&amp;tax'!$E$2:$E$5, MATCH(1, ('Com&amp;tax'!$A$2:$A$5=B48)*('Com&amp;tax'!$B$2:$B$5=G48), 0)),"")</f>
        <v>0.15</v>
      </c>
      <c r="BF48" s="58">
        <f t="shared" si="91"/>
        <v>1213217.0865</v>
      </c>
      <c r="BG48" s="58">
        <f t="array" aca="1" ref="BG48" ca="1">IF(A48="","",( IFERROR((O48/ INDEX(er!$D$3:$D$75,MATCH(1, (er!$A$3:$A$75=$BG$2)*(er!$C$3:$C$75=Q48), 0)))*BE48,"")))</f>
        <v>868.44458589835369</v>
      </c>
      <c r="BH48" s="58">
        <f t="shared" si="92"/>
        <v>-1213217.0865</v>
      </c>
      <c r="BI48" s="59">
        <f t="array" ref="BI48">IFERROR(INDEX('Com&amp;tax'!$F$2:$F$5, MATCH(1, ('Com&amp;tax'!$A$2:$A$5=B48)*('Com&amp;tax'!$B$2:$B$5=Y48), 0)),0)</f>
        <v>4.9000000000000002E-2</v>
      </c>
      <c r="BJ48" s="58">
        <f t="shared" si="93"/>
        <v>336869.94435150002</v>
      </c>
      <c r="BK48" s="58">
        <f t="array" aca="1" ref="BK48" ca="1">IF(A48="","",( IFERROR((J48*(1-BE48))*BI48/INDEX(er!D:D, MATCH(Q48,er!C:C,0),1),0)))</f>
        <v>241.13811335110952</v>
      </c>
      <c r="BL48" s="60">
        <f t="array" ref="BL48">IFERROR(INDEX('Com&amp;tax'!$G$2:$G$5, MATCH(1, ('Com&amp;tax'!$A$2:$A$5=B48)*('Com&amp;tax'!$B$2:$B$5=Y48), 0)),0)</f>
        <v>0.1575</v>
      </c>
      <c r="BM48" s="58">
        <f t="shared" si="94"/>
        <v>1082796.2497012501</v>
      </c>
      <c r="BN48" s="58">
        <f t="array" aca="1" ref="BN48" ca="1">IF(A48="","",( IFERROR((J48*(1-BE48))*BL48/INDEX(er!D:D, MATCH(Q48,er!C:C,0),1),0)))</f>
        <v>775.08679291428064</v>
      </c>
      <c r="BO48" s="60">
        <f t="array" ref="BO48">IFERROR(INDEX('Com&amp;tax'!$H$2:$H$5, MATCH(1, ('Com&amp;tax'!$A$2:$A$5=B48)*('Com&amp;tax'!$B$2:$B$5=Y48), 0)),0)</f>
        <v>0</v>
      </c>
      <c r="BP48" s="58">
        <f t="shared" si="95"/>
        <v>0</v>
      </c>
      <c r="BQ48" s="58">
        <f t="array" aca="1" ref="BQ48" ca="1">IF(A48="","",( IFERROR(J48*BO48/INDEX(er!D:D, MATCH(Q48,er!C:C,0),1),0)))</f>
        <v>0</v>
      </c>
      <c r="BR48" s="108">
        <f t="array" ref="BR48">IFERROR(INDEX('Com&amp;tax'!$F$2:$F$5, MATCH(1, ('Com&amp;tax'!$A$2:$A$5=B48)*('Com&amp;tax'!$D$2:$D$5=H48), 0)),0)</f>
        <v>4.9000000000000002E-2</v>
      </c>
      <c r="BS48" s="109">
        <f t="shared" si="96"/>
        <v>336869.94435150002</v>
      </c>
      <c r="BT48" s="109">
        <f t="array" aca="1" ref="BT48" ca="1">IF(A48="","",( IFERROR((J48*(1-BE48))*BR48/INDEX(er!D:D, MATCH(Q48,er!C:C,0),1),0)))</f>
        <v>241.13811335110952</v>
      </c>
      <c r="BU48" s="108">
        <f t="array" ref="BU48">IFERROR(INDEX('Com&amp;tax'!$G$2:$G$5, MATCH(1, ('Com&amp;tax'!$A$2:$A$5=B48)*('Com&amp;tax'!$D$2:$D$5=H48), 0)),0)</f>
        <v>0.1575</v>
      </c>
      <c r="BV48" s="109">
        <f t="shared" si="97"/>
        <v>1082796.2497012501</v>
      </c>
      <c r="BW48" s="109">
        <f t="array" aca="1" ref="BW48" ca="1">IF(A48="","",( IFERROR((J48*(1-BE48))*BU48/INDEX(er!D:D, MATCH(Q48,er!C:C,0),1),0)))</f>
        <v>775.08679291428064</v>
      </c>
      <c r="BX48" s="108">
        <f t="array" ref="BX48">IFERROR(INDEX('Com&amp;tax'!$H$2:$H$5, MATCH(1, ('Com&amp;tax'!$A$2:$A$5=B48)*('Com&amp;tax'!$D$2:$D$5=H48), 0)),0)</f>
        <v>0</v>
      </c>
      <c r="BY48" s="109">
        <f t="shared" si="98"/>
        <v>0</v>
      </c>
      <c r="BZ48" s="109">
        <f t="array" aca="1" ref="BZ48" ca="1">IF(A48="","",( IFERROR(J48*BX48/INDEX(er!D:D, MATCH(Q48,er!C:C,0),1),0)))</f>
        <v>0</v>
      </c>
      <c r="CA48" s="96">
        <f t="array" aca="1" ref="CA48" ca="1">IF(A48="","",( IFERROR(1-((P48/ INDEX(er!$D$3:$D$75,MATCH(1, (er!$A$3:$A$75=$BG$2)*(er!$C$3:$C$75=Q48), 0))   /  (J48/ INDEX(er!$D$3:$D$75,MATCH(1, (er!$A$3:$A$75=$BG$2)*(er!$C$3:$C$75=L48), 0))))),"")))</f>
        <v>0.34000500000376477</v>
      </c>
      <c r="CB48" s="96">
        <f t="shared" si="99"/>
        <v>0.33998000035585552</v>
      </c>
      <c r="CC48" s="111">
        <f t="shared" ca="1" si="100"/>
        <v>2.4999647909251799E-5</v>
      </c>
      <c r="CD48" s="110">
        <f t="shared" ref="CD48:CE48" si="114">BJ48+BM48-BS48-BV48</f>
        <v>0</v>
      </c>
      <c r="CE48" s="110">
        <f t="shared" ca="1" si="114"/>
        <v>0</v>
      </c>
      <c r="CF48" s="110">
        <f t="shared" ca="1" si="102"/>
        <v>-0.14000000000000001</v>
      </c>
      <c r="CG48" s="8" t="str">
        <f t="shared" si="103"/>
        <v>OK</v>
      </c>
      <c r="CH48" s="8"/>
      <c r="CI48" t="s">
        <v>99</v>
      </c>
      <c r="CK48" s="240">
        <v>0</v>
      </c>
      <c r="CL48" s="239">
        <f ca="1">(AI48+CK48)/INDEX(er!D:D,MATCH(AC48,er!C:C,0),1)</f>
        <v>-0.14473872584108805</v>
      </c>
      <c r="CN48" s="239">
        <f ca="1">CK48/INDEX(er!D:D,MATCH(AC48,er!C:C,0),1)</f>
        <v>0</v>
      </c>
    </row>
    <row r="49" spans="1:92" ht="12.5" x14ac:dyDescent="0.25">
      <c r="A49" s="93" t="s">
        <v>269</v>
      </c>
      <c r="B49" s="93" t="s">
        <v>100</v>
      </c>
      <c r="C49" s="93" t="s">
        <v>103</v>
      </c>
      <c r="D49" s="93" t="s">
        <v>270</v>
      </c>
      <c r="E49" s="93"/>
      <c r="F49" s="93"/>
      <c r="G49" s="94" t="s">
        <v>107</v>
      </c>
      <c r="H49" s="93" t="s">
        <v>436</v>
      </c>
      <c r="I49" s="94" t="s">
        <v>107</v>
      </c>
      <c r="J49" s="94">
        <v>4701458.79</v>
      </c>
      <c r="K49" s="94">
        <v>4701458.79</v>
      </c>
      <c r="L49" s="94" t="s">
        <v>111</v>
      </c>
      <c r="M49" s="94">
        <v>4701458.79</v>
      </c>
      <c r="N49" s="94" t="s">
        <v>111</v>
      </c>
      <c r="O49" s="94">
        <v>4701458.79</v>
      </c>
      <c r="P49" s="94">
        <v>3102939.29</v>
      </c>
      <c r="Q49" s="93" t="s">
        <v>111</v>
      </c>
      <c r="R49" s="94" t="s">
        <v>105</v>
      </c>
      <c r="S49" s="94"/>
      <c r="T49" s="94"/>
      <c r="U49" s="94">
        <v>0</v>
      </c>
      <c r="V49" s="93" t="s">
        <v>94</v>
      </c>
      <c r="W49" s="8" t="s">
        <v>98</v>
      </c>
      <c r="X49" s="94" t="s">
        <v>103</v>
      </c>
      <c r="Y49" s="94" t="s">
        <v>107</v>
      </c>
      <c r="Z49" s="94" t="s">
        <v>105</v>
      </c>
      <c r="AA49" s="94" t="s">
        <v>111</v>
      </c>
      <c r="AB49" s="94">
        <v>4701458.79</v>
      </c>
      <c r="AC49" s="94" t="s">
        <v>111</v>
      </c>
      <c r="AD49" s="94">
        <v>3103056.83</v>
      </c>
      <c r="AE49" s="94">
        <v>34</v>
      </c>
      <c r="AF49" s="94" t="s">
        <v>99</v>
      </c>
      <c r="AG49" s="94">
        <v>0</v>
      </c>
      <c r="AH49" s="94">
        <v>0</v>
      </c>
      <c r="AI49" s="94">
        <v>-117.54</v>
      </c>
      <c r="AJ49" s="94">
        <v>-0.08</v>
      </c>
      <c r="AK49" s="94">
        <v>0.34000500087335661</v>
      </c>
      <c r="AL49" s="94" t="s">
        <v>99</v>
      </c>
      <c r="AM49" s="93" t="s">
        <v>513</v>
      </c>
      <c r="AN49" s="94"/>
      <c r="AO49" s="94" t="s">
        <v>16</v>
      </c>
      <c r="AP49" s="94" t="s">
        <v>16</v>
      </c>
      <c r="AQ49" s="94"/>
      <c r="AR49" s="94" t="s">
        <v>16</v>
      </c>
      <c r="AS49" s="94"/>
      <c r="AT49" s="94" t="s">
        <v>16</v>
      </c>
      <c r="AU49" s="94">
        <v>4701458.79</v>
      </c>
      <c r="AV49" s="94">
        <v>3363</v>
      </c>
      <c r="AW49" s="94" t="s">
        <v>16</v>
      </c>
      <c r="AX49" s="94">
        <v>4701458.79</v>
      </c>
      <c r="AY49" s="94">
        <v>3365.4</v>
      </c>
      <c r="AZ49" s="94" t="s">
        <v>111</v>
      </c>
      <c r="BA49" s="94">
        <v>3103056.83</v>
      </c>
      <c r="BB49" s="94" t="s">
        <v>99</v>
      </c>
      <c r="BC49" s="94">
        <v>-117.54</v>
      </c>
      <c r="BD49" s="94">
        <v>-0.08</v>
      </c>
      <c r="BE49" s="60">
        <f t="array" ref="BE49">IFERROR(INDEX('Com&amp;tax'!$E$2:$E$5, MATCH(1, ('Com&amp;tax'!$A$2:$A$5=B49)*('Com&amp;tax'!$B$2:$B$5=G49), 0)),"")</f>
        <v>0.15</v>
      </c>
      <c r="BF49" s="58">
        <f t="shared" si="91"/>
        <v>705218.81849999994</v>
      </c>
      <c r="BG49" s="58">
        <f t="array" aca="1" ref="BG49" ca="1">IF(A49="","",( IFERROR((O49/ INDEX(er!$D$3:$D$75,MATCH(1, (er!$A$3:$A$75=$BG$2)*(er!$C$3:$C$75=Q49), 0)))*BE49,"")))</f>
        <v>504.80946206156045</v>
      </c>
      <c r="BH49" s="58">
        <f t="shared" si="92"/>
        <v>-705218.81849999994</v>
      </c>
      <c r="BI49" s="59">
        <f t="array" ref="BI49">IFERROR(INDEX('Com&amp;tax'!$F$2:$F$5, MATCH(1, ('Com&amp;tax'!$A$2:$A$5=B49)*('Com&amp;tax'!$B$2:$B$5=Y49), 0)),0)</f>
        <v>4.9000000000000002E-2</v>
      </c>
      <c r="BJ49" s="58">
        <f t="shared" si="93"/>
        <v>195815.7586035</v>
      </c>
      <c r="BK49" s="58">
        <f t="array" aca="1" ref="BK49" ca="1">IF(A49="","",( IFERROR((J49*(1-BE49))*BI49/INDEX(er!D:D, MATCH(Q49,er!C:C,0),1),0)))</f>
        <v>140.16876063242663</v>
      </c>
      <c r="BL49" s="60">
        <f t="array" ref="BL49">IFERROR(INDEX('Com&amp;tax'!$G$2:$G$5, MATCH(1, ('Com&amp;tax'!$A$2:$A$5=B49)*('Com&amp;tax'!$B$2:$B$5=Y49), 0)),0)</f>
        <v>0.1575</v>
      </c>
      <c r="BM49" s="58">
        <f t="shared" si="94"/>
        <v>629407.79551125003</v>
      </c>
      <c r="BN49" s="58">
        <f t="array" aca="1" ref="BN49" ca="1">IF(A49="","",( IFERROR((J49*(1-BE49))*BL49/INDEX(er!D:D, MATCH(Q49,er!C:C,0),1),0)))</f>
        <v>450.54244488994277</v>
      </c>
      <c r="BO49" s="60">
        <f t="array" ref="BO49">IFERROR(INDEX('Com&amp;tax'!$H$2:$H$5, MATCH(1, ('Com&amp;tax'!$A$2:$A$5=B49)*('Com&amp;tax'!$B$2:$B$5=Y49), 0)),0)</f>
        <v>0</v>
      </c>
      <c r="BP49" s="58">
        <f t="shared" si="95"/>
        <v>0</v>
      </c>
      <c r="BQ49" s="58">
        <f t="array" aca="1" ref="BQ49" ca="1">IF(A49="","",( IFERROR(J49*BO49/INDEX(er!D:D, MATCH(Q49,er!C:C,0),1),0)))</f>
        <v>0</v>
      </c>
      <c r="BR49" s="108">
        <f t="array" ref="BR49">IFERROR(INDEX('Com&amp;tax'!$F$2:$F$5, MATCH(1, ('Com&amp;tax'!$A$2:$A$5=B49)*('Com&amp;tax'!$D$2:$D$5=H49), 0)),0)</f>
        <v>4.9000000000000002E-2</v>
      </c>
      <c r="BS49" s="109">
        <f t="shared" si="96"/>
        <v>195815.7586035</v>
      </c>
      <c r="BT49" s="109">
        <f t="array" aca="1" ref="BT49" ca="1">IF(A49="","",( IFERROR((J49*(1-BE49))*BR49/INDEX(er!D:D, MATCH(Q49,er!C:C,0),1),0)))</f>
        <v>140.16876063242663</v>
      </c>
      <c r="BU49" s="108">
        <f t="array" ref="BU49">IFERROR(INDEX('Com&amp;tax'!$G$2:$G$5, MATCH(1, ('Com&amp;tax'!$A$2:$A$5=B49)*('Com&amp;tax'!$D$2:$D$5=H49), 0)),0)</f>
        <v>0.1575</v>
      </c>
      <c r="BV49" s="109">
        <f t="shared" si="97"/>
        <v>629407.79551125003</v>
      </c>
      <c r="BW49" s="109">
        <f t="array" aca="1" ref="BW49" ca="1">IF(A49="","",( IFERROR((J49*(1-BE49))*BU49/INDEX(er!D:D, MATCH(Q49,er!C:C,0),1),0)))</f>
        <v>450.54244488994277</v>
      </c>
      <c r="BX49" s="108">
        <f t="array" ref="BX49">IFERROR(INDEX('Com&amp;tax'!$H$2:$H$5, MATCH(1, ('Com&amp;tax'!$A$2:$A$5=B49)*('Com&amp;tax'!$D$2:$D$5=H49), 0)),0)</f>
        <v>0</v>
      </c>
      <c r="BY49" s="109">
        <f t="shared" si="98"/>
        <v>0</v>
      </c>
      <c r="BZ49" s="109">
        <f t="array" aca="1" ref="BZ49" ca="1">IF(A49="","",( IFERROR(J49*BX49/INDEX(er!D:D, MATCH(Q49,er!C:C,0),1),0)))</f>
        <v>0</v>
      </c>
      <c r="CA49" s="96">
        <f t="array" aca="1" ref="CA49" ca="1">IF(A49="","",( IFERROR(1-((P49/ INDEX(er!$D$3:$D$75,MATCH(1, (er!$A$3:$A$75=$BG$2)*(er!$C$3:$C$75=Q49), 0))   /  (J49/ INDEX(er!$D$3:$D$75,MATCH(1, (er!$A$3:$A$75=$BG$2)*(er!$C$3:$C$75=L49), 0))))),"")))</f>
        <v>0.34000500087335661</v>
      </c>
      <c r="CB49" s="96">
        <f t="shared" si="99"/>
        <v>0.33998000012247265</v>
      </c>
      <c r="CC49" s="111">
        <f t="shared" ca="1" si="100"/>
        <v>2.5000750883963363E-5</v>
      </c>
      <c r="CD49" s="110">
        <f t="shared" ref="CD49:CE49" si="115">BJ49+BM49-BS49-BV49</f>
        <v>0</v>
      </c>
      <c r="CE49" s="110">
        <f t="shared" ca="1" si="115"/>
        <v>0</v>
      </c>
      <c r="CF49" s="110">
        <f t="shared" ca="1" si="102"/>
        <v>-0.08</v>
      </c>
      <c r="CG49" s="8" t="str">
        <f t="shared" si="103"/>
        <v>OK</v>
      </c>
      <c r="CH49" s="8"/>
      <c r="CI49" t="s">
        <v>99</v>
      </c>
      <c r="CK49" s="240">
        <v>0</v>
      </c>
      <c r="CL49" s="239">
        <f ca="1">(AI49+CK49)/INDEX(er!D:D,MATCH(AC49,er!C:C,0),1)</f>
        <v>-8.4137437365783829E-2</v>
      </c>
      <c r="CN49" s="239">
        <f ca="1">CK49/INDEX(er!D:D,MATCH(AC49,er!C:C,0),1)</f>
        <v>0</v>
      </c>
    </row>
    <row r="50" spans="1:92" ht="12.5" x14ac:dyDescent="0.25">
      <c r="A50" s="93" t="s">
        <v>272</v>
      </c>
      <c r="B50" s="93" t="s">
        <v>100</v>
      </c>
      <c r="C50" s="93" t="s">
        <v>103</v>
      </c>
      <c r="D50" s="93" t="s">
        <v>273</v>
      </c>
      <c r="E50" s="93"/>
      <c r="F50" s="93"/>
      <c r="G50" s="94" t="s">
        <v>107</v>
      </c>
      <c r="H50" s="93" t="s">
        <v>436</v>
      </c>
      <c r="I50" s="94" t="s">
        <v>107</v>
      </c>
      <c r="J50" s="94">
        <v>1745729.16</v>
      </c>
      <c r="K50" s="94">
        <v>1745729.16</v>
      </c>
      <c r="L50" s="94" t="s">
        <v>111</v>
      </c>
      <c r="M50" s="94">
        <v>1745729.16</v>
      </c>
      <c r="N50" s="94" t="s">
        <v>111</v>
      </c>
      <c r="O50" s="94">
        <v>1745729.16</v>
      </c>
      <c r="P50" s="94">
        <v>1152172.52</v>
      </c>
      <c r="Q50" s="93" t="s">
        <v>111</v>
      </c>
      <c r="R50" s="94" t="s">
        <v>105</v>
      </c>
      <c r="S50" s="94"/>
      <c r="T50" s="94"/>
      <c r="U50" s="94">
        <v>0</v>
      </c>
      <c r="V50" s="93" t="s">
        <v>94</v>
      </c>
      <c r="W50" s="8" t="s">
        <v>98</v>
      </c>
      <c r="X50" s="94" t="s">
        <v>103</v>
      </c>
      <c r="Y50" s="94" t="s">
        <v>107</v>
      </c>
      <c r="Z50" s="94" t="s">
        <v>105</v>
      </c>
      <c r="AA50" s="94" t="s">
        <v>111</v>
      </c>
      <c r="AB50" s="94">
        <v>1745729.16</v>
      </c>
      <c r="AC50" s="94" t="s">
        <v>111</v>
      </c>
      <c r="AD50" s="94">
        <v>1152216.1599999999</v>
      </c>
      <c r="AE50" s="94">
        <v>34</v>
      </c>
      <c r="AF50" s="94" t="s">
        <v>99</v>
      </c>
      <c r="AG50" s="94">
        <v>0</v>
      </c>
      <c r="AH50" s="94">
        <v>0</v>
      </c>
      <c r="AI50" s="94">
        <v>-43.64</v>
      </c>
      <c r="AJ50" s="94">
        <v>-0.03</v>
      </c>
      <c r="AK50" s="94">
        <v>0.34000499825528496</v>
      </c>
      <c r="AL50" s="94" t="s">
        <v>99</v>
      </c>
      <c r="AM50" s="93" t="s">
        <v>514</v>
      </c>
      <c r="AN50" s="94"/>
      <c r="AO50" s="94" t="s">
        <v>16</v>
      </c>
      <c r="AP50" s="94" t="s">
        <v>16</v>
      </c>
      <c r="AQ50" s="94"/>
      <c r="AR50" s="94" t="s">
        <v>16</v>
      </c>
      <c r="AS50" s="94"/>
      <c r="AT50" s="94" t="s">
        <v>16</v>
      </c>
      <c r="AU50" s="94">
        <v>1745729.16</v>
      </c>
      <c r="AV50" s="94">
        <v>1248</v>
      </c>
      <c r="AW50" s="94" t="s">
        <v>16</v>
      </c>
      <c r="AX50" s="94">
        <v>1745729.16</v>
      </c>
      <c r="AY50" s="94">
        <v>1249.6300000000001</v>
      </c>
      <c r="AZ50" s="94" t="s">
        <v>111</v>
      </c>
      <c r="BA50" s="94">
        <v>1152216.1599999999</v>
      </c>
      <c r="BB50" s="94" t="s">
        <v>99</v>
      </c>
      <c r="BC50" s="94">
        <v>-43.64</v>
      </c>
      <c r="BD50" s="94">
        <v>-0.03</v>
      </c>
      <c r="BE50" s="60">
        <f t="array" ref="BE50">IFERROR(INDEX('Com&amp;tax'!$E$2:$E$5, MATCH(1, ('Com&amp;tax'!$A$2:$A$5=B50)*('Com&amp;tax'!$B$2:$B$5=G50), 0)),"")</f>
        <v>0.15</v>
      </c>
      <c r="BF50" s="58">
        <f t="shared" si="91"/>
        <v>261859.37399999998</v>
      </c>
      <c r="BG50" s="58">
        <f t="array" aca="1" ref="BG50" ca="1">IF(A50="","",( IFERROR((O50/ INDEX(er!$D$3:$D$75,MATCH(1, (er!$A$3:$A$75=$BG$2)*(er!$C$3:$C$75=Q50), 0)))*BE50,"")))</f>
        <v>187.44407587687903</v>
      </c>
      <c r="BH50" s="58">
        <f t="shared" si="92"/>
        <v>-261859.37399999998</v>
      </c>
      <c r="BI50" s="59">
        <f t="array" ref="BI50">IFERROR(INDEX('Com&amp;tax'!$F$2:$F$5, MATCH(1, ('Com&amp;tax'!$A$2:$A$5=B50)*('Com&amp;tax'!$B$2:$B$5=Y50), 0)),0)</f>
        <v>4.9000000000000002E-2</v>
      </c>
      <c r="BJ50" s="58">
        <f t="shared" si="93"/>
        <v>72709.619513999991</v>
      </c>
      <c r="BK50" s="58">
        <f t="array" aca="1" ref="BK50" ca="1">IF(A50="","",( IFERROR((J50*(1-BE50))*BI50/INDEX(er!D:D, MATCH(Q50,er!C:C,0),1),0)))</f>
        <v>52.046971735146734</v>
      </c>
      <c r="BL50" s="60">
        <f t="array" ref="BL50">IFERROR(INDEX('Com&amp;tax'!$G$2:$G$5, MATCH(1, ('Com&amp;tax'!$A$2:$A$5=B50)*('Com&amp;tax'!$B$2:$B$5=Y50), 0)),0)</f>
        <v>0.1575</v>
      </c>
      <c r="BM50" s="58">
        <f t="shared" si="94"/>
        <v>233709.49129499999</v>
      </c>
      <c r="BN50" s="58">
        <f t="array" aca="1" ref="BN50" ca="1">IF(A50="","",( IFERROR((J50*(1-BE50))*BL50/INDEX(er!D:D, MATCH(Q50,er!C:C,0),1),0)))</f>
        <v>167.29383772011451</v>
      </c>
      <c r="BO50" s="60">
        <f t="array" ref="BO50">IFERROR(INDEX('Com&amp;tax'!$H$2:$H$5, MATCH(1, ('Com&amp;tax'!$A$2:$A$5=B50)*('Com&amp;tax'!$B$2:$B$5=Y50), 0)),0)</f>
        <v>0</v>
      </c>
      <c r="BP50" s="58">
        <f t="shared" si="95"/>
        <v>0</v>
      </c>
      <c r="BQ50" s="58">
        <f t="array" aca="1" ref="BQ50" ca="1">IF(A50="","",( IFERROR(J50*BO50/INDEX(er!D:D, MATCH(Q50,er!C:C,0),1),0)))</f>
        <v>0</v>
      </c>
      <c r="BR50" s="108">
        <f t="array" ref="BR50">IFERROR(INDEX('Com&amp;tax'!$F$2:$F$5, MATCH(1, ('Com&amp;tax'!$A$2:$A$5=B50)*('Com&amp;tax'!$D$2:$D$5=H50), 0)),0)</f>
        <v>4.9000000000000002E-2</v>
      </c>
      <c r="BS50" s="109">
        <f t="shared" si="96"/>
        <v>72709.619513999991</v>
      </c>
      <c r="BT50" s="109">
        <f t="array" aca="1" ref="BT50" ca="1">IF(A50="","",( IFERROR((J50*(1-BE50))*BR50/INDEX(er!D:D, MATCH(Q50,er!C:C,0),1),0)))</f>
        <v>52.046971735146734</v>
      </c>
      <c r="BU50" s="108">
        <f t="array" ref="BU50">IFERROR(INDEX('Com&amp;tax'!$G$2:$G$5, MATCH(1, ('Com&amp;tax'!$A$2:$A$5=B50)*('Com&amp;tax'!$D$2:$D$5=H50), 0)),0)</f>
        <v>0.1575</v>
      </c>
      <c r="BV50" s="109">
        <f t="shared" si="97"/>
        <v>233709.49129499999</v>
      </c>
      <c r="BW50" s="109">
        <f t="array" aca="1" ref="BW50" ca="1">IF(A50="","",( IFERROR((J50*(1-BE50))*BU50/INDEX(er!D:D, MATCH(Q50,er!C:C,0),1),0)))</f>
        <v>167.29383772011451</v>
      </c>
      <c r="BX50" s="108">
        <f t="array" ref="BX50">IFERROR(INDEX('Com&amp;tax'!$H$2:$H$5, MATCH(1, ('Com&amp;tax'!$A$2:$A$5=B50)*('Com&amp;tax'!$D$2:$D$5=H50), 0)),0)</f>
        <v>0</v>
      </c>
      <c r="BY50" s="109">
        <f t="shared" si="98"/>
        <v>0</v>
      </c>
      <c r="BZ50" s="109">
        <f t="array" aca="1" ref="BZ50" ca="1">IF(A50="","",( IFERROR(J50*BX50/INDEX(er!D:D, MATCH(Q50,er!C:C,0),1),0)))</f>
        <v>0</v>
      </c>
      <c r="CA50" s="96">
        <f t="array" aca="1" ref="CA50" ca="1">IF(A50="","",( IFERROR(1-((P50/ INDEX(er!$D$3:$D$75,MATCH(1, (er!$A$3:$A$75=$BG$2)*(er!$C$3:$C$75=Q50), 0))   /  (J50/ INDEX(er!$D$3:$D$75,MATCH(1, (er!$A$3:$A$75=$BG$2)*(er!$C$3:$C$75=L50), 0))))),"")))</f>
        <v>0.34000499825528496</v>
      </c>
      <c r="CB50" s="96">
        <f t="shared" si="99"/>
        <v>0.33998000010494189</v>
      </c>
      <c r="CC50" s="111">
        <f t="shared" ca="1" si="100"/>
        <v>2.4998150343069625E-5</v>
      </c>
      <c r="CD50" s="110">
        <f t="shared" ref="CD50:CE50" si="116">BJ50+BM50-BS50-BV50</f>
        <v>0</v>
      </c>
      <c r="CE50" s="110">
        <f t="shared" ca="1" si="116"/>
        <v>0</v>
      </c>
      <c r="CF50" s="110">
        <f t="shared" ca="1" si="102"/>
        <v>-0.03</v>
      </c>
      <c r="CG50" s="8" t="str">
        <f t="shared" si="103"/>
        <v>OK</v>
      </c>
      <c r="CH50" s="8"/>
      <c r="CI50" t="s">
        <v>99</v>
      </c>
      <c r="CK50" s="240">
        <v>0</v>
      </c>
      <c r="CL50" s="239">
        <f ca="1">(AI50+CK50)/INDEX(er!D:D,MATCH(AC50,er!C:C,0),1)</f>
        <v>-3.1238367931281319E-2</v>
      </c>
      <c r="CN50" s="239">
        <f ca="1">CK50/INDEX(er!D:D,MATCH(AC50,er!C:C,0),1)</f>
        <v>0</v>
      </c>
    </row>
    <row r="51" spans="1:92" ht="12.5" x14ac:dyDescent="0.25">
      <c r="A51" s="93" t="s">
        <v>275</v>
      </c>
      <c r="B51" s="93" t="s">
        <v>96</v>
      </c>
      <c r="C51" s="93" t="s">
        <v>103</v>
      </c>
      <c r="D51" s="93" t="s">
        <v>276</v>
      </c>
      <c r="E51" s="93"/>
      <c r="F51" s="93"/>
      <c r="G51" s="94" t="s">
        <v>107</v>
      </c>
      <c r="H51" s="93" t="s">
        <v>436</v>
      </c>
      <c r="I51" s="94" t="s">
        <v>107</v>
      </c>
      <c r="J51" s="94">
        <v>92012.77</v>
      </c>
      <c r="K51" s="94">
        <v>92012.77</v>
      </c>
      <c r="L51" s="94" t="s">
        <v>111</v>
      </c>
      <c r="M51" s="94">
        <v>92012.77</v>
      </c>
      <c r="N51" s="94" t="s">
        <v>111</v>
      </c>
      <c r="O51" s="94">
        <v>92012.77</v>
      </c>
      <c r="P51" s="94">
        <v>55619.42</v>
      </c>
      <c r="Q51" s="93" t="s">
        <v>111</v>
      </c>
      <c r="R51" s="94" t="s">
        <v>105</v>
      </c>
      <c r="S51" s="94"/>
      <c r="T51" s="94"/>
      <c r="U51" s="94">
        <v>0</v>
      </c>
      <c r="V51" s="93" t="s">
        <v>94</v>
      </c>
      <c r="W51" s="8" t="s">
        <v>98</v>
      </c>
      <c r="X51" s="94" t="s">
        <v>103</v>
      </c>
      <c r="Y51" s="94" t="s">
        <v>107</v>
      </c>
      <c r="Z51" s="94" t="s">
        <v>105</v>
      </c>
      <c r="AA51" s="94" t="s">
        <v>111</v>
      </c>
      <c r="AB51" s="94">
        <v>92012.77</v>
      </c>
      <c r="AC51" s="94" t="s">
        <v>111</v>
      </c>
      <c r="AD51" s="94">
        <v>55619.42</v>
      </c>
      <c r="AE51" s="94">
        <v>39.549999999999997</v>
      </c>
      <c r="AF51" s="94" t="s">
        <v>99</v>
      </c>
      <c r="AG51" s="94">
        <v>0</v>
      </c>
      <c r="AH51" s="94">
        <v>0</v>
      </c>
      <c r="AI51" s="94">
        <v>0</v>
      </c>
      <c r="AJ51" s="94">
        <v>0</v>
      </c>
      <c r="AK51" s="94">
        <v>0.3955249907159627</v>
      </c>
      <c r="AL51" s="94" t="s">
        <v>99</v>
      </c>
      <c r="AM51" s="93" t="s">
        <v>515</v>
      </c>
      <c r="AN51" s="94" t="s">
        <v>144</v>
      </c>
      <c r="AO51" s="94" t="s">
        <v>16</v>
      </c>
      <c r="AP51" s="94" t="s">
        <v>16</v>
      </c>
      <c r="AQ51" s="94"/>
      <c r="AR51" s="94" t="s">
        <v>16</v>
      </c>
      <c r="AS51" s="94"/>
      <c r="AT51" s="94" t="s">
        <v>16</v>
      </c>
      <c r="AU51" s="94">
        <v>92012.77</v>
      </c>
      <c r="AV51" s="94">
        <v>64</v>
      </c>
      <c r="AW51" s="94" t="s">
        <v>16</v>
      </c>
      <c r="AX51" s="94">
        <v>92012.77</v>
      </c>
      <c r="AY51" s="94">
        <v>65.86</v>
      </c>
      <c r="AZ51" s="94" t="s">
        <v>111</v>
      </c>
      <c r="BA51" s="94">
        <v>55619.42</v>
      </c>
      <c r="BB51" s="94" t="s">
        <v>99</v>
      </c>
      <c r="BC51" s="94">
        <v>0</v>
      </c>
      <c r="BD51" s="94">
        <v>0</v>
      </c>
      <c r="BE51" s="60">
        <f t="array" ref="BE51">IFERROR(INDEX('Com&amp;tax'!$E$2:$E$5, MATCH(1, ('Com&amp;tax'!$A$2:$A$5=B51)*('Com&amp;tax'!$B$2:$B$5=G51), 0)),"")</f>
        <v>0.15</v>
      </c>
      <c r="BF51" s="58">
        <f t="shared" ref="BF51:BF62" si="117">IF(A51="","",( IFERROR(O51*BE51,"")))</f>
        <v>13801.915500000001</v>
      </c>
      <c r="BG51" s="58">
        <f t="array" aca="1" ref="BG51" ca="1">IF(A51="","",( IFERROR((O51/ INDEX(er!$D$3:$D$75,MATCH(1, (er!$A$3:$A$75=$BG$2)*(er!$C$3:$C$75=Q51), 0)))*BE51,"")))</f>
        <v>9.8796818181818189</v>
      </c>
      <c r="BH51" s="58">
        <f t="shared" ref="BH51:BH62" si="118">IF(A51="","",( IF(B51="Snapchat Rep", IF(A51="","",(P51-BF51)),-BF51)))</f>
        <v>-13801.915500000001</v>
      </c>
      <c r="BI51" s="59">
        <f t="array" ref="BI51">IFERROR(INDEX('Com&amp;tax'!$F$2:$F$5, MATCH(1, ('Com&amp;tax'!$A$2:$A$5=B51)*('Com&amp;tax'!$B$2:$B$5=Y51), 0)),0)</f>
        <v>4.9000000000000002E-2</v>
      </c>
      <c r="BJ51" s="58">
        <f t="shared" ref="BJ51:BJ62" si="119">IF(A51="","",( IFERROR((J51*(1-BE51))*BI51,0)))</f>
        <v>3832.3318705000002</v>
      </c>
      <c r="BK51" s="58">
        <f t="array" aca="1" ref="BK51" ca="1">IF(A51="","",( IFERROR((J51*(1-BE51))*BI51/INDEX(er!D:D, MATCH(Q51,er!C:C,0),1),0)))</f>
        <v>2.7432583181818182</v>
      </c>
      <c r="BL51" s="60">
        <f t="array" ref="BL51">IFERROR(INDEX('Com&amp;tax'!$G$2:$G$5, MATCH(1, ('Com&amp;tax'!$A$2:$A$5=B51)*('Com&amp;tax'!$B$2:$B$5=Y51), 0)),0)</f>
        <v>0.1575</v>
      </c>
      <c r="BM51" s="58">
        <f t="shared" ref="BM51:BM62" si="120">IF(A51="","",( IFERROR((J51*(1-BE51))*BL51,0)))</f>
        <v>12318.20958375</v>
      </c>
      <c r="BN51" s="58">
        <f t="array" aca="1" ref="BN51" ca="1">IF(A51="","",( IFERROR((J51*(1-BE51))*BL51/INDEX(er!D:D, MATCH(Q51,er!C:C,0),1),0)))</f>
        <v>8.8176160227272735</v>
      </c>
      <c r="BO51" s="60">
        <f t="array" ref="BO51">IFERROR(INDEX('Com&amp;tax'!$H$2:$H$5, MATCH(1, ('Com&amp;tax'!$A$2:$A$5=B51)*('Com&amp;tax'!$B$2:$B$5=Y51), 0)),0)</f>
        <v>7.0000000000000007E-2</v>
      </c>
      <c r="BP51" s="58">
        <f t="shared" ref="BP51:BP62" si="121">IF(A51="","",( IFERROR(J51*BO51,0)))</f>
        <v>6440.8939000000009</v>
      </c>
      <c r="BQ51" s="58">
        <f t="array" aca="1" ref="BQ51" ca="1">IF(A51="","",( IFERROR(J51*BO51/INDEX(er!D:D, MATCH(Q51,er!C:C,0),1),0)))</f>
        <v>4.6105181818181826</v>
      </c>
      <c r="BR51" s="108">
        <f t="array" ref="BR51">IFERROR(INDEX('Com&amp;tax'!$F$2:$F$5, MATCH(1, ('Com&amp;tax'!$A$2:$A$5=B51)*('Com&amp;tax'!$D$2:$D$5=H51), 0)),0)</f>
        <v>4.9000000000000002E-2</v>
      </c>
      <c r="BS51" s="109">
        <f t="shared" ref="BS51:BS62" si="122">IF(A51="","",( IFERROR((J51*(1-BE51))*BR51,0)))</f>
        <v>3832.3318705000002</v>
      </c>
      <c r="BT51" s="109">
        <f t="array" aca="1" ref="BT51" ca="1">IF(A51="","",( IFERROR((J51*(1-BE51))*BR51/INDEX(er!D:D, MATCH(Q51,er!C:C,0),1),0)))</f>
        <v>2.7432583181818182</v>
      </c>
      <c r="BU51" s="108">
        <f t="array" ref="BU51">IFERROR(INDEX('Com&amp;tax'!$G$2:$G$5, MATCH(1, ('Com&amp;tax'!$A$2:$A$5=B51)*('Com&amp;tax'!$D$2:$D$5=H51), 0)),0)</f>
        <v>0.1575</v>
      </c>
      <c r="BV51" s="109">
        <f t="shared" ref="BV51:BV62" si="123">IF(A51="","",( IFERROR((J51*(1-BE51))*BU51,0)))</f>
        <v>12318.20958375</v>
      </c>
      <c r="BW51" s="109">
        <f t="array" aca="1" ref="BW51" ca="1">IF(A51="","",( IFERROR((J51*(1-BE51))*BU51/INDEX(er!D:D, MATCH(Q51,er!C:C,0),1),0)))</f>
        <v>8.8176160227272735</v>
      </c>
      <c r="BX51" s="108">
        <f t="array" ref="BX51">IFERROR(INDEX('Com&amp;tax'!$H$2:$H$5, MATCH(1, ('Com&amp;tax'!$A$2:$A$5=B51)*('Com&amp;tax'!$D$2:$D$5=H51), 0)),0)</f>
        <v>7.0000000000000007E-2</v>
      </c>
      <c r="BY51" s="109">
        <f t="shared" ref="BY51:BY62" si="124">IF(A51="","",( IFERROR(J51*BX51,0)))</f>
        <v>6440.8939000000009</v>
      </c>
      <c r="BZ51" s="109">
        <f t="array" aca="1" ref="BZ51" ca="1">IF(A51="","",( IFERROR(J51*BX51/INDEX(er!D:D, MATCH(Q51,er!C:C,0),1),0)))</f>
        <v>4.6105181818181826</v>
      </c>
      <c r="CA51" s="96">
        <f t="array" aca="1" ref="CA51" ca="1">IF(A51="","",( IFERROR(1-((P51/ INDEX(er!$D$3:$D$75,MATCH(1, (er!$A$3:$A$75=$BG$2)*(er!$C$3:$C$75=Q51), 0))   /  (J51/ INDEX(er!$D$3:$D$75,MATCH(1, (er!$A$3:$A$75=$BG$2)*(er!$C$3:$C$75=L51), 0))))),"")))</f>
        <v>0.3955249907159627</v>
      </c>
      <c r="CB51" s="96">
        <f t="shared" ref="CB51:CB62" si="125">IF(AB51="","",1-AD51/AB51)</f>
        <v>0.39552499071596259</v>
      </c>
      <c r="CC51" s="111">
        <f t="shared" ref="CC51:CC62" ca="1" si="126">IF(AND(CA51="", CB51=""), "", CA51-CB51)</f>
        <v>1.1102230246251565E-16</v>
      </c>
      <c r="CD51" s="110">
        <f t="shared" ref="CD51:CE51" si="127">BJ51+BM51-BS51-BV51</f>
        <v>0</v>
      </c>
      <c r="CE51" s="110">
        <f t="shared" ca="1" si="127"/>
        <v>0</v>
      </c>
      <c r="CF51" s="110">
        <f t="shared" ref="CF51:CF62" ca="1" si="128">AJ51-CE51</f>
        <v>0</v>
      </c>
      <c r="CG51" s="8" t="str">
        <f t="shared" ref="CG51:CG62" si="129">IF(OR(BE51="", AE51=""), "Miss", IF(ABS(AE51/100-AK51)&lt;0.005, "OK", "Incorrect"))</f>
        <v>OK</v>
      </c>
      <c r="CH51" s="8"/>
      <c r="CI51" t="s">
        <v>99</v>
      </c>
      <c r="CK51" s="240">
        <v>0</v>
      </c>
      <c r="CL51" s="239">
        <f ca="1">(AI51+CK51)/INDEX(er!D:D,MATCH(AC51,er!C:C,0),1)</f>
        <v>0</v>
      </c>
      <c r="CN51" s="239">
        <f ca="1">CK51/INDEX(er!D:D,MATCH(AC51,er!C:C,0),1)</f>
        <v>0</v>
      </c>
    </row>
    <row r="52" spans="1:92" ht="12.5" x14ac:dyDescent="0.25">
      <c r="A52" s="93" t="s">
        <v>279</v>
      </c>
      <c r="B52" s="93" t="s">
        <v>96</v>
      </c>
      <c r="C52" s="93" t="s">
        <v>103</v>
      </c>
      <c r="D52" s="93" t="s">
        <v>280</v>
      </c>
      <c r="E52" s="93"/>
      <c r="F52" s="93"/>
      <c r="G52" s="94" t="s">
        <v>107</v>
      </c>
      <c r="H52" s="93" t="s">
        <v>436</v>
      </c>
      <c r="I52" s="94" t="s">
        <v>107</v>
      </c>
      <c r="J52" s="94">
        <v>4109964.98</v>
      </c>
      <c r="K52" s="94">
        <v>4109964.98</v>
      </c>
      <c r="L52" s="94" t="s">
        <v>111</v>
      </c>
      <c r="M52" s="94">
        <v>4109964.98</v>
      </c>
      <c r="N52" s="94" t="s">
        <v>111</v>
      </c>
      <c r="O52" s="94">
        <v>4109964.98</v>
      </c>
      <c r="P52" s="94">
        <v>2484371.25</v>
      </c>
      <c r="Q52" s="93" t="s">
        <v>111</v>
      </c>
      <c r="R52" s="94" t="s">
        <v>105</v>
      </c>
      <c r="S52" s="94"/>
      <c r="T52" s="94"/>
      <c r="U52" s="94">
        <v>0</v>
      </c>
      <c r="V52" s="93" t="s">
        <v>94</v>
      </c>
      <c r="W52" s="8" t="s">
        <v>98</v>
      </c>
      <c r="X52" s="94" t="s">
        <v>103</v>
      </c>
      <c r="Y52" s="94" t="s">
        <v>107</v>
      </c>
      <c r="Z52" s="94" t="s">
        <v>105</v>
      </c>
      <c r="AA52" s="94" t="s">
        <v>111</v>
      </c>
      <c r="AB52" s="94">
        <v>4109964.98</v>
      </c>
      <c r="AC52" s="94" t="s">
        <v>111</v>
      </c>
      <c r="AD52" s="94">
        <v>2484371.08</v>
      </c>
      <c r="AE52" s="94">
        <v>39.549999999999997</v>
      </c>
      <c r="AF52" s="94" t="s">
        <v>99</v>
      </c>
      <c r="AG52" s="94">
        <v>0</v>
      </c>
      <c r="AH52" s="94">
        <v>0</v>
      </c>
      <c r="AI52" s="94">
        <v>0.17</v>
      </c>
      <c r="AJ52" s="94">
        <v>0</v>
      </c>
      <c r="AK52" s="94">
        <v>0.39552495894989348</v>
      </c>
      <c r="AL52" s="94" t="s">
        <v>99</v>
      </c>
      <c r="AM52" s="93" t="s">
        <v>516</v>
      </c>
      <c r="AN52" s="94"/>
      <c r="AO52" s="94" t="s">
        <v>16</v>
      </c>
      <c r="AP52" s="94" t="s">
        <v>16</v>
      </c>
      <c r="AQ52" s="94"/>
      <c r="AR52" s="94" t="s">
        <v>16</v>
      </c>
      <c r="AS52" s="94"/>
      <c r="AT52" s="94" t="s">
        <v>16</v>
      </c>
      <c r="AU52" s="94">
        <v>4109964.98</v>
      </c>
      <c r="AV52" s="94">
        <v>2940</v>
      </c>
      <c r="AW52" s="94" t="s">
        <v>16</v>
      </c>
      <c r="AX52" s="94">
        <v>4109964.98</v>
      </c>
      <c r="AY52" s="94">
        <v>2941.99</v>
      </c>
      <c r="AZ52" s="94" t="s">
        <v>111</v>
      </c>
      <c r="BA52" s="94">
        <v>2484371.08</v>
      </c>
      <c r="BB52" s="94" t="s">
        <v>99</v>
      </c>
      <c r="BC52" s="94">
        <v>0.17</v>
      </c>
      <c r="BD52" s="94">
        <v>0</v>
      </c>
      <c r="BE52" s="60">
        <f t="array" ref="BE52">IFERROR(INDEX('Com&amp;tax'!$E$2:$E$5, MATCH(1, ('Com&amp;tax'!$A$2:$A$5=B52)*('Com&amp;tax'!$B$2:$B$5=G52), 0)),"")</f>
        <v>0.15</v>
      </c>
      <c r="BF52" s="58">
        <f t="shared" si="117"/>
        <v>616494.74699999997</v>
      </c>
      <c r="BG52" s="58">
        <f t="array" aca="1" ref="BG52" ca="1">IF(A52="","",( IFERROR((O52/ INDEX(er!$D$3:$D$75,MATCH(1, (er!$A$3:$A$75=$BG$2)*(er!$C$3:$C$75=Q52), 0)))*BE52,"")))</f>
        <v>441.29903149606292</v>
      </c>
      <c r="BH52" s="58">
        <f t="shared" si="118"/>
        <v>-616494.74699999997</v>
      </c>
      <c r="BI52" s="59">
        <f t="array" ref="BI52">IFERROR(INDEX('Com&amp;tax'!$F$2:$F$5, MATCH(1, ('Com&amp;tax'!$A$2:$A$5=B52)*('Com&amp;tax'!$B$2:$B$5=Y52), 0)),0)</f>
        <v>4.9000000000000002E-2</v>
      </c>
      <c r="BJ52" s="58">
        <f t="shared" si="119"/>
        <v>171180.041417</v>
      </c>
      <c r="BK52" s="58">
        <f t="array" aca="1" ref="BK52" ca="1">IF(A52="","",( IFERROR((J52*(1-BE52))*BI52/INDEX(er!D:D, MATCH(Q52,er!C:C,0),1),0)))</f>
        <v>122.53403107874016</v>
      </c>
      <c r="BL52" s="60">
        <f t="array" ref="BL52">IFERROR(INDEX('Com&amp;tax'!$G$2:$G$5, MATCH(1, ('Com&amp;tax'!$A$2:$A$5=B52)*('Com&amp;tax'!$B$2:$B$5=Y52), 0)),0)</f>
        <v>0.1575</v>
      </c>
      <c r="BM52" s="58">
        <f t="shared" si="120"/>
        <v>550221.56169750006</v>
      </c>
      <c r="BN52" s="58">
        <f t="array" aca="1" ref="BN52" ca="1">IF(A52="","",( IFERROR((J52*(1-BE52))*BL52/INDEX(er!D:D, MATCH(Q52,er!C:C,0),1),0)))</f>
        <v>393.85938561023625</v>
      </c>
      <c r="BO52" s="60">
        <f t="array" ref="BO52">IFERROR(INDEX('Com&amp;tax'!$H$2:$H$5, MATCH(1, ('Com&amp;tax'!$A$2:$A$5=B52)*('Com&amp;tax'!$B$2:$B$5=Y52), 0)),0)</f>
        <v>7.0000000000000007E-2</v>
      </c>
      <c r="BP52" s="58">
        <f t="shared" si="121"/>
        <v>287697.54860000004</v>
      </c>
      <c r="BQ52" s="58">
        <f t="array" aca="1" ref="BQ52" ca="1">IF(A52="","",( IFERROR(J52*BO52/INDEX(er!D:D, MATCH(Q52,er!C:C,0),1),0)))</f>
        <v>205.93954803149609</v>
      </c>
      <c r="BR52" s="108">
        <f t="array" ref="BR52">IFERROR(INDEX('Com&amp;tax'!$F$2:$F$5, MATCH(1, ('Com&amp;tax'!$A$2:$A$5=B52)*('Com&amp;tax'!$D$2:$D$5=H52), 0)),0)</f>
        <v>4.9000000000000002E-2</v>
      </c>
      <c r="BS52" s="109">
        <f t="shared" si="122"/>
        <v>171180.041417</v>
      </c>
      <c r="BT52" s="109">
        <f t="array" aca="1" ref="BT52" ca="1">IF(A52="","",( IFERROR((J52*(1-BE52))*BR52/INDEX(er!D:D, MATCH(Q52,er!C:C,0),1),0)))</f>
        <v>122.53403107874016</v>
      </c>
      <c r="BU52" s="108">
        <f t="array" ref="BU52">IFERROR(INDEX('Com&amp;tax'!$G$2:$G$5, MATCH(1, ('Com&amp;tax'!$A$2:$A$5=B52)*('Com&amp;tax'!$D$2:$D$5=H52), 0)),0)</f>
        <v>0.1575</v>
      </c>
      <c r="BV52" s="109">
        <f t="shared" si="123"/>
        <v>550221.56169750006</v>
      </c>
      <c r="BW52" s="109">
        <f t="array" aca="1" ref="BW52" ca="1">IF(A52="","",( IFERROR((J52*(1-BE52))*BU52/INDEX(er!D:D, MATCH(Q52,er!C:C,0),1),0)))</f>
        <v>393.85938561023625</v>
      </c>
      <c r="BX52" s="108">
        <f t="array" ref="BX52">IFERROR(INDEX('Com&amp;tax'!$H$2:$H$5, MATCH(1, ('Com&amp;tax'!$A$2:$A$5=B52)*('Com&amp;tax'!$D$2:$D$5=H52), 0)),0)</f>
        <v>7.0000000000000007E-2</v>
      </c>
      <c r="BY52" s="109">
        <f t="shared" si="124"/>
        <v>287697.54860000004</v>
      </c>
      <c r="BZ52" s="109">
        <f t="array" aca="1" ref="BZ52" ca="1">IF(A52="","",( IFERROR(J52*BX52/INDEX(er!D:D, MATCH(Q52,er!C:C,0),1),0)))</f>
        <v>205.93954803149609</v>
      </c>
      <c r="CA52" s="96">
        <f t="array" aca="1" ref="CA52" ca="1">IF(A52="","",( IFERROR(1-((P52/ INDEX(er!$D$3:$D$75,MATCH(1, (er!$A$3:$A$75=$BG$2)*(er!$C$3:$C$75=Q52), 0))   /  (J52/ INDEX(er!$D$3:$D$75,MATCH(1, (er!$A$3:$A$75=$BG$2)*(er!$C$3:$C$75=L52), 0))))),"")))</f>
        <v>0.39552495894989348</v>
      </c>
      <c r="CB52" s="96">
        <f t="shared" si="125"/>
        <v>0.39552500031277638</v>
      </c>
      <c r="CC52" s="111">
        <f t="shared" ca="1" si="126"/>
        <v>-4.1362882896578412E-8</v>
      </c>
      <c r="CD52" s="110">
        <f t="shared" ref="CD52:CE52" si="130">BJ52+BM52-BS52-BV52</f>
        <v>0</v>
      </c>
      <c r="CE52" s="110">
        <f t="shared" ca="1" si="130"/>
        <v>0</v>
      </c>
      <c r="CF52" s="110">
        <f t="shared" ca="1" si="128"/>
        <v>0</v>
      </c>
      <c r="CG52" s="8" t="str">
        <f t="shared" si="129"/>
        <v>OK</v>
      </c>
      <c r="CH52" s="8"/>
      <c r="CI52" t="s">
        <v>99</v>
      </c>
      <c r="CK52" s="240">
        <v>0</v>
      </c>
      <c r="CL52" s="239">
        <f ca="1">(AI52+CK52)/INDEX(er!D:D,MATCH(AC52,er!C:C,0),1)</f>
        <v>1.2168933428775949E-4</v>
      </c>
      <c r="CN52" s="239">
        <f ca="1">CK52/INDEX(er!D:D,MATCH(AC52,er!C:C,0),1)</f>
        <v>0</v>
      </c>
    </row>
    <row r="53" spans="1:92" ht="12.5" x14ac:dyDescent="0.25">
      <c r="A53" s="93" t="s">
        <v>282</v>
      </c>
      <c r="B53" s="93" t="s">
        <v>96</v>
      </c>
      <c r="C53" s="93" t="s">
        <v>103</v>
      </c>
      <c r="D53" s="93" t="s">
        <v>283</v>
      </c>
      <c r="E53" s="93"/>
      <c r="F53" s="93"/>
      <c r="G53" s="94" t="s">
        <v>107</v>
      </c>
      <c r="H53" s="93" t="s">
        <v>436</v>
      </c>
      <c r="I53" s="94" t="s">
        <v>107</v>
      </c>
      <c r="J53" s="94">
        <v>798524.61</v>
      </c>
      <c r="K53" s="94">
        <v>798524.61</v>
      </c>
      <c r="L53" s="94" t="s">
        <v>111</v>
      </c>
      <c r="M53" s="94">
        <v>798524.61</v>
      </c>
      <c r="N53" s="94" t="s">
        <v>111</v>
      </c>
      <c r="O53" s="94">
        <v>798524.61</v>
      </c>
      <c r="P53" s="94">
        <v>482688.2</v>
      </c>
      <c r="Q53" s="93" t="s">
        <v>111</v>
      </c>
      <c r="R53" s="94" t="s">
        <v>105</v>
      </c>
      <c r="S53" s="94"/>
      <c r="T53" s="94"/>
      <c r="U53" s="94">
        <v>0</v>
      </c>
      <c r="V53" s="93" t="s">
        <v>94</v>
      </c>
      <c r="W53" s="8" t="s">
        <v>98</v>
      </c>
      <c r="X53" s="94" t="s">
        <v>103</v>
      </c>
      <c r="Y53" s="94" t="s">
        <v>107</v>
      </c>
      <c r="Z53" s="94" t="s">
        <v>105</v>
      </c>
      <c r="AA53" s="94" t="s">
        <v>111</v>
      </c>
      <c r="AB53" s="94">
        <v>798524.61</v>
      </c>
      <c r="AC53" s="94" t="s">
        <v>111</v>
      </c>
      <c r="AD53" s="94">
        <v>482688.16</v>
      </c>
      <c r="AE53" s="94">
        <v>39.549999999999997</v>
      </c>
      <c r="AF53" s="94" t="s">
        <v>99</v>
      </c>
      <c r="AG53" s="94">
        <v>0</v>
      </c>
      <c r="AH53" s="94">
        <v>0</v>
      </c>
      <c r="AI53" s="94">
        <v>0.04</v>
      </c>
      <c r="AJ53" s="94">
        <v>0</v>
      </c>
      <c r="AK53" s="94">
        <v>0.39552495445318836</v>
      </c>
      <c r="AL53" s="94" t="s">
        <v>99</v>
      </c>
      <c r="AM53" s="93" t="s">
        <v>517</v>
      </c>
      <c r="AN53" s="94"/>
      <c r="AO53" s="94" t="s">
        <v>16</v>
      </c>
      <c r="AP53" s="94" t="s">
        <v>16</v>
      </c>
      <c r="AQ53" s="94"/>
      <c r="AR53" s="94" t="s">
        <v>16</v>
      </c>
      <c r="AS53" s="94"/>
      <c r="AT53" s="94" t="s">
        <v>16</v>
      </c>
      <c r="AU53" s="94">
        <v>798524.61</v>
      </c>
      <c r="AV53" s="94">
        <v>570</v>
      </c>
      <c r="AW53" s="94" t="s">
        <v>16</v>
      </c>
      <c r="AX53" s="94">
        <v>798524.61</v>
      </c>
      <c r="AY53" s="94">
        <v>571.6</v>
      </c>
      <c r="AZ53" s="94" t="s">
        <v>111</v>
      </c>
      <c r="BA53" s="94">
        <v>482688.16</v>
      </c>
      <c r="BB53" s="94" t="s">
        <v>99</v>
      </c>
      <c r="BC53" s="94">
        <v>0.04</v>
      </c>
      <c r="BD53" s="94">
        <v>0</v>
      </c>
      <c r="BE53" s="60">
        <f t="array" ref="BE53">IFERROR(INDEX('Com&amp;tax'!$E$2:$E$5, MATCH(1, ('Com&amp;tax'!$A$2:$A$5=B53)*('Com&amp;tax'!$B$2:$B$5=G53), 0)),"")</f>
        <v>0.15</v>
      </c>
      <c r="BF53" s="58">
        <f t="shared" si="117"/>
        <v>119778.69149999999</v>
      </c>
      <c r="BG53" s="58">
        <f t="array" aca="1" ref="BG53" ca="1">IF(A53="","",( IFERROR((O53/ INDEX(er!$D$3:$D$75,MATCH(1, (er!$A$3:$A$75=$BG$2)*(er!$C$3:$C$75=Q53), 0)))*BE53,"")))</f>
        <v>85.739936649964207</v>
      </c>
      <c r="BH53" s="58">
        <f t="shared" si="118"/>
        <v>-119778.69149999999</v>
      </c>
      <c r="BI53" s="59">
        <f t="array" ref="BI53">IFERROR(INDEX('Com&amp;tax'!$F$2:$F$5, MATCH(1, ('Com&amp;tax'!$A$2:$A$5=B53)*('Com&amp;tax'!$B$2:$B$5=Y53), 0)),0)</f>
        <v>4.9000000000000002E-2</v>
      </c>
      <c r="BJ53" s="58">
        <f t="shared" si="119"/>
        <v>33258.550006499994</v>
      </c>
      <c r="BK53" s="58">
        <f t="array" aca="1" ref="BK53" ca="1">IF(A53="","",( IFERROR((J53*(1-BE53))*BI53/INDEX(er!D:D, MATCH(Q53,er!C:C,0),1),0)))</f>
        <v>23.807122409806723</v>
      </c>
      <c r="BL53" s="60">
        <f t="array" ref="BL53">IFERROR(INDEX('Com&amp;tax'!$G$2:$G$5, MATCH(1, ('Com&amp;tax'!$A$2:$A$5=B53)*('Com&amp;tax'!$B$2:$B$5=Y53), 0)),0)</f>
        <v>0.1575</v>
      </c>
      <c r="BM53" s="58">
        <f t="shared" si="120"/>
        <v>106902.48216374998</v>
      </c>
      <c r="BN53" s="58">
        <f t="array" aca="1" ref="BN53" ca="1">IF(A53="","",( IFERROR((J53*(1-BE53))*BL53/INDEX(er!D:D, MATCH(Q53,er!C:C,0),1),0)))</f>
        <v>76.522893460093044</v>
      </c>
      <c r="BO53" s="60">
        <f t="array" ref="BO53">IFERROR(INDEX('Com&amp;tax'!$H$2:$H$5, MATCH(1, ('Com&amp;tax'!$A$2:$A$5=B53)*('Com&amp;tax'!$B$2:$B$5=Y53), 0)),0)</f>
        <v>7.0000000000000007E-2</v>
      </c>
      <c r="BP53" s="58">
        <f t="shared" si="121"/>
        <v>55896.722700000006</v>
      </c>
      <c r="BQ53" s="58">
        <f t="array" aca="1" ref="BQ53" ca="1">IF(A53="","",( IFERROR(J53*BO53/INDEX(er!D:D, MATCH(Q53,er!C:C,0),1),0)))</f>
        <v>40.011970436649968</v>
      </c>
      <c r="BR53" s="108">
        <f t="array" ref="BR53">IFERROR(INDEX('Com&amp;tax'!$F$2:$F$5, MATCH(1, ('Com&amp;tax'!$A$2:$A$5=B53)*('Com&amp;tax'!$D$2:$D$5=H53), 0)),0)</f>
        <v>4.9000000000000002E-2</v>
      </c>
      <c r="BS53" s="109">
        <f t="shared" si="122"/>
        <v>33258.550006499994</v>
      </c>
      <c r="BT53" s="109">
        <f t="array" aca="1" ref="BT53" ca="1">IF(A53="","",( IFERROR((J53*(1-BE53))*BR53/INDEX(er!D:D, MATCH(Q53,er!C:C,0),1),0)))</f>
        <v>23.807122409806723</v>
      </c>
      <c r="BU53" s="108">
        <f t="array" ref="BU53">IFERROR(INDEX('Com&amp;tax'!$G$2:$G$5, MATCH(1, ('Com&amp;tax'!$A$2:$A$5=B53)*('Com&amp;tax'!$D$2:$D$5=H53), 0)),0)</f>
        <v>0.1575</v>
      </c>
      <c r="BV53" s="109">
        <f t="shared" si="123"/>
        <v>106902.48216374998</v>
      </c>
      <c r="BW53" s="109">
        <f t="array" aca="1" ref="BW53" ca="1">IF(A53="","",( IFERROR((J53*(1-BE53))*BU53/INDEX(er!D:D, MATCH(Q53,er!C:C,0),1),0)))</f>
        <v>76.522893460093044</v>
      </c>
      <c r="BX53" s="108">
        <f t="array" ref="BX53">IFERROR(INDEX('Com&amp;tax'!$H$2:$H$5, MATCH(1, ('Com&amp;tax'!$A$2:$A$5=B53)*('Com&amp;tax'!$D$2:$D$5=H53), 0)),0)</f>
        <v>7.0000000000000007E-2</v>
      </c>
      <c r="BY53" s="109">
        <f t="shared" si="124"/>
        <v>55896.722700000006</v>
      </c>
      <c r="BZ53" s="109">
        <f t="array" aca="1" ref="BZ53" ca="1">IF(A53="","",( IFERROR(J53*BX53/INDEX(er!D:D, MATCH(Q53,er!C:C,0),1),0)))</f>
        <v>40.011970436649968</v>
      </c>
      <c r="CA53" s="96">
        <f t="array" aca="1" ref="CA53" ca="1">IF(A53="","",( IFERROR(1-((P53/ INDEX(er!$D$3:$D$75,MATCH(1, (er!$A$3:$A$75=$BG$2)*(er!$C$3:$C$75=Q53), 0))   /  (J53/ INDEX(er!$D$3:$D$75,MATCH(1, (er!$A$3:$A$75=$BG$2)*(er!$C$3:$C$75=L53), 0))))),"")))</f>
        <v>0.39552495445318836</v>
      </c>
      <c r="CB53" s="96">
        <f t="shared" si="125"/>
        <v>0.3955250045455706</v>
      </c>
      <c r="CC53" s="111">
        <f t="shared" ca="1" si="126"/>
        <v>-5.009238224218393E-8</v>
      </c>
      <c r="CD53" s="110">
        <f t="shared" ref="CD53:CE53" si="131">BJ53+BM53-BS53-BV53</f>
        <v>0</v>
      </c>
      <c r="CE53" s="110">
        <f t="shared" ca="1" si="131"/>
        <v>0</v>
      </c>
      <c r="CF53" s="110">
        <f t="shared" ca="1" si="128"/>
        <v>0</v>
      </c>
      <c r="CG53" s="8" t="str">
        <f t="shared" si="129"/>
        <v>OK</v>
      </c>
      <c r="CI53" t="s">
        <v>99</v>
      </c>
      <c r="CK53" s="240">
        <v>0</v>
      </c>
      <c r="CL53" s="239">
        <f ca="1">(AI53+CK53)/INDEX(er!D:D,MATCH(AC53,er!C:C,0),1)</f>
        <v>2.8632784538296351E-5</v>
      </c>
      <c r="CN53" s="239">
        <f ca="1">CK53/INDEX(er!D:D,MATCH(AC53,er!C:C,0),1)</f>
        <v>0</v>
      </c>
    </row>
    <row r="54" spans="1:92" ht="12.5" x14ac:dyDescent="0.25">
      <c r="A54" s="93" t="s">
        <v>286</v>
      </c>
      <c r="B54" s="93" t="s">
        <v>96</v>
      </c>
      <c r="C54" s="93" t="s">
        <v>103</v>
      </c>
      <c r="D54" s="93" t="s">
        <v>287</v>
      </c>
      <c r="E54" s="93"/>
      <c r="F54" s="93"/>
      <c r="G54" s="94" t="s">
        <v>107</v>
      </c>
      <c r="H54" s="93" t="s">
        <v>436</v>
      </c>
      <c r="I54" s="94" t="s">
        <v>107</v>
      </c>
      <c r="J54" s="94">
        <v>2028302.04</v>
      </c>
      <c r="K54" s="94">
        <v>2028302.04</v>
      </c>
      <c r="L54" s="94" t="s">
        <v>111</v>
      </c>
      <c r="M54" s="94">
        <v>2028302.04</v>
      </c>
      <c r="N54" s="94" t="s">
        <v>111</v>
      </c>
      <c r="O54" s="94">
        <v>2028302.04</v>
      </c>
      <c r="P54" s="94">
        <v>1226057.96</v>
      </c>
      <c r="Q54" s="93" t="s">
        <v>111</v>
      </c>
      <c r="R54" s="94" t="s">
        <v>105</v>
      </c>
      <c r="S54" s="94"/>
      <c r="T54" s="94"/>
      <c r="U54" s="94">
        <v>0</v>
      </c>
      <c r="V54" s="93" t="s">
        <v>94</v>
      </c>
      <c r="W54" s="8" t="s">
        <v>98</v>
      </c>
      <c r="X54" s="94" t="s">
        <v>103</v>
      </c>
      <c r="Y54" s="94" t="s">
        <v>107</v>
      </c>
      <c r="Z54" s="94" t="s">
        <v>105</v>
      </c>
      <c r="AA54" s="94" t="s">
        <v>111</v>
      </c>
      <c r="AB54" s="94">
        <v>2028302.04</v>
      </c>
      <c r="AC54" s="94" t="s">
        <v>111</v>
      </c>
      <c r="AD54" s="94">
        <v>1226057.8700000001</v>
      </c>
      <c r="AE54" s="94">
        <v>39.549999999999997</v>
      </c>
      <c r="AF54" s="94" t="s">
        <v>99</v>
      </c>
      <c r="AG54" s="94">
        <v>0</v>
      </c>
      <c r="AH54" s="94">
        <v>0</v>
      </c>
      <c r="AI54" s="94">
        <v>0.09</v>
      </c>
      <c r="AJ54" s="94">
        <v>0</v>
      </c>
      <c r="AK54" s="94">
        <v>0.39552495840313806</v>
      </c>
      <c r="AL54" s="94" t="s">
        <v>99</v>
      </c>
      <c r="AM54" s="93" t="s">
        <v>518</v>
      </c>
      <c r="AN54" s="94"/>
      <c r="AO54" s="94" t="s">
        <v>16</v>
      </c>
      <c r="AP54" s="94" t="s">
        <v>16</v>
      </c>
      <c r="AQ54" s="94"/>
      <c r="AR54" s="94" t="s">
        <v>16</v>
      </c>
      <c r="AS54" s="94"/>
      <c r="AT54" s="94" t="s">
        <v>16</v>
      </c>
      <c r="AU54" s="94">
        <v>2028302.04</v>
      </c>
      <c r="AV54" s="94">
        <v>1450</v>
      </c>
      <c r="AW54" s="94" t="s">
        <v>16</v>
      </c>
      <c r="AX54" s="94">
        <v>2028302.04</v>
      </c>
      <c r="AY54" s="94">
        <v>1451.9</v>
      </c>
      <c r="AZ54" s="94" t="s">
        <v>111</v>
      </c>
      <c r="BA54" s="94">
        <v>1226057.8799999999</v>
      </c>
      <c r="BB54" s="94" t="s">
        <v>99</v>
      </c>
      <c r="BC54" s="94">
        <v>0.08</v>
      </c>
      <c r="BD54" s="94">
        <v>0</v>
      </c>
      <c r="BE54" s="60">
        <f t="array" ref="BE54">IFERROR(INDEX('Com&amp;tax'!$E$2:$E$5, MATCH(1, ('Com&amp;tax'!$A$2:$A$5=B54)*('Com&amp;tax'!$B$2:$B$5=G54), 0)),"")</f>
        <v>0.15</v>
      </c>
      <c r="BF54" s="58">
        <f t="shared" si="117"/>
        <v>304245.30599999998</v>
      </c>
      <c r="BG54" s="58">
        <f t="array" aca="1" ref="BG54" ca="1">IF(A54="","",( IFERROR((O54/ INDEX(er!$D$3:$D$75,MATCH(1, (er!$A$3:$A$75=$BG$2)*(er!$C$3:$C$75=Q54), 0)))*BE54,"")))</f>
        <v>217.78475733715104</v>
      </c>
      <c r="BH54" s="58">
        <f t="shared" si="118"/>
        <v>-304245.30599999998</v>
      </c>
      <c r="BI54" s="59">
        <f t="array" ref="BI54">IFERROR(INDEX('Com&amp;tax'!$F$2:$F$5, MATCH(1, ('Com&amp;tax'!$A$2:$A$5=B54)*('Com&amp;tax'!$B$2:$B$5=Y54), 0)),0)</f>
        <v>4.9000000000000002E-2</v>
      </c>
      <c r="BJ54" s="58">
        <f t="shared" si="119"/>
        <v>84478.779966000002</v>
      </c>
      <c r="BK54" s="58">
        <f t="array" aca="1" ref="BK54" ca="1">IF(A54="","",( IFERROR((J54*(1-BE54))*BI54/INDEX(er!D:D, MATCH(Q54,er!C:C,0),1),0)))</f>
        <v>60.471567620615609</v>
      </c>
      <c r="BL54" s="60">
        <f t="array" ref="BL54">IFERROR(INDEX('Com&amp;tax'!$G$2:$G$5, MATCH(1, ('Com&amp;tax'!$A$2:$A$5=B54)*('Com&amp;tax'!$B$2:$B$5=Y54), 0)),0)</f>
        <v>0.1575</v>
      </c>
      <c r="BM54" s="58">
        <f t="shared" si="120"/>
        <v>271538.93560500001</v>
      </c>
      <c r="BN54" s="58">
        <f t="array" aca="1" ref="BN54" ca="1">IF(A54="","",( IFERROR((J54*(1-BE54))*BL54/INDEX(er!D:D, MATCH(Q54,er!C:C,0),1),0)))</f>
        <v>194.3728959234073</v>
      </c>
      <c r="BO54" s="60">
        <f t="array" ref="BO54">IFERROR(INDEX('Com&amp;tax'!$H$2:$H$5, MATCH(1, ('Com&amp;tax'!$A$2:$A$5=B54)*('Com&amp;tax'!$B$2:$B$5=Y54), 0)),0)</f>
        <v>7.0000000000000007E-2</v>
      </c>
      <c r="BP54" s="58">
        <f t="shared" si="121"/>
        <v>141981.14280000003</v>
      </c>
      <c r="BQ54" s="58">
        <f t="array" aca="1" ref="BQ54" ca="1">IF(A54="","",( IFERROR(J54*BO54/INDEX(er!D:D, MATCH(Q54,er!C:C,0),1),0)))</f>
        <v>101.63288675733718</v>
      </c>
      <c r="BR54" s="108">
        <f t="array" ref="BR54">IFERROR(INDEX('Com&amp;tax'!$F$2:$F$5, MATCH(1, ('Com&amp;tax'!$A$2:$A$5=B54)*('Com&amp;tax'!$D$2:$D$5=H54), 0)),0)</f>
        <v>4.9000000000000002E-2</v>
      </c>
      <c r="BS54" s="109">
        <f t="shared" si="122"/>
        <v>84478.779966000002</v>
      </c>
      <c r="BT54" s="109">
        <f t="array" aca="1" ref="BT54" ca="1">IF(A54="","",( IFERROR((J54*(1-BE54))*BR54/INDEX(er!D:D, MATCH(Q54,er!C:C,0),1),0)))</f>
        <v>60.471567620615609</v>
      </c>
      <c r="BU54" s="108">
        <f t="array" ref="BU54">IFERROR(INDEX('Com&amp;tax'!$G$2:$G$5, MATCH(1, ('Com&amp;tax'!$A$2:$A$5=B54)*('Com&amp;tax'!$D$2:$D$5=H54), 0)),0)</f>
        <v>0.1575</v>
      </c>
      <c r="BV54" s="109">
        <f t="shared" si="123"/>
        <v>271538.93560500001</v>
      </c>
      <c r="BW54" s="109">
        <f t="array" aca="1" ref="BW54" ca="1">IF(A54="","",( IFERROR((J54*(1-BE54))*BU54/INDEX(er!D:D, MATCH(Q54,er!C:C,0),1),0)))</f>
        <v>194.3728959234073</v>
      </c>
      <c r="BX54" s="108">
        <f t="array" ref="BX54">IFERROR(INDEX('Com&amp;tax'!$H$2:$H$5, MATCH(1, ('Com&amp;tax'!$A$2:$A$5=B54)*('Com&amp;tax'!$D$2:$D$5=H54), 0)),0)</f>
        <v>7.0000000000000007E-2</v>
      </c>
      <c r="BY54" s="109">
        <f t="shared" si="124"/>
        <v>141981.14280000003</v>
      </c>
      <c r="BZ54" s="109">
        <f t="array" aca="1" ref="BZ54" ca="1">IF(A54="","",( IFERROR(J54*BX54/INDEX(er!D:D, MATCH(Q54,er!C:C,0),1),0)))</f>
        <v>101.63288675733718</v>
      </c>
      <c r="CA54" s="96">
        <f t="array" aca="1" ref="CA54" ca="1">IF(A54="","",( IFERROR(1-((P54/ INDEX(er!$D$3:$D$75,MATCH(1, (er!$A$3:$A$75=$BG$2)*(er!$C$3:$C$75=Q54), 0))   /  (J54/ INDEX(er!$D$3:$D$75,MATCH(1, (er!$A$3:$A$75=$BG$2)*(er!$C$3:$C$75=L54), 0))))),"")))</f>
        <v>0.39552495840313806</v>
      </c>
      <c r="CB54" s="96">
        <f t="shared" si="125"/>
        <v>0.39552500277522762</v>
      </c>
      <c r="CC54" s="111">
        <f t="shared" ca="1" si="126"/>
        <v>-4.4372089558208927E-8</v>
      </c>
      <c r="CD54" s="110">
        <f t="shared" ref="CD54:CE54" si="132">BJ54+BM54-BS54-BV54</f>
        <v>0</v>
      </c>
      <c r="CE54" s="110">
        <f t="shared" ca="1" si="132"/>
        <v>0</v>
      </c>
      <c r="CF54" s="110">
        <f t="shared" ca="1" si="128"/>
        <v>0</v>
      </c>
      <c r="CG54" s="8" t="str">
        <f t="shared" si="129"/>
        <v>OK</v>
      </c>
      <c r="CH54" s="8"/>
      <c r="CI54" t="s">
        <v>99</v>
      </c>
      <c r="CK54" s="240">
        <v>0</v>
      </c>
      <c r="CL54" s="239">
        <f ca="1">(AI54+CK54)/INDEX(er!D:D,MATCH(AC54,er!C:C,0),1)</f>
        <v>6.4423765211166787E-5</v>
      </c>
      <c r="CN54" s="239">
        <f ca="1">CK54/INDEX(er!D:D,MATCH(AC54,er!C:C,0),1)</f>
        <v>0</v>
      </c>
    </row>
    <row r="55" spans="1:92" ht="12.5" x14ac:dyDescent="0.25">
      <c r="A55" s="93" t="s">
        <v>290</v>
      </c>
      <c r="B55" s="93" t="s">
        <v>96</v>
      </c>
      <c r="C55" s="93" t="s">
        <v>103</v>
      </c>
      <c r="D55" s="93" t="s">
        <v>291</v>
      </c>
      <c r="E55" s="93"/>
      <c r="F55" s="93"/>
      <c r="G55" s="94" t="s">
        <v>107</v>
      </c>
      <c r="H55" s="93" t="s">
        <v>436</v>
      </c>
      <c r="I55" s="94" t="s">
        <v>107</v>
      </c>
      <c r="J55" s="94">
        <v>1419697.03</v>
      </c>
      <c r="K55" s="94">
        <v>1419697.03</v>
      </c>
      <c r="L55" s="94" t="s">
        <v>111</v>
      </c>
      <c r="M55" s="94">
        <v>1419697.03</v>
      </c>
      <c r="N55" s="94" t="s">
        <v>111</v>
      </c>
      <c r="O55" s="94">
        <v>1419697.03</v>
      </c>
      <c r="P55" s="94">
        <v>858171.42</v>
      </c>
      <c r="Q55" s="93" t="s">
        <v>111</v>
      </c>
      <c r="R55" s="94" t="s">
        <v>105</v>
      </c>
      <c r="S55" s="94"/>
      <c r="T55" s="94"/>
      <c r="U55" s="94">
        <v>0</v>
      </c>
      <c r="V55" s="93" t="s">
        <v>94</v>
      </c>
      <c r="W55" s="8" t="s">
        <v>98</v>
      </c>
      <c r="X55" s="94" t="s">
        <v>103</v>
      </c>
      <c r="Y55" s="94" t="s">
        <v>107</v>
      </c>
      <c r="Z55" s="94" t="s">
        <v>105</v>
      </c>
      <c r="AA55" s="94" t="s">
        <v>111</v>
      </c>
      <c r="AB55" s="94">
        <v>1419697.03</v>
      </c>
      <c r="AC55" s="94" t="s">
        <v>111</v>
      </c>
      <c r="AD55" s="94">
        <v>858171.36</v>
      </c>
      <c r="AE55" s="94">
        <v>39.549999999999997</v>
      </c>
      <c r="AF55" s="94" t="s">
        <v>99</v>
      </c>
      <c r="AG55" s="94">
        <v>0</v>
      </c>
      <c r="AH55" s="94">
        <v>0</v>
      </c>
      <c r="AI55" s="94">
        <v>0.06</v>
      </c>
      <c r="AJ55" s="94">
        <v>0</v>
      </c>
      <c r="AK55" s="94">
        <v>0.39552495929360365</v>
      </c>
      <c r="AL55" s="94" t="s">
        <v>99</v>
      </c>
      <c r="AM55" s="93" t="s">
        <v>519</v>
      </c>
      <c r="AN55" s="94"/>
      <c r="AO55" s="94" t="s">
        <v>16</v>
      </c>
      <c r="AP55" s="94" t="s">
        <v>16</v>
      </c>
      <c r="AQ55" s="94"/>
      <c r="AR55" s="94" t="s">
        <v>16</v>
      </c>
      <c r="AS55" s="94"/>
      <c r="AT55" s="94" t="s">
        <v>16</v>
      </c>
      <c r="AU55" s="94">
        <v>1419697.03</v>
      </c>
      <c r="AV55" s="94">
        <v>1014</v>
      </c>
      <c r="AW55" s="94" t="s">
        <v>16</v>
      </c>
      <c r="AX55" s="94">
        <v>1419697.03</v>
      </c>
      <c r="AY55" s="94">
        <v>1016.25</v>
      </c>
      <c r="AZ55" s="94" t="s">
        <v>111</v>
      </c>
      <c r="BA55" s="94">
        <v>858171.37</v>
      </c>
      <c r="BB55" s="94" t="s">
        <v>99</v>
      </c>
      <c r="BC55" s="94">
        <v>0.05</v>
      </c>
      <c r="BD55" s="94">
        <v>0</v>
      </c>
      <c r="BE55" s="60">
        <f t="array" ref="BE55">IFERROR(INDEX('Com&amp;tax'!$E$2:$E$5, MATCH(1, ('Com&amp;tax'!$A$2:$A$5=B55)*('Com&amp;tax'!$B$2:$B$5=G55), 0)),"")</f>
        <v>0.15</v>
      </c>
      <c r="BF55" s="58">
        <f t="shared" si="117"/>
        <v>212954.5545</v>
      </c>
      <c r="BG55" s="58">
        <f t="array" aca="1" ref="BG55" ca="1">IF(A55="","",( IFERROR((O55/ INDEX(er!$D$3:$D$75,MATCH(1, (er!$A$3:$A$75=$BG$2)*(er!$C$3:$C$75=Q55), 0)))*BE55,"")))</f>
        <v>152.43704688618467</v>
      </c>
      <c r="BH55" s="58">
        <f t="shared" si="118"/>
        <v>-212954.5545</v>
      </c>
      <c r="BI55" s="59">
        <f t="array" ref="BI55">IFERROR(INDEX('Com&amp;tax'!$F$2:$F$5, MATCH(1, ('Com&amp;tax'!$A$2:$A$5=B55)*('Com&amp;tax'!$B$2:$B$5=Y55), 0)),0)</f>
        <v>4.9000000000000002E-2</v>
      </c>
      <c r="BJ55" s="58">
        <f t="shared" si="119"/>
        <v>59130.381299499997</v>
      </c>
      <c r="BK55" s="58">
        <f t="array" aca="1" ref="BK55" ca="1">IF(A55="","",( IFERROR((J55*(1-BE55))*BI55/INDEX(er!D:D, MATCH(Q55,er!C:C,0),1),0)))</f>
        <v>42.326686685397277</v>
      </c>
      <c r="BL55" s="60">
        <f t="array" ref="BL55">IFERROR(INDEX('Com&amp;tax'!$G$2:$G$5, MATCH(1, ('Com&amp;tax'!$A$2:$A$5=B55)*('Com&amp;tax'!$B$2:$B$5=Y55), 0)),0)</f>
        <v>0.1575</v>
      </c>
      <c r="BM55" s="58">
        <f t="shared" si="120"/>
        <v>190061.93989124999</v>
      </c>
      <c r="BN55" s="58">
        <f t="array" aca="1" ref="BN55" ca="1">IF(A55="","",( IFERROR((J55*(1-BE55))*BL55/INDEX(er!D:D, MATCH(Q55,er!C:C,0),1),0)))</f>
        <v>136.05006434591982</v>
      </c>
      <c r="BO55" s="60">
        <f t="array" ref="BO55">IFERROR(INDEX('Com&amp;tax'!$H$2:$H$5, MATCH(1, ('Com&amp;tax'!$A$2:$A$5=B55)*('Com&amp;tax'!$B$2:$B$5=Y55), 0)),0)</f>
        <v>7.0000000000000007E-2</v>
      </c>
      <c r="BP55" s="58">
        <f t="shared" si="121"/>
        <v>99378.792100000006</v>
      </c>
      <c r="BQ55" s="58">
        <f t="array" aca="1" ref="BQ55" ca="1">IF(A55="","",( IFERROR(J55*BO55/INDEX(er!D:D, MATCH(Q55,er!C:C,0),1),0)))</f>
        <v>71.137288546886182</v>
      </c>
      <c r="BR55" s="108">
        <f t="array" ref="BR55">IFERROR(INDEX('Com&amp;tax'!$F$2:$F$5, MATCH(1, ('Com&amp;tax'!$A$2:$A$5=B55)*('Com&amp;tax'!$D$2:$D$5=H55), 0)),0)</f>
        <v>4.9000000000000002E-2</v>
      </c>
      <c r="BS55" s="109">
        <f t="shared" si="122"/>
        <v>59130.381299499997</v>
      </c>
      <c r="BT55" s="109">
        <f t="array" aca="1" ref="BT55" ca="1">IF(A55="","",( IFERROR((J55*(1-BE55))*BR55/INDEX(er!D:D, MATCH(Q55,er!C:C,0),1),0)))</f>
        <v>42.326686685397277</v>
      </c>
      <c r="BU55" s="108">
        <f t="array" ref="BU55">IFERROR(INDEX('Com&amp;tax'!$G$2:$G$5, MATCH(1, ('Com&amp;tax'!$A$2:$A$5=B55)*('Com&amp;tax'!$D$2:$D$5=H55), 0)),0)</f>
        <v>0.1575</v>
      </c>
      <c r="BV55" s="109">
        <f t="shared" si="123"/>
        <v>190061.93989124999</v>
      </c>
      <c r="BW55" s="109">
        <f t="array" aca="1" ref="BW55" ca="1">IF(A55="","",( IFERROR((J55*(1-BE55))*BU55/INDEX(er!D:D, MATCH(Q55,er!C:C,0),1),0)))</f>
        <v>136.05006434591982</v>
      </c>
      <c r="BX55" s="108">
        <f t="array" ref="BX55">IFERROR(INDEX('Com&amp;tax'!$H$2:$H$5, MATCH(1, ('Com&amp;tax'!$A$2:$A$5=B55)*('Com&amp;tax'!$D$2:$D$5=H55), 0)),0)</f>
        <v>7.0000000000000007E-2</v>
      </c>
      <c r="BY55" s="109">
        <f t="shared" si="124"/>
        <v>99378.792100000006</v>
      </c>
      <c r="BZ55" s="109">
        <f t="array" aca="1" ref="BZ55" ca="1">IF(A55="","",( IFERROR(J55*BX55/INDEX(er!D:D, MATCH(Q55,er!C:C,0),1),0)))</f>
        <v>71.137288546886182</v>
      </c>
      <c r="CA55" s="96">
        <f t="array" aca="1" ref="CA55" ca="1">IF(A55="","",( IFERROR(1-((P55/ INDEX(er!$D$3:$D$75,MATCH(1, (er!$A$3:$A$75=$BG$2)*(er!$C$3:$C$75=Q55), 0))   /  (J55/ INDEX(er!$D$3:$D$75,MATCH(1, (er!$A$3:$A$75=$BG$2)*(er!$C$3:$C$75=L55), 0))))),"")))</f>
        <v>0.39552495929360365</v>
      </c>
      <c r="CB55" s="96">
        <f t="shared" si="125"/>
        <v>0.3955250015561419</v>
      </c>
      <c r="CC55" s="111">
        <f t="shared" ca="1" si="126"/>
        <v>-4.22625382467956E-8</v>
      </c>
      <c r="CD55" s="110">
        <f t="shared" ref="CD55:CE55" si="133">BJ55+BM55-BS55-BV55</f>
        <v>0</v>
      </c>
      <c r="CE55" s="110">
        <f t="shared" ca="1" si="133"/>
        <v>0</v>
      </c>
      <c r="CF55" s="110">
        <f t="shared" ca="1" si="128"/>
        <v>0</v>
      </c>
      <c r="CG55" s="8" t="str">
        <f t="shared" si="129"/>
        <v>OK</v>
      </c>
      <c r="CH55" s="8"/>
      <c r="CI55" t="s">
        <v>99</v>
      </c>
      <c r="CK55" s="240">
        <v>0</v>
      </c>
      <c r="CL55" s="239">
        <f ca="1">(AI55+CK55)/INDEX(er!D:D,MATCH(AC55,er!C:C,0),1)</f>
        <v>4.2949176807444524E-5</v>
      </c>
      <c r="CN55" s="239">
        <f ca="1">CK55/INDEX(er!D:D,MATCH(AC55,er!C:C,0),1)</f>
        <v>0</v>
      </c>
    </row>
    <row r="56" spans="1:92" ht="12.5" x14ac:dyDescent="0.25">
      <c r="A56" s="93" t="s">
        <v>293</v>
      </c>
      <c r="B56" s="93" t="s">
        <v>96</v>
      </c>
      <c r="C56" s="93" t="s">
        <v>103</v>
      </c>
      <c r="D56" s="93" t="s">
        <v>294</v>
      </c>
      <c r="E56" s="93"/>
      <c r="F56" s="93"/>
      <c r="G56" s="94" t="s">
        <v>107</v>
      </c>
      <c r="H56" s="93" t="s">
        <v>436</v>
      </c>
      <c r="I56" s="94" t="s">
        <v>107</v>
      </c>
      <c r="J56" s="94">
        <v>3110400</v>
      </c>
      <c r="K56" s="94">
        <v>3110400</v>
      </c>
      <c r="L56" s="94" t="s">
        <v>111</v>
      </c>
      <c r="M56" s="94">
        <v>3110400</v>
      </c>
      <c r="N56" s="94" t="s">
        <v>111</v>
      </c>
      <c r="O56" s="94">
        <v>3110400</v>
      </c>
      <c r="P56" s="94">
        <v>1880159.16</v>
      </c>
      <c r="Q56" s="93" t="s">
        <v>111</v>
      </c>
      <c r="R56" s="94" t="s">
        <v>105</v>
      </c>
      <c r="S56" s="94"/>
      <c r="T56" s="94"/>
      <c r="U56" s="94">
        <v>0</v>
      </c>
      <c r="V56" s="93" t="s">
        <v>94</v>
      </c>
      <c r="W56" s="8" t="s">
        <v>98</v>
      </c>
      <c r="X56" s="94" t="s">
        <v>103</v>
      </c>
      <c r="Y56" s="94" t="s">
        <v>107</v>
      </c>
      <c r="Z56" s="94" t="s">
        <v>105</v>
      </c>
      <c r="AA56" s="94" t="s">
        <v>111</v>
      </c>
      <c r="AB56" s="94">
        <v>3110400</v>
      </c>
      <c r="AC56" s="94" t="s">
        <v>111</v>
      </c>
      <c r="AD56" s="94">
        <v>1880159.04</v>
      </c>
      <c r="AE56" s="94">
        <v>39.549999999999997</v>
      </c>
      <c r="AF56" s="94" t="s">
        <v>99</v>
      </c>
      <c r="AG56" s="94">
        <v>0</v>
      </c>
      <c r="AH56" s="94">
        <v>0</v>
      </c>
      <c r="AI56" s="94">
        <v>0.12</v>
      </c>
      <c r="AJ56" s="94">
        <v>0</v>
      </c>
      <c r="AK56" s="94">
        <v>0.39552496141975313</v>
      </c>
      <c r="AL56" s="94" t="s">
        <v>99</v>
      </c>
      <c r="AM56" s="93" t="s">
        <v>520</v>
      </c>
      <c r="AN56" s="94"/>
      <c r="AO56" s="94" t="s">
        <v>16</v>
      </c>
      <c r="AP56" s="94" t="s">
        <v>16</v>
      </c>
      <c r="AQ56" s="94"/>
      <c r="AR56" s="94" t="s">
        <v>16</v>
      </c>
      <c r="AS56" s="94"/>
      <c r="AT56" s="94" t="s">
        <v>16</v>
      </c>
      <c r="AU56" s="94">
        <v>3110400</v>
      </c>
      <c r="AV56" s="94">
        <v>2224</v>
      </c>
      <c r="AW56" s="94" t="s">
        <v>16</v>
      </c>
      <c r="AX56" s="94">
        <v>3110400</v>
      </c>
      <c r="AY56" s="94">
        <v>2226.4899999999998</v>
      </c>
      <c r="AZ56" s="94" t="s">
        <v>111</v>
      </c>
      <c r="BA56" s="94">
        <v>1880159.04</v>
      </c>
      <c r="BB56" s="94" t="s">
        <v>99</v>
      </c>
      <c r="BC56" s="94">
        <v>0.12</v>
      </c>
      <c r="BD56" s="94">
        <v>0</v>
      </c>
      <c r="BE56" s="60">
        <f t="array" ref="BE56">IFERROR(INDEX('Com&amp;tax'!$E$2:$E$5, MATCH(1, ('Com&amp;tax'!$A$2:$A$5=B56)*('Com&amp;tax'!$B$2:$B$5=G56), 0)),"")</f>
        <v>0.15</v>
      </c>
      <c r="BF56" s="58">
        <f t="shared" si="117"/>
        <v>466560</v>
      </c>
      <c r="BG56" s="58">
        <f t="array" aca="1" ref="BG56" ca="1">IF(A56="","",( IFERROR((O56/ INDEX(er!$D$3:$D$75,MATCH(1, (er!$A$3:$A$75=$BG$2)*(er!$C$3:$C$75=Q56), 0)))*BE56,"")))</f>
        <v>333.97279885468862</v>
      </c>
      <c r="BH56" s="58">
        <f t="shared" si="118"/>
        <v>-466560</v>
      </c>
      <c r="BI56" s="59">
        <f t="array" ref="BI56">IFERROR(INDEX('Com&amp;tax'!$F$2:$F$5, MATCH(1, ('Com&amp;tax'!$A$2:$A$5=B56)*('Com&amp;tax'!$B$2:$B$5=Y56), 0)),0)</f>
        <v>4.9000000000000002E-2</v>
      </c>
      <c r="BJ56" s="58">
        <f t="shared" si="119"/>
        <v>129548.16</v>
      </c>
      <c r="BK56" s="58">
        <f t="array" aca="1" ref="BK56" ca="1">IF(A56="","",( IFERROR((J56*(1-BE56))*BI56/INDEX(er!D:D, MATCH(Q56,er!C:C,0),1),0)))</f>
        <v>92.733113815318546</v>
      </c>
      <c r="BL56" s="60">
        <f t="array" ref="BL56">IFERROR(INDEX('Com&amp;tax'!$G$2:$G$5, MATCH(1, ('Com&amp;tax'!$A$2:$A$5=B56)*('Com&amp;tax'!$B$2:$B$5=Y56), 0)),0)</f>
        <v>0.1575</v>
      </c>
      <c r="BM56" s="58">
        <f t="shared" si="120"/>
        <v>416404.8</v>
      </c>
      <c r="BN56" s="58">
        <f t="array" aca="1" ref="BN56" ca="1">IF(A56="","",( IFERROR((J56*(1-BE56))*BL56/INDEX(er!D:D, MATCH(Q56,er!C:C,0),1),0)))</f>
        <v>298.07072297780957</v>
      </c>
      <c r="BO56" s="60">
        <f t="array" ref="BO56">IFERROR(INDEX('Com&amp;tax'!$H$2:$H$5, MATCH(1, ('Com&amp;tax'!$A$2:$A$5=B56)*('Com&amp;tax'!$B$2:$B$5=Y56), 0)),0)</f>
        <v>7.0000000000000007E-2</v>
      </c>
      <c r="BP56" s="58">
        <f t="shared" si="121"/>
        <v>217728.00000000003</v>
      </c>
      <c r="BQ56" s="58">
        <f t="array" aca="1" ref="BQ56" ca="1">IF(A56="","",( IFERROR(J56*BO56/INDEX(er!D:D, MATCH(Q56,er!C:C,0),1),0)))</f>
        <v>155.8539727988547</v>
      </c>
      <c r="BR56" s="108">
        <f t="array" ref="BR56">IFERROR(INDEX('Com&amp;tax'!$F$2:$F$5, MATCH(1, ('Com&amp;tax'!$A$2:$A$5=B56)*('Com&amp;tax'!$D$2:$D$5=H56), 0)),0)</f>
        <v>4.9000000000000002E-2</v>
      </c>
      <c r="BS56" s="109">
        <f t="shared" si="122"/>
        <v>129548.16</v>
      </c>
      <c r="BT56" s="109">
        <f t="array" aca="1" ref="BT56" ca="1">IF(A56="","",( IFERROR((J56*(1-BE56))*BR56/INDEX(er!D:D, MATCH(Q56,er!C:C,0),1),0)))</f>
        <v>92.733113815318546</v>
      </c>
      <c r="BU56" s="108">
        <f t="array" ref="BU56">IFERROR(INDEX('Com&amp;tax'!$G$2:$G$5, MATCH(1, ('Com&amp;tax'!$A$2:$A$5=B56)*('Com&amp;tax'!$D$2:$D$5=H56), 0)),0)</f>
        <v>0.1575</v>
      </c>
      <c r="BV56" s="109">
        <f t="shared" si="123"/>
        <v>416404.8</v>
      </c>
      <c r="BW56" s="109">
        <f t="array" aca="1" ref="BW56" ca="1">IF(A56="","",( IFERROR((J56*(1-BE56))*BU56/INDEX(er!D:D, MATCH(Q56,er!C:C,0),1),0)))</f>
        <v>298.07072297780957</v>
      </c>
      <c r="BX56" s="108">
        <f t="array" ref="BX56">IFERROR(INDEX('Com&amp;tax'!$H$2:$H$5, MATCH(1, ('Com&amp;tax'!$A$2:$A$5=B56)*('Com&amp;tax'!$D$2:$D$5=H56), 0)),0)</f>
        <v>7.0000000000000007E-2</v>
      </c>
      <c r="BY56" s="109">
        <f t="shared" si="124"/>
        <v>217728.00000000003</v>
      </c>
      <c r="BZ56" s="109">
        <f t="array" aca="1" ref="BZ56" ca="1">IF(A56="","",( IFERROR(J56*BX56/INDEX(er!D:D, MATCH(Q56,er!C:C,0),1),0)))</f>
        <v>155.8539727988547</v>
      </c>
      <c r="CA56" s="96">
        <f t="array" aca="1" ref="CA56" ca="1">IF(A56="","",( IFERROR(1-((P56/ INDEX(er!$D$3:$D$75,MATCH(1, (er!$A$3:$A$75=$BG$2)*(er!$C$3:$C$75=Q56), 0))   /  (J56/ INDEX(er!$D$3:$D$75,MATCH(1, (er!$A$3:$A$75=$BG$2)*(er!$C$3:$C$75=L56), 0))))),"")))</f>
        <v>0.39552496141975313</v>
      </c>
      <c r="CB56" s="96">
        <f t="shared" si="125"/>
        <v>0.39552500000000002</v>
      </c>
      <c r="CC56" s="111">
        <f t="shared" ca="1" si="126"/>
        <v>-3.8580246886077418E-8</v>
      </c>
      <c r="CD56" s="110">
        <f t="shared" ref="CD56:CE56" si="134">BJ56+BM56-BS56-BV56</f>
        <v>0</v>
      </c>
      <c r="CE56" s="110">
        <f t="shared" ca="1" si="134"/>
        <v>0</v>
      </c>
      <c r="CF56" s="110">
        <f t="shared" ca="1" si="128"/>
        <v>0</v>
      </c>
      <c r="CG56" s="8" t="str">
        <f t="shared" si="129"/>
        <v>OK</v>
      </c>
      <c r="CH56" s="8"/>
      <c r="CI56" t="s">
        <v>99</v>
      </c>
      <c r="CK56" s="240">
        <v>0</v>
      </c>
      <c r="CL56" s="239">
        <f ca="1">(AI56+CK56)/INDEX(er!D:D,MATCH(AC56,er!C:C,0),1)</f>
        <v>8.5898353614889049E-5</v>
      </c>
      <c r="CN56" s="239">
        <f ca="1">CK56/INDEX(er!D:D,MATCH(AC56,er!C:C,0),1)</f>
        <v>0</v>
      </c>
    </row>
    <row r="57" spans="1:92" ht="12.5" x14ac:dyDescent="0.25">
      <c r="A57" s="93" t="s">
        <v>296</v>
      </c>
      <c r="B57" s="93" t="s">
        <v>96</v>
      </c>
      <c r="C57" s="93" t="s">
        <v>103</v>
      </c>
      <c r="D57" s="93" t="s">
        <v>297</v>
      </c>
      <c r="E57" s="93"/>
      <c r="F57" s="93"/>
      <c r="G57" s="94" t="s">
        <v>107</v>
      </c>
      <c r="H57" s="93" t="s">
        <v>436</v>
      </c>
      <c r="I57" s="94" t="s">
        <v>107</v>
      </c>
      <c r="J57" s="94">
        <v>12942.5</v>
      </c>
      <c r="K57" s="94">
        <v>12942.5</v>
      </c>
      <c r="L57" s="94" t="s">
        <v>111</v>
      </c>
      <c r="M57" s="94">
        <v>8.35</v>
      </c>
      <c r="N57" s="94" t="s">
        <v>95</v>
      </c>
      <c r="O57" s="94">
        <v>8.35</v>
      </c>
      <c r="P57" s="94">
        <v>5.5</v>
      </c>
      <c r="Q57" s="93" t="s">
        <v>95</v>
      </c>
      <c r="R57" s="94" t="s">
        <v>105</v>
      </c>
      <c r="S57" s="94"/>
      <c r="T57" s="94"/>
      <c r="U57" s="94">
        <v>0</v>
      </c>
      <c r="V57" s="93" t="s">
        <v>94</v>
      </c>
      <c r="W57" s="8" t="s">
        <v>98</v>
      </c>
      <c r="X57" s="94" t="s">
        <v>103</v>
      </c>
      <c r="Y57" s="94" t="s">
        <v>521</v>
      </c>
      <c r="Z57" s="94" t="s">
        <v>105</v>
      </c>
      <c r="AA57" s="94" t="s">
        <v>95</v>
      </c>
      <c r="AB57" s="94">
        <v>8.35</v>
      </c>
      <c r="AC57" s="94" t="s">
        <v>95</v>
      </c>
      <c r="AD57" s="94">
        <v>7.1</v>
      </c>
      <c r="AE57" s="94">
        <v>15</v>
      </c>
      <c r="AF57" s="94" t="s">
        <v>99</v>
      </c>
      <c r="AG57" s="94">
        <v>0</v>
      </c>
      <c r="AH57" s="94">
        <v>0</v>
      </c>
      <c r="AI57" s="94">
        <v>-1.6</v>
      </c>
      <c r="AJ57" s="94">
        <v>-1.6</v>
      </c>
      <c r="AK57" s="94">
        <v>0.40633571566544335</v>
      </c>
      <c r="AL57" s="94" t="s">
        <v>99</v>
      </c>
      <c r="AM57" s="93" t="s">
        <v>522</v>
      </c>
      <c r="AN57" s="94"/>
      <c r="AO57" s="94" t="s">
        <v>16</v>
      </c>
      <c r="AP57" s="94" t="s">
        <v>16</v>
      </c>
      <c r="AQ57" s="94"/>
      <c r="AR57" s="94" t="s">
        <v>16</v>
      </c>
      <c r="AS57" s="94"/>
      <c r="AT57" s="94" t="s">
        <v>16</v>
      </c>
      <c r="AU57" s="94">
        <v>8.35</v>
      </c>
      <c r="AV57" s="94">
        <v>6</v>
      </c>
      <c r="AW57" s="94" t="s">
        <v>16</v>
      </c>
      <c r="AX57" s="94">
        <v>8.35</v>
      </c>
      <c r="AY57" s="94">
        <v>8.35</v>
      </c>
      <c r="AZ57" s="94" t="s">
        <v>95</v>
      </c>
      <c r="BA57" s="94">
        <v>7.1</v>
      </c>
      <c r="BB57" s="94" t="s">
        <v>99</v>
      </c>
      <c r="BC57" s="94">
        <v>-1.6</v>
      </c>
      <c r="BD57" s="94">
        <v>-1.6</v>
      </c>
      <c r="BE57" s="60">
        <f t="array" ref="BE57">IFERROR(INDEX('Com&amp;tax'!$E$2:$E$5, MATCH(1, ('Com&amp;tax'!$A$2:$A$5=B57)*('Com&amp;tax'!$B$2:$B$5=G57), 0)),"")</f>
        <v>0.15</v>
      </c>
      <c r="BF57" s="58">
        <f t="shared" si="117"/>
        <v>1.2524999999999999</v>
      </c>
      <c r="BG57" s="58">
        <f t="array" aca="1" ref="BG57" ca="1">IF(A57="","",( IFERROR((O57/ INDEX(er!$D$3:$D$75,MATCH(1, (er!$A$3:$A$75=$BG$2)*(er!$C$3:$C$75=Q57), 0)))*BE57,"")))</f>
        <v>1.2524999999999999</v>
      </c>
      <c r="BH57" s="58">
        <f t="shared" si="118"/>
        <v>-1.2524999999999999</v>
      </c>
      <c r="BI57" s="59">
        <f t="array" ref="BI57">IFERROR(INDEX('Com&amp;tax'!$F$2:$F$5, MATCH(1, ('Com&amp;tax'!$A$2:$A$5=B57)*('Com&amp;tax'!$B$2:$B$5=Y57), 0)),0)</f>
        <v>0</v>
      </c>
      <c r="BJ57" s="58">
        <f t="shared" si="119"/>
        <v>0</v>
      </c>
      <c r="BK57" s="58">
        <f t="array" aca="1" ref="BK57" ca="1">IF(A57="","",( IFERROR((J57*(1-BE57))*BI57/INDEX(er!D:D, MATCH(Q57,er!C:C,0),1),0)))</f>
        <v>0</v>
      </c>
      <c r="BL57" s="60">
        <f t="array" ref="BL57">IFERROR(INDEX('Com&amp;tax'!$G$2:$G$5, MATCH(1, ('Com&amp;tax'!$A$2:$A$5=B57)*('Com&amp;tax'!$B$2:$B$5=Y57), 0)),0)</f>
        <v>0</v>
      </c>
      <c r="BM57" s="58">
        <f t="shared" si="120"/>
        <v>0</v>
      </c>
      <c r="BN57" s="58">
        <f t="array" aca="1" ref="BN57" ca="1">IF(A57="","",( IFERROR((J57*(1-BE57))*BL57/INDEX(er!D:D, MATCH(Q57,er!C:C,0),1),0)))</f>
        <v>0</v>
      </c>
      <c r="BO57" s="60">
        <f t="array" ref="BO57">IFERROR(INDEX('Com&amp;tax'!$H$2:$H$5, MATCH(1, ('Com&amp;tax'!$A$2:$A$5=B57)*('Com&amp;tax'!$B$2:$B$5=Y57), 0)),0)</f>
        <v>0</v>
      </c>
      <c r="BP57" s="58">
        <f t="shared" si="121"/>
        <v>0</v>
      </c>
      <c r="BQ57" s="58">
        <f t="array" aca="1" ref="BQ57" ca="1">IF(A57="","",( IFERROR(J57*BO57/INDEX(er!D:D, MATCH(Q57,er!C:C,0),1),0)))</f>
        <v>0</v>
      </c>
      <c r="BR57" s="108">
        <f t="array" ref="BR57">IFERROR(INDEX('Com&amp;tax'!$F$2:$F$5, MATCH(1, ('Com&amp;tax'!$A$2:$A$5=B57)*('Com&amp;tax'!$D$2:$D$5=H57), 0)),0)</f>
        <v>4.9000000000000002E-2</v>
      </c>
      <c r="BS57" s="109">
        <f t="shared" si="122"/>
        <v>539.05512499999998</v>
      </c>
      <c r="BT57" s="109">
        <f t="array" aca="1" ref="BT57" ca="1">IF(A57="","",( IFERROR((J57*(1-BE57))*BR57/INDEX(er!D:D, MATCH(Q57,er!C:C,0),1),0)))</f>
        <v>539.05512499999998</v>
      </c>
      <c r="BU57" s="108">
        <f t="array" ref="BU57">IFERROR(INDEX('Com&amp;tax'!$G$2:$G$5, MATCH(1, ('Com&amp;tax'!$A$2:$A$5=B57)*('Com&amp;tax'!$D$2:$D$5=H57), 0)),0)</f>
        <v>0.1575</v>
      </c>
      <c r="BV57" s="109">
        <f t="shared" si="123"/>
        <v>1732.6771874999999</v>
      </c>
      <c r="BW57" s="109">
        <f t="array" aca="1" ref="BW57" ca="1">IF(A57="","",( IFERROR((J57*(1-BE57))*BU57/INDEX(er!D:D, MATCH(Q57,er!C:C,0),1),0)))</f>
        <v>1732.6771874999999</v>
      </c>
      <c r="BX57" s="108">
        <f t="array" ref="BX57">IFERROR(INDEX('Com&amp;tax'!$H$2:$H$5, MATCH(1, ('Com&amp;tax'!$A$2:$A$5=B57)*('Com&amp;tax'!$D$2:$D$5=H57), 0)),0)</f>
        <v>7.0000000000000007E-2</v>
      </c>
      <c r="BY57" s="109">
        <f t="shared" si="124"/>
        <v>905.97500000000014</v>
      </c>
      <c r="BZ57" s="109">
        <f t="array" aca="1" ref="BZ57" ca="1">IF(A57="","",( IFERROR(J57*BX57/INDEX(er!D:D, MATCH(Q57,er!C:C,0),1),0)))</f>
        <v>905.97500000000014</v>
      </c>
      <c r="CA57" s="96">
        <f t="array" aca="1" ref="CA57" ca="1">IF(A57="","",( IFERROR(1-((P57/ INDEX(er!$D$3:$D$75,MATCH(1, (er!$A$3:$A$75=$BG$2)*(er!$C$3:$C$75=Q57), 0))   /  (J57/ INDEX(er!$D$3:$D$75,MATCH(1, (er!$A$3:$A$75=$BG$2)*(er!$C$3:$C$75=L57), 0))))),"")))</f>
        <v>0.40633571566544335</v>
      </c>
      <c r="CB57" s="96">
        <f t="shared" si="125"/>
        <v>0.14970059880239517</v>
      </c>
      <c r="CC57" s="111">
        <f t="shared" ca="1" si="126"/>
        <v>0.25663511686304818</v>
      </c>
      <c r="CD57" s="110">
        <f t="shared" ref="CD57:CE57" si="135">BJ57+BM57-BS57-BV57</f>
        <v>-2271.7323124999998</v>
      </c>
      <c r="CE57" s="110">
        <f t="shared" ca="1" si="135"/>
        <v>-2271.7323124999998</v>
      </c>
      <c r="CF57" s="110">
        <f t="shared" ca="1" si="128"/>
        <v>2270.1323124999999</v>
      </c>
      <c r="CG57" s="8" t="str">
        <f t="shared" si="129"/>
        <v>Incorrect</v>
      </c>
      <c r="CI57" t="s">
        <v>553</v>
      </c>
      <c r="CK57" s="240">
        <v>0</v>
      </c>
      <c r="CL57" s="239">
        <f ca="1">(AI57+CK57)/INDEX(er!D:D,MATCH(AC57,er!C:C,0),1)</f>
        <v>-1.6</v>
      </c>
      <c r="CN57" s="239">
        <f ca="1">CK57/INDEX(er!D:D,MATCH(AC57,er!C:C,0),1)</f>
        <v>0</v>
      </c>
    </row>
    <row r="58" spans="1:92" ht="12.5" x14ac:dyDescent="0.25">
      <c r="A58" s="93" t="s">
        <v>300</v>
      </c>
      <c r="B58" s="93" t="s">
        <v>96</v>
      </c>
      <c r="C58" s="93" t="s">
        <v>103</v>
      </c>
      <c r="D58" s="93" t="s">
        <v>301</v>
      </c>
      <c r="E58" s="93"/>
      <c r="F58" s="93"/>
      <c r="G58" s="94" t="s">
        <v>107</v>
      </c>
      <c r="H58" s="93" t="s">
        <v>436</v>
      </c>
      <c r="I58" s="94" t="s">
        <v>107</v>
      </c>
      <c r="J58" s="94">
        <v>2669100</v>
      </c>
      <c r="K58" s="94">
        <v>2669100</v>
      </c>
      <c r="L58" s="94" t="s">
        <v>111</v>
      </c>
      <c r="M58" s="94">
        <v>1722</v>
      </c>
      <c r="N58" s="94" t="s">
        <v>95</v>
      </c>
      <c r="O58" s="94">
        <v>1722</v>
      </c>
      <c r="P58" s="94">
        <v>1134.32</v>
      </c>
      <c r="Q58" s="93" t="s">
        <v>95</v>
      </c>
      <c r="R58" s="94" t="s">
        <v>105</v>
      </c>
      <c r="S58" s="94"/>
      <c r="T58" s="94"/>
      <c r="U58" s="94">
        <v>0</v>
      </c>
      <c r="V58" s="93" t="s">
        <v>94</v>
      </c>
      <c r="W58" s="8" t="s">
        <v>98</v>
      </c>
      <c r="X58" s="94" t="s">
        <v>103</v>
      </c>
      <c r="Y58" s="94" t="s">
        <v>521</v>
      </c>
      <c r="Z58" s="94" t="s">
        <v>105</v>
      </c>
      <c r="AA58" s="94" t="s">
        <v>95</v>
      </c>
      <c r="AB58" s="94">
        <v>1722</v>
      </c>
      <c r="AC58" s="94" t="s">
        <v>95</v>
      </c>
      <c r="AD58" s="94">
        <v>1463.7</v>
      </c>
      <c r="AE58" s="94">
        <v>15</v>
      </c>
      <c r="AF58" s="94" t="s">
        <v>99</v>
      </c>
      <c r="AG58" s="94">
        <v>0</v>
      </c>
      <c r="AH58" s="94">
        <v>0</v>
      </c>
      <c r="AI58" s="94">
        <v>-329.38</v>
      </c>
      <c r="AJ58" s="94">
        <v>-329.38</v>
      </c>
      <c r="AK58" s="94">
        <v>0.40629986137649399</v>
      </c>
      <c r="AL58" s="94" t="s">
        <v>99</v>
      </c>
      <c r="AM58" s="93" t="s">
        <v>523</v>
      </c>
      <c r="AN58" s="94"/>
      <c r="AO58" s="94" t="s">
        <v>16</v>
      </c>
      <c r="AP58" s="94" t="s">
        <v>16</v>
      </c>
      <c r="AQ58" s="94"/>
      <c r="AR58" s="94" t="s">
        <v>16</v>
      </c>
      <c r="AS58" s="94"/>
      <c r="AT58" s="94" t="s">
        <v>16</v>
      </c>
      <c r="AU58" s="94">
        <v>1722</v>
      </c>
      <c r="AV58" s="94">
        <v>1720</v>
      </c>
      <c r="AW58" s="94" t="s">
        <v>16</v>
      </c>
      <c r="AX58" s="94">
        <v>1722</v>
      </c>
      <c r="AY58" s="94">
        <v>1722</v>
      </c>
      <c r="AZ58" s="94" t="s">
        <v>95</v>
      </c>
      <c r="BA58" s="94">
        <v>1463.7</v>
      </c>
      <c r="BB58" s="94" t="s">
        <v>99</v>
      </c>
      <c r="BC58" s="94">
        <v>-329.38</v>
      </c>
      <c r="BD58" s="94">
        <v>-329.38</v>
      </c>
      <c r="BE58" s="60">
        <f t="array" ref="BE58">IFERROR(INDEX('Com&amp;tax'!$E$2:$E$5, MATCH(1, ('Com&amp;tax'!$A$2:$A$5=B58)*('Com&amp;tax'!$B$2:$B$5=G58), 0)),"")</f>
        <v>0.15</v>
      </c>
      <c r="BF58" s="58">
        <f t="shared" si="117"/>
        <v>258.3</v>
      </c>
      <c r="BG58" s="58">
        <f t="array" aca="1" ref="BG58" ca="1">IF(A58="","",( IFERROR((O58/ INDEX(er!$D$3:$D$75,MATCH(1, (er!$A$3:$A$75=$BG$2)*(er!$C$3:$C$75=Q58), 0)))*BE58,"")))</f>
        <v>258.3</v>
      </c>
      <c r="BH58" s="58">
        <f t="shared" si="118"/>
        <v>-258.3</v>
      </c>
      <c r="BI58" s="59">
        <f t="array" ref="BI58">IFERROR(INDEX('Com&amp;tax'!$F$2:$F$5, MATCH(1, ('Com&amp;tax'!$A$2:$A$5=B58)*('Com&amp;tax'!$B$2:$B$5=Y58), 0)),0)</f>
        <v>0</v>
      </c>
      <c r="BJ58" s="58">
        <f t="shared" si="119"/>
        <v>0</v>
      </c>
      <c r="BK58" s="58">
        <f t="array" aca="1" ref="BK58" ca="1">IF(A58="","",( IFERROR((J58*(1-BE58))*BI58/INDEX(er!D:D, MATCH(Q58,er!C:C,0),1),0)))</f>
        <v>0</v>
      </c>
      <c r="BL58" s="60">
        <f t="array" ref="BL58">IFERROR(INDEX('Com&amp;tax'!$G$2:$G$5, MATCH(1, ('Com&amp;tax'!$A$2:$A$5=B58)*('Com&amp;tax'!$B$2:$B$5=Y58), 0)),0)</f>
        <v>0</v>
      </c>
      <c r="BM58" s="58">
        <f t="shared" si="120"/>
        <v>0</v>
      </c>
      <c r="BN58" s="58">
        <f t="array" aca="1" ref="BN58" ca="1">IF(A58="","",( IFERROR((J58*(1-BE58))*BL58/INDEX(er!D:D, MATCH(Q58,er!C:C,0),1),0)))</f>
        <v>0</v>
      </c>
      <c r="BO58" s="60">
        <f t="array" ref="BO58">IFERROR(INDEX('Com&amp;tax'!$H$2:$H$5, MATCH(1, ('Com&amp;tax'!$A$2:$A$5=B58)*('Com&amp;tax'!$B$2:$B$5=Y58), 0)),0)</f>
        <v>0</v>
      </c>
      <c r="BP58" s="58">
        <f t="shared" si="121"/>
        <v>0</v>
      </c>
      <c r="BQ58" s="58">
        <f t="array" aca="1" ref="BQ58" ca="1">IF(A58="","",( IFERROR(J58*BO58/INDEX(er!D:D, MATCH(Q58,er!C:C,0),1),0)))</f>
        <v>0</v>
      </c>
      <c r="BR58" s="108">
        <f t="array" ref="BR58">IFERROR(INDEX('Com&amp;tax'!$F$2:$F$5, MATCH(1, ('Com&amp;tax'!$A$2:$A$5=B58)*('Com&amp;tax'!$D$2:$D$5=H58), 0)),0)</f>
        <v>4.9000000000000002E-2</v>
      </c>
      <c r="BS58" s="109">
        <f t="shared" si="122"/>
        <v>111168.015</v>
      </c>
      <c r="BT58" s="109">
        <f t="array" aca="1" ref="BT58" ca="1">IF(A58="","",( IFERROR((J58*(1-BE58))*BR58/INDEX(er!D:D, MATCH(Q58,er!C:C,0),1),0)))</f>
        <v>111168.015</v>
      </c>
      <c r="BU58" s="108">
        <f t="array" ref="BU58">IFERROR(INDEX('Com&amp;tax'!$G$2:$G$5, MATCH(1, ('Com&amp;tax'!$A$2:$A$5=B58)*('Com&amp;tax'!$D$2:$D$5=H58), 0)),0)</f>
        <v>0.1575</v>
      </c>
      <c r="BV58" s="109">
        <f t="shared" si="123"/>
        <v>357325.76250000001</v>
      </c>
      <c r="BW58" s="109">
        <f t="array" aca="1" ref="BW58" ca="1">IF(A58="","",( IFERROR((J58*(1-BE58))*BU58/INDEX(er!D:D, MATCH(Q58,er!C:C,0),1),0)))</f>
        <v>357325.76250000001</v>
      </c>
      <c r="BX58" s="108">
        <f t="array" ref="BX58">IFERROR(INDEX('Com&amp;tax'!$H$2:$H$5, MATCH(1, ('Com&amp;tax'!$A$2:$A$5=B58)*('Com&amp;tax'!$D$2:$D$5=H58), 0)),0)</f>
        <v>7.0000000000000007E-2</v>
      </c>
      <c r="BY58" s="109">
        <f t="shared" si="124"/>
        <v>186837.00000000003</v>
      </c>
      <c r="BZ58" s="109">
        <f t="array" aca="1" ref="BZ58" ca="1">IF(A58="","",( IFERROR(J58*BX58/INDEX(er!D:D, MATCH(Q58,er!C:C,0),1),0)))</f>
        <v>186837.00000000003</v>
      </c>
      <c r="CA58" s="96">
        <f t="array" aca="1" ref="CA58" ca="1">IF(A58="","",( IFERROR(1-((P58/ INDEX(er!$D$3:$D$75,MATCH(1, (er!$A$3:$A$75=$BG$2)*(er!$C$3:$C$75=Q58), 0))   /  (J58/ INDEX(er!$D$3:$D$75,MATCH(1, (er!$A$3:$A$75=$BG$2)*(er!$C$3:$C$75=L58), 0))))),"")))</f>
        <v>0.40629986137649399</v>
      </c>
      <c r="CB58" s="96">
        <f t="shared" si="125"/>
        <v>0.15000000000000002</v>
      </c>
      <c r="CC58" s="111">
        <f t="shared" ca="1" si="126"/>
        <v>0.25629986137649396</v>
      </c>
      <c r="CD58" s="110">
        <f t="shared" ref="CD58:CE58" si="136">BJ58+BM58-BS58-BV58</f>
        <v>-468493.77750000003</v>
      </c>
      <c r="CE58" s="110">
        <f t="shared" ca="1" si="136"/>
        <v>-468493.77750000003</v>
      </c>
      <c r="CF58" s="110">
        <f t="shared" ca="1" si="128"/>
        <v>468164.39750000002</v>
      </c>
      <c r="CG58" s="8" t="str">
        <f t="shared" si="129"/>
        <v>Incorrect</v>
      </c>
      <c r="CI58" t="s">
        <v>553</v>
      </c>
      <c r="CK58" s="240">
        <v>0</v>
      </c>
      <c r="CL58" s="239">
        <f ca="1">(AI58+CK58)/INDEX(er!D:D,MATCH(AC58,er!C:C,0),1)</f>
        <v>-329.38</v>
      </c>
      <c r="CN58" s="239">
        <f ca="1">CK58/INDEX(er!D:D,MATCH(AC58,er!C:C,0),1)</f>
        <v>0</v>
      </c>
    </row>
    <row r="59" spans="1:92" ht="12.5" x14ac:dyDescent="0.25">
      <c r="A59" s="93" t="s">
        <v>303</v>
      </c>
      <c r="B59" s="93" t="s">
        <v>96</v>
      </c>
      <c r="C59" s="93" t="s">
        <v>103</v>
      </c>
      <c r="D59" s="93" t="s">
        <v>304</v>
      </c>
      <c r="E59" s="93"/>
      <c r="F59" s="93"/>
      <c r="G59" s="94" t="s">
        <v>107</v>
      </c>
      <c r="H59" s="93" t="s">
        <v>436</v>
      </c>
      <c r="I59" s="94" t="s">
        <v>107</v>
      </c>
      <c r="J59" s="94">
        <v>5000000</v>
      </c>
      <c r="K59" s="94">
        <v>5000000</v>
      </c>
      <c r="L59" s="94" t="s">
        <v>111</v>
      </c>
      <c r="M59" s="94">
        <v>5000000</v>
      </c>
      <c r="N59" s="94" t="s">
        <v>111</v>
      </c>
      <c r="O59" s="94">
        <v>5000000</v>
      </c>
      <c r="P59" s="94">
        <v>3022375.2</v>
      </c>
      <c r="Q59" s="93" t="s">
        <v>111</v>
      </c>
      <c r="R59" s="94" t="s">
        <v>105</v>
      </c>
      <c r="S59" s="94"/>
      <c r="T59" s="94"/>
      <c r="U59" s="94">
        <v>0</v>
      </c>
      <c r="V59" s="93" t="s">
        <v>94</v>
      </c>
      <c r="W59" s="8" t="s">
        <v>98</v>
      </c>
      <c r="X59" s="94" t="s">
        <v>103</v>
      </c>
      <c r="Y59" s="94" t="s">
        <v>107</v>
      </c>
      <c r="Z59" s="94" t="s">
        <v>105</v>
      </c>
      <c r="AA59" s="94" t="s">
        <v>111</v>
      </c>
      <c r="AB59" s="94">
        <v>5000000</v>
      </c>
      <c r="AC59" s="94" t="s">
        <v>111</v>
      </c>
      <c r="AD59" s="94">
        <v>3022375</v>
      </c>
      <c r="AE59" s="94">
        <v>39.549999999999997</v>
      </c>
      <c r="AF59" s="94" t="s">
        <v>99</v>
      </c>
      <c r="AG59" s="94">
        <v>0</v>
      </c>
      <c r="AH59" s="94">
        <v>0</v>
      </c>
      <c r="AI59" s="94">
        <v>0.2</v>
      </c>
      <c r="AJ59" s="94">
        <v>0</v>
      </c>
      <c r="AK59" s="94">
        <v>0.39552495999999993</v>
      </c>
      <c r="AL59" s="94" t="s">
        <v>99</v>
      </c>
      <c r="AM59" s="93" t="s">
        <v>524</v>
      </c>
      <c r="AN59" s="94"/>
      <c r="AO59" s="94" t="s">
        <v>16</v>
      </c>
      <c r="AP59" s="94" t="s">
        <v>16</v>
      </c>
      <c r="AQ59" s="94"/>
      <c r="AR59" s="94" t="s">
        <v>16</v>
      </c>
      <c r="AS59" s="94"/>
      <c r="AT59" s="94" t="s">
        <v>16</v>
      </c>
      <c r="AU59" s="94">
        <v>5000000</v>
      </c>
      <c r="AV59" s="94">
        <v>3577</v>
      </c>
      <c r="AW59" s="94" t="s">
        <v>16</v>
      </c>
      <c r="AX59" s="94">
        <v>5000000</v>
      </c>
      <c r="AY59" s="94">
        <v>3579.1</v>
      </c>
      <c r="AZ59" s="94" t="s">
        <v>111</v>
      </c>
      <c r="BA59" s="94">
        <v>3022375</v>
      </c>
      <c r="BB59" s="94" t="s">
        <v>99</v>
      </c>
      <c r="BC59" s="94">
        <v>0.2</v>
      </c>
      <c r="BD59" s="94">
        <v>0</v>
      </c>
      <c r="BE59" s="60">
        <f t="array" ref="BE59">IFERROR(INDEX('Com&amp;tax'!$E$2:$E$5, MATCH(1, ('Com&amp;tax'!$A$2:$A$5=B59)*('Com&amp;tax'!$B$2:$B$5=G59), 0)),"")</f>
        <v>0.15</v>
      </c>
      <c r="BF59" s="58">
        <f t="shared" si="117"/>
        <v>750000</v>
      </c>
      <c r="BG59" s="58">
        <f t="array" aca="1" ref="BG59" ca="1">IF(A59="","",( IFERROR((O59/ INDEX(er!$D$3:$D$75,MATCH(1, (er!$A$3:$A$75=$BG$2)*(er!$C$3:$C$75=Q59), 0)))*BE59,"")))</f>
        <v>536.86471009305649</v>
      </c>
      <c r="BH59" s="58">
        <f t="shared" si="118"/>
        <v>-750000</v>
      </c>
      <c r="BI59" s="59">
        <f t="array" ref="BI59">IFERROR(INDEX('Com&amp;tax'!$F$2:$F$5, MATCH(1, ('Com&amp;tax'!$A$2:$A$5=B59)*('Com&amp;tax'!$B$2:$B$5=Y59), 0)),0)</f>
        <v>4.9000000000000002E-2</v>
      </c>
      <c r="BJ59" s="58">
        <f t="shared" si="119"/>
        <v>208250</v>
      </c>
      <c r="BK59" s="58">
        <f t="array" aca="1" ref="BK59" ca="1">IF(A59="","",( IFERROR((J59*(1-BE59))*BI59/INDEX(er!D:D, MATCH(Q59,er!C:C,0),1),0)))</f>
        <v>149.06943450250537</v>
      </c>
      <c r="BL59" s="60">
        <f t="array" ref="BL59">IFERROR(INDEX('Com&amp;tax'!$G$2:$G$5, MATCH(1, ('Com&amp;tax'!$A$2:$A$5=B59)*('Com&amp;tax'!$B$2:$B$5=Y59), 0)),0)</f>
        <v>0.1575</v>
      </c>
      <c r="BM59" s="58">
        <f t="shared" si="120"/>
        <v>669375</v>
      </c>
      <c r="BN59" s="58">
        <f t="array" aca="1" ref="BN59" ca="1">IF(A59="","",( IFERROR((J59*(1-BE59))*BL59/INDEX(er!D:D, MATCH(Q59,er!C:C,0),1),0)))</f>
        <v>479.15175375805296</v>
      </c>
      <c r="BO59" s="60">
        <f t="array" ref="BO59">IFERROR(INDEX('Com&amp;tax'!$H$2:$H$5, MATCH(1, ('Com&amp;tax'!$A$2:$A$5=B59)*('Com&amp;tax'!$B$2:$B$5=Y59), 0)),0)</f>
        <v>7.0000000000000007E-2</v>
      </c>
      <c r="BP59" s="58">
        <f t="shared" si="121"/>
        <v>350000.00000000006</v>
      </c>
      <c r="BQ59" s="58">
        <f t="array" aca="1" ref="BQ59" ca="1">IF(A59="","",( IFERROR(J59*BO59/INDEX(er!D:D, MATCH(Q59,er!C:C,0),1),0)))</f>
        <v>250.53686471009308</v>
      </c>
      <c r="BR59" s="108">
        <f t="array" ref="BR59">IFERROR(INDEX('Com&amp;tax'!$F$2:$F$5, MATCH(1, ('Com&amp;tax'!$A$2:$A$5=B59)*('Com&amp;tax'!$D$2:$D$5=H59), 0)),0)</f>
        <v>4.9000000000000002E-2</v>
      </c>
      <c r="BS59" s="109">
        <f t="shared" si="122"/>
        <v>208250</v>
      </c>
      <c r="BT59" s="109">
        <f t="array" aca="1" ref="BT59" ca="1">IF(A59="","",( IFERROR((J59*(1-BE59))*BR59/INDEX(er!D:D, MATCH(Q59,er!C:C,0),1),0)))</f>
        <v>149.06943450250537</v>
      </c>
      <c r="BU59" s="108">
        <f t="array" ref="BU59">IFERROR(INDEX('Com&amp;tax'!$G$2:$G$5, MATCH(1, ('Com&amp;tax'!$A$2:$A$5=B59)*('Com&amp;tax'!$D$2:$D$5=H59), 0)),0)</f>
        <v>0.1575</v>
      </c>
      <c r="BV59" s="109">
        <f t="shared" si="123"/>
        <v>669375</v>
      </c>
      <c r="BW59" s="109">
        <f t="array" aca="1" ref="BW59" ca="1">IF(A59="","",( IFERROR((J59*(1-BE59))*BU59/INDEX(er!D:D, MATCH(Q59,er!C:C,0),1),0)))</f>
        <v>479.15175375805296</v>
      </c>
      <c r="BX59" s="108">
        <f t="array" ref="BX59">IFERROR(INDEX('Com&amp;tax'!$H$2:$H$5, MATCH(1, ('Com&amp;tax'!$A$2:$A$5=B59)*('Com&amp;tax'!$D$2:$D$5=H59), 0)),0)</f>
        <v>7.0000000000000007E-2</v>
      </c>
      <c r="BY59" s="109">
        <f t="shared" si="124"/>
        <v>350000.00000000006</v>
      </c>
      <c r="BZ59" s="109">
        <f t="array" aca="1" ref="BZ59" ca="1">IF(A59="","",( IFERROR(J59*BX59/INDEX(er!D:D, MATCH(Q59,er!C:C,0),1),0)))</f>
        <v>250.53686471009308</v>
      </c>
      <c r="CA59" s="96">
        <f t="array" aca="1" ref="CA59" ca="1">IF(A59="","",( IFERROR(1-((P59/ INDEX(er!$D$3:$D$75,MATCH(1, (er!$A$3:$A$75=$BG$2)*(er!$C$3:$C$75=Q59), 0))   /  (J59/ INDEX(er!$D$3:$D$75,MATCH(1, (er!$A$3:$A$75=$BG$2)*(er!$C$3:$C$75=L59), 0))))),"")))</f>
        <v>0.39552495999999993</v>
      </c>
      <c r="CB59" s="96">
        <f t="shared" si="125"/>
        <v>0.39552500000000002</v>
      </c>
      <c r="CC59" s="111">
        <f t="shared" ca="1" si="126"/>
        <v>-4.0000000089968069E-8</v>
      </c>
      <c r="CD59" s="110">
        <f t="shared" ref="CD59:CE59" si="137">BJ59+BM59-BS59-BV59</f>
        <v>0</v>
      </c>
      <c r="CE59" s="110">
        <f t="shared" ca="1" si="137"/>
        <v>0</v>
      </c>
      <c r="CF59" s="110">
        <f t="shared" ca="1" si="128"/>
        <v>0</v>
      </c>
      <c r="CG59" s="8" t="str">
        <f t="shared" si="129"/>
        <v>OK</v>
      </c>
      <c r="CH59" s="8"/>
      <c r="CI59" t="s">
        <v>99</v>
      </c>
      <c r="CK59" s="240">
        <v>0</v>
      </c>
      <c r="CL59" s="239">
        <f ca="1">(AI59+CK59)/INDEX(er!D:D,MATCH(AC59,er!C:C,0),1)</f>
        <v>1.4316392269148176E-4</v>
      </c>
      <c r="CN59" s="239">
        <f ca="1">CK59/INDEX(er!D:D,MATCH(AC59,er!C:C,0),1)</f>
        <v>0</v>
      </c>
    </row>
    <row r="60" spans="1:92" ht="12.5" x14ac:dyDescent="0.25">
      <c r="A60" s="93" t="s">
        <v>307</v>
      </c>
      <c r="B60" s="93" t="s">
        <v>96</v>
      </c>
      <c r="C60" s="93" t="s">
        <v>103</v>
      </c>
      <c r="D60" s="93" t="s">
        <v>308</v>
      </c>
      <c r="E60" s="93" t="s">
        <v>101</v>
      </c>
      <c r="F60" s="93"/>
      <c r="G60" s="94" t="s">
        <v>107</v>
      </c>
      <c r="H60" s="93" t="s">
        <v>436</v>
      </c>
      <c r="I60" s="94" t="s">
        <v>107</v>
      </c>
      <c r="J60" s="94">
        <v>4884766</v>
      </c>
      <c r="K60" s="94">
        <v>4884766</v>
      </c>
      <c r="L60" s="94" t="s">
        <v>111</v>
      </c>
      <c r="M60" s="94">
        <v>4884766</v>
      </c>
      <c r="N60" s="94" t="s">
        <v>111</v>
      </c>
      <c r="O60" s="94">
        <v>4884766</v>
      </c>
      <c r="P60" s="94">
        <v>2952719.12</v>
      </c>
      <c r="Q60" s="93" t="s">
        <v>111</v>
      </c>
      <c r="R60" s="94" t="s">
        <v>105</v>
      </c>
      <c r="S60" s="94"/>
      <c r="T60" s="94"/>
      <c r="U60" s="94">
        <v>0</v>
      </c>
      <c r="V60" s="93" t="s">
        <v>94</v>
      </c>
      <c r="W60" s="8" t="s">
        <v>98</v>
      </c>
      <c r="X60" s="94" t="s">
        <v>103</v>
      </c>
      <c r="Y60" s="94" t="s">
        <v>107</v>
      </c>
      <c r="Z60" s="94" t="s">
        <v>105</v>
      </c>
      <c r="AA60" s="94" t="s">
        <v>111</v>
      </c>
      <c r="AB60" s="94">
        <v>4884766</v>
      </c>
      <c r="AC60" s="94" t="s">
        <v>111</v>
      </c>
      <c r="AD60" s="94">
        <v>2952718.93</v>
      </c>
      <c r="AE60" s="94">
        <v>39.549999999999997</v>
      </c>
      <c r="AF60" s="94" t="s">
        <v>99</v>
      </c>
      <c r="AG60" s="94">
        <v>0</v>
      </c>
      <c r="AH60" s="94">
        <v>0</v>
      </c>
      <c r="AI60" s="94">
        <v>0.19</v>
      </c>
      <c r="AJ60" s="94">
        <v>0</v>
      </c>
      <c r="AK60" s="94">
        <v>0.39552496066341758</v>
      </c>
      <c r="AL60" s="94" t="s">
        <v>99</v>
      </c>
      <c r="AM60" s="93" t="s">
        <v>525</v>
      </c>
      <c r="AN60" s="94"/>
      <c r="AO60" s="94" t="s">
        <v>16</v>
      </c>
      <c r="AP60" s="94" t="s">
        <v>16</v>
      </c>
      <c r="AQ60" s="94"/>
      <c r="AR60" s="94" t="s">
        <v>16</v>
      </c>
      <c r="AS60" s="94"/>
      <c r="AT60" s="94" t="s">
        <v>16</v>
      </c>
      <c r="AU60" s="94">
        <v>4884766</v>
      </c>
      <c r="AV60" s="94">
        <v>3495</v>
      </c>
      <c r="AW60" s="94" t="s">
        <v>16</v>
      </c>
      <c r="AX60" s="94">
        <v>4884766</v>
      </c>
      <c r="AY60" s="94">
        <v>3496.61</v>
      </c>
      <c r="AZ60" s="94" t="s">
        <v>111</v>
      </c>
      <c r="BA60" s="94">
        <v>2952718.93</v>
      </c>
      <c r="BB60" s="94" t="s">
        <v>99</v>
      </c>
      <c r="BC60" s="94">
        <v>0.19</v>
      </c>
      <c r="BD60" s="94">
        <v>0</v>
      </c>
      <c r="BE60" s="60">
        <f t="array" ref="BE60">IFERROR(INDEX('Com&amp;tax'!$E$2:$E$5, MATCH(1, ('Com&amp;tax'!$A$2:$A$5=B60)*('Com&amp;tax'!$B$2:$B$5=G60), 0)),"")</f>
        <v>0.15</v>
      </c>
      <c r="BF60" s="58">
        <f t="shared" si="117"/>
        <v>732714.9</v>
      </c>
      <c r="BG60" s="58">
        <f t="array" aca="1" ref="BG60" ca="1">IF(A60="","",( IFERROR((O60/ INDEX(er!$D$3:$D$75,MATCH(1, (er!$A$3:$A$75=$BG$2)*(er!$C$3:$C$75=Q60), 0)))*BE60,"")))</f>
        <v>524.49169649248381</v>
      </c>
      <c r="BH60" s="58">
        <f t="shared" si="118"/>
        <v>-732714.9</v>
      </c>
      <c r="BI60" s="59">
        <f t="array" ref="BI60">IFERROR(INDEX('Com&amp;tax'!$F$2:$F$5, MATCH(1, ('Com&amp;tax'!$A$2:$A$5=B60)*('Com&amp;tax'!$B$2:$B$5=Y60), 0)),0)</f>
        <v>4.9000000000000002E-2</v>
      </c>
      <c r="BJ60" s="58">
        <f t="shared" si="119"/>
        <v>203450.50390000001</v>
      </c>
      <c r="BK60" s="58">
        <f t="array" aca="1" ref="BK60" ca="1">IF(A60="","",( IFERROR((J60*(1-BE60))*BI60/INDEX(er!D:D, MATCH(Q60,er!C:C,0),1),0)))</f>
        <v>145.63386105941302</v>
      </c>
      <c r="BL60" s="60">
        <f t="array" ref="BL60">IFERROR(INDEX('Com&amp;tax'!$G$2:$G$5, MATCH(1, ('Com&amp;tax'!$A$2:$A$5=B60)*('Com&amp;tax'!$B$2:$B$5=Y60), 0)),0)</f>
        <v>0.1575</v>
      </c>
      <c r="BM60" s="58">
        <f t="shared" si="120"/>
        <v>653948.04824999999</v>
      </c>
      <c r="BN60" s="58">
        <f t="array" aca="1" ref="BN60" ca="1">IF(A60="","",( IFERROR((J60*(1-BE60))*BL60/INDEX(er!D:D, MATCH(Q60,er!C:C,0),1),0)))</f>
        <v>468.10883911954187</v>
      </c>
      <c r="BO60" s="60">
        <f t="array" ref="BO60">IFERROR(INDEX('Com&amp;tax'!$H$2:$H$5, MATCH(1, ('Com&amp;tax'!$A$2:$A$5=B60)*('Com&amp;tax'!$B$2:$B$5=Y60), 0)),0)</f>
        <v>7.0000000000000007E-2</v>
      </c>
      <c r="BP60" s="58">
        <f t="shared" si="121"/>
        <v>341933.62000000005</v>
      </c>
      <c r="BQ60" s="58">
        <f t="array" aca="1" ref="BQ60" ca="1">IF(A60="","",( IFERROR(J60*BO60/INDEX(er!D:D, MATCH(Q60,er!C:C,0),1),0)))</f>
        <v>244.76279169649251</v>
      </c>
      <c r="BR60" s="108">
        <f t="array" ref="BR60">IFERROR(INDEX('Com&amp;tax'!$F$2:$F$5, MATCH(1, ('Com&amp;tax'!$A$2:$A$5=B60)*('Com&amp;tax'!$D$2:$D$5=H60), 0)),0)</f>
        <v>4.9000000000000002E-2</v>
      </c>
      <c r="BS60" s="109">
        <f t="shared" si="122"/>
        <v>203450.50390000001</v>
      </c>
      <c r="BT60" s="109">
        <f t="array" aca="1" ref="BT60" ca="1">IF(A60="","",( IFERROR((J60*(1-BE60))*BR60/INDEX(er!D:D, MATCH(Q60,er!C:C,0),1),0)))</f>
        <v>145.63386105941302</v>
      </c>
      <c r="BU60" s="108">
        <f t="array" ref="BU60">IFERROR(INDEX('Com&amp;tax'!$G$2:$G$5, MATCH(1, ('Com&amp;tax'!$A$2:$A$5=B60)*('Com&amp;tax'!$D$2:$D$5=H60), 0)),0)</f>
        <v>0.1575</v>
      </c>
      <c r="BV60" s="109">
        <f t="shared" si="123"/>
        <v>653948.04824999999</v>
      </c>
      <c r="BW60" s="109">
        <f t="array" aca="1" ref="BW60" ca="1">IF(A60="","",( IFERROR((J60*(1-BE60))*BU60/INDEX(er!D:D, MATCH(Q60,er!C:C,0),1),0)))</f>
        <v>468.10883911954187</v>
      </c>
      <c r="BX60" s="108">
        <f t="array" ref="BX60">IFERROR(INDEX('Com&amp;tax'!$H$2:$H$5, MATCH(1, ('Com&amp;tax'!$A$2:$A$5=B60)*('Com&amp;tax'!$D$2:$D$5=H60), 0)),0)</f>
        <v>7.0000000000000007E-2</v>
      </c>
      <c r="BY60" s="109">
        <f t="shared" si="124"/>
        <v>341933.62000000005</v>
      </c>
      <c r="BZ60" s="109">
        <f t="array" aca="1" ref="BZ60" ca="1">IF(A60="","",( IFERROR(J60*BX60/INDEX(er!D:D, MATCH(Q60,er!C:C,0),1),0)))</f>
        <v>244.76279169649251</v>
      </c>
      <c r="CA60" s="96">
        <f t="array" aca="1" ref="CA60" ca="1">IF(A60="","",( IFERROR(1-((P60/ INDEX(er!$D$3:$D$75,MATCH(1, (er!$A$3:$A$75=$BG$2)*(er!$C$3:$C$75=Q60), 0))   /  (J60/ INDEX(er!$D$3:$D$75,MATCH(1, (er!$A$3:$A$75=$BG$2)*(er!$C$3:$C$75=L60), 0))))),"")))</f>
        <v>0.39552496066341758</v>
      </c>
      <c r="CB60" s="96">
        <f t="shared" si="125"/>
        <v>0.39552499955985609</v>
      </c>
      <c r="CC60" s="111">
        <f t="shared" ca="1" si="126"/>
        <v>-3.8896438514512965E-8</v>
      </c>
      <c r="CD60" s="110">
        <f t="shared" ref="CD60:CE60" si="138">BJ60+BM60-BS60-BV60</f>
        <v>0</v>
      </c>
      <c r="CE60" s="110">
        <f t="shared" ca="1" si="138"/>
        <v>0</v>
      </c>
      <c r="CF60" s="110">
        <f t="shared" ca="1" si="128"/>
        <v>0</v>
      </c>
      <c r="CG60" s="8" t="str">
        <f t="shared" si="129"/>
        <v>OK</v>
      </c>
      <c r="CH60" s="8"/>
      <c r="CI60" t="s">
        <v>99</v>
      </c>
      <c r="CK60" s="240">
        <v>0</v>
      </c>
      <c r="CL60" s="239">
        <f ca="1">(AI60+CK60)/INDEX(er!D:D,MATCH(AC60,er!C:C,0),1)</f>
        <v>1.3600572655690765E-4</v>
      </c>
      <c r="CN60" s="239">
        <f ca="1">CK60/INDEX(er!D:D,MATCH(AC60,er!C:C,0),1)</f>
        <v>0</v>
      </c>
    </row>
    <row r="61" spans="1:92" ht="12.5" x14ac:dyDescent="0.25">
      <c r="A61" s="93" t="s">
        <v>311</v>
      </c>
      <c r="B61" s="93" t="s">
        <v>96</v>
      </c>
      <c r="C61" s="93" t="s">
        <v>103</v>
      </c>
      <c r="D61" s="93" t="s">
        <v>312</v>
      </c>
      <c r="E61" s="93"/>
      <c r="F61" s="93"/>
      <c r="G61" s="94" t="s">
        <v>107</v>
      </c>
      <c r="H61" s="93" t="s">
        <v>436</v>
      </c>
      <c r="I61" s="94" t="s">
        <v>107</v>
      </c>
      <c r="J61" s="94">
        <v>12365642.550000001</v>
      </c>
      <c r="K61" s="94">
        <v>12365642.550000001</v>
      </c>
      <c r="L61" s="94" t="s">
        <v>111</v>
      </c>
      <c r="M61" s="94">
        <v>12365642.550000001</v>
      </c>
      <c r="N61" s="94" t="s">
        <v>111</v>
      </c>
      <c r="O61" s="94">
        <v>12365642.550000001</v>
      </c>
      <c r="P61" s="94">
        <v>7474722.2800000003</v>
      </c>
      <c r="Q61" s="93" t="s">
        <v>111</v>
      </c>
      <c r="R61" s="94" t="s">
        <v>105</v>
      </c>
      <c r="S61" s="94"/>
      <c r="T61" s="94"/>
      <c r="U61" s="94">
        <v>0</v>
      </c>
      <c r="V61" s="93" t="s">
        <v>94</v>
      </c>
      <c r="W61" s="8" t="s">
        <v>98</v>
      </c>
      <c r="X61" s="94" t="s">
        <v>103</v>
      </c>
      <c r="Y61" s="94" t="s">
        <v>107</v>
      </c>
      <c r="Z61" s="94" t="s">
        <v>105</v>
      </c>
      <c r="AA61" s="94" t="s">
        <v>111</v>
      </c>
      <c r="AB61" s="94">
        <v>12365642.550000001</v>
      </c>
      <c r="AC61" s="94" t="s">
        <v>111</v>
      </c>
      <c r="AD61" s="94">
        <v>7474721.7800000003</v>
      </c>
      <c r="AE61" s="94">
        <v>39.549999999999997</v>
      </c>
      <c r="AF61" s="94" t="s">
        <v>99</v>
      </c>
      <c r="AG61" s="94">
        <v>0</v>
      </c>
      <c r="AH61" s="94">
        <v>0</v>
      </c>
      <c r="AI61" s="94">
        <v>0.5</v>
      </c>
      <c r="AJ61" s="94">
        <v>0</v>
      </c>
      <c r="AK61" s="94">
        <v>0.3955249595986422</v>
      </c>
      <c r="AL61" s="94" t="s">
        <v>99</v>
      </c>
      <c r="AM61" s="93" t="s">
        <v>526</v>
      </c>
      <c r="AN61" s="94"/>
      <c r="AO61" s="94" t="s">
        <v>16</v>
      </c>
      <c r="AP61" s="94" t="s">
        <v>16</v>
      </c>
      <c r="AQ61" s="94"/>
      <c r="AR61" s="94" t="s">
        <v>16</v>
      </c>
      <c r="AS61" s="94"/>
      <c r="AT61" s="94" t="s">
        <v>16</v>
      </c>
      <c r="AU61" s="94">
        <v>12365642.550000001</v>
      </c>
      <c r="AV61" s="94">
        <v>8850</v>
      </c>
      <c r="AW61" s="94" t="s">
        <v>16</v>
      </c>
      <c r="AX61" s="94">
        <v>12365642.550000001</v>
      </c>
      <c r="AY61" s="94">
        <v>8851.57</v>
      </c>
      <c r="AZ61" s="94" t="s">
        <v>111</v>
      </c>
      <c r="BA61" s="94">
        <v>7474721.7800000003</v>
      </c>
      <c r="BB61" s="94" t="s">
        <v>99</v>
      </c>
      <c r="BC61" s="94">
        <v>0.5</v>
      </c>
      <c r="BD61" s="94">
        <v>0</v>
      </c>
      <c r="BE61" s="60">
        <f t="array" ref="BE61">IFERROR(INDEX('Com&amp;tax'!$E$2:$E$5, MATCH(1, ('Com&amp;tax'!$A$2:$A$5=B61)*('Com&amp;tax'!$B$2:$B$5=G61), 0)),"")</f>
        <v>0.15</v>
      </c>
      <c r="BF61" s="58">
        <f t="shared" si="117"/>
        <v>1854846.3825000001</v>
      </c>
      <c r="BG61" s="58">
        <f t="array" aca="1" ref="BG61" ca="1">IF(A61="","",( IFERROR((O61/ INDEX(er!$D$3:$D$75,MATCH(1, (er!$A$3:$A$75=$BG$2)*(er!$C$3:$C$75=Q61), 0)))*BE61,"")))</f>
        <v>1327.7354205440231</v>
      </c>
      <c r="BH61" s="58">
        <f t="shared" si="118"/>
        <v>-1854846.3825000001</v>
      </c>
      <c r="BI61" s="59">
        <f t="array" ref="BI61">IFERROR(INDEX('Com&amp;tax'!$F$2:$F$5, MATCH(1, ('Com&amp;tax'!$A$2:$A$5=B61)*('Com&amp;tax'!$B$2:$B$5=Y61), 0)),0)</f>
        <v>4.9000000000000002E-2</v>
      </c>
      <c r="BJ61" s="58">
        <f t="shared" si="119"/>
        <v>515029.01220750005</v>
      </c>
      <c r="BK61" s="58">
        <f t="array" aca="1" ref="BK61" ca="1">IF(A61="","",( IFERROR((J61*(1-BE61))*BI61/INDEX(er!D:D, MATCH(Q61,er!C:C,0),1),0)))</f>
        <v>368.66786843772371</v>
      </c>
      <c r="BL61" s="60">
        <f t="array" ref="BL61">IFERROR(INDEX('Com&amp;tax'!$G$2:$G$5, MATCH(1, ('Com&amp;tax'!$A$2:$A$5=B61)*('Com&amp;tax'!$B$2:$B$5=Y61), 0)),0)</f>
        <v>0.1575</v>
      </c>
      <c r="BM61" s="58">
        <f t="shared" si="120"/>
        <v>1655450.3963812501</v>
      </c>
      <c r="BN61" s="58">
        <f t="array" aca="1" ref="BN61" ca="1">IF(A61="","",( IFERROR((J61*(1-BE61))*BL61/INDEX(er!D:D, MATCH(Q61,er!C:C,0),1),0)))</f>
        <v>1185.0038628355405</v>
      </c>
      <c r="BO61" s="60">
        <f t="array" ref="BO61">IFERROR(INDEX('Com&amp;tax'!$H$2:$H$5, MATCH(1, ('Com&amp;tax'!$A$2:$A$5=B61)*('Com&amp;tax'!$B$2:$B$5=Y61), 0)),0)</f>
        <v>7.0000000000000007E-2</v>
      </c>
      <c r="BP61" s="58">
        <f t="shared" si="121"/>
        <v>865594.97850000008</v>
      </c>
      <c r="BQ61" s="58">
        <f t="array" aca="1" ref="BQ61" ca="1">IF(A61="","",( IFERROR(J61*BO61/INDEX(er!D:D, MATCH(Q61,er!C:C,0),1),0)))</f>
        <v>619.60986292054406</v>
      </c>
      <c r="BR61" s="108">
        <f t="array" ref="BR61">IFERROR(INDEX('Com&amp;tax'!$F$2:$F$5, MATCH(1, ('Com&amp;tax'!$A$2:$A$5=B61)*('Com&amp;tax'!$D$2:$D$5=H61), 0)),0)</f>
        <v>4.9000000000000002E-2</v>
      </c>
      <c r="BS61" s="109">
        <f t="shared" si="122"/>
        <v>515029.01220750005</v>
      </c>
      <c r="BT61" s="109">
        <f t="array" aca="1" ref="BT61" ca="1">IF(A61="","",( IFERROR((J61*(1-BE61))*BR61/INDEX(er!D:D, MATCH(Q61,er!C:C,0),1),0)))</f>
        <v>368.66786843772371</v>
      </c>
      <c r="BU61" s="108">
        <f t="array" ref="BU61">IFERROR(INDEX('Com&amp;tax'!$G$2:$G$5, MATCH(1, ('Com&amp;tax'!$A$2:$A$5=B61)*('Com&amp;tax'!$D$2:$D$5=H61), 0)),0)</f>
        <v>0.1575</v>
      </c>
      <c r="BV61" s="109">
        <f t="shared" si="123"/>
        <v>1655450.3963812501</v>
      </c>
      <c r="BW61" s="109">
        <f t="array" aca="1" ref="BW61" ca="1">IF(A61="","",( IFERROR((J61*(1-BE61))*BU61/INDEX(er!D:D, MATCH(Q61,er!C:C,0),1),0)))</f>
        <v>1185.0038628355405</v>
      </c>
      <c r="BX61" s="108">
        <f t="array" ref="BX61">IFERROR(INDEX('Com&amp;tax'!$H$2:$H$5, MATCH(1, ('Com&amp;tax'!$A$2:$A$5=B61)*('Com&amp;tax'!$D$2:$D$5=H61), 0)),0)</f>
        <v>7.0000000000000007E-2</v>
      </c>
      <c r="BY61" s="109">
        <f t="shared" si="124"/>
        <v>865594.97850000008</v>
      </c>
      <c r="BZ61" s="109">
        <f t="array" aca="1" ref="BZ61" ca="1">IF(A61="","",( IFERROR(J61*BX61/INDEX(er!D:D, MATCH(Q61,er!C:C,0),1),0)))</f>
        <v>619.60986292054406</v>
      </c>
      <c r="CA61" s="96">
        <f t="array" aca="1" ref="CA61" ca="1">IF(A61="","",( IFERROR(1-((P61/ INDEX(er!$D$3:$D$75,MATCH(1, (er!$A$3:$A$75=$BG$2)*(er!$C$3:$C$75=Q61), 0))   /  (J61/ INDEX(er!$D$3:$D$75,MATCH(1, (er!$A$3:$A$75=$BG$2)*(er!$C$3:$C$75=L61), 0))))),"")))</f>
        <v>0.3955249595986422</v>
      </c>
      <c r="CB61" s="96">
        <f t="shared" si="125"/>
        <v>0.39552500003325752</v>
      </c>
      <c r="CC61" s="111">
        <f t="shared" ca="1" si="126"/>
        <v>-4.0434615322659795E-8</v>
      </c>
      <c r="CD61" s="110">
        <f t="shared" ref="CD61:CE61" si="139">BJ61+BM61-BS61-BV61</f>
        <v>0</v>
      </c>
      <c r="CE61" s="110">
        <f t="shared" ca="1" si="139"/>
        <v>0</v>
      </c>
      <c r="CF61" s="110">
        <f t="shared" ca="1" si="128"/>
        <v>0</v>
      </c>
      <c r="CG61" s="8" t="str">
        <f t="shared" si="129"/>
        <v>OK</v>
      </c>
      <c r="CH61" s="8"/>
      <c r="CI61" t="s">
        <v>99</v>
      </c>
      <c r="CK61" s="240">
        <v>0</v>
      </c>
      <c r="CL61" s="239">
        <f ca="1">(AI61+CK61)/INDEX(er!D:D,MATCH(AC61,er!C:C,0),1)</f>
        <v>3.5790980672870435E-4</v>
      </c>
      <c r="CN61" s="239">
        <f ca="1">CK61/INDEX(er!D:D,MATCH(AC61,er!C:C,0),1)</f>
        <v>0</v>
      </c>
    </row>
    <row r="62" spans="1:92" ht="12.5" x14ac:dyDescent="0.25">
      <c r="A62" s="93" t="s">
        <v>314</v>
      </c>
      <c r="B62" s="93" t="s">
        <v>96</v>
      </c>
      <c r="C62" s="93" t="s">
        <v>103</v>
      </c>
      <c r="D62" s="93" t="s">
        <v>315</v>
      </c>
      <c r="E62" s="93"/>
      <c r="F62" s="93"/>
      <c r="G62" s="94" t="s">
        <v>107</v>
      </c>
      <c r="H62" s="93" t="s">
        <v>436</v>
      </c>
      <c r="I62" s="94" t="s">
        <v>107</v>
      </c>
      <c r="J62" s="94">
        <v>2489548.4</v>
      </c>
      <c r="K62" s="94">
        <v>2489548.4</v>
      </c>
      <c r="L62" s="94" t="s">
        <v>111</v>
      </c>
      <c r="M62" s="94">
        <v>2489548.4</v>
      </c>
      <c r="N62" s="94" t="s">
        <v>111</v>
      </c>
      <c r="O62" s="94">
        <v>2489548.4</v>
      </c>
      <c r="P62" s="94">
        <v>1504869.87</v>
      </c>
      <c r="Q62" s="93" t="s">
        <v>111</v>
      </c>
      <c r="R62" s="94" t="s">
        <v>105</v>
      </c>
      <c r="S62" s="94"/>
      <c r="T62" s="94"/>
      <c r="U62" s="94">
        <v>0</v>
      </c>
      <c r="V62" s="93" t="s">
        <v>94</v>
      </c>
      <c r="W62" s="8" t="s">
        <v>98</v>
      </c>
      <c r="X62" s="94" t="s">
        <v>103</v>
      </c>
      <c r="Y62" s="94" t="s">
        <v>107</v>
      </c>
      <c r="Z62" s="94" t="s">
        <v>105</v>
      </c>
      <c r="AA62" s="94" t="s">
        <v>111</v>
      </c>
      <c r="AB62" s="94">
        <v>2489548.4</v>
      </c>
      <c r="AC62" s="94" t="s">
        <v>111</v>
      </c>
      <c r="AD62" s="94">
        <v>1504869.77</v>
      </c>
      <c r="AE62" s="94">
        <v>39.549999999999997</v>
      </c>
      <c r="AF62" s="94" t="s">
        <v>99</v>
      </c>
      <c r="AG62" s="94">
        <v>0</v>
      </c>
      <c r="AH62" s="94">
        <v>0</v>
      </c>
      <c r="AI62" s="94">
        <v>0.1</v>
      </c>
      <c r="AJ62" s="94">
        <v>0</v>
      </c>
      <c r="AK62" s="94">
        <v>0.39552495946654409</v>
      </c>
      <c r="AL62" s="94" t="s">
        <v>99</v>
      </c>
      <c r="AM62" s="93" t="s">
        <v>527</v>
      </c>
      <c r="AN62" s="94"/>
      <c r="AO62" s="94" t="s">
        <v>16</v>
      </c>
      <c r="AP62" s="94" t="s">
        <v>16</v>
      </c>
      <c r="AQ62" s="94"/>
      <c r="AR62" s="94" t="s">
        <v>16</v>
      </c>
      <c r="AS62" s="94"/>
      <c r="AT62" s="94" t="s">
        <v>16</v>
      </c>
      <c r="AU62" s="94">
        <v>2489548.4</v>
      </c>
      <c r="AV62" s="94">
        <v>1780</v>
      </c>
      <c r="AW62" s="94" t="s">
        <v>16</v>
      </c>
      <c r="AX62" s="94">
        <v>2489548.4</v>
      </c>
      <c r="AY62" s="94">
        <v>1782.07</v>
      </c>
      <c r="AZ62" s="94" t="s">
        <v>111</v>
      </c>
      <c r="BA62" s="94">
        <v>1504869.77</v>
      </c>
      <c r="BB62" s="94" t="s">
        <v>99</v>
      </c>
      <c r="BC62" s="94">
        <v>0.1</v>
      </c>
      <c r="BD62" s="94">
        <v>0</v>
      </c>
      <c r="BE62" s="60">
        <f t="array" ref="BE62">IFERROR(INDEX('Com&amp;tax'!$E$2:$E$5, MATCH(1, ('Com&amp;tax'!$A$2:$A$5=B62)*('Com&amp;tax'!$B$2:$B$5=G62), 0)),"")</f>
        <v>0.15</v>
      </c>
      <c r="BF62" s="58">
        <f t="shared" si="117"/>
        <v>373432.25999999995</v>
      </c>
      <c r="BG62" s="58">
        <f t="array" aca="1" ref="BG62" ca="1">IF(A62="","",( IFERROR((O62/ INDEX(er!$D$3:$D$75,MATCH(1, (er!$A$3:$A$75=$BG$2)*(er!$C$3:$C$75=Q62), 0)))*BE62,"")))</f>
        <v>267.31013600572652</v>
      </c>
      <c r="BH62" s="58">
        <f t="shared" si="118"/>
        <v>-373432.25999999995</v>
      </c>
      <c r="BI62" s="59">
        <f t="array" ref="BI62">IFERROR(INDEX('Com&amp;tax'!$F$2:$F$5, MATCH(1, ('Com&amp;tax'!$A$2:$A$5=B62)*('Com&amp;tax'!$B$2:$B$5=Y62), 0)),0)</f>
        <v>4.9000000000000002E-2</v>
      </c>
      <c r="BJ62" s="58">
        <f t="shared" si="119"/>
        <v>103689.69085999999</v>
      </c>
      <c r="BK62" s="58">
        <f t="array" aca="1" ref="BK62" ca="1">IF(A62="","",( IFERROR((J62*(1-BE62))*BI62/INDEX(er!D:D, MATCH(Q62,er!C:C,0),1),0)))</f>
        <v>74.223114430923403</v>
      </c>
      <c r="BL62" s="60">
        <f t="array" ref="BL62">IFERROR(INDEX('Com&amp;tax'!$G$2:$G$5, MATCH(1, ('Com&amp;tax'!$A$2:$A$5=B62)*('Com&amp;tax'!$B$2:$B$5=Y62), 0)),0)</f>
        <v>0.1575</v>
      </c>
      <c r="BM62" s="58">
        <f t="shared" si="120"/>
        <v>333288.29204999993</v>
      </c>
      <c r="BN62" s="58">
        <f t="array" aca="1" ref="BN62" ca="1">IF(A62="","",( IFERROR((J62*(1-BE62))*BL62/INDEX(er!D:D, MATCH(Q62,er!C:C,0),1),0)))</f>
        <v>238.5742963851109</v>
      </c>
      <c r="BO62" s="60">
        <f t="array" ref="BO62">IFERROR(INDEX('Com&amp;tax'!$H$2:$H$5, MATCH(1, ('Com&amp;tax'!$A$2:$A$5=B62)*('Com&amp;tax'!$B$2:$B$5=Y62), 0)),0)</f>
        <v>7.0000000000000007E-2</v>
      </c>
      <c r="BP62" s="58">
        <f t="shared" si="121"/>
        <v>174268.38800000001</v>
      </c>
      <c r="BQ62" s="58">
        <f t="array" aca="1" ref="BQ62" ca="1">IF(A62="","",( IFERROR(J62*BO62/INDEX(er!D:D, MATCH(Q62,er!C:C,0),1),0)))</f>
        <v>124.74473013600573</v>
      </c>
      <c r="BR62" s="108">
        <f t="array" ref="BR62">IFERROR(INDEX('Com&amp;tax'!$F$2:$F$5, MATCH(1, ('Com&amp;tax'!$A$2:$A$5=B62)*('Com&amp;tax'!$D$2:$D$5=H62), 0)),0)</f>
        <v>4.9000000000000002E-2</v>
      </c>
      <c r="BS62" s="109">
        <f t="shared" si="122"/>
        <v>103689.69085999999</v>
      </c>
      <c r="BT62" s="109">
        <f t="array" aca="1" ref="BT62" ca="1">IF(A62="","",( IFERROR((J62*(1-BE62))*BR62/INDEX(er!D:D, MATCH(Q62,er!C:C,0),1),0)))</f>
        <v>74.223114430923403</v>
      </c>
      <c r="BU62" s="108">
        <f t="array" ref="BU62">IFERROR(INDEX('Com&amp;tax'!$G$2:$G$5, MATCH(1, ('Com&amp;tax'!$A$2:$A$5=B62)*('Com&amp;tax'!$D$2:$D$5=H62), 0)),0)</f>
        <v>0.1575</v>
      </c>
      <c r="BV62" s="109">
        <f t="shared" si="123"/>
        <v>333288.29204999993</v>
      </c>
      <c r="BW62" s="109">
        <f t="array" aca="1" ref="BW62" ca="1">IF(A62="","",( IFERROR((J62*(1-BE62))*BU62/INDEX(er!D:D, MATCH(Q62,er!C:C,0),1),0)))</f>
        <v>238.5742963851109</v>
      </c>
      <c r="BX62" s="108">
        <f t="array" ref="BX62">IFERROR(INDEX('Com&amp;tax'!$H$2:$H$5, MATCH(1, ('Com&amp;tax'!$A$2:$A$5=B62)*('Com&amp;tax'!$D$2:$D$5=H62), 0)),0)</f>
        <v>7.0000000000000007E-2</v>
      </c>
      <c r="BY62" s="109">
        <f t="shared" si="124"/>
        <v>174268.38800000001</v>
      </c>
      <c r="BZ62" s="109">
        <f t="array" aca="1" ref="BZ62" ca="1">IF(A62="","",( IFERROR(J62*BX62/INDEX(er!D:D, MATCH(Q62,er!C:C,0),1),0)))</f>
        <v>124.74473013600573</v>
      </c>
      <c r="CA62" s="96">
        <f t="array" aca="1" ref="CA62" ca="1">IF(A62="","",( IFERROR(1-((P62/ INDEX(er!$D$3:$D$75,MATCH(1, (er!$A$3:$A$75=$BG$2)*(er!$C$3:$C$75=Q62), 0))   /  (J62/ INDEX(er!$D$3:$D$75,MATCH(1, (er!$A$3:$A$75=$BG$2)*(er!$C$3:$C$75=L62), 0))))),"")))</f>
        <v>0.39552495946654409</v>
      </c>
      <c r="CB62" s="96">
        <f t="shared" si="125"/>
        <v>0.39552499963447185</v>
      </c>
      <c r="CC62" s="111">
        <f t="shared" ca="1" si="126"/>
        <v>-4.0167927761736166E-8</v>
      </c>
      <c r="CD62" s="110">
        <f t="shared" ref="CD62:CE62" si="140">BJ62+BM62-BS62-BV62</f>
        <v>0</v>
      </c>
      <c r="CE62" s="110">
        <f t="shared" ca="1" si="140"/>
        <v>0</v>
      </c>
      <c r="CF62" s="110">
        <f t="shared" ca="1" si="128"/>
        <v>0</v>
      </c>
      <c r="CG62" s="8" t="str">
        <f t="shared" si="129"/>
        <v>OK</v>
      </c>
      <c r="CH62" s="8"/>
      <c r="CI62" t="s">
        <v>99</v>
      </c>
      <c r="CK62" s="240">
        <v>0</v>
      </c>
      <c r="CL62" s="239">
        <f ca="1">(AI62+CK62)/INDEX(er!D:D,MATCH(AC62,er!C:C,0),1)</f>
        <v>7.1581961345740878E-5</v>
      </c>
      <c r="CN62" s="239">
        <f ca="1">CK62/INDEX(er!D:D,MATCH(AC62,er!C:C,0),1)</f>
        <v>0</v>
      </c>
    </row>
    <row r="63" spans="1:92" ht="12.5" x14ac:dyDescent="0.25">
      <c r="A63" s="93" t="s">
        <v>318</v>
      </c>
      <c r="B63" s="93" t="s">
        <v>96</v>
      </c>
      <c r="C63" s="93" t="s">
        <v>103</v>
      </c>
      <c r="D63" s="93" t="s">
        <v>319</v>
      </c>
      <c r="E63" s="93"/>
      <c r="F63" s="93"/>
      <c r="G63" s="94" t="s">
        <v>107</v>
      </c>
      <c r="H63" s="93" t="s">
        <v>436</v>
      </c>
      <c r="I63" s="94" t="s">
        <v>107</v>
      </c>
      <c r="J63" s="94">
        <v>4396289.4000000004</v>
      </c>
      <c r="K63" s="94">
        <v>4396289.4000000004</v>
      </c>
      <c r="L63" s="94" t="s">
        <v>111</v>
      </c>
      <c r="M63" s="94">
        <v>4396289.4000000004</v>
      </c>
      <c r="N63" s="94" t="s">
        <v>111</v>
      </c>
      <c r="O63" s="94">
        <v>4396289.4000000004</v>
      </c>
      <c r="P63" s="94">
        <v>2657447.21</v>
      </c>
      <c r="Q63" s="93" t="s">
        <v>111</v>
      </c>
      <c r="R63" s="94" t="s">
        <v>105</v>
      </c>
      <c r="S63" s="94"/>
      <c r="T63" s="94"/>
      <c r="U63" s="94">
        <v>0</v>
      </c>
      <c r="V63" s="93" t="s">
        <v>94</v>
      </c>
      <c r="W63" s="8" t="s">
        <v>98</v>
      </c>
      <c r="X63" s="94" t="s">
        <v>103</v>
      </c>
      <c r="Y63" s="94" t="s">
        <v>107</v>
      </c>
      <c r="Z63" s="94" t="s">
        <v>105</v>
      </c>
      <c r="AA63" s="94" t="s">
        <v>111</v>
      </c>
      <c r="AB63" s="94">
        <v>4396289.4000000004</v>
      </c>
      <c r="AC63" s="94" t="s">
        <v>111</v>
      </c>
      <c r="AD63" s="94">
        <v>3429105.73</v>
      </c>
      <c r="AE63" s="94">
        <v>22</v>
      </c>
      <c r="AF63" s="94" t="s">
        <v>99</v>
      </c>
      <c r="AG63" s="94">
        <v>0</v>
      </c>
      <c r="AH63" s="94">
        <v>0</v>
      </c>
      <c r="AI63" s="94">
        <v>-771658.52</v>
      </c>
      <c r="AJ63" s="94">
        <v>-552.37</v>
      </c>
      <c r="AK63" s="94">
        <v>0.3955249602084886</v>
      </c>
      <c r="AL63" s="94" t="s">
        <v>99</v>
      </c>
      <c r="AM63" s="93" t="s">
        <v>528</v>
      </c>
      <c r="AN63" s="94"/>
      <c r="AO63" s="94" t="s">
        <v>16</v>
      </c>
      <c r="AP63" s="94" t="s">
        <v>16</v>
      </c>
      <c r="AQ63" s="94"/>
      <c r="AR63" s="94" t="s">
        <v>16</v>
      </c>
      <c r="AS63" s="94"/>
      <c r="AT63" s="94" t="s">
        <v>16</v>
      </c>
      <c r="AU63" s="94">
        <v>4396289.4000000004</v>
      </c>
      <c r="AV63" s="94">
        <v>3145</v>
      </c>
      <c r="AW63" s="94" t="s">
        <v>16</v>
      </c>
      <c r="AX63" s="94">
        <v>4396289.4000000004</v>
      </c>
      <c r="AY63" s="94">
        <v>3146.95</v>
      </c>
      <c r="AZ63" s="94" t="s">
        <v>111</v>
      </c>
      <c r="BA63" s="94">
        <v>3429105.73</v>
      </c>
      <c r="BB63" s="94" t="s">
        <v>99</v>
      </c>
      <c r="BC63" s="94">
        <v>-771658.52</v>
      </c>
      <c r="BD63" s="94">
        <v>-552.37</v>
      </c>
      <c r="BE63" s="60">
        <f t="array" ref="BE63">IFERROR(INDEX('Com&amp;tax'!$E$2:$E$5, MATCH(1, ('Com&amp;tax'!$A$2:$A$5=B63)*('Com&amp;tax'!$B$2:$B$5=G63), 0)),"")</f>
        <v>0.15</v>
      </c>
      <c r="BF63" s="58">
        <f t="shared" ref="BF63:BF71" si="141">IF(A63="","",( IFERROR(O63*BE63,"")))</f>
        <v>659443.41</v>
      </c>
      <c r="BG63" s="58">
        <f t="array" aca="1" ref="BG63" ca="1">IF(A63="","",( IFERROR((O63/ INDEX(er!$D$3:$D$75,MATCH(1, (er!$A$3:$A$75=$BG$2)*(er!$C$3:$C$75=Q63), 0)))*BE63,"")))</f>
        <v>472.04252684323552</v>
      </c>
      <c r="BH63" s="58">
        <f t="shared" ref="BH63:BH71" si="142">IF(A63="","",( IF(B63="Snapchat Rep", IF(A63="","",(P63-BF63)),-BF63)))</f>
        <v>-659443.41</v>
      </c>
      <c r="BI63" s="59">
        <f t="array" ref="BI63">IFERROR(INDEX('Com&amp;tax'!$F$2:$F$5, MATCH(1, ('Com&amp;tax'!$A$2:$A$5=B63)*('Com&amp;tax'!$B$2:$B$5=Y63), 0)),0)</f>
        <v>4.9000000000000002E-2</v>
      </c>
      <c r="BJ63" s="58">
        <f t="shared" ref="BJ63:BJ71" si="143">IF(A63="","",( IFERROR((J63*(1-BE63))*BI63,0)))</f>
        <v>183105.45351000002</v>
      </c>
      <c r="BK63" s="58">
        <f t="array" aca="1" ref="BK63" ca="1">IF(A63="","",( IFERROR((J63*(1-BE63))*BI63/INDEX(er!D:D, MATCH(Q63,er!C:C,0),1),0)))</f>
        <v>131.07047495347175</v>
      </c>
      <c r="BL63" s="60">
        <f t="array" ref="BL63">IFERROR(INDEX('Com&amp;tax'!$G$2:$G$5, MATCH(1, ('Com&amp;tax'!$A$2:$A$5=B63)*('Com&amp;tax'!$B$2:$B$5=Y63), 0)),0)</f>
        <v>0.1575</v>
      </c>
      <c r="BM63" s="58">
        <f t="shared" ref="BM63:BM71" si="144">IF(A63="","",( IFERROR((J63*(1-BE63))*BL63,0)))</f>
        <v>588553.24342499999</v>
      </c>
      <c r="BN63" s="58">
        <f t="array" aca="1" ref="BN63" ca="1">IF(A63="","",( IFERROR((J63*(1-BE63))*BL63/INDEX(er!D:D, MATCH(Q63,er!C:C,0),1),0)))</f>
        <v>421.29795520758768</v>
      </c>
      <c r="BO63" s="60">
        <f t="array" ref="BO63">IFERROR(INDEX('Com&amp;tax'!$H$2:$H$5, MATCH(1, ('Com&amp;tax'!$A$2:$A$5=B63)*('Com&amp;tax'!$B$2:$B$5=Y63), 0)),0)</f>
        <v>7.0000000000000007E-2</v>
      </c>
      <c r="BP63" s="58">
        <f t="shared" ref="BP63:BP71" si="145">IF(A63="","",( IFERROR(J63*BO63,0)))</f>
        <v>307740.25800000003</v>
      </c>
      <c r="BQ63" s="58">
        <f t="array" aca="1" ref="BQ63" ca="1">IF(A63="","",( IFERROR(J63*BO63/INDEX(er!D:D, MATCH(Q63,er!C:C,0),1),0)))</f>
        <v>220.28651252684327</v>
      </c>
      <c r="BR63" s="108">
        <f t="array" ref="BR63">IFERROR(INDEX('Com&amp;tax'!$F$2:$F$5, MATCH(1, ('Com&amp;tax'!$A$2:$A$5=B63)*('Com&amp;tax'!$D$2:$D$5=H63), 0)),0)</f>
        <v>4.9000000000000002E-2</v>
      </c>
      <c r="BS63" s="109">
        <f t="shared" ref="BS63:BS71" si="146">IF(A63="","",( IFERROR((J63*(1-BE63))*BR63,0)))</f>
        <v>183105.45351000002</v>
      </c>
      <c r="BT63" s="109">
        <f t="array" aca="1" ref="BT63" ca="1">IF(A63="","",( IFERROR((J63*(1-BE63))*BR63/INDEX(er!D:D, MATCH(Q63,er!C:C,0),1),0)))</f>
        <v>131.07047495347175</v>
      </c>
      <c r="BU63" s="108">
        <f t="array" ref="BU63">IFERROR(INDEX('Com&amp;tax'!$G$2:$G$5, MATCH(1, ('Com&amp;tax'!$A$2:$A$5=B63)*('Com&amp;tax'!$D$2:$D$5=H63), 0)),0)</f>
        <v>0.1575</v>
      </c>
      <c r="BV63" s="109">
        <f t="shared" ref="BV63:BV71" si="147">IF(A63="","",( IFERROR((J63*(1-BE63))*BU63,0)))</f>
        <v>588553.24342499999</v>
      </c>
      <c r="BW63" s="109">
        <f t="array" aca="1" ref="BW63" ca="1">IF(A63="","",( IFERROR((J63*(1-BE63))*BU63/INDEX(er!D:D, MATCH(Q63,er!C:C,0),1),0)))</f>
        <v>421.29795520758768</v>
      </c>
      <c r="BX63" s="108">
        <f t="array" ref="BX63">IFERROR(INDEX('Com&amp;tax'!$H$2:$H$5, MATCH(1, ('Com&amp;tax'!$A$2:$A$5=B63)*('Com&amp;tax'!$D$2:$D$5=H63), 0)),0)</f>
        <v>7.0000000000000007E-2</v>
      </c>
      <c r="BY63" s="109">
        <f t="shared" ref="BY63:BY71" si="148">IF(A63="","",( IFERROR(J63*BX63,0)))</f>
        <v>307740.25800000003</v>
      </c>
      <c r="BZ63" s="109">
        <f t="array" aca="1" ref="BZ63" ca="1">IF(A63="","",( IFERROR(J63*BX63/INDEX(er!D:D, MATCH(Q63,er!C:C,0),1),0)))</f>
        <v>220.28651252684327</v>
      </c>
      <c r="CA63" s="96">
        <f t="array" aca="1" ref="CA63" ca="1">IF(A63="","",( IFERROR(1-((P63/ INDEX(er!$D$3:$D$75,MATCH(1, (er!$A$3:$A$75=$BG$2)*(er!$C$3:$C$75=Q63), 0))   /  (J63/ INDEX(er!$D$3:$D$75,MATCH(1, (er!$A$3:$A$75=$BG$2)*(er!$C$3:$C$75=L63), 0))))),"")))</f>
        <v>0.3955249602084886</v>
      </c>
      <c r="CB63" s="96">
        <f t="shared" ref="CB63:CB71" si="149">IF(AB63="","",1-AD63/AB63)</f>
        <v>0.22000000045492918</v>
      </c>
      <c r="CC63" s="111">
        <f t="shared" ref="CC63:CC71" ca="1" si="150">IF(AND(CA63="", CB63=""), "", CA63-CB63)</f>
        <v>0.17552495975355942</v>
      </c>
      <c r="CD63" s="110">
        <f t="shared" ref="CD63:CE63" si="151">BJ63+BM63-BS63-BV63</f>
        <v>0</v>
      </c>
      <c r="CE63" s="110">
        <f t="shared" ca="1" si="151"/>
        <v>0</v>
      </c>
      <c r="CF63" s="110">
        <f t="shared" ref="CF63:CF71" ca="1" si="152">AJ63-CE63</f>
        <v>-552.37</v>
      </c>
      <c r="CG63" s="8" t="str">
        <f t="shared" ref="CG63:CG71" si="153">IF(OR(BE63="", AE63=""), "Miss", IF(ABS(AE63/100-AK63)&lt;0.005, "OK", "Incorrect"))</f>
        <v>Incorrect</v>
      </c>
      <c r="CH63" s="8"/>
      <c r="CI63" t="s">
        <v>2317</v>
      </c>
      <c r="CK63" s="240">
        <v>771658.69693500001</v>
      </c>
      <c r="CL63" s="239">
        <f ca="1">(AI63+CK63)/INDEX(er!D:D,MATCH(AC63,er!C:C,0),1)</f>
        <v>1.2665354330412666E-4</v>
      </c>
      <c r="CN63" s="239">
        <f ca="1">CK63/INDEX(er!D:D,MATCH(AC63,er!C:C,0),1)</f>
        <v>552.36843016105945</v>
      </c>
    </row>
    <row r="64" spans="1:92" ht="12.5" x14ac:dyDescent="0.25">
      <c r="A64" s="93" t="s">
        <v>322</v>
      </c>
      <c r="B64" s="93" t="s">
        <v>96</v>
      </c>
      <c r="C64" s="93" t="s">
        <v>103</v>
      </c>
      <c r="D64" s="93" t="s">
        <v>323</v>
      </c>
      <c r="E64" s="93"/>
      <c r="F64" s="93"/>
      <c r="G64" s="94" t="s">
        <v>107</v>
      </c>
      <c r="H64" s="93" t="s">
        <v>436</v>
      </c>
      <c r="I64" s="94" t="s">
        <v>107</v>
      </c>
      <c r="J64" s="94">
        <v>2000000</v>
      </c>
      <c r="K64" s="94">
        <v>2000000</v>
      </c>
      <c r="L64" s="94" t="s">
        <v>111</v>
      </c>
      <c r="M64" s="94">
        <v>2000000</v>
      </c>
      <c r="N64" s="94" t="s">
        <v>111</v>
      </c>
      <c r="O64" s="94">
        <v>2000000</v>
      </c>
      <c r="P64" s="94">
        <v>1208950.08</v>
      </c>
      <c r="Q64" s="93" t="s">
        <v>111</v>
      </c>
      <c r="R64" s="94" t="s">
        <v>105</v>
      </c>
      <c r="S64" s="94"/>
      <c r="T64" s="94"/>
      <c r="U64" s="94">
        <v>0</v>
      </c>
      <c r="V64" s="93" t="s">
        <v>94</v>
      </c>
      <c r="W64" s="8" t="s">
        <v>98</v>
      </c>
      <c r="X64" s="94" t="s">
        <v>103</v>
      </c>
      <c r="Y64" s="94" t="s">
        <v>107</v>
      </c>
      <c r="Z64" s="94" t="s">
        <v>105</v>
      </c>
      <c r="AA64" s="94" t="s">
        <v>111</v>
      </c>
      <c r="AB64" s="94">
        <v>2000000</v>
      </c>
      <c r="AC64" s="94" t="s">
        <v>111</v>
      </c>
      <c r="AD64" s="94">
        <v>1208950</v>
      </c>
      <c r="AE64" s="94">
        <v>39.549999999999997</v>
      </c>
      <c r="AF64" s="94" t="s">
        <v>99</v>
      </c>
      <c r="AG64" s="94">
        <v>0</v>
      </c>
      <c r="AH64" s="94">
        <v>0</v>
      </c>
      <c r="AI64" s="94">
        <v>0.08</v>
      </c>
      <c r="AJ64" s="94">
        <v>0</v>
      </c>
      <c r="AK64" s="94">
        <v>0.39552496000000004</v>
      </c>
      <c r="AL64" s="94" t="s">
        <v>99</v>
      </c>
      <c r="AM64" s="93" t="s">
        <v>529</v>
      </c>
      <c r="AN64" s="94"/>
      <c r="AO64" s="94" t="s">
        <v>16</v>
      </c>
      <c r="AP64" s="94" t="s">
        <v>16</v>
      </c>
      <c r="AQ64" s="94"/>
      <c r="AR64" s="94" t="s">
        <v>16</v>
      </c>
      <c r="AS64" s="94"/>
      <c r="AT64" s="94" t="s">
        <v>16</v>
      </c>
      <c r="AU64" s="94">
        <v>2000000</v>
      </c>
      <c r="AV64" s="94">
        <v>1430</v>
      </c>
      <c r="AW64" s="94" t="s">
        <v>16</v>
      </c>
      <c r="AX64" s="94">
        <v>2000000</v>
      </c>
      <c r="AY64" s="94">
        <v>1431.64</v>
      </c>
      <c r="AZ64" s="94" t="s">
        <v>111</v>
      </c>
      <c r="BA64" s="94">
        <v>1208950</v>
      </c>
      <c r="BB64" s="94" t="s">
        <v>99</v>
      </c>
      <c r="BC64" s="94">
        <v>0.08</v>
      </c>
      <c r="BD64" s="94">
        <v>0</v>
      </c>
      <c r="BE64" s="60">
        <f t="array" ref="BE64">IFERROR(INDEX('Com&amp;tax'!$E$2:$E$5, MATCH(1, ('Com&amp;tax'!$A$2:$A$5=B64)*('Com&amp;tax'!$B$2:$B$5=G64), 0)),"")</f>
        <v>0.15</v>
      </c>
      <c r="BF64" s="58">
        <f t="shared" si="141"/>
        <v>300000</v>
      </c>
      <c r="BG64" s="58">
        <f t="array" aca="1" ref="BG64" ca="1">IF(A64="","",( IFERROR((O64/ INDEX(er!$D$3:$D$75,MATCH(1, (er!$A$3:$A$75=$BG$2)*(er!$C$3:$C$75=Q64), 0)))*BE64,"")))</f>
        <v>214.74588403722262</v>
      </c>
      <c r="BH64" s="58">
        <f t="shared" si="142"/>
        <v>-300000</v>
      </c>
      <c r="BI64" s="59">
        <f t="array" ref="BI64">IFERROR(INDEX('Com&amp;tax'!$F$2:$F$5, MATCH(1, ('Com&amp;tax'!$A$2:$A$5=B64)*('Com&amp;tax'!$B$2:$B$5=Y64), 0)),0)</f>
        <v>4.9000000000000002E-2</v>
      </c>
      <c r="BJ64" s="58">
        <f t="shared" si="143"/>
        <v>83300</v>
      </c>
      <c r="BK64" s="58">
        <f t="array" aca="1" ref="BK64" ca="1">IF(A64="","",( IFERROR((J64*(1-BE64))*BI64/INDEX(er!D:D, MATCH(Q64,er!C:C,0),1),0)))</f>
        <v>59.627773801002149</v>
      </c>
      <c r="BL64" s="60">
        <f t="array" ref="BL64">IFERROR(INDEX('Com&amp;tax'!$G$2:$G$5, MATCH(1, ('Com&amp;tax'!$A$2:$A$5=B64)*('Com&amp;tax'!$B$2:$B$5=Y64), 0)),0)</f>
        <v>0.1575</v>
      </c>
      <c r="BM64" s="58">
        <f t="shared" si="144"/>
        <v>267750</v>
      </c>
      <c r="BN64" s="58">
        <f t="array" aca="1" ref="BN64" ca="1">IF(A64="","",( IFERROR((J64*(1-BE64))*BL64/INDEX(er!D:D, MATCH(Q64,er!C:C,0),1),0)))</f>
        <v>191.66070150322119</v>
      </c>
      <c r="BO64" s="60">
        <f t="array" ref="BO64">IFERROR(INDEX('Com&amp;tax'!$H$2:$H$5, MATCH(1, ('Com&amp;tax'!$A$2:$A$5=B64)*('Com&amp;tax'!$B$2:$B$5=Y64), 0)),0)</f>
        <v>7.0000000000000007E-2</v>
      </c>
      <c r="BP64" s="58">
        <f t="shared" si="145"/>
        <v>140000</v>
      </c>
      <c r="BQ64" s="58">
        <f t="array" aca="1" ref="BQ64" ca="1">IF(A64="","",( IFERROR(J64*BO64/INDEX(er!D:D, MATCH(Q64,er!C:C,0),1),0)))</f>
        <v>100.21474588403723</v>
      </c>
      <c r="BR64" s="108">
        <f t="array" ref="BR64">IFERROR(INDEX('Com&amp;tax'!$F$2:$F$5, MATCH(1, ('Com&amp;tax'!$A$2:$A$5=B64)*('Com&amp;tax'!$D$2:$D$5=H64), 0)),0)</f>
        <v>4.9000000000000002E-2</v>
      </c>
      <c r="BS64" s="109">
        <f t="shared" si="146"/>
        <v>83300</v>
      </c>
      <c r="BT64" s="109">
        <f t="array" aca="1" ref="BT64" ca="1">IF(A64="","",( IFERROR((J64*(1-BE64))*BR64/INDEX(er!D:D, MATCH(Q64,er!C:C,0),1),0)))</f>
        <v>59.627773801002149</v>
      </c>
      <c r="BU64" s="108">
        <f t="array" ref="BU64">IFERROR(INDEX('Com&amp;tax'!$G$2:$G$5, MATCH(1, ('Com&amp;tax'!$A$2:$A$5=B64)*('Com&amp;tax'!$D$2:$D$5=H64), 0)),0)</f>
        <v>0.1575</v>
      </c>
      <c r="BV64" s="109">
        <f t="shared" si="147"/>
        <v>267750</v>
      </c>
      <c r="BW64" s="109">
        <f t="array" aca="1" ref="BW64" ca="1">IF(A64="","",( IFERROR((J64*(1-BE64))*BU64/INDEX(er!D:D, MATCH(Q64,er!C:C,0),1),0)))</f>
        <v>191.66070150322119</v>
      </c>
      <c r="BX64" s="108">
        <f t="array" ref="BX64">IFERROR(INDEX('Com&amp;tax'!$H$2:$H$5, MATCH(1, ('Com&amp;tax'!$A$2:$A$5=B64)*('Com&amp;tax'!$D$2:$D$5=H64), 0)),0)</f>
        <v>7.0000000000000007E-2</v>
      </c>
      <c r="BY64" s="109">
        <f t="shared" si="148"/>
        <v>140000</v>
      </c>
      <c r="BZ64" s="109">
        <f t="array" aca="1" ref="BZ64" ca="1">IF(A64="","",( IFERROR(J64*BX64/INDEX(er!D:D, MATCH(Q64,er!C:C,0),1),0)))</f>
        <v>100.21474588403723</v>
      </c>
      <c r="CA64" s="96">
        <f t="array" aca="1" ref="CA64" ca="1">IF(A64="","",( IFERROR(1-((P64/ INDEX(er!$D$3:$D$75,MATCH(1, (er!$A$3:$A$75=$BG$2)*(er!$C$3:$C$75=Q64), 0))   /  (J64/ INDEX(er!$D$3:$D$75,MATCH(1, (er!$A$3:$A$75=$BG$2)*(er!$C$3:$C$75=L64), 0))))),"")))</f>
        <v>0.39552496000000004</v>
      </c>
      <c r="CB64" s="96">
        <f t="shared" si="149"/>
        <v>0.39552500000000002</v>
      </c>
      <c r="CC64" s="111">
        <f t="shared" ca="1" si="150"/>
        <v>-3.9999999978945766E-8</v>
      </c>
      <c r="CD64" s="110">
        <f t="shared" ref="CD64:CE64" si="154">BJ64+BM64-BS64-BV64</f>
        <v>0</v>
      </c>
      <c r="CE64" s="110">
        <f t="shared" ca="1" si="154"/>
        <v>0</v>
      </c>
      <c r="CF64" s="110">
        <f t="shared" ca="1" si="152"/>
        <v>0</v>
      </c>
      <c r="CG64" s="8" t="str">
        <f t="shared" si="153"/>
        <v>OK</v>
      </c>
      <c r="CH64" s="8"/>
      <c r="CI64" t="s">
        <v>99</v>
      </c>
      <c r="CK64" s="240">
        <v>0</v>
      </c>
      <c r="CL64" s="239">
        <f ca="1">(AI64+CK64)/INDEX(er!D:D,MATCH(AC64,er!C:C,0),1)</f>
        <v>5.7265569076592701E-5</v>
      </c>
      <c r="CN64" s="239">
        <f ca="1">CK64/INDEX(er!D:D,MATCH(AC64,er!C:C,0),1)</f>
        <v>0</v>
      </c>
    </row>
    <row r="65" spans="1:92" ht="12.5" x14ac:dyDescent="0.25">
      <c r="A65" s="93" t="s">
        <v>325</v>
      </c>
      <c r="B65" s="93" t="s">
        <v>96</v>
      </c>
      <c r="C65" s="93" t="s">
        <v>103</v>
      </c>
      <c r="D65" s="93" t="s">
        <v>326</v>
      </c>
      <c r="E65" s="93"/>
      <c r="F65" s="93"/>
      <c r="G65" s="94" t="s">
        <v>107</v>
      </c>
      <c r="H65" s="93" t="s">
        <v>436</v>
      </c>
      <c r="I65" s="94" t="s">
        <v>107</v>
      </c>
      <c r="J65" s="94">
        <v>4000000</v>
      </c>
      <c r="K65" s="94">
        <v>4000000</v>
      </c>
      <c r="L65" s="94" t="s">
        <v>111</v>
      </c>
      <c r="M65" s="94">
        <v>4000000</v>
      </c>
      <c r="N65" s="94" t="s">
        <v>111</v>
      </c>
      <c r="O65" s="94">
        <v>4000000</v>
      </c>
      <c r="P65" s="94">
        <v>2417900.16</v>
      </c>
      <c r="Q65" s="93" t="s">
        <v>111</v>
      </c>
      <c r="R65" s="94" t="s">
        <v>105</v>
      </c>
      <c r="S65" s="94"/>
      <c r="T65" s="94"/>
      <c r="U65" s="94">
        <v>0</v>
      </c>
      <c r="V65" s="93" t="s">
        <v>94</v>
      </c>
      <c r="W65" s="8" t="s">
        <v>98</v>
      </c>
      <c r="X65" s="94" t="s">
        <v>103</v>
      </c>
      <c r="Y65" s="94" t="s">
        <v>107</v>
      </c>
      <c r="Z65" s="94" t="s">
        <v>105</v>
      </c>
      <c r="AA65" s="94" t="s">
        <v>111</v>
      </c>
      <c r="AB65" s="94">
        <v>4000000</v>
      </c>
      <c r="AC65" s="94" t="s">
        <v>111</v>
      </c>
      <c r="AD65" s="94">
        <v>2417900</v>
      </c>
      <c r="AE65" s="94">
        <v>39.549999999999997</v>
      </c>
      <c r="AF65" s="94" t="s">
        <v>99</v>
      </c>
      <c r="AG65" s="94">
        <v>0</v>
      </c>
      <c r="AH65" s="94">
        <v>0</v>
      </c>
      <c r="AI65" s="94">
        <v>0.16</v>
      </c>
      <c r="AJ65" s="94">
        <v>0</v>
      </c>
      <c r="AK65" s="94">
        <v>0.39552496000000004</v>
      </c>
      <c r="AL65" s="94" t="s">
        <v>99</v>
      </c>
      <c r="AM65" s="93" t="s">
        <v>530</v>
      </c>
      <c r="AN65" s="94"/>
      <c r="AO65" s="94" t="s">
        <v>16</v>
      </c>
      <c r="AP65" s="94" t="s">
        <v>16</v>
      </c>
      <c r="AQ65" s="94"/>
      <c r="AR65" s="94" t="s">
        <v>16</v>
      </c>
      <c r="AS65" s="94"/>
      <c r="AT65" s="94" t="s">
        <v>16</v>
      </c>
      <c r="AU65" s="94">
        <v>4000000</v>
      </c>
      <c r="AV65" s="94">
        <v>2861</v>
      </c>
      <c r="AW65" s="94" t="s">
        <v>16</v>
      </c>
      <c r="AX65" s="94">
        <v>4000000</v>
      </c>
      <c r="AY65" s="94">
        <v>2863.28</v>
      </c>
      <c r="AZ65" s="94" t="s">
        <v>111</v>
      </c>
      <c r="BA65" s="94">
        <v>2417900</v>
      </c>
      <c r="BB65" s="94" t="s">
        <v>99</v>
      </c>
      <c r="BC65" s="94">
        <v>0.16</v>
      </c>
      <c r="BD65" s="94">
        <v>0</v>
      </c>
      <c r="BE65" s="60">
        <f t="array" ref="BE65">IFERROR(INDEX('Com&amp;tax'!$E$2:$E$5, MATCH(1, ('Com&amp;tax'!$A$2:$A$5=B65)*('Com&amp;tax'!$B$2:$B$5=G65), 0)),"")</f>
        <v>0.15</v>
      </c>
      <c r="BF65" s="58">
        <f t="shared" si="141"/>
        <v>600000</v>
      </c>
      <c r="BG65" s="58">
        <f t="array" aca="1" ref="BG65" ca="1">IF(A65="","",( IFERROR((O65/ INDEX(er!$D$3:$D$75,MATCH(1, (er!$A$3:$A$75=$BG$2)*(er!$C$3:$C$75=Q65), 0)))*BE65,"")))</f>
        <v>429.49176807444525</v>
      </c>
      <c r="BH65" s="58">
        <f t="shared" si="142"/>
        <v>-600000</v>
      </c>
      <c r="BI65" s="59">
        <f t="array" ref="BI65">IFERROR(INDEX('Com&amp;tax'!$F$2:$F$5, MATCH(1, ('Com&amp;tax'!$A$2:$A$5=B65)*('Com&amp;tax'!$B$2:$B$5=Y65), 0)),0)</f>
        <v>4.9000000000000002E-2</v>
      </c>
      <c r="BJ65" s="58">
        <f t="shared" si="143"/>
        <v>166600</v>
      </c>
      <c r="BK65" s="58">
        <f t="array" aca="1" ref="BK65" ca="1">IF(A65="","",( IFERROR((J65*(1-BE65))*BI65/INDEX(er!D:D, MATCH(Q65,er!C:C,0),1),0)))</f>
        <v>119.2555476020043</v>
      </c>
      <c r="BL65" s="60">
        <f t="array" ref="BL65">IFERROR(INDEX('Com&amp;tax'!$G$2:$G$5, MATCH(1, ('Com&amp;tax'!$A$2:$A$5=B65)*('Com&amp;tax'!$B$2:$B$5=Y65), 0)),0)</f>
        <v>0.1575</v>
      </c>
      <c r="BM65" s="58">
        <f t="shared" si="144"/>
        <v>535500</v>
      </c>
      <c r="BN65" s="58">
        <f t="array" aca="1" ref="BN65" ca="1">IF(A65="","",( IFERROR((J65*(1-BE65))*BL65/INDEX(er!D:D, MATCH(Q65,er!C:C,0),1),0)))</f>
        <v>383.32140300644238</v>
      </c>
      <c r="BO65" s="60">
        <f t="array" ref="BO65">IFERROR(INDEX('Com&amp;tax'!$H$2:$H$5, MATCH(1, ('Com&amp;tax'!$A$2:$A$5=B65)*('Com&amp;tax'!$B$2:$B$5=Y65), 0)),0)</f>
        <v>7.0000000000000007E-2</v>
      </c>
      <c r="BP65" s="58">
        <f t="shared" si="145"/>
        <v>280000</v>
      </c>
      <c r="BQ65" s="58">
        <f t="array" aca="1" ref="BQ65" ca="1">IF(A65="","",( IFERROR(J65*BO65/INDEX(er!D:D, MATCH(Q65,er!C:C,0),1),0)))</f>
        <v>200.42949176807446</v>
      </c>
      <c r="BR65" s="108">
        <f t="array" ref="BR65">IFERROR(INDEX('Com&amp;tax'!$F$2:$F$5, MATCH(1, ('Com&amp;tax'!$A$2:$A$5=B65)*('Com&amp;tax'!$D$2:$D$5=H65), 0)),0)</f>
        <v>4.9000000000000002E-2</v>
      </c>
      <c r="BS65" s="109">
        <f t="shared" si="146"/>
        <v>166600</v>
      </c>
      <c r="BT65" s="109">
        <f t="array" aca="1" ref="BT65" ca="1">IF(A65="","",( IFERROR((J65*(1-BE65))*BR65/INDEX(er!D:D, MATCH(Q65,er!C:C,0),1),0)))</f>
        <v>119.2555476020043</v>
      </c>
      <c r="BU65" s="108">
        <f t="array" ref="BU65">IFERROR(INDEX('Com&amp;tax'!$G$2:$G$5, MATCH(1, ('Com&amp;tax'!$A$2:$A$5=B65)*('Com&amp;tax'!$D$2:$D$5=H65), 0)),0)</f>
        <v>0.1575</v>
      </c>
      <c r="BV65" s="109">
        <f t="shared" si="147"/>
        <v>535500</v>
      </c>
      <c r="BW65" s="109">
        <f t="array" aca="1" ref="BW65" ca="1">IF(A65="","",( IFERROR((J65*(1-BE65))*BU65/INDEX(er!D:D, MATCH(Q65,er!C:C,0),1),0)))</f>
        <v>383.32140300644238</v>
      </c>
      <c r="BX65" s="108">
        <f t="array" ref="BX65">IFERROR(INDEX('Com&amp;tax'!$H$2:$H$5, MATCH(1, ('Com&amp;tax'!$A$2:$A$5=B65)*('Com&amp;tax'!$D$2:$D$5=H65), 0)),0)</f>
        <v>7.0000000000000007E-2</v>
      </c>
      <c r="BY65" s="109">
        <f t="shared" si="148"/>
        <v>280000</v>
      </c>
      <c r="BZ65" s="109">
        <f t="array" aca="1" ref="BZ65" ca="1">IF(A65="","",( IFERROR(J65*BX65/INDEX(er!D:D, MATCH(Q65,er!C:C,0),1),0)))</f>
        <v>200.42949176807446</v>
      </c>
      <c r="CA65" s="96">
        <f t="array" aca="1" ref="CA65" ca="1">IF(A65="","",( IFERROR(1-((P65/ INDEX(er!$D$3:$D$75,MATCH(1, (er!$A$3:$A$75=$BG$2)*(er!$C$3:$C$75=Q65), 0))   /  (J65/ INDEX(er!$D$3:$D$75,MATCH(1, (er!$A$3:$A$75=$BG$2)*(er!$C$3:$C$75=L65), 0))))),"")))</f>
        <v>0.39552496000000004</v>
      </c>
      <c r="CB65" s="96">
        <f t="shared" si="149"/>
        <v>0.39552500000000002</v>
      </c>
      <c r="CC65" s="111">
        <f t="shared" ca="1" si="150"/>
        <v>-3.9999999978945766E-8</v>
      </c>
      <c r="CD65" s="110">
        <f t="shared" ref="CD65:CE65" si="155">BJ65+BM65-BS65-BV65</f>
        <v>0</v>
      </c>
      <c r="CE65" s="110">
        <f t="shared" ca="1" si="155"/>
        <v>0</v>
      </c>
      <c r="CF65" s="110">
        <f t="shared" ca="1" si="152"/>
        <v>0</v>
      </c>
      <c r="CG65" s="8" t="str">
        <f t="shared" si="153"/>
        <v>OK</v>
      </c>
      <c r="CH65" s="8"/>
      <c r="CI65" t="s">
        <v>99</v>
      </c>
      <c r="CK65" s="240">
        <v>0</v>
      </c>
      <c r="CL65" s="239">
        <f ca="1">(AI65+CK65)/INDEX(er!D:D,MATCH(AC65,er!C:C,0),1)</f>
        <v>1.145311381531854E-4</v>
      </c>
      <c r="CN65" s="239">
        <f ca="1">CK65/INDEX(er!D:D,MATCH(AC65,er!C:C,0),1)</f>
        <v>0</v>
      </c>
    </row>
    <row r="66" spans="1:92" ht="12.5" x14ac:dyDescent="0.25">
      <c r="A66" s="93" t="s">
        <v>328</v>
      </c>
      <c r="B66" s="93" t="s">
        <v>96</v>
      </c>
      <c r="C66" s="93" t="s">
        <v>103</v>
      </c>
      <c r="D66" s="93" t="s">
        <v>329</v>
      </c>
      <c r="E66" s="93" t="s">
        <v>101</v>
      </c>
      <c r="F66" s="93"/>
      <c r="G66" s="94" t="s">
        <v>107</v>
      </c>
      <c r="H66" s="93" t="s">
        <v>436</v>
      </c>
      <c r="I66" s="94" t="s">
        <v>107</v>
      </c>
      <c r="J66" s="94">
        <v>997649.16</v>
      </c>
      <c r="K66" s="94">
        <v>997649.16</v>
      </c>
      <c r="L66" s="94" t="s">
        <v>111</v>
      </c>
      <c r="M66" s="94">
        <v>997649.16</v>
      </c>
      <c r="N66" s="94" t="s">
        <v>111</v>
      </c>
      <c r="O66" s="94">
        <v>997649.16</v>
      </c>
      <c r="P66" s="94">
        <v>603054.02</v>
      </c>
      <c r="Q66" s="93" t="s">
        <v>111</v>
      </c>
      <c r="R66" s="94" t="s">
        <v>105</v>
      </c>
      <c r="S66" s="94"/>
      <c r="T66" s="94"/>
      <c r="U66" s="94">
        <v>0</v>
      </c>
      <c r="V66" s="93" t="s">
        <v>94</v>
      </c>
      <c r="W66" s="8" t="s">
        <v>98</v>
      </c>
      <c r="X66" s="94" t="s">
        <v>103</v>
      </c>
      <c r="Y66" s="94" t="s">
        <v>107</v>
      </c>
      <c r="Z66" s="94" t="s">
        <v>105</v>
      </c>
      <c r="AA66" s="94" t="s">
        <v>111</v>
      </c>
      <c r="AB66" s="94">
        <v>997649.16</v>
      </c>
      <c r="AC66" s="94" t="s">
        <v>111</v>
      </c>
      <c r="AD66" s="94">
        <v>778166.35</v>
      </c>
      <c r="AE66" s="94">
        <v>22</v>
      </c>
      <c r="AF66" s="94" t="s">
        <v>99</v>
      </c>
      <c r="AG66" s="94">
        <v>0</v>
      </c>
      <c r="AH66" s="94">
        <v>0</v>
      </c>
      <c r="AI66" s="94">
        <v>-175112.33</v>
      </c>
      <c r="AJ66" s="94">
        <v>-125.35</v>
      </c>
      <c r="AK66" s="94">
        <v>0.39552495588729808</v>
      </c>
      <c r="AL66" s="94" t="s">
        <v>99</v>
      </c>
      <c r="AM66" s="93" t="s">
        <v>531</v>
      </c>
      <c r="AN66" s="94"/>
      <c r="AO66" s="94" t="s">
        <v>16</v>
      </c>
      <c r="AP66" s="94" t="s">
        <v>16</v>
      </c>
      <c r="AQ66" s="94"/>
      <c r="AR66" s="94" t="s">
        <v>16</v>
      </c>
      <c r="AS66" s="94"/>
      <c r="AT66" s="94" t="s">
        <v>16</v>
      </c>
      <c r="AU66" s="94">
        <v>997649.16</v>
      </c>
      <c r="AV66" s="94">
        <v>712</v>
      </c>
      <c r="AW66" s="94" t="s">
        <v>16</v>
      </c>
      <c r="AX66" s="94">
        <v>997649.16</v>
      </c>
      <c r="AY66" s="94">
        <v>714.14</v>
      </c>
      <c r="AZ66" s="94" t="s">
        <v>111</v>
      </c>
      <c r="BA66" s="94">
        <v>778166.34</v>
      </c>
      <c r="BB66" s="94" t="s">
        <v>99</v>
      </c>
      <c r="BC66" s="94">
        <v>-175112.32000000001</v>
      </c>
      <c r="BD66" s="94">
        <v>-125.35</v>
      </c>
      <c r="BE66" s="60">
        <f t="array" ref="BE66">IFERROR(INDEX('Com&amp;tax'!$E$2:$E$5, MATCH(1, ('Com&amp;tax'!$A$2:$A$5=B66)*('Com&amp;tax'!$B$2:$B$5=G66), 0)),"")</f>
        <v>0.15</v>
      </c>
      <c r="BF66" s="58">
        <f t="shared" si="141"/>
        <v>149647.37400000001</v>
      </c>
      <c r="BG66" s="58">
        <f t="array" aca="1" ref="BG66" ca="1">IF(A66="","",( IFERROR((O66/ INDEX(er!$D$3:$D$75,MATCH(1, (er!$A$3:$A$75=$BG$2)*(er!$C$3:$C$75=Q66), 0)))*BE66,"")))</f>
        <v>107.12052541159628</v>
      </c>
      <c r="BH66" s="58">
        <f t="shared" si="142"/>
        <v>-149647.37400000001</v>
      </c>
      <c r="BI66" s="59">
        <f t="array" ref="BI66">IFERROR(INDEX('Com&amp;tax'!$F$2:$F$5, MATCH(1, ('Com&amp;tax'!$A$2:$A$5=B66)*('Com&amp;tax'!$B$2:$B$5=Y66), 0)),0)</f>
        <v>4.9000000000000002E-2</v>
      </c>
      <c r="BJ66" s="58">
        <f t="shared" si="143"/>
        <v>41552.087513999999</v>
      </c>
      <c r="BK66" s="58">
        <f t="array" aca="1" ref="BK66" ca="1">IF(A66="","",( IFERROR((J66*(1-BE66))*BI66/INDEX(er!D:D, MATCH(Q66,er!C:C,0),1),0)))</f>
        <v>29.743799222619899</v>
      </c>
      <c r="BL66" s="60">
        <f t="array" ref="BL66">IFERROR(INDEX('Com&amp;tax'!$G$2:$G$5, MATCH(1, ('Com&amp;tax'!$A$2:$A$5=B66)*('Com&amp;tax'!$B$2:$B$5=Y66), 0)),0)</f>
        <v>0.1575</v>
      </c>
      <c r="BM66" s="58">
        <f t="shared" si="144"/>
        <v>133560.28129499999</v>
      </c>
      <c r="BN66" s="58">
        <f t="array" aca="1" ref="BN66" ca="1">IF(A66="","",( IFERROR((J66*(1-BE66))*BL66/INDEX(er!D:D, MATCH(Q66,er!C:C,0),1),0)))</f>
        <v>95.605068929849679</v>
      </c>
      <c r="BO66" s="60">
        <f t="array" ref="BO66">IFERROR(INDEX('Com&amp;tax'!$H$2:$H$5, MATCH(1, ('Com&amp;tax'!$A$2:$A$5=B66)*('Com&amp;tax'!$B$2:$B$5=Y66), 0)),0)</f>
        <v>7.0000000000000007E-2</v>
      </c>
      <c r="BP66" s="58">
        <f t="shared" si="145"/>
        <v>69835.441200000016</v>
      </c>
      <c r="BQ66" s="58">
        <f t="array" aca="1" ref="BQ66" ca="1">IF(A66="","",( IFERROR(J66*BO66/INDEX(er!D:D, MATCH(Q66,er!C:C,0),1),0)))</f>
        <v>49.989578525411609</v>
      </c>
      <c r="BR66" s="108">
        <f t="array" ref="BR66">IFERROR(INDEX('Com&amp;tax'!$F$2:$F$5, MATCH(1, ('Com&amp;tax'!$A$2:$A$5=B66)*('Com&amp;tax'!$D$2:$D$5=H66), 0)),0)</f>
        <v>4.9000000000000002E-2</v>
      </c>
      <c r="BS66" s="109">
        <f t="shared" si="146"/>
        <v>41552.087513999999</v>
      </c>
      <c r="BT66" s="109">
        <f t="array" aca="1" ref="BT66" ca="1">IF(A66="","",( IFERROR((J66*(1-BE66))*BR66/INDEX(er!D:D, MATCH(Q66,er!C:C,0),1),0)))</f>
        <v>29.743799222619899</v>
      </c>
      <c r="BU66" s="108">
        <f t="array" ref="BU66">IFERROR(INDEX('Com&amp;tax'!$G$2:$G$5, MATCH(1, ('Com&amp;tax'!$A$2:$A$5=B66)*('Com&amp;tax'!$D$2:$D$5=H66), 0)),0)</f>
        <v>0.1575</v>
      </c>
      <c r="BV66" s="109">
        <f t="shared" si="147"/>
        <v>133560.28129499999</v>
      </c>
      <c r="BW66" s="109">
        <f t="array" aca="1" ref="BW66" ca="1">IF(A66="","",( IFERROR((J66*(1-BE66))*BU66/INDEX(er!D:D, MATCH(Q66,er!C:C,0),1),0)))</f>
        <v>95.605068929849679</v>
      </c>
      <c r="BX66" s="108">
        <f t="array" ref="BX66">IFERROR(INDEX('Com&amp;tax'!$H$2:$H$5, MATCH(1, ('Com&amp;tax'!$A$2:$A$5=B66)*('Com&amp;tax'!$D$2:$D$5=H66), 0)),0)</f>
        <v>7.0000000000000007E-2</v>
      </c>
      <c r="BY66" s="109">
        <f t="shared" si="148"/>
        <v>69835.441200000016</v>
      </c>
      <c r="BZ66" s="109">
        <f t="array" aca="1" ref="BZ66" ca="1">IF(A66="","",( IFERROR(J66*BX66/INDEX(er!D:D, MATCH(Q66,er!C:C,0),1),0)))</f>
        <v>49.989578525411609</v>
      </c>
      <c r="CA66" s="96">
        <f t="array" aca="1" ref="CA66" ca="1">IF(A66="","",( IFERROR(1-((P66/ INDEX(er!$D$3:$D$75,MATCH(1, (er!$A$3:$A$75=$BG$2)*(er!$C$3:$C$75=Q66), 0))   /  (J66/ INDEX(er!$D$3:$D$75,MATCH(1, (er!$A$3:$A$75=$BG$2)*(er!$C$3:$C$75=L66), 0))))),"")))</f>
        <v>0.39552495588729808</v>
      </c>
      <c r="CB66" s="96">
        <f t="shared" si="149"/>
        <v>0.2199999947877469</v>
      </c>
      <c r="CC66" s="111">
        <f t="shared" ca="1" si="150"/>
        <v>0.17552496109955118</v>
      </c>
      <c r="CD66" s="110">
        <f t="shared" ref="CD66:CE66" si="156">BJ66+BM66-BS66-BV66</f>
        <v>0</v>
      </c>
      <c r="CE66" s="110">
        <f t="shared" ca="1" si="156"/>
        <v>0</v>
      </c>
      <c r="CF66" s="110">
        <f t="shared" ca="1" si="152"/>
        <v>-125.35</v>
      </c>
      <c r="CG66" s="8" t="str">
        <f t="shared" si="153"/>
        <v>Incorrect</v>
      </c>
      <c r="CH66" s="8"/>
      <c r="CI66" t="s">
        <v>2317</v>
      </c>
      <c r="CK66" s="240">
        <v>175112.36880900001</v>
      </c>
      <c r="CL66" s="239">
        <f ca="1">(AI66+CK66)/INDEX(er!D:D,MATCH(AC66,er!C:C,0),1)</f>
        <v>2.7780243392757746E-5</v>
      </c>
      <c r="CN66" s="239">
        <f ca="1">CK66/INDEX(er!D:D,MATCH(AC66,er!C:C,0),1)</f>
        <v>125.34886815246958</v>
      </c>
    </row>
    <row r="67" spans="1:92" ht="12.5" x14ac:dyDescent="0.25">
      <c r="A67" s="93" t="s">
        <v>332</v>
      </c>
      <c r="B67" s="93" t="s">
        <v>96</v>
      </c>
      <c r="C67" s="93" t="s">
        <v>103</v>
      </c>
      <c r="D67" s="93" t="s">
        <v>333</v>
      </c>
      <c r="E67" s="93"/>
      <c r="F67" s="93"/>
      <c r="G67" s="94" t="s">
        <v>107</v>
      </c>
      <c r="H67" s="93" t="s">
        <v>436</v>
      </c>
      <c r="I67" s="94" t="s">
        <v>107</v>
      </c>
      <c r="J67" s="94">
        <v>7445541.0300000003</v>
      </c>
      <c r="K67" s="94">
        <v>7445541.0300000003</v>
      </c>
      <c r="L67" s="94" t="s">
        <v>111</v>
      </c>
      <c r="M67" s="94">
        <v>7445541.0300000003</v>
      </c>
      <c r="N67" s="94" t="s">
        <v>111</v>
      </c>
      <c r="O67" s="94">
        <v>7445541.0300000003</v>
      </c>
      <c r="P67" s="94">
        <v>4500643.71</v>
      </c>
      <c r="Q67" s="93" t="s">
        <v>111</v>
      </c>
      <c r="R67" s="94" t="s">
        <v>105</v>
      </c>
      <c r="S67" s="94"/>
      <c r="T67" s="94"/>
      <c r="U67" s="94">
        <v>0</v>
      </c>
      <c r="V67" s="93" t="s">
        <v>94</v>
      </c>
      <c r="W67" s="8" t="s">
        <v>98</v>
      </c>
      <c r="X67" s="94" t="s">
        <v>103</v>
      </c>
      <c r="Y67" s="94" t="s">
        <v>107</v>
      </c>
      <c r="Z67" s="94" t="s">
        <v>105</v>
      </c>
      <c r="AA67" s="94" t="s">
        <v>111</v>
      </c>
      <c r="AB67" s="94">
        <v>7445541.0300000003</v>
      </c>
      <c r="AC67" s="94" t="s">
        <v>111</v>
      </c>
      <c r="AD67" s="94">
        <v>5807522</v>
      </c>
      <c r="AE67" s="94">
        <v>22</v>
      </c>
      <c r="AF67" s="94" t="s">
        <v>99</v>
      </c>
      <c r="AG67" s="94">
        <v>0</v>
      </c>
      <c r="AH67" s="94">
        <v>0</v>
      </c>
      <c r="AI67" s="94">
        <v>-1306878.29</v>
      </c>
      <c r="AJ67" s="94">
        <v>-935.49</v>
      </c>
      <c r="AK67" s="94">
        <v>0.39552496025933526</v>
      </c>
      <c r="AL67" s="94" t="s">
        <v>99</v>
      </c>
      <c r="AM67" s="93" t="s">
        <v>532</v>
      </c>
      <c r="AN67" s="94"/>
      <c r="AO67" s="94" t="s">
        <v>16</v>
      </c>
      <c r="AP67" s="94" t="s">
        <v>16</v>
      </c>
      <c r="AQ67" s="94"/>
      <c r="AR67" s="94" t="s">
        <v>16</v>
      </c>
      <c r="AS67" s="94"/>
      <c r="AT67" s="94" t="s">
        <v>16</v>
      </c>
      <c r="AU67" s="94">
        <v>7445541.0300000003</v>
      </c>
      <c r="AV67" s="94">
        <v>5328</v>
      </c>
      <c r="AW67" s="94" t="s">
        <v>16</v>
      </c>
      <c r="AX67" s="94">
        <v>7445541.0300000003</v>
      </c>
      <c r="AY67" s="94">
        <v>5329.66</v>
      </c>
      <c r="AZ67" s="94" t="s">
        <v>111</v>
      </c>
      <c r="BA67" s="94">
        <v>5807522</v>
      </c>
      <c r="BB67" s="94" t="s">
        <v>99</v>
      </c>
      <c r="BC67" s="94">
        <v>-1306878.29</v>
      </c>
      <c r="BD67" s="94">
        <v>-935.49</v>
      </c>
      <c r="BE67" s="60">
        <f t="array" ref="BE67">IFERROR(INDEX('Com&amp;tax'!$E$2:$E$5, MATCH(1, ('Com&amp;tax'!$A$2:$A$5=B67)*('Com&amp;tax'!$B$2:$B$5=G67), 0)),"")</f>
        <v>0.15</v>
      </c>
      <c r="BF67" s="58">
        <f t="shared" si="141"/>
        <v>1116831.1544999999</v>
      </c>
      <c r="BG67" s="58">
        <f t="array" aca="1" ref="BG67" ca="1">IF(A67="","",( IFERROR((O67/ INDEX(er!$D$3:$D$75,MATCH(1, (er!$A$3:$A$75=$BG$2)*(er!$C$3:$C$75=Q67), 0)))*BE67,"")))</f>
        <v>799.44964531138157</v>
      </c>
      <c r="BH67" s="58">
        <f t="shared" si="142"/>
        <v>-1116831.1544999999</v>
      </c>
      <c r="BI67" s="59">
        <f t="array" ref="BI67">IFERROR(INDEX('Com&amp;tax'!$F$2:$F$5, MATCH(1, ('Com&amp;tax'!$A$2:$A$5=B67)*('Com&amp;tax'!$B$2:$B$5=Y67), 0)),0)</f>
        <v>4.9000000000000002E-2</v>
      </c>
      <c r="BJ67" s="58">
        <f t="shared" si="143"/>
        <v>310106.78389950003</v>
      </c>
      <c r="BK67" s="58">
        <f t="array" aca="1" ref="BK67" ca="1">IF(A67="","",( IFERROR((J67*(1-BE67))*BI67/INDEX(er!D:D, MATCH(Q67,er!C:C,0),1),0)))</f>
        <v>221.9805181814603</v>
      </c>
      <c r="BL67" s="60">
        <f t="array" ref="BL67">IFERROR(INDEX('Com&amp;tax'!$G$2:$G$5, MATCH(1, ('Com&amp;tax'!$A$2:$A$5=B67)*('Com&amp;tax'!$B$2:$B$5=Y67), 0)),0)</f>
        <v>0.1575</v>
      </c>
      <c r="BM67" s="58">
        <f t="shared" si="144"/>
        <v>996771.80539125006</v>
      </c>
      <c r="BN67" s="58">
        <f t="array" aca="1" ref="BN67" ca="1">IF(A67="","",( IFERROR((J67*(1-BE67))*BL67/INDEX(er!D:D, MATCH(Q67,er!C:C,0),1),0)))</f>
        <v>713.50880844040807</v>
      </c>
      <c r="BO67" s="60">
        <f t="array" ref="BO67">IFERROR(INDEX('Com&amp;tax'!$H$2:$H$5, MATCH(1, ('Com&amp;tax'!$A$2:$A$5=B67)*('Com&amp;tax'!$B$2:$B$5=Y67), 0)),0)</f>
        <v>7.0000000000000007E-2</v>
      </c>
      <c r="BP67" s="58">
        <f t="shared" si="145"/>
        <v>521187.8721000001</v>
      </c>
      <c r="BQ67" s="58">
        <f t="array" aca="1" ref="BQ67" ca="1">IF(A67="","",( IFERROR(J67*BO67/INDEX(er!D:D, MATCH(Q67,er!C:C,0),1),0)))</f>
        <v>373.07650114531145</v>
      </c>
      <c r="BR67" s="108">
        <f t="array" ref="BR67">IFERROR(INDEX('Com&amp;tax'!$F$2:$F$5, MATCH(1, ('Com&amp;tax'!$A$2:$A$5=B67)*('Com&amp;tax'!$D$2:$D$5=H67), 0)),0)</f>
        <v>4.9000000000000002E-2</v>
      </c>
      <c r="BS67" s="109">
        <f t="shared" si="146"/>
        <v>310106.78389950003</v>
      </c>
      <c r="BT67" s="109">
        <f t="array" aca="1" ref="BT67" ca="1">IF(A67="","",( IFERROR((J67*(1-BE67))*BR67/INDEX(er!D:D, MATCH(Q67,er!C:C,0),1),0)))</f>
        <v>221.9805181814603</v>
      </c>
      <c r="BU67" s="108">
        <f t="array" ref="BU67">IFERROR(INDEX('Com&amp;tax'!$G$2:$G$5, MATCH(1, ('Com&amp;tax'!$A$2:$A$5=B67)*('Com&amp;tax'!$D$2:$D$5=H67), 0)),0)</f>
        <v>0.1575</v>
      </c>
      <c r="BV67" s="109">
        <f t="shared" si="147"/>
        <v>996771.80539125006</v>
      </c>
      <c r="BW67" s="109">
        <f t="array" aca="1" ref="BW67" ca="1">IF(A67="","",( IFERROR((J67*(1-BE67))*BU67/INDEX(er!D:D, MATCH(Q67,er!C:C,0),1),0)))</f>
        <v>713.50880844040807</v>
      </c>
      <c r="BX67" s="108">
        <f t="array" ref="BX67">IFERROR(INDEX('Com&amp;tax'!$H$2:$H$5, MATCH(1, ('Com&amp;tax'!$A$2:$A$5=B67)*('Com&amp;tax'!$D$2:$D$5=H67), 0)),0)</f>
        <v>7.0000000000000007E-2</v>
      </c>
      <c r="BY67" s="109">
        <f t="shared" si="148"/>
        <v>521187.8721000001</v>
      </c>
      <c r="BZ67" s="109">
        <f t="array" aca="1" ref="BZ67" ca="1">IF(A67="","",( IFERROR(J67*BX67/INDEX(er!D:D, MATCH(Q67,er!C:C,0),1),0)))</f>
        <v>373.07650114531145</v>
      </c>
      <c r="CA67" s="96">
        <f t="array" aca="1" ref="CA67" ca="1">IF(A67="","",( IFERROR(1-((P67/ INDEX(er!$D$3:$D$75,MATCH(1, (er!$A$3:$A$75=$BG$2)*(er!$C$3:$C$75=Q67), 0))   /  (J67/ INDEX(er!$D$3:$D$75,MATCH(1, (er!$A$3:$A$75=$BG$2)*(er!$C$3:$C$75=L67), 0))))),"")))</f>
        <v>0.39552496025933526</v>
      </c>
      <c r="CB67" s="96">
        <f t="shared" si="149"/>
        <v>0.22000000045664914</v>
      </c>
      <c r="CC67" s="111">
        <f t="shared" ca="1" si="150"/>
        <v>0.17552495980268612</v>
      </c>
      <c r="CD67" s="110">
        <f t="shared" ref="CD67:CE67" si="157">BJ67+BM67-BS67-BV67</f>
        <v>0</v>
      </c>
      <c r="CE67" s="110">
        <f t="shared" ca="1" si="157"/>
        <v>0</v>
      </c>
      <c r="CF67" s="110">
        <f t="shared" ca="1" si="152"/>
        <v>-935.49</v>
      </c>
      <c r="CG67" s="8" t="str">
        <f t="shared" si="153"/>
        <v>Incorrect</v>
      </c>
      <c r="CH67" s="8"/>
      <c r="CI67" t="s">
        <v>2317</v>
      </c>
      <c r="CK67" s="240">
        <v>1306878.5892907502</v>
      </c>
      <c r="CL67" s="239">
        <f ca="1">(AI67+CK67)/INDEX(er!D:D,MATCH(AC67,er!C:C,0),1)</f>
        <v>2.1423818910215785E-4</v>
      </c>
      <c r="CN67" s="239">
        <f ca="1">CK67/INDEX(er!D:D,MATCH(AC67,er!C:C,0),1)</f>
        <v>935.48932662186849</v>
      </c>
    </row>
    <row r="68" spans="1:92" ht="12.5" x14ac:dyDescent="0.25">
      <c r="A68" s="93" t="s">
        <v>336</v>
      </c>
      <c r="B68" s="93" t="s">
        <v>96</v>
      </c>
      <c r="C68" s="93" t="s">
        <v>103</v>
      </c>
      <c r="D68" s="93" t="s">
        <v>337</v>
      </c>
      <c r="E68" s="93"/>
      <c r="F68" s="93"/>
      <c r="G68" s="94" t="s">
        <v>107</v>
      </c>
      <c r="H68" s="93" t="s">
        <v>436</v>
      </c>
      <c r="I68" s="94" t="s">
        <v>107</v>
      </c>
      <c r="J68" s="94">
        <v>839339.96</v>
      </c>
      <c r="K68" s="94">
        <v>839339.96</v>
      </c>
      <c r="L68" s="94" t="s">
        <v>111</v>
      </c>
      <c r="M68" s="94">
        <v>839339.96</v>
      </c>
      <c r="N68" s="94" t="s">
        <v>111</v>
      </c>
      <c r="O68" s="94">
        <v>839339.96</v>
      </c>
      <c r="P68" s="94">
        <v>507360.06</v>
      </c>
      <c r="Q68" s="93" t="s">
        <v>111</v>
      </c>
      <c r="R68" s="94" t="s">
        <v>105</v>
      </c>
      <c r="S68" s="94"/>
      <c r="T68" s="94"/>
      <c r="U68" s="94">
        <v>0</v>
      </c>
      <c r="V68" s="93" t="s">
        <v>94</v>
      </c>
      <c r="W68" s="8" t="s">
        <v>98</v>
      </c>
      <c r="X68" s="94" t="s">
        <v>103</v>
      </c>
      <c r="Y68" s="94" t="s">
        <v>107</v>
      </c>
      <c r="Z68" s="94" t="s">
        <v>105</v>
      </c>
      <c r="AA68" s="94" t="s">
        <v>111</v>
      </c>
      <c r="AB68" s="94">
        <v>839339.96</v>
      </c>
      <c r="AC68" s="94" t="s">
        <v>111</v>
      </c>
      <c r="AD68" s="94">
        <v>654685.17000000004</v>
      </c>
      <c r="AE68" s="94">
        <v>22</v>
      </c>
      <c r="AF68" s="94" t="s">
        <v>99</v>
      </c>
      <c r="AG68" s="94">
        <v>0</v>
      </c>
      <c r="AH68" s="94">
        <v>0</v>
      </c>
      <c r="AI68" s="94">
        <v>-147325.10999999999</v>
      </c>
      <c r="AJ68" s="94">
        <v>-105.46</v>
      </c>
      <c r="AK68" s="94">
        <v>0.39552495510877383</v>
      </c>
      <c r="AL68" s="94" t="s">
        <v>99</v>
      </c>
      <c r="AM68" s="93" t="s">
        <v>533</v>
      </c>
      <c r="AN68" s="94"/>
      <c r="AO68" s="94" t="s">
        <v>16</v>
      </c>
      <c r="AP68" s="94" t="s">
        <v>16</v>
      </c>
      <c r="AQ68" s="94"/>
      <c r="AR68" s="94" t="s">
        <v>16</v>
      </c>
      <c r="AS68" s="94"/>
      <c r="AT68" s="94" t="s">
        <v>16</v>
      </c>
      <c r="AU68" s="94">
        <v>839339.96</v>
      </c>
      <c r="AV68" s="94">
        <v>599</v>
      </c>
      <c r="AW68" s="94" t="s">
        <v>16</v>
      </c>
      <c r="AX68" s="94">
        <v>839339.96</v>
      </c>
      <c r="AY68" s="94">
        <v>600.82000000000005</v>
      </c>
      <c r="AZ68" s="94" t="s">
        <v>111</v>
      </c>
      <c r="BA68" s="94">
        <v>654685.18000000005</v>
      </c>
      <c r="BB68" s="94" t="s">
        <v>99</v>
      </c>
      <c r="BC68" s="94">
        <v>-147325.12</v>
      </c>
      <c r="BD68" s="94">
        <v>-105.46</v>
      </c>
      <c r="BE68" s="60">
        <f t="array" ref="BE68">IFERROR(INDEX('Com&amp;tax'!$E$2:$E$5, MATCH(1, ('Com&amp;tax'!$A$2:$A$5=B68)*('Com&amp;tax'!$B$2:$B$5=G68), 0)),"")</f>
        <v>0.15</v>
      </c>
      <c r="BF68" s="58">
        <f t="shared" si="141"/>
        <v>125900.99399999999</v>
      </c>
      <c r="BG68" s="58">
        <f t="array" aca="1" ref="BG68" ca="1">IF(A68="","",( IFERROR((O68/ INDEX(er!$D$3:$D$75,MATCH(1, (er!$A$3:$A$75=$BG$2)*(er!$C$3:$C$75=Q68), 0)))*BE68,"")))</f>
        <v>90.122400858983539</v>
      </c>
      <c r="BH68" s="58">
        <f t="shared" si="142"/>
        <v>-125900.99399999999</v>
      </c>
      <c r="BI68" s="59">
        <f t="array" ref="BI68">IFERROR(INDEX('Com&amp;tax'!$F$2:$F$5, MATCH(1, ('Com&amp;tax'!$A$2:$A$5=B68)*('Com&amp;tax'!$B$2:$B$5=Y68), 0)),0)</f>
        <v>4.9000000000000002E-2</v>
      </c>
      <c r="BJ68" s="58">
        <f t="shared" si="143"/>
        <v>34958.509333999995</v>
      </c>
      <c r="BK68" s="58">
        <f t="array" aca="1" ref="BK68" ca="1">IF(A68="","",( IFERROR((J68*(1-BE68))*BI68/INDEX(er!D:D, MATCH(Q68,er!C:C,0),1),0)))</f>
        <v>25.02398663851109</v>
      </c>
      <c r="BL68" s="60">
        <f t="array" ref="BL68">IFERROR(INDEX('Com&amp;tax'!$G$2:$G$5, MATCH(1, ('Com&amp;tax'!$A$2:$A$5=B68)*('Com&amp;tax'!$B$2:$B$5=Y68), 0)),0)</f>
        <v>0.1575</v>
      </c>
      <c r="BM68" s="58">
        <f t="shared" si="144"/>
        <v>112366.63714499999</v>
      </c>
      <c r="BN68" s="58">
        <f t="array" aca="1" ref="BN68" ca="1">IF(A68="","",( IFERROR((J68*(1-BE68))*BL68/INDEX(er!D:D, MATCH(Q68,er!C:C,0),1),0)))</f>
        <v>80.434242766642797</v>
      </c>
      <c r="BO68" s="60">
        <f t="array" ref="BO68">IFERROR(INDEX('Com&amp;tax'!$H$2:$H$5, MATCH(1, ('Com&amp;tax'!$A$2:$A$5=B68)*('Com&amp;tax'!$B$2:$B$5=Y68), 0)),0)</f>
        <v>7.0000000000000007E-2</v>
      </c>
      <c r="BP68" s="58">
        <f t="shared" si="145"/>
        <v>58753.797200000001</v>
      </c>
      <c r="BQ68" s="58">
        <f t="array" aca="1" ref="BQ68" ca="1">IF(A68="","",( IFERROR(J68*BO68/INDEX(er!D:D, MATCH(Q68,er!C:C,0),1),0)))</f>
        <v>42.057120400858985</v>
      </c>
      <c r="BR68" s="108">
        <f t="array" ref="BR68">IFERROR(INDEX('Com&amp;tax'!$F$2:$F$5, MATCH(1, ('Com&amp;tax'!$A$2:$A$5=B68)*('Com&amp;tax'!$D$2:$D$5=H68), 0)),0)</f>
        <v>4.9000000000000002E-2</v>
      </c>
      <c r="BS68" s="109">
        <f t="shared" si="146"/>
        <v>34958.509333999995</v>
      </c>
      <c r="BT68" s="109">
        <f t="array" aca="1" ref="BT68" ca="1">IF(A68="","",( IFERROR((J68*(1-BE68))*BR68/INDEX(er!D:D, MATCH(Q68,er!C:C,0),1),0)))</f>
        <v>25.02398663851109</v>
      </c>
      <c r="BU68" s="108">
        <f t="array" ref="BU68">IFERROR(INDEX('Com&amp;tax'!$G$2:$G$5, MATCH(1, ('Com&amp;tax'!$A$2:$A$5=B68)*('Com&amp;tax'!$D$2:$D$5=H68), 0)),0)</f>
        <v>0.1575</v>
      </c>
      <c r="BV68" s="109">
        <f t="shared" si="147"/>
        <v>112366.63714499999</v>
      </c>
      <c r="BW68" s="109">
        <f t="array" aca="1" ref="BW68" ca="1">IF(A68="","",( IFERROR((J68*(1-BE68))*BU68/INDEX(er!D:D, MATCH(Q68,er!C:C,0),1),0)))</f>
        <v>80.434242766642797</v>
      </c>
      <c r="BX68" s="108">
        <f t="array" ref="BX68">IFERROR(INDEX('Com&amp;tax'!$H$2:$H$5, MATCH(1, ('Com&amp;tax'!$A$2:$A$5=B68)*('Com&amp;tax'!$D$2:$D$5=H68), 0)),0)</f>
        <v>7.0000000000000007E-2</v>
      </c>
      <c r="BY68" s="109">
        <f t="shared" si="148"/>
        <v>58753.797200000001</v>
      </c>
      <c r="BZ68" s="109">
        <f t="array" aca="1" ref="BZ68" ca="1">IF(A68="","",( IFERROR(J68*BX68/INDEX(er!D:D, MATCH(Q68,er!C:C,0),1),0)))</f>
        <v>42.057120400858985</v>
      </c>
      <c r="CA68" s="96">
        <f t="array" aca="1" ref="CA68" ca="1">IF(A68="","",( IFERROR(1-((P68/ INDEX(er!$D$3:$D$75,MATCH(1, (er!$A$3:$A$75=$BG$2)*(er!$C$3:$C$75=Q68), 0))   /  (J68/ INDEX(er!$D$3:$D$75,MATCH(1, (er!$A$3:$A$75=$BG$2)*(er!$C$3:$C$75=L68), 0))))),"")))</f>
        <v>0.39552495510877383</v>
      </c>
      <c r="CB68" s="96">
        <f t="shared" si="149"/>
        <v>0.21999999857030506</v>
      </c>
      <c r="CC68" s="111">
        <f t="shared" ca="1" si="150"/>
        <v>0.17552495653846878</v>
      </c>
      <c r="CD68" s="110">
        <f t="shared" ref="CD68:CE68" si="158">BJ68+BM68-BS68-BV68</f>
        <v>0</v>
      </c>
      <c r="CE68" s="110">
        <f t="shared" ca="1" si="158"/>
        <v>0</v>
      </c>
      <c r="CF68" s="110">
        <f t="shared" ca="1" si="152"/>
        <v>-105.46</v>
      </c>
      <c r="CG68" s="8" t="str">
        <f t="shared" si="153"/>
        <v>Incorrect</v>
      </c>
      <c r="CH68" s="8"/>
      <c r="CI68" t="s">
        <v>2317</v>
      </c>
      <c r="CK68" s="240">
        <v>147325.14647899999</v>
      </c>
      <c r="CL68" s="239">
        <f ca="1">(AI68+CK68)/INDEX(er!D:D,MATCH(AC68,er!C:C,0),1)</f>
        <v>2.6112383680848794E-5</v>
      </c>
      <c r="CN68" s="239">
        <f ca="1">CK68/INDEX(er!D:D,MATCH(AC68,er!C:C,0),1)</f>
        <v>105.45822940515389</v>
      </c>
    </row>
    <row r="69" spans="1:92" ht="12.5" x14ac:dyDescent="0.25">
      <c r="A69" s="93" t="s">
        <v>340</v>
      </c>
      <c r="B69" s="93" t="s">
        <v>100</v>
      </c>
      <c r="C69" s="93" t="s">
        <v>103</v>
      </c>
      <c r="D69" s="93" t="s">
        <v>341</v>
      </c>
      <c r="E69" s="93"/>
      <c r="F69" s="93"/>
      <c r="G69" s="94" t="s">
        <v>107</v>
      </c>
      <c r="H69" s="93" t="s">
        <v>436</v>
      </c>
      <c r="I69" s="94" t="s">
        <v>107</v>
      </c>
      <c r="J69" s="94">
        <v>2890408.14</v>
      </c>
      <c r="K69" s="94">
        <v>2890408.14</v>
      </c>
      <c r="L69" s="94" t="s">
        <v>111</v>
      </c>
      <c r="M69" s="94">
        <v>2890408.14</v>
      </c>
      <c r="N69" s="94" t="s">
        <v>111</v>
      </c>
      <c r="O69" s="94">
        <v>2890408.14</v>
      </c>
      <c r="P69" s="94">
        <v>1907654.92</v>
      </c>
      <c r="Q69" s="93" t="s">
        <v>111</v>
      </c>
      <c r="R69" s="94" t="s">
        <v>105</v>
      </c>
      <c r="S69" s="94"/>
      <c r="T69" s="94"/>
      <c r="U69" s="94">
        <v>0</v>
      </c>
      <c r="V69" s="93" t="s">
        <v>94</v>
      </c>
      <c r="W69" s="8" t="s">
        <v>98</v>
      </c>
      <c r="X69" s="94" t="s">
        <v>103</v>
      </c>
      <c r="Y69" s="94" t="s">
        <v>107</v>
      </c>
      <c r="Z69" s="94" t="s">
        <v>105</v>
      </c>
      <c r="AA69" s="94" t="s">
        <v>111</v>
      </c>
      <c r="AB69" s="94">
        <v>2890408.14</v>
      </c>
      <c r="AC69" s="94" t="s">
        <v>111</v>
      </c>
      <c r="AD69" s="94">
        <v>2254518.35</v>
      </c>
      <c r="AE69" s="94">
        <v>22</v>
      </c>
      <c r="AF69" s="94" t="s">
        <v>99</v>
      </c>
      <c r="AG69" s="94">
        <v>0</v>
      </c>
      <c r="AH69" s="94">
        <v>0</v>
      </c>
      <c r="AI69" s="94">
        <v>-346863.43</v>
      </c>
      <c r="AJ69" s="94">
        <v>-248.29</v>
      </c>
      <c r="AK69" s="94">
        <v>0.34000500012430779</v>
      </c>
      <c r="AL69" s="94" t="s">
        <v>99</v>
      </c>
      <c r="AM69" s="93" t="s">
        <v>534</v>
      </c>
      <c r="AN69" s="94"/>
      <c r="AO69" s="94" t="s">
        <v>16</v>
      </c>
      <c r="AP69" s="94" t="s">
        <v>16</v>
      </c>
      <c r="AQ69" s="94"/>
      <c r="AR69" s="94" t="s">
        <v>16</v>
      </c>
      <c r="AS69" s="94"/>
      <c r="AT69" s="94" t="s">
        <v>16</v>
      </c>
      <c r="AU69" s="94">
        <v>2890408.14</v>
      </c>
      <c r="AV69" s="94">
        <v>2067</v>
      </c>
      <c r="AW69" s="94" t="s">
        <v>16</v>
      </c>
      <c r="AX69" s="94">
        <v>2890408.14</v>
      </c>
      <c r="AY69" s="94">
        <v>2069.0100000000002</v>
      </c>
      <c r="AZ69" s="94" t="s">
        <v>111</v>
      </c>
      <c r="BA69" s="94">
        <v>2254518.35</v>
      </c>
      <c r="BB69" s="94" t="s">
        <v>99</v>
      </c>
      <c r="BC69" s="94">
        <v>-346863.43</v>
      </c>
      <c r="BD69" s="94">
        <v>-248.29</v>
      </c>
      <c r="BE69" s="60">
        <f t="array" ref="BE69">IFERROR(INDEX('Com&amp;tax'!$E$2:$E$5, MATCH(1, ('Com&amp;tax'!$A$2:$A$5=B69)*('Com&amp;tax'!$B$2:$B$5=G69), 0)),"")</f>
        <v>0.15</v>
      </c>
      <c r="BF69" s="58">
        <f t="shared" si="141"/>
        <v>433561.22100000002</v>
      </c>
      <c r="BG69" s="58">
        <f t="array" aca="1" ref="BG69" ca="1">IF(A69="","",( IFERROR((O69/ INDEX(er!$D$3:$D$75,MATCH(1, (er!$A$3:$A$75=$BG$2)*(er!$C$3:$C$75=Q69), 0)))*BE69,"")))</f>
        <v>310.35162562634218</v>
      </c>
      <c r="BH69" s="58">
        <f t="shared" si="142"/>
        <v>-433561.22100000002</v>
      </c>
      <c r="BI69" s="59">
        <f t="array" ref="BI69">IFERROR(INDEX('Com&amp;tax'!$F$2:$F$5, MATCH(1, ('Com&amp;tax'!$A$2:$A$5=B69)*('Com&amp;tax'!$B$2:$B$5=Y69), 0)),0)</f>
        <v>4.9000000000000002E-2</v>
      </c>
      <c r="BJ69" s="58">
        <f t="shared" si="143"/>
        <v>120385.49903100001</v>
      </c>
      <c r="BK69" s="58">
        <f t="array" aca="1" ref="BK69" ca="1">IF(A69="","",( IFERROR((J69*(1-BE69))*BI69/INDEX(er!D:D, MATCH(Q69,er!C:C,0),1),0)))</f>
        <v>86.174301382247677</v>
      </c>
      <c r="BL69" s="60">
        <f t="array" ref="BL69">IFERROR(INDEX('Com&amp;tax'!$G$2:$G$5, MATCH(1, ('Com&amp;tax'!$A$2:$A$5=B69)*('Com&amp;tax'!$B$2:$B$5=Y69), 0)),0)</f>
        <v>0.1575</v>
      </c>
      <c r="BM69" s="58">
        <f t="shared" si="144"/>
        <v>386953.38974250003</v>
      </c>
      <c r="BN69" s="58">
        <f t="array" aca="1" ref="BN69" ca="1">IF(A69="","",( IFERROR((J69*(1-BE69))*BL69/INDEX(er!D:D, MATCH(Q69,er!C:C,0),1),0)))</f>
        <v>276.98882587151041</v>
      </c>
      <c r="BO69" s="60">
        <f t="array" ref="BO69">IFERROR(INDEX('Com&amp;tax'!$H$2:$H$5, MATCH(1, ('Com&amp;tax'!$A$2:$A$5=B69)*('Com&amp;tax'!$B$2:$B$5=Y69), 0)),0)</f>
        <v>0</v>
      </c>
      <c r="BP69" s="58">
        <f t="shared" si="145"/>
        <v>0</v>
      </c>
      <c r="BQ69" s="58">
        <f t="array" aca="1" ref="BQ69" ca="1">IF(A69="","",( IFERROR(J69*BO69/INDEX(er!D:D, MATCH(Q69,er!C:C,0),1),0)))</f>
        <v>0</v>
      </c>
      <c r="BR69" s="108">
        <f t="array" ref="BR69">IFERROR(INDEX('Com&amp;tax'!$F$2:$F$5, MATCH(1, ('Com&amp;tax'!$A$2:$A$5=B69)*('Com&amp;tax'!$D$2:$D$5=H69), 0)),0)</f>
        <v>4.9000000000000002E-2</v>
      </c>
      <c r="BS69" s="109">
        <f t="shared" si="146"/>
        <v>120385.49903100001</v>
      </c>
      <c r="BT69" s="109">
        <f t="array" aca="1" ref="BT69" ca="1">IF(A69="","",( IFERROR((J69*(1-BE69))*BR69/INDEX(er!D:D, MATCH(Q69,er!C:C,0),1),0)))</f>
        <v>86.174301382247677</v>
      </c>
      <c r="BU69" s="108">
        <f t="array" ref="BU69">IFERROR(INDEX('Com&amp;tax'!$G$2:$G$5, MATCH(1, ('Com&amp;tax'!$A$2:$A$5=B69)*('Com&amp;tax'!$D$2:$D$5=H69), 0)),0)</f>
        <v>0.1575</v>
      </c>
      <c r="BV69" s="109">
        <f t="shared" si="147"/>
        <v>386953.38974250003</v>
      </c>
      <c r="BW69" s="109">
        <f t="array" aca="1" ref="BW69" ca="1">IF(A69="","",( IFERROR((J69*(1-BE69))*BU69/INDEX(er!D:D, MATCH(Q69,er!C:C,0),1),0)))</f>
        <v>276.98882587151041</v>
      </c>
      <c r="BX69" s="108">
        <f t="array" ref="BX69">IFERROR(INDEX('Com&amp;tax'!$H$2:$H$5, MATCH(1, ('Com&amp;tax'!$A$2:$A$5=B69)*('Com&amp;tax'!$D$2:$D$5=H69), 0)),0)</f>
        <v>0</v>
      </c>
      <c r="BY69" s="109">
        <f t="shared" si="148"/>
        <v>0</v>
      </c>
      <c r="BZ69" s="109">
        <f t="array" aca="1" ref="BZ69" ca="1">IF(A69="","",( IFERROR(J69*BX69/INDEX(er!D:D, MATCH(Q69,er!C:C,0),1),0)))</f>
        <v>0</v>
      </c>
      <c r="CA69" s="96">
        <f t="array" aca="1" ref="CA69" ca="1">IF(A69="","",( IFERROR(1-((P69/ INDEX(er!$D$3:$D$75,MATCH(1, (er!$A$3:$A$75=$BG$2)*(er!$C$3:$C$75=Q69), 0))   /  (J69/ INDEX(er!$D$3:$D$75,MATCH(1, (er!$A$3:$A$75=$BG$2)*(er!$C$3:$C$75=L69), 0))))),"")))</f>
        <v>0.34000500012430779</v>
      </c>
      <c r="CB69" s="96">
        <f t="shared" si="149"/>
        <v>0.21999999972322248</v>
      </c>
      <c r="CC69" s="111">
        <f t="shared" ca="1" si="150"/>
        <v>0.1200050004010853</v>
      </c>
      <c r="CD69" s="110">
        <f t="shared" ref="CD69:CE69" si="159">BJ69+BM69-BS69-BV69</f>
        <v>0</v>
      </c>
      <c r="CE69" s="110">
        <f t="shared" ca="1" si="159"/>
        <v>0</v>
      </c>
      <c r="CF69" s="110">
        <f t="shared" ca="1" si="152"/>
        <v>-248.29</v>
      </c>
      <c r="CG69" s="8" t="str">
        <f t="shared" si="153"/>
        <v>Incorrect</v>
      </c>
      <c r="CH69" s="8"/>
      <c r="CI69" t="s">
        <v>1942</v>
      </c>
      <c r="CK69" s="240">
        <v>507338.88877349999</v>
      </c>
      <c r="CL69" s="239">
        <f ca="1">(AI69+CK69)/INDEX(er!D:D,MATCH(AC69,er!C:C,0),1)</f>
        <v>114.8714808686471</v>
      </c>
      <c r="CN69" s="239">
        <f ca="1">CK69/INDEX(er!D:D,MATCH(AC69,er!C:C,0),1)</f>
        <v>363.16312725375803</v>
      </c>
    </row>
    <row r="70" spans="1:92" ht="12.5" x14ac:dyDescent="0.25">
      <c r="A70" s="93" t="s">
        <v>343</v>
      </c>
      <c r="B70" s="93" t="s">
        <v>96</v>
      </c>
      <c r="C70" s="93" t="s">
        <v>103</v>
      </c>
      <c r="D70" s="93" t="s">
        <v>344</v>
      </c>
      <c r="E70" s="93"/>
      <c r="F70" s="93"/>
      <c r="G70" s="94" t="s">
        <v>107</v>
      </c>
      <c r="H70" s="93" t="s">
        <v>436</v>
      </c>
      <c r="I70" s="94" t="s">
        <v>107</v>
      </c>
      <c r="J70" s="94">
        <v>2906163.1</v>
      </c>
      <c r="K70" s="94">
        <v>2906163.1</v>
      </c>
      <c r="L70" s="94" t="s">
        <v>111</v>
      </c>
      <c r="M70" s="94">
        <v>2906163.1</v>
      </c>
      <c r="N70" s="94" t="s">
        <v>111</v>
      </c>
      <c r="O70" s="94">
        <v>2906163.1</v>
      </c>
      <c r="P70" s="94">
        <v>1756703.06</v>
      </c>
      <c r="Q70" s="93" t="s">
        <v>111</v>
      </c>
      <c r="R70" s="94" t="s">
        <v>105</v>
      </c>
      <c r="S70" s="94"/>
      <c r="T70" s="94"/>
      <c r="U70" s="94">
        <v>0</v>
      </c>
      <c r="V70" s="93" t="s">
        <v>94</v>
      </c>
      <c r="W70" s="8" t="s">
        <v>98</v>
      </c>
      <c r="X70" s="94" t="s">
        <v>103</v>
      </c>
      <c r="Y70" s="94" t="s">
        <v>107</v>
      </c>
      <c r="Z70" s="94" t="s">
        <v>105</v>
      </c>
      <c r="AA70" s="94" t="s">
        <v>111</v>
      </c>
      <c r="AB70" s="94">
        <v>2906163.1</v>
      </c>
      <c r="AC70" s="94" t="s">
        <v>111</v>
      </c>
      <c r="AD70" s="94">
        <v>2266807.2200000002</v>
      </c>
      <c r="AE70" s="94">
        <v>22</v>
      </c>
      <c r="AF70" s="94" t="s">
        <v>99</v>
      </c>
      <c r="AG70" s="94">
        <v>0</v>
      </c>
      <c r="AH70" s="94">
        <v>0</v>
      </c>
      <c r="AI70" s="94">
        <v>-510104.16</v>
      </c>
      <c r="AJ70" s="94">
        <v>-365.14</v>
      </c>
      <c r="AK70" s="94">
        <v>0.39552495866457038</v>
      </c>
      <c r="AL70" s="94" t="s">
        <v>99</v>
      </c>
      <c r="AM70" s="93" t="s">
        <v>535</v>
      </c>
      <c r="AN70" s="94"/>
      <c r="AO70" s="94" t="s">
        <v>16</v>
      </c>
      <c r="AP70" s="94" t="s">
        <v>16</v>
      </c>
      <c r="AQ70" s="94"/>
      <c r="AR70" s="94" t="s">
        <v>16</v>
      </c>
      <c r="AS70" s="94"/>
      <c r="AT70" s="94" t="s">
        <v>16</v>
      </c>
      <c r="AU70" s="94">
        <v>2906163.1</v>
      </c>
      <c r="AV70" s="94">
        <v>2078</v>
      </c>
      <c r="AW70" s="94" t="s">
        <v>16</v>
      </c>
      <c r="AX70" s="94">
        <v>2906163.1</v>
      </c>
      <c r="AY70" s="94">
        <v>2080.29</v>
      </c>
      <c r="AZ70" s="94" t="s">
        <v>111</v>
      </c>
      <c r="BA70" s="94">
        <v>2266807.2200000002</v>
      </c>
      <c r="BB70" s="94" t="s">
        <v>99</v>
      </c>
      <c r="BC70" s="94">
        <v>-510104.16</v>
      </c>
      <c r="BD70" s="94">
        <v>-365.14</v>
      </c>
      <c r="BE70" s="60">
        <f t="array" ref="BE70">IFERROR(INDEX('Com&amp;tax'!$E$2:$E$5, MATCH(1, ('Com&amp;tax'!$A$2:$A$5=B70)*('Com&amp;tax'!$B$2:$B$5=G70), 0)),"")</f>
        <v>0.15</v>
      </c>
      <c r="BF70" s="58">
        <f t="shared" si="141"/>
        <v>435924.46500000003</v>
      </c>
      <c r="BG70" s="58">
        <f t="array" aca="1" ref="BG70" ca="1">IF(A70="","",( IFERROR((O70/ INDEX(er!$D$3:$D$75,MATCH(1, (er!$A$3:$A$75=$BG$2)*(er!$C$3:$C$75=Q70), 0)))*BE70,"")))</f>
        <v>312.04328203292766</v>
      </c>
      <c r="BH70" s="58">
        <f t="shared" si="142"/>
        <v>-435924.46500000003</v>
      </c>
      <c r="BI70" s="59">
        <f t="array" ref="BI70">IFERROR(INDEX('Com&amp;tax'!$F$2:$F$5, MATCH(1, ('Com&amp;tax'!$A$2:$A$5=B70)*('Com&amp;tax'!$B$2:$B$5=Y70), 0)),0)</f>
        <v>4.9000000000000002E-2</v>
      </c>
      <c r="BJ70" s="58">
        <f t="shared" si="143"/>
        <v>121041.69311500002</v>
      </c>
      <c r="BK70" s="58">
        <f t="array" aca="1" ref="BK70" ca="1">IF(A70="","",( IFERROR((J70*(1-BE70))*BI70/INDEX(er!D:D, MATCH(Q70,er!C:C,0),1),0)))</f>
        <v>86.644017977809597</v>
      </c>
      <c r="BL70" s="60">
        <f t="array" ref="BL70">IFERROR(INDEX('Com&amp;tax'!$G$2:$G$5, MATCH(1, ('Com&amp;tax'!$A$2:$A$5=B70)*('Com&amp;tax'!$B$2:$B$5=Y70), 0)),0)</f>
        <v>0.1575</v>
      </c>
      <c r="BM70" s="58">
        <f t="shared" si="144"/>
        <v>389062.58501250006</v>
      </c>
      <c r="BN70" s="58">
        <f t="array" aca="1" ref="BN70" ca="1">IF(A70="","",( IFERROR((J70*(1-BE70))*BL70/INDEX(er!D:D, MATCH(Q70,er!C:C,0),1),0)))</f>
        <v>278.49862921438802</v>
      </c>
      <c r="BO70" s="60">
        <f t="array" ref="BO70">IFERROR(INDEX('Com&amp;tax'!$H$2:$H$5, MATCH(1, ('Com&amp;tax'!$A$2:$A$5=B70)*('Com&amp;tax'!$B$2:$B$5=Y70), 0)),0)</f>
        <v>7.0000000000000007E-2</v>
      </c>
      <c r="BP70" s="58">
        <f t="shared" si="145"/>
        <v>203431.41700000002</v>
      </c>
      <c r="BQ70" s="58">
        <f t="array" aca="1" ref="BQ70" ca="1">IF(A70="","",( IFERROR(J70*BO70/INDEX(er!D:D, MATCH(Q70,er!C:C,0),1),0)))</f>
        <v>145.62019828203293</v>
      </c>
      <c r="BR70" s="108">
        <f t="array" ref="BR70">IFERROR(INDEX('Com&amp;tax'!$F$2:$F$5, MATCH(1, ('Com&amp;tax'!$A$2:$A$5=B70)*('Com&amp;tax'!$D$2:$D$5=H70), 0)),0)</f>
        <v>4.9000000000000002E-2</v>
      </c>
      <c r="BS70" s="109">
        <f t="shared" si="146"/>
        <v>121041.69311500002</v>
      </c>
      <c r="BT70" s="109">
        <f t="array" aca="1" ref="BT70" ca="1">IF(A70="","",( IFERROR((J70*(1-BE70))*BR70/INDEX(er!D:D, MATCH(Q70,er!C:C,0),1),0)))</f>
        <v>86.644017977809597</v>
      </c>
      <c r="BU70" s="108">
        <f t="array" ref="BU70">IFERROR(INDEX('Com&amp;tax'!$G$2:$G$5, MATCH(1, ('Com&amp;tax'!$A$2:$A$5=B70)*('Com&amp;tax'!$D$2:$D$5=H70), 0)),0)</f>
        <v>0.1575</v>
      </c>
      <c r="BV70" s="109">
        <f t="shared" si="147"/>
        <v>389062.58501250006</v>
      </c>
      <c r="BW70" s="109">
        <f t="array" aca="1" ref="BW70" ca="1">IF(A70="","",( IFERROR((J70*(1-BE70))*BU70/INDEX(er!D:D, MATCH(Q70,er!C:C,0),1),0)))</f>
        <v>278.49862921438802</v>
      </c>
      <c r="BX70" s="108">
        <f t="array" ref="BX70">IFERROR(INDEX('Com&amp;tax'!$H$2:$H$5, MATCH(1, ('Com&amp;tax'!$A$2:$A$5=B70)*('Com&amp;tax'!$D$2:$D$5=H70), 0)),0)</f>
        <v>7.0000000000000007E-2</v>
      </c>
      <c r="BY70" s="109">
        <f t="shared" si="148"/>
        <v>203431.41700000002</v>
      </c>
      <c r="BZ70" s="109">
        <f t="array" aca="1" ref="BZ70" ca="1">IF(A70="","",( IFERROR(J70*BX70/INDEX(er!D:D, MATCH(Q70,er!C:C,0),1),0)))</f>
        <v>145.62019828203293</v>
      </c>
      <c r="CA70" s="96">
        <f t="array" aca="1" ref="CA70" ca="1">IF(A70="","",( IFERROR(1-((P70/ INDEX(er!$D$3:$D$75,MATCH(1, (er!$A$3:$A$75=$BG$2)*(er!$C$3:$C$75=Q70), 0))   /  (J70/ INDEX(er!$D$3:$D$75,MATCH(1, (er!$A$3:$A$75=$BG$2)*(er!$C$3:$C$75=L70), 0))))),"")))</f>
        <v>0.39552495866457038</v>
      </c>
      <c r="CB70" s="96">
        <f t="shared" si="149"/>
        <v>0.21999999931180736</v>
      </c>
      <c r="CC70" s="111">
        <f t="shared" ca="1" si="150"/>
        <v>0.17552495935276302</v>
      </c>
      <c r="CD70" s="110">
        <f t="shared" ref="CD70:CE70" si="160">BJ70+BM70-BS70-BV70</f>
        <v>0</v>
      </c>
      <c r="CE70" s="110">
        <f t="shared" ca="1" si="160"/>
        <v>0</v>
      </c>
      <c r="CF70" s="110">
        <f t="shared" ca="1" si="152"/>
        <v>-365.14</v>
      </c>
      <c r="CG70" s="8" t="str">
        <f t="shared" si="153"/>
        <v>Incorrect</v>
      </c>
      <c r="CH70" s="8"/>
      <c r="CI70" t="s">
        <v>2317</v>
      </c>
      <c r="CK70" s="240">
        <v>510104.27812750003</v>
      </c>
      <c r="CL70" s="239">
        <f ca="1">(AI70+CK70)/INDEX(er!D:D,MATCH(AC70,er!C:C,0),1)</f>
        <v>8.455798142898292E-5</v>
      </c>
      <c r="CN70" s="239">
        <f ca="1">CK70/INDEX(er!D:D,MATCH(AC70,er!C:C,0),1)</f>
        <v>365.14264719219761</v>
      </c>
    </row>
    <row r="71" spans="1:92" ht="12.5" x14ac:dyDescent="0.25">
      <c r="A71" s="93" t="s">
        <v>347</v>
      </c>
      <c r="B71" s="93" t="s">
        <v>96</v>
      </c>
      <c r="C71" s="93" t="s">
        <v>103</v>
      </c>
      <c r="D71" s="93" t="s">
        <v>348</v>
      </c>
      <c r="E71" s="93"/>
      <c r="F71" s="93"/>
      <c r="G71" s="94" t="s">
        <v>107</v>
      </c>
      <c r="H71" s="93" t="s">
        <v>436</v>
      </c>
      <c r="I71" s="94" t="s">
        <v>107</v>
      </c>
      <c r="J71" s="94">
        <v>2327584.0699999998</v>
      </c>
      <c r="K71" s="94">
        <v>2327584.0699999998</v>
      </c>
      <c r="L71" s="94" t="s">
        <v>111</v>
      </c>
      <c r="M71" s="94">
        <v>2327584.0699999998</v>
      </c>
      <c r="N71" s="94" t="s">
        <v>111</v>
      </c>
      <c r="O71" s="94">
        <v>2327584.0699999998</v>
      </c>
      <c r="P71" s="94">
        <v>1406966.47</v>
      </c>
      <c r="Q71" s="93" t="s">
        <v>111</v>
      </c>
      <c r="R71" s="94" t="s">
        <v>105</v>
      </c>
      <c r="S71" s="94"/>
      <c r="T71" s="94"/>
      <c r="U71" s="94">
        <v>0</v>
      </c>
      <c r="V71" s="93" t="s">
        <v>94</v>
      </c>
      <c r="W71" s="8" t="s">
        <v>98</v>
      </c>
      <c r="X71" s="94" t="s">
        <v>103</v>
      </c>
      <c r="Y71" s="94" t="s">
        <v>107</v>
      </c>
      <c r="Z71" s="94" t="s">
        <v>105</v>
      </c>
      <c r="AA71" s="94" t="s">
        <v>111</v>
      </c>
      <c r="AB71" s="94">
        <v>2327584.0699999998</v>
      </c>
      <c r="AC71" s="94" t="s">
        <v>111</v>
      </c>
      <c r="AD71" s="94">
        <v>1815515.57</v>
      </c>
      <c r="AE71" s="94">
        <v>22</v>
      </c>
      <c r="AF71" s="94" t="s">
        <v>99</v>
      </c>
      <c r="AG71" s="94">
        <v>0</v>
      </c>
      <c r="AH71" s="94">
        <v>0</v>
      </c>
      <c r="AI71" s="94">
        <v>-408549.1</v>
      </c>
      <c r="AJ71" s="94">
        <v>-292.45</v>
      </c>
      <c r="AK71" s="94">
        <v>0.3955249616397315</v>
      </c>
      <c r="AL71" s="94" t="s">
        <v>99</v>
      </c>
      <c r="AM71" s="93" t="s">
        <v>536</v>
      </c>
      <c r="AN71" s="94"/>
      <c r="AO71" s="94" t="s">
        <v>16</v>
      </c>
      <c r="AP71" s="94" t="s">
        <v>16</v>
      </c>
      <c r="AQ71" s="94"/>
      <c r="AR71" s="94" t="s">
        <v>16</v>
      </c>
      <c r="AS71" s="94"/>
      <c r="AT71" s="94" t="s">
        <v>16</v>
      </c>
      <c r="AU71" s="94">
        <v>2327584.0699999998</v>
      </c>
      <c r="AV71" s="94">
        <v>1664</v>
      </c>
      <c r="AW71" s="94" t="s">
        <v>16</v>
      </c>
      <c r="AX71" s="94">
        <v>2327584.0699999998</v>
      </c>
      <c r="AY71" s="94">
        <v>1666.13</v>
      </c>
      <c r="AZ71" s="94" t="s">
        <v>111</v>
      </c>
      <c r="BA71" s="94">
        <v>1815515.57</v>
      </c>
      <c r="BB71" s="94" t="s">
        <v>99</v>
      </c>
      <c r="BC71" s="94">
        <v>-408549.1</v>
      </c>
      <c r="BD71" s="94">
        <v>-292.45</v>
      </c>
      <c r="BE71" s="60">
        <f t="array" ref="BE71">IFERROR(INDEX('Com&amp;tax'!$E$2:$E$5, MATCH(1, ('Com&amp;tax'!$A$2:$A$5=B71)*('Com&amp;tax'!$B$2:$B$5=G71), 0)),"")</f>
        <v>0.15</v>
      </c>
      <c r="BF71" s="58">
        <f t="shared" si="141"/>
        <v>349137.61049999995</v>
      </c>
      <c r="BG71" s="58">
        <f t="array" aca="1" ref="BG71" ca="1">IF(A71="","",( IFERROR((O71/ INDEX(er!$D$3:$D$75,MATCH(1, (er!$A$3:$A$75=$BG$2)*(er!$C$3:$C$75=Q71), 0)))*BE71,"")))</f>
        <v>249.91954939155332</v>
      </c>
      <c r="BH71" s="58">
        <f t="shared" si="142"/>
        <v>-349137.61049999995</v>
      </c>
      <c r="BI71" s="59">
        <f t="array" ref="BI71">IFERROR(INDEX('Com&amp;tax'!$F$2:$F$5, MATCH(1, ('Com&amp;tax'!$A$2:$A$5=B71)*('Com&amp;tax'!$B$2:$B$5=Y71), 0)),0)</f>
        <v>4.9000000000000002E-2</v>
      </c>
      <c r="BJ71" s="58">
        <f t="shared" si="143"/>
        <v>96943.8765155</v>
      </c>
      <c r="BK71" s="58">
        <f t="array" aca="1" ref="BK71" ca="1">IF(A71="","",( IFERROR((J71*(1-BE71))*BI71/INDEX(er!D:D, MATCH(Q71,er!C:C,0),1),0)))</f>
        <v>69.394328214387969</v>
      </c>
      <c r="BL71" s="60">
        <f t="array" ref="BL71">IFERROR(INDEX('Com&amp;tax'!$G$2:$G$5, MATCH(1, ('Com&amp;tax'!$A$2:$A$5=B71)*('Com&amp;tax'!$B$2:$B$5=Y71), 0)),0)</f>
        <v>0.1575</v>
      </c>
      <c r="BM71" s="58">
        <f t="shared" si="144"/>
        <v>311605.31737124996</v>
      </c>
      <c r="BN71" s="58">
        <f t="array" aca="1" ref="BN71" ca="1">IF(A71="","",( IFERROR((J71*(1-BE71))*BL71/INDEX(er!D:D, MATCH(Q71,er!C:C,0),1),0)))</f>
        <v>223.05319783196131</v>
      </c>
      <c r="BO71" s="60">
        <f t="array" ref="BO71">IFERROR(INDEX('Com&amp;tax'!$H$2:$H$5, MATCH(1, ('Com&amp;tax'!$A$2:$A$5=B71)*('Com&amp;tax'!$B$2:$B$5=Y71), 0)),0)</f>
        <v>7.0000000000000007E-2</v>
      </c>
      <c r="BP71" s="58">
        <f t="shared" si="145"/>
        <v>162930.8849</v>
      </c>
      <c r="BQ71" s="58">
        <f t="array" aca="1" ref="BQ71" ca="1">IF(A71="","",( IFERROR(J71*BO71/INDEX(er!D:D, MATCH(Q71,er!C:C,0),1),0)))</f>
        <v>116.62912304939155</v>
      </c>
      <c r="BR71" s="108">
        <f t="array" ref="BR71">IFERROR(INDEX('Com&amp;tax'!$F$2:$F$5, MATCH(1, ('Com&amp;tax'!$A$2:$A$5=B71)*('Com&amp;tax'!$D$2:$D$5=H71), 0)),0)</f>
        <v>4.9000000000000002E-2</v>
      </c>
      <c r="BS71" s="109">
        <f t="shared" si="146"/>
        <v>96943.8765155</v>
      </c>
      <c r="BT71" s="109">
        <f t="array" aca="1" ref="BT71" ca="1">IF(A71="","",( IFERROR((J71*(1-BE71))*BR71/INDEX(er!D:D, MATCH(Q71,er!C:C,0),1),0)))</f>
        <v>69.394328214387969</v>
      </c>
      <c r="BU71" s="108">
        <f t="array" ref="BU71">IFERROR(INDEX('Com&amp;tax'!$G$2:$G$5, MATCH(1, ('Com&amp;tax'!$A$2:$A$5=B71)*('Com&amp;tax'!$D$2:$D$5=H71), 0)),0)</f>
        <v>0.1575</v>
      </c>
      <c r="BV71" s="109">
        <f t="shared" si="147"/>
        <v>311605.31737124996</v>
      </c>
      <c r="BW71" s="109">
        <f t="array" aca="1" ref="BW71" ca="1">IF(A71="","",( IFERROR((J71*(1-BE71))*BU71/INDEX(er!D:D, MATCH(Q71,er!C:C,0),1),0)))</f>
        <v>223.05319783196131</v>
      </c>
      <c r="BX71" s="108">
        <f t="array" ref="BX71">IFERROR(INDEX('Com&amp;tax'!$H$2:$H$5, MATCH(1, ('Com&amp;tax'!$A$2:$A$5=B71)*('Com&amp;tax'!$D$2:$D$5=H71), 0)),0)</f>
        <v>7.0000000000000007E-2</v>
      </c>
      <c r="BY71" s="109">
        <f t="shared" si="148"/>
        <v>162930.8849</v>
      </c>
      <c r="BZ71" s="109">
        <f t="array" aca="1" ref="BZ71" ca="1">IF(A71="","",( IFERROR(J71*BX71/INDEX(er!D:D, MATCH(Q71,er!C:C,0),1),0)))</f>
        <v>116.62912304939155</v>
      </c>
      <c r="CA71" s="96">
        <f t="array" aca="1" ref="CA71" ca="1">IF(A71="","",( IFERROR(1-((P71/ INDEX(er!$D$3:$D$75,MATCH(1, (er!$A$3:$A$75=$BG$2)*(er!$C$3:$C$75=Q71), 0))   /  (J71/ INDEX(er!$D$3:$D$75,MATCH(1, (er!$A$3:$A$75=$BG$2)*(er!$C$3:$C$75=L71), 0))))),"")))</f>
        <v>0.3955249616397315</v>
      </c>
      <c r="CB71" s="96">
        <f t="shared" si="149"/>
        <v>0.22000000197629799</v>
      </c>
      <c r="CC71" s="111">
        <f t="shared" ca="1" si="150"/>
        <v>0.17552495966343351</v>
      </c>
      <c r="CD71" s="110">
        <f t="shared" ref="CD71:CE71" si="161">BJ71+BM71-BS71-BV71</f>
        <v>0</v>
      </c>
      <c r="CE71" s="110">
        <f t="shared" ca="1" si="161"/>
        <v>0</v>
      </c>
      <c r="CF71" s="110">
        <f t="shared" ca="1" si="152"/>
        <v>-292.45</v>
      </c>
      <c r="CG71" s="8" t="str">
        <f t="shared" si="153"/>
        <v>Incorrect</v>
      </c>
      <c r="CH71" s="8"/>
      <c r="CI71" t="s">
        <v>2317</v>
      </c>
      <c r="CK71" s="240">
        <v>408549.19388675003</v>
      </c>
      <c r="CL71" s="239">
        <f ca="1">(AI71+CK71)/INDEX(er!D:D,MATCH(AC71,er!C:C,0),1)</f>
        <v>6.7205977130817276E-5</v>
      </c>
      <c r="CN71" s="239">
        <f ca="1">CK71/INDEX(er!D:D,MATCH(AC71,er!C:C,0),1)</f>
        <v>292.44752604634937</v>
      </c>
    </row>
    <row r="72" spans="1:92" ht="12.5" x14ac:dyDescent="0.25">
      <c r="A72" s="93" t="s">
        <v>350</v>
      </c>
      <c r="B72" s="93" t="s">
        <v>96</v>
      </c>
      <c r="C72" s="93" t="s">
        <v>103</v>
      </c>
      <c r="D72" s="93" t="s">
        <v>351</v>
      </c>
      <c r="E72" s="93"/>
      <c r="F72" s="93"/>
      <c r="G72" s="94" t="s">
        <v>107</v>
      </c>
      <c r="H72" s="93" t="s">
        <v>436</v>
      </c>
      <c r="I72" s="94" t="s">
        <v>107</v>
      </c>
      <c r="J72" s="94">
        <v>4558905.76</v>
      </c>
      <c r="K72" s="94">
        <v>4558905.76</v>
      </c>
      <c r="L72" s="94" t="s">
        <v>111</v>
      </c>
      <c r="M72" s="94">
        <v>4558905.76</v>
      </c>
      <c r="N72" s="94" t="s">
        <v>111</v>
      </c>
      <c r="O72" s="94">
        <v>4558905.76</v>
      </c>
      <c r="P72" s="94">
        <v>2755744.74</v>
      </c>
      <c r="Q72" s="93" t="s">
        <v>111</v>
      </c>
      <c r="R72" s="94" t="s">
        <v>105</v>
      </c>
      <c r="S72" s="94"/>
      <c r="T72" s="94"/>
      <c r="U72" s="94">
        <v>0</v>
      </c>
      <c r="V72" s="93" t="s">
        <v>94</v>
      </c>
      <c r="W72" s="8" t="s">
        <v>98</v>
      </c>
      <c r="X72" s="94" t="s">
        <v>103</v>
      </c>
      <c r="Y72" s="94" t="s">
        <v>107</v>
      </c>
      <c r="Z72" s="94" t="s">
        <v>105</v>
      </c>
      <c r="AA72" s="94" t="s">
        <v>111</v>
      </c>
      <c r="AB72" s="94">
        <v>4558905.76</v>
      </c>
      <c r="AC72" s="94" t="s">
        <v>111</v>
      </c>
      <c r="AD72" s="94">
        <v>3555946.49</v>
      </c>
      <c r="AE72" s="94">
        <v>22</v>
      </c>
      <c r="AF72" s="94" t="s">
        <v>99</v>
      </c>
      <c r="AG72" s="94">
        <v>0</v>
      </c>
      <c r="AH72" s="94">
        <v>0</v>
      </c>
      <c r="AI72" s="94">
        <v>-800201.75</v>
      </c>
      <c r="AJ72" s="94">
        <v>-572.79999999999995</v>
      </c>
      <c r="AK72" s="94">
        <v>0.39552496035803109</v>
      </c>
      <c r="AL72" s="94" t="s">
        <v>99</v>
      </c>
      <c r="AM72" s="93" t="s">
        <v>537</v>
      </c>
      <c r="AN72" s="94"/>
      <c r="AO72" s="94" t="s">
        <v>16</v>
      </c>
      <c r="AP72" s="94" t="s">
        <v>16</v>
      </c>
      <c r="AQ72" s="94"/>
      <c r="AR72" s="94" t="s">
        <v>16</v>
      </c>
      <c r="AS72" s="94"/>
      <c r="AT72" s="94" t="s">
        <v>16</v>
      </c>
      <c r="AU72" s="94">
        <v>4558905.76</v>
      </c>
      <c r="AV72" s="94">
        <v>3261</v>
      </c>
      <c r="AW72" s="94" t="s">
        <v>16</v>
      </c>
      <c r="AX72" s="94">
        <v>4558905.76</v>
      </c>
      <c r="AY72" s="94">
        <v>3263.35</v>
      </c>
      <c r="AZ72" s="94" t="s">
        <v>111</v>
      </c>
      <c r="BA72" s="94">
        <v>3555946.49</v>
      </c>
      <c r="BB72" s="94" t="s">
        <v>99</v>
      </c>
      <c r="BC72" s="94">
        <v>-800201.75</v>
      </c>
      <c r="BD72" s="94">
        <v>-572.79999999999995</v>
      </c>
      <c r="BE72" s="60">
        <f t="array" ref="BE72">IFERROR(INDEX('Com&amp;tax'!$E$2:$E$5, MATCH(1, ('Com&amp;tax'!$A$2:$A$5=B72)*('Com&amp;tax'!$B$2:$B$5=G72), 0)),"")</f>
        <v>0.15</v>
      </c>
      <c r="BF72" s="58">
        <f t="shared" ref="BF72:BF85" si="162">IF(A72="","",( IFERROR(O72*BE72,"")))</f>
        <v>683835.86399999994</v>
      </c>
      <c r="BG72" s="58">
        <f t="array" aca="1" ref="BG72" ca="1">IF(A72="","",( IFERROR((O72/ INDEX(er!$D$3:$D$75,MATCH(1, (er!$A$3:$A$75=$BG$2)*(er!$C$3:$C$75=Q72), 0)))*BE72,"")))</f>
        <v>489.50312383679307</v>
      </c>
      <c r="BH72" s="58">
        <f t="shared" ref="BH72:BH85" si="163">IF(A72="","",( IF(B72="Snapchat Rep", IF(A72="","",(P72-BF72)),-BF72)))</f>
        <v>-683835.86399999994</v>
      </c>
      <c r="BI72" s="59">
        <f t="array" ref="BI72">IFERROR(INDEX('Com&amp;tax'!$F$2:$F$5, MATCH(1, ('Com&amp;tax'!$A$2:$A$5=B72)*('Com&amp;tax'!$B$2:$B$5=Y72), 0)),0)</f>
        <v>4.9000000000000002E-2</v>
      </c>
      <c r="BJ72" s="58">
        <f t="shared" ref="BJ72:BJ85" si="164">IF(A72="","",( IFERROR((J72*(1-BE72))*BI72,0)))</f>
        <v>189878.42490399998</v>
      </c>
      <c r="BK72" s="58">
        <f t="array" aca="1" ref="BK72" ca="1">IF(A72="","",( IFERROR((J72*(1-BE72))*BI72/INDEX(er!D:D, MATCH(Q72,er!C:C,0),1),0)))</f>
        <v>135.91870071868289</v>
      </c>
      <c r="BL72" s="60">
        <f t="array" ref="BL72">IFERROR(INDEX('Com&amp;tax'!$G$2:$G$5, MATCH(1, ('Com&amp;tax'!$A$2:$A$5=B72)*('Com&amp;tax'!$B$2:$B$5=Y72), 0)),0)</f>
        <v>0.1575</v>
      </c>
      <c r="BM72" s="58">
        <f t="shared" ref="BM72:BM85" si="165">IF(A72="","",( IFERROR((J72*(1-BE72))*BL72,0)))</f>
        <v>610323.50861999998</v>
      </c>
      <c r="BN72" s="58">
        <f t="array" aca="1" ref="BN72" ca="1">IF(A72="","",( IFERROR((J72*(1-BE72))*BL72/INDEX(er!D:D, MATCH(Q72,er!C:C,0),1),0)))</f>
        <v>436.88153802433783</v>
      </c>
      <c r="BO72" s="60">
        <f t="array" ref="BO72">IFERROR(INDEX('Com&amp;tax'!$H$2:$H$5, MATCH(1, ('Com&amp;tax'!$A$2:$A$5=B72)*('Com&amp;tax'!$B$2:$B$5=Y72), 0)),0)</f>
        <v>7.0000000000000007E-2</v>
      </c>
      <c r="BP72" s="58">
        <f t="shared" ref="BP72:BP85" si="166">IF(A72="","",( IFERROR(J72*BO72,0)))</f>
        <v>319123.4032</v>
      </c>
      <c r="BQ72" s="58">
        <f t="array" aca="1" ref="BQ72" ca="1">IF(A72="","",( IFERROR(J72*BO72/INDEX(er!D:D, MATCH(Q72,er!C:C,0),1),0)))</f>
        <v>228.43479112383679</v>
      </c>
      <c r="BR72" s="108">
        <f t="array" ref="BR72">IFERROR(INDEX('Com&amp;tax'!$F$2:$F$5, MATCH(1, ('Com&amp;tax'!$A$2:$A$5=B72)*('Com&amp;tax'!$D$2:$D$5=H72), 0)),0)</f>
        <v>4.9000000000000002E-2</v>
      </c>
      <c r="BS72" s="109">
        <f t="shared" ref="BS72:BS85" si="167">IF(A72="","",( IFERROR((J72*(1-BE72))*BR72,0)))</f>
        <v>189878.42490399998</v>
      </c>
      <c r="BT72" s="109">
        <f t="array" aca="1" ref="BT72" ca="1">IF(A72="","",( IFERROR((J72*(1-BE72))*BR72/INDEX(er!D:D, MATCH(Q72,er!C:C,0),1),0)))</f>
        <v>135.91870071868289</v>
      </c>
      <c r="BU72" s="108">
        <f t="array" ref="BU72">IFERROR(INDEX('Com&amp;tax'!$G$2:$G$5, MATCH(1, ('Com&amp;tax'!$A$2:$A$5=B72)*('Com&amp;tax'!$D$2:$D$5=H72), 0)),0)</f>
        <v>0.1575</v>
      </c>
      <c r="BV72" s="109">
        <f t="shared" ref="BV72:BV85" si="168">IF(A72="","",( IFERROR((J72*(1-BE72))*BU72,0)))</f>
        <v>610323.50861999998</v>
      </c>
      <c r="BW72" s="109">
        <f t="array" aca="1" ref="BW72" ca="1">IF(A72="","",( IFERROR((J72*(1-BE72))*BU72/INDEX(er!D:D, MATCH(Q72,er!C:C,0),1),0)))</f>
        <v>436.88153802433783</v>
      </c>
      <c r="BX72" s="108">
        <f t="array" ref="BX72">IFERROR(INDEX('Com&amp;tax'!$H$2:$H$5, MATCH(1, ('Com&amp;tax'!$A$2:$A$5=B72)*('Com&amp;tax'!$D$2:$D$5=H72), 0)),0)</f>
        <v>7.0000000000000007E-2</v>
      </c>
      <c r="BY72" s="109">
        <f t="shared" ref="BY72:BY85" si="169">IF(A72="","",( IFERROR(J72*BX72,0)))</f>
        <v>319123.4032</v>
      </c>
      <c r="BZ72" s="109">
        <f t="array" aca="1" ref="BZ72" ca="1">IF(A72="","",( IFERROR(J72*BX72/INDEX(er!D:D, MATCH(Q72,er!C:C,0),1),0)))</f>
        <v>228.43479112383679</v>
      </c>
      <c r="CA72" s="96">
        <f t="array" aca="1" ref="CA72" ca="1">IF(A72="","",( IFERROR(1-((P72/ INDEX(er!$D$3:$D$75,MATCH(1, (er!$A$3:$A$75=$BG$2)*(er!$C$3:$C$75=Q72), 0))   /  (J72/ INDEX(er!$D$3:$D$75,MATCH(1, (er!$A$3:$A$75=$BG$2)*(er!$C$3:$C$75=L72), 0))))),"")))</f>
        <v>0.39552496035803109</v>
      </c>
      <c r="CB72" s="96">
        <f t="shared" ref="CB72:CB85" si="170">IF(AB72="","",1-AD72/AB72)</f>
        <v>0.22000000061418234</v>
      </c>
      <c r="CC72" s="111">
        <f t="shared" ref="CC72:CC85" ca="1" si="171">IF(AND(CA72="", CB72=""), "", CA72-CB72)</f>
        <v>0.17552495974384874</v>
      </c>
      <c r="CD72" s="110">
        <f t="shared" ref="CD72:CE72" si="172">BJ72+BM72-BS72-BV72</f>
        <v>0</v>
      </c>
      <c r="CE72" s="110">
        <f t="shared" ca="1" si="172"/>
        <v>0</v>
      </c>
      <c r="CF72" s="110">
        <f t="shared" ref="CF72:CF85" ca="1" si="173">AJ72-CE72</f>
        <v>-572.79999999999995</v>
      </c>
      <c r="CG72" s="8" t="str">
        <f t="shared" ref="CG72:CG85" si="174">IF(OR(BE72="", AE72=""), "Miss", IF(ABS(AE72/100-AK72)&lt;0.005, "OK", "Incorrect"))</f>
        <v>Incorrect</v>
      </c>
      <c r="CH72" s="8"/>
      <c r="CI72" t="s">
        <v>2317</v>
      </c>
      <c r="CK72" s="240">
        <v>800201.93352399999</v>
      </c>
      <c r="CL72" s="239">
        <f ca="1">(AI72+CK72)/INDEX(er!D:D,MATCH(AC72,er!C:C,0),1)</f>
        <v>1.3137007873497355E-4</v>
      </c>
      <c r="CN72" s="239">
        <f ca="1">CK72/INDEX(er!D:D,MATCH(AC72,er!C:C,0),1)</f>
        <v>572.80023874302071</v>
      </c>
    </row>
    <row r="73" spans="1:92" ht="12.5" x14ac:dyDescent="0.25">
      <c r="A73" s="93" t="s">
        <v>353</v>
      </c>
      <c r="B73" s="93" t="s">
        <v>96</v>
      </c>
      <c r="C73" s="93" t="s">
        <v>103</v>
      </c>
      <c r="D73" s="93" t="s">
        <v>354</v>
      </c>
      <c r="E73" s="93"/>
      <c r="F73" s="93"/>
      <c r="G73" s="94" t="s">
        <v>107</v>
      </c>
      <c r="H73" s="93" t="s">
        <v>436</v>
      </c>
      <c r="I73" s="94" t="s">
        <v>107</v>
      </c>
      <c r="J73" s="94">
        <v>22444.51</v>
      </c>
      <c r="K73" s="94">
        <v>22444.51</v>
      </c>
      <c r="L73" s="94" t="s">
        <v>111</v>
      </c>
      <c r="M73" s="94">
        <v>22444.51</v>
      </c>
      <c r="N73" s="94" t="s">
        <v>111</v>
      </c>
      <c r="O73" s="94">
        <v>22444.51</v>
      </c>
      <c r="P73" s="94">
        <v>13567.15</v>
      </c>
      <c r="Q73" s="93" t="s">
        <v>111</v>
      </c>
      <c r="R73" s="94" t="s">
        <v>105</v>
      </c>
      <c r="S73" s="94"/>
      <c r="T73" s="94"/>
      <c r="U73" s="94">
        <v>0</v>
      </c>
      <c r="V73" s="93" t="s">
        <v>94</v>
      </c>
      <c r="W73" s="8" t="s">
        <v>98</v>
      </c>
      <c r="X73" s="94" t="s">
        <v>103</v>
      </c>
      <c r="Y73" s="94" t="s">
        <v>107</v>
      </c>
      <c r="Z73" s="94" t="s">
        <v>105</v>
      </c>
      <c r="AA73" s="94" t="s">
        <v>111</v>
      </c>
      <c r="AB73" s="94">
        <v>22444.51</v>
      </c>
      <c r="AC73" s="94" t="s">
        <v>111</v>
      </c>
      <c r="AD73" s="94">
        <v>17506.72</v>
      </c>
      <c r="AE73" s="94">
        <v>22</v>
      </c>
      <c r="AF73" s="94" t="s">
        <v>99</v>
      </c>
      <c r="AG73" s="94">
        <v>0</v>
      </c>
      <c r="AH73" s="94">
        <v>0</v>
      </c>
      <c r="AI73" s="94">
        <v>-3939.57</v>
      </c>
      <c r="AJ73" s="94">
        <v>-2.82</v>
      </c>
      <c r="AK73" s="94">
        <v>0.39552478534839919</v>
      </c>
      <c r="AL73" s="94" t="s">
        <v>99</v>
      </c>
      <c r="AM73" s="93" t="s">
        <v>538</v>
      </c>
      <c r="AN73" s="94"/>
      <c r="AO73" s="94" t="s">
        <v>16</v>
      </c>
      <c r="AP73" s="94" t="s">
        <v>16</v>
      </c>
      <c r="AQ73" s="94"/>
      <c r="AR73" s="94" t="s">
        <v>16</v>
      </c>
      <c r="AS73" s="94"/>
      <c r="AT73" s="94" t="s">
        <v>16</v>
      </c>
      <c r="AU73" s="94">
        <v>22444.51</v>
      </c>
      <c r="AV73" s="94">
        <v>14</v>
      </c>
      <c r="AW73" s="94" t="s">
        <v>16</v>
      </c>
      <c r="AX73" s="94">
        <v>22444.51</v>
      </c>
      <c r="AY73" s="94">
        <v>16.07</v>
      </c>
      <c r="AZ73" s="94" t="s">
        <v>111</v>
      </c>
      <c r="BA73" s="94">
        <v>17506.72</v>
      </c>
      <c r="BB73" s="94" t="s">
        <v>99</v>
      </c>
      <c r="BC73" s="94">
        <v>-3939.57</v>
      </c>
      <c r="BD73" s="94">
        <v>-2.82</v>
      </c>
      <c r="BE73" s="60">
        <f t="array" ref="BE73">IFERROR(INDEX('Com&amp;tax'!$E$2:$E$5, MATCH(1, ('Com&amp;tax'!$A$2:$A$5=B73)*('Com&amp;tax'!$B$2:$B$5=G73), 0)),"")</f>
        <v>0.15</v>
      </c>
      <c r="BF73" s="58">
        <f t="shared" si="162"/>
        <v>3366.6764999999996</v>
      </c>
      <c r="BG73" s="58">
        <f t="array" aca="1" ref="BG73" ca="1">IF(A73="","",( IFERROR((O73/ INDEX(er!$D$3:$D$75,MATCH(1, (er!$A$3:$A$75=$BG$2)*(er!$C$3:$C$75=Q73), 0)))*BE73,"")))</f>
        <v>2.4099330708661415</v>
      </c>
      <c r="BH73" s="58">
        <f t="shared" si="163"/>
        <v>-3366.6764999999996</v>
      </c>
      <c r="BI73" s="59">
        <f t="array" ref="BI73">IFERROR(INDEX('Com&amp;tax'!$F$2:$F$5, MATCH(1, ('Com&amp;tax'!$A$2:$A$5=B73)*('Com&amp;tax'!$B$2:$B$5=Y73), 0)),0)</f>
        <v>4.9000000000000002E-2</v>
      </c>
      <c r="BJ73" s="58">
        <f t="shared" si="164"/>
        <v>934.81384149999985</v>
      </c>
      <c r="BK73" s="58">
        <f t="array" aca="1" ref="BK73" ca="1">IF(A73="","",( IFERROR((J73*(1-BE73))*BI73/INDEX(er!D:D, MATCH(Q73,er!C:C,0),1),0)))</f>
        <v>0.66915808267716526</v>
      </c>
      <c r="BL73" s="60">
        <f t="array" ref="BL73">IFERROR(INDEX('Com&amp;tax'!$G$2:$G$5, MATCH(1, ('Com&amp;tax'!$A$2:$A$5=B73)*('Com&amp;tax'!$B$2:$B$5=Y73), 0)),0)</f>
        <v>0.1575</v>
      </c>
      <c r="BM73" s="58">
        <f t="shared" si="165"/>
        <v>3004.7587762499998</v>
      </c>
      <c r="BN73" s="58">
        <f t="array" aca="1" ref="BN73" ca="1">IF(A73="","",( IFERROR((J73*(1-BE73))*BL73/INDEX(er!D:D, MATCH(Q73,er!C:C,0),1),0)))</f>
        <v>2.1508652657480312</v>
      </c>
      <c r="BO73" s="60">
        <f t="array" ref="BO73">IFERROR(INDEX('Com&amp;tax'!$H$2:$H$5, MATCH(1, ('Com&amp;tax'!$A$2:$A$5=B73)*('Com&amp;tax'!$B$2:$B$5=Y73), 0)),0)</f>
        <v>7.0000000000000007E-2</v>
      </c>
      <c r="BP73" s="58">
        <f t="shared" si="166"/>
        <v>1571.1157000000001</v>
      </c>
      <c r="BQ73" s="58">
        <f t="array" aca="1" ref="BQ73" ca="1">IF(A73="","",( IFERROR(J73*BO73/INDEX(er!D:D, MATCH(Q73,er!C:C,0),1),0)))</f>
        <v>1.1246354330708661</v>
      </c>
      <c r="BR73" s="108">
        <f t="array" ref="BR73">IFERROR(INDEX('Com&amp;tax'!$F$2:$F$5, MATCH(1, ('Com&amp;tax'!$A$2:$A$5=B73)*('Com&amp;tax'!$D$2:$D$5=H73), 0)),0)</f>
        <v>4.9000000000000002E-2</v>
      </c>
      <c r="BS73" s="109">
        <f t="shared" si="167"/>
        <v>934.81384149999985</v>
      </c>
      <c r="BT73" s="109">
        <f t="array" aca="1" ref="BT73" ca="1">IF(A73="","",( IFERROR((J73*(1-BE73))*BR73/INDEX(er!D:D, MATCH(Q73,er!C:C,0),1),0)))</f>
        <v>0.66915808267716526</v>
      </c>
      <c r="BU73" s="108">
        <f t="array" ref="BU73">IFERROR(INDEX('Com&amp;tax'!$G$2:$G$5, MATCH(1, ('Com&amp;tax'!$A$2:$A$5=B73)*('Com&amp;tax'!$D$2:$D$5=H73), 0)),0)</f>
        <v>0.1575</v>
      </c>
      <c r="BV73" s="109">
        <f t="shared" si="168"/>
        <v>3004.7587762499998</v>
      </c>
      <c r="BW73" s="109">
        <f t="array" aca="1" ref="BW73" ca="1">IF(A73="","",( IFERROR((J73*(1-BE73))*BU73/INDEX(er!D:D, MATCH(Q73,er!C:C,0),1),0)))</f>
        <v>2.1508652657480312</v>
      </c>
      <c r="BX73" s="108">
        <f t="array" ref="BX73">IFERROR(INDEX('Com&amp;tax'!$H$2:$H$5, MATCH(1, ('Com&amp;tax'!$A$2:$A$5=B73)*('Com&amp;tax'!$D$2:$D$5=H73), 0)),0)</f>
        <v>7.0000000000000007E-2</v>
      </c>
      <c r="BY73" s="109">
        <f t="shared" si="169"/>
        <v>1571.1157000000001</v>
      </c>
      <c r="BZ73" s="109">
        <f t="array" aca="1" ref="BZ73" ca="1">IF(A73="","",( IFERROR(J73*BX73/INDEX(er!D:D, MATCH(Q73,er!C:C,0),1),0)))</f>
        <v>1.1246354330708661</v>
      </c>
      <c r="CA73" s="96">
        <f t="array" aca="1" ref="CA73" ca="1">IF(A73="","",( IFERROR(1-((P73/ INDEX(er!$D$3:$D$75,MATCH(1, (er!$A$3:$A$75=$BG$2)*(er!$C$3:$C$75=Q73), 0))   /  (J73/ INDEX(er!$D$3:$D$75,MATCH(1, (er!$A$3:$A$75=$BG$2)*(er!$C$3:$C$75=L73), 0))))),"")))</f>
        <v>0.39552478534839919</v>
      </c>
      <c r="CB73" s="96">
        <f t="shared" si="170"/>
        <v>0.21999990198048425</v>
      </c>
      <c r="CC73" s="111">
        <f t="shared" ca="1" si="171"/>
        <v>0.17552488336791494</v>
      </c>
      <c r="CD73" s="110">
        <f t="shared" ref="CD73:CE73" si="175">BJ73+BM73-BS73-BV73</f>
        <v>0</v>
      </c>
      <c r="CE73" s="110">
        <f t="shared" ca="1" si="175"/>
        <v>0</v>
      </c>
      <c r="CF73" s="110">
        <f t="shared" ca="1" si="173"/>
        <v>-2.82</v>
      </c>
      <c r="CG73" s="8" t="str">
        <f t="shared" si="174"/>
        <v>Incorrect</v>
      </c>
      <c r="CH73" s="8"/>
      <c r="CI73" t="s">
        <v>2317</v>
      </c>
      <c r="CK73" s="240">
        <v>3939.5726177499996</v>
      </c>
      <c r="CL73" s="239">
        <f ca="1">(AI73+CK73)/INDEX(er!D:D,MATCH(AC73,er!C:C,0),1)</f>
        <v>1.8738367927305947E-6</v>
      </c>
      <c r="CN73" s="239">
        <f ca="1">CK73/INDEX(er!D:D,MATCH(AC73,er!C:C,0),1)</f>
        <v>2.8200233484251966</v>
      </c>
    </row>
    <row r="74" spans="1:92" ht="12.5" x14ac:dyDescent="0.25">
      <c r="A74" s="93" t="s">
        <v>356</v>
      </c>
      <c r="B74" s="93" t="s">
        <v>96</v>
      </c>
      <c r="C74" s="93" t="s">
        <v>103</v>
      </c>
      <c r="D74" s="93" t="s">
        <v>357</v>
      </c>
      <c r="E74" s="93"/>
      <c r="F74" s="93"/>
      <c r="G74" s="94" t="s">
        <v>107</v>
      </c>
      <c r="H74" s="93" t="s">
        <v>436</v>
      </c>
      <c r="I74" s="94" t="s">
        <v>107</v>
      </c>
      <c r="J74" s="94">
        <v>3625356</v>
      </c>
      <c r="K74" s="94">
        <v>3625356</v>
      </c>
      <c r="L74" s="94" t="s">
        <v>111</v>
      </c>
      <c r="M74" s="94">
        <v>3625356</v>
      </c>
      <c r="N74" s="94" t="s">
        <v>111</v>
      </c>
      <c r="O74" s="94">
        <v>3625356</v>
      </c>
      <c r="P74" s="94">
        <v>2191437.21</v>
      </c>
      <c r="Q74" s="93" t="s">
        <v>111</v>
      </c>
      <c r="R74" s="94" t="s">
        <v>105</v>
      </c>
      <c r="S74" s="94"/>
      <c r="T74" s="94"/>
      <c r="U74" s="94">
        <v>0</v>
      </c>
      <c r="V74" s="93" t="s">
        <v>94</v>
      </c>
      <c r="W74" s="8" t="s">
        <v>98</v>
      </c>
      <c r="X74" s="94" t="s">
        <v>103</v>
      </c>
      <c r="Y74" s="94" t="s">
        <v>107</v>
      </c>
      <c r="Z74" s="94" t="s">
        <v>105</v>
      </c>
      <c r="AA74" s="94" t="s">
        <v>111</v>
      </c>
      <c r="AB74" s="94">
        <v>3625356</v>
      </c>
      <c r="AC74" s="94" t="s">
        <v>111</v>
      </c>
      <c r="AD74" s="94">
        <v>2827777.68</v>
      </c>
      <c r="AE74" s="94">
        <v>22</v>
      </c>
      <c r="AF74" s="94" t="s">
        <v>99</v>
      </c>
      <c r="AG74" s="94">
        <v>0</v>
      </c>
      <c r="AH74" s="94">
        <v>0</v>
      </c>
      <c r="AI74" s="94">
        <v>-636340.47</v>
      </c>
      <c r="AJ74" s="94">
        <v>-455.5</v>
      </c>
      <c r="AK74" s="94">
        <v>0.39552496085901634</v>
      </c>
      <c r="AL74" s="94" t="s">
        <v>99</v>
      </c>
      <c r="AM74" s="93" t="s">
        <v>539</v>
      </c>
      <c r="AN74" s="94"/>
      <c r="AO74" s="94" t="s">
        <v>16</v>
      </c>
      <c r="AP74" s="94" t="s">
        <v>16</v>
      </c>
      <c r="AQ74" s="94"/>
      <c r="AR74" s="94" t="s">
        <v>16</v>
      </c>
      <c r="AS74" s="94"/>
      <c r="AT74" s="94" t="s">
        <v>16</v>
      </c>
      <c r="AU74" s="94">
        <v>3625356</v>
      </c>
      <c r="AV74" s="94">
        <v>2593</v>
      </c>
      <c r="AW74" s="94" t="s">
        <v>16</v>
      </c>
      <c r="AX74" s="94">
        <v>3625356</v>
      </c>
      <c r="AY74" s="94">
        <v>2595.1</v>
      </c>
      <c r="AZ74" s="94" t="s">
        <v>111</v>
      </c>
      <c r="BA74" s="94">
        <v>2827777.68</v>
      </c>
      <c r="BB74" s="94" t="s">
        <v>99</v>
      </c>
      <c r="BC74" s="94">
        <v>-636340.47</v>
      </c>
      <c r="BD74" s="94">
        <v>-455.5</v>
      </c>
      <c r="BE74" s="60">
        <f t="array" ref="BE74">IFERROR(INDEX('Com&amp;tax'!$E$2:$E$5, MATCH(1, ('Com&amp;tax'!$A$2:$A$5=B74)*('Com&amp;tax'!$B$2:$B$5=G74), 0)),"")</f>
        <v>0.15</v>
      </c>
      <c r="BF74" s="58">
        <f t="shared" si="162"/>
        <v>543803.4</v>
      </c>
      <c r="BG74" s="58">
        <f t="array" aca="1" ref="BG74" ca="1">IF(A74="","",( IFERROR((O74/ INDEX(er!$D$3:$D$75,MATCH(1, (er!$A$3:$A$75=$BG$2)*(er!$C$3:$C$75=Q74), 0)))*BE74,"")))</f>
        <v>389.26513958482462</v>
      </c>
      <c r="BH74" s="58">
        <f t="shared" si="163"/>
        <v>-543803.4</v>
      </c>
      <c r="BI74" s="59">
        <f t="array" ref="BI74">IFERROR(INDEX('Com&amp;tax'!$F$2:$F$5, MATCH(1, ('Com&amp;tax'!$A$2:$A$5=B74)*('Com&amp;tax'!$B$2:$B$5=Y74), 0)),0)</f>
        <v>4.9000000000000002E-2</v>
      </c>
      <c r="BJ74" s="58">
        <f t="shared" si="164"/>
        <v>150996.07740000001</v>
      </c>
      <c r="BK74" s="58">
        <f t="array" aca="1" ref="BK74" ca="1">IF(A74="","",( IFERROR((J74*(1-BE74))*BI74/INDEX(er!D:D, MATCH(Q74,er!C:C,0),1),0)))</f>
        <v>108.08595375805298</v>
      </c>
      <c r="BL74" s="60">
        <f t="array" ref="BL74">IFERROR(INDEX('Com&amp;tax'!$G$2:$G$5, MATCH(1, ('Com&amp;tax'!$A$2:$A$5=B74)*('Com&amp;tax'!$B$2:$B$5=Y74), 0)),0)</f>
        <v>0.1575</v>
      </c>
      <c r="BM74" s="58">
        <f t="shared" si="165"/>
        <v>485344.53450000001</v>
      </c>
      <c r="BN74" s="58">
        <f t="array" aca="1" ref="BN74" ca="1">IF(A74="","",( IFERROR((J74*(1-BE74))*BL74/INDEX(er!D:D, MATCH(Q74,er!C:C,0),1),0)))</f>
        <v>347.41913707945599</v>
      </c>
      <c r="BO74" s="60">
        <f t="array" ref="BO74">IFERROR(INDEX('Com&amp;tax'!$H$2:$H$5, MATCH(1, ('Com&amp;tax'!$A$2:$A$5=B74)*('Com&amp;tax'!$B$2:$B$5=Y74), 0)),0)</f>
        <v>7.0000000000000007E-2</v>
      </c>
      <c r="BP74" s="58">
        <f t="shared" si="166"/>
        <v>253774.92</v>
      </c>
      <c r="BQ74" s="58">
        <f t="array" aca="1" ref="BQ74" ca="1">IF(A74="","",( IFERROR(J74*BO74/INDEX(er!D:D, MATCH(Q74,er!C:C,0),1),0)))</f>
        <v>181.65706513958483</v>
      </c>
      <c r="BR74" s="108">
        <f t="array" ref="BR74">IFERROR(INDEX('Com&amp;tax'!$F$2:$F$5, MATCH(1, ('Com&amp;tax'!$A$2:$A$5=B74)*('Com&amp;tax'!$D$2:$D$5=H74), 0)),0)</f>
        <v>4.9000000000000002E-2</v>
      </c>
      <c r="BS74" s="109">
        <f t="shared" si="167"/>
        <v>150996.07740000001</v>
      </c>
      <c r="BT74" s="109">
        <f t="array" aca="1" ref="BT74" ca="1">IF(A74="","",( IFERROR((J74*(1-BE74))*BR74/INDEX(er!D:D, MATCH(Q74,er!C:C,0),1),0)))</f>
        <v>108.08595375805298</v>
      </c>
      <c r="BU74" s="108">
        <f t="array" ref="BU74">IFERROR(INDEX('Com&amp;tax'!$G$2:$G$5, MATCH(1, ('Com&amp;tax'!$A$2:$A$5=B74)*('Com&amp;tax'!$D$2:$D$5=H74), 0)),0)</f>
        <v>0.1575</v>
      </c>
      <c r="BV74" s="109">
        <f t="shared" si="168"/>
        <v>485344.53450000001</v>
      </c>
      <c r="BW74" s="109">
        <f t="array" aca="1" ref="BW74" ca="1">IF(A74="","",( IFERROR((J74*(1-BE74))*BU74/INDEX(er!D:D, MATCH(Q74,er!C:C,0),1),0)))</f>
        <v>347.41913707945599</v>
      </c>
      <c r="BX74" s="108">
        <f t="array" ref="BX74">IFERROR(INDEX('Com&amp;tax'!$H$2:$H$5, MATCH(1, ('Com&amp;tax'!$A$2:$A$5=B74)*('Com&amp;tax'!$D$2:$D$5=H74), 0)),0)</f>
        <v>7.0000000000000007E-2</v>
      </c>
      <c r="BY74" s="109">
        <f t="shared" si="169"/>
        <v>253774.92</v>
      </c>
      <c r="BZ74" s="109">
        <f t="array" aca="1" ref="BZ74" ca="1">IF(A74="","",( IFERROR(J74*BX74/INDEX(er!D:D, MATCH(Q74,er!C:C,0),1),0)))</f>
        <v>181.65706513958483</v>
      </c>
      <c r="CA74" s="96">
        <f t="array" aca="1" ref="CA74" ca="1">IF(A74="","",( IFERROR(1-((P74/ INDEX(er!$D$3:$D$75,MATCH(1, (er!$A$3:$A$75=$BG$2)*(er!$C$3:$C$75=Q74), 0))   /  (J74/ INDEX(er!$D$3:$D$75,MATCH(1, (er!$A$3:$A$75=$BG$2)*(er!$C$3:$C$75=L74), 0))))),"")))</f>
        <v>0.39552496085901634</v>
      </c>
      <c r="CB74" s="96">
        <f t="shared" si="170"/>
        <v>0.21999999999999997</v>
      </c>
      <c r="CC74" s="111">
        <f t="shared" ca="1" si="171"/>
        <v>0.17552496085901637</v>
      </c>
      <c r="CD74" s="110">
        <f t="shared" ref="CD74:CE74" si="176">BJ74+BM74-BS74-BV74</f>
        <v>0</v>
      </c>
      <c r="CE74" s="110">
        <f t="shared" ca="1" si="176"/>
        <v>0</v>
      </c>
      <c r="CF74" s="110">
        <f t="shared" ca="1" si="173"/>
        <v>-455.5</v>
      </c>
      <c r="CG74" s="8" t="str">
        <f t="shared" si="174"/>
        <v>Incorrect</v>
      </c>
      <c r="CH74" s="8"/>
      <c r="CI74" t="s">
        <v>2317</v>
      </c>
      <c r="CK74" s="240">
        <v>636340.6118999999</v>
      </c>
      <c r="CL74" s="239">
        <f ca="1">(AI74+CK74)/INDEX(er!D:D,MATCH(AC74,er!C:C,0),1)</f>
        <v>1.0157480309920689E-4</v>
      </c>
      <c r="CN74" s="239">
        <f ca="1">CK74/INDEX(er!D:D,MATCH(AC74,er!C:C,0),1)</f>
        <v>455.50509083750887</v>
      </c>
    </row>
    <row r="75" spans="1:92" ht="12.5" x14ac:dyDescent="0.25">
      <c r="A75" s="93" t="s">
        <v>359</v>
      </c>
      <c r="B75" s="93" t="s">
        <v>96</v>
      </c>
      <c r="C75" s="93" t="s">
        <v>103</v>
      </c>
      <c r="D75" s="93" t="s">
        <v>360</v>
      </c>
      <c r="E75" s="93"/>
      <c r="F75" s="93"/>
      <c r="G75" s="94" t="s">
        <v>107</v>
      </c>
      <c r="H75" s="93" t="s">
        <v>436</v>
      </c>
      <c r="I75" s="94" t="s">
        <v>107</v>
      </c>
      <c r="J75" s="94">
        <v>2113734.34</v>
      </c>
      <c r="K75" s="94">
        <v>2113734.34</v>
      </c>
      <c r="L75" s="94" t="s">
        <v>111</v>
      </c>
      <c r="M75" s="94">
        <v>2113734.34</v>
      </c>
      <c r="N75" s="94" t="s">
        <v>111</v>
      </c>
      <c r="O75" s="94">
        <v>2113734.34</v>
      </c>
      <c r="P75" s="94">
        <v>1277699.6499999999</v>
      </c>
      <c r="Q75" s="93" t="s">
        <v>111</v>
      </c>
      <c r="R75" s="94" t="s">
        <v>105</v>
      </c>
      <c r="S75" s="94"/>
      <c r="T75" s="94"/>
      <c r="U75" s="94">
        <v>0</v>
      </c>
      <c r="V75" s="93" t="s">
        <v>94</v>
      </c>
      <c r="W75" s="8" t="s">
        <v>98</v>
      </c>
      <c r="X75" s="94" t="s">
        <v>103</v>
      </c>
      <c r="Y75" s="94" t="s">
        <v>107</v>
      </c>
      <c r="Z75" s="94" t="s">
        <v>105</v>
      </c>
      <c r="AA75" s="94" t="s">
        <v>111</v>
      </c>
      <c r="AB75" s="94">
        <v>2113734.34</v>
      </c>
      <c r="AC75" s="94" t="s">
        <v>111</v>
      </c>
      <c r="AD75" s="94">
        <v>1648712.78</v>
      </c>
      <c r="AE75" s="94">
        <v>22</v>
      </c>
      <c r="AF75" s="94" t="s">
        <v>99</v>
      </c>
      <c r="AG75" s="94">
        <v>0</v>
      </c>
      <c r="AH75" s="94">
        <v>0</v>
      </c>
      <c r="AI75" s="94">
        <v>-371013.13</v>
      </c>
      <c r="AJ75" s="94">
        <v>-265.58</v>
      </c>
      <c r="AK75" s="94">
        <v>0.39552495986794634</v>
      </c>
      <c r="AL75" s="94" t="s">
        <v>99</v>
      </c>
      <c r="AM75" s="93" t="s">
        <v>540</v>
      </c>
      <c r="AN75" s="94"/>
      <c r="AO75" s="94" t="s">
        <v>16</v>
      </c>
      <c r="AP75" s="94" t="s">
        <v>16</v>
      </c>
      <c r="AQ75" s="94"/>
      <c r="AR75" s="94" t="s">
        <v>16</v>
      </c>
      <c r="AS75" s="94"/>
      <c r="AT75" s="94" t="s">
        <v>16</v>
      </c>
      <c r="AU75" s="94">
        <v>2113734.34</v>
      </c>
      <c r="AV75" s="94">
        <v>1511</v>
      </c>
      <c r="AW75" s="94" t="s">
        <v>16</v>
      </c>
      <c r="AX75" s="94">
        <v>2113734.34</v>
      </c>
      <c r="AY75" s="94">
        <v>1513.05</v>
      </c>
      <c r="AZ75" s="94" t="s">
        <v>111</v>
      </c>
      <c r="BA75" s="94">
        <v>1648712.79</v>
      </c>
      <c r="BB75" s="94" t="s">
        <v>99</v>
      </c>
      <c r="BC75" s="94">
        <v>-371013.14</v>
      </c>
      <c r="BD75" s="94">
        <v>-265.58</v>
      </c>
      <c r="BE75" s="60">
        <f t="array" ref="BE75">IFERROR(INDEX('Com&amp;tax'!$E$2:$E$5, MATCH(1, ('Com&amp;tax'!$A$2:$A$5=B75)*('Com&amp;tax'!$B$2:$B$5=G75), 0)),"")</f>
        <v>0.15</v>
      </c>
      <c r="BF75" s="58">
        <f t="shared" si="162"/>
        <v>317060.15099999995</v>
      </c>
      <c r="BG75" s="58">
        <f t="array" aca="1" ref="BG75" ca="1">IF(A75="","",( IFERROR((O75/ INDEX(er!$D$3:$D$75,MATCH(1, (er!$A$3:$A$75=$BG$2)*(er!$C$3:$C$75=Q75), 0)))*BE75,"")))</f>
        <v>226.95787473156764</v>
      </c>
      <c r="BH75" s="58">
        <f t="shared" si="163"/>
        <v>-317060.15099999995</v>
      </c>
      <c r="BI75" s="59">
        <f t="array" ref="BI75">IFERROR(INDEX('Com&amp;tax'!$F$2:$F$5, MATCH(1, ('Com&amp;tax'!$A$2:$A$5=B75)*('Com&amp;tax'!$B$2:$B$5=Y75), 0)),0)</f>
        <v>4.9000000000000002E-2</v>
      </c>
      <c r="BJ75" s="58">
        <f t="shared" si="164"/>
        <v>88037.035260999997</v>
      </c>
      <c r="BK75" s="58">
        <f t="array" aca="1" ref="BK75" ca="1">IF(A75="","",( IFERROR((J75*(1-BE75))*BI75/INDEX(er!D:D, MATCH(Q75,er!C:C,0),1),0)))</f>
        <v>63.018636550465281</v>
      </c>
      <c r="BL75" s="60">
        <f t="array" ref="BL75">IFERROR(INDEX('Com&amp;tax'!$G$2:$G$5, MATCH(1, ('Com&amp;tax'!$A$2:$A$5=B75)*('Com&amp;tax'!$B$2:$B$5=Y75), 0)),0)</f>
        <v>0.1575</v>
      </c>
      <c r="BM75" s="58">
        <f t="shared" si="165"/>
        <v>282976.18476749997</v>
      </c>
      <c r="BN75" s="58">
        <f t="array" aca="1" ref="BN75" ca="1">IF(A75="","",( IFERROR((J75*(1-BE75))*BL75/INDEX(er!D:D, MATCH(Q75,er!C:C,0),1),0)))</f>
        <v>202.55990319792411</v>
      </c>
      <c r="BO75" s="60">
        <f t="array" ref="BO75">IFERROR(INDEX('Com&amp;tax'!$H$2:$H$5, MATCH(1, ('Com&amp;tax'!$A$2:$A$5=B75)*('Com&amp;tax'!$B$2:$B$5=Y75), 0)),0)</f>
        <v>7.0000000000000007E-2</v>
      </c>
      <c r="BP75" s="58">
        <f t="shared" si="166"/>
        <v>147961.4038</v>
      </c>
      <c r="BQ75" s="58">
        <f t="array" aca="1" ref="BQ75" ca="1">IF(A75="","",( IFERROR(J75*BO75/INDEX(er!D:D, MATCH(Q75,er!C:C,0),1),0)))</f>
        <v>105.91367487473157</v>
      </c>
      <c r="BR75" s="108">
        <f t="array" ref="BR75">IFERROR(INDEX('Com&amp;tax'!$F$2:$F$5, MATCH(1, ('Com&amp;tax'!$A$2:$A$5=B75)*('Com&amp;tax'!$D$2:$D$5=H75), 0)),0)</f>
        <v>4.9000000000000002E-2</v>
      </c>
      <c r="BS75" s="109">
        <f t="shared" si="167"/>
        <v>88037.035260999997</v>
      </c>
      <c r="BT75" s="109">
        <f t="array" aca="1" ref="BT75" ca="1">IF(A75="","",( IFERROR((J75*(1-BE75))*BR75/INDEX(er!D:D, MATCH(Q75,er!C:C,0),1),0)))</f>
        <v>63.018636550465281</v>
      </c>
      <c r="BU75" s="108">
        <f t="array" ref="BU75">IFERROR(INDEX('Com&amp;tax'!$G$2:$G$5, MATCH(1, ('Com&amp;tax'!$A$2:$A$5=B75)*('Com&amp;tax'!$D$2:$D$5=H75), 0)),0)</f>
        <v>0.1575</v>
      </c>
      <c r="BV75" s="109">
        <f t="shared" si="168"/>
        <v>282976.18476749997</v>
      </c>
      <c r="BW75" s="109">
        <f t="array" aca="1" ref="BW75" ca="1">IF(A75="","",( IFERROR((J75*(1-BE75))*BU75/INDEX(er!D:D, MATCH(Q75,er!C:C,0),1),0)))</f>
        <v>202.55990319792411</v>
      </c>
      <c r="BX75" s="108">
        <f t="array" ref="BX75">IFERROR(INDEX('Com&amp;tax'!$H$2:$H$5, MATCH(1, ('Com&amp;tax'!$A$2:$A$5=B75)*('Com&amp;tax'!$D$2:$D$5=H75), 0)),0)</f>
        <v>7.0000000000000007E-2</v>
      </c>
      <c r="BY75" s="109">
        <f t="shared" si="169"/>
        <v>147961.4038</v>
      </c>
      <c r="BZ75" s="109">
        <f t="array" aca="1" ref="BZ75" ca="1">IF(A75="","",( IFERROR(J75*BX75/INDEX(er!D:D, MATCH(Q75,er!C:C,0),1),0)))</f>
        <v>105.91367487473157</v>
      </c>
      <c r="CA75" s="96">
        <f t="array" aca="1" ref="CA75" ca="1">IF(A75="","",( IFERROR(1-((P75/ INDEX(er!$D$3:$D$75,MATCH(1, (er!$A$3:$A$75=$BG$2)*(er!$C$3:$C$75=Q75), 0))   /  (J75/ INDEX(er!$D$3:$D$75,MATCH(1, (er!$A$3:$A$75=$BG$2)*(er!$C$3:$C$75=L75), 0))))),"")))</f>
        <v>0.39552495986794634</v>
      </c>
      <c r="CB75" s="96">
        <f t="shared" si="170"/>
        <v>0.22000000246010099</v>
      </c>
      <c r="CC75" s="111">
        <f t="shared" ca="1" si="171"/>
        <v>0.17552495740784535</v>
      </c>
      <c r="CD75" s="110">
        <f t="shared" ref="CD75:CE75" si="177">BJ75+BM75-BS75-BV75</f>
        <v>0</v>
      </c>
      <c r="CE75" s="110">
        <f t="shared" ca="1" si="177"/>
        <v>0</v>
      </c>
      <c r="CF75" s="110">
        <f t="shared" ca="1" si="173"/>
        <v>-265.58</v>
      </c>
      <c r="CG75" s="8" t="str">
        <f t="shared" si="174"/>
        <v>Incorrect</v>
      </c>
      <c r="CH75" s="8"/>
      <c r="CI75" t="s">
        <v>2317</v>
      </c>
      <c r="CK75" s="240">
        <v>371013.22002849996</v>
      </c>
      <c r="CL75" s="239">
        <f ca="1">(AI75+CK75)/INDEX(er!D:D,MATCH(AC75,er!C:C,0),1)</f>
        <v>6.4444166035494728E-5</v>
      </c>
      <c r="CN75" s="239">
        <f ca="1">CK75/INDEX(er!D:D,MATCH(AC75,er!C:C,0),1)</f>
        <v>265.57853974838935</v>
      </c>
    </row>
    <row r="76" spans="1:92" ht="12.5" x14ac:dyDescent="0.25">
      <c r="A76" s="93" t="s">
        <v>362</v>
      </c>
      <c r="B76" s="93" t="s">
        <v>96</v>
      </c>
      <c r="C76" s="93" t="s">
        <v>103</v>
      </c>
      <c r="D76" s="93" t="s">
        <v>363</v>
      </c>
      <c r="E76" s="93" t="s">
        <v>101</v>
      </c>
      <c r="F76" s="93"/>
      <c r="G76" s="94" t="s">
        <v>107</v>
      </c>
      <c r="H76" s="93" t="s">
        <v>436</v>
      </c>
      <c r="I76" s="94" t="s">
        <v>107</v>
      </c>
      <c r="J76" s="94">
        <v>999321.21</v>
      </c>
      <c r="K76" s="94">
        <v>999321.21</v>
      </c>
      <c r="L76" s="94" t="s">
        <v>111</v>
      </c>
      <c r="M76" s="94">
        <v>999321.21</v>
      </c>
      <c r="N76" s="94" t="s">
        <v>111</v>
      </c>
      <c r="O76" s="94">
        <v>999321.21</v>
      </c>
      <c r="P76" s="94">
        <v>604064.73</v>
      </c>
      <c r="Q76" s="93" t="s">
        <v>111</v>
      </c>
      <c r="R76" s="94" t="s">
        <v>105</v>
      </c>
      <c r="S76" s="94"/>
      <c r="T76" s="94"/>
      <c r="U76" s="94">
        <v>0</v>
      </c>
      <c r="V76" s="93" t="s">
        <v>94</v>
      </c>
      <c r="W76" s="8" t="s">
        <v>98</v>
      </c>
      <c r="X76" s="94" t="s">
        <v>103</v>
      </c>
      <c r="Y76" s="94" t="s">
        <v>107</v>
      </c>
      <c r="Z76" s="94" t="s">
        <v>105</v>
      </c>
      <c r="AA76" s="94" t="s">
        <v>111</v>
      </c>
      <c r="AB76" s="94">
        <v>999321.21</v>
      </c>
      <c r="AC76" s="94" t="s">
        <v>111</v>
      </c>
      <c r="AD76" s="94">
        <v>779470.54</v>
      </c>
      <c r="AE76" s="94">
        <v>22</v>
      </c>
      <c r="AF76" s="94" t="s">
        <v>99</v>
      </c>
      <c r="AG76" s="94">
        <v>0</v>
      </c>
      <c r="AH76" s="94">
        <v>0</v>
      </c>
      <c r="AI76" s="94">
        <v>-175405.81</v>
      </c>
      <c r="AJ76" s="94">
        <v>-125.56</v>
      </c>
      <c r="AK76" s="94">
        <v>0.39552495838650314</v>
      </c>
      <c r="AL76" s="94" t="s">
        <v>99</v>
      </c>
      <c r="AM76" s="93" t="s">
        <v>541</v>
      </c>
      <c r="AN76" s="94"/>
      <c r="AO76" s="94" t="s">
        <v>16</v>
      </c>
      <c r="AP76" s="94" t="s">
        <v>16</v>
      </c>
      <c r="AQ76" s="94"/>
      <c r="AR76" s="94" t="s">
        <v>16</v>
      </c>
      <c r="AS76" s="94"/>
      <c r="AT76" s="94" t="s">
        <v>16</v>
      </c>
      <c r="AU76" s="94">
        <v>999321.21</v>
      </c>
      <c r="AV76" s="94">
        <v>713</v>
      </c>
      <c r="AW76" s="94" t="s">
        <v>16</v>
      </c>
      <c r="AX76" s="94">
        <v>999321.21</v>
      </c>
      <c r="AY76" s="94">
        <v>715.33</v>
      </c>
      <c r="AZ76" s="94" t="s">
        <v>111</v>
      </c>
      <c r="BA76" s="94">
        <v>779470.54</v>
      </c>
      <c r="BB76" s="94" t="s">
        <v>99</v>
      </c>
      <c r="BC76" s="94">
        <v>-175405.81</v>
      </c>
      <c r="BD76" s="94">
        <v>-125.56</v>
      </c>
      <c r="BE76" s="60">
        <f t="array" ref="BE76">IFERROR(INDEX('Com&amp;tax'!$E$2:$E$5, MATCH(1, ('Com&amp;tax'!$A$2:$A$5=B76)*('Com&amp;tax'!$B$2:$B$5=G76), 0)),"")</f>
        <v>0.15</v>
      </c>
      <c r="BF76" s="58">
        <f t="shared" si="162"/>
        <v>149898.18149999998</v>
      </c>
      <c r="BG76" s="58">
        <f t="array" aca="1" ref="BG76" ca="1">IF(A76="","",( IFERROR((O76/ INDEX(er!$D$3:$D$75,MATCH(1, (er!$A$3:$A$75=$BG$2)*(er!$C$3:$C$75=Q76), 0)))*BE76,"")))</f>
        <v>107.30005833929849</v>
      </c>
      <c r="BH76" s="58">
        <f t="shared" si="163"/>
        <v>-149898.18149999998</v>
      </c>
      <c r="BI76" s="59">
        <f t="array" ref="BI76">IFERROR(INDEX('Com&amp;tax'!$F$2:$F$5, MATCH(1, ('Com&amp;tax'!$A$2:$A$5=B76)*('Com&amp;tax'!$B$2:$B$5=Y76), 0)),0)</f>
        <v>4.9000000000000002E-2</v>
      </c>
      <c r="BJ76" s="58">
        <f t="shared" si="164"/>
        <v>41621.728396499995</v>
      </c>
      <c r="BK76" s="58">
        <f t="array" aca="1" ref="BK76" ca="1">IF(A76="","",( IFERROR((J76*(1-BE76))*BI76/INDEX(er!D:D, MATCH(Q76,er!C:C,0),1),0)))</f>
        <v>29.79364953221188</v>
      </c>
      <c r="BL76" s="60">
        <f t="array" ref="BL76">IFERROR(INDEX('Com&amp;tax'!$G$2:$G$5, MATCH(1, ('Com&amp;tax'!$A$2:$A$5=B76)*('Com&amp;tax'!$B$2:$B$5=Y76), 0)),0)</f>
        <v>0.1575</v>
      </c>
      <c r="BM76" s="58">
        <f t="shared" si="165"/>
        <v>133784.12698874998</v>
      </c>
      <c r="BN76" s="58">
        <f t="array" aca="1" ref="BN76" ca="1">IF(A76="","",( IFERROR((J76*(1-BE76))*BL76/INDEX(er!D:D, MATCH(Q76,er!C:C,0),1),0)))</f>
        <v>95.765302067823896</v>
      </c>
      <c r="BO76" s="60">
        <f t="array" ref="BO76">IFERROR(INDEX('Com&amp;tax'!$H$2:$H$5, MATCH(1, ('Com&amp;tax'!$A$2:$A$5=B76)*('Com&amp;tax'!$B$2:$B$5=Y76), 0)),0)</f>
        <v>7.0000000000000007E-2</v>
      </c>
      <c r="BP76" s="58">
        <f t="shared" si="166"/>
        <v>69952.484700000001</v>
      </c>
      <c r="BQ76" s="58">
        <f t="array" aca="1" ref="BQ76" ca="1">IF(A76="","",( IFERROR(J76*BO76/INDEX(er!D:D, MATCH(Q76,er!C:C,0),1),0)))</f>
        <v>50.073360558339296</v>
      </c>
      <c r="BR76" s="108">
        <f t="array" ref="BR76">IFERROR(INDEX('Com&amp;tax'!$F$2:$F$5, MATCH(1, ('Com&amp;tax'!$A$2:$A$5=B76)*('Com&amp;tax'!$D$2:$D$5=H76), 0)),0)</f>
        <v>4.9000000000000002E-2</v>
      </c>
      <c r="BS76" s="109">
        <f t="shared" si="167"/>
        <v>41621.728396499995</v>
      </c>
      <c r="BT76" s="109">
        <f t="array" aca="1" ref="BT76" ca="1">IF(A76="","",( IFERROR((J76*(1-BE76))*BR76/INDEX(er!D:D, MATCH(Q76,er!C:C,0),1),0)))</f>
        <v>29.79364953221188</v>
      </c>
      <c r="BU76" s="108">
        <f t="array" ref="BU76">IFERROR(INDEX('Com&amp;tax'!$G$2:$G$5, MATCH(1, ('Com&amp;tax'!$A$2:$A$5=B76)*('Com&amp;tax'!$D$2:$D$5=H76), 0)),0)</f>
        <v>0.1575</v>
      </c>
      <c r="BV76" s="109">
        <f t="shared" si="168"/>
        <v>133784.12698874998</v>
      </c>
      <c r="BW76" s="109">
        <f t="array" aca="1" ref="BW76" ca="1">IF(A76="","",( IFERROR((J76*(1-BE76))*BU76/INDEX(er!D:D, MATCH(Q76,er!C:C,0),1),0)))</f>
        <v>95.765302067823896</v>
      </c>
      <c r="BX76" s="108">
        <f t="array" ref="BX76">IFERROR(INDEX('Com&amp;tax'!$H$2:$H$5, MATCH(1, ('Com&amp;tax'!$A$2:$A$5=B76)*('Com&amp;tax'!$D$2:$D$5=H76), 0)),0)</f>
        <v>7.0000000000000007E-2</v>
      </c>
      <c r="BY76" s="109">
        <f t="shared" si="169"/>
        <v>69952.484700000001</v>
      </c>
      <c r="BZ76" s="109">
        <f t="array" aca="1" ref="BZ76" ca="1">IF(A76="","",( IFERROR(J76*BX76/INDEX(er!D:D, MATCH(Q76,er!C:C,0),1),0)))</f>
        <v>50.073360558339296</v>
      </c>
      <c r="CA76" s="96">
        <f t="array" aca="1" ref="CA76" ca="1">IF(A76="","",( IFERROR(1-((P76/ INDEX(er!$D$3:$D$75,MATCH(1, (er!$A$3:$A$75=$BG$2)*(er!$C$3:$C$75=Q76), 0))   /  (J76/ INDEX(er!$D$3:$D$75,MATCH(1, (er!$A$3:$A$75=$BG$2)*(er!$C$3:$C$75=L76), 0))))),"")))</f>
        <v>0.39552495838650314</v>
      </c>
      <c r="CB76" s="96">
        <f t="shared" si="170"/>
        <v>0.22000000380258111</v>
      </c>
      <c r="CC76" s="111">
        <f t="shared" ca="1" si="171"/>
        <v>0.17552495458392203</v>
      </c>
      <c r="CD76" s="110">
        <f t="shared" ref="CD76:CE76" si="178">BJ76+BM76-BS76-BV76</f>
        <v>0</v>
      </c>
      <c r="CE76" s="110">
        <f t="shared" ca="1" si="178"/>
        <v>0</v>
      </c>
      <c r="CF76" s="110">
        <f t="shared" ca="1" si="173"/>
        <v>-125.56</v>
      </c>
      <c r="CG76" s="8" t="str">
        <f t="shared" si="174"/>
        <v>Incorrect</v>
      </c>
      <c r="CH76" s="8"/>
      <c r="CI76" t="s">
        <v>2317</v>
      </c>
      <c r="CK76" s="240">
        <v>175405.85538525</v>
      </c>
      <c r="CL76" s="239">
        <f ca="1">(AI76+CK76)/INDEX(er!D:D,MATCH(AC76,er!C:C,0),1)</f>
        <v>3.2487652116537137E-5</v>
      </c>
      <c r="CN76" s="239">
        <f ca="1">CK76/INDEX(er!D:D,MATCH(AC76,er!C:C,0),1)</f>
        <v>125.5589516000358</v>
      </c>
    </row>
    <row r="77" spans="1:92" ht="12.5" x14ac:dyDescent="0.25">
      <c r="A77" s="93" t="s">
        <v>366</v>
      </c>
      <c r="B77" s="93" t="s">
        <v>96</v>
      </c>
      <c r="C77" s="93" t="s">
        <v>103</v>
      </c>
      <c r="D77" s="93" t="s">
        <v>367</v>
      </c>
      <c r="E77" s="93"/>
      <c r="F77" s="93"/>
      <c r="G77" s="94" t="s">
        <v>107</v>
      </c>
      <c r="H77" s="93" t="s">
        <v>436</v>
      </c>
      <c r="I77" s="94" t="s">
        <v>107</v>
      </c>
      <c r="J77" s="94">
        <v>2499831.17</v>
      </c>
      <c r="K77" s="94">
        <v>2499831.17</v>
      </c>
      <c r="L77" s="94" t="s">
        <v>111</v>
      </c>
      <c r="M77" s="94">
        <v>2499831.17</v>
      </c>
      <c r="N77" s="94" t="s">
        <v>111</v>
      </c>
      <c r="O77" s="94">
        <v>2499831.17</v>
      </c>
      <c r="P77" s="94">
        <v>1511085.55</v>
      </c>
      <c r="Q77" s="93" t="s">
        <v>111</v>
      </c>
      <c r="R77" s="94" t="s">
        <v>105</v>
      </c>
      <c r="S77" s="94"/>
      <c r="T77" s="94"/>
      <c r="U77" s="94">
        <v>0</v>
      </c>
      <c r="V77" s="93" t="s">
        <v>94</v>
      </c>
      <c r="W77" s="8" t="s">
        <v>98</v>
      </c>
      <c r="X77" s="94" t="s">
        <v>103</v>
      </c>
      <c r="Y77" s="94" t="s">
        <v>107</v>
      </c>
      <c r="Z77" s="94" t="s">
        <v>105</v>
      </c>
      <c r="AA77" s="94" t="s">
        <v>111</v>
      </c>
      <c r="AB77" s="94">
        <v>2499831.17</v>
      </c>
      <c r="AC77" s="94" t="s">
        <v>111</v>
      </c>
      <c r="AD77" s="94">
        <v>1949868.31</v>
      </c>
      <c r="AE77" s="94">
        <v>22</v>
      </c>
      <c r="AF77" s="94" t="s">
        <v>99</v>
      </c>
      <c r="AG77" s="94">
        <v>0</v>
      </c>
      <c r="AH77" s="94">
        <v>0</v>
      </c>
      <c r="AI77" s="94">
        <v>-438782.76</v>
      </c>
      <c r="AJ77" s="94">
        <v>-314.08999999999997</v>
      </c>
      <c r="AK77" s="94">
        <v>0.39552495859150361</v>
      </c>
      <c r="AL77" s="94" t="s">
        <v>99</v>
      </c>
      <c r="AM77" s="93" t="s">
        <v>542</v>
      </c>
      <c r="AN77" s="94"/>
      <c r="AO77" s="94" t="s">
        <v>16</v>
      </c>
      <c r="AP77" s="94" t="s">
        <v>16</v>
      </c>
      <c r="AQ77" s="94"/>
      <c r="AR77" s="94" t="s">
        <v>16</v>
      </c>
      <c r="AS77" s="94"/>
      <c r="AT77" s="94" t="s">
        <v>16</v>
      </c>
      <c r="AU77" s="94">
        <v>2499831.17</v>
      </c>
      <c r="AV77" s="94">
        <v>1787</v>
      </c>
      <c r="AW77" s="94" t="s">
        <v>16</v>
      </c>
      <c r="AX77" s="94">
        <v>2499831.17</v>
      </c>
      <c r="AY77" s="94">
        <v>1789.43</v>
      </c>
      <c r="AZ77" s="94" t="s">
        <v>111</v>
      </c>
      <c r="BA77" s="94">
        <v>1949868.31</v>
      </c>
      <c r="BB77" s="94" t="s">
        <v>99</v>
      </c>
      <c r="BC77" s="94">
        <v>-438782.76</v>
      </c>
      <c r="BD77" s="94">
        <v>-314.08999999999997</v>
      </c>
      <c r="BE77" s="60">
        <f t="array" ref="BE77">IFERROR(INDEX('Com&amp;tax'!$E$2:$E$5, MATCH(1, ('Com&amp;tax'!$A$2:$A$5=B77)*('Com&amp;tax'!$B$2:$B$5=G77), 0)),"")</f>
        <v>0.15</v>
      </c>
      <c r="BF77" s="58">
        <f t="shared" si="162"/>
        <v>374974.67549999995</v>
      </c>
      <c r="BG77" s="58">
        <f t="array" aca="1" ref="BG77" ca="1">IF(A77="","",( IFERROR((O77/ INDEX(er!$D$3:$D$75,MATCH(1, (er!$A$3:$A$75=$BG$2)*(er!$C$3:$C$75=Q77), 0)))*BE77,"")))</f>
        <v>268.41422727272726</v>
      </c>
      <c r="BH77" s="58">
        <f t="shared" si="163"/>
        <v>-374974.67549999995</v>
      </c>
      <c r="BI77" s="59">
        <f t="array" ref="BI77">IFERROR(INDEX('Com&amp;tax'!$F$2:$F$5, MATCH(1, ('Com&amp;tax'!$A$2:$A$5=B77)*('Com&amp;tax'!$B$2:$B$5=Y77), 0)),0)</f>
        <v>4.9000000000000002E-2</v>
      </c>
      <c r="BJ77" s="58">
        <f t="shared" si="164"/>
        <v>104117.9682305</v>
      </c>
      <c r="BK77" s="58">
        <f t="array" aca="1" ref="BK77" ca="1">IF(A77="","",( IFERROR((J77*(1-BE77))*BI77/INDEX(er!D:D, MATCH(Q77,er!C:C,0),1),0)))</f>
        <v>74.529683772727267</v>
      </c>
      <c r="BL77" s="60">
        <f t="array" ref="BL77">IFERROR(INDEX('Com&amp;tax'!$G$2:$G$5, MATCH(1, ('Com&amp;tax'!$A$2:$A$5=B77)*('Com&amp;tax'!$B$2:$B$5=Y77), 0)),0)</f>
        <v>0.1575</v>
      </c>
      <c r="BM77" s="58">
        <f t="shared" si="165"/>
        <v>334664.89788375003</v>
      </c>
      <c r="BN77" s="58">
        <f t="array" aca="1" ref="BN77" ca="1">IF(A77="","",( IFERROR((J77*(1-BE77))*BL77/INDEX(er!D:D, MATCH(Q77,er!C:C,0),1),0)))</f>
        <v>239.55969784090911</v>
      </c>
      <c r="BO77" s="60">
        <f t="array" ref="BO77">IFERROR(INDEX('Com&amp;tax'!$H$2:$H$5, MATCH(1, ('Com&amp;tax'!$A$2:$A$5=B77)*('Com&amp;tax'!$B$2:$B$5=Y77), 0)),0)</f>
        <v>7.0000000000000007E-2</v>
      </c>
      <c r="BP77" s="58">
        <f t="shared" si="166"/>
        <v>174988.18190000003</v>
      </c>
      <c r="BQ77" s="58">
        <f t="array" aca="1" ref="BQ77" ca="1">IF(A77="","",( IFERROR(J77*BO77/INDEX(er!D:D, MATCH(Q77,er!C:C,0),1),0)))</f>
        <v>125.25997272727274</v>
      </c>
      <c r="BR77" s="108">
        <f t="array" ref="BR77">IFERROR(INDEX('Com&amp;tax'!$F$2:$F$5, MATCH(1, ('Com&amp;tax'!$A$2:$A$5=B77)*('Com&amp;tax'!$D$2:$D$5=H77), 0)),0)</f>
        <v>4.9000000000000002E-2</v>
      </c>
      <c r="BS77" s="109">
        <f t="shared" si="167"/>
        <v>104117.9682305</v>
      </c>
      <c r="BT77" s="109">
        <f t="array" aca="1" ref="BT77" ca="1">IF(A77="","",( IFERROR((J77*(1-BE77))*BR77/INDEX(er!D:D, MATCH(Q77,er!C:C,0),1),0)))</f>
        <v>74.529683772727267</v>
      </c>
      <c r="BU77" s="108">
        <f t="array" ref="BU77">IFERROR(INDEX('Com&amp;tax'!$G$2:$G$5, MATCH(1, ('Com&amp;tax'!$A$2:$A$5=B77)*('Com&amp;tax'!$D$2:$D$5=H77), 0)),0)</f>
        <v>0.1575</v>
      </c>
      <c r="BV77" s="109">
        <f t="shared" si="168"/>
        <v>334664.89788375003</v>
      </c>
      <c r="BW77" s="109">
        <f t="array" aca="1" ref="BW77" ca="1">IF(A77="","",( IFERROR((J77*(1-BE77))*BU77/INDEX(er!D:D, MATCH(Q77,er!C:C,0),1),0)))</f>
        <v>239.55969784090911</v>
      </c>
      <c r="BX77" s="108">
        <f t="array" ref="BX77">IFERROR(INDEX('Com&amp;tax'!$H$2:$H$5, MATCH(1, ('Com&amp;tax'!$A$2:$A$5=B77)*('Com&amp;tax'!$D$2:$D$5=H77), 0)),0)</f>
        <v>7.0000000000000007E-2</v>
      </c>
      <c r="BY77" s="109">
        <f t="shared" si="169"/>
        <v>174988.18190000003</v>
      </c>
      <c r="BZ77" s="109">
        <f t="array" aca="1" ref="BZ77" ca="1">IF(A77="","",( IFERROR(J77*BX77/INDEX(er!D:D, MATCH(Q77,er!C:C,0),1),0)))</f>
        <v>125.25997272727274</v>
      </c>
      <c r="CA77" s="96">
        <f t="array" aca="1" ref="CA77" ca="1">IF(A77="","",( IFERROR(1-((P77/ INDEX(er!$D$3:$D$75,MATCH(1, (er!$A$3:$A$75=$BG$2)*(er!$C$3:$C$75=Q77), 0))   /  (J77/ INDEX(er!$D$3:$D$75,MATCH(1, (er!$A$3:$A$75=$BG$2)*(er!$C$3:$C$75=L77), 0))))),"")))</f>
        <v>0.39552495859150361</v>
      </c>
      <c r="CB77" s="96">
        <f t="shared" si="170"/>
        <v>0.22000000104007023</v>
      </c>
      <c r="CC77" s="111">
        <f t="shared" ca="1" si="171"/>
        <v>0.17552495755143338</v>
      </c>
      <c r="CD77" s="110">
        <f t="shared" ref="CD77:CE77" si="179">BJ77+BM77-BS77-BV77</f>
        <v>0</v>
      </c>
      <c r="CE77" s="110">
        <f t="shared" ca="1" si="179"/>
        <v>0</v>
      </c>
      <c r="CF77" s="110">
        <f t="shared" ca="1" si="173"/>
        <v>-314.08999999999997</v>
      </c>
      <c r="CG77" s="8" t="str">
        <f t="shared" si="174"/>
        <v>Incorrect</v>
      </c>
      <c r="CH77" s="8"/>
      <c r="CI77" t="s">
        <v>2317</v>
      </c>
      <c r="CK77" s="240">
        <v>438782.86611425004</v>
      </c>
      <c r="CL77" s="239">
        <f ca="1">(AI77+CK77)/INDEX(er!D:D,MATCH(AC77,er!C:C,0),1)</f>
        <v>7.595866143572796E-5</v>
      </c>
      <c r="CN77" s="239">
        <f ca="1">CK77/INDEX(er!D:D,MATCH(AC77,er!C:C,0),1)</f>
        <v>314.08938161363636</v>
      </c>
    </row>
    <row r="78" spans="1:92" ht="12.5" x14ac:dyDescent="0.25">
      <c r="A78" s="93" t="s">
        <v>370</v>
      </c>
      <c r="B78" s="93" t="s">
        <v>96</v>
      </c>
      <c r="C78" s="93" t="s">
        <v>103</v>
      </c>
      <c r="D78" s="93" t="s">
        <v>371</v>
      </c>
      <c r="E78" s="93"/>
      <c r="F78" s="93"/>
      <c r="G78" s="94" t="s">
        <v>107</v>
      </c>
      <c r="H78" s="93" t="s">
        <v>436</v>
      </c>
      <c r="I78" s="94" t="s">
        <v>107</v>
      </c>
      <c r="J78" s="94">
        <v>6195989.9900000002</v>
      </c>
      <c r="K78" s="94">
        <v>6195989.9900000002</v>
      </c>
      <c r="L78" s="94" t="s">
        <v>111</v>
      </c>
      <c r="M78" s="94">
        <v>6195989.9900000002</v>
      </c>
      <c r="N78" s="94" t="s">
        <v>111</v>
      </c>
      <c r="O78" s="94">
        <v>6195989.9900000002</v>
      </c>
      <c r="P78" s="94">
        <v>3745321.3</v>
      </c>
      <c r="Q78" s="93" t="s">
        <v>111</v>
      </c>
      <c r="R78" s="94" t="s">
        <v>105</v>
      </c>
      <c r="S78" s="94"/>
      <c r="T78" s="94"/>
      <c r="U78" s="94">
        <v>0</v>
      </c>
      <c r="V78" s="93" t="s">
        <v>94</v>
      </c>
      <c r="W78" s="8" t="s">
        <v>98</v>
      </c>
      <c r="X78" s="94" t="s">
        <v>103</v>
      </c>
      <c r="Y78" s="94" t="s">
        <v>107</v>
      </c>
      <c r="Z78" s="94" t="s">
        <v>105</v>
      </c>
      <c r="AA78" s="94" t="s">
        <v>111</v>
      </c>
      <c r="AB78" s="94">
        <v>6195989.9900000002</v>
      </c>
      <c r="AC78" s="94" t="s">
        <v>111</v>
      </c>
      <c r="AD78" s="94">
        <v>4832872.2</v>
      </c>
      <c r="AE78" s="94">
        <v>22</v>
      </c>
      <c r="AF78" s="94" t="s">
        <v>99</v>
      </c>
      <c r="AG78" s="94">
        <v>0</v>
      </c>
      <c r="AH78" s="94">
        <v>0</v>
      </c>
      <c r="AI78" s="94">
        <v>-1087550.8999999999</v>
      </c>
      <c r="AJ78" s="94">
        <v>-778.49</v>
      </c>
      <c r="AK78" s="94">
        <v>0.39552495952305433</v>
      </c>
      <c r="AL78" s="94" t="s">
        <v>99</v>
      </c>
      <c r="AM78" s="93" t="s">
        <v>543</v>
      </c>
      <c r="AN78" s="94"/>
      <c r="AO78" s="94" t="s">
        <v>16</v>
      </c>
      <c r="AP78" s="94" t="s">
        <v>16</v>
      </c>
      <c r="AQ78" s="94"/>
      <c r="AR78" s="94" t="s">
        <v>16</v>
      </c>
      <c r="AS78" s="94"/>
      <c r="AT78" s="94" t="s">
        <v>16</v>
      </c>
      <c r="AU78" s="94">
        <v>6195989.9900000002</v>
      </c>
      <c r="AV78" s="94">
        <v>4433</v>
      </c>
      <c r="AW78" s="94" t="s">
        <v>16</v>
      </c>
      <c r="AX78" s="94">
        <v>6195989.9900000002</v>
      </c>
      <c r="AY78" s="94">
        <v>4435.21</v>
      </c>
      <c r="AZ78" s="94" t="s">
        <v>111</v>
      </c>
      <c r="BA78" s="94">
        <v>4832872.2</v>
      </c>
      <c r="BB78" s="94" t="s">
        <v>99</v>
      </c>
      <c r="BC78" s="94">
        <v>-1087550.8999999999</v>
      </c>
      <c r="BD78" s="94">
        <v>-778.49</v>
      </c>
      <c r="BE78" s="60">
        <f t="array" ref="BE78">IFERROR(INDEX('Com&amp;tax'!$E$2:$E$5, MATCH(1, ('Com&amp;tax'!$A$2:$A$5=B78)*('Com&amp;tax'!$B$2:$B$5=G78), 0)),"")</f>
        <v>0.15</v>
      </c>
      <c r="BF78" s="58">
        <f t="shared" si="162"/>
        <v>929398.49849999999</v>
      </c>
      <c r="BG78" s="58">
        <f t="array" aca="1" ref="BG78" ca="1">IF(A78="","",( IFERROR((O78/ INDEX(er!$D$3:$D$75,MATCH(1, (er!$A$3:$A$75=$BG$2)*(er!$C$3:$C$75=Q78), 0)))*BE78,"")))</f>
        <v>665.28167394416607</v>
      </c>
      <c r="BH78" s="58">
        <f t="shared" si="163"/>
        <v>-929398.49849999999</v>
      </c>
      <c r="BI78" s="59">
        <f t="array" ref="BI78">IFERROR(INDEX('Com&amp;tax'!$F$2:$F$5, MATCH(1, ('Com&amp;tax'!$A$2:$A$5=B78)*('Com&amp;tax'!$B$2:$B$5=Y78), 0)),0)</f>
        <v>4.9000000000000002E-2</v>
      </c>
      <c r="BJ78" s="58">
        <f t="shared" si="164"/>
        <v>258062.98308350003</v>
      </c>
      <c r="BK78" s="58">
        <f t="array" aca="1" ref="BK78" ca="1">IF(A78="","",( IFERROR((J78*(1-BE78))*BI78/INDEX(er!D:D, MATCH(Q78,er!C:C,0),1),0)))</f>
        <v>184.7265447984968</v>
      </c>
      <c r="BL78" s="60">
        <f t="array" ref="BL78">IFERROR(INDEX('Com&amp;tax'!$G$2:$G$5, MATCH(1, ('Com&amp;tax'!$A$2:$A$5=B78)*('Com&amp;tax'!$B$2:$B$5=Y78), 0)),0)</f>
        <v>0.1575</v>
      </c>
      <c r="BM78" s="58">
        <f t="shared" si="165"/>
        <v>829488.15991125011</v>
      </c>
      <c r="BN78" s="58">
        <f t="array" aca="1" ref="BN78" ca="1">IF(A78="","",( IFERROR((J78*(1-BE78))*BL78/INDEX(er!D:D, MATCH(Q78,er!C:C,0),1),0)))</f>
        <v>593.76389399516825</v>
      </c>
      <c r="BO78" s="60">
        <f t="array" ref="BO78">IFERROR(INDEX('Com&amp;tax'!$H$2:$H$5, MATCH(1, ('Com&amp;tax'!$A$2:$A$5=B78)*('Com&amp;tax'!$B$2:$B$5=Y78), 0)),0)</f>
        <v>7.0000000000000007E-2</v>
      </c>
      <c r="BP78" s="58">
        <f t="shared" si="166"/>
        <v>433719.29930000007</v>
      </c>
      <c r="BQ78" s="58">
        <f t="array" aca="1" ref="BQ78" ca="1">IF(A78="","",( IFERROR(J78*BO78/INDEX(er!D:D, MATCH(Q78,er!C:C,0),1),0)))</f>
        <v>310.46478117394423</v>
      </c>
      <c r="BR78" s="108">
        <f t="array" ref="BR78">IFERROR(INDEX('Com&amp;tax'!$F$2:$F$5, MATCH(1, ('Com&amp;tax'!$A$2:$A$5=B78)*('Com&amp;tax'!$D$2:$D$5=H78), 0)),0)</f>
        <v>4.9000000000000002E-2</v>
      </c>
      <c r="BS78" s="109">
        <f t="shared" si="167"/>
        <v>258062.98308350003</v>
      </c>
      <c r="BT78" s="109">
        <f t="array" aca="1" ref="BT78" ca="1">IF(A78="","",( IFERROR((J78*(1-BE78))*BR78/INDEX(er!D:D, MATCH(Q78,er!C:C,0),1),0)))</f>
        <v>184.7265447984968</v>
      </c>
      <c r="BU78" s="108">
        <f t="array" ref="BU78">IFERROR(INDEX('Com&amp;tax'!$G$2:$G$5, MATCH(1, ('Com&amp;tax'!$A$2:$A$5=B78)*('Com&amp;tax'!$D$2:$D$5=H78), 0)),0)</f>
        <v>0.1575</v>
      </c>
      <c r="BV78" s="109">
        <f t="shared" si="168"/>
        <v>829488.15991125011</v>
      </c>
      <c r="BW78" s="109">
        <f t="array" aca="1" ref="BW78" ca="1">IF(A78="","",( IFERROR((J78*(1-BE78))*BU78/INDEX(er!D:D, MATCH(Q78,er!C:C,0),1),0)))</f>
        <v>593.76389399516825</v>
      </c>
      <c r="BX78" s="108">
        <f t="array" ref="BX78">IFERROR(INDEX('Com&amp;tax'!$H$2:$H$5, MATCH(1, ('Com&amp;tax'!$A$2:$A$5=B78)*('Com&amp;tax'!$D$2:$D$5=H78), 0)),0)</f>
        <v>7.0000000000000007E-2</v>
      </c>
      <c r="BY78" s="109">
        <f t="shared" si="169"/>
        <v>433719.29930000007</v>
      </c>
      <c r="BZ78" s="109">
        <f t="array" aca="1" ref="BZ78" ca="1">IF(A78="","",( IFERROR(J78*BX78/INDEX(er!D:D, MATCH(Q78,er!C:C,0),1),0)))</f>
        <v>310.46478117394423</v>
      </c>
      <c r="CA78" s="96">
        <f t="array" aca="1" ref="CA78" ca="1">IF(A78="","",( IFERROR(1-((P78/ INDEX(er!$D$3:$D$75,MATCH(1, (er!$A$3:$A$75=$BG$2)*(er!$C$3:$C$75=Q78), 0))   /  (J78/ INDEX(er!$D$3:$D$75,MATCH(1, (er!$A$3:$A$75=$BG$2)*(er!$C$3:$C$75=L78), 0))))),"")))</f>
        <v>0.39552495952305433</v>
      </c>
      <c r="CB78" s="96">
        <f t="shared" si="170"/>
        <v>0.21999999874112131</v>
      </c>
      <c r="CC78" s="111">
        <f t="shared" ca="1" si="171"/>
        <v>0.17552496078193303</v>
      </c>
      <c r="CD78" s="110">
        <f t="shared" ref="CD78:CE78" si="180">BJ78+BM78-BS78-BV78</f>
        <v>0</v>
      </c>
      <c r="CE78" s="110">
        <f t="shared" ca="1" si="180"/>
        <v>0</v>
      </c>
      <c r="CF78" s="110">
        <f t="shared" ca="1" si="173"/>
        <v>-778.49</v>
      </c>
      <c r="CG78" s="8" t="str">
        <f t="shared" si="174"/>
        <v>Incorrect</v>
      </c>
      <c r="CH78" s="8"/>
      <c r="CI78" t="s">
        <v>2317</v>
      </c>
      <c r="CK78" s="240">
        <v>1087551.1429947501</v>
      </c>
      <c r="CL78" s="239">
        <f ca="1">(AI78+CK78)/INDEX(er!D:D,MATCH(AC78,er!C:C,0),1)</f>
        <v>1.7394040812556243E-4</v>
      </c>
      <c r="CN78" s="239">
        <f ca="1">CK78/INDEX(er!D:D,MATCH(AC78,er!C:C,0),1)</f>
        <v>778.49043879366502</v>
      </c>
    </row>
    <row r="79" spans="1:92" ht="12.5" x14ac:dyDescent="0.25">
      <c r="A79" s="93" t="s">
        <v>373</v>
      </c>
      <c r="B79" s="93" t="s">
        <v>96</v>
      </c>
      <c r="C79" s="93" t="s">
        <v>103</v>
      </c>
      <c r="D79" s="93" t="s">
        <v>374</v>
      </c>
      <c r="E79" s="93"/>
      <c r="F79" s="93"/>
      <c r="G79" s="94" t="s">
        <v>107</v>
      </c>
      <c r="H79" s="93" t="s">
        <v>436</v>
      </c>
      <c r="I79" s="94" t="s">
        <v>107</v>
      </c>
      <c r="J79" s="94">
        <v>4901475.9400000004</v>
      </c>
      <c r="K79" s="94">
        <v>4901475.9400000004</v>
      </c>
      <c r="L79" s="94" t="s">
        <v>111</v>
      </c>
      <c r="M79" s="94">
        <v>4901475.9400000004</v>
      </c>
      <c r="N79" s="94" t="s">
        <v>111</v>
      </c>
      <c r="O79" s="94">
        <v>4901475.9400000004</v>
      </c>
      <c r="P79" s="94">
        <v>2962819.86</v>
      </c>
      <c r="Q79" s="93" t="s">
        <v>111</v>
      </c>
      <c r="R79" s="94" t="s">
        <v>105</v>
      </c>
      <c r="S79" s="94"/>
      <c r="T79" s="94"/>
      <c r="U79" s="94">
        <v>0</v>
      </c>
      <c r="V79" s="93" t="s">
        <v>94</v>
      </c>
      <c r="W79" s="8" t="s">
        <v>98</v>
      </c>
      <c r="X79" s="94" t="s">
        <v>103</v>
      </c>
      <c r="Y79" s="94" t="s">
        <v>107</v>
      </c>
      <c r="Z79" s="94" t="s">
        <v>105</v>
      </c>
      <c r="AA79" s="94" t="s">
        <v>111</v>
      </c>
      <c r="AB79" s="94">
        <v>4901475.9400000004</v>
      </c>
      <c r="AC79" s="94" t="s">
        <v>111</v>
      </c>
      <c r="AD79" s="94">
        <v>3823151.23</v>
      </c>
      <c r="AE79" s="94">
        <v>22</v>
      </c>
      <c r="AF79" s="94" t="s">
        <v>99</v>
      </c>
      <c r="AG79" s="94">
        <v>0</v>
      </c>
      <c r="AH79" s="94">
        <v>0</v>
      </c>
      <c r="AI79" s="94">
        <v>-860331.37</v>
      </c>
      <c r="AJ79" s="94">
        <v>-615.84</v>
      </c>
      <c r="AK79" s="94">
        <v>0.39552496099776846</v>
      </c>
      <c r="AL79" s="94" t="s">
        <v>99</v>
      </c>
      <c r="AM79" s="93" t="s">
        <v>544</v>
      </c>
      <c r="AN79" s="94"/>
      <c r="AO79" s="94" t="s">
        <v>16</v>
      </c>
      <c r="AP79" s="94" t="s">
        <v>16</v>
      </c>
      <c r="AQ79" s="94"/>
      <c r="AR79" s="94" t="s">
        <v>16</v>
      </c>
      <c r="AS79" s="94"/>
      <c r="AT79" s="94" t="s">
        <v>16</v>
      </c>
      <c r="AU79" s="94">
        <v>4901475.9400000004</v>
      </c>
      <c r="AV79" s="94">
        <v>3507</v>
      </c>
      <c r="AW79" s="94" t="s">
        <v>16</v>
      </c>
      <c r="AX79" s="94">
        <v>4901475.9400000004</v>
      </c>
      <c r="AY79" s="94">
        <v>3508.57</v>
      </c>
      <c r="AZ79" s="94" t="s">
        <v>111</v>
      </c>
      <c r="BA79" s="94">
        <v>3823151.23</v>
      </c>
      <c r="BB79" s="94" t="s">
        <v>99</v>
      </c>
      <c r="BC79" s="94">
        <v>-860331.37</v>
      </c>
      <c r="BD79" s="94">
        <v>-615.84</v>
      </c>
      <c r="BE79" s="60">
        <f t="array" ref="BE79">IFERROR(INDEX('Com&amp;tax'!$E$2:$E$5, MATCH(1, ('Com&amp;tax'!$A$2:$A$5=B79)*('Com&amp;tax'!$B$2:$B$5=G79), 0)),"")</f>
        <v>0.15</v>
      </c>
      <c r="BF79" s="58">
        <f t="shared" si="162"/>
        <v>735221.39100000006</v>
      </c>
      <c r="BG79" s="58">
        <f t="array" aca="1" ref="BG79" ca="1">IF(A79="","",( IFERROR((O79/ INDEX(er!$D$3:$D$75,MATCH(1, (er!$A$3:$A$75=$BG$2)*(er!$C$3:$C$75=Q79), 0)))*BE79,"")))</f>
        <v>526.28589191123842</v>
      </c>
      <c r="BH79" s="58">
        <f t="shared" si="163"/>
        <v>-735221.39100000006</v>
      </c>
      <c r="BI79" s="59">
        <f t="array" ref="BI79">IFERROR(INDEX('Com&amp;tax'!$F$2:$F$5, MATCH(1, ('Com&amp;tax'!$A$2:$A$5=B79)*('Com&amp;tax'!$B$2:$B$5=Y79), 0)),0)</f>
        <v>4.9000000000000002E-2</v>
      </c>
      <c r="BJ79" s="58">
        <f t="shared" si="164"/>
        <v>204146.472901</v>
      </c>
      <c r="BK79" s="58">
        <f t="array" aca="1" ref="BK79" ca="1">IF(A79="","",( IFERROR((J79*(1-BE79))*BI79/INDEX(er!D:D, MATCH(Q79,er!C:C,0),1),0)))</f>
        <v>146.1320493206872</v>
      </c>
      <c r="BL79" s="60">
        <f t="array" ref="BL79">IFERROR(INDEX('Com&amp;tax'!$G$2:$G$5, MATCH(1, ('Com&amp;tax'!$A$2:$A$5=B79)*('Com&amp;tax'!$B$2:$B$5=Y79), 0)),0)</f>
        <v>0.1575</v>
      </c>
      <c r="BM79" s="58">
        <f t="shared" si="165"/>
        <v>656185.09146749997</v>
      </c>
      <c r="BN79" s="58">
        <f t="array" aca="1" ref="BN79" ca="1">IF(A79="","",( IFERROR((J79*(1-BE79))*BL79/INDEX(er!D:D, MATCH(Q79,er!C:C,0),1),0)))</f>
        <v>469.71015853078023</v>
      </c>
      <c r="BO79" s="60">
        <f t="array" ref="BO79">IFERROR(INDEX('Com&amp;tax'!$H$2:$H$5, MATCH(1, ('Com&amp;tax'!$A$2:$A$5=B79)*('Com&amp;tax'!$B$2:$B$5=Y79), 0)),0)</f>
        <v>7.0000000000000007E-2</v>
      </c>
      <c r="BP79" s="58">
        <f t="shared" si="166"/>
        <v>343103.31580000004</v>
      </c>
      <c r="BQ79" s="58">
        <f t="array" aca="1" ref="BQ79" ca="1">IF(A79="","",( IFERROR(J79*BO79/INDEX(er!D:D, MATCH(Q79,er!C:C,0),1),0)))</f>
        <v>245.60008289191126</v>
      </c>
      <c r="BR79" s="108">
        <f t="array" ref="BR79">IFERROR(INDEX('Com&amp;tax'!$F$2:$F$5, MATCH(1, ('Com&amp;tax'!$A$2:$A$5=B79)*('Com&amp;tax'!$D$2:$D$5=H79), 0)),0)</f>
        <v>4.9000000000000002E-2</v>
      </c>
      <c r="BS79" s="109">
        <f t="shared" si="167"/>
        <v>204146.472901</v>
      </c>
      <c r="BT79" s="109">
        <f t="array" aca="1" ref="BT79" ca="1">IF(A79="","",( IFERROR((J79*(1-BE79))*BR79/INDEX(er!D:D, MATCH(Q79,er!C:C,0),1),0)))</f>
        <v>146.1320493206872</v>
      </c>
      <c r="BU79" s="108">
        <f t="array" ref="BU79">IFERROR(INDEX('Com&amp;tax'!$G$2:$G$5, MATCH(1, ('Com&amp;tax'!$A$2:$A$5=B79)*('Com&amp;tax'!$D$2:$D$5=H79), 0)),0)</f>
        <v>0.1575</v>
      </c>
      <c r="BV79" s="109">
        <f t="shared" si="168"/>
        <v>656185.09146749997</v>
      </c>
      <c r="BW79" s="109">
        <f t="array" aca="1" ref="BW79" ca="1">IF(A79="","",( IFERROR((J79*(1-BE79))*BU79/INDEX(er!D:D, MATCH(Q79,er!C:C,0),1),0)))</f>
        <v>469.71015853078023</v>
      </c>
      <c r="BX79" s="108">
        <f t="array" ref="BX79">IFERROR(INDEX('Com&amp;tax'!$H$2:$H$5, MATCH(1, ('Com&amp;tax'!$A$2:$A$5=B79)*('Com&amp;tax'!$D$2:$D$5=H79), 0)),0)</f>
        <v>7.0000000000000007E-2</v>
      </c>
      <c r="BY79" s="109">
        <f t="shared" si="169"/>
        <v>343103.31580000004</v>
      </c>
      <c r="BZ79" s="109">
        <f t="array" aca="1" ref="BZ79" ca="1">IF(A79="","",( IFERROR(J79*BX79/INDEX(er!D:D, MATCH(Q79,er!C:C,0),1),0)))</f>
        <v>245.60008289191126</v>
      </c>
      <c r="CA79" s="96">
        <f t="array" aca="1" ref="CA79" ca="1">IF(A79="","",( IFERROR(1-((P79/ INDEX(er!$D$3:$D$75,MATCH(1, (er!$A$3:$A$75=$BG$2)*(er!$C$3:$C$75=Q79), 0))   /  (J79/ INDEX(er!$D$3:$D$75,MATCH(1, (er!$A$3:$A$75=$BG$2)*(er!$C$3:$C$75=L79), 0))))),"")))</f>
        <v>0.39552496099776846</v>
      </c>
      <c r="CB79" s="96">
        <f t="shared" si="170"/>
        <v>0.22000000065286462</v>
      </c>
      <c r="CC79" s="111">
        <f t="shared" ca="1" si="171"/>
        <v>0.17552496034490384</v>
      </c>
      <c r="CD79" s="110">
        <f t="shared" ref="CD79:CE79" si="181">BJ79+BM79-BS79-BV79</f>
        <v>0</v>
      </c>
      <c r="CE79" s="110">
        <f t="shared" ca="1" si="181"/>
        <v>0</v>
      </c>
      <c r="CF79" s="110">
        <f t="shared" ca="1" si="173"/>
        <v>-615.84</v>
      </c>
      <c r="CG79" s="8" t="str">
        <f t="shared" si="174"/>
        <v>Incorrect</v>
      </c>
      <c r="CH79" s="8"/>
      <c r="CI79" t="s">
        <v>2317</v>
      </c>
      <c r="CK79" s="240">
        <v>860331.56436849991</v>
      </c>
      <c r="CL79" s="239">
        <f ca="1">(AI79+CK79)/INDEX(er!D:D,MATCH(AC79,er!C:C,0),1)</f>
        <v>1.3913278447620108E-4</v>
      </c>
      <c r="CN79" s="239">
        <f ca="1">CK79/INDEX(er!D:D,MATCH(AC79,er!C:C,0),1)</f>
        <v>615.84220785146738</v>
      </c>
    </row>
    <row r="80" spans="1:92" ht="12.5" x14ac:dyDescent="0.25">
      <c r="A80" s="93" t="s">
        <v>377</v>
      </c>
      <c r="B80" s="93" t="s">
        <v>96</v>
      </c>
      <c r="C80" s="93" t="s">
        <v>103</v>
      </c>
      <c r="D80" s="93" t="s">
        <v>378</v>
      </c>
      <c r="E80" s="93"/>
      <c r="F80" s="93"/>
      <c r="G80" s="94" t="s">
        <v>107</v>
      </c>
      <c r="H80" s="93" t="s">
        <v>436</v>
      </c>
      <c r="I80" s="94" t="s">
        <v>107</v>
      </c>
      <c r="J80" s="94">
        <v>2300000</v>
      </c>
      <c r="K80" s="94">
        <v>2300000</v>
      </c>
      <c r="L80" s="94" t="s">
        <v>111</v>
      </c>
      <c r="M80" s="94">
        <v>2300000</v>
      </c>
      <c r="N80" s="94" t="s">
        <v>111</v>
      </c>
      <c r="O80" s="94">
        <v>2300000</v>
      </c>
      <c r="P80" s="94">
        <v>1390292.59</v>
      </c>
      <c r="Q80" s="93" t="s">
        <v>111</v>
      </c>
      <c r="R80" s="94" t="s">
        <v>105</v>
      </c>
      <c r="S80" s="94"/>
      <c r="T80" s="94"/>
      <c r="U80" s="94">
        <v>0</v>
      </c>
      <c r="V80" s="93" t="s">
        <v>94</v>
      </c>
      <c r="W80" s="8" t="s">
        <v>98</v>
      </c>
      <c r="X80" s="94" t="s">
        <v>103</v>
      </c>
      <c r="Y80" s="94" t="s">
        <v>107</v>
      </c>
      <c r="Z80" s="94" t="s">
        <v>105</v>
      </c>
      <c r="AA80" s="94" t="s">
        <v>111</v>
      </c>
      <c r="AB80" s="94">
        <v>2300000</v>
      </c>
      <c r="AC80" s="94" t="s">
        <v>111</v>
      </c>
      <c r="AD80" s="94">
        <v>1793999.99</v>
      </c>
      <c r="AE80" s="94">
        <v>22</v>
      </c>
      <c r="AF80" s="94" t="s">
        <v>99</v>
      </c>
      <c r="AG80" s="94">
        <v>0</v>
      </c>
      <c r="AH80" s="94">
        <v>0</v>
      </c>
      <c r="AI80" s="94">
        <v>-403707.4</v>
      </c>
      <c r="AJ80" s="94">
        <v>-288.98</v>
      </c>
      <c r="AK80" s="94">
        <v>0.39552496086956523</v>
      </c>
      <c r="AL80" s="94" t="s">
        <v>99</v>
      </c>
      <c r="AM80" s="93" t="s">
        <v>545</v>
      </c>
      <c r="AN80" s="94"/>
      <c r="AO80" s="94" t="s">
        <v>16</v>
      </c>
      <c r="AP80" s="94" t="s">
        <v>16</v>
      </c>
      <c r="AQ80" s="94"/>
      <c r="AR80" s="94" t="s">
        <v>16</v>
      </c>
      <c r="AS80" s="94"/>
      <c r="AT80" s="94" t="s">
        <v>16</v>
      </c>
      <c r="AU80" s="94">
        <v>2300000</v>
      </c>
      <c r="AV80" s="94">
        <v>1644</v>
      </c>
      <c r="AW80" s="94" t="s">
        <v>16</v>
      </c>
      <c r="AX80" s="94">
        <v>2300000</v>
      </c>
      <c r="AY80" s="94">
        <v>1646.39</v>
      </c>
      <c r="AZ80" s="94" t="s">
        <v>111</v>
      </c>
      <c r="BA80" s="94">
        <v>1794000</v>
      </c>
      <c r="BB80" s="94" t="s">
        <v>99</v>
      </c>
      <c r="BC80" s="94">
        <v>-403707.41</v>
      </c>
      <c r="BD80" s="94">
        <v>-288.98</v>
      </c>
      <c r="BE80" s="60">
        <f t="array" ref="BE80">IFERROR(INDEX('Com&amp;tax'!$E$2:$E$5, MATCH(1, ('Com&amp;tax'!$A$2:$A$5=B80)*('Com&amp;tax'!$B$2:$B$5=G80), 0)),"")</f>
        <v>0.15</v>
      </c>
      <c r="BF80" s="58">
        <f t="shared" si="162"/>
        <v>345000</v>
      </c>
      <c r="BG80" s="58">
        <f t="array" aca="1" ref="BG80" ca="1">IF(A80="","",( IFERROR((O80/ INDEX(er!$D$3:$D$75,MATCH(1, (er!$A$3:$A$75=$BG$2)*(er!$C$3:$C$75=Q80), 0)))*BE80,"")))</f>
        <v>246.95776664280601</v>
      </c>
      <c r="BH80" s="58">
        <f t="shared" si="163"/>
        <v>-345000</v>
      </c>
      <c r="BI80" s="59">
        <f t="array" ref="BI80">IFERROR(INDEX('Com&amp;tax'!$F$2:$F$5, MATCH(1, ('Com&amp;tax'!$A$2:$A$5=B80)*('Com&amp;tax'!$B$2:$B$5=Y80), 0)),0)</f>
        <v>4.9000000000000002E-2</v>
      </c>
      <c r="BJ80" s="58">
        <f t="shared" si="164"/>
        <v>95795</v>
      </c>
      <c r="BK80" s="58">
        <f t="array" aca="1" ref="BK80" ca="1">IF(A80="","",( IFERROR((J80*(1-BE80))*BI80/INDEX(er!D:D, MATCH(Q80,er!C:C,0),1),0)))</f>
        <v>68.571939871152466</v>
      </c>
      <c r="BL80" s="60">
        <f t="array" ref="BL80">IFERROR(INDEX('Com&amp;tax'!$G$2:$G$5, MATCH(1, ('Com&amp;tax'!$A$2:$A$5=B80)*('Com&amp;tax'!$B$2:$B$5=Y80), 0)),0)</f>
        <v>0.1575</v>
      </c>
      <c r="BM80" s="58">
        <f t="shared" si="165"/>
        <v>307912.5</v>
      </c>
      <c r="BN80" s="58">
        <f t="array" aca="1" ref="BN80" ca="1">IF(A80="","",( IFERROR((J80*(1-BE80))*BL80/INDEX(er!D:D, MATCH(Q80,er!C:C,0),1),0)))</f>
        <v>220.40980672870435</v>
      </c>
      <c r="BO80" s="60">
        <f t="array" ref="BO80">IFERROR(INDEX('Com&amp;tax'!$H$2:$H$5, MATCH(1, ('Com&amp;tax'!$A$2:$A$5=B80)*('Com&amp;tax'!$B$2:$B$5=Y80), 0)),0)</f>
        <v>7.0000000000000007E-2</v>
      </c>
      <c r="BP80" s="58">
        <f t="shared" si="166"/>
        <v>161000.00000000003</v>
      </c>
      <c r="BQ80" s="58">
        <f t="array" aca="1" ref="BQ80" ca="1">IF(A80="","",( IFERROR(J80*BO80/INDEX(er!D:D, MATCH(Q80,er!C:C,0),1),0)))</f>
        <v>115.24695776664282</v>
      </c>
      <c r="BR80" s="108">
        <f t="array" ref="BR80">IFERROR(INDEX('Com&amp;tax'!$F$2:$F$5, MATCH(1, ('Com&amp;tax'!$A$2:$A$5=B80)*('Com&amp;tax'!$D$2:$D$5=H80), 0)),0)</f>
        <v>4.9000000000000002E-2</v>
      </c>
      <c r="BS80" s="109">
        <f t="shared" si="167"/>
        <v>95795</v>
      </c>
      <c r="BT80" s="109">
        <f t="array" aca="1" ref="BT80" ca="1">IF(A80="","",( IFERROR((J80*(1-BE80))*BR80/INDEX(er!D:D, MATCH(Q80,er!C:C,0),1),0)))</f>
        <v>68.571939871152466</v>
      </c>
      <c r="BU80" s="108">
        <f t="array" ref="BU80">IFERROR(INDEX('Com&amp;tax'!$G$2:$G$5, MATCH(1, ('Com&amp;tax'!$A$2:$A$5=B80)*('Com&amp;tax'!$D$2:$D$5=H80), 0)),0)</f>
        <v>0.1575</v>
      </c>
      <c r="BV80" s="109">
        <f t="shared" si="168"/>
        <v>307912.5</v>
      </c>
      <c r="BW80" s="109">
        <f t="array" aca="1" ref="BW80" ca="1">IF(A80="","",( IFERROR((J80*(1-BE80))*BU80/INDEX(er!D:D, MATCH(Q80,er!C:C,0),1),0)))</f>
        <v>220.40980672870435</v>
      </c>
      <c r="BX80" s="108">
        <f t="array" ref="BX80">IFERROR(INDEX('Com&amp;tax'!$H$2:$H$5, MATCH(1, ('Com&amp;tax'!$A$2:$A$5=B80)*('Com&amp;tax'!$D$2:$D$5=H80), 0)),0)</f>
        <v>7.0000000000000007E-2</v>
      </c>
      <c r="BY80" s="109">
        <f t="shared" si="169"/>
        <v>161000.00000000003</v>
      </c>
      <c r="BZ80" s="109">
        <f t="array" aca="1" ref="BZ80" ca="1">IF(A80="","",( IFERROR(J80*BX80/INDEX(er!D:D, MATCH(Q80,er!C:C,0),1),0)))</f>
        <v>115.24695776664282</v>
      </c>
      <c r="CA80" s="96">
        <f t="array" aca="1" ref="CA80" ca="1">IF(A80="","",( IFERROR(1-((P80/ INDEX(er!$D$3:$D$75,MATCH(1, (er!$A$3:$A$75=$BG$2)*(er!$C$3:$C$75=Q80), 0))   /  (J80/ INDEX(er!$D$3:$D$75,MATCH(1, (er!$A$3:$A$75=$BG$2)*(er!$C$3:$C$75=L80), 0))))),"")))</f>
        <v>0.39552496086956523</v>
      </c>
      <c r="CB80" s="96">
        <f t="shared" si="170"/>
        <v>0.22000000434782607</v>
      </c>
      <c r="CC80" s="111">
        <f t="shared" ca="1" si="171"/>
        <v>0.17552495652173916</v>
      </c>
      <c r="CD80" s="110">
        <f t="shared" ref="CD80:CE80" si="182">BJ80+BM80-BS80-BV80</f>
        <v>0</v>
      </c>
      <c r="CE80" s="110">
        <f t="shared" ca="1" si="182"/>
        <v>0</v>
      </c>
      <c r="CF80" s="110">
        <f t="shared" ca="1" si="173"/>
        <v>-288.98</v>
      </c>
      <c r="CG80" s="8" t="str">
        <f t="shared" si="174"/>
        <v>Incorrect</v>
      </c>
      <c r="CH80" s="8"/>
      <c r="CI80" t="s">
        <v>2317</v>
      </c>
      <c r="CK80" s="240">
        <v>403707.5</v>
      </c>
      <c r="CL80" s="239">
        <f ca="1">(AI80+CK80)/INDEX(er!D:D,MATCH(AC80,er!C:C,0),1)</f>
        <v>7.1581961329074401E-5</v>
      </c>
      <c r="CN80" s="239">
        <f ca="1">CK80/INDEX(er!D:D,MATCH(AC80,er!C:C,0),1)</f>
        <v>288.98174659985682</v>
      </c>
    </row>
    <row r="81" spans="1:92" ht="12.5" x14ac:dyDescent="0.25">
      <c r="A81" s="93" t="s">
        <v>381</v>
      </c>
      <c r="B81" s="93" t="s">
        <v>100</v>
      </c>
      <c r="C81" s="93" t="s">
        <v>103</v>
      </c>
      <c r="D81" s="93" t="s">
        <v>382</v>
      </c>
      <c r="E81" s="93"/>
      <c r="F81" s="93"/>
      <c r="G81" s="94" t="s">
        <v>107</v>
      </c>
      <c r="H81" s="93" t="s">
        <v>436</v>
      </c>
      <c r="I81" s="94" t="s">
        <v>107</v>
      </c>
      <c r="J81" s="94">
        <v>9224933.0199999996</v>
      </c>
      <c r="K81" s="94">
        <v>9224933.0199999996</v>
      </c>
      <c r="L81" s="94" t="s">
        <v>111</v>
      </c>
      <c r="M81" s="94">
        <v>9224933.0199999996</v>
      </c>
      <c r="N81" s="94" t="s">
        <v>111</v>
      </c>
      <c r="O81" s="94">
        <v>9224933.0199999996</v>
      </c>
      <c r="P81" s="94">
        <v>6088409.6699999999</v>
      </c>
      <c r="Q81" s="93" t="s">
        <v>111</v>
      </c>
      <c r="R81" s="94" t="s">
        <v>105</v>
      </c>
      <c r="S81" s="94"/>
      <c r="T81" s="94"/>
      <c r="U81" s="94">
        <v>0</v>
      </c>
      <c r="V81" s="93" t="s">
        <v>94</v>
      </c>
      <c r="W81" s="8" t="s">
        <v>98</v>
      </c>
      <c r="X81" s="94" t="s">
        <v>103</v>
      </c>
      <c r="Y81" s="94" t="s">
        <v>107</v>
      </c>
      <c r="Z81" s="94" t="s">
        <v>105</v>
      </c>
      <c r="AA81" s="94" t="s">
        <v>111</v>
      </c>
      <c r="AB81" s="94">
        <v>9224933.0199999996</v>
      </c>
      <c r="AC81" s="94" t="s">
        <v>111</v>
      </c>
      <c r="AD81" s="94">
        <v>7195447.7599999998</v>
      </c>
      <c r="AE81" s="94">
        <v>22</v>
      </c>
      <c r="AF81" s="94" t="s">
        <v>99</v>
      </c>
      <c r="AG81" s="94">
        <v>0</v>
      </c>
      <c r="AH81" s="94">
        <v>0</v>
      </c>
      <c r="AI81" s="94">
        <v>-1107038.0900000001</v>
      </c>
      <c r="AJ81" s="94">
        <v>-792.44</v>
      </c>
      <c r="AK81" s="94">
        <v>0.34000499984118038</v>
      </c>
      <c r="AL81" s="94" t="s">
        <v>99</v>
      </c>
      <c r="AM81" s="93" t="s">
        <v>546</v>
      </c>
      <c r="AN81" s="94"/>
      <c r="AO81" s="94" t="s">
        <v>16</v>
      </c>
      <c r="AP81" s="94" t="s">
        <v>16</v>
      </c>
      <c r="AQ81" s="94"/>
      <c r="AR81" s="94" t="s">
        <v>16</v>
      </c>
      <c r="AS81" s="94"/>
      <c r="AT81" s="94" t="s">
        <v>16</v>
      </c>
      <c r="AU81" s="94">
        <v>9224933.0199999996</v>
      </c>
      <c r="AV81" s="94">
        <v>6601</v>
      </c>
      <c r="AW81" s="94" t="s">
        <v>16</v>
      </c>
      <c r="AX81" s="94">
        <v>9224933.0199999996</v>
      </c>
      <c r="AY81" s="94">
        <v>6603.39</v>
      </c>
      <c r="AZ81" s="94" t="s">
        <v>111</v>
      </c>
      <c r="BA81" s="94">
        <v>7195447.7599999998</v>
      </c>
      <c r="BB81" s="94" t="s">
        <v>99</v>
      </c>
      <c r="BC81" s="94">
        <v>-1107038.0900000001</v>
      </c>
      <c r="BD81" s="94">
        <v>-792.44</v>
      </c>
      <c r="BE81" s="60">
        <f t="array" ref="BE81">IFERROR(INDEX('Com&amp;tax'!$E$2:$E$5, MATCH(1, ('Com&amp;tax'!$A$2:$A$5=B81)*('Com&amp;tax'!$B$2:$B$5=G81), 0)),"")</f>
        <v>0.15</v>
      </c>
      <c r="BF81" s="58">
        <f t="shared" si="162"/>
        <v>1383739.953</v>
      </c>
      <c r="BG81" s="58">
        <f t="array" aca="1" ref="BG81" ca="1">IF(A81="","",( IFERROR((O81/ INDEX(er!$D$3:$D$75,MATCH(1, (er!$A$3:$A$75=$BG$2)*(er!$C$3:$C$75=Q81), 0)))*BE81,"")))</f>
        <v>990.50819828203282</v>
      </c>
      <c r="BH81" s="58">
        <f t="shared" si="163"/>
        <v>-1383739.953</v>
      </c>
      <c r="BI81" s="59">
        <f t="array" ref="BI81">IFERROR(INDEX('Com&amp;tax'!$F$2:$F$5, MATCH(1, ('Com&amp;tax'!$A$2:$A$5=B81)*('Com&amp;tax'!$B$2:$B$5=Y81), 0)),0)</f>
        <v>4.9000000000000002E-2</v>
      </c>
      <c r="BJ81" s="58">
        <f t="shared" si="164"/>
        <v>384218.46028300002</v>
      </c>
      <c r="BK81" s="58">
        <f t="array" aca="1" ref="BK81" ca="1">IF(A81="","",( IFERROR((J81*(1-BE81))*BI81/INDEX(er!D:D, MATCH(Q81,er!C:C,0),1),0)))</f>
        <v>275.03110972297782</v>
      </c>
      <c r="BL81" s="60">
        <f t="array" ref="BL81">IFERROR(INDEX('Com&amp;tax'!$G$2:$G$5, MATCH(1, ('Com&amp;tax'!$A$2:$A$5=B81)*('Com&amp;tax'!$B$2:$B$5=Y81), 0)),0)</f>
        <v>0.1575</v>
      </c>
      <c r="BM81" s="58">
        <f t="shared" si="165"/>
        <v>1234987.9080524999</v>
      </c>
      <c r="BN81" s="58">
        <f t="array" aca="1" ref="BN81" ca="1">IF(A81="","",( IFERROR((J81*(1-BE81))*BL81/INDEX(er!D:D, MATCH(Q81,er!C:C,0),1),0)))</f>
        <v>884.02856696671427</v>
      </c>
      <c r="BO81" s="60">
        <f t="array" ref="BO81">IFERROR(INDEX('Com&amp;tax'!$H$2:$H$5, MATCH(1, ('Com&amp;tax'!$A$2:$A$5=B81)*('Com&amp;tax'!$B$2:$B$5=Y81), 0)),0)</f>
        <v>0</v>
      </c>
      <c r="BP81" s="58">
        <f t="shared" si="166"/>
        <v>0</v>
      </c>
      <c r="BQ81" s="58">
        <f t="array" aca="1" ref="BQ81" ca="1">IF(A81="","",( IFERROR(J81*BO81/INDEX(er!D:D, MATCH(Q81,er!C:C,0),1),0)))</f>
        <v>0</v>
      </c>
      <c r="BR81" s="108">
        <f t="array" ref="BR81">IFERROR(INDEX('Com&amp;tax'!$F$2:$F$5, MATCH(1, ('Com&amp;tax'!$A$2:$A$5=B81)*('Com&amp;tax'!$D$2:$D$5=H81), 0)),0)</f>
        <v>4.9000000000000002E-2</v>
      </c>
      <c r="BS81" s="109">
        <f t="shared" si="167"/>
        <v>384218.46028300002</v>
      </c>
      <c r="BT81" s="109">
        <f t="array" aca="1" ref="BT81" ca="1">IF(A81="","",( IFERROR((J81*(1-BE81))*BR81/INDEX(er!D:D, MATCH(Q81,er!C:C,0),1),0)))</f>
        <v>275.03110972297782</v>
      </c>
      <c r="BU81" s="108">
        <f t="array" ref="BU81">IFERROR(INDEX('Com&amp;tax'!$G$2:$G$5, MATCH(1, ('Com&amp;tax'!$A$2:$A$5=B81)*('Com&amp;tax'!$D$2:$D$5=H81), 0)),0)</f>
        <v>0.1575</v>
      </c>
      <c r="BV81" s="109">
        <f t="shared" si="168"/>
        <v>1234987.9080524999</v>
      </c>
      <c r="BW81" s="109">
        <f t="array" aca="1" ref="BW81" ca="1">IF(A81="","",( IFERROR((J81*(1-BE81))*BU81/INDEX(er!D:D, MATCH(Q81,er!C:C,0),1),0)))</f>
        <v>884.02856696671427</v>
      </c>
      <c r="BX81" s="108">
        <f t="array" ref="BX81">IFERROR(INDEX('Com&amp;tax'!$H$2:$H$5, MATCH(1, ('Com&amp;tax'!$A$2:$A$5=B81)*('Com&amp;tax'!$D$2:$D$5=H81), 0)),0)</f>
        <v>0</v>
      </c>
      <c r="BY81" s="109">
        <f t="shared" si="169"/>
        <v>0</v>
      </c>
      <c r="BZ81" s="109">
        <f t="array" aca="1" ref="BZ81" ca="1">IF(A81="","",( IFERROR(J81*BX81/INDEX(er!D:D, MATCH(Q81,er!C:C,0),1),0)))</f>
        <v>0</v>
      </c>
      <c r="CA81" s="96">
        <f t="array" aca="1" ref="CA81" ca="1">IF(A81="","",( IFERROR(1-((P81/ INDEX(er!$D$3:$D$75,MATCH(1, (er!$A$3:$A$75=$BG$2)*(er!$C$3:$C$75=Q81), 0))   /  (J81/ INDEX(er!$D$3:$D$75,MATCH(1, (er!$A$3:$A$75=$BG$2)*(er!$C$3:$C$75=L81), 0))))),"")))</f>
        <v>0.34000499984118038</v>
      </c>
      <c r="CB81" s="96">
        <f t="shared" si="170"/>
        <v>0.21999999952303173</v>
      </c>
      <c r="CC81" s="111">
        <f t="shared" ca="1" si="171"/>
        <v>0.12000500031814865</v>
      </c>
      <c r="CD81" s="110">
        <f t="shared" ref="CD81:CE81" si="183">BJ81+BM81-BS81-BV81</f>
        <v>0</v>
      </c>
      <c r="CE81" s="110">
        <f t="shared" ca="1" si="183"/>
        <v>0</v>
      </c>
      <c r="CF81" s="110">
        <f t="shared" ca="1" si="173"/>
        <v>-792.44</v>
      </c>
      <c r="CG81" s="8" t="str">
        <f t="shared" si="174"/>
        <v>Incorrect</v>
      </c>
      <c r="CH81" s="8"/>
      <c r="CI81" t="s">
        <v>1942</v>
      </c>
      <c r="CK81" s="240">
        <v>1619206.3683354999</v>
      </c>
      <c r="CL81" s="239">
        <f ca="1">(AI81+CK81)/INDEX(er!D:D,MATCH(AC81,er!C:C,0),1)</f>
        <v>366.620099023264</v>
      </c>
      <c r="CN81" s="239">
        <f ca="1">CK81/INDEX(er!D:D,MATCH(AC81,er!C:C,0),1)</f>
        <v>1159.0596766896922</v>
      </c>
    </row>
    <row r="82" spans="1:92" ht="12.5" x14ac:dyDescent="0.25">
      <c r="A82" s="93" t="s">
        <v>384</v>
      </c>
      <c r="B82" s="93" t="s">
        <v>96</v>
      </c>
      <c r="C82" s="93" t="s">
        <v>103</v>
      </c>
      <c r="D82" s="93" t="s">
        <v>385</v>
      </c>
      <c r="E82" s="93"/>
      <c r="F82" s="93"/>
      <c r="G82" s="94" t="s">
        <v>107</v>
      </c>
      <c r="H82" s="93" t="s">
        <v>436</v>
      </c>
      <c r="I82" s="94" t="s">
        <v>107</v>
      </c>
      <c r="J82" s="94">
        <v>232244.92</v>
      </c>
      <c r="K82" s="94">
        <v>232244.92</v>
      </c>
      <c r="L82" s="94" t="s">
        <v>111</v>
      </c>
      <c r="M82" s="94">
        <v>232244.92</v>
      </c>
      <c r="N82" s="94" t="s">
        <v>111</v>
      </c>
      <c r="O82" s="94">
        <v>232244.92</v>
      </c>
      <c r="P82" s="94">
        <v>140386.26</v>
      </c>
      <c r="Q82" s="93" t="s">
        <v>111</v>
      </c>
      <c r="R82" s="94" t="s">
        <v>105</v>
      </c>
      <c r="S82" s="94"/>
      <c r="T82" s="94"/>
      <c r="U82" s="94">
        <v>0</v>
      </c>
      <c r="V82" s="93" t="s">
        <v>94</v>
      </c>
      <c r="W82" s="8" t="s">
        <v>98</v>
      </c>
      <c r="X82" s="94" t="s">
        <v>103</v>
      </c>
      <c r="Y82" s="94" t="s">
        <v>107</v>
      </c>
      <c r="Z82" s="94" t="s">
        <v>105</v>
      </c>
      <c r="AA82" s="94" t="s">
        <v>111</v>
      </c>
      <c r="AB82" s="94">
        <v>232244.92</v>
      </c>
      <c r="AC82" s="94" t="s">
        <v>111</v>
      </c>
      <c r="AD82" s="94">
        <v>181151.04</v>
      </c>
      <c r="AE82" s="94">
        <v>22</v>
      </c>
      <c r="AF82" s="94" t="s">
        <v>99</v>
      </c>
      <c r="AG82" s="94">
        <v>0</v>
      </c>
      <c r="AH82" s="94">
        <v>0</v>
      </c>
      <c r="AI82" s="94">
        <v>-40764.78</v>
      </c>
      <c r="AJ82" s="94">
        <v>-29.18</v>
      </c>
      <c r="AK82" s="94">
        <v>0.39552494840360775</v>
      </c>
      <c r="AL82" s="94" t="s">
        <v>99</v>
      </c>
      <c r="AM82" s="93" t="s">
        <v>547</v>
      </c>
      <c r="AN82" s="94"/>
      <c r="AO82" s="94" t="s">
        <v>16</v>
      </c>
      <c r="AP82" s="94" t="s">
        <v>16</v>
      </c>
      <c r="AQ82" s="94"/>
      <c r="AR82" s="94" t="s">
        <v>16</v>
      </c>
      <c r="AS82" s="94"/>
      <c r="AT82" s="94" t="s">
        <v>16</v>
      </c>
      <c r="AU82" s="94">
        <v>232244.92</v>
      </c>
      <c r="AV82" s="94">
        <v>164</v>
      </c>
      <c r="AW82" s="94" t="s">
        <v>16</v>
      </c>
      <c r="AX82" s="94">
        <v>232244.92</v>
      </c>
      <c r="AY82" s="94">
        <v>166.25</v>
      </c>
      <c r="AZ82" s="94" t="s">
        <v>111</v>
      </c>
      <c r="BA82" s="94">
        <v>181151.04</v>
      </c>
      <c r="BB82" s="94" t="s">
        <v>99</v>
      </c>
      <c r="BC82" s="94">
        <v>-40764.78</v>
      </c>
      <c r="BD82" s="94">
        <v>-29.18</v>
      </c>
      <c r="BE82" s="60">
        <f t="array" ref="BE82">IFERROR(INDEX('Com&amp;tax'!$E$2:$E$5, MATCH(1, ('Com&amp;tax'!$A$2:$A$5=B82)*('Com&amp;tax'!$B$2:$B$5=G82), 0)),"")</f>
        <v>0.15</v>
      </c>
      <c r="BF82" s="58">
        <f t="shared" si="162"/>
        <v>34836.737999999998</v>
      </c>
      <c r="BG82" s="58">
        <f t="array" aca="1" ref="BG82" ca="1">IF(A82="","",( IFERROR((O82/ INDEX(er!$D$3:$D$75,MATCH(1, (er!$A$3:$A$75=$BG$2)*(er!$C$3:$C$75=Q82), 0)))*BE82,"")))</f>
        <v>24.936820329277023</v>
      </c>
      <c r="BH82" s="58">
        <f t="shared" si="163"/>
        <v>-34836.737999999998</v>
      </c>
      <c r="BI82" s="59">
        <f t="array" ref="BI82">IFERROR(INDEX('Com&amp;tax'!$F$2:$F$5, MATCH(1, ('Com&amp;tax'!$A$2:$A$5=B82)*('Com&amp;tax'!$B$2:$B$5=Y82), 0)),0)</f>
        <v>4.9000000000000002E-2</v>
      </c>
      <c r="BJ82" s="58">
        <f t="shared" si="164"/>
        <v>9673.0009179999997</v>
      </c>
      <c r="BK82" s="58">
        <f t="array" aca="1" ref="BK82" ca="1">IF(A82="","",( IFERROR((J82*(1-BE82))*BI82/INDEX(er!D:D, MATCH(Q82,er!C:C,0),1),0)))</f>
        <v>6.9241237780959199</v>
      </c>
      <c r="BL82" s="60">
        <f t="array" ref="BL82">IFERROR(INDEX('Com&amp;tax'!$G$2:$G$5, MATCH(1, ('Com&amp;tax'!$A$2:$A$5=B82)*('Com&amp;tax'!$B$2:$B$5=Y82), 0)),0)</f>
        <v>0.1575</v>
      </c>
      <c r="BM82" s="58">
        <f t="shared" si="165"/>
        <v>31091.788665</v>
      </c>
      <c r="BN82" s="58">
        <f t="array" aca="1" ref="BN82" ca="1">IF(A82="","",( IFERROR((J82*(1-BE82))*BL82/INDEX(er!D:D, MATCH(Q82,er!C:C,0),1),0)))</f>
        <v>22.256112143879744</v>
      </c>
      <c r="BO82" s="60">
        <f t="array" ref="BO82">IFERROR(INDEX('Com&amp;tax'!$H$2:$H$5, MATCH(1, ('Com&amp;tax'!$A$2:$A$5=B82)*('Com&amp;tax'!$B$2:$B$5=Y82), 0)),0)</f>
        <v>7.0000000000000007E-2</v>
      </c>
      <c r="BP82" s="58">
        <f t="shared" si="166"/>
        <v>16257.144400000003</v>
      </c>
      <c r="BQ82" s="58">
        <f t="array" aca="1" ref="BQ82" ca="1">IF(A82="","",( IFERROR(J82*BO82/INDEX(er!D:D, MATCH(Q82,er!C:C,0),1),0)))</f>
        <v>11.637182820329279</v>
      </c>
      <c r="BR82" s="108">
        <f t="array" ref="BR82">IFERROR(INDEX('Com&amp;tax'!$F$2:$F$5, MATCH(1, ('Com&amp;tax'!$A$2:$A$5=B82)*('Com&amp;tax'!$D$2:$D$5=H82), 0)),0)</f>
        <v>4.9000000000000002E-2</v>
      </c>
      <c r="BS82" s="109">
        <f t="shared" si="167"/>
        <v>9673.0009179999997</v>
      </c>
      <c r="BT82" s="109">
        <f t="array" aca="1" ref="BT82" ca="1">IF(A82="","",( IFERROR((J82*(1-BE82))*BR82/INDEX(er!D:D, MATCH(Q82,er!C:C,0),1),0)))</f>
        <v>6.9241237780959199</v>
      </c>
      <c r="BU82" s="108">
        <f t="array" ref="BU82">IFERROR(INDEX('Com&amp;tax'!$G$2:$G$5, MATCH(1, ('Com&amp;tax'!$A$2:$A$5=B82)*('Com&amp;tax'!$D$2:$D$5=H82), 0)),0)</f>
        <v>0.1575</v>
      </c>
      <c r="BV82" s="109">
        <f t="shared" si="168"/>
        <v>31091.788665</v>
      </c>
      <c r="BW82" s="109">
        <f t="array" aca="1" ref="BW82" ca="1">IF(A82="","",( IFERROR((J82*(1-BE82))*BU82/INDEX(er!D:D, MATCH(Q82,er!C:C,0),1),0)))</f>
        <v>22.256112143879744</v>
      </c>
      <c r="BX82" s="108">
        <f t="array" ref="BX82">IFERROR(INDEX('Com&amp;tax'!$H$2:$H$5, MATCH(1, ('Com&amp;tax'!$A$2:$A$5=B82)*('Com&amp;tax'!$D$2:$D$5=H82), 0)),0)</f>
        <v>7.0000000000000007E-2</v>
      </c>
      <c r="BY82" s="109">
        <f t="shared" si="169"/>
        <v>16257.144400000003</v>
      </c>
      <c r="BZ82" s="109">
        <f t="array" aca="1" ref="BZ82" ca="1">IF(A82="","",( IFERROR(J82*BX82/INDEX(er!D:D, MATCH(Q82,er!C:C,0),1),0)))</f>
        <v>11.637182820329279</v>
      </c>
      <c r="CA82" s="96">
        <f t="array" aca="1" ref="CA82" ca="1">IF(A82="","",( IFERROR(1-((P82/ INDEX(er!$D$3:$D$75,MATCH(1, (er!$A$3:$A$75=$BG$2)*(er!$C$3:$C$75=Q82), 0))   /  (J82/ INDEX(er!$D$3:$D$75,MATCH(1, (er!$A$3:$A$75=$BG$2)*(er!$C$3:$C$75=L82), 0))))),"")))</f>
        <v>0.39552494840360775</v>
      </c>
      <c r="CB82" s="96">
        <f t="shared" si="170"/>
        <v>0.21999998966608181</v>
      </c>
      <c r="CC82" s="111">
        <f t="shared" ca="1" si="171"/>
        <v>0.17552495873752594</v>
      </c>
      <c r="CD82" s="110">
        <f t="shared" ref="CD82:CE82" si="184">BJ82+BM82-BS82-BV82</f>
        <v>0</v>
      </c>
      <c r="CE82" s="110">
        <f t="shared" ca="1" si="184"/>
        <v>0</v>
      </c>
      <c r="CF82" s="110">
        <f t="shared" ca="1" si="173"/>
        <v>-29.18</v>
      </c>
      <c r="CG82" s="8" t="str">
        <f t="shared" si="174"/>
        <v>Incorrect</v>
      </c>
      <c r="CH82" s="8"/>
      <c r="CI82" t="s">
        <v>2317</v>
      </c>
      <c r="CK82" s="240">
        <v>40764.789582999998</v>
      </c>
      <c r="CL82" s="239">
        <f ca="1">(AI82+CK82)/INDEX(er!D:D,MATCH(AC82,er!C:C,0),1)</f>
        <v>6.8596993551260216E-6</v>
      </c>
      <c r="CN82" s="239">
        <f ca="1">CK82/INDEX(er!D:D,MATCH(AC82,er!C:C,0),1)</f>
        <v>29.180235921975662</v>
      </c>
    </row>
    <row r="83" spans="1:92" ht="12.5" x14ac:dyDescent="0.25">
      <c r="A83" s="93" t="s">
        <v>387</v>
      </c>
      <c r="B83" s="93" t="s">
        <v>96</v>
      </c>
      <c r="C83" s="93" t="s">
        <v>103</v>
      </c>
      <c r="D83" s="93" t="s">
        <v>388</v>
      </c>
      <c r="E83" s="93"/>
      <c r="F83" s="93"/>
      <c r="G83" s="94" t="s">
        <v>107</v>
      </c>
      <c r="H83" s="93" t="s">
        <v>436</v>
      </c>
      <c r="I83" s="94" t="s">
        <v>107</v>
      </c>
      <c r="J83" s="94">
        <v>298515.78999999998</v>
      </c>
      <c r="K83" s="94">
        <v>298515.78999999998</v>
      </c>
      <c r="L83" s="94" t="s">
        <v>111</v>
      </c>
      <c r="M83" s="94">
        <v>298515.78999999998</v>
      </c>
      <c r="N83" s="94" t="s">
        <v>111</v>
      </c>
      <c r="O83" s="94">
        <v>298515.78999999998</v>
      </c>
      <c r="P83" s="94">
        <v>180445.34</v>
      </c>
      <c r="Q83" s="93" t="s">
        <v>111</v>
      </c>
      <c r="R83" s="94" t="s">
        <v>105</v>
      </c>
      <c r="S83" s="94"/>
      <c r="T83" s="94"/>
      <c r="U83" s="94">
        <v>0</v>
      </c>
      <c r="V83" s="93" t="s">
        <v>94</v>
      </c>
      <c r="W83" s="8" t="s">
        <v>98</v>
      </c>
      <c r="X83" s="94" t="s">
        <v>103</v>
      </c>
      <c r="Y83" s="94" t="s">
        <v>107</v>
      </c>
      <c r="Z83" s="94" t="s">
        <v>105</v>
      </c>
      <c r="AA83" s="94" t="s">
        <v>111</v>
      </c>
      <c r="AB83" s="94">
        <v>298515.78999999998</v>
      </c>
      <c r="AC83" s="94" t="s">
        <v>111</v>
      </c>
      <c r="AD83" s="94">
        <v>232842.32</v>
      </c>
      <c r="AE83" s="94">
        <v>22</v>
      </c>
      <c r="AF83" s="94" t="s">
        <v>99</v>
      </c>
      <c r="AG83" s="94">
        <v>0</v>
      </c>
      <c r="AH83" s="94">
        <v>0</v>
      </c>
      <c r="AI83" s="94">
        <v>-52396.98</v>
      </c>
      <c r="AJ83" s="94">
        <v>-37.51</v>
      </c>
      <c r="AK83" s="94">
        <v>0.39552497373757012</v>
      </c>
      <c r="AL83" s="94" t="s">
        <v>99</v>
      </c>
      <c r="AM83" s="93" t="s">
        <v>548</v>
      </c>
      <c r="AN83" s="94"/>
      <c r="AO83" s="94" t="s">
        <v>16</v>
      </c>
      <c r="AP83" s="94" t="s">
        <v>16</v>
      </c>
      <c r="AQ83" s="94"/>
      <c r="AR83" s="94" t="s">
        <v>16</v>
      </c>
      <c r="AS83" s="94"/>
      <c r="AT83" s="94" t="s">
        <v>16</v>
      </c>
      <c r="AU83" s="94">
        <v>298515.78999999998</v>
      </c>
      <c r="AV83" s="94">
        <v>212</v>
      </c>
      <c r="AW83" s="94" t="s">
        <v>16</v>
      </c>
      <c r="AX83" s="94">
        <v>298515.78999999998</v>
      </c>
      <c r="AY83" s="94">
        <v>213.68</v>
      </c>
      <c r="AZ83" s="94" t="s">
        <v>111</v>
      </c>
      <c r="BA83" s="94">
        <v>232842.32</v>
      </c>
      <c r="BB83" s="94" t="s">
        <v>99</v>
      </c>
      <c r="BC83" s="94">
        <v>-52396.98</v>
      </c>
      <c r="BD83" s="94">
        <v>-37.51</v>
      </c>
      <c r="BE83" s="60">
        <f t="array" ref="BE83">IFERROR(INDEX('Com&amp;tax'!$E$2:$E$5, MATCH(1, ('Com&amp;tax'!$A$2:$A$5=B83)*('Com&amp;tax'!$B$2:$B$5=G83), 0)),"")</f>
        <v>0.15</v>
      </c>
      <c r="BF83" s="58">
        <f t="shared" si="162"/>
        <v>44777.368499999997</v>
      </c>
      <c r="BG83" s="58">
        <f t="array" aca="1" ref="BG83" ca="1">IF(A83="","",( IFERROR((O83/ INDEX(er!$D$3:$D$75,MATCH(1, (er!$A$3:$A$75=$BG$2)*(er!$C$3:$C$75=Q83), 0)))*BE83,"")))</f>
        <v>32.052518611309942</v>
      </c>
      <c r="BH83" s="58">
        <f t="shared" si="163"/>
        <v>-44777.368499999997</v>
      </c>
      <c r="BI83" s="59">
        <f t="array" ref="BI83">IFERROR(INDEX('Com&amp;tax'!$F$2:$F$5, MATCH(1, ('Com&amp;tax'!$A$2:$A$5=B83)*('Com&amp;tax'!$B$2:$B$5=Y83), 0)),0)</f>
        <v>4.9000000000000002E-2</v>
      </c>
      <c r="BJ83" s="58">
        <f t="shared" si="164"/>
        <v>12433.182653499998</v>
      </c>
      <c r="BK83" s="58">
        <f t="array" aca="1" ref="BK83" ca="1">IF(A83="","",( IFERROR((J83*(1-BE83))*BI83/INDEX(er!D:D, MATCH(Q83,er!C:C,0),1),0)))</f>
        <v>8.8999160010737288</v>
      </c>
      <c r="BL83" s="60">
        <f t="array" ref="BL83">IFERROR(INDEX('Com&amp;tax'!$G$2:$G$5, MATCH(1, ('Com&amp;tax'!$A$2:$A$5=B83)*('Com&amp;tax'!$B$2:$B$5=Y83), 0)),0)</f>
        <v>0.1575</v>
      </c>
      <c r="BM83" s="58">
        <f t="shared" si="165"/>
        <v>39963.801386249994</v>
      </c>
      <c r="BN83" s="58">
        <f t="array" aca="1" ref="BN83" ca="1">IF(A83="","",( IFERROR((J83*(1-BE83))*BL83/INDEX(er!D:D, MATCH(Q83,er!C:C,0),1),0)))</f>
        <v>28.606872860594127</v>
      </c>
      <c r="BO83" s="60">
        <f t="array" ref="BO83">IFERROR(INDEX('Com&amp;tax'!$H$2:$H$5, MATCH(1, ('Com&amp;tax'!$A$2:$A$5=B83)*('Com&amp;tax'!$B$2:$B$5=Y83), 0)),0)</f>
        <v>7.0000000000000007E-2</v>
      </c>
      <c r="BP83" s="58">
        <f t="shared" si="166"/>
        <v>20896.105299999999</v>
      </c>
      <c r="BQ83" s="58">
        <f t="array" aca="1" ref="BQ83" ca="1">IF(A83="","",( IFERROR(J83*BO83/INDEX(er!D:D, MATCH(Q83,er!C:C,0),1),0)))</f>
        <v>14.957842018611309</v>
      </c>
      <c r="BR83" s="108">
        <f t="array" ref="BR83">IFERROR(INDEX('Com&amp;tax'!$F$2:$F$5, MATCH(1, ('Com&amp;tax'!$A$2:$A$5=B83)*('Com&amp;tax'!$D$2:$D$5=H83), 0)),0)</f>
        <v>4.9000000000000002E-2</v>
      </c>
      <c r="BS83" s="109">
        <f t="shared" si="167"/>
        <v>12433.182653499998</v>
      </c>
      <c r="BT83" s="109">
        <f t="array" aca="1" ref="BT83" ca="1">IF(A83="","",( IFERROR((J83*(1-BE83))*BR83/INDEX(er!D:D, MATCH(Q83,er!C:C,0),1),0)))</f>
        <v>8.8999160010737288</v>
      </c>
      <c r="BU83" s="108">
        <f t="array" ref="BU83">IFERROR(INDEX('Com&amp;tax'!$G$2:$G$5, MATCH(1, ('Com&amp;tax'!$A$2:$A$5=B83)*('Com&amp;tax'!$D$2:$D$5=H83), 0)),0)</f>
        <v>0.1575</v>
      </c>
      <c r="BV83" s="109">
        <f t="shared" si="168"/>
        <v>39963.801386249994</v>
      </c>
      <c r="BW83" s="109">
        <f t="array" aca="1" ref="BW83" ca="1">IF(A83="","",( IFERROR((J83*(1-BE83))*BU83/INDEX(er!D:D, MATCH(Q83,er!C:C,0),1),0)))</f>
        <v>28.606872860594127</v>
      </c>
      <c r="BX83" s="108">
        <f t="array" ref="BX83">IFERROR(INDEX('Com&amp;tax'!$H$2:$H$5, MATCH(1, ('Com&amp;tax'!$A$2:$A$5=B83)*('Com&amp;tax'!$D$2:$D$5=H83), 0)),0)</f>
        <v>7.0000000000000007E-2</v>
      </c>
      <c r="BY83" s="109">
        <f t="shared" si="169"/>
        <v>20896.105299999999</v>
      </c>
      <c r="BZ83" s="109">
        <f t="array" aca="1" ref="BZ83" ca="1">IF(A83="","",( IFERROR(J83*BX83/INDEX(er!D:D, MATCH(Q83,er!C:C,0),1),0)))</f>
        <v>14.957842018611309</v>
      </c>
      <c r="CA83" s="96">
        <f t="array" aca="1" ref="CA83" ca="1">IF(A83="","",( IFERROR(1-((P83/ INDEX(er!$D$3:$D$75,MATCH(1, (er!$A$3:$A$75=$BG$2)*(er!$C$3:$C$75=Q83), 0))   /  (J83/ INDEX(er!$D$3:$D$75,MATCH(1, (er!$A$3:$A$75=$BG$2)*(er!$C$3:$C$75=L83), 0))))),"")))</f>
        <v>0.39552497373757012</v>
      </c>
      <c r="CB83" s="96">
        <f t="shared" si="170"/>
        <v>0.21999998727035508</v>
      </c>
      <c r="CC83" s="111">
        <f t="shared" ca="1" si="171"/>
        <v>0.17552498646721504</v>
      </c>
      <c r="CD83" s="110">
        <f t="shared" ref="CD83:CE83" si="185">BJ83+BM83-BS83-BV83</f>
        <v>0</v>
      </c>
      <c r="CE83" s="110">
        <f t="shared" ca="1" si="185"/>
        <v>0</v>
      </c>
      <c r="CF83" s="110">
        <f t="shared" ca="1" si="173"/>
        <v>-37.51</v>
      </c>
      <c r="CG83" s="8" t="str">
        <f t="shared" si="174"/>
        <v>Incorrect</v>
      </c>
      <c r="CH83" s="8"/>
      <c r="CI83" t="s">
        <v>2317</v>
      </c>
      <c r="CK83" s="240">
        <v>52396.984039749994</v>
      </c>
      <c r="CL83" s="239">
        <f ca="1">(AI83+CK83)/INDEX(er!D:D,MATCH(AC83,er!C:C,0),1)</f>
        <v>2.8917322767536446E-6</v>
      </c>
      <c r="CN83" s="239">
        <f ca="1">CK83/INDEX(er!D:D,MATCH(AC83,er!C:C,0),1)</f>
        <v>37.506788861667857</v>
      </c>
    </row>
    <row r="84" spans="1:92" ht="12.5" x14ac:dyDescent="0.25">
      <c r="A84" s="93" t="s">
        <v>390</v>
      </c>
      <c r="B84" s="93" t="s">
        <v>96</v>
      </c>
      <c r="C84" s="93" t="s">
        <v>103</v>
      </c>
      <c r="D84" s="93" t="s">
        <v>312</v>
      </c>
      <c r="E84" s="93"/>
      <c r="F84" s="93"/>
      <c r="G84" s="94" t="s">
        <v>107</v>
      </c>
      <c r="H84" s="93" t="s">
        <v>436</v>
      </c>
      <c r="I84" s="94" t="s">
        <v>107</v>
      </c>
      <c r="J84" s="94">
        <v>343.25</v>
      </c>
      <c r="K84" s="94">
        <v>343.25</v>
      </c>
      <c r="L84" s="94" t="s">
        <v>111</v>
      </c>
      <c r="M84" s="94">
        <v>343.25</v>
      </c>
      <c r="N84" s="94" t="s">
        <v>111</v>
      </c>
      <c r="O84" s="94">
        <v>343.25</v>
      </c>
      <c r="P84" s="94">
        <v>207.49</v>
      </c>
      <c r="Q84" s="93" t="s">
        <v>111</v>
      </c>
      <c r="R84" s="94" t="s">
        <v>105</v>
      </c>
      <c r="S84" s="94"/>
      <c r="T84" s="94"/>
      <c r="U84" s="94">
        <v>0</v>
      </c>
      <c r="V84" s="93" t="s">
        <v>94</v>
      </c>
      <c r="W84" t="s">
        <v>98</v>
      </c>
      <c r="X84" s="94" t="s">
        <v>103</v>
      </c>
      <c r="Y84" s="94" t="s">
        <v>107</v>
      </c>
      <c r="Z84" s="94" t="s">
        <v>105</v>
      </c>
      <c r="AA84" s="94" t="s">
        <v>111</v>
      </c>
      <c r="AB84" s="94">
        <v>343.25</v>
      </c>
      <c r="AC84" s="94" t="s">
        <v>111</v>
      </c>
      <c r="AD84" s="94">
        <v>267.73</v>
      </c>
      <c r="AE84" s="94">
        <v>22</v>
      </c>
      <c r="AF84" s="94" t="s">
        <v>99</v>
      </c>
      <c r="AG84" s="94">
        <v>0</v>
      </c>
      <c r="AH84" s="94">
        <v>0</v>
      </c>
      <c r="AI84" s="94">
        <v>-60.24</v>
      </c>
      <c r="AJ84" s="94">
        <v>-0.04</v>
      </c>
      <c r="AK84" s="94">
        <v>0.39551347414420979</v>
      </c>
      <c r="AL84" s="94" t="s">
        <v>99</v>
      </c>
      <c r="AM84" s="93" t="s">
        <v>549</v>
      </c>
      <c r="AN84" s="94"/>
      <c r="AO84" s="94" t="s">
        <v>16</v>
      </c>
      <c r="AP84" s="94" t="s">
        <v>16</v>
      </c>
      <c r="AQ84" s="94"/>
      <c r="AR84" s="94" t="s">
        <v>16</v>
      </c>
      <c r="AS84" s="94"/>
      <c r="AT84" s="94" t="s">
        <v>16</v>
      </c>
      <c r="AU84" s="94">
        <v>343.25</v>
      </c>
      <c r="AV84" s="94">
        <v>-2</v>
      </c>
      <c r="AW84" s="94" t="s">
        <v>16</v>
      </c>
      <c r="AX84" s="94">
        <v>343.25</v>
      </c>
      <c r="AY84" s="94">
        <v>0.25</v>
      </c>
      <c r="AZ84" s="94" t="s">
        <v>111</v>
      </c>
      <c r="BA84" s="94">
        <v>267.73</v>
      </c>
      <c r="BB84" s="94" t="s">
        <v>99</v>
      </c>
      <c r="BC84" s="94">
        <v>-60.24</v>
      </c>
      <c r="BD84" s="94">
        <v>-0.04</v>
      </c>
      <c r="BE84" s="60">
        <v>0.15</v>
      </c>
      <c r="BF84" s="58">
        <v>51.487499999999997</v>
      </c>
      <c r="BG84" s="58">
        <v>3.6855762347888329E-2</v>
      </c>
      <c r="BH84" s="58">
        <v>-51.487499999999997</v>
      </c>
      <c r="BI84" s="59">
        <v>4.9000000000000002E-2</v>
      </c>
      <c r="BJ84" s="58">
        <v>14.296362500000001</v>
      </c>
      <c r="BK84" s="58">
        <v>1.0233616678596994E-2</v>
      </c>
      <c r="BL84" s="60">
        <v>0.1575</v>
      </c>
      <c r="BM84" s="58">
        <v>45.952593749999998</v>
      </c>
      <c r="BN84" s="58">
        <v>3.2893767895490332E-2</v>
      </c>
      <c r="BO84" s="60">
        <v>7.0000000000000007E-2</v>
      </c>
      <c r="BP84" s="58">
        <v>24.027500000000003</v>
      </c>
      <c r="BQ84" s="58">
        <v>1.7199355762347889E-2</v>
      </c>
      <c r="BR84" s="108">
        <v>4.9000000000000002E-2</v>
      </c>
      <c r="BS84" s="109">
        <v>14.296362500000001</v>
      </c>
      <c r="BT84" s="109">
        <v>1.0233616678596994E-2</v>
      </c>
      <c r="BU84" s="108">
        <v>0.1575</v>
      </c>
      <c r="BV84" s="109">
        <v>45.952593749999998</v>
      </c>
      <c r="BW84" s="109">
        <v>3.2893767895490332E-2</v>
      </c>
      <c r="BX84" s="108">
        <v>7.0000000000000007E-2</v>
      </c>
      <c r="BY84" s="109">
        <v>24.027500000000003</v>
      </c>
      <c r="BZ84" s="109">
        <v>1.7199355762347889E-2</v>
      </c>
      <c r="CA84" s="96">
        <v>0.39551347414420979</v>
      </c>
      <c r="CB84" s="96">
        <v>0.22001456664238883</v>
      </c>
      <c r="CC84" s="111">
        <v>0.17549890750182096</v>
      </c>
      <c r="CD84" s="110">
        <v>0</v>
      </c>
      <c r="CE84" s="110">
        <v>0</v>
      </c>
      <c r="CF84" s="110">
        <v>-0.04</v>
      </c>
      <c r="CG84" s="8" t="s">
        <v>17</v>
      </c>
      <c r="CH84" s="8"/>
      <c r="CI84" t="s">
        <v>99</v>
      </c>
      <c r="CK84" s="240"/>
      <c r="CL84" s="239"/>
      <c r="CN84" s="239"/>
    </row>
    <row r="85" spans="1:92" ht="12.5" x14ac:dyDescent="0.25">
      <c r="A85" s="93" t="s">
        <v>391</v>
      </c>
      <c r="B85" s="93" t="s">
        <v>96</v>
      </c>
      <c r="C85" s="93" t="s">
        <v>103</v>
      </c>
      <c r="D85" s="93" t="s">
        <v>392</v>
      </c>
      <c r="E85" s="93"/>
      <c r="F85" s="93"/>
      <c r="G85" s="94" t="s">
        <v>107</v>
      </c>
      <c r="H85" s="93" t="s">
        <v>436</v>
      </c>
      <c r="I85" s="94" t="s">
        <v>107</v>
      </c>
      <c r="J85" s="94">
        <v>1585096.5</v>
      </c>
      <c r="K85" s="94">
        <v>1585096.5</v>
      </c>
      <c r="L85" s="94" t="s">
        <v>111</v>
      </c>
      <c r="M85" s="94">
        <v>1585096.5</v>
      </c>
      <c r="N85" s="94" t="s">
        <v>111</v>
      </c>
      <c r="O85" s="94">
        <v>1585096.5</v>
      </c>
      <c r="P85" s="94">
        <v>958151.27</v>
      </c>
      <c r="Q85" s="93" t="s">
        <v>111</v>
      </c>
      <c r="R85" s="94" t="s">
        <v>105</v>
      </c>
      <c r="S85" s="94"/>
      <c r="T85" s="94"/>
      <c r="U85" s="94">
        <v>0</v>
      </c>
      <c r="V85" s="93" t="s">
        <v>94</v>
      </c>
      <c r="W85" s="8" t="s">
        <v>98</v>
      </c>
      <c r="X85" s="94" t="s">
        <v>103</v>
      </c>
      <c r="Y85" s="94" t="s">
        <v>107</v>
      </c>
      <c r="Z85" s="94" t="s">
        <v>105</v>
      </c>
      <c r="AA85" s="94" t="s">
        <v>111</v>
      </c>
      <c r="AB85" s="94">
        <v>1585096.5</v>
      </c>
      <c r="AC85" s="94" t="s">
        <v>111</v>
      </c>
      <c r="AD85" s="94">
        <v>1236375.27</v>
      </c>
      <c r="AE85" s="94">
        <v>22</v>
      </c>
      <c r="AF85" s="94" t="s">
        <v>99</v>
      </c>
      <c r="AG85" s="94">
        <v>0</v>
      </c>
      <c r="AH85" s="94">
        <v>0</v>
      </c>
      <c r="AI85" s="94">
        <v>-278224</v>
      </c>
      <c r="AJ85" s="94">
        <v>-199.16</v>
      </c>
      <c r="AK85" s="94">
        <v>0.39552496015226835</v>
      </c>
      <c r="AL85" s="94" t="s">
        <v>99</v>
      </c>
      <c r="AM85" s="93" t="s">
        <v>550</v>
      </c>
      <c r="AN85" s="94"/>
      <c r="AO85" s="94" t="s">
        <v>16</v>
      </c>
      <c r="AP85" s="94" t="s">
        <v>16</v>
      </c>
      <c r="AQ85" s="94"/>
      <c r="AR85" s="94" t="s">
        <v>16</v>
      </c>
      <c r="AS85" s="94"/>
      <c r="AT85" s="94" t="s">
        <v>16</v>
      </c>
      <c r="AU85" s="94">
        <v>1585096.5</v>
      </c>
      <c r="AV85" s="94">
        <v>1133</v>
      </c>
      <c r="AW85" s="94" t="s">
        <v>16</v>
      </c>
      <c r="AX85" s="94">
        <v>1585096.5</v>
      </c>
      <c r="AY85" s="94">
        <v>1134.6400000000001</v>
      </c>
      <c r="AZ85" s="94" t="s">
        <v>111</v>
      </c>
      <c r="BA85" s="94">
        <v>1236375.27</v>
      </c>
      <c r="BB85" s="94" t="s">
        <v>99</v>
      </c>
      <c r="BC85" s="94">
        <v>-278224</v>
      </c>
      <c r="BD85" s="94">
        <v>-199.16</v>
      </c>
      <c r="BE85" s="60">
        <f t="array" ref="BE85">IFERROR(INDEX('Com&amp;tax'!$E$2:$E$5, MATCH(1, ('Com&amp;tax'!$A$2:$A$5=B85)*('Com&amp;tax'!$B$2:$B$5=G85), 0)),"")</f>
        <v>0.15</v>
      </c>
      <c r="BF85" s="58">
        <f t="shared" si="162"/>
        <v>237764.47499999998</v>
      </c>
      <c r="BG85" s="58">
        <f t="array" aca="1" ref="BG85" ca="1">IF(A85="","",( IFERROR((O85/ INDEX(er!$D$3:$D$75,MATCH(1, (er!$A$3:$A$75=$BG$2)*(er!$C$3:$C$75=Q85), 0)))*BE85,"")))</f>
        <v>170.1964745884037</v>
      </c>
      <c r="BH85" s="58">
        <f t="shared" si="163"/>
        <v>-237764.47499999998</v>
      </c>
      <c r="BI85" s="59">
        <f t="array" ref="BI85">IFERROR(INDEX('Com&amp;tax'!$F$2:$F$5, MATCH(1, ('Com&amp;tax'!$A$2:$A$5=B85)*('Com&amp;tax'!$B$2:$B$5=Y85), 0)),0)</f>
        <v>4.9000000000000002E-2</v>
      </c>
      <c r="BJ85" s="58">
        <f t="shared" si="164"/>
        <v>66019.269224999996</v>
      </c>
      <c r="BK85" s="58">
        <f t="array" aca="1" ref="BK85" ca="1">IF(A85="","",( IFERROR((J85*(1-BE85))*BI85/INDEX(er!D:D, MATCH(Q85,er!C:C,0),1),0)))</f>
        <v>47.257887777380098</v>
      </c>
      <c r="BL85" s="60">
        <f t="array" ref="BL85">IFERROR(INDEX('Com&amp;tax'!$G$2:$G$5, MATCH(1, ('Com&amp;tax'!$A$2:$A$5=B85)*('Com&amp;tax'!$B$2:$B$5=Y85), 0)),0)</f>
        <v>0.1575</v>
      </c>
      <c r="BM85" s="58">
        <f t="shared" si="165"/>
        <v>212204.79393749998</v>
      </c>
      <c r="BN85" s="58">
        <f t="array" aca="1" ref="BN85" ca="1">IF(A85="","",( IFERROR((J85*(1-BE85))*BL85/INDEX(er!D:D, MATCH(Q85,er!C:C,0),1),0)))</f>
        <v>151.90035357015032</v>
      </c>
      <c r="BO85" s="60">
        <f t="array" ref="BO85">IFERROR(INDEX('Com&amp;tax'!$H$2:$H$5, MATCH(1, ('Com&amp;tax'!$A$2:$A$5=B85)*('Com&amp;tax'!$B$2:$B$5=Y85), 0)),0)</f>
        <v>7.0000000000000007E-2</v>
      </c>
      <c r="BP85" s="58">
        <f t="shared" si="166"/>
        <v>110956.755</v>
      </c>
      <c r="BQ85" s="58">
        <f t="array" aca="1" ref="BQ85" ca="1">IF(A85="","",( IFERROR(J85*BO85/INDEX(er!D:D, MATCH(Q85,er!C:C,0),1),0)))</f>
        <v>79.425021474588405</v>
      </c>
      <c r="BR85" s="108">
        <f t="array" ref="BR85">IFERROR(INDEX('Com&amp;tax'!$F$2:$F$5, MATCH(1, ('Com&amp;tax'!$A$2:$A$5=B85)*('Com&amp;tax'!$D$2:$D$5=H85), 0)),0)</f>
        <v>4.9000000000000002E-2</v>
      </c>
      <c r="BS85" s="109">
        <f t="shared" si="167"/>
        <v>66019.269224999996</v>
      </c>
      <c r="BT85" s="109">
        <f t="array" aca="1" ref="BT85" ca="1">IF(A85="","",( IFERROR((J85*(1-BE85))*BR85/INDEX(er!D:D, MATCH(Q85,er!C:C,0),1),0)))</f>
        <v>47.257887777380098</v>
      </c>
      <c r="BU85" s="108">
        <f t="array" ref="BU85">IFERROR(INDEX('Com&amp;tax'!$G$2:$G$5, MATCH(1, ('Com&amp;tax'!$A$2:$A$5=B85)*('Com&amp;tax'!$D$2:$D$5=H85), 0)),0)</f>
        <v>0.1575</v>
      </c>
      <c r="BV85" s="109">
        <f t="shared" si="168"/>
        <v>212204.79393749998</v>
      </c>
      <c r="BW85" s="109">
        <f t="array" aca="1" ref="BW85" ca="1">IF(A85="","",( IFERROR((J85*(1-BE85))*BU85/INDEX(er!D:D, MATCH(Q85,er!C:C,0),1),0)))</f>
        <v>151.90035357015032</v>
      </c>
      <c r="BX85" s="108">
        <f t="array" ref="BX85">IFERROR(INDEX('Com&amp;tax'!$H$2:$H$5, MATCH(1, ('Com&amp;tax'!$A$2:$A$5=B85)*('Com&amp;tax'!$D$2:$D$5=H85), 0)),0)</f>
        <v>7.0000000000000007E-2</v>
      </c>
      <c r="BY85" s="109">
        <f t="shared" si="169"/>
        <v>110956.755</v>
      </c>
      <c r="BZ85" s="109">
        <f t="array" aca="1" ref="BZ85" ca="1">IF(A85="","",( IFERROR(J85*BX85/INDEX(er!D:D, MATCH(Q85,er!C:C,0),1),0)))</f>
        <v>79.425021474588405</v>
      </c>
      <c r="CA85" s="96">
        <f t="array" aca="1" ref="CA85" ca="1">IF(A85="","",( IFERROR(1-((P85/ INDEX(er!$D$3:$D$75,MATCH(1, (er!$A$3:$A$75=$BG$2)*(er!$C$3:$C$75=Q85), 0))   /  (J85/ INDEX(er!$D$3:$D$75,MATCH(1, (er!$A$3:$A$75=$BG$2)*(er!$C$3:$C$75=L85), 0))))),"")))</f>
        <v>0.39552496015226835</v>
      </c>
      <c r="CB85" s="96">
        <f t="shared" si="170"/>
        <v>0.21999999999999997</v>
      </c>
      <c r="CC85" s="111">
        <f t="shared" ca="1" si="171"/>
        <v>0.17552496015226837</v>
      </c>
      <c r="CD85" s="110">
        <f t="shared" ref="CD85:CE85" si="186">BJ85+BM85-BS85-BV85</f>
        <v>0</v>
      </c>
      <c r="CE85" s="110">
        <f t="shared" ca="1" si="186"/>
        <v>0</v>
      </c>
      <c r="CF85" s="110">
        <f t="shared" ca="1" si="173"/>
        <v>-199.16</v>
      </c>
      <c r="CG85" s="8" t="str">
        <f t="shared" si="174"/>
        <v>Incorrect</v>
      </c>
      <c r="CH85" s="8"/>
      <c r="CI85" t="s">
        <v>2317</v>
      </c>
      <c r="CK85" s="240">
        <v>278224.06316250004</v>
      </c>
      <c r="CL85" s="239">
        <f ca="1">(AI85+CK85)/INDEX(er!D:D,MATCH(AC85,er!C:C,0),1)</f>
        <v>4.521295636273659E-5</v>
      </c>
      <c r="CN85" s="239">
        <f ca="1">CK85/INDEX(er!D:D,MATCH(AC85,er!C:C,0),1)</f>
        <v>199.15824134753046</v>
      </c>
    </row>
    <row r="86" spans="1:92" ht="12.5" x14ac:dyDescent="0.25">
      <c r="A86" s="93" t="s">
        <v>394</v>
      </c>
      <c r="B86" s="93" t="s">
        <v>100</v>
      </c>
      <c r="C86" s="93" t="s">
        <v>103</v>
      </c>
      <c r="D86" s="93" t="s">
        <v>395</v>
      </c>
      <c r="E86" s="93"/>
      <c r="F86" s="93"/>
      <c r="G86" s="94" t="s">
        <v>107</v>
      </c>
      <c r="H86" s="93" t="s">
        <v>436</v>
      </c>
      <c r="I86" s="94" t="s">
        <v>107</v>
      </c>
      <c r="J86" s="94">
        <v>540391.47</v>
      </c>
      <c r="K86" s="94">
        <v>540391.47</v>
      </c>
      <c r="L86" s="94" t="s">
        <v>111</v>
      </c>
      <c r="M86" s="94">
        <v>540391.47</v>
      </c>
      <c r="N86" s="94" t="s">
        <v>111</v>
      </c>
      <c r="O86" s="94">
        <v>540391.47</v>
      </c>
      <c r="P86" s="94">
        <v>356655.67</v>
      </c>
      <c r="Q86" s="93" t="s">
        <v>111</v>
      </c>
      <c r="R86" s="94" t="s">
        <v>105</v>
      </c>
      <c r="S86" s="94"/>
      <c r="T86" s="94"/>
      <c r="U86" s="94">
        <v>0</v>
      </c>
      <c r="V86" s="93" t="s">
        <v>94</v>
      </c>
      <c r="W86" s="8" t="s">
        <v>98</v>
      </c>
      <c r="X86" s="94" t="s">
        <v>103</v>
      </c>
      <c r="Y86" s="94" t="s">
        <v>107</v>
      </c>
      <c r="Z86" s="94" t="s">
        <v>105</v>
      </c>
      <c r="AA86" s="94" t="s">
        <v>111</v>
      </c>
      <c r="AB86" s="94">
        <v>540391.47</v>
      </c>
      <c r="AC86" s="94" t="s">
        <v>111</v>
      </c>
      <c r="AD86" s="94">
        <v>421505.35</v>
      </c>
      <c r="AE86" s="94">
        <v>22</v>
      </c>
      <c r="AF86" s="94" t="s">
        <v>99</v>
      </c>
      <c r="AG86" s="94">
        <v>0</v>
      </c>
      <c r="AH86" s="94">
        <v>0</v>
      </c>
      <c r="AI86" s="94">
        <v>-64849.68</v>
      </c>
      <c r="AJ86" s="94">
        <v>-46.42</v>
      </c>
      <c r="AK86" s="94">
        <v>0.34000499674800566</v>
      </c>
      <c r="AL86" s="94" t="s">
        <v>99</v>
      </c>
      <c r="AM86" s="93" t="s">
        <v>551</v>
      </c>
      <c r="AN86" s="94"/>
      <c r="AO86" s="94" t="s">
        <v>16</v>
      </c>
      <c r="AP86" s="94" t="s">
        <v>16</v>
      </c>
      <c r="AQ86" s="94"/>
      <c r="AR86" s="94" t="s">
        <v>16</v>
      </c>
      <c r="AS86" s="94"/>
      <c r="AT86" s="94" t="s">
        <v>16</v>
      </c>
      <c r="AU86" s="94">
        <v>540391.47</v>
      </c>
      <c r="AV86" s="94">
        <v>385</v>
      </c>
      <c r="AW86" s="94" t="s">
        <v>16</v>
      </c>
      <c r="AX86" s="94">
        <v>540391.47</v>
      </c>
      <c r="AY86" s="94">
        <v>386.82</v>
      </c>
      <c r="AZ86" s="94" t="s">
        <v>111</v>
      </c>
      <c r="BA86" s="94">
        <v>421505.35</v>
      </c>
      <c r="BB86" s="94" t="s">
        <v>99</v>
      </c>
      <c r="BC86" s="94">
        <v>-64849.68</v>
      </c>
      <c r="BD86" s="94">
        <v>-46.42</v>
      </c>
      <c r="BE86" s="60">
        <f t="array" ref="BE86">IFERROR(INDEX('Com&amp;tax'!$E$2:$E$5, MATCH(1, ('Com&amp;tax'!$A$2:$A$5=B86)*('Com&amp;tax'!$B$2:$B$5=G86), 0)),"")</f>
        <v>0.15</v>
      </c>
      <c r="BF86" s="58">
        <f t="shared" ref="BF86:BF87" si="187">IF(A86="","",( IFERROR(O86*BE86,"")))</f>
        <v>81058.720499999996</v>
      </c>
      <c r="BG86" s="58">
        <f t="array" aca="1" ref="BG86" ca="1">IF(A86="","",( IFERROR((O86/ INDEX(er!$D$3:$D$75,MATCH(1, (er!$A$3:$A$75=$BG$2)*(er!$C$3:$C$75=Q86), 0)))*BE86,"")))</f>
        <v>58.023421975662131</v>
      </c>
      <c r="BH86" s="58">
        <f t="shared" ref="BH86:BH87" si="188">IF(A86="","",( IF(B86="Snapchat Rep", IF(A86="","",(P86-BF86)),-BF86)))</f>
        <v>-81058.720499999996</v>
      </c>
      <c r="BI86" s="59">
        <f t="array" ref="BI86">IFERROR(INDEX('Com&amp;tax'!$F$2:$F$5, MATCH(1, ('Com&amp;tax'!$A$2:$A$5=B86)*('Com&amp;tax'!$B$2:$B$5=Y86), 0)),0)</f>
        <v>4.9000000000000002E-2</v>
      </c>
      <c r="BJ86" s="58">
        <f t="shared" ref="BJ86:BJ87" si="189">IF(A86="","",( IFERROR((J86*(1-BE86))*BI86,0)))</f>
        <v>22507.304725499998</v>
      </c>
      <c r="BK86" s="58">
        <f t="array" aca="1" ref="BK86" ca="1">IF(A86="","",( IFERROR((J86*(1-BE86))*BI86/INDEX(er!D:D, MATCH(Q86,er!C:C,0),1),0)))</f>
        <v>16.111170168575519</v>
      </c>
      <c r="BL86" s="60">
        <f t="array" ref="BL86">IFERROR(INDEX('Com&amp;tax'!$G$2:$G$5, MATCH(1, ('Com&amp;tax'!$A$2:$A$5=B86)*('Com&amp;tax'!$B$2:$B$5=Y86), 0)),0)</f>
        <v>0.1575</v>
      </c>
      <c r="BM86" s="58">
        <f t="shared" ref="BM86:BM87" si="190">IF(A86="","",( IFERROR((J86*(1-BE86))*BL86,0)))</f>
        <v>72344.908046249999</v>
      </c>
      <c r="BN86" s="58">
        <f t="array" aca="1" ref="BN86" ca="1">IF(A86="","",( IFERROR((J86*(1-BE86))*BL86/INDEX(er!D:D, MATCH(Q86,er!C:C,0),1),0)))</f>
        <v>51.785904113278455</v>
      </c>
      <c r="BO86" s="60">
        <f t="array" ref="BO86">IFERROR(INDEX('Com&amp;tax'!$H$2:$H$5, MATCH(1, ('Com&amp;tax'!$A$2:$A$5=B86)*('Com&amp;tax'!$B$2:$B$5=Y86), 0)),0)</f>
        <v>0</v>
      </c>
      <c r="BP86" s="58">
        <f t="shared" ref="BP86:BP87" si="191">IF(A86="","",( IFERROR(J86*BO86,0)))</f>
        <v>0</v>
      </c>
      <c r="BQ86" s="58">
        <f t="array" aca="1" ref="BQ86" ca="1">IF(A86="","",( IFERROR(J86*BO86/INDEX(er!D:D, MATCH(Q86,er!C:C,0),1),0)))</f>
        <v>0</v>
      </c>
      <c r="BR86" s="108">
        <f t="array" ref="BR86">IFERROR(INDEX('Com&amp;tax'!$F$2:$F$5, MATCH(1, ('Com&amp;tax'!$A$2:$A$5=B86)*('Com&amp;tax'!$D$2:$D$5=H86), 0)),0)</f>
        <v>4.9000000000000002E-2</v>
      </c>
      <c r="BS86" s="109">
        <f t="shared" ref="BS86:BS87" si="192">IF(A86="","",( IFERROR((J86*(1-BE86))*BR86,0)))</f>
        <v>22507.304725499998</v>
      </c>
      <c r="BT86" s="109">
        <f t="array" aca="1" ref="BT86" ca="1">IF(A86="","",( IFERROR((J86*(1-BE86))*BR86/INDEX(er!D:D, MATCH(Q86,er!C:C,0),1),0)))</f>
        <v>16.111170168575519</v>
      </c>
      <c r="BU86" s="108">
        <f t="array" ref="BU86">IFERROR(INDEX('Com&amp;tax'!$G$2:$G$5, MATCH(1, ('Com&amp;tax'!$A$2:$A$5=B86)*('Com&amp;tax'!$D$2:$D$5=H86), 0)),0)</f>
        <v>0.1575</v>
      </c>
      <c r="BV86" s="109">
        <f t="shared" ref="BV86:BV87" si="193">IF(A86="","",( IFERROR((J86*(1-BE86))*BU86,0)))</f>
        <v>72344.908046249999</v>
      </c>
      <c r="BW86" s="109">
        <f t="array" aca="1" ref="BW86" ca="1">IF(A86="","",( IFERROR((J86*(1-BE86))*BU86/INDEX(er!D:D, MATCH(Q86,er!C:C,0),1),0)))</f>
        <v>51.785904113278455</v>
      </c>
      <c r="BX86" s="108">
        <f t="array" ref="BX86">IFERROR(INDEX('Com&amp;tax'!$H$2:$H$5, MATCH(1, ('Com&amp;tax'!$A$2:$A$5=B86)*('Com&amp;tax'!$D$2:$D$5=H86), 0)),0)</f>
        <v>0</v>
      </c>
      <c r="BY86" s="109">
        <f t="shared" ref="BY86:BY87" si="194">IF(A86="","",( IFERROR(J86*BX86,0)))</f>
        <v>0</v>
      </c>
      <c r="BZ86" s="109">
        <f t="array" aca="1" ref="BZ86" ca="1">IF(A86="","",( IFERROR(J86*BX86/INDEX(er!D:D, MATCH(Q86,er!C:C,0),1),0)))</f>
        <v>0</v>
      </c>
      <c r="CA86" s="96">
        <f t="array" aca="1" ref="CA86" ca="1">IF(A86="","",( IFERROR(1-((P86/ INDEX(er!$D$3:$D$75,MATCH(1, (er!$A$3:$A$75=$BG$2)*(er!$C$3:$C$75=Q86), 0))   /  (J86/ INDEX(er!$D$3:$D$75,MATCH(1, (er!$A$3:$A$75=$BG$2)*(er!$C$3:$C$75=L86), 0))))),"")))</f>
        <v>0.34000499674800566</v>
      </c>
      <c r="CB86" s="96">
        <f t="shared" ref="CB86:CB87" si="195">IF(AB86="","",1-AD86/AB86)</f>
        <v>0.21999999370826484</v>
      </c>
      <c r="CC86" s="111">
        <f t="shared" ref="CC86:CC87" ca="1" si="196">IF(AND(CA86="", CB86=""), "", CA86-CB86)</f>
        <v>0.12000500303974082</v>
      </c>
      <c r="CD86" s="110">
        <f t="shared" ref="CD86:CE86" si="197">BJ86+BM86-BS86-BV86</f>
        <v>0</v>
      </c>
      <c r="CE86" s="110">
        <f t="shared" ca="1" si="197"/>
        <v>0</v>
      </c>
      <c r="CF86" s="110">
        <f t="shared" ref="CF86:CF87" ca="1" si="198">AJ86-CE86</f>
        <v>-46.42</v>
      </c>
      <c r="CG86" s="8" t="str">
        <f t="shared" ref="CG86:CG87" si="199">IF(OR(BE86="", AE86=""), "Miss", IF(ABS(AE86/100-AK86)&lt;0.005, "OK", "Incorrect"))</f>
        <v>Incorrect</v>
      </c>
      <c r="CH86" s="8"/>
      <c r="CI86" s="237" t="s">
        <v>1942</v>
      </c>
      <c r="CK86" s="240">
        <v>94852.212771749997</v>
      </c>
      <c r="CL86" s="239">
        <f ca="1">(AI86+CK86)/INDEX(er!D:D,MATCH(AC86,er!C:C,0),1)</f>
        <v>21.476401411417321</v>
      </c>
      <c r="CN86" s="239">
        <f ca="1">CK86/INDEX(er!D:D,MATCH(AC86,er!C:C,0),1)</f>
        <v>67.897074281853975</v>
      </c>
    </row>
    <row r="87" spans="1:92" ht="12.5" x14ac:dyDescent="0.25">
      <c r="A87" s="93" t="s">
        <v>397</v>
      </c>
      <c r="B87" s="93" t="s">
        <v>96</v>
      </c>
      <c r="C87" s="93" t="s">
        <v>103</v>
      </c>
      <c r="D87" s="93" t="s">
        <v>398</v>
      </c>
      <c r="E87" s="93"/>
      <c r="F87" s="93"/>
      <c r="G87" s="94" t="s">
        <v>107</v>
      </c>
      <c r="H87" s="93" t="s">
        <v>436</v>
      </c>
      <c r="I87" s="94" t="s">
        <v>107</v>
      </c>
      <c r="J87" s="94">
        <v>1065199.8799999999</v>
      </c>
      <c r="K87" s="94">
        <v>1065199.8799999999</v>
      </c>
      <c r="L87" s="94" t="s">
        <v>111</v>
      </c>
      <c r="M87" s="94">
        <v>1065199.8799999999</v>
      </c>
      <c r="N87" s="94" t="s">
        <v>111</v>
      </c>
      <c r="O87" s="94">
        <v>1065199.8799999999</v>
      </c>
      <c r="P87" s="94">
        <v>643886.74</v>
      </c>
      <c r="Q87" s="93" t="s">
        <v>111</v>
      </c>
      <c r="R87" s="94" t="s">
        <v>105</v>
      </c>
      <c r="S87" s="94"/>
      <c r="T87" s="94"/>
      <c r="U87" s="94">
        <v>0</v>
      </c>
      <c r="V87" s="93" t="s">
        <v>94</v>
      </c>
      <c r="W87" s="8" t="s">
        <v>98</v>
      </c>
      <c r="X87" s="94" t="s">
        <v>103</v>
      </c>
      <c r="Y87" s="94" t="s">
        <v>107</v>
      </c>
      <c r="Z87" s="94" t="s">
        <v>105</v>
      </c>
      <c r="AA87" s="94" t="s">
        <v>111</v>
      </c>
      <c r="AB87" s="94">
        <v>1065199.8799999999</v>
      </c>
      <c r="AC87" s="94" t="s">
        <v>111</v>
      </c>
      <c r="AD87" s="94">
        <v>830855.91</v>
      </c>
      <c r="AE87" s="94">
        <v>22</v>
      </c>
      <c r="AF87" s="94" t="s">
        <v>99</v>
      </c>
      <c r="AG87" s="94">
        <v>0</v>
      </c>
      <c r="AH87" s="94">
        <v>0</v>
      </c>
      <c r="AI87" s="94">
        <v>-186969.17</v>
      </c>
      <c r="AJ87" s="94">
        <v>-133.84</v>
      </c>
      <c r="AK87" s="94">
        <v>0.39552496006664961</v>
      </c>
      <c r="AL87" s="94" t="s">
        <v>99</v>
      </c>
      <c r="AM87" s="93" t="s">
        <v>552</v>
      </c>
      <c r="AN87" s="94"/>
      <c r="AO87" s="94" t="s">
        <v>16</v>
      </c>
      <c r="AP87" s="94" t="s">
        <v>16</v>
      </c>
      <c r="AQ87" s="94"/>
      <c r="AR87" s="94" t="s">
        <v>16</v>
      </c>
      <c r="AS87" s="94"/>
      <c r="AT87" s="94" t="s">
        <v>16</v>
      </c>
      <c r="AU87" s="94">
        <v>1065199.8799999999</v>
      </c>
      <c r="AV87" s="94">
        <v>760</v>
      </c>
      <c r="AW87" s="94" t="s">
        <v>16</v>
      </c>
      <c r="AX87" s="94">
        <v>1065199.8799999999</v>
      </c>
      <c r="AY87" s="94">
        <v>762.49</v>
      </c>
      <c r="AZ87" s="94" t="s">
        <v>111</v>
      </c>
      <c r="BA87" s="94">
        <v>830855.91</v>
      </c>
      <c r="BB87" s="94" t="s">
        <v>99</v>
      </c>
      <c r="BC87" s="94">
        <v>-186969.17</v>
      </c>
      <c r="BD87" s="94">
        <v>-133.84</v>
      </c>
      <c r="BE87" s="60">
        <f t="array" ref="BE87">IFERROR(INDEX('Com&amp;tax'!$E$2:$E$5, MATCH(1, ('Com&amp;tax'!$A$2:$A$5=B87)*('Com&amp;tax'!$B$2:$B$5=G87), 0)),"")</f>
        <v>0.15</v>
      </c>
      <c r="BF87" s="58">
        <f t="shared" si="187"/>
        <v>159779.98199999999</v>
      </c>
      <c r="BG87" s="58">
        <f t="array" aca="1" ref="BG87" ca="1">IF(A87="","",( IFERROR((O87/ INDEX(er!$D$3:$D$75,MATCH(1, (er!$A$3:$A$75=$BG$2)*(er!$C$3:$C$75=Q87), 0)))*BE87,"")))</f>
        <v>114.37364495347171</v>
      </c>
      <c r="BH87" s="58">
        <f t="shared" si="188"/>
        <v>-159779.98199999999</v>
      </c>
      <c r="BI87" s="59">
        <f t="array" ref="BI87">IFERROR(INDEX('Com&amp;tax'!$F$2:$F$5, MATCH(1, ('Com&amp;tax'!$A$2:$A$5=B87)*('Com&amp;tax'!$B$2:$B$5=Y87), 0)),0)</f>
        <v>4.9000000000000002E-2</v>
      </c>
      <c r="BJ87" s="58">
        <f t="shared" si="189"/>
        <v>44365.575001999998</v>
      </c>
      <c r="BK87" s="58">
        <f t="array" aca="1" ref="BK87" ca="1">IF(A87="","",( IFERROR((J87*(1-BE87))*BI87/INDEX(er!D:D, MATCH(Q87,er!C:C,0),1),0)))</f>
        <v>31.757748748747314</v>
      </c>
      <c r="BL87" s="60">
        <f t="array" ref="BL87">IFERROR(INDEX('Com&amp;tax'!$G$2:$G$5, MATCH(1, ('Com&amp;tax'!$A$2:$A$5=B87)*('Com&amp;tax'!$B$2:$B$5=Y87), 0)),0)</f>
        <v>0.1575</v>
      </c>
      <c r="BM87" s="58">
        <f t="shared" si="190"/>
        <v>142603.63393499999</v>
      </c>
      <c r="BN87" s="58">
        <f t="array" aca="1" ref="BN87" ca="1">IF(A87="","",( IFERROR((J87*(1-BE87))*BL87/INDEX(er!D:D, MATCH(Q87,er!C:C,0),1),0)))</f>
        <v>102.07847812097351</v>
      </c>
      <c r="BO87" s="60">
        <f t="array" ref="BO87">IFERROR(INDEX('Com&amp;tax'!$H$2:$H$5, MATCH(1, ('Com&amp;tax'!$A$2:$A$5=B87)*('Com&amp;tax'!$B$2:$B$5=Y87), 0)),0)</f>
        <v>7.0000000000000007E-2</v>
      </c>
      <c r="BP87" s="58">
        <f t="shared" si="191"/>
        <v>74563.991599999994</v>
      </c>
      <c r="BQ87" s="58">
        <f t="array" aca="1" ref="BQ87" ca="1">IF(A87="","",( IFERROR(J87*BO87/INDEX(er!D:D, MATCH(Q87,er!C:C,0),1),0)))</f>
        <v>53.374367644953466</v>
      </c>
      <c r="BR87" s="108">
        <f t="array" ref="BR87">IFERROR(INDEX('Com&amp;tax'!$F$2:$F$5, MATCH(1, ('Com&amp;tax'!$A$2:$A$5=B87)*('Com&amp;tax'!$D$2:$D$5=H87), 0)),0)</f>
        <v>4.9000000000000002E-2</v>
      </c>
      <c r="BS87" s="109">
        <f t="shared" si="192"/>
        <v>44365.575001999998</v>
      </c>
      <c r="BT87" s="109">
        <f t="array" aca="1" ref="BT87" ca="1">IF(A87="","",( IFERROR((J87*(1-BE87))*BR87/INDEX(er!D:D, MATCH(Q87,er!C:C,0),1),0)))</f>
        <v>31.757748748747314</v>
      </c>
      <c r="BU87" s="108">
        <f t="array" ref="BU87">IFERROR(INDEX('Com&amp;tax'!$G$2:$G$5, MATCH(1, ('Com&amp;tax'!$A$2:$A$5=B87)*('Com&amp;tax'!$D$2:$D$5=H87), 0)),0)</f>
        <v>0.1575</v>
      </c>
      <c r="BV87" s="109">
        <f t="shared" si="193"/>
        <v>142603.63393499999</v>
      </c>
      <c r="BW87" s="109">
        <f t="array" aca="1" ref="BW87" ca="1">IF(A87="","",( IFERROR((J87*(1-BE87))*BU87/INDEX(er!D:D, MATCH(Q87,er!C:C,0),1),0)))</f>
        <v>102.07847812097351</v>
      </c>
      <c r="BX87" s="108">
        <f t="array" ref="BX87">IFERROR(INDEX('Com&amp;tax'!$H$2:$H$5, MATCH(1, ('Com&amp;tax'!$A$2:$A$5=B87)*('Com&amp;tax'!$D$2:$D$5=H87), 0)),0)</f>
        <v>7.0000000000000007E-2</v>
      </c>
      <c r="BY87" s="109">
        <f t="shared" si="194"/>
        <v>74563.991599999994</v>
      </c>
      <c r="BZ87" s="109">
        <f t="array" aca="1" ref="BZ87" ca="1">IF(A87="","",( IFERROR(J87*BX87/INDEX(er!D:D, MATCH(Q87,er!C:C,0),1),0)))</f>
        <v>53.374367644953466</v>
      </c>
      <c r="CA87" s="96">
        <f t="array" aca="1" ref="CA87" ca="1">IF(A87="","",( IFERROR(1-((P87/ INDEX(er!$D$3:$D$75,MATCH(1, (er!$A$3:$A$75=$BG$2)*(er!$C$3:$C$75=Q87), 0))   /  (J87/ INDEX(er!$D$3:$D$75,MATCH(1, (er!$A$3:$A$75=$BG$2)*(er!$C$3:$C$75=L87), 0))))),"")))</f>
        <v>0.39552496006664961</v>
      </c>
      <c r="CB87" s="96">
        <f t="shared" si="195"/>
        <v>0.21999999662035252</v>
      </c>
      <c r="CC87" s="111">
        <f t="shared" ca="1" si="196"/>
        <v>0.17552496344629709</v>
      </c>
      <c r="CD87" s="110">
        <f t="shared" ref="CD87:CE87" si="200">BJ87+BM87-BS87-BV87</f>
        <v>0</v>
      </c>
      <c r="CE87" s="110">
        <f t="shared" ca="1" si="200"/>
        <v>0</v>
      </c>
      <c r="CF87" s="110">
        <f t="shared" ca="1" si="198"/>
        <v>-133.84</v>
      </c>
      <c r="CG87" s="8" t="str">
        <f t="shared" si="199"/>
        <v>Incorrect</v>
      </c>
      <c r="CH87" s="8"/>
      <c r="CI87" t="s">
        <v>2317</v>
      </c>
      <c r="CK87" s="240">
        <v>186969.20893699996</v>
      </c>
      <c r="CL87" s="239">
        <f ca="1">(AI87+CK87)/INDEX(er!D:D,MATCH(AC87,er!C:C,0),1)</f>
        <v>2.7871868250966232E-5</v>
      </c>
      <c r="CN87" s="239">
        <f ca="1">CK87/INDEX(er!D:D,MATCH(AC87,er!C:C,0),1)</f>
        <v>133.8362268697208</v>
      </c>
    </row>
  </sheetData>
  <autoFilter ref="A5:CN87" xr:uid="{00000000-0001-0000-0400-000000000000}"/>
  <customSheetViews>
    <customSheetView guid="{F40F2183-D3A2-418B-8702-63BCF2641238}" filter="1" showAutoFilter="1">
      <pageMargins left="0.7" right="0.7" top="0.75" bottom="0.75" header="0.3" footer="0.3"/>
      <autoFilter ref="A6:CJ2652" xr:uid="{AA8C92CA-39E5-4FB8-9585-319950167D7A}"/>
    </customSheetView>
    <customSheetView guid="{82BFF0B1-7091-4E9C-8ADB-FF7A64759AFA}" filter="1" showAutoFilter="1">
      <pageMargins left="0.7" right="0.7" top="0.75" bottom="0.75" header="0.3" footer="0.3"/>
      <autoFilter ref="A6:CJ3300" xr:uid="{5C2FE1BA-C927-4E11-8AAF-8DAEF05CABD2}"/>
    </customSheetView>
    <customSheetView guid="{DE8F7928-2562-4045-B7A7-B7E036925355}" filter="1" showAutoFilter="1">
      <pageMargins left="0.7" right="0.7" top="0.75" bottom="0.75" header="0.3" footer="0.3"/>
      <autoFilter ref="A6:CJ2466" xr:uid="{0197478F-5372-478E-A282-A75366A8CCA2}"/>
    </customSheetView>
    <customSheetView guid="{CE422D35-2171-41A7-8C6A-6D0F62B2E971}" filter="1" showAutoFilter="1">
      <pageMargins left="0.7" right="0.7" top="0.75" bottom="0.75" header="0.3" footer="0.3"/>
      <autoFilter ref="A6:CJ3300" xr:uid="{A4D783F8-306E-4907-8897-0359AE4BD4A0}"/>
    </customSheetView>
    <customSheetView guid="{16235030-164F-40BD-99D5-7573AF44E29C}" filter="1" showAutoFilter="1">
      <pageMargins left="0.7" right="0.7" top="0.75" bottom="0.75" header="0.3" footer="0.3"/>
      <autoFilter ref="A6:CJ3300" xr:uid="{B2FC98C7-8179-4EE7-B399-4D5BAFA1E7C8}"/>
    </customSheetView>
    <customSheetView guid="{0A0A1ECB-C18A-4643-9ACC-191BCF49A61C}" filter="1" showAutoFilter="1">
      <pageMargins left="0.7" right="0.7" top="0.75" bottom="0.75" header="0.3" footer="0.3"/>
      <autoFilter ref="A6:CJ3300" xr:uid="{CC5590F4-4D08-497E-8CC4-CB9B1B13248C}"/>
    </customSheetView>
    <customSheetView guid="{E95E6EBA-70B0-406F-BD2C-E535F205A054}" filter="1" showAutoFilter="1">
      <pageMargins left="0.7" right="0.7" top="0.75" bottom="0.75" header="0.3" footer="0.3"/>
      <autoFilter ref="A6:CJ3300" xr:uid="{E94355B9-34A4-4059-98EB-32FF456FCC9A}"/>
    </customSheetView>
  </customSheetViews>
  <conditionalFormatting sqref="A3:A87">
    <cfRule type="expression" dxfId="21" priority="1">
      <formula>COUNTIFS(A:A, A3, V:V, V3)&gt;1</formula>
    </cfRule>
  </conditionalFormatting>
  <conditionalFormatting sqref="CI2">
    <cfRule type="notContainsBlanks" dxfId="20" priority="2">
      <formula>LEN(TRIM(CI2))&gt;0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6D9EEB"/>
    <outlinePr summaryBelow="0" summaryRight="0"/>
  </sheetPr>
  <dimension ref="A1:EG876"/>
  <sheetViews>
    <sheetView workbookViewId="0">
      <pane xSplit="4" ySplit="5" topLeftCell="AN6" activePane="bottomRight" state="frozen"/>
      <selection pane="topRight" activeCell="E1" sqref="E1"/>
      <selection pane="bottomLeft" activeCell="A8" sqref="A8"/>
      <selection pane="bottomRight" activeCell="AO5" sqref="AO5"/>
    </sheetView>
  </sheetViews>
  <sheetFormatPr defaultColWidth="12.6328125" defaultRowHeight="15.75" customHeight="1" outlineLevelCol="2" x14ac:dyDescent="0.25"/>
  <cols>
    <col min="1" max="1" width="13.6328125" customWidth="1"/>
    <col min="2" max="2" width="11.36328125" customWidth="1"/>
    <col min="3" max="3" width="9.36328125" customWidth="1"/>
    <col min="4" max="4" width="13.6328125" customWidth="1"/>
    <col min="5" max="5" width="12.90625" customWidth="1" outlineLevel="1"/>
    <col min="6" max="6" width="11.81640625" customWidth="1" outlineLevel="1"/>
    <col min="7" max="7" width="20.08984375" customWidth="1" outlineLevel="1"/>
    <col min="8" max="9" width="14" customWidth="1" outlineLevel="1"/>
    <col min="10" max="17" width="12.6328125" outlineLevel="1"/>
    <col min="18" max="19" width="11.36328125" customWidth="1" outlineLevel="1"/>
    <col min="20" max="23" width="12.6328125" outlineLevel="1"/>
    <col min="24" max="24" width="21.90625" customWidth="1" outlineLevel="1"/>
    <col min="25" max="25" width="9.81640625" customWidth="1" outlineLevel="1"/>
    <col min="26" max="26" width="11" customWidth="1" outlineLevel="1"/>
    <col min="27" max="27" width="11.81640625" customWidth="1" outlineLevel="1"/>
    <col min="28" max="28" width="11" customWidth="1" outlineLevel="1"/>
    <col min="29" max="29" width="21.453125" bestFit="1" customWidth="1" outlineLevel="1"/>
    <col min="30" max="30" width="24.81640625" bestFit="1" customWidth="1" outlineLevel="1" collapsed="1"/>
    <col min="31" max="31" width="12.6328125" hidden="1" customWidth="1" outlineLevel="2"/>
    <col min="32" max="32" width="11.90625" hidden="1" customWidth="1" outlineLevel="2"/>
    <col min="33" max="33" width="11.90625" customWidth="1" outlineLevel="1" collapsed="1"/>
    <col min="34" max="34" width="11" hidden="1" customWidth="1" outlineLevel="2"/>
    <col min="35" max="35" width="11" customWidth="1" outlineLevel="1" collapsed="1"/>
    <col min="36" max="36" width="10.6328125" hidden="1" customWidth="1" outlineLevel="2"/>
    <col min="37" max="37" width="13.453125" hidden="1" customWidth="1" outlineLevel="2"/>
    <col min="38" max="39" width="0" hidden="1" customWidth="1" outlineLevel="2"/>
    <col min="40" max="42" width="12.6328125" outlineLevel="1"/>
    <col min="43" max="43" width="12.6328125" outlineLevel="1" collapsed="1"/>
    <col min="44" max="47" width="0" hidden="1" customWidth="1" outlineLevel="2"/>
    <col min="48" max="48" width="12.08984375" hidden="1" customWidth="1" outlineLevel="2"/>
    <col min="49" max="49" width="12.6328125" hidden="1" customWidth="1" outlineLevel="2"/>
    <col min="50" max="50" width="12.08984375" hidden="1" customWidth="1" outlineLevel="2"/>
    <col min="51" max="51" width="17" bestFit="1" customWidth="1" outlineLevel="1"/>
    <col min="52" max="52" width="18.08984375" customWidth="1" outlineLevel="1"/>
    <col min="53" max="53" width="11.08984375" customWidth="1" outlineLevel="1"/>
    <col min="54" max="54" width="12.6328125" outlineLevel="1"/>
    <col min="55" max="55" width="17.6328125" customWidth="1" outlineLevel="1"/>
    <col min="56" max="59" width="12.6328125" outlineLevel="1"/>
    <col min="60" max="60" width="13.6328125" customWidth="1" outlineLevel="1"/>
    <col min="61" max="65" width="12.6328125" outlineLevel="1"/>
    <col min="66" max="66" width="16.81640625" customWidth="1" outlineLevel="1"/>
    <col min="67" max="68" width="12.6328125" outlineLevel="1"/>
    <col min="69" max="69" width="11.36328125" customWidth="1" outlineLevel="1"/>
    <col min="70" max="70" width="10.81640625" customWidth="1" outlineLevel="1"/>
    <col min="71" max="71" width="11.90625" customWidth="1" outlineLevel="1"/>
    <col min="72" max="72" width="11.453125" customWidth="1" outlineLevel="1"/>
    <col min="73" max="74" width="12.08984375" customWidth="1" outlineLevel="1"/>
    <col min="75" max="75" width="13.453125" customWidth="1" outlineLevel="1"/>
    <col min="76" max="97" width="12.6328125" outlineLevel="1"/>
    <col min="98" max="100" width="15.36328125" customWidth="1" outlineLevel="1"/>
    <col min="101" max="102" width="11.90625" customWidth="1" outlineLevel="1"/>
    <col min="103" max="103" width="9.81640625" customWidth="1" outlineLevel="1"/>
    <col min="104" max="109" width="12.453125" customWidth="1" outlineLevel="1"/>
    <col min="110" max="110" width="14" customWidth="1" outlineLevel="1"/>
    <col min="111" max="111" width="13.1796875" customWidth="1" outlineLevel="1"/>
    <col min="112" max="112" width="13.36328125" customWidth="1"/>
    <col min="113" max="113" width="10.08984375" customWidth="1" outlineLevel="1"/>
    <col min="114" max="114" width="10.81640625" customWidth="1" outlineLevel="1"/>
    <col min="115" max="115" width="14.36328125" customWidth="1" outlineLevel="1"/>
    <col min="116" max="116" width="11" customWidth="1" outlineLevel="1"/>
    <col min="117" max="117" width="11.81640625" customWidth="1" outlineLevel="1"/>
    <col min="118" max="118" width="11.90625" customWidth="1"/>
    <col min="119" max="119" width="11.453125" customWidth="1" outlineLevel="1"/>
    <col min="120" max="120" width="9.81640625" customWidth="1" outlineLevel="1"/>
    <col min="121" max="122" width="12.6328125" outlineLevel="1"/>
    <col min="123" max="123" width="12.6328125" customWidth="1"/>
    <col min="124" max="125" width="10.08984375" customWidth="1" outlineLevel="1"/>
    <col min="126" max="126" width="10.1796875" customWidth="1" outlineLevel="1"/>
    <col min="127" max="127" width="14.1796875" customWidth="1"/>
    <col min="128" max="130" width="12.6328125" outlineLevel="1"/>
    <col min="132" max="134" width="12.6328125" outlineLevel="1"/>
  </cols>
  <sheetData>
    <row r="1" spans="1:137" ht="21.75" customHeight="1" x14ac:dyDescent="0.3">
      <c r="A1" s="11" t="s">
        <v>15</v>
      </c>
      <c r="B1" s="114"/>
      <c r="C1" s="115"/>
      <c r="D1" s="114"/>
      <c r="E1" s="18" t="s">
        <v>554</v>
      </c>
      <c r="F1" s="18" t="s">
        <v>555</v>
      </c>
      <c r="G1" s="18" t="s">
        <v>556</v>
      </c>
      <c r="H1" s="18" t="s">
        <v>557</v>
      </c>
      <c r="I1" s="18"/>
      <c r="J1" s="18" t="s">
        <v>558</v>
      </c>
      <c r="K1" s="18" t="s">
        <v>559</v>
      </c>
      <c r="M1" s="18" t="s">
        <v>560</v>
      </c>
      <c r="N1" s="18" t="s">
        <v>561</v>
      </c>
      <c r="O1" s="18" t="s">
        <v>562</v>
      </c>
      <c r="P1" s="18" t="s">
        <v>563</v>
      </c>
      <c r="Q1" s="18" t="s">
        <v>564</v>
      </c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6"/>
      <c r="AC1" s="116"/>
      <c r="AD1" s="116"/>
      <c r="AE1" s="114"/>
      <c r="AF1" s="114"/>
      <c r="AG1" s="114"/>
      <c r="AH1" s="114"/>
      <c r="AI1" s="114"/>
      <c r="AJ1" s="114"/>
      <c r="AK1" s="116"/>
      <c r="AL1" s="116"/>
      <c r="AM1" s="116"/>
      <c r="AN1" s="116"/>
      <c r="AO1" s="117"/>
      <c r="AP1" s="117"/>
      <c r="AQ1" s="116"/>
      <c r="AR1" s="116"/>
      <c r="AS1" s="116"/>
      <c r="AT1" s="116"/>
      <c r="AU1" s="116"/>
      <c r="AV1" s="116"/>
      <c r="AW1" s="116"/>
      <c r="AX1" s="114"/>
      <c r="AY1" s="114"/>
      <c r="AZ1" s="114"/>
      <c r="BA1" s="114"/>
      <c r="BB1" s="114"/>
      <c r="BC1" s="114"/>
      <c r="BD1" s="114"/>
      <c r="BE1" s="114"/>
      <c r="BF1" s="116"/>
      <c r="BG1" s="116"/>
      <c r="BH1" s="114"/>
      <c r="BI1" s="114"/>
      <c r="BJ1" s="114"/>
      <c r="BK1" s="114"/>
      <c r="BL1" s="114"/>
      <c r="BM1" s="114"/>
      <c r="BN1" s="114"/>
      <c r="BO1" s="114"/>
      <c r="BP1" s="114"/>
      <c r="BQ1" s="114"/>
      <c r="BR1" s="114"/>
      <c r="BS1" s="114"/>
      <c r="BT1" s="114"/>
      <c r="BU1" s="118" t="s">
        <v>565</v>
      </c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46"/>
      <c r="CS1" s="46"/>
      <c r="CT1" s="46"/>
      <c r="CU1" s="119"/>
      <c r="CV1" s="119"/>
      <c r="CW1" s="119"/>
      <c r="CX1" s="119"/>
      <c r="CY1" s="120"/>
      <c r="CZ1" s="120"/>
      <c r="DA1" s="120"/>
      <c r="DB1" s="120"/>
      <c r="DC1" s="120"/>
      <c r="DD1" s="120"/>
      <c r="DE1" s="120"/>
      <c r="DF1" s="120"/>
      <c r="DG1" s="120"/>
      <c r="DH1" s="2"/>
      <c r="DI1" s="2"/>
      <c r="DJ1" s="2"/>
      <c r="DK1" s="18"/>
      <c r="DL1" s="18"/>
      <c r="DM1" s="18"/>
      <c r="DN1" s="12"/>
      <c r="DO1" s="6"/>
      <c r="DP1" s="12"/>
      <c r="DQ1" s="12"/>
      <c r="DR1" s="12"/>
      <c r="DS1" s="12"/>
      <c r="DT1" s="12"/>
      <c r="DU1" s="2"/>
      <c r="DV1" s="2"/>
      <c r="DW1" s="12"/>
      <c r="DX1" s="12"/>
      <c r="DY1" s="2"/>
      <c r="DZ1" s="2"/>
      <c r="EA1" s="12"/>
      <c r="EB1" s="12"/>
      <c r="EC1" s="20">
        <f>COLUMN(EC1)</f>
        <v>133</v>
      </c>
      <c r="ED1" s="17">
        <v>46087.745833333334</v>
      </c>
    </row>
    <row r="2" spans="1:137" ht="13" x14ac:dyDescent="0.3">
      <c r="A2" s="18"/>
      <c r="B2" s="121"/>
      <c r="C2" s="114"/>
      <c r="D2" s="114"/>
      <c r="E2" s="122">
        <f>COUNTIFS($G$6:$G$5674,"&lt;&gt;-",$G$6:$G$5674,"&lt;&gt;")</f>
        <v>83</v>
      </c>
      <c r="F2" s="122">
        <f>COUNTIFS($K$6:$K$5674,F1,$K$6:$K$5674,"&lt;&gt;-",$K$6:$K$5674,"&lt;&gt;")</f>
        <v>0</v>
      </c>
      <c r="G2" s="122">
        <f>COUNTIFS($K$6:$K$5674,G1,$K$6:$K$5674,"&lt;&gt;-",$K$6:$K$5674,"&lt;&gt;")</f>
        <v>0</v>
      </c>
      <c r="H2" s="122">
        <f>COUNTIFS($K$6:$K$5674,H1,$K$6:$K$5674,"&lt;&gt;-",$K$6:$K$5674,"&lt;&gt;")</f>
        <v>0</v>
      </c>
      <c r="I2" s="122"/>
      <c r="J2" s="122">
        <f>COUNTIFS($K$6:$K$5674,J1,$K$6:$K$5674,"&lt;&gt;-",$K$6:$K$5674,"&lt;&gt;")</f>
        <v>1</v>
      </c>
      <c r="K2" s="122">
        <f>COUNTIFS($K$6:$K$5674,K1,$K$6:$K$5674,"&lt;&gt;-",$K$6:$K$5674,"&lt;&gt;")</f>
        <v>82</v>
      </c>
      <c r="M2" s="122">
        <f>COUNTIFS($M$6:$M$5674,M1,$M$6:$M$5674,"&lt;&gt;-",$M$6:$M$5674,"&lt;&gt;")</f>
        <v>0</v>
      </c>
      <c r="N2" s="122">
        <f>COUNTIFS($M$6:$M$5674,N1,$M$6:$M$5674,"&lt;&gt;-",$M$6:$M$5674,"&lt;&gt;")</f>
        <v>0</v>
      </c>
      <c r="O2" s="122">
        <f>COUNTIFS($M$6:$M$5674,O1,$M$6:$M$5674,"&lt;&gt;-",$M$6:$M$5674,"&lt;&gt;")</f>
        <v>0</v>
      </c>
      <c r="P2" s="122">
        <f>COUNTIFS($M$6:$M$5674,P1,$M$6:$M$5674,"&lt;&gt;-",$M$6:$M$5674,"&lt;&gt;")</f>
        <v>83</v>
      </c>
      <c r="Q2" s="122">
        <f>COUNTIFS($M$6:$M$5674,Q1,$M$6:$M$5674,"&lt;&gt;-",$M$6:$M$5674,"&lt;&gt;")</f>
        <v>0</v>
      </c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6"/>
      <c r="AC2" s="116"/>
      <c r="AD2" s="116"/>
      <c r="AE2" s="114"/>
      <c r="AF2" s="114"/>
      <c r="AG2" s="114"/>
      <c r="AH2" s="114"/>
      <c r="AI2" s="114"/>
      <c r="AJ2" s="114"/>
      <c r="AK2" s="116"/>
      <c r="AL2" s="116"/>
      <c r="AM2" s="116"/>
      <c r="AN2" s="116"/>
      <c r="AO2" s="117"/>
      <c r="AP2" s="117"/>
      <c r="AQ2" s="116"/>
      <c r="AR2" s="116"/>
      <c r="AS2" s="116"/>
      <c r="AT2" s="116"/>
      <c r="AU2" s="116"/>
      <c r="AV2" s="116"/>
      <c r="AW2" s="116"/>
      <c r="AX2" s="114"/>
      <c r="AY2" s="114"/>
      <c r="AZ2" s="114"/>
      <c r="BA2" s="114"/>
      <c r="BB2" s="114"/>
      <c r="BC2" s="114"/>
      <c r="BD2" s="114"/>
      <c r="BE2" s="114"/>
      <c r="BF2" s="116"/>
      <c r="BG2" s="116"/>
      <c r="BH2" s="114"/>
      <c r="BI2" s="114"/>
      <c r="BJ2" s="114"/>
      <c r="BK2" s="114"/>
      <c r="BL2" s="11"/>
      <c r="BM2" s="11"/>
      <c r="BN2" s="11"/>
      <c r="BO2" s="11"/>
      <c r="BP2" s="11"/>
      <c r="BQ2" s="114"/>
      <c r="BR2" s="114"/>
      <c r="BS2" s="114"/>
      <c r="BT2" s="114"/>
      <c r="BU2" s="123">
        <f>COUNTIF(BU6:BU4135,"&gt;1")</f>
        <v>2</v>
      </c>
      <c r="BW2" s="11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46"/>
      <c r="CS2" s="46"/>
      <c r="CT2" s="46"/>
      <c r="CU2" s="119"/>
      <c r="CV2" s="119"/>
      <c r="CW2" s="119"/>
      <c r="CX2" s="119"/>
      <c r="CY2" s="120"/>
      <c r="CZ2" s="120"/>
      <c r="DA2" s="120"/>
      <c r="DB2" s="120"/>
      <c r="DC2" s="120"/>
      <c r="DD2" s="120"/>
      <c r="DE2" s="120"/>
      <c r="DF2" s="120"/>
      <c r="DG2" s="120"/>
      <c r="DH2" s="2"/>
      <c r="DI2" s="2"/>
      <c r="DJ2" s="2"/>
      <c r="DK2" s="2"/>
      <c r="DL2" s="15">
        <f>COUNTIF(DK6:DK876,"=Incorrect")</f>
        <v>0</v>
      </c>
      <c r="DM2" s="15">
        <f>COUNTIF(DL6:DL876,"=Incorrect")</f>
        <v>0</v>
      </c>
      <c r="DN2" s="21">
        <v>1</v>
      </c>
      <c r="DO2" s="6"/>
      <c r="DP2" s="12"/>
      <c r="DQ2" s="12"/>
      <c r="DR2" s="15">
        <f>COUNTIF(DQ6:DQ876,"=Incorrect")</f>
        <v>0</v>
      </c>
      <c r="DS2" s="21">
        <v>1</v>
      </c>
      <c r="DT2" s="12"/>
      <c r="DU2" s="2"/>
      <c r="DV2" s="2"/>
      <c r="DW2" s="21">
        <v>1</v>
      </c>
      <c r="DX2" s="12"/>
      <c r="DY2" s="2"/>
      <c r="DZ2" s="2"/>
      <c r="EA2" s="21">
        <v>1</v>
      </c>
      <c r="EB2" s="12"/>
      <c r="EC2" s="12"/>
      <c r="ED2" s="12"/>
    </row>
    <row r="3" spans="1:137" ht="25" x14ac:dyDescent="0.3">
      <c r="A3" s="114"/>
      <c r="B3" s="114"/>
      <c r="C3" s="114" t="s">
        <v>566</v>
      </c>
      <c r="D3" s="115"/>
      <c r="E3" s="115"/>
      <c r="F3" s="114"/>
      <c r="G3" s="115"/>
      <c r="H3" s="114"/>
      <c r="I3" s="114"/>
      <c r="J3" s="114"/>
      <c r="K3" s="114"/>
      <c r="L3" s="114"/>
      <c r="M3" s="115"/>
      <c r="N3" s="114"/>
      <c r="O3" s="114"/>
      <c r="P3" s="114"/>
      <c r="Q3" s="114"/>
      <c r="R3" s="115"/>
      <c r="S3" s="115"/>
      <c r="T3" s="114"/>
      <c r="V3" s="114"/>
      <c r="W3" s="114"/>
      <c r="X3" s="114"/>
      <c r="Y3" s="114"/>
      <c r="Z3" s="114"/>
      <c r="AA3" s="114"/>
      <c r="AB3" s="116"/>
      <c r="AC3" s="116"/>
      <c r="AD3" s="116"/>
      <c r="AE3" s="114"/>
      <c r="AF3" s="114"/>
      <c r="AG3" s="114"/>
      <c r="AH3" s="114"/>
      <c r="AI3" s="114"/>
      <c r="AJ3" s="114"/>
      <c r="AK3" s="116"/>
      <c r="AL3" s="116"/>
      <c r="AM3" s="116"/>
      <c r="AN3" s="116"/>
      <c r="AO3" s="117"/>
      <c r="AP3" s="117"/>
      <c r="AQ3" s="116"/>
      <c r="AR3" s="116"/>
      <c r="AS3" s="116"/>
      <c r="AT3" s="116"/>
      <c r="AU3" s="116"/>
      <c r="AV3" s="116"/>
      <c r="AW3" s="116"/>
      <c r="AX3" s="114"/>
      <c r="AY3" s="114"/>
      <c r="AZ3" s="114"/>
      <c r="BA3" s="114"/>
      <c r="BB3" s="114"/>
      <c r="BC3" s="114"/>
      <c r="BD3" s="114"/>
      <c r="BE3" s="114"/>
      <c r="BF3" s="116"/>
      <c r="BG3" s="116"/>
      <c r="BH3" s="114"/>
      <c r="BI3" s="114"/>
      <c r="BJ3" s="114"/>
      <c r="BK3" s="114"/>
      <c r="BL3" s="11"/>
      <c r="BM3" s="11"/>
      <c r="BN3" s="11"/>
      <c r="BO3" s="11"/>
      <c r="BP3" s="11"/>
      <c r="BQ3" s="114"/>
      <c r="BR3" s="114"/>
      <c r="BS3" s="114"/>
      <c r="BT3" s="114"/>
      <c r="BU3" s="124"/>
      <c r="BV3" s="11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46"/>
      <c r="CS3" s="46"/>
      <c r="CT3" s="46"/>
      <c r="CU3" s="119"/>
      <c r="CV3" s="119"/>
      <c r="CW3" s="119"/>
      <c r="CX3" s="119"/>
      <c r="CY3" s="120"/>
      <c r="CZ3" s="120"/>
      <c r="DA3" s="120"/>
      <c r="DB3" s="120"/>
      <c r="DC3" s="120"/>
      <c r="DD3" s="120"/>
      <c r="DE3" s="120"/>
      <c r="DF3" s="120"/>
      <c r="DG3" s="120"/>
      <c r="DH3" s="11" t="s">
        <v>567</v>
      </c>
      <c r="DI3" s="2"/>
      <c r="DJ3" s="2"/>
      <c r="DK3" s="2"/>
      <c r="DL3" s="21" t="s">
        <v>568</v>
      </c>
      <c r="DM3" s="21" t="s">
        <v>569</v>
      </c>
      <c r="DN3" s="16" t="s">
        <v>570</v>
      </c>
      <c r="DO3" s="6"/>
      <c r="DP3" s="12"/>
      <c r="DQ3" s="12"/>
      <c r="DR3" s="21" t="s">
        <v>571</v>
      </c>
      <c r="DS3" s="16" t="s">
        <v>22</v>
      </c>
      <c r="DU3" s="2"/>
      <c r="DV3" s="2"/>
      <c r="DW3" s="16" t="s">
        <v>572</v>
      </c>
      <c r="DX3" s="125"/>
      <c r="DY3" s="2"/>
      <c r="DZ3" s="2"/>
      <c r="EA3" s="16" t="s">
        <v>24</v>
      </c>
      <c r="EB3" s="12"/>
      <c r="EC3" s="12"/>
      <c r="ED3" s="12"/>
    </row>
    <row r="4" spans="1:137" ht="13" x14ac:dyDescent="0.3">
      <c r="A4" s="305" t="s">
        <v>27</v>
      </c>
      <c r="B4" s="30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7"/>
      <c r="AC4" s="127"/>
      <c r="AD4" s="127"/>
      <c r="AE4" s="126"/>
      <c r="AF4" s="126"/>
      <c r="AG4" s="126"/>
      <c r="AH4" s="126"/>
      <c r="AI4" s="126"/>
      <c r="AJ4" s="126"/>
      <c r="AK4" s="127"/>
      <c r="AL4" s="127"/>
      <c r="AM4" s="127"/>
      <c r="AN4" s="127"/>
      <c r="AO4" s="127"/>
      <c r="AP4" s="127"/>
      <c r="AQ4" s="127"/>
      <c r="AR4" s="127"/>
      <c r="AS4" s="127"/>
      <c r="AT4" s="127"/>
      <c r="AU4" s="127"/>
      <c r="AV4" s="127"/>
      <c r="AW4" s="127"/>
      <c r="AX4" s="126"/>
      <c r="AY4" s="126"/>
      <c r="AZ4" s="126"/>
      <c r="BA4" s="126"/>
      <c r="BB4" s="126"/>
      <c r="BC4" s="126"/>
      <c r="BD4" s="126"/>
      <c r="BE4" s="126"/>
      <c r="BF4" s="127"/>
      <c r="BG4" s="127"/>
      <c r="BH4" s="126"/>
      <c r="BI4" s="126"/>
      <c r="BJ4" s="126"/>
      <c r="BK4" s="126"/>
      <c r="BL4" s="126"/>
      <c r="BM4" s="126"/>
      <c r="BN4" s="126"/>
      <c r="BO4" s="126"/>
      <c r="BP4" s="126"/>
      <c r="BQ4" s="126"/>
      <c r="BR4" s="126"/>
      <c r="BS4" s="126"/>
      <c r="BT4" s="128"/>
      <c r="BU4" s="129"/>
      <c r="BV4" s="130"/>
      <c r="BW4" s="131"/>
      <c r="BX4" s="131"/>
      <c r="BY4" s="131"/>
      <c r="BZ4" s="131"/>
      <c r="CA4" s="131"/>
      <c r="CB4" s="131"/>
      <c r="CC4" s="131"/>
      <c r="CD4" s="131"/>
      <c r="CE4" s="132"/>
      <c r="CF4" s="132"/>
      <c r="CG4" s="132"/>
      <c r="CH4" s="132"/>
      <c r="CI4" s="132"/>
      <c r="CJ4" s="132"/>
      <c r="CK4" s="132"/>
      <c r="CL4" s="132"/>
      <c r="CM4" s="132"/>
      <c r="CN4" s="132"/>
      <c r="CO4" s="132"/>
      <c r="CP4" s="132"/>
      <c r="CQ4" s="132"/>
      <c r="CR4" s="133"/>
      <c r="CS4" s="133"/>
      <c r="CT4" s="133"/>
      <c r="CU4" s="134"/>
      <c r="CV4" s="134"/>
      <c r="CW4" s="134"/>
      <c r="CX4" s="134"/>
      <c r="CY4" s="135"/>
      <c r="CZ4" s="135"/>
      <c r="DA4" s="135"/>
      <c r="DB4" s="135"/>
      <c r="DC4" s="135"/>
      <c r="DD4" s="135"/>
      <c r="DE4" s="135"/>
      <c r="DF4" s="135"/>
      <c r="DG4" s="135"/>
      <c r="DH4" s="132"/>
      <c r="DI4" s="307" t="s">
        <v>3</v>
      </c>
      <c r="DJ4" s="304"/>
      <c r="DK4" s="304"/>
      <c r="DL4" s="304"/>
      <c r="DM4" s="304"/>
      <c r="DN4" s="304"/>
      <c r="DO4" s="304"/>
      <c r="DP4" s="136"/>
      <c r="DQ4" s="308" t="s">
        <v>4</v>
      </c>
      <c r="DR4" s="304"/>
      <c r="DS4" s="304"/>
      <c r="DT4" s="304"/>
      <c r="DU4" s="309" t="s">
        <v>5</v>
      </c>
      <c r="DV4" s="304"/>
      <c r="DW4" s="304"/>
      <c r="DX4" s="304"/>
      <c r="DY4" s="310" t="s">
        <v>6</v>
      </c>
      <c r="DZ4" s="304"/>
      <c r="EA4" s="304"/>
      <c r="EB4" s="304"/>
      <c r="EC4" s="303" t="s">
        <v>8</v>
      </c>
      <c r="ED4" s="304"/>
    </row>
    <row r="5" spans="1:137" ht="65" x14ac:dyDescent="0.35">
      <c r="A5" s="132" t="s">
        <v>30</v>
      </c>
      <c r="B5" s="132" t="s">
        <v>11</v>
      </c>
      <c r="C5" s="132" t="s">
        <v>47</v>
      </c>
      <c r="D5" s="132" t="s">
        <v>48</v>
      </c>
      <c r="E5" s="132" t="s">
        <v>573</v>
      </c>
      <c r="F5" s="132" t="s">
        <v>574</v>
      </c>
      <c r="G5" s="132" t="s">
        <v>575</v>
      </c>
      <c r="H5" s="132" t="s">
        <v>33</v>
      </c>
      <c r="I5" s="76" t="s">
        <v>576</v>
      </c>
      <c r="J5" s="132" t="s">
        <v>577</v>
      </c>
      <c r="K5" s="132" t="s">
        <v>578</v>
      </c>
      <c r="L5" s="132" t="s">
        <v>579</v>
      </c>
      <c r="M5" s="132" t="s">
        <v>580</v>
      </c>
      <c r="N5" s="132" t="s">
        <v>581</v>
      </c>
      <c r="O5" s="132" t="s">
        <v>582</v>
      </c>
      <c r="P5" s="132" t="s">
        <v>583</v>
      </c>
      <c r="Q5" s="132" t="s">
        <v>584</v>
      </c>
      <c r="R5" s="76" t="s">
        <v>34</v>
      </c>
      <c r="S5" s="132" t="s">
        <v>35</v>
      </c>
      <c r="T5" s="132" t="s">
        <v>447</v>
      </c>
      <c r="U5" s="132" t="s">
        <v>37</v>
      </c>
      <c r="V5" s="132" t="s">
        <v>410</v>
      </c>
      <c r="W5" s="76" t="s">
        <v>585</v>
      </c>
      <c r="X5" s="132" t="s">
        <v>586</v>
      </c>
      <c r="Y5" s="132" t="s">
        <v>587</v>
      </c>
      <c r="Z5" s="132" t="s">
        <v>588</v>
      </c>
      <c r="AA5" s="132" t="s">
        <v>589</v>
      </c>
      <c r="AB5" s="132" t="s">
        <v>590</v>
      </c>
      <c r="AC5" s="131" t="s">
        <v>39</v>
      </c>
      <c r="AD5" s="131" t="s">
        <v>591</v>
      </c>
      <c r="AE5" s="131" t="s">
        <v>592</v>
      </c>
      <c r="AF5" s="132" t="s">
        <v>593</v>
      </c>
      <c r="AG5" s="132" t="s">
        <v>594</v>
      </c>
      <c r="AH5" s="132" t="s">
        <v>595</v>
      </c>
      <c r="AI5" s="132" t="s">
        <v>596</v>
      </c>
      <c r="AJ5" s="132" t="s">
        <v>597</v>
      </c>
      <c r="AK5" s="132" t="s">
        <v>598</v>
      </c>
      <c r="AL5" s="131" t="s">
        <v>599</v>
      </c>
      <c r="AM5" s="131" t="s">
        <v>600</v>
      </c>
      <c r="AN5" s="131" t="s">
        <v>601</v>
      </c>
      <c r="AO5" s="131" t="s">
        <v>602</v>
      </c>
      <c r="AP5" s="131" t="s">
        <v>603</v>
      </c>
      <c r="AQ5" s="131" t="s">
        <v>49</v>
      </c>
      <c r="AR5" s="137" t="s">
        <v>604</v>
      </c>
      <c r="AS5" s="131" t="s">
        <v>605</v>
      </c>
      <c r="AT5" s="131" t="s">
        <v>606</v>
      </c>
      <c r="AU5" s="131" t="s">
        <v>607</v>
      </c>
      <c r="AV5" s="131" t="s">
        <v>608</v>
      </c>
      <c r="AW5" s="137" t="s">
        <v>609</v>
      </c>
      <c r="AX5" s="132" t="s">
        <v>610</v>
      </c>
      <c r="AY5" s="132" t="s">
        <v>50</v>
      </c>
      <c r="AZ5" s="132" t="s">
        <v>402</v>
      </c>
      <c r="BA5" s="76" t="s">
        <v>611</v>
      </c>
      <c r="BB5" s="132" t="s">
        <v>51</v>
      </c>
      <c r="BC5" s="132" t="s">
        <v>403</v>
      </c>
      <c r="BD5" s="76" t="s">
        <v>612</v>
      </c>
      <c r="BE5" s="132" t="s">
        <v>613</v>
      </c>
      <c r="BF5" s="132" t="s">
        <v>614</v>
      </c>
      <c r="BG5" s="131" t="s">
        <v>615</v>
      </c>
      <c r="BH5" s="132" t="s">
        <v>616</v>
      </c>
      <c r="BI5" s="132" t="s">
        <v>617</v>
      </c>
      <c r="BJ5" s="132" t="s">
        <v>618</v>
      </c>
      <c r="BK5" s="132" t="s">
        <v>619</v>
      </c>
      <c r="BL5" s="132" t="s">
        <v>620</v>
      </c>
      <c r="BM5" s="132" t="s">
        <v>621</v>
      </c>
      <c r="BN5" s="132" t="s">
        <v>622</v>
      </c>
      <c r="BO5" s="76" t="s">
        <v>623</v>
      </c>
      <c r="BP5" s="132" t="s">
        <v>624</v>
      </c>
      <c r="BQ5" s="132" t="s">
        <v>625</v>
      </c>
      <c r="BR5" s="132" t="s">
        <v>626</v>
      </c>
      <c r="BS5" s="132" t="s">
        <v>627</v>
      </c>
      <c r="BT5" s="138" t="s">
        <v>628</v>
      </c>
      <c r="BU5" s="139" t="s">
        <v>52</v>
      </c>
      <c r="BV5" s="132" t="s">
        <v>629</v>
      </c>
      <c r="BW5" s="132" t="s">
        <v>630</v>
      </c>
      <c r="BX5" s="132" t="s">
        <v>631</v>
      </c>
      <c r="BY5" s="131" t="s">
        <v>632</v>
      </c>
      <c r="BZ5" s="137" t="s">
        <v>633</v>
      </c>
      <c r="CA5" s="137" t="s">
        <v>634</v>
      </c>
      <c r="CB5" s="131" t="s">
        <v>635</v>
      </c>
      <c r="CC5" s="131" t="s">
        <v>636</v>
      </c>
      <c r="CD5" s="131" t="s">
        <v>637</v>
      </c>
      <c r="CE5" s="131" t="s">
        <v>638</v>
      </c>
      <c r="CF5" s="132" t="s">
        <v>639</v>
      </c>
      <c r="CG5" s="76" t="s">
        <v>640</v>
      </c>
      <c r="CH5" s="76" t="s">
        <v>641</v>
      </c>
      <c r="CI5" s="132" t="s">
        <v>642</v>
      </c>
      <c r="CJ5" s="132" t="s">
        <v>643</v>
      </c>
      <c r="CK5" s="76" t="s">
        <v>644</v>
      </c>
      <c r="CL5" s="132" t="s">
        <v>645</v>
      </c>
      <c r="CM5" s="132" t="s">
        <v>646</v>
      </c>
      <c r="CN5" s="132" t="s">
        <v>647</v>
      </c>
      <c r="CO5" s="132" t="s">
        <v>648</v>
      </c>
      <c r="CP5" s="132" t="s">
        <v>649</v>
      </c>
      <c r="CQ5" s="132" t="s">
        <v>650</v>
      </c>
      <c r="CR5" s="133" t="s">
        <v>651</v>
      </c>
      <c r="CS5" s="132" t="s">
        <v>652</v>
      </c>
      <c r="CT5" s="132" t="s">
        <v>653</v>
      </c>
      <c r="CU5" s="132" t="s">
        <v>654</v>
      </c>
      <c r="CV5" s="140" t="s">
        <v>655</v>
      </c>
      <c r="CW5" s="141" t="s">
        <v>656</v>
      </c>
      <c r="CX5" s="142" t="s">
        <v>657</v>
      </c>
      <c r="CY5" s="142" t="s">
        <v>658</v>
      </c>
      <c r="CZ5" s="143" t="s">
        <v>48</v>
      </c>
      <c r="DA5" s="144" t="s">
        <v>659</v>
      </c>
      <c r="DB5" s="144" t="s">
        <v>660</v>
      </c>
      <c r="DC5" s="145" t="s">
        <v>661</v>
      </c>
      <c r="DD5" s="145" t="s">
        <v>662</v>
      </c>
      <c r="DE5" s="144" t="s">
        <v>663</v>
      </c>
      <c r="DF5" s="144" t="s">
        <v>664</v>
      </c>
      <c r="DG5" s="144" t="s">
        <v>665</v>
      </c>
      <c r="DH5" s="143" t="s">
        <v>666</v>
      </c>
      <c r="DI5" s="21" t="s">
        <v>56</v>
      </c>
      <c r="DJ5" s="146" t="s">
        <v>46</v>
      </c>
      <c r="DK5" s="146" t="s">
        <v>44</v>
      </c>
      <c r="DL5" s="147" t="s">
        <v>14</v>
      </c>
      <c r="DM5" s="21" t="s">
        <v>667</v>
      </c>
      <c r="DN5" s="21" t="s">
        <v>668</v>
      </c>
      <c r="DO5" s="14" t="s">
        <v>55</v>
      </c>
      <c r="DP5" s="113" t="s">
        <v>669</v>
      </c>
      <c r="DQ5" s="113" t="s">
        <v>44</v>
      </c>
      <c r="DR5" s="30" t="s">
        <v>14</v>
      </c>
      <c r="DS5" s="21" t="s">
        <v>670</v>
      </c>
      <c r="DT5" s="21" t="s">
        <v>671</v>
      </c>
      <c r="DU5" s="148" t="s">
        <v>44</v>
      </c>
      <c r="DV5" s="149" t="s">
        <v>14</v>
      </c>
      <c r="DW5" s="21" t="s">
        <v>672</v>
      </c>
      <c r="DX5" s="21" t="s">
        <v>63</v>
      </c>
      <c r="DY5" s="125" t="s">
        <v>44</v>
      </c>
      <c r="DZ5" s="150" t="s">
        <v>673</v>
      </c>
      <c r="EA5" s="21" t="s">
        <v>674</v>
      </c>
      <c r="EB5" s="21" t="s">
        <v>675</v>
      </c>
      <c r="EC5" s="39" t="s">
        <v>66</v>
      </c>
      <c r="ED5" s="39" t="s">
        <v>67</v>
      </c>
      <c r="EE5" s="288" t="s">
        <v>2315</v>
      </c>
      <c r="EF5" s="288" t="s">
        <v>2316</v>
      </c>
      <c r="EG5" s="289" t="s">
        <v>2284</v>
      </c>
    </row>
    <row r="6" spans="1:137" ht="12.5" x14ac:dyDescent="0.25">
      <c r="A6" s="46" t="s">
        <v>103</v>
      </c>
      <c r="B6" s="46" t="s">
        <v>106</v>
      </c>
      <c r="C6" s="46" t="s">
        <v>94</v>
      </c>
      <c r="D6" s="46" t="s">
        <v>98</v>
      </c>
      <c r="E6" s="156">
        <v>46081</v>
      </c>
      <c r="F6" s="46" t="s">
        <v>700</v>
      </c>
      <c r="G6" s="46" t="s">
        <v>701</v>
      </c>
      <c r="H6" s="46" t="s">
        <v>109</v>
      </c>
      <c r="I6" s="46" t="s">
        <v>702</v>
      </c>
      <c r="J6" s="46" t="s">
        <v>703</v>
      </c>
      <c r="K6" s="46" t="s">
        <v>559</v>
      </c>
      <c r="L6" s="46" t="s">
        <v>686</v>
      </c>
      <c r="M6" s="2" t="s">
        <v>563</v>
      </c>
      <c r="N6" s="46" t="s">
        <v>704</v>
      </c>
      <c r="O6" s="46" t="s">
        <v>705</v>
      </c>
      <c r="P6" s="46" t="s">
        <v>93</v>
      </c>
      <c r="Q6" s="46" t="s">
        <v>96</v>
      </c>
      <c r="R6" s="46" t="s">
        <v>104</v>
      </c>
      <c r="S6" s="46" t="s">
        <v>107</v>
      </c>
      <c r="T6" s="46" t="s">
        <v>435</v>
      </c>
      <c r="U6" s="46" t="s">
        <v>433</v>
      </c>
      <c r="V6" s="46" t="s">
        <v>105</v>
      </c>
      <c r="W6" s="46" t="s">
        <v>439</v>
      </c>
      <c r="X6" s="46" t="s">
        <v>687</v>
      </c>
      <c r="Y6" s="46" t="s">
        <v>688</v>
      </c>
      <c r="Z6" s="46" t="s">
        <v>688</v>
      </c>
      <c r="AA6" s="46" t="s">
        <v>95</v>
      </c>
      <c r="AB6" s="12" t="s">
        <v>111</v>
      </c>
      <c r="AC6" s="12">
        <v>911867.62</v>
      </c>
      <c r="AD6" s="12">
        <v>911867.62</v>
      </c>
      <c r="AE6" s="12">
        <v>9.8999999999999999E-4</v>
      </c>
      <c r="AF6" s="12">
        <v>1</v>
      </c>
      <c r="AG6" s="12">
        <v>1</v>
      </c>
      <c r="AH6" s="12">
        <v>0.78</v>
      </c>
      <c r="AI6" s="12">
        <v>0.78</v>
      </c>
      <c r="AJ6" s="12">
        <v>0</v>
      </c>
      <c r="AK6" s="12"/>
      <c r="AL6" s="12">
        <v>911867.62</v>
      </c>
      <c r="AM6" s="12">
        <v>911867.62</v>
      </c>
      <c r="AN6" s="12">
        <v>902.74894380000001</v>
      </c>
      <c r="AO6" s="12">
        <v>711256.74360000005</v>
      </c>
      <c r="AP6" s="12">
        <v>711256.74</v>
      </c>
      <c r="AQ6" s="12">
        <v>9.8999999999999999E-4</v>
      </c>
      <c r="AR6" s="12">
        <v>911867.62</v>
      </c>
      <c r="AS6" s="12">
        <v>652.73272727272729</v>
      </c>
      <c r="AT6" s="12">
        <v>509.13152727272728</v>
      </c>
      <c r="AU6" s="12">
        <v>393.61741652727272</v>
      </c>
      <c r="AV6" s="12">
        <v>200610.87640000001</v>
      </c>
      <c r="AW6" s="12">
        <v>143.60120000000001</v>
      </c>
      <c r="AX6" s="12">
        <v>22</v>
      </c>
      <c r="AY6" s="2" t="s">
        <v>2318</v>
      </c>
      <c r="AZ6" s="2" t="s">
        <v>101</v>
      </c>
      <c r="BA6" s="46"/>
      <c r="BB6" s="2" t="s">
        <v>2319</v>
      </c>
      <c r="BC6" s="2" t="s">
        <v>102</v>
      </c>
      <c r="BD6" s="46"/>
      <c r="BE6" s="46"/>
      <c r="BF6" s="12"/>
      <c r="BG6" s="12">
        <v>7.158196134574087E-4</v>
      </c>
      <c r="BH6" s="12" t="s">
        <v>706</v>
      </c>
      <c r="BI6" s="46" t="s">
        <v>704</v>
      </c>
      <c r="BJ6" s="46" t="s">
        <v>707</v>
      </c>
      <c r="BK6" s="46" t="s">
        <v>708</v>
      </c>
      <c r="BL6" s="46" t="s">
        <v>708</v>
      </c>
      <c r="BM6" s="46" t="s">
        <v>708</v>
      </c>
      <c r="BN6" s="46" t="s">
        <v>709</v>
      </c>
      <c r="BO6" s="46" t="s">
        <v>710</v>
      </c>
      <c r="BP6" s="46" t="s">
        <v>436</v>
      </c>
      <c r="BQ6" s="157">
        <v>45689</v>
      </c>
      <c r="BR6" s="156">
        <v>46112</v>
      </c>
      <c r="BS6" s="46" t="s">
        <v>689</v>
      </c>
      <c r="BT6" s="46"/>
      <c r="BU6" s="12">
        <v>1</v>
      </c>
      <c r="BV6" s="158" t="s">
        <v>711</v>
      </c>
      <c r="BW6" s="12" t="s">
        <v>712</v>
      </c>
      <c r="BX6" s="12">
        <v>0</v>
      </c>
      <c r="BY6" s="12">
        <v>0</v>
      </c>
      <c r="BZ6" s="12">
        <v>0</v>
      </c>
      <c r="CA6" s="12">
        <v>0</v>
      </c>
      <c r="CB6" s="12">
        <v>1</v>
      </c>
      <c r="CC6" s="12">
        <v>1</v>
      </c>
      <c r="CD6" s="12">
        <v>0.78</v>
      </c>
      <c r="CE6" s="12">
        <v>509.13152727272728</v>
      </c>
      <c r="CF6" s="12">
        <v>9.8999999999999999E-4</v>
      </c>
      <c r="CG6" s="12">
        <v>7.158196134574087E-4</v>
      </c>
      <c r="CH6" s="12">
        <v>7.158196134574087E-4</v>
      </c>
      <c r="CI6" s="12" t="b">
        <v>0</v>
      </c>
      <c r="CJ6" s="12" t="b">
        <v>0</v>
      </c>
      <c r="CK6" s="12" t="s">
        <v>690</v>
      </c>
      <c r="CL6" s="2" t="s">
        <v>107</v>
      </c>
      <c r="CM6" s="12" t="s">
        <v>713</v>
      </c>
      <c r="CN6" s="12">
        <v>652.73272727272729</v>
      </c>
      <c r="CO6" s="12">
        <v>509.13152727272728</v>
      </c>
      <c r="CP6" s="12" t="s">
        <v>435</v>
      </c>
      <c r="CQ6" s="159"/>
      <c r="CR6" s="46" t="s">
        <v>714</v>
      </c>
      <c r="CS6" s="46" t="s">
        <v>714</v>
      </c>
      <c r="CT6" s="2">
        <v>872072282</v>
      </c>
      <c r="CU6" s="2" t="s">
        <v>694</v>
      </c>
      <c r="CV6" s="49">
        <v>46087.728472222225</v>
      </c>
      <c r="CW6" s="49">
        <v>46085.874305555553</v>
      </c>
      <c r="CX6" s="2" t="b">
        <v>1</v>
      </c>
      <c r="CY6" s="2" t="b">
        <v>1</v>
      </c>
      <c r="CZ6" s="160">
        <v>46054</v>
      </c>
      <c r="DA6" s="12" t="s">
        <v>693</v>
      </c>
      <c r="DB6" s="12"/>
      <c r="DC6" s="12"/>
      <c r="DD6" s="12"/>
      <c r="DE6" s="12"/>
      <c r="DF6" s="12"/>
      <c r="DG6" s="12"/>
      <c r="DH6" s="12"/>
      <c r="DI6" s="46"/>
      <c r="DJ6" s="48" t="s">
        <v>105</v>
      </c>
      <c r="DK6" s="48" t="s">
        <v>111</v>
      </c>
      <c r="DL6" s="48">
        <v>911867.62</v>
      </c>
      <c r="DM6" s="13" t="s">
        <v>99</v>
      </c>
      <c r="DN6" s="13" t="s">
        <v>99</v>
      </c>
      <c r="DO6" s="12">
        <v>0</v>
      </c>
      <c r="DP6" s="12" t="s">
        <v>106</v>
      </c>
      <c r="DQ6" s="12" t="s">
        <v>111</v>
      </c>
      <c r="DR6" s="12">
        <v>911867.62</v>
      </c>
      <c r="DS6" s="12" t="s">
        <v>99</v>
      </c>
      <c r="DT6" s="12">
        <v>0</v>
      </c>
      <c r="DU6" s="12"/>
      <c r="DV6" s="12"/>
      <c r="DW6" s="12" t="s">
        <v>16</v>
      </c>
      <c r="DX6" s="12"/>
      <c r="DY6" s="12" t="s">
        <v>111</v>
      </c>
      <c r="DZ6" s="12">
        <v>551201.18000000005</v>
      </c>
      <c r="EA6" s="12" t="s">
        <v>99</v>
      </c>
      <c r="EB6" s="12">
        <v>160055.56359999999</v>
      </c>
      <c r="EC6" s="12"/>
      <c r="ED6" s="12" t="str">
        <f>INDEX('con 1'!CI:CI,MATCH(B6,'con 1'!A:A,0),1)</f>
        <v>OK. Diff. Bill. / Adv. Country</v>
      </c>
      <c r="EE6" s="12" t="s">
        <v>1946</v>
      </c>
      <c r="EF6" s="12" t="s">
        <v>1947</v>
      </c>
      <c r="EG6" s="48">
        <f ca="1">AN6/INDEX(er!D:D,MATCH(AA6,er!C:C,0),1)</f>
        <v>902.74894380000001</v>
      </c>
    </row>
    <row r="7" spans="1:137" ht="12.5" x14ac:dyDescent="0.25">
      <c r="A7" s="46" t="s">
        <v>103</v>
      </c>
      <c r="B7" s="46" t="s">
        <v>113</v>
      </c>
      <c r="C7" s="46" t="s">
        <v>94</v>
      </c>
      <c r="D7" s="46" t="s">
        <v>98</v>
      </c>
      <c r="E7" s="156">
        <v>46081</v>
      </c>
      <c r="F7" s="46" t="s">
        <v>716</v>
      </c>
      <c r="G7" s="46" t="s">
        <v>717</v>
      </c>
      <c r="H7" s="46" t="s">
        <v>115</v>
      </c>
      <c r="I7" s="46" t="s">
        <v>718</v>
      </c>
      <c r="J7" s="46" t="s">
        <v>719</v>
      </c>
      <c r="K7" s="46" t="s">
        <v>559</v>
      </c>
      <c r="L7" s="46" t="s">
        <v>686</v>
      </c>
      <c r="M7" s="2" t="s">
        <v>563</v>
      </c>
      <c r="N7" s="46" t="s">
        <v>720</v>
      </c>
      <c r="O7" s="46" t="s">
        <v>720</v>
      </c>
      <c r="P7" s="46" t="s">
        <v>93</v>
      </c>
      <c r="Q7" s="46" t="s">
        <v>96</v>
      </c>
      <c r="R7" s="46" t="s">
        <v>104</v>
      </c>
      <c r="S7" s="46" t="s">
        <v>107</v>
      </c>
      <c r="T7" s="46" t="s">
        <v>107</v>
      </c>
      <c r="U7" s="46" t="s">
        <v>436</v>
      </c>
      <c r="V7" s="46" t="s">
        <v>105</v>
      </c>
      <c r="W7" s="46" t="s">
        <v>439</v>
      </c>
      <c r="X7" s="46" t="s">
        <v>687</v>
      </c>
      <c r="Y7" s="46" t="s">
        <v>688</v>
      </c>
      <c r="Z7" s="46" t="s">
        <v>688</v>
      </c>
      <c r="AA7" s="46" t="s">
        <v>111</v>
      </c>
      <c r="AB7" s="12" t="s">
        <v>111</v>
      </c>
      <c r="AC7" s="12">
        <v>3855555.79</v>
      </c>
      <c r="AD7" s="12">
        <v>3855555.79</v>
      </c>
      <c r="AE7" s="12">
        <v>1</v>
      </c>
      <c r="AF7" s="12">
        <v>1</v>
      </c>
      <c r="AG7" s="12">
        <v>1</v>
      </c>
      <c r="AH7" s="12">
        <v>0.78</v>
      </c>
      <c r="AI7" s="12">
        <v>0.78</v>
      </c>
      <c r="AJ7" s="12">
        <v>0</v>
      </c>
      <c r="AK7" s="12"/>
      <c r="AL7" s="12">
        <v>3855555.79</v>
      </c>
      <c r="AM7" s="12">
        <v>3855555.79</v>
      </c>
      <c r="AN7" s="12">
        <v>3855555.79</v>
      </c>
      <c r="AO7" s="12">
        <v>3007333.5162</v>
      </c>
      <c r="AP7" s="12">
        <v>2330587.2400000002</v>
      </c>
      <c r="AQ7" s="12"/>
      <c r="AR7" s="12">
        <v>3855555.79</v>
      </c>
      <c r="AS7" s="12">
        <v>2759.8824552612741</v>
      </c>
      <c r="AT7" s="12">
        <v>2152.7083151037937</v>
      </c>
      <c r="AU7" s="12">
        <v>848222.27379999997</v>
      </c>
      <c r="AV7" s="12">
        <v>848222.27379999997</v>
      </c>
      <c r="AW7" s="12">
        <v>607.17414015748034</v>
      </c>
      <c r="AX7" s="12">
        <v>22</v>
      </c>
      <c r="AY7" s="2" t="s">
        <v>2003</v>
      </c>
      <c r="AZ7" s="2" t="s">
        <v>101</v>
      </c>
      <c r="BA7" s="46"/>
      <c r="BB7" s="2" t="s">
        <v>2246</v>
      </c>
      <c r="BC7" s="2" t="s">
        <v>102</v>
      </c>
      <c r="BD7" s="46"/>
      <c r="BE7" s="46"/>
      <c r="BF7" s="12"/>
      <c r="BG7" s="12">
        <v>1</v>
      </c>
      <c r="BH7" s="12" t="s">
        <v>721</v>
      </c>
      <c r="BI7" s="46" t="s">
        <v>720</v>
      </c>
      <c r="BJ7" s="46" t="s">
        <v>722</v>
      </c>
      <c r="BK7" s="46" t="s">
        <v>723</v>
      </c>
      <c r="BL7" s="46" t="s">
        <v>723</v>
      </c>
      <c r="BM7" s="46" t="s">
        <v>723</v>
      </c>
      <c r="BN7" s="46" t="s">
        <v>709</v>
      </c>
      <c r="BO7" s="46" t="s">
        <v>710</v>
      </c>
      <c r="BP7" s="46" t="s">
        <v>436</v>
      </c>
      <c r="BQ7" s="157">
        <v>45328</v>
      </c>
      <c r="BR7" s="156">
        <v>46127</v>
      </c>
      <c r="BS7" s="46" t="s">
        <v>689</v>
      </c>
      <c r="BT7" s="46"/>
      <c r="BU7" s="12">
        <v>1</v>
      </c>
      <c r="BV7" s="158" t="s">
        <v>724</v>
      </c>
      <c r="BW7" s="12" t="s">
        <v>725</v>
      </c>
      <c r="BX7" s="12">
        <v>0</v>
      </c>
      <c r="BY7" s="12">
        <v>0</v>
      </c>
      <c r="BZ7" s="12">
        <v>0</v>
      </c>
      <c r="CA7" s="12">
        <v>0</v>
      </c>
      <c r="CB7" s="12">
        <v>3000000</v>
      </c>
      <c r="CC7" s="12">
        <v>3000000</v>
      </c>
      <c r="CD7" s="12">
        <v>2340000</v>
      </c>
      <c r="CE7" s="12">
        <v>3007333.5162</v>
      </c>
      <c r="CF7" s="12">
        <v>1</v>
      </c>
      <c r="CG7" s="12">
        <v>7.158196134574087E-4</v>
      </c>
      <c r="CH7" s="12">
        <v>7.158196134574087E-4</v>
      </c>
      <c r="CI7" s="12" t="b">
        <v>0</v>
      </c>
      <c r="CJ7" s="12" t="b">
        <v>0</v>
      </c>
      <c r="CK7" s="12" t="s">
        <v>699</v>
      </c>
      <c r="CL7" s="2" t="s">
        <v>107</v>
      </c>
      <c r="CM7" s="12" t="s">
        <v>726</v>
      </c>
      <c r="CN7" s="12">
        <v>2759.8824552612741</v>
      </c>
      <c r="CO7" s="12">
        <v>2152.7083151037937</v>
      </c>
      <c r="CP7" s="12" t="s">
        <v>107</v>
      </c>
      <c r="CQ7" s="161" t="s">
        <v>720</v>
      </c>
      <c r="CR7" s="46" t="s">
        <v>727</v>
      </c>
      <c r="CS7" s="46" t="s">
        <v>722</v>
      </c>
      <c r="CT7" s="2">
        <v>33716040149</v>
      </c>
      <c r="CU7" s="2" t="s">
        <v>691</v>
      </c>
      <c r="CV7" s="49">
        <v>46087.728472222225</v>
      </c>
      <c r="CW7" s="49">
        <v>46085.874305555553</v>
      </c>
      <c r="CX7" s="2" t="b">
        <v>1</v>
      </c>
      <c r="CY7" s="2" t="b">
        <v>1</v>
      </c>
      <c r="CZ7" s="160">
        <v>46054</v>
      </c>
      <c r="DA7" s="12" t="s">
        <v>693</v>
      </c>
      <c r="DB7" s="12"/>
      <c r="DC7" s="12"/>
      <c r="DD7" s="12"/>
      <c r="DE7" s="12"/>
      <c r="DF7" s="12"/>
      <c r="DG7" s="12"/>
      <c r="DH7" s="12"/>
      <c r="DI7" s="46"/>
      <c r="DJ7" s="48" t="s">
        <v>105</v>
      </c>
      <c r="DK7" s="48" t="s">
        <v>111</v>
      </c>
      <c r="DL7" s="48">
        <v>3855555.78</v>
      </c>
      <c r="DM7" s="13" t="s">
        <v>99</v>
      </c>
      <c r="DN7" s="13" t="s">
        <v>99</v>
      </c>
      <c r="DO7" s="12">
        <v>1.0000000242143869E-2</v>
      </c>
      <c r="DP7" s="12" t="s">
        <v>113</v>
      </c>
      <c r="DQ7" s="12" t="s">
        <v>111</v>
      </c>
      <c r="DR7" s="12">
        <v>3855555.79</v>
      </c>
      <c r="DS7" s="12" t="s">
        <v>99</v>
      </c>
      <c r="DT7" s="12">
        <v>0</v>
      </c>
      <c r="DU7" s="12"/>
      <c r="DV7" s="12"/>
      <c r="DW7" s="12" t="s">
        <v>16</v>
      </c>
      <c r="DX7" s="12"/>
      <c r="DY7" s="12" t="s">
        <v>111</v>
      </c>
      <c r="DZ7" s="12">
        <v>2330587.08</v>
      </c>
      <c r="EA7" s="12" t="s">
        <v>99</v>
      </c>
      <c r="EB7" s="12">
        <v>676746.43619999988</v>
      </c>
      <c r="EC7" s="12"/>
      <c r="ED7" s="12" t="str">
        <f>INDEX('con 1'!CI:CI,MATCH(B7,'con 1'!A:A,0),1)</f>
        <v>OK</v>
      </c>
      <c r="EE7" s="12" t="s">
        <v>1946</v>
      </c>
      <c r="EF7" s="12" t="s">
        <v>1947</v>
      </c>
      <c r="EG7" s="48">
        <f ca="1">AN7/INDEX(er!D:D,MATCH(AA7,er!C:C,0),1)</f>
        <v>2759.8824552612741</v>
      </c>
    </row>
    <row r="8" spans="1:137" ht="12.5" x14ac:dyDescent="0.25">
      <c r="A8" s="46" t="s">
        <v>103</v>
      </c>
      <c r="B8" s="46" t="s">
        <v>117</v>
      </c>
      <c r="C8" s="46" t="s">
        <v>94</v>
      </c>
      <c r="D8" s="46" t="s">
        <v>98</v>
      </c>
      <c r="E8" s="156">
        <v>46081</v>
      </c>
      <c r="F8" s="46" t="s">
        <v>728</v>
      </c>
      <c r="G8" s="46" t="s">
        <v>729</v>
      </c>
      <c r="H8" s="46" t="s">
        <v>119</v>
      </c>
      <c r="I8" s="46" t="s">
        <v>730</v>
      </c>
      <c r="J8" s="46" t="s">
        <v>731</v>
      </c>
      <c r="K8" s="46" t="s">
        <v>559</v>
      </c>
      <c r="L8" s="46" t="s">
        <v>686</v>
      </c>
      <c r="M8" s="2" t="s">
        <v>563</v>
      </c>
      <c r="N8" s="46" t="s">
        <v>732</v>
      </c>
      <c r="O8" s="46" t="s">
        <v>732</v>
      </c>
      <c r="P8" s="46" t="s">
        <v>93</v>
      </c>
      <c r="Q8" s="46" t="s">
        <v>96</v>
      </c>
      <c r="R8" s="46" t="s">
        <v>104</v>
      </c>
      <c r="S8" s="46" t="s">
        <v>107</v>
      </c>
      <c r="T8" s="46" t="s">
        <v>107</v>
      </c>
      <c r="U8" s="46" t="s">
        <v>436</v>
      </c>
      <c r="V8" s="46" t="s">
        <v>105</v>
      </c>
      <c r="W8" s="46" t="s">
        <v>439</v>
      </c>
      <c r="X8" s="46" t="s">
        <v>687</v>
      </c>
      <c r="Y8" s="46" t="s">
        <v>688</v>
      </c>
      <c r="Z8" s="46" t="s">
        <v>688</v>
      </c>
      <c r="AA8" s="46" t="s">
        <v>111</v>
      </c>
      <c r="AB8" s="12" t="s">
        <v>111</v>
      </c>
      <c r="AC8" s="12">
        <v>3113913.08</v>
      </c>
      <c r="AD8" s="12">
        <v>3113913.08</v>
      </c>
      <c r="AE8" s="12">
        <v>1</v>
      </c>
      <c r="AF8" s="12">
        <v>1</v>
      </c>
      <c r="AG8" s="12">
        <v>1</v>
      </c>
      <c r="AH8" s="12">
        <v>0.78</v>
      </c>
      <c r="AI8" s="12">
        <v>0.78</v>
      </c>
      <c r="AJ8" s="12">
        <v>0</v>
      </c>
      <c r="AK8" s="12"/>
      <c r="AL8" s="12">
        <v>3113913.08</v>
      </c>
      <c r="AM8" s="12">
        <v>3113913.08</v>
      </c>
      <c r="AN8" s="12">
        <v>3113913.08</v>
      </c>
      <c r="AO8" s="12">
        <v>2428852.2023999998</v>
      </c>
      <c r="AP8" s="12">
        <v>1882282.73</v>
      </c>
      <c r="AQ8" s="12"/>
      <c r="AR8" s="12">
        <v>3113913.08</v>
      </c>
      <c r="AS8" s="12">
        <v>2229.000057265569</v>
      </c>
      <c r="AT8" s="12">
        <v>1738.6200446671437</v>
      </c>
      <c r="AU8" s="12">
        <v>685060.87760000001</v>
      </c>
      <c r="AV8" s="12">
        <v>685060.87760000001</v>
      </c>
      <c r="AW8" s="12">
        <v>490.3800125984252</v>
      </c>
      <c r="AX8" s="12">
        <v>22</v>
      </c>
      <c r="AY8" s="2" t="s">
        <v>2084</v>
      </c>
      <c r="AZ8" s="2" t="s">
        <v>101</v>
      </c>
      <c r="BA8" s="46"/>
      <c r="BB8" s="2" t="s">
        <v>2244</v>
      </c>
      <c r="BC8" s="2" t="s">
        <v>102</v>
      </c>
      <c r="BD8" s="46"/>
      <c r="BE8" s="46"/>
      <c r="BF8" s="12"/>
      <c r="BG8" s="12">
        <v>1</v>
      </c>
      <c r="BH8" s="12" t="s">
        <v>733</v>
      </c>
      <c r="BI8" s="46" t="s">
        <v>732</v>
      </c>
      <c r="BJ8" s="46" t="s">
        <v>734</v>
      </c>
      <c r="BK8" s="46" t="s">
        <v>708</v>
      </c>
      <c r="BL8" s="46" t="s">
        <v>697</v>
      </c>
      <c r="BM8" s="46" t="s">
        <v>697</v>
      </c>
      <c r="BN8" s="46" t="s">
        <v>735</v>
      </c>
      <c r="BO8" s="46" t="s">
        <v>710</v>
      </c>
      <c r="BP8" s="46" t="s">
        <v>436</v>
      </c>
      <c r="BQ8" s="157">
        <v>45793</v>
      </c>
      <c r="BR8" s="156">
        <v>46112</v>
      </c>
      <c r="BS8" s="46" t="s">
        <v>689</v>
      </c>
      <c r="BT8" s="46"/>
      <c r="BU8" s="12">
        <v>1</v>
      </c>
      <c r="BV8" s="158" t="s">
        <v>736</v>
      </c>
      <c r="BW8" s="12" t="s">
        <v>737</v>
      </c>
      <c r="BX8" s="12">
        <v>0</v>
      </c>
      <c r="BY8" s="12">
        <v>0</v>
      </c>
      <c r="BZ8" s="12">
        <v>0</v>
      </c>
      <c r="CA8" s="12">
        <v>0</v>
      </c>
      <c r="CB8" s="12">
        <v>1</v>
      </c>
      <c r="CC8" s="12">
        <v>1</v>
      </c>
      <c r="CD8" s="12">
        <v>0.78</v>
      </c>
      <c r="CE8" s="12">
        <v>2428852.2023999998</v>
      </c>
      <c r="CF8" s="12">
        <v>1</v>
      </c>
      <c r="CG8" s="12">
        <v>7.158196134574087E-4</v>
      </c>
      <c r="CH8" s="12">
        <v>7.158196134574087E-4</v>
      </c>
      <c r="CI8" s="12" t="b">
        <v>0</v>
      </c>
      <c r="CJ8" s="12" t="b">
        <v>0</v>
      </c>
      <c r="CK8" s="12" t="s">
        <v>690</v>
      </c>
      <c r="CL8" s="2" t="s">
        <v>107</v>
      </c>
      <c r="CM8" s="12" t="s">
        <v>738</v>
      </c>
      <c r="CN8" s="12">
        <v>2229.000057265569</v>
      </c>
      <c r="CO8" s="12">
        <v>1738.6200446671439</v>
      </c>
      <c r="CP8" s="12" t="s">
        <v>107</v>
      </c>
      <c r="CQ8" s="161"/>
      <c r="CR8" s="46" t="s">
        <v>739</v>
      </c>
      <c r="CS8" s="46" t="s">
        <v>734</v>
      </c>
      <c r="CT8" s="2">
        <v>30659514628</v>
      </c>
      <c r="CU8" s="2" t="s">
        <v>694</v>
      </c>
      <c r="CV8" s="49">
        <v>46087.728472222225</v>
      </c>
      <c r="CW8" s="49">
        <v>46085.874305555553</v>
      </c>
      <c r="CX8" s="2" t="b">
        <v>1</v>
      </c>
      <c r="CY8" s="2" t="b">
        <v>1</v>
      </c>
      <c r="CZ8" s="160">
        <v>46054</v>
      </c>
      <c r="DA8" s="12" t="s">
        <v>693</v>
      </c>
      <c r="DB8" s="12"/>
      <c r="DC8" s="12"/>
      <c r="DD8" s="12"/>
      <c r="DE8" s="12"/>
      <c r="DF8" s="12"/>
      <c r="DG8" s="12"/>
      <c r="DH8" s="12"/>
      <c r="DI8" s="46"/>
      <c r="DJ8" s="48" t="s">
        <v>105</v>
      </c>
      <c r="DK8" s="48" t="s">
        <v>111</v>
      </c>
      <c r="DL8" s="48">
        <v>3113913.08</v>
      </c>
      <c r="DM8" s="13" t="s">
        <v>99</v>
      </c>
      <c r="DN8" s="13" t="s">
        <v>99</v>
      </c>
      <c r="DO8" s="12">
        <v>0</v>
      </c>
      <c r="DP8" s="12" t="s">
        <v>117</v>
      </c>
      <c r="DQ8" s="12" t="s">
        <v>111</v>
      </c>
      <c r="DR8" s="12">
        <v>3113913.08</v>
      </c>
      <c r="DS8" s="12" t="s">
        <v>99</v>
      </c>
      <c r="DT8" s="12">
        <v>0</v>
      </c>
      <c r="DU8" s="12"/>
      <c r="DV8" s="12"/>
      <c r="DW8" s="12" t="s">
        <v>16</v>
      </c>
      <c r="DX8" s="12"/>
      <c r="DY8" s="12" t="s">
        <v>111</v>
      </c>
      <c r="DZ8" s="12">
        <v>1882282.61</v>
      </c>
      <c r="EA8" s="12" t="s">
        <v>99</v>
      </c>
      <c r="EB8" s="12">
        <v>546569.59239999973</v>
      </c>
      <c r="EC8" s="12"/>
      <c r="ED8" s="12" t="str">
        <f>INDEX('con 1'!CI:CI,MATCH(B8,'con 1'!A:A,0),1)</f>
        <v>OK</v>
      </c>
      <c r="EE8" s="12" t="s">
        <v>1946</v>
      </c>
      <c r="EF8" s="12" t="s">
        <v>1947</v>
      </c>
      <c r="EG8" s="48">
        <f ca="1">AN8/INDEX(er!D:D,MATCH(AA8,er!C:C,0),1)</f>
        <v>2229.000057265569</v>
      </c>
    </row>
    <row r="9" spans="1:137" ht="12.5" x14ac:dyDescent="0.25">
      <c r="A9" s="46" t="s">
        <v>103</v>
      </c>
      <c r="B9" s="46" t="s">
        <v>121</v>
      </c>
      <c r="C9" s="46" t="s">
        <v>94</v>
      </c>
      <c r="D9" s="46" t="s">
        <v>98</v>
      </c>
      <c r="E9" s="156">
        <v>46081</v>
      </c>
      <c r="F9" s="46" t="s">
        <v>748</v>
      </c>
      <c r="G9" s="46" t="s">
        <v>749</v>
      </c>
      <c r="H9" s="46" t="s">
        <v>123</v>
      </c>
      <c r="I9" s="46" t="s">
        <v>750</v>
      </c>
      <c r="J9" s="46" t="s">
        <v>751</v>
      </c>
      <c r="K9" s="46" t="s">
        <v>559</v>
      </c>
      <c r="L9" s="46" t="s">
        <v>686</v>
      </c>
      <c r="M9" s="2" t="s">
        <v>563</v>
      </c>
      <c r="N9" s="46" t="s">
        <v>752</v>
      </c>
      <c r="O9" s="46" t="s">
        <v>753</v>
      </c>
      <c r="P9" s="46" t="s">
        <v>93</v>
      </c>
      <c r="Q9" s="46" t="s">
        <v>96</v>
      </c>
      <c r="R9" s="46" t="s">
        <v>104</v>
      </c>
      <c r="S9" s="46" t="s">
        <v>107</v>
      </c>
      <c r="T9" s="46" t="s">
        <v>107</v>
      </c>
      <c r="U9" s="46" t="s">
        <v>436</v>
      </c>
      <c r="V9" s="46" t="s">
        <v>105</v>
      </c>
      <c r="W9" s="46" t="s">
        <v>439</v>
      </c>
      <c r="X9" s="46" t="s">
        <v>687</v>
      </c>
      <c r="Y9" s="46" t="s">
        <v>688</v>
      </c>
      <c r="Z9" s="46" t="s">
        <v>688</v>
      </c>
      <c r="AA9" s="46" t="s">
        <v>111</v>
      </c>
      <c r="AB9" s="12" t="s">
        <v>111</v>
      </c>
      <c r="AC9" s="12">
        <v>2687841.46</v>
      </c>
      <c r="AD9" s="12">
        <v>2687841.46</v>
      </c>
      <c r="AE9" s="12">
        <v>1</v>
      </c>
      <c r="AF9" s="12">
        <v>1</v>
      </c>
      <c r="AG9" s="12">
        <v>1</v>
      </c>
      <c r="AH9" s="12">
        <v>0.78</v>
      </c>
      <c r="AI9" s="12">
        <v>0.78</v>
      </c>
      <c r="AJ9" s="12">
        <v>0</v>
      </c>
      <c r="AK9" s="12"/>
      <c r="AL9" s="12">
        <v>2687841.46</v>
      </c>
      <c r="AM9" s="12">
        <v>2687841.46</v>
      </c>
      <c r="AN9" s="12">
        <v>2687841.46</v>
      </c>
      <c r="AO9" s="12">
        <v>2096516.3388</v>
      </c>
      <c r="AP9" s="12">
        <v>1624733.07</v>
      </c>
      <c r="AQ9" s="12"/>
      <c r="AR9" s="12">
        <v>2687841.46</v>
      </c>
      <c r="AS9" s="12">
        <v>1924.0096349319972</v>
      </c>
      <c r="AT9" s="12">
        <v>1500.7275152469579</v>
      </c>
      <c r="AU9" s="12">
        <v>591325.12120000005</v>
      </c>
      <c r="AV9" s="12">
        <v>591325.12120000005</v>
      </c>
      <c r="AW9" s="12">
        <v>423.28211968503939</v>
      </c>
      <c r="AX9" s="12">
        <v>22</v>
      </c>
      <c r="AY9" s="2" t="s">
        <v>2028</v>
      </c>
      <c r="AZ9" s="2" t="s">
        <v>101</v>
      </c>
      <c r="BA9" s="46"/>
      <c r="BB9" s="2" t="s">
        <v>2242</v>
      </c>
      <c r="BC9" s="2" t="s">
        <v>102</v>
      </c>
      <c r="BD9" s="46"/>
      <c r="BE9" s="46"/>
      <c r="BF9" s="12"/>
      <c r="BG9" s="12">
        <v>1</v>
      </c>
      <c r="BH9" s="12" t="s">
        <v>754</v>
      </c>
      <c r="BI9" s="46" t="s">
        <v>752</v>
      </c>
      <c r="BJ9" s="46" t="s">
        <v>755</v>
      </c>
      <c r="BK9" s="46" t="s">
        <v>723</v>
      </c>
      <c r="BL9" s="46" t="s">
        <v>723</v>
      </c>
      <c r="BM9" s="46" t="s">
        <v>723</v>
      </c>
      <c r="BN9" s="46" t="s">
        <v>709</v>
      </c>
      <c r="BO9" s="46" t="s">
        <v>710</v>
      </c>
      <c r="BP9" s="46" t="s">
        <v>436</v>
      </c>
      <c r="BQ9" s="157">
        <v>45422</v>
      </c>
      <c r="BR9" s="156">
        <v>46112</v>
      </c>
      <c r="BS9" s="46" t="s">
        <v>696</v>
      </c>
      <c r="BT9" s="46"/>
      <c r="BU9" s="12">
        <v>1</v>
      </c>
      <c r="BV9" s="158" t="s">
        <v>756</v>
      </c>
      <c r="BW9" s="12" t="s">
        <v>757</v>
      </c>
      <c r="BX9" s="12">
        <v>0</v>
      </c>
      <c r="BY9" s="12">
        <v>0</v>
      </c>
      <c r="BZ9" s="12">
        <v>0</v>
      </c>
      <c r="CA9" s="12">
        <v>0</v>
      </c>
      <c r="CB9" s="12">
        <v>3850000</v>
      </c>
      <c r="CC9" s="12">
        <v>3850000</v>
      </c>
      <c r="CD9" s="12">
        <v>3003000</v>
      </c>
      <c r="CE9" s="12">
        <v>2096516.3388</v>
      </c>
      <c r="CF9" s="12">
        <v>1</v>
      </c>
      <c r="CG9" s="12">
        <v>7.158196134574087E-4</v>
      </c>
      <c r="CH9" s="12">
        <v>7.158196134574087E-4</v>
      </c>
      <c r="CI9" s="12" t="b">
        <v>0</v>
      </c>
      <c r="CJ9" s="12" t="b">
        <v>0</v>
      </c>
      <c r="CK9" s="12" t="s">
        <v>699</v>
      </c>
      <c r="CL9" s="2" t="s">
        <v>107</v>
      </c>
      <c r="CM9" s="12" t="s">
        <v>738</v>
      </c>
      <c r="CN9" s="12">
        <v>1924.0096349319972</v>
      </c>
      <c r="CO9" s="12">
        <v>1500.7275152469579</v>
      </c>
      <c r="CP9" s="12" t="s">
        <v>107</v>
      </c>
      <c r="CQ9" s="159" t="s">
        <v>753</v>
      </c>
      <c r="CR9" s="46" t="s">
        <v>758</v>
      </c>
      <c r="CS9" s="46" t="s">
        <v>755</v>
      </c>
      <c r="CT9" s="2">
        <v>30715554530</v>
      </c>
      <c r="CU9" s="2" t="s">
        <v>691</v>
      </c>
      <c r="CV9" s="49">
        <v>46087.728472222225</v>
      </c>
      <c r="CW9" s="49">
        <v>46085.874305555553</v>
      </c>
      <c r="CX9" s="2" t="b">
        <v>1</v>
      </c>
      <c r="CY9" s="2" t="b">
        <v>1</v>
      </c>
      <c r="CZ9" s="160">
        <v>46054</v>
      </c>
      <c r="DA9" s="12" t="s">
        <v>693</v>
      </c>
      <c r="DB9" s="12"/>
      <c r="DC9" s="12"/>
      <c r="DD9" s="12"/>
      <c r="DE9" s="12"/>
      <c r="DF9" s="12"/>
      <c r="DG9" s="12"/>
      <c r="DH9" s="12"/>
      <c r="DI9" s="46"/>
      <c r="DJ9" s="48" t="s">
        <v>105</v>
      </c>
      <c r="DK9" s="48" t="s">
        <v>111</v>
      </c>
      <c r="DL9" s="48">
        <v>2687841.45</v>
      </c>
      <c r="DM9" s="13" t="s">
        <v>99</v>
      </c>
      <c r="DN9" s="13" t="s">
        <v>99</v>
      </c>
      <c r="DO9" s="12">
        <v>9.9999997764825821E-3</v>
      </c>
      <c r="DP9" s="12" t="s">
        <v>121</v>
      </c>
      <c r="DQ9" s="12" t="s">
        <v>111</v>
      </c>
      <c r="DR9" s="12">
        <v>2687841.46</v>
      </c>
      <c r="DS9" s="12" t="s">
        <v>99</v>
      </c>
      <c r="DT9" s="12">
        <v>0</v>
      </c>
      <c r="DU9" s="12"/>
      <c r="DV9" s="12"/>
      <c r="DW9" s="12" t="s">
        <v>16</v>
      </c>
      <c r="DX9" s="12"/>
      <c r="DY9" s="12" t="s">
        <v>111</v>
      </c>
      <c r="DZ9" s="12">
        <v>1624732.96</v>
      </c>
      <c r="EA9" s="12" t="s">
        <v>99</v>
      </c>
      <c r="EB9" s="12">
        <v>471783.37880000006</v>
      </c>
      <c r="EC9" s="12"/>
      <c r="ED9" s="12" t="str">
        <f>INDEX('con 1'!CI:CI,MATCH(B9,'con 1'!A:A,0),1)</f>
        <v>OK</v>
      </c>
      <c r="EE9" s="12" t="s">
        <v>1946</v>
      </c>
      <c r="EF9" s="12" t="s">
        <v>1947</v>
      </c>
      <c r="EG9" s="48">
        <f ca="1">AN9/INDEX(er!D:D,MATCH(AA9,er!C:C,0),1)</f>
        <v>1924.0096349319972</v>
      </c>
    </row>
    <row r="10" spans="1:137" ht="12.5" x14ac:dyDescent="0.25">
      <c r="A10" s="46" t="s">
        <v>103</v>
      </c>
      <c r="B10" s="46" t="s">
        <v>125</v>
      </c>
      <c r="C10" s="46" t="s">
        <v>94</v>
      </c>
      <c r="D10" s="46" t="s">
        <v>98</v>
      </c>
      <c r="E10" s="156">
        <v>46081</v>
      </c>
      <c r="F10" s="46" t="s">
        <v>759</v>
      </c>
      <c r="G10" s="46" t="s">
        <v>760</v>
      </c>
      <c r="H10" s="46" t="s">
        <v>127</v>
      </c>
      <c r="I10" s="46" t="s">
        <v>761</v>
      </c>
      <c r="J10" s="46" t="s">
        <v>762</v>
      </c>
      <c r="K10" s="46" t="s">
        <v>559</v>
      </c>
      <c r="L10" s="46" t="s">
        <v>686</v>
      </c>
      <c r="M10" s="2" t="s">
        <v>563</v>
      </c>
      <c r="N10" s="46" t="s">
        <v>763</v>
      </c>
      <c r="O10" s="46" t="s">
        <v>764</v>
      </c>
      <c r="P10" s="46" t="s">
        <v>93</v>
      </c>
      <c r="Q10" s="46" t="s">
        <v>96</v>
      </c>
      <c r="R10" s="46" t="s">
        <v>104</v>
      </c>
      <c r="S10" s="46" t="s">
        <v>107</v>
      </c>
      <c r="T10" s="46" t="s">
        <v>107</v>
      </c>
      <c r="U10" s="46" t="s">
        <v>436</v>
      </c>
      <c r="V10" s="46" t="s">
        <v>105</v>
      </c>
      <c r="W10" s="46" t="s">
        <v>439</v>
      </c>
      <c r="X10" s="46" t="s">
        <v>687</v>
      </c>
      <c r="Y10" s="46" t="s">
        <v>688</v>
      </c>
      <c r="Z10" s="46" t="s">
        <v>688</v>
      </c>
      <c r="AA10" s="46" t="s">
        <v>111</v>
      </c>
      <c r="AB10" s="12" t="s">
        <v>111</v>
      </c>
      <c r="AC10" s="12">
        <v>1055530.21</v>
      </c>
      <c r="AD10" s="12">
        <v>1055530.21</v>
      </c>
      <c r="AE10" s="12">
        <v>1</v>
      </c>
      <c r="AF10" s="12">
        <v>1</v>
      </c>
      <c r="AG10" s="12">
        <v>1</v>
      </c>
      <c r="AH10" s="12">
        <v>0.78</v>
      </c>
      <c r="AI10" s="12">
        <v>0.78</v>
      </c>
      <c r="AJ10" s="12">
        <v>0</v>
      </c>
      <c r="AK10" s="12"/>
      <c r="AL10" s="12">
        <v>1055530.21</v>
      </c>
      <c r="AM10" s="12">
        <v>1055530.21</v>
      </c>
      <c r="AN10" s="12">
        <v>1055530.21</v>
      </c>
      <c r="AO10" s="12">
        <v>823313.5638</v>
      </c>
      <c r="AP10" s="12">
        <v>638041.67000000004</v>
      </c>
      <c r="AQ10" s="12"/>
      <c r="AR10" s="12">
        <v>1055530.21</v>
      </c>
      <c r="AS10" s="12">
        <v>755.56922691481748</v>
      </c>
      <c r="AT10" s="12">
        <v>589.34399699355765</v>
      </c>
      <c r="AU10" s="12">
        <v>232216.64619999999</v>
      </c>
      <c r="AV10" s="12">
        <v>232216.64619999999</v>
      </c>
      <c r="AW10" s="12">
        <v>166.22522992125982</v>
      </c>
      <c r="AX10" s="12">
        <v>22</v>
      </c>
      <c r="AY10" s="2" t="s">
        <v>2015</v>
      </c>
      <c r="AZ10" s="2" t="s">
        <v>101</v>
      </c>
      <c r="BA10" s="46"/>
      <c r="BB10" s="2" t="s">
        <v>2240</v>
      </c>
      <c r="BC10" s="2" t="s">
        <v>102</v>
      </c>
      <c r="BD10" s="46"/>
      <c r="BE10" s="46"/>
      <c r="BF10" s="12"/>
      <c r="BG10" s="12">
        <v>1</v>
      </c>
      <c r="BH10" s="12" t="s">
        <v>765</v>
      </c>
      <c r="BI10" s="46" t="s">
        <v>763</v>
      </c>
      <c r="BJ10" s="46" t="s">
        <v>766</v>
      </c>
      <c r="BK10" s="46" t="s">
        <v>708</v>
      </c>
      <c r="BL10" s="46" t="s">
        <v>708</v>
      </c>
      <c r="BM10" s="46" t="s">
        <v>708</v>
      </c>
      <c r="BN10" s="46" t="s">
        <v>709</v>
      </c>
      <c r="BO10" s="46" t="s">
        <v>710</v>
      </c>
      <c r="BP10" s="46" t="s">
        <v>436</v>
      </c>
      <c r="BQ10" s="157">
        <v>45513</v>
      </c>
      <c r="BR10" s="156">
        <v>46081</v>
      </c>
      <c r="BS10" s="46" t="s">
        <v>689</v>
      </c>
      <c r="BT10" s="46"/>
      <c r="BU10" s="12">
        <v>1</v>
      </c>
      <c r="BV10" s="158" t="s">
        <v>767</v>
      </c>
      <c r="BW10" s="12" t="s">
        <v>768</v>
      </c>
      <c r="BX10" s="12">
        <v>0</v>
      </c>
      <c r="BY10" s="12">
        <v>0</v>
      </c>
      <c r="BZ10" s="12">
        <v>0</v>
      </c>
      <c r="CA10" s="12">
        <v>0</v>
      </c>
      <c r="CB10" s="12">
        <v>1150000</v>
      </c>
      <c r="CC10" s="12">
        <v>1150000</v>
      </c>
      <c r="CD10" s="12">
        <v>897000</v>
      </c>
      <c r="CE10" s="12">
        <v>823313.5638</v>
      </c>
      <c r="CF10" s="12">
        <v>1</v>
      </c>
      <c r="CG10" s="12">
        <v>7.158196134574087E-4</v>
      </c>
      <c r="CH10" s="12">
        <v>7.158196134574087E-4</v>
      </c>
      <c r="CI10" s="12" t="b">
        <v>0</v>
      </c>
      <c r="CJ10" s="12" t="b">
        <v>0</v>
      </c>
      <c r="CK10" s="12" t="s">
        <v>715</v>
      </c>
      <c r="CL10" s="2" t="s">
        <v>107</v>
      </c>
      <c r="CM10" s="12" t="s">
        <v>769</v>
      </c>
      <c r="CN10" s="12">
        <v>755.56922691481748</v>
      </c>
      <c r="CO10" s="12">
        <v>589.34399699355765</v>
      </c>
      <c r="CP10" s="12" t="s">
        <v>107</v>
      </c>
      <c r="CQ10" s="159"/>
      <c r="CR10" s="46" t="s">
        <v>770</v>
      </c>
      <c r="CS10" s="46" t="s">
        <v>766</v>
      </c>
      <c r="CT10" s="2">
        <v>30716342790</v>
      </c>
      <c r="CU10" s="2" t="s">
        <v>694</v>
      </c>
      <c r="CV10" s="49">
        <v>46087.728472222225</v>
      </c>
      <c r="CW10" s="49">
        <v>46085.873611111114</v>
      </c>
      <c r="CX10" s="2" t="b">
        <v>1</v>
      </c>
      <c r="CY10" s="2" t="b">
        <v>1</v>
      </c>
      <c r="CZ10" s="160">
        <v>46054</v>
      </c>
      <c r="DA10" s="12" t="s">
        <v>693</v>
      </c>
      <c r="DB10" s="12"/>
      <c r="DC10" s="12"/>
      <c r="DD10" s="12"/>
      <c r="DE10" s="12"/>
      <c r="DF10" s="12"/>
      <c r="DG10" s="12"/>
      <c r="DH10" s="12"/>
      <c r="DI10" s="46"/>
      <c r="DJ10" s="48" t="s">
        <v>105</v>
      </c>
      <c r="DK10" s="48" t="s">
        <v>111</v>
      </c>
      <c r="DL10" s="48">
        <v>1055530.2</v>
      </c>
      <c r="DM10" s="13" t="s">
        <v>99</v>
      </c>
      <c r="DN10" s="13" t="s">
        <v>99</v>
      </c>
      <c r="DO10" s="12">
        <v>1.0000000009313226E-2</v>
      </c>
      <c r="DP10" s="12" t="s">
        <v>125</v>
      </c>
      <c r="DQ10" s="12" t="s">
        <v>111</v>
      </c>
      <c r="DR10" s="12">
        <v>1055530.21</v>
      </c>
      <c r="DS10" s="12" t="s">
        <v>99</v>
      </c>
      <c r="DT10" s="12">
        <v>0</v>
      </c>
      <c r="DU10" s="12"/>
      <c r="DV10" s="12"/>
      <c r="DW10" s="12" t="s">
        <v>16</v>
      </c>
      <c r="DX10" s="12"/>
      <c r="DY10" s="12" t="s">
        <v>111</v>
      </c>
      <c r="DZ10" s="12">
        <v>638041.62</v>
      </c>
      <c r="EA10" s="12" t="s">
        <v>99</v>
      </c>
      <c r="EB10" s="12">
        <v>185271.94380000001</v>
      </c>
      <c r="EC10" s="12"/>
      <c r="ED10" s="12" t="str">
        <f>INDEX('con 1'!CI:CI,MATCH(B10,'con 1'!A:A,0),1)</f>
        <v>OK</v>
      </c>
      <c r="EE10" s="12" t="s">
        <v>1946</v>
      </c>
      <c r="EF10" s="12" t="s">
        <v>1947</v>
      </c>
      <c r="EG10" s="48">
        <f ca="1">AN10/INDEX(er!D:D,MATCH(AA10,er!C:C,0),1)</f>
        <v>755.56922691481748</v>
      </c>
    </row>
    <row r="11" spans="1:137" ht="12.5" x14ac:dyDescent="0.25">
      <c r="A11" s="46" t="s">
        <v>103</v>
      </c>
      <c r="B11" s="46" t="s">
        <v>129</v>
      </c>
      <c r="C11" s="46" t="s">
        <v>94</v>
      </c>
      <c r="D11" s="46" t="s">
        <v>98</v>
      </c>
      <c r="E11" s="156">
        <v>46081</v>
      </c>
      <c r="F11" s="46" t="s">
        <v>772</v>
      </c>
      <c r="G11" s="46" t="s">
        <v>773</v>
      </c>
      <c r="H11" s="46" t="s">
        <v>131</v>
      </c>
      <c r="I11" s="46" t="s">
        <v>774</v>
      </c>
      <c r="J11" s="46" t="s">
        <v>775</v>
      </c>
      <c r="K11" s="46" t="s">
        <v>559</v>
      </c>
      <c r="L11" s="46" t="s">
        <v>686</v>
      </c>
      <c r="M11" s="2" t="s">
        <v>563</v>
      </c>
      <c r="N11" s="46" t="s">
        <v>776</v>
      </c>
      <c r="O11" s="46" t="s">
        <v>776</v>
      </c>
      <c r="P11" s="46" t="s">
        <v>93</v>
      </c>
      <c r="Q11" s="46" t="s">
        <v>96</v>
      </c>
      <c r="R11" s="46" t="s">
        <v>104</v>
      </c>
      <c r="S11" s="46" t="s">
        <v>107</v>
      </c>
      <c r="T11" s="46" t="s">
        <v>107</v>
      </c>
      <c r="U11" s="46" t="s">
        <v>436</v>
      </c>
      <c r="V11" s="46" t="s">
        <v>105</v>
      </c>
      <c r="W11" s="46" t="s">
        <v>439</v>
      </c>
      <c r="X11" s="46" t="s">
        <v>687</v>
      </c>
      <c r="Y11" s="46" t="s">
        <v>688</v>
      </c>
      <c r="Z11" s="46" t="s">
        <v>688</v>
      </c>
      <c r="AA11" s="46" t="s">
        <v>111</v>
      </c>
      <c r="AB11" s="12" t="s">
        <v>111</v>
      </c>
      <c r="AC11" s="12">
        <v>1269863.22</v>
      </c>
      <c r="AD11" s="12">
        <v>1269863.22</v>
      </c>
      <c r="AE11" s="12">
        <v>1</v>
      </c>
      <c r="AF11" s="12">
        <v>1</v>
      </c>
      <c r="AG11" s="12">
        <v>1</v>
      </c>
      <c r="AH11" s="12">
        <v>0.78</v>
      </c>
      <c r="AI11" s="12">
        <v>0.78</v>
      </c>
      <c r="AJ11" s="12">
        <v>0</v>
      </c>
      <c r="AK11" s="12"/>
      <c r="AL11" s="12">
        <v>1269863.22</v>
      </c>
      <c r="AM11" s="12">
        <v>1269863.22</v>
      </c>
      <c r="AN11" s="12">
        <v>1269863.22</v>
      </c>
      <c r="AO11" s="12">
        <v>990493.31160000002</v>
      </c>
      <c r="AP11" s="12">
        <v>767600.62</v>
      </c>
      <c r="AQ11" s="12"/>
      <c r="AR11" s="12">
        <v>1269863.22</v>
      </c>
      <c r="AS11" s="12">
        <v>908.99299928418031</v>
      </c>
      <c r="AT11" s="12">
        <v>709.01453944166076</v>
      </c>
      <c r="AU11" s="12">
        <v>279369.90840000001</v>
      </c>
      <c r="AV11" s="12">
        <v>279369.90840000001</v>
      </c>
      <c r="AW11" s="12">
        <v>199.9784598425197</v>
      </c>
      <c r="AX11" s="12">
        <v>22</v>
      </c>
      <c r="AY11" s="2" t="s">
        <v>2068</v>
      </c>
      <c r="AZ11" s="2" t="s">
        <v>101</v>
      </c>
      <c r="BA11" s="46"/>
      <c r="BB11" s="2" t="s">
        <v>2238</v>
      </c>
      <c r="BC11" s="2" t="s">
        <v>102</v>
      </c>
      <c r="BD11" s="46"/>
      <c r="BE11" s="46"/>
      <c r="BF11" s="12"/>
      <c r="BG11" s="12">
        <v>1</v>
      </c>
      <c r="BH11" s="12" t="s">
        <v>777</v>
      </c>
      <c r="BI11" s="46" t="s">
        <v>776</v>
      </c>
      <c r="BJ11" s="46" t="s">
        <v>778</v>
      </c>
      <c r="BK11" s="46" t="s">
        <v>723</v>
      </c>
      <c r="BL11" s="46" t="s">
        <v>723</v>
      </c>
      <c r="BM11" s="46" t="s">
        <v>723</v>
      </c>
      <c r="BN11" s="46" t="s">
        <v>709</v>
      </c>
      <c r="BO11" s="46" t="s">
        <v>710</v>
      </c>
      <c r="BP11" s="46" t="s">
        <v>436</v>
      </c>
      <c r="BQ11" s="157">
        <v>45566</v>
      </c>
      <c r="BR11" s="156">
        <v>46112</v>
      </c>
      <c r="BS11" s="46" t="s">
        <v>746</v>
      </c>
      <c r="BT11" s="46"/>
      <c r="BU11" s="12">
        <v>1</v>
      </c>
      <c r="BV11" s="158" t="s">
        <v>779</v>
      </c>
      <c r="BW11" s="12" t="s">
        <v>780</v>
      </c>
      <c r="BX11" s="12">
        <v>0</v>
      </c>
      <c r="BY11" s="12">
        <v>0</v>
      </c>
      <c r="BZ11" s="12">
        <v>0</v>
      </c>
      <c r="CA11" s="12">
        <v>0</v>
      </c>
      <c r="CB11" s="12">
        <v>1500000</v>
      </c>
      <c r="CC11" s="12">
        <v>1500000</v>
      </c>
      <c r="CD11" s="12">
        <v>1170000</v>
      </c>
      <c r="CE11" s="12">
        <v>990493.31160000002</v>
      </c>
      <c r="CF11" s="12">
        <v>1</v>
      </c>
      <c r="CG11" s="12">
        <v>7.158196134574087E-4</v>
      </c>
      <c r="CH11" s="12">
        <v>7.158196134574087E-4</v>
      </c>
      <c r="CI11" s="12" t="b">
        <v>0</v>
      </c>
      <c r="CJ11" s="12" t="b">
        <v>0</v>
      </c>
      <c r="CK11" s="12" t="s">
        <v>699</v>
      </c>
      <c r="CL11" s="2" t="s">
        <v>107</v>
      </c>
      <c r="CM11" s="12" t="s">
        <v>781</v>
      </c>
      <c r="CN11" s="12">
        <v>908.99299928418043</v>
      </c>
      <c r="CO11" s="12">
        <v>709.01453944166065</v>
      </c>
      <c r="CP11" s="12" t="s">
        <v>107</v>
      </c>
      <c r="CQ11" s="161" t="s">
        <v>776</v>
      </c>
      <c r="CR11" s="46" t="s">
        <v>782</v>
      </c>
      <c r="CS11" s="46" t="s">
        <v>778</v>
      </c>
      <c r="CT11" s="2">
        <v>30707117016</v>
      </c>
      <c r="CU11" s="2" t="s">
        <v>691</v>
      </c>
      <c r="CV11" s="49">
        <v>46087.728472222225</v>
      </c>
      <c r="CW11" s="49">
        <v>46085.874305555553</v>
      </c>
      <c r="CX11" s="2" t="b">
        <v>1</v>
      </c>
      <c r="CY11" s="2" t="b">
        <v>1</v>
      </c>
      <c r="CZ11" s="160">
        <v>46054</v>
      </c>
      <c r="DA11" s="12" t="s">
        <v>693</v>
      </c>
      <c r="DB11" s="12"/>
      <c r="DC11" s="12"/>
      <c r="DD11" s="12"/>
      <c r="DE11" s="12"/>
      <c r="DF11" s="12"/>
      <c r="DG11" s="12"/>
      <c r="DH11" s="12"/>
      <c r="DI11" s="46"/>
      <c r="DJ11" s="48" t="s">
        <v>105</v>
      </c>
      <c r="DK11" s="48" t="s">
        <v>111</v>
      </c>
      <c r="DL11" s="48">
        <v>1269863.23</v>
      </c>
      <c r="DM11" s="13" t="s">
        <v>99</v>
      </c>
      <c r="DN11" s="13" t="s">
        <v>99</v>
      </c>
      <c r="DO11" s="12">
        <v>-1.0000000009313226E-2</v>
      </c>
      <c r="DP11" s="12" t="s">
        <v>129</v>
      </c>
      <c r="DQ11" s="12" t="s">
        <v>111</v>
      </c>
      <c r="DR11" s="12">
        <v>1269863.22</v>
      </c>
      <c r="DS11" s="12" t="s">
        <v>99</v>
      </c>
      <c r="DT11" s="12">
        <v>0</v>
      </c>
      <c r="DU11" s="12"/>
      <c r="DV11" s="12"/>
      <c r="DW11" s="12" t="s">
        <v>16</v>
      </c>
      <c r="DX11" s="12"/>
      <c r="DY11" s="12" t="s">
        <v>111</v>
      </c>
      <c r="DZ11" s="12">
        <v>767600.57</v>
      </c>
      <c r="EA11" s="12" t="s">
        <v>99</v>
      </c>
      <c r="EB11" s="12">
        <v>222892.74160000007</v>
      </c>
      <c r="EC11" s="12"/>
      <c r="ED11" s="12" t="str">
        <f>INDEX('con 1'!CI:CI,MATCH(B11,'con 1'!A:A,0),1)</f>
        <v>OK</v>
      </c>
      <c r="EE11" s="12" t="s">
        <v>1946</v>
      </c>
      <c r="EF11" s="12" t="s">
        <v>1947</v>
      </c>
      <c r="EG11" s="48">
        <f ca="1">AN11/INDEX(er!D:D,MATCH(AA11,er!C:C,0),1)</f>
        <v>908.99299928418031</v>
      </c>
    </row>
    <row r="12" spans="1:137" ht="12.5" x14ac:dyDescent="0.25">
      <c r="A12" s="46" t="s">
        <v>103</v>
      </c>
      <c r="B12" s="46" t="s">
        <v>133</v>
      </c>
      <c r="C12" s="46" t="s">
        <v>94</v>
      </c>
      <c r="D12" s="46" t="s">
        <v>98</v>
      </c>
      <c r="E12" s="156">
        <v>46081</v>
      </c>
      <c r="F12" s="46" t="s">
        <v>784</v>
      </c>
      <c r="G12" s="46" t="s">
        <v>785</v>
      </c>
      <c r="H12" s="46" t="s">
        <v>135</v>
      </c>
      <c r="I12" s="46" t="s">
        <v>786</v>
      </c>
      <c r="J12" s="46" t="s">
        <v>787</v>
      </c>
      <c r="K12" s="46" t="s">
        <v>559</v>
      </c>
      <c r="L12" s="46" t="s">
        <v>686</v>
      </c>
      <c r="M12" s="2" t="s">
        <v>563</v>
      </c>
      <c r="N12" s="46" t="s">
        <v>788</v>
      </c>
      <c r="O12" s="46" t="s">
        <v>789</v>
      </c>
      <c r="P12" s="46" t="s">
        <v>93</v>
      </c>
      <c r="Q12" s="46" t="s">
        <v>96</v>
      </c>
      <c r="R12" s="46" t="s">
        <v>104</v>
      </c>
      <c r="S12" s="46" t="s">
        <v>107</v>
      </c>
      <c r="T12" s="46" t="s">
        <v>107</v>
      </c>
      <c r="U12" s="46" t="s">
        <v>436</v>
      </c>
      <c r="V12" s="46" t="s">
        <v>105</v>
      </c>
      <c r="W12" s="46" t="s">
        <v>439</v>
      </c>
      <c r="X12" s="46" t="s">
        <v>687</v>
      </c>
      <c r="Y12" s="46" t="s">
        <v>688</v>
      </c>
      <c r="Z12" s="46" t="s">
        <v>688</v>
      </c>
      <c r="AA12" s="46" t="s">
        <v>111</v>
      </c>
      <c r="AB12" s="12" t="s">
        <v>111</v>
      </c>
      <c r="AC12" s="12">
        <v>1900327.95</v>
      </c>
      <c r="AD12" s="12">
        <v>1900327.95</v>
      </c>
      <c r="AE12" s="12">
        <v>1</v>
      </c>
      <c r="AF12" s="12">
        <v>1</v>
      </c>
      <c r="AG12" s="12">
        <v>1</v>
      </c>
      <c r="AH12" s="12">
        <v>0.78</v>
      </c>
      <c r="AI12" s="12">
        <v>0.78</v>
      </c>
      <c r="AJ12" s="12">
        <v>0</v>
      </c>
      <c r="AK12" s="12"/>
      <c r="AL12" s="12">
        <v>1900327.95</v>
      </c>
      <c r="AM12" s="12">
        <v>1900327.95</v>
      </c>
      <c r="AN12" s="12">
        <v>1900327.95</v>
      </c>
      <c r="AO12" s="12">
        <v>1482255.801</v>
      </c>
      <c r="AP12" s="12">
        <v>1148700.81</v>
      </c>
      <c r="AQ12" s="12"/>
      <c r="AR12" s="12">
        <v>1900327.95</v>
      </c>
      <c r="AS12" s="12">
        <v>1360.2920186113099</v>
      </c>
      <c r="AT12" s="12">
        <v>1061.0277745168216</v>
      </c>
      <c r="AU12" s="12">
        <v>418072.14899999998</v>
      </c>
      <c r="AV12" s="12">
        <v>418072.14899999998</v>
      </c>
      <c r="AW12" s="12">
        <v>299.26424409448816</v>
      </c>
      <c r="AX12" s="12">
        <v>22</v>
      </c>
      <c r="AY12" s="2" t="s">
        <v>2063</v>
      </c>
      <c r="AZ12" s="2" t="s">
        <v>101</v>
      </c>
      <c r="BA12" s="46"/>
      <c r="BB12" s="2" t="s">
        <v>2236</v>
      </c>
      <c r="BC12" s="2" t="s">
        <v>102</v>
      </c>
      <c r="BD12" s="46"/>
      <c r="BE12" s="46"/>
      <c r="BF12" s="12"/>
      <c r="BG12" s="12">
        <v>1</v>
      </c>
      <c r="BH12" s="12" t="s">
        <v>790</v>
      </c>
      <c r="BI12" s="46" t="s">
        <v>136</v>
      </c>
      <c r="BJ12" s="46" t="s">
        <v>791</v>
      </c>
      <c r="BK12" s="46" t="s">
        <v>708</v>
      </c>
      <c r="BL12" s="46" t="s">
        <v>708</v>
      </c>
      <c r="BM12" s="46" t="s">
        <v>708</v>
      </c>
      <c r="BN12" s="46" t="s">
        <v>735</v>
      </c>
      <c r="BO12" s="46" t="s">
        <v>710</v>
      </c>
      <c r="BP12" s="46" t="s">
        <v>436</v>
      </c>
      <c r="BQ12" s="157">
        <v>46023</v>
      </c>
      <c r="BR12" s="156">
        <v>46081</v>
      </c>
      <c r="BS12" s="46" t="s">
        <v>689</v>
      </c>
      <c r="BT12" s="46"/>
      <c r="BU12" s="12">
        <v>1</v>
      </c>
      <c r="BV12" s="158" t="s">
        <v>792</v>
      </c>
      <c r="BW12" s="12" t="s">
        <v>793</v>
      </c>
      <c r="BX12" s="12">
        <v>0</v>
      </c>
      <c r="BY12" s="12">
        <v>0</v>
      </c>
      <c r="BZ12" s="12">
        <v>0</v>
      </c>
      <c r="CA12" s="12">
        <v>0</v>
      </c>
      <c r="CB12" s="12">
        <v>3000000</v>
      </c>
      <c r="CC12" s="12">
        <v>3000000</v>
      </c>
      <c r="CD12" s="12">
        <v>2340000</v>
      </c>
      <c r="CE12" s="12">
        <v>1482255.801</v>
      </c>
      <c r="CF12" s="12">
        <v>1</v>
      </c>
      <c r="CG12" s="12">
        <v>7.158196134574087E-4</v>
      </c>
      <c r="CH12" s="12">
        <v>7.158196134574087E-4</v>
      </c>
      <c r="CI12" s="12" t="b">
        <v>0</v>
      </c>
      <c r="CJ12" s="12" t="b">
        <v>0</v>
      </c>
      <c r="CK12" s="12" t="s">
        <v>699</v>
      </c>
      <c r="CL12" s="2" t="s">
        <v>107</v>
      </c>
      <c r="CM12" s="12" t="s">
        <v>794</v>
      </c>
      <c r="CN12" s="12">
        <v>1360.2920186113099</v>
      </c>
      <c r="CO12" s="12">
        <v>1061.0277745168219</v>
      </c>
      <c r="CP12" s="12" t="s">
        <v>107</v>
      </c>
      <c r="CQ12" s="159"/>
      <c r="CR12" s="46" t="s">
        <v>795</v>
      </c>
      <c r="CS12" s="46" t="s">
        <v>791</v>
      </c>
      <c r="CT12" s="2">
        <v>30708424478</v>
      </c>
      <c r="CU12" s="2" t="s">
        <v>691</v>
      </c>
      <c r="CV12" s="49">
        <v>46087.728472222225</v>
      </c>
      <c r="CW12" s="49">
        <v>46085.874305555553</v>
      </c>
      <c r="CX12" s="2" t="b">
        <v>1</v>
      </c>
      <c r="CY12" s="2" t="b">
        <v>1</v>
      </c>
      <c r="CZ12" s="160">
        <v>46054</v>
      </c>
      <c r="DA12" s="12" t="s">
        <v>693</v>
      </c>
      <c r="DB12" s="12"/>
      <c r="DC12" s="12"/>
      <c r="DD12" s="12"/>
      <c r="DE12" s="12"/>
      <c r="DF12" s="12"/>
      <c r="DG12" s="12"/>
      <c r="DH12" s="12"/>
      <c r="DI12" s="46"/>
      <c r="DJ12" s="48" t="s">
        <v>105</v>
      </c>
      <c r="DK12" s="48" t="s">
        <v>111</v>
      </c>
      <c r="DL12" s="48">
        <v>1900327.94</v>
      </c>
      <c r="DM12" s="13" t="s">
        <v>99</v>
      </c>
      <c r="DN12" s="13" t="s">
        <v>99</v>
      </c>
      <c r="DO12" s="12">
        <v>1.0000000009313226E-2</v>
      </c>
      <c r="DP12" s="12" t="s">
        <v>133</v>
      </c>
      <c r="DQ12" s="12" t="s">
        <v>111</v>
      </c>
      <c r="DR12" s="12">
        <v>1900327.95</v>
      </c>
      <c r="DS12" s="12" t="s">
        <v>99</v>
      </c>
      <c r="DT12" s="12">
        <v>0</v>
      </c>
      <c r="DU12" s="12"/>
      <c r="DV12" s="12"/>
      <c r="DW12" s="12" t="s">
        <v>16</v>
      </c>
      <c r="DX12" s="12"/>
      <c r="DY12" s="12" t="s">
        <v>111</v>
      </c>
      <c r="DZ12" s="12">
        <v>1148700.73</v>
      </c>
      <c r="EA12" s="12" t="s">
        <v>99</v>
      </c>
      <c r="EB12" s="12">
        <v>333555.071</v>
      </c>
      <c r="EC12" s="12"/>
      <c r="ED12" s="12" t="str">
        <f>INDEX('con 1'!CI:CI,MATCH(B12,'con 1'!A:A,0),1)</f>
        <v>OK</v>
      </c>
      <c r="EE12" s="12" t="s">
        <v>1946</v>
      </c>
      <c r="EF12" s="12" t="s">
        <v>1947</v>
      </c>
      <c r="EG12" s="48">
        <f ca="1">AN12/INDEX(er!D:D,MATCH(AA12,er!C:C,0),1)</f>
        <v>1360.2920186113099</v>
      </c>
    </row>
    <row r="13" spans="1:137" ht="12.5" x14ac:dyDescent="0.25">
      <c r="A13" s="46" t="s">
        <v>103</v>
      </c>
      <c r="B13" s="46" t="s">
        <v>137</v>
      </c>
      <c r="C13" s="46" t="s">
        <v>94</v>
      </c>
      <c r="D13" s="46" t="s">
        <v>98</v>
      </c>
      <c r="E13" s="156">
        <v>46081</v>
      </c>
      <c r="F13" s="46" t="s">
        <v>799</v>
      </c>
      <c r="G13" s="46" t="s">
        <v>800</v>
      </c>
      <c r="H13" s="46" t="s">
        <v>139</v>
      </c>
      <c r="I13" s="46" t="s">
        <v>801</v>
      </c>
      <c r="J13" s="46" t="s">
        <v>802</v>
      </c>
      <c r="K13" s="46" t="s">
        <v>559</v>
      </c>
      <c r="L13" s="46" t="s">
        <v>686</v>
      </c>
      <c r="M13" s="2" t="s">
        <v>563</v>
      </c>
      <c r="N13" s="46" t="s">
        <v>140</v>
      </c>
      <c r="O13" s="46" t="s">
        <v>803</v>
      </c>
      <c r="P13" s="46" t="s">
        <v>93</v>
      </c>
      <c r="Q13" s="46" t="s">
        <v>96</v>
      </c>
      <c r="R13" s="46" t="s">
        <v>104</v>
      </c>
      <c r="S13" s="46" t="s">
        <v>107</v>
      </c>
      <c r="T13" s="46" t="s">
        <v>107</v>
      </c>
      <c r="U13" s="46" t="s">
        <v>436</v>
      </c>
      <c r="V13" s="46" t="s">
        <v>105</v>
      </c>
      <c r="W13" s="46" t="s">
        <v>439</v>
      </c>
      <c r="X13" s="46" t="s">
        <v>687</v>
      </c>
      <c r="Y13" s="46" t="s">
        <v>688</v>
      </c>
      <c r="Z13" s="46" t="s">
        <v>688</v>
      </c>
      <c r="AA13" s="46" t="s">
        <v>111</v>
      </c>
      <c r="AB13" s="12" t="s">
        <v>111</v>
      </c>
      <c r="AC13" s="12">
        <v>81926.990000000005</v>
      </c>
      <c r="AD13" s="12">
        <v>81926.990000000005</v>
      </c>
      <c r="AE13" s="12">
        <v>1</v>
      </c>
      <c r="AF13" s="12">
        <v>1</v>
      </c>
      <c r="AG13" s="12">
        <v>1</v>
      </c>
      <c r="AH13" s="12">
        <v>0.78</v>
      </c>
      <c r="AI13" s="12">
        <v>0.78</v>
      </c>
      <c r="AJ13" s="12">
        <v>0</v>
      </c>
      <c r="AK13" s="12"/>
      <c r="AL13" s="12">
        <v>81926.990000000005</v>
      </c>
      <c r="AM13" s="12">
        <v>81926.990000000005</v>
      </c>
      <c r="AN13" s="12">
        <v>81926.990000000005</v>
      </c>
      <c r="AO13" s="12">
        <v>63903.052199999998</v>
      </c>
      <c r="AP13" s="12">
        <v>49522.82</v>
      </c>
      <c r="AQ13" s="12"/>
      <c r="AR13" s="12">
        <v>81926.990000000005</v>
      </c>
      <c r="AS13" s="12">
        <v>58.644946313528997</v>
      </c>
      <c r="AT13" s="12">
        <v>45.743058124552611</v>
      </c>
      <c r="AU13" s="12">
        <v>18023.9378</v>
      </c>
      <c r="AV13" s="12">
        <v>18023.9378</v>
      </c>
      <c r="AW13" s="12">
        <v>12.901888188976377</v>
      </c>
      <c r="AX13" s="12">
        <v>22</v>
      </c>
      <c r="AY13" s="2" t="s">
        <v>2054</v>
      </c>
      <c r="AZ13" s="2" t="s">
        <v>101</v>
      </c>
      <c r="BA13" s="46"/>
      <c r="BB13" s="2" t="s">
        <v>2234</v>
      </c>
      <c r="BC13" s="2" t="s">
        <v>102</v>
      </c>
      <c r="BD13" s="46"/>
      <c r="BE13" s="46"/>
      <c r="BF13" s="12"/>
      <c r="BG13" s="12">
        <v>1</v>
      </c>
      <c r="BH13" s="12" t="s">
        <v>804</v>
      </c>
      <c r="BI13" s="46" t="s">
        <v>140</v>
      </c>
      <c r="BJ13" s="46" t="s">
        <v>805</v>
      </c>
      <c r="BK13" s="46" t="s">
        <v>723</v>
      </c>
      <c r="BL13" s="46" t="s">
        <v>723</v>
      </c>
      <c r="BM13" s="46" t="s">
        <v>723</v>
      </c>
      <c r="BN13" s="46" t="s">
        <v>709</v>
      </c>
      <c r="BO13" s="46" t="s">
        <v>710</v>
      </c>
      <c r="BP13" s="46" t="s">
        <v>436</v>
      </c>
      <c r="BQ13" s="157">
        <v>45666</v>
      </c>
      <c r="BR13" s="156">
        <v>46058</v>
      </c>
      <c r="BS13" s="46" t="s">
        <v>695</v>
      </c>
      <c r="BT13" s="46"/>
      <c r="BU13" s="12">
        <v>1</v>
      </c>
      <c r="BV13" s="158" t="s">
        <v>806</v>
      </c>
      <c r="BW13" s="12" t="s">
        <v>807</v>
      </c>
      <c r="BX13" s="12">
        <v>0</v>
      </c>
      <c r="BY13" s="12">
        <v>0</v>
      </c>
      <c r="BZ13" s="12">
        <v>0</v>
      </c>
      <c r="CA13" s="12">
        <v>0</v>
      </c>
      <c r="CB13" s="12">
        <v>1</v>
      </c>
      <c r="CC13" s="12">
        <v>1</v>
      </c>
      <c r="CD13" s="12">
        <v>0.78</v>
      </c>
      <c r="CE13" s="12">
        <v>63903.052199999998</v>
      </c>
      <c r="CF13" s="12">
        <v>1</v>
      </c>
      <c r="CG13" s="12">
        <v>7.158196134574087E-4</v>
      </c>
      <c r="CH13" s="12">
        <v>7.158196134574087E-4</v>
      </c>
      <c r="CI13" s="12" t="b">
        <v>0</v>
      </c>
      <c r="CJ13" s="12" t="b">
        <v>0</v>
      </c>
      <c r="CK13" s="12" t="s">
        <v>699</v>
      </c>
      <c r="CL13" s="2" t="s">
        <v>107</v>
      </c>
      <c r="CM13" s="12" t="s">
        <v>794</v>
      </c>
      <c r="CN13" s="12">
        <v>58.64494631352899</v>
      </c>
      <c r="CO13" s="12">
        <v>45.743058124552611</v>
      </c>
      <c r="CP13" s="12" t="s">
        <v>107</v>
      </c>
      <c r="CQ13" s="161"/>
      <c r="CR13" s="46" t="s">
        <v>808</v>
      </c>
      <c r="CS13" s="46" t="s">
        <v>805</v>
      </c>
      <c r="CT13" s="2">
        <v>30710630670</v>
      </c>
      <c r="CU13" s="2" t="s">
        <v>691</v>
      </c>
      <c r="CV13" s="49">
        <v>46087.728472222225</v>
      </c>
      <c r="CW13" s="49">
        <v>46085.874305555553</v>
      </c>
      <c r="CX13" s="2" t="b">
        <v>1</v>
      </c>
      <c r="CY13" s="2" t="b">
        <v>1</v>
      </c>
      <c r="CZ13" s="160">
        <v>46054</v>
      </c>
      <c r="DA13" s="12" t="s">
        <v>693</v>
      </c>
      <c r="DB13" s="12"/>
      <c r="DC13" s="12"/>
      <c r="DD13" s="12"/>
      <c r="DE13" s="12"/>
      <c r="DF13" s="12"/>
      <c r="DG13" s="12"/>
      <c r="DH13" s="12"/>
      <c r="DI13" s="46"/>
      <c r="DJ13" s="48" t="s">
        <v>105</v>
      </c>
      <c r="DK13" s="48" t="s">
        <v>111</v>
      </c>
      <c r="DL13" s="48">
        <v>81926.98</v>
      </c>
      <c r="DM13" s="13" t="s">
        <v>99</v>
      </c>
      <c r="DN13" s="13" t="s">
        <v>99</v>
      </c>
      <c r="DO13" s="12">
        <v>1.0000000009313226E-2</v>
      </c>
      <c r="DP13" s="12" t="s">
        <v>137</v>
      </c>
      <c r="DQ13" s="12" t="s">
        <v>111</v>
      </c>
      <c r="DR13" s="12">
        <v>81926.990000000005</v>
      </c>
      <c r="DS13" s="12" t="s">
        <v>99</v>
      </c>
      <c r="DT13" s="12">
        <v>0</v>
      </c>
      <c r="DU13" s="12"/>
      <c r="DV13" s="12"/>
      <c r="DW13" s="12" t="s">
        <v>16</v>
      </c>
      <c r="DX13" s="12"/>
      <c r="DY13" s="12" t="s">
        <v>111</v>
      </c>
      <c r="DZ13" s="12">
        <v>49522.81</v>
      </c>
      <c r="EA13" s="12" t="s">
        <v>99</v>
      </c>
      <c r="EB13" s="12">
        <v>14380.242200000001</v>
      </c>
      <c r="EC13" s="12"/>
      <c r="ED13" s="12" t="str">
        <f>INDEX('con 1'!CI:CI,MATCH(B13,'con 1'!A:A,0),1)</f>
        <v>OK</v>
      </c>
      <c r="EE13" s="12" t="s">
        <v>1946</v>
      </c>
      <c r="EF13" s="12" t="s">
        <v>1947</v>
      </c>
      <c r="EG13" s="48">
        <f ca="1">AN13/INDEX(er!D:D,MATCH(AA13,er!C:C,0),1)</f>
        <v>58.644946313528997</v>
      </c>
    </row>
    <row r="14" spans="1:137" ht="12.5" x14ac:dyDescent="0.25">
      <c r="A14" s="46" t="s">
        <v>103</v>
      </c>
      <c r="B14" s="46" t="s">
        <v>141</v>
      </c>
      <c r="C14" s="46" t="s">
        <v>94</v>
      </c>
      <c r="D14" s="46" t="s">
        <v>98</v>
      </c>
      <c r="E14" s="156">
        <v>46081</v>
      </c>
      <c r="F14" s="46" t="s">
        <v>809</v>
      </c>
      <c r="G14" s="46" t="s">
        <v>810</v>
      </c>
      <c r="H14" s="46" t="s">
        <v>143</v>
      </c>
      <c r="I14" s="46" t="s">
        <v>811</v>
      </c>
      <c r="J14" s="46" t="s">
        <v>812</v>
      </c>
      <c r="K14" s="46" t="s">
        <v>559</v>
      </c>
      <c r="L14" s="46" t="s">
        <v>686</v>
      </c>
      <c r="M14" s="2" t="s">
        <v>563</v>
      </c>
      <c r="N14" s="46" t="s">
        <v>813</v>
      </c>
      <c r="O14" s="46" t="s">
        <v>813</v>
      </c>
      <c r="P14" s="46" t="s">
        <v>93</v>
      </c>
      <c r="Q14" s="46" t="s">
        <v>100</v>
      </c>
      <c r="R14" s="46" t="s">
        <v>104</v>
      </c>
      <c r="S14" s="46" t="s">
        <v>107</v>
      </c>
      <c r="T14" s="46" t="s">
        <v>107</v>
      </c>
      <c r="U14" s="46" t="s">
        <v>436</v>
      </c>
      <c r="V14" s="46" t="s">
        <v>105</v>
      </c>
      <c r="W14" s="46" t="s">
        <v>439</v>
      </c>
      <c r="X14" s="46" t="s">
        <v>687</v>
      </c>
      <c r="Y14" s="46" t="s">
        <v>688</v>
      </c>
      <c r="Z14" s="46" t="s">
        <v>688</v>
      </c>
      <c r="AA14" s="46" t="s">
        <v>111</v>
      </c>
      <c r="AB14" s="12" t="s">
        <v>111</v>
      </c>
      <c r="AC14" s="12">
        <v>16336337.960000001</v>
      </c>
      <c r="AD14" s="12">
        <v>16336337.960000001</v>
      </c>
      <c r="AE14" s="12">
        <v>1</v>
      </c>
      <c r="AF14" s="12">
        <v>1</v>
      </c>
      <c r="AG14" s="12">
        <v>1</v>
      </c>
      <c r="AH14" s="12">
        <v>0.85</v>
      </c>
      <c r="AI14" s="12">
        <v>0.85</v>
      </c>
      <c r="AJ14" s="12">
        <v>0</v>
      </c>
      <c r="AK14" s="12"/>
      <c r="AL14" s="12">
        <v>16336337.960000001</v>
      </c>
      <c r="AM14" s="12">
        <v>16336337.960000001</v>
      </c>
      <c r="AN14" s="12">
        <v>16336337.960000001</v>
      </c>
      <c r="AO14" s="12">
        <v>13885887.266000001</v>
      </c>
      <c r="AP14" s="12">
        <v>10781901.369999999</v>
      </c>
      <c r="AQ14" s="12"/>
      <c r="AR14" s="12">
        <v>16336337.960000001</v>
      </c>
      <c r="AS14" s="12">
        <v>11693.871123836794</v>
      </c>
      <c r="AT14" s="12">
        <v>9939.7904552612745</v>
      </c>
      <c r="AU14" s="12">
        <v>2450450.6940000001</v>
      </c>
      <c r="AV14" s="12">
        <v>2450450.6940000001</v>
      </c>
      <c r="AW14" s="12">
        <v>1754.080668575519</v>
      </c>
      <c r="AX14" s="12">
        <v>15</v>
      </c>
      <c r="AY14" s="2" t="s">
        <v>2023</v>
      </c>
      <c r="AZ14" s="2" t="s">
        <v>101</v>
      </c>
      <c r="BA14" s="46"/>
      <c r="BB14" s="2" t="s">
        <v>2232</v>
      </c>
      <c r="BC14" s="2" t="s">
        <v>102</v>
      </c>
      <c r="BD14" s="46"/>
      <c r="BE14" s="46"/>
      <c r="BF14" s="12"/>
      <c r="BG14" s="12">
        <v>1</v>
      </c>
      <c r="BH14" s="12" t="s">
        <v>814</v>
      </c>
      <c r="BI14" s="46" t="s">
        <v>813</v>
      </c>
      <c r="BJ14" s="46" t="s">
        <v>815</v>
      </c>
      <c r="BK14" s="46" t="s">
        <v>743</v>
      </c>
      <c r="BL14" s="46" t="s">
        <v>743</v>
      </c>
      <c r="BM14" s="46" t="s">
        <v>743</v>
      </c>
      <c r="BN14" s="46" t="s">
        <v>744</v>
      </c>
      <c r="BO14" s="46" t="s">
        <v>745</v>
      </c>
      <c r="BP14" s="46" t="s">
        <v>436</v>
      </c>
      <c r="BQ14" s="157">
        <v>45730</v>
      </c>
      <c r="BR14" s="156">
        <v>46058</v>
      </c>
      <c r="BS14" s="46" t="s">
        <v>696</v>
      </c>
      <c r="BT14" s="46"/>
      <c r="BU14" s="12">
        <v>1</v>
      </c>
      <c r="BV14" s="158" t="s">
        <v>816</v>
      </c>
      <c r="BW14" s="12" t="s">
        <v>817</v>
      </c>
      <c r="BX14" s="12">
        <v>0</v>
      </c>
      <c r="BY14" s="12">
        <v>0</v>
      </c>
      <c r="BZ14" s="12">
        <v>0</v>
      </c>
      <c r="CA14" s="12">
        <v>0</v>
      </c>
      <c r="CB14" s="12">
        <v>1</v>
      </c>
      <c r="CC14" s="12">
        <v>1</v>
      </c>
      <c r="CD14" s="12">
        <v>0.85</v>
      </c>
      <c r="CE14" s="12">
        <v>13885887.266000001</v>
      </c>
      <c r="CF14" s="12">
        <v>1</v>
      </c>
      <c r="CG14" s="12">
        <v>7.158196134574087E-4</v>
      </c>
      <c r="CH14" s="12">
        <v>7.158196134574087E-4</v>
      </c>
      <c r="CI14" s="12" t="b">
        <v>0</v>
      </c>
      <c r="CJ14" s="12" t="b">
        <v>0</v>
      </c>
      <c r="CK14" s="12" t="s">
        <v>690</v>
      </c>
      <c r="CL14" s="2" t="s">
        <v>107</v>
      </c>
      <c r="CM14" s="12" t="s">
        <v>783</v>
      </c>
      <c r="CN14" s="12">
        <v>11693.871123836792</v>
      </c>
      <c r="CO14" s="12">
        <v>9939.7904552612745</v>
      </c>
      <c r="CP14" s="12" t="s">
        <v>107</v>
      </c>
      <c r="CQ14" s="161"/>
      <c r="CR14" s="46" t="s">
        <v>818</v>
      </c>
      <c r="CS14" s="46" t="s">
        <v>815</v>
      </c>
      <c r="CT14" s="2">
        <v>30715803891</v>
      </c>
      <c r="CU14" s="2" t="s">
        <v>691</v>
      </c>
      <c r="CV14" s="49">
        <v>46087.728472222225</v>
      </c>
      <c r="CW14" s="49">
        <v>46085.873611111114</v>
      </c>
      <c r="CX14" s="2" t="b">
        <v>1</v>
      </c>
      <c r="CY14" s="2" t="b">
        <v>1</v>
      </c>
      <c r="CZ14" s="160">
        <v>46054</v>
      </c>
      <c r="DA14" s="12" t="s">
        <v>693</v>
      </c>
      <c r="DB14" s="12"/>
      <c r="DC14" s="12"/>
      <c r="DD14" s="12"/>
      <c r="DE14" s="12"/>
      <c r="DF14" s="12"/>
      <c r="DG14" s="12"/>
      <c r="DH14" s="12"/>
      <c r="DI14" s="46"/>
      <c r="DJ14" s="48"/>
      <c r="DK14" s="48"/>
      <c r="DL14" s="48"/>
      <c r="DM14" s="13" t="s">
        <v>16</v>
      </c>
      <c r="DN14" s="13" t="s">
        <v>16</v>
      </c>
      <c r="DO14" s="12"/>
      <c r="DP14" s="12" t="s">
        <v>141</v>
      </c>
      <c r="DQ14" s="12" t="s">
        <v>111</v>
      </c>
      <c r="DR14" s="12">
        <v>16336337.960000001</v>
      </c>
      <c r="DS14" s="12" t="s">
        <v>99</v>
      </c>
      <c r="DT14" s="12">
        <v>0</v>
      </c>
      <c r="DU14" s="12"/>
      <c r="DV14" s="12"/>
      <c r="DW14" s="12" t="s">
        <v>16</v>
      </c>
      <c r="DX14" s="12"/>
      <c r="DY14" s="12" t="s">
        <v>111</v>
      </c>
      <c r="DZ14" s="12">
        <v>10782309.779999999</v>
      </c>
      <c r="EA14" s="12" t="s">
        <v>99</v>
      </c>
      <c r="EB14" s="12">
        <v>3103577.4860000014</v>
      </c>
      <c r="EC14" s="12"/>
      <c r="ED14" s="12" t="str">
        <f>INDEX('con 1'!CI:CI,MATCH(B14,'con 1'!A:A,0),1)</f>
        <v>OK</v>
      </c>
      <c r="EE14" s="12" t="s">
        <v>1946</v>
      </c>
      <c r="EF14" s="12" t="s">
        <v>1947</v>
      </c>
      <c r="EG14" s="48">
        <f ca="1">AN14/INDEX(er!D:D,MATCH(AA14,er!C:C,0),1)</f>
        <v>11693.871123836794</v>
      </c>
    </row>
    <row r="15" spans="1:137" ht="12.5" x14ac:dyDescent="0.25">
      <c r="A15" s="46" t="s">
        <v>103</v>
      </c>
      <c r="B15" s="46" t="s">
        <v>147</v>
      </c>
      <c r="C15" s="46" t="s">
        <v>94</v>
      </c>
      <c r="D15" s="46" t="s">
        <v>98</v>
      </c>
      <c r="E15" s="156">
        <v>46081</v>
      </c>
      <c r="F15" s="46" t="s">
        <v>836</v>
      </c>
      <c r="G15" s="46" t="s">
        <v>848</v>
      </c>
      <c r="H15" s="46" t="s">
        <v>149</v>
      </c>
      <c r="I15" s="46" t="s">
        <v>837</v>
      </c>
      <c r="J15" s="46" t="s">
        <v>849</v>
      </c>
      <c r="K15" s="46" t="s">
        <v>559</v>
      </c>
      <c r="L15" s="46" t="s">
        <v>686</v>
      </c>
      <c r="M15" s="2" t="s">
        <v>563</v>
      </c>
      <c r="N15" s="46" t="s">
        <v>839</v>
      </c>
      <c r="O15" s="46" t="s">
        <v>840</v>
      </c>
      <c r="P15" s="46" t="s">
        <v>93</v>
      </c>
      <c r="Q15" s="46" t="s">
        <v>96</v>
      </c>
      <c r="R15" s="46" t="s">
        <v>104</v>
      </c>
      <c r="S15" s="46" t="s">
        <v>107</v>
      </c>
      <c r="T15" s="46" t="s">
        <v>107</v>
      </c>
      <c r="U15" s="46" t="s">
        <v>436</v>
      </c>
      <c r="V15" s="46" t="s">
        <v>105</v>
      </c>
      <c r="W15" s="46" t="s">
        <v>439</v>
      </c>
      <c r="X15" s="46" t="s">
        <v>687</v>
      </c>
      <c r="Y15" s="46" t="s">
        <v>688</v>
      </c>
      <c r="Z15" s="46" t="s">
        <v>688</v>
      </c>
      <c r="AA15" s="46" t="s">
        <v>111</v>
      </c>
      <c r="AB15" s="12" t="s">
        <v>111</v>
      </c>
      <c r="AC15" s="12">
        <v>610190.21</v>
      </c>
      <c r="AD15" s="12">
        <v>610190.21</v>
      </c>
      <c r="AE15" s="12">
        <v>1</v>
      </c>
      <c r="AF15" s="12">
        <v>1</v>
      </c>
      <c r="AG15" s="12">
        <v>1</v>
      </c>
      <c r="AH15" s="12">
        <v>0.78</v>
      </c>
      <c r="AI15" s="12">
        <v>0.78</v>
      </c>
      <c r="AJ15" s="12">
        <v>0</v>
      </c>
      <c r="AK15" s="12"/>
      <c r="AL15" s="12">
        <v>610190.21</v>
      </c>
      <c r="AM15" s="12">
        <v>610190.21</v>
      </c>
      <c r="AN15" s="12">
        <v>610190.21</v>
      </c>
      <c r="AO15" s="12">
        <v>475948.36379999999</v>
      </c>
      <c r="AP15" s="12">
        <v>368844.75</v>
      </c>
      <c r="AQ15" s="12"/>
      <c r="AR15" s="12">
        <v>610190.21</v>
      </c>
      <c r="AS15" s="12">
        <v>436.78612025769502</v>
      </c>
      <c r="AT15" s="12">
        <v>340.69317380100216</v>
      </c>
      <c r="AU15" s="12">
        <v>134241.8462</v>
      </c>
      <c r="AV15" s="12">
        <v>134241.8462</v>
      </c>
      <c r="AW15" s="12">
        <v>96.092946456692914</v>
      </c>
      <c r="AX15" s="12">
        <v>22</v>
      </c>
      <c r="AY15" s="2" t="s">
        <v>2013</v>
      </c>
      <c r="AZ15" s="2" t="s">
        <v>101</v>
      </c>
      <c r="BA15" s="46"/>
      <c r="BB15" s="2" t="s">
        <v>2230</v>
      </c>
      <c r="BC15" s="2" t="s">
        <v>102</v>
      </c>
      <c r="BD15" s="46"/>
      <c r="BE15" s="46"/>
      <c r="BF15" s="12"/>
      <c r="BG15" s="12">
        <v>1</v>
      </c>
      <c r="BH15" s="12" t="s">
        <v>841</v>
      </c>
      <c r="BI15" s="46" t="s">
        <v>842</v>
      </c>
      <c r="BJ15" s="46" t="s">
        <v>843</v>
      </c>
      <c r="BK15" s="46" t="s">
        <v>708</v>
      </c>
      <c r="BL15" s="46" t="s">
        <v>697</v>
      </c>
      <c r="BM15" s="46" t="s">
        <v>697</v>
      </c>
      <c r="BN15" s="46" t="s">
        <v>735</v>
      </c>
      <c r="BO15" s="46" t="s">
        <v>710</v>
      </c>
      <c r="BP15" s="46" t="s">
        <v>436</v>
      </c>
      <c r="BQ15" s="157">
        <v>45778</v>
      </c>
      <c r="BR15" s="156">
        <v>46112</v>
      </c>
      <c r="BS15" s="46" t="s">
        <v>689</v>
      </c>
      <c r="BT15" s="46"/>
      <c r="BU15" s="12">
        <v>2</v>
      </c>
      <c r="BV15" s="158" t="s">
        <v>850</v>
      </c>
      <c r="BW15" s="12" t="s">
        <v>851</v>
      </c>
      <c r="BX15" s="12">
        <v>0</v>
      </c>
      <c r="BY15" s="12">
        <v>0</v>
      </c>
      <c r="BZ15" s="12">
        <v>0</v>
      </c>
      <c r="CA15" s="12">
        <v>0</v>
      </c>
      <c r="CB15" s="12">
        <v>1180000</v>
      </c>
      <c r="CC15" s="12">
        <v>1180000</v>
      </c>
      <c r="CD15" s="12">
        <v>920400</v>
      </c>
      <c r="CE15" s="12">
        <v>475948.36379999999</v>
      </c>
      <c r="CF15" s="12">
        <v>1</v>
      </c>
      <c r="CG15" s="12">
        <v>7.158196134574087E-4</v>
      </c>
      <c r="CH15" s="12">
        <v>7.158196134574087E-4</v>
      </c>
      <c r="CI15" s="12" t="b">
        <v>0</v>
      </c>
      <c r="CJ15" s="12" t="b">
        <v>0</v>
      </c>
      <c r="CK15" s="12" t="s">
        <v>690</v>
      </c>
      <c r="CL15" s="2" t="s">
        <v>107</v>
      </c>
      <c r="CM15" s="12" t="s">
        <v>844</v>
      </c>
      <c r="CN15" s="12">
        <v>436.78612025769507</v>
      </c>
      <c r="CO15" s="12">
        <v>340.69317380100216</v>
      </c>
      <c r="CP15" s="12" t="s">
        <v>107</v>
      </c>
      <c r="CQ15" s="159" t="s">
        <v>840</v>
      </c>
      <c r="CR15" s="46" t="s">
        <v>845</v>
      </c>
      <c r="CS15" s="46" t="s">
        <v>843</v>
      </c>
      <c r="CT15" s="2">
        <v>30716369087</v>
      </c>
      <c r="CU15" s="2" t="s">
        <v>691</v>
      </c>
      <c r="CV15" s="49">
        <v>46087.728472222225</v>
      </c>
      <c r="CW15" s="49">
        <v>46085.873611111114</v>
      </c>
      <c r="CX15" s="2" t="b">
        <v>1</v>
      </c>
      <c r="CY15" s="2" t="b">
        <v>1</v>
      </c>
      <c r="CZ15" s="160">
        <v>46054</v>
      </c>
      <c r="DA15" s="12" t="s">
        <v>693</v>
      </c>
      <c r="DB15" s="12"/>
      <c r="DC15" s="12"/>
      <c r="DD15" s="12"/>
      <c r="DE15" s="12"/>
      <c r="DF15" s="12"/>
      <c r="DG15" s="12"/>
      <c r="DH15" s="12"/>
      <c r="DI15" s="46"/>
      <c r="DJ15" s="48" t="s">
        <v>105</v>
      </c>
      <c r="DK15" s="48" t="s">
        <v>111</v>
      </c>
      <c r="DL15" s="48">
        <v>610222.1</v>
      </c>
      <c r="DM15" s="13" t="s">
        <v>99</v>
      </c>
      <c r="DN15" s="13" t="s">
        <v>99</v>
      </c>
      <c r="DO15" s="12">
        <v>-31.89000000001397</v>
      </c>
      <c r="DP15" s="12" t="s">
        <v>147</v>
      </c>
      <c r="DQ15" s="12" t="s">
        <v>111</v>
      </c>
      <c r="DR15" s="12">
        <v>610190.21</v>
      </c>
      <c r="DS15" s="12" t="s">
        <v>99</v>
      </c>
      <c r="DT15" s="12">
        <v>0</v>
      </c>
      <c r="DU15" s="12"/>
      <c r="DV15" s="12"/>
      <c r="DW15" s="12" t="s">
        <v>16</v>
      </c>
      <c r="DX15" s="12"/>
      <c r="DY15" s="12" t="s">
        <v>111</v>
      </c>
      <c r="DZ15" s="12">
        <v>368844.73</v>
      </c>
      <c r="EA15" s="12" t="s">
        <v>99</v>
      </c>
      <c r="EB15" s="12">
        <v>107103.63380000001</v>
      </c>
      <c r="EC15" s="12"/>
      <c r="ED15" s="12" t="str">
        <f>INDEX('con 1'!CI:CI,MATCH(B15,'con 1'!A:A,0),1)</f>
        <v>OK</v>
      </c>
      <c r="EE15" s="12" t="s">
        <v>1946</v>
      </c>
      <c r="EF15" s="12" t="s">
        <v>1947</v>
      </c>
      <c r="EG15" s="48">
        <f ca="1">AN15/INDEX(er!D:D,MATCH(AA15,er!C:C,0),1)</f>
        <v>436.78612025769502</v>
      </c>
    </row>
    <row r="16" spans="1:137" ht="12.5" x14ac:dyDescent="0.25">
      <c r="A16" s="46" t="s">
        <v>103</v>
      </c>
      <c r="B16" s="46" t="s">
        <v>151</v>
      </c>
      <c r="C16" s="46" t="s">
        <v>94</v>
      </c>
      <c r="D16" s="46" t="s">
        <v>98</v>
      </c>
      <c r="E16" s="156">
        <v>46081</v>
      </c>
      <c r="F16" s="46" t="s">
        <v>852</v>
      </c>
      <c r="G16" s="46" t="s">
        <v>853</v>
      </c>
      <c r="H16" s="46" t="s">
        <v>153</v>
      </c>
      <c r="I16" s="46" t="s">
        <v>854</v>
      </c>
      <c r="J16" s="46" t="s">
        <v>855</v>
      </c>
      <c r="K16" s="46" t="s">
        <v>559</v>
      </c>
      <c r="L16" s="46" t="s">
        <v>686</v>
      </c>
      <c r="M16" s="2" t="s">
        <v>563</v>
      </c>
      <c r="N16" s="46" t="s">
        <v>825</v>
      </c>
      <c r="O16" s="46" t="s">
        <v>826</v>
      </c>
      <c r="P16" s="46" t="s">
        <v>93</v>
      </c>
      <c r="Q16" s="46" t="s">
        <v>96</v>
      </c>
      <c r="R16" s="46" t="s">
        <v>104</v>
      </c>
      <c r="S16" s="46" t="s">
        <v>107</v>
      </c>
      <c r="T16" s="46" t="s">
        <v>107</v>
      </c>
      <c r="U16" s="46" t="s">
        <v>436</v>
      </c>
      <c r="V16" s="46" t="s">
        <v>105</v>
      </c>
      <c r="W16" s="46" t="s">
        <v>439</v>
      </c>
      <c r="X16" s="46" t="s">
        <v>687</v>
      </c>
      <c r="Y16" s="46" t="s">
        <v>688</v>
      </c>
      <c r="Z16" s="46" t="s">
        <v>688</v>
      </c>
      <c r="AA16" s="46" t="s">
        <v>111</v>
      </c>
      <c r="AB16" s="12" t="s">
        <v>111</v>
      </c>
      <c r="AC16" s="12">
        <v>2007664.48</v>
      </c>
      <c r="AD16" s="12">
        <v>2007664.48</v>
      </c>
      <c r="AE16" s="12">
        <v>1</v>
      </c>
      <c r="AF16" s="12">
        <v>1</v>
      </c>
      <c r="AG16" s="12">
        <v>1</v>
      </c>
      <c r="AH16" s="12">
        <v>0.78</v>
      </c>
      <c r="AI16" s="12">
        <v>0.78</v>
      </c>
      <c r="AJ16" s="12">
        <v>0</v>
      </c>
      <c r="AK16" s="12"/>
      <c r="AL16" s="12">
        <v>2007664.48</v>
      </c>
      <c r="AM16" s="12">
        <v>2007664.48</v>
      </c>
      <c r="AN16" s="12">
        <v>2007664.48</v>
      </c>
      <c r="AO16" s="12">
        <v>1565978.2944</v>
      </c>
      <c r="AP16" s="12">
        <v>1213583.07</v>
      </c>
      <c r="AQ16" s="12"/>
      <c r="AR16" s="12">
        <v>2007664.48</v>
      </c>
      <c r="AS16" s="12">
        <v>1437.1256120257694</v>
      </c>
      <c r="AT16" s="12">
        <v>1120.9579773801001</v>
      </c>
      <c r="AU16" s="12">
        <v>441686.18560000003</v>
      </c>
      <c r="AV16" s="12">
        <v>441686.18560000003</v>
      </c>
      <c r="AW16" s="12">
        <v>316.1676346456693</v>
      </c>
      <c r="AX16" s="12">
        <v>22</v>
      </c>
      <c r="AY16" s="2" t="s">
        <v>2050</v>
      </c>
      <c r="AZ16" s="2" t="s">
        <v>101</v>
      </c>
      <c r="BA16" s="46"/>
      <c r="BB16" s="2" t="s">
        <v>2228</v>
      </c>
      <c r="BC16" s="2" t="s">
        <v>102</v>
      </c>
      <c r="BD16" s="46"/>
      <c r="BE16" s="46"/>
      <c r="BF16" s="12"/>
      <c r="BG16" s="12">
        <v>1</v>
      </c>
      <c r="BH16" s="12" t="s">
        <v>856</v>
      </c>
      <c r="BI16" s="46" t="s">
        <v>825</v>
      </c>
      <c r="BJ16" s="46" t="s">
        <v>827</v>
      </c>
      <c r="BK16" s="46" t="s">
        <v>708</v>
      </c>
      <c r="BL16" s="46" t="s">
        <v>708</v>
      </c>
      <c r="BM16" s="46" t="s">
        <v>708</v>
      </c>
      <c r="BN16" s="46" t="s">
        <v>735</v>
      </c>
      <c r="BO16" s="46" t="s">
        <v>710</v>
      </c>
      <c r="BP16" s="46" t="s">
        <v>436</v>
      </c>
      <c r="BQ16" s="157">
        <v>45822</v>
      </c>
      <c r="BR16" s="156">
        <v>46081</v>
      </c>
      <c r="BS16" s="46" t="s">
        <v>692</v>
      </c>
      <c r="BT16" s="46"/>
      <c r="BU16" s="12">
        <v>1</v>
      </c>
      <c r="BV16" s="158" t="s">
        <v>857</v>
      </c>
      <c r="BW16" s="12" t="s">
        <v>858</v>
      </c>
      <c r="BX16" s="12">
        <v>0</v>
      </c>
      <c r="BY16" s="12">
        <v>0</v>
      </c>
      <c r="BZ16" s="12">
        <v>0</v>
      </c>
      <c r="CA16" s="12">
        <v>0</v>
      </c>
      <c r="CB16" s="12">
        <v>2000000.01</v>
      </c>
      <c r="CC16" s="12">
        <v>2000000.01</v>
      </c>
      <c r="CD16" s="12">
        <v>1560000.0078</v>
      </c>
      <c r="CE16" s="12">
        <v>1565978.2944</v>
      </c>
      <c r="CF16" s="12">
        <v>1</v>
      </c>
      <c r="CG16" s="12">
        <v>7.158196134574087E-4</v>
      </c>
      <c r="CH16" s="12">
        <v>7.158196134574087E-4</v>
      </c>
      <c r="CI16" s="12" t="b">
        <v>0</v>
      </c>
      <c r="CJ16" s="12" t="b">
        <v>0</v>
      </c>
      <c r="CK16" s="12" t="s">
        <v>715</v>
      </c>
      <c r="CL16" s="2" t="s">
        <v>107</v>
      </c>
      <c r="CM16" s="12" t="s">
        <v>859</v>
      </c>
      <c r="CN16" s="12">
        <v>1437.1256120257694</v>
      </c>
      <c r="CO16" s="12">
        <v>1120.9579773801001</v>
      </c>
      <c r="CP16" s="12" t="s">
        <v>107</v>
      </c>
      <c r="CQ16" s="161" t="s">
        <v>826</v>
      </c>
      <c r="CR16" s="46" t="s">
        <v>828</v>
      </c>
      <c r="CS16" s="46" t="s">
        <v>827</v>
      </c>
      <c r="CT16" s="2">
        <v>30712014047</v>
      </c>
      <c r="CU16" s="2" t="s">
        <v>694</v>
      </c>
      <c r="CV16" s="49">
        <v>46087.728472222225</v>
      </c>
      <c r="CW16" s="49">
        <v>46085.874305555553</v>
      </c>
      <c r="CX16" s="2" t="b">
        <v>1</v>
      </c>
      <c r="CY16" s="2" t="b">
        <v>1</v>
      </c>
      <c r="CZ16" s="160">
        <v>46054</v>
      </c>
      <c r="DA16" s="12" t="s">
        <v>693</v>
      </c>
      <c r="DB16" s="12"/>
      <c r="DC16" s="12"/>
      <c r="DD16" s="12"/>
      <c r="DE16" s="12"/>
      <c r="DF16" s="12"/>
      <c r="DG16" s="12"/>
      <c r="DH16" s="12"/>
      <c r="DI16" s="46"/>
      <c r="DJ16" s="48" t="s">
        <v>105</v>
      </c>
      <c r="DK16" s="48" t="s">
        <v>111</v>
      </c>
      <c r="DL16" s="48">
        <v>2007664.47</v>
      </c>
      <c r="DM16" s="13" t="s">
        <v>99</v>
      </c>
      <c r="DN16" s="13" t="s">
        <v>99</v>
      </c>
      <c r="DO16" s="12">
        <v>1.0000000009313226E-2</v>
      </c>
      <c r="DP16" s="12" t="s">
        <v>151</v>
      </c>
      <c r="DQ16" s="12" t="s">
        <v>111</v>
      </c>
      <c r="DR16" s="12">
        <v>2007664.48</v>
      </c>
      <c r="DS16" s="12" t="s">
        <v>99</v>
      </c>
      <c r="DT16" s="12">
        <v>0</v>
      </c>
      <c r="DU16" s="12"/>
      <c r="DV16" s="12"/>
      <c r="DW16" s="12" t="s">
        <v>16</v>
      </c>
      <c r="DX16" s="12"/>
      <c r="DY16" s="12" t="s">
        <v>111</v>
      </c>
      <c r="DZ16" s="12">
        <v>1213582.99</v>
      </c>
      <c r="EA16" s="12" t="s">
        <v>99</v>
      </c>
      <c r="EB16" s="12">
        <v>352395.30440000002</v>
      </c>
      <c r="EC16" s="12"/>
      <c r="ED16" s="12" t="str">
        <f>INDEX('con 1'!CI:CI,MATCH(B16,'con 1'!A:A,0),1)</f>
        <v>OK</v>
      </c>
      <c r="EE16" s="12" t="s">
        <v>1946</v>
      </c>
      <c r="EF16" s="12" t="s">
        <v>1947</v>
      </c>
      <c r="EG16" s="48">
        <f ca="1">AN16/INDEX(er!D:D,MATCH(AA16,er!C:C,0),1)</f>
        <v>1437.1256120257694</v>
      </c>
    </row>
    <row r="17" spans="1:137" ht="12.5" x14ac:dyDescent="0.25">
      <c r="A17" s="46" t="s">
        <v>103</v>
      </c>
      <c r="B17" s="46" t="s">
        <v>155</v>
      </c>
      <c r="C17" s="46" t="s">
        <v>94</v>
      </c>
      <c r="D17" s="46" t="s">
        <v>98</v>
      </c>
      <c r="E17" s="156">
        <v>46081</v>
      </c>
      <c r="F17" s="46" t="s">
        <v>866</v>
      </c>
      <c r="G17" s="46" t="s">
        <v>867</v>
      </c>
      <c r="H17" s="46" t="s">
        <v>157</v>
      </c>
      <c r="I17" s="46" t="s">
        <v>868</v>
      </c>
      <c r="J17" s="46" t="s">
        <v>869</v>
      </c>
      <c r="K17" s="46" t="s">
        <v>559</v>
      </c>
      <c r="L17" s="46" t="s">
        <v>686</v>
      </c>
      <c r="M17" s="2" t="s">
        <v>563</v>
      </c>
      <c r="N17" s="46" t="s">
        <v>870</v>
      </c>
      <c r="O17" s="46" t="s">
        <v>871</v>
      </c>
      <c r="P17" s="46" t="s">
        <v>93</v>
      </c>
      <c r="Q17" s="46" t="s">
        <v>96</v>
      </c>
      <c r="R17" s="46" t="s">
        <v>104</v>
      </c>
      <c r="S17" s="46" t="s">
        <v>107</v>
      </c>
      <c r="T17" s="46" t="s">
        <v>107</v>
      </c>
      <c r="U17" s="46" t="s">
        <v>436</v>
      </c>
      <c r="V17" s="46" t="s">
        <v>105</v>
      </c>
      <c r="W17" s="46" t="s">
        <v>439</v>
      </c>
      <c r="X17" s="46" t="s">
        <v>687</v>
      </c>
      <c r="Y17" s="46" t="s">
        <v>688</v>
      </c>
      <c r="Z17" s="46" t="s">
        <v>688</v>
      </c>
      <c r="AA17" s="46" t="s">
        <v>111</v>
      </c>
      <c r="AB17" s="12" t="s">
        <v>111</v>
      </c>
      <c r="AC17" s="12">
        <v>3110400</v>
      </c>
      <c r="AD17" s="12">
        <v>3110400</v>
      </c>
      <c r="AE17" s="12">
        <v>1</v>
      </c>
      <c r="AF17" s="12">
        <v>1</v>
      </c>
      <c r="AG17" s="12">
        <v>1</v>
      </c>
      <c r="AH17" s="12">
        <v>0.78</v>
      </c>
      <c r="AI17" s="12">
        <v>0.78</v>
      </c>
      <c r="AJ17" s="12">
        <v>0</v>
      </c>
      <c r="AK17" s="12"/>
      <c r="AL17" s="12">
        <v>3110400</v>
      </c>
      <c r="AM17" s="12">
        <v>3110400</v>
      </c>
      <c r="AN17" s="12">
        <v>3110400</v>
      </c>
      <c r="AO17" s="12">
        <v>2426112</v>
      </c>
      <c r="AP17" s="12">
        <v>1880159.16</v>
      </c>
      <c r="AQ17" s="12"/>
      <c r="AR17" s="12">
        <v>3110400</v>
      </c>
      <c r="AS17" s="12">
        <v>2226.4853256979241</v>
      </c>
      <c r="AT17" s="12">
        <v>1736.6585540443807</v>
      </c>
      <c r="AU17" s="12">
        <v>684288</v>
      </c>
      <c r="AV17" s="12">
        <v>684288</v>
      </c>
      <c r="AW17" s="12">
        <v>489.82677165354329</v>
      </c>
      <c r="AX17" s="12">
        <v>22</v>
      </c>
      <c r="AY17" s="2" t="s">
        <v>2000</v>
      </c>
      <c r="AZ17" s="2" t="s">
        <v>101</v>
      </c>
      <c r="BA17" s="46"/>
      <c r="BB17" s="2" t="s">
        <v>2202</v>
      </c>
      <c r="BC17" s="2" t="s">
        <v>102</v>
      </c>
      <c r="BD17" s="46"/>
      <c r="BE17" s="46"/>
      <c r="BF17" s="12"/>
      <c r="BG17" s="12">
        <v>1</v>
      </c>
      <c r="BH17" s="12" t="s">
        <v>872</v>
      </c>
      <c r="BI17" s="46" t="s">
        <v>870</v>
      </c>
      <c r="BJ17" s="46" t="s">
        <v>873</v>
      </c>
      <c r="BK17" s="46" t="s">
        <v>874</v>
      </c>
      <c r="BL17" s="46" t="s">
        <v>771</v>
      </c>
      <c r="BM17" s="46" t="s">
        <v>771</v>
      </c>
      <c r="BN17" s="46" t="s">
        <v>735</v>
      </c>
      <c r="BO17" s="46" t="s">
        <v>710</v>
      </c>
      <c r="BP17" s="46" t="s">
        <v>436</v>
      </c>
      <c r="BQ17" s="157">
        <v>46023</v>
      </c>
      <c r="BR17" s="156">
        <v>46112</v>
      </c>
      <c r="BS17" s="46" t="s">
        <v>740</v>
      </c>
      <c r="BT17" s="46"/>
      <c r="BU17" s="12">
        <v>1</v>
      </c>
      <c r="BV17" s="158" t="s">
        <v>875</v>
      </c>
      <c r="BW17" s="12" t="s">
        <v>876</v>
      </c>
      <c r="BX17" s="12">
        <v>0</v>
      </c>
      <c r="BY17" s="12">
        <v>0</v>
      </c>
      <c r="BZ17" s="12">
        <v>0</v>
      </c>
      <c r="CA17" s="12">
        <v>0</v>
      </c>
      <c r="CB17" s="12">
        <v>11612160</v>
      </c>
      <c r="CC17" s="12">
        <v>11612160</v>
      </c>
      <c r="CD17" s="12">
        <v>9057484.8000000007</v>
      </c>
      <c r="CE17" s="12">
        <v>2426112</v>
      </c>
      <c r="CF17" s="12">
        <v>1</v>
      </c>
      <c r="CG17" s="12">
        <v>7.158196134574087E-4</v>
      </c>
      <c r="CH17" s="12">
        <v>7.158196134574087E-4</v>
      </c>
      <c r="CI17" s="12" t="b">
        <v>0</v>
      </c>
      <c r="CJ17" s="12" t="b">
        <v>0</v>
      </c>
      <c r="CK17" s="12" t="s">
        <v>690</v>
      </c>
      <c r="CL17" s="2" t="s">
        <v>107</v>
      </c>
      <c r="CM17" s="2" t="s">
        <v>877</v>
      </c>
      <c r="CN17" s="12">
        <v>2226.4853256979241</v>
      </c>
      <c r="CO17" s="12">
        <v>1736.6585540443807</v>
      </c>
      <c r="CP17" s="12" t="s">
        <v>107</v>
      </c>
      <c r="CQ17" s="159" t="s">
        <v>871</v>
      </c>
      <c r="CR17" s="46" t="s">
        <v>878</v>
      </c>
      <c r="CS17" s="46" t="s">
        <v>878</v>
      </c>
      <c r="CT17" s="2">
        <v>30714243949</v>
      </c>
      <c r="CU17" s="2" t="s">
        <v>691</v>
      </c>
      <c r="CV17" s="49">
        <v>46087.728472222225</v>
      </c>
      <c r="CW17" s="49">
        <v>46085.873611111114</v>
      </c>
      <c r="CX17" s="2" t="b">
        <v>1</v>
      </c>
      <c r="CY17" s="2" t="b">
        <v>1</v>
      </c>
      <c r="CZ17" s="160">
        <v>46054</v>
      </c>
      <c r="DA17" s="12" t="s">
        <v>693</v>
      </c>
      <c r="DB17" s="12"/>
      <c r="DC17" s="12"/>
      <c r="DD17" s="12"/>
      <c r="DE17" s="12"/>
      <c r="DF17" s="12"/>
      <c r="DG17" s="12"/>
      <c r="DH17" s="12"/>
      <c r="DI17" s="46"/>
      <c r="DJ17" s="48" t="s">
        <v>105</v>
      </c>
      <c r="DK17" s="48" t="s">
        <v>111</v>
      </c>
      <c r="DL17" s="48">
        <v>3110400</v>
      </c>
      <c r="DM17" s="13" t="s">
        <v>99</v>
      </c>
      <c r="DN17" s="13" t="s">
        <v>99</v>
      </c>
      <c r="DO17" s="12">
        <v>0</v>
      </c>
      <c r="DP17" s="12" t="s">
        <v>155</v>
      </c>
      <c r="DQ17" s="12" t="s">
        <v>111</v>
      </c>
      <c r="DR17" s="12">
        <v>3110400</v>
      </c>
      <c r="DS17" s="12" t="s">
        <v>99</v>
      </c>
      <c r="DT17" s="12">
        <v>0</v>
      </c>
      <c r="DU17" s="12"/>
      <c r="DV17" s="12"/>
      <c r="DW17" s="12" t="s">
        <v>16</v>
      </c>
      <c r="DX17" s="12"/>
      <c r="DY17" s="12" t="s">
        <v>111</v>
      </c>
      <c r="DZ17" s="12">
        <v>1880159.04</v>
      </c>
      <c r="EA17" s="12" t="s">
        <v>99</v>
      </c>
      <c r="EB17" s="12">
        <v>545952.96</v>
      </c>
      <c r="EC17" s="12"/>
      <c r="ED17" s="12" t="str">
        <f>INDEX('con 1'!CI:CI,MATCH(B17,'con 1'!A:A,0),1)</f>
        <v>OK</v>
      </c>
      <c r="EE17" s="12" t="s">
        <v>1946</v>
      </c>
      <c r="EF17" s="12" t="s">
        <v>1947</v>
      </c>
      <c r="EG17" s="48">
        <f ca="1">AN17/INDEX(er!D:D,MATCH(AA17,er!C:C,0),1)</f>
        <v>2226.4853256979241</v>
      </c>
    </row>
    <row r="18" spans="1:137" ht="12.5" x14ac:dyDescent="0.25">
      <c r="A18" s="46" t="s">
        <v>103</v>
      </c>
      <c r="B18" s="46" t="s">
        <v>159</v>
      </c>
      <c r="C18" s="46" t="s">
        <v>94</v>
      </c>
      <c r="D18" s="46" t="s">
        <v>98</v>
      </c>
      <c r="E18" s="156">
        <v>46081</v>
      </c>
      <c r="F18" s="46" t="s">
        <v>879</v>
      </c>
      <c r="G18" s="46" t="s">
        <v>880</v>
      </c>
      <c r="H18" s="46" t="s">
        <v>161</v>
      </c>
      <c r="I18" s="46" t="s">
        <v>881</v>
      </c>
      <c r="J18" s="46" t="s">
        <v>882</v>
      </c>
      <c r="K18" s="46" t="s">
        <v>559</v>
      </c>
      <c r="L18" s="46" t="s">
        <v>686</v>
      </c>
      <c r="M18" s="2" t="s">
        <v>563</v>
      </c>
      <c r="N18" s="46" t="s">
        <v>870</v>
      </c>
      <c r="O18" s="46" t="s">
        <v>871</v>
      </c>
      <c r="P18" s="46" t="s">
        <v>93</v>
      </c>
      <c r="Q18" s="46" t="s">
        <v>96</v>
      </c>
      <c r="R18" s="46" t="s">
        <v>104</v>
      </c>
      <c r="S18" s="46" t="s">
        <v>107</v>
      </c>
      <c r="T18" s="46" t="s">
        <v>107</v>
      </c>
      <c r="U18" s="46" t="s">
        <v>436</v>
      </c>
      <c r="V18" s="46" t="s">
        <v>105</v>
      </c>
      <c r="W18" s="46" t="s">
        <v>439</v>
      </c>
      <c r="X18" s="46" t="s">
        <v>687</v>
      </c>
      <c r="Y18" s="46" t="s">
        <v>688</v>
      </c>
      <c r="Z18" s="46" t="s">
        <v>688</v>
      </c>
      <c r="AA18" s="46" t="s">
        <v>111</v>
      </c>
      <c r="AB18" s="12" t="s">
        <v>111</v>
      </c>
      <c r="AC18" s="12">
        <v>3110400</v>
      </c>
      <c r="AD18" s="12">
        <v>3110400</v>
      </c>
      <c r="AE18" s="12">
        <v>1</v>
      </c>
      <c r="AF18" s="12">
        <v>1</v>
      </c>
      <c r="AG18" s="12">
        <v>1</v>
      </c>
      <c r="AH18" s="12">
        <v>0.78</v>
      </c>
      <c r="AI18" s="12">
        <v>0.78</v>
      </c>
      <c r="AJ18" s="12">
        <v>0</v>
      </c>
      <c r="AK18" s="12"/>
      <c r="AL18" s="12">
        <v>3110400</v>
      </c>
      <c r="AM18" s="12">
        <v>3110400</v>
      </c>
      <c r="AN18" s="12">
        <v>3110400</v>
      </c>
      <c r="AO18" s="12">
        <v>2426112</v>
      </c>
      <c r="AP18" s="12">
        <v>1880159.16</v>
      </c>
      <c r="AQ18" s="12"/>
      <c r="AR18" s="12">
        <v>3110400</v>
      </c>
      <c r="AS18" s="12">
        <v>2226.4853256979241</v>
      </c>
      <c r="AT18" s="12">
        <v>1736.6585540443807</v>
      </c>
      <c r="AU18" s="12">
        <v>684288</v>
      </c>
      <c r="AV18" s="12">
        <v>684288</v>
      </c>
      <c r="AW18" s="12">
        <v>489.82677165354329</v>
      </c>
      <c r="AX18" s="12">
        <v>22</v>
      </c>
      <c r="AY18" s="2" t="s">
        <v>2320</v>
      </c>
      <c r="AZ18" s="2" t="s">
        <v>101</v>
      </c>
      <c r="BA18" s="46"/>
      <c r="BB18" s="2" t="s">
        <v>2321</v>
      </c>
      <c r="BC18" s="2" t="s">
        <v>102</v>
      </c>
      <c r="BD18" s="46"/>
      <c r="BE18" s="46"/>
      <c r="BF18" s="12"/>
      <c r="BG18" s="12">
        <v>1</v>
      </c>
      <c r="BH18" s="12" t="s">
        <v>883</v>
      </c>
      <c r="BI18" s="46" t="s">
        <v>870</v>
      </c>
      <c r="BJ18" s="46" t="s">
        <v>873</v>
      </c>
      <c r="BK18" s="46" t="s">
        <v>874</v>
      </c>
      <c r="BL18" s="46" t="s">
        <v>771</v>
      </c>
      <c r="BM18" s="46" t="s">
        <v>771</v>
      </c>
      <c r="BN18" s="46" t="s">
        <v>735</v>
      </c>
      <c r="BO18" s="46" t="s">
        <v>710</v>
      </c>
      <c r="BP18" s="46" t="s">
        <v>436</v>
      </c>
      <c r="BQ18" s="157">
        <v>46023</v>
      </c>
      <c r="BR18" s="156">
        <v>46173</v>
      </c>
      <c r="BS18" s="46" t="s">
        <v>740</v>
      </c>
      <c r="BT18" s="46"/>
      <c r="BU18" s="12">
        <v>1</v>
      </c>
      <c r="BV18" s="158" t="s">
        <v>884</v>
      </c>
      <c r="BW18" s="12" t="s">
        <v>885</v>
      </c>
      <c r="BX18" s="12">
        <v>0</v>
      </c>
      <c r="BY18" s="12">
        <v>0</v>
      </c>
      <c r="BZ18" s="12">
        <v>0</v>
      </c>
      <c r="CA18" s="12">
        <v>0</v>
      </c>
      <c r="CB18" s="12">
        <v>4614103.3112582779</v>
      </c>
      <c r="CC18" s="12">
        <v>4614103.3112580003</v>
      </c>
      <c r="CD18" s="12">
        <v>3599000.5827810001</v>
      </c>
      <c r="CE18" s="12">
        <v>2426112</v>
      </c>
      <c r="CF18" s="12">
        <v>1</v>
      </c>
      <c r="CG18" s="12">
        <v>7.158196134574087E-4</v>
      </c>
      <c r="CH18" s="12">
        <v>7.158196134574087E-4</v>
      </c>
      <c r="CI18" s="12" t="b">
        <v>0</v>
      </c>
      <c r="CJ18" s="12" t="b">
        <v>0</v>
      </c>
      <c r="CK18" s="12" t="s">
        <v>690</v>
      </c>
      <c r="CL18" s="2" t="s">
        <v>107</v>
      </c>
      <c r="CM18" s="2" t="s">
        <v>877</v>
      </c>
      <c r="CN18" s="12">
        <v>2226.4853256979241</v>
      </c>
      <c r="CO18" s="12">
        <v>1736.6585540443807</v>
      </c>
      <c r="CP18" s="12" t="s">
        <v>107</v>
      </c>
      <c r="CQ18" s="161" t="s">
        <v>871</v>
      </c>
      <c r="CR18" s="46" t="s">
        <v>878</v>
      </c>
      <c r="CS18" s="46" t="s">
        <v>878</v>
      </c>
      <c r="CT18" s="2">
        <v>30714243949</v>
      </c>
      <c r="CU18" s="2" t="s">
        <v>691</v>
      </c>
      <c r="CV18" s="49">
        <v>46087.728472222225</v>
      </c>
      <c r="CW18" s="49">
        <v>46085.873611111114</v>
      </c>
      <c r="CX18" s="2" t="b">
        <v>1</v>
      </c>
      <c r="CY18" s="2" t="b">
        <v>1</v>
      </c>
      <c r="CZ18" s="160">
        <v>46054</v>
      </c>
      <c r="DA18" s="12" t="s">
        <v>693</v>
      </c>
      <c r="DB18" s="12"/>
      <c r="DC18" s="12"/>
      <c r="DD18" s="12"/>
      <c r="DE18" s="12"/>
      <c r="DF18" s="12"/>
      <c r="DG18" s="12"/>
      <c r="DH18" s="12"/>
      <c r="DI18" s="46"/>
      <c r="DJ18" s="48" t="s">
        <v>105</v>
      </c>
      <c r="DK18" s="48" t="s">
        <v>111</v>
      </c>
      <c r="DL18" s="48">
        <v>3110400</v>
      </c>
      <c r="DM18" s="13" t="s">
        <v>99</v>
      </c>
      <c r="DN18" s="13" t="s">
        <v>99</v>
      </c>
      <c r="DO18" s="12">
        <v>0</v>
      </c>
      <c r="DP18" s="12" t="s">
        <v>159</v>
      </c>
      <c r="DQ18" s="12" t="s">
        <v>111</v>
      </c>
      <c r="DR18" s="12">
        <v>3110400</v>
      </c>
      <c r="DS18" s="12" t="s">
        <v>99</v>
      </c>
      <c r="DT18" s="12">
        <v>0</v>
      </c>
      <c r="DU18" s="12"/>
      <c r="DV18" s="12"/>
      <c r="DW18" s="12" t="s">
        <v>16</v>
      </c>
      <c r="DX18" s="12"/>
      <c r="DY18" s="12" t="s">
        <v>111</v>
      </c>
      <c r="DZ18" s="12">
        <v>1880159.04</v>
      </c>
      <c r="EA18" s="12" t="s">
        <v>99</v>
      </c>
      <c r="EB18" s="12">
        <v>545952.96</v>
      </c>
      <c r="EC18" s="12"/>
      <c r="ED18" s="12" t="str">
        <f>INDEX('con 1'!CI:CI,MATCH(B18,'con 1'!A:A,0),1)</f>
        <v>OK</v>
      </c>
      <c r="EE18" s="12" t="s">
        <v>1946</v>
      </c>
      <c r="EF18" s="12" t="s">
        <v>1947</v>
      </c>
      <c r="EG18" s="48">
        <f ca="1">AN18/INDEX(er!D:D,MATCH(AA18,er!C:C,0),1)</f>
        <v>2226.4853256979241</v>
      </c>
    </row>
    <row r="19" spans="1:137" ht="12.5" x14ac:dyDescent="0.25">
      <c r="A19" s="46" t="s">
        <v>103</v>
      </c>
      <c r="B19" s="46" t="s">
        <v>162</v>
      </c>
      <c r="C19" s="46" t="s">
        <v>94</v>
      </c>
      <c r="D19" s="46" t="s">
        <v>98</v>
      </c>
      <c r="E19" s="156">
        <v>46081</v>
      </c>
      <c r="F19" s="46" t="s">
        <v>886</v>
      </c>
      <c r="G19" s="46" t="s">
        <v>887</v>
      </c>
      <c r="H19" s="46" t="s">
        <v>164</v>
      </c>
      <c r="I19" s="46" t="s">
        <v>888</v>
      </c>
      <c r="J19" s="46" t="s">
        <v>889</v>
      </c>
      <c r="K19" s="46" t="s">
        <v>559</v>
      </c>
      <c r="L19" s="46" t="s">
        <v>686</v>
      </c>
      <c r="M19" s="2" t="s">
        <v>563</v>
      </c>
      <c r="N19" s="46" t="s">
        <v>741</v>
      </c>
      <c r="O19" s="46" t="s">
        <v>741</v>
      </c>
      <c r="P19" s="46" t="s">
        <v>93</v>
      </c>
      <c r="Q19" s="46" t="s">
        <v>100</v>
      </c>
      <c r="R19" s="46" t="s">
        <v>104</v>
      </c>
      <c r="S19" s="46" t="s">
        <v>107</v>
      </c>
      <c r="T19" s="46" t="s">
        <v>107</v>
      </c>
      <c r="U19" s="46" t="s">
        <v>436</v>
      </c>
      <c r="V19" s="46" t="s">
        <v>105</v>
      </c>
      <c r="W19" s="46" t="s">
        <v>439</v>
      </c>
      <c r="X19" s="46" t="s">
        <v>687</v>
      </c>
      <c r="Y19" s="46" t="s">
        <v>688</v>
      </c>
      <c r="Z19" s="46" t="s">
        <v>688</v>
      </c>
      <c r="AA19" s="46" t="s">
        <v>111</v>
      </c>
      <c r="AB19" s="12" t="s">
        <v>111</v>
      </c>
      <c r="AC19" s="12">
        <v>2304000</v>
      </c>
      <c r="AD19" s="12">
        <v>2304000</v>
      </c>
      <c r="AE19" s="12">
        <v>1</v>
      </c>
      <c r="AF19" s="12">
        <v>1</v>
      </c>
      <c r="AG19" s="12">
        <v>1</v>
      </c>
      <c r="AH19" s="12">
        <v>0.85</v>
      </c>
      <c r="AI19" s="12">
        <v>0.85</v>
      </c>
      <c r="AJ19" s="12">
        <v>0</v>
      </c>
      <c r="AK19" s="12"/>
      <c r="AL19" s="12">
        <v>2304000</v>
      </c>
      <c r="AM19" s="12">
        <v>2304000</v>
      </c>
      <c r="AN19" s="12">
        <v>2304000</v>
      </c>
      <c r="AO19" s="12">
        <v>1958400</v>
      </c>
      <c r="AP19" s="12">
        <v>1520628.48</v>
      </c>
      <c r="AQ19" s="12"/>
      <c r="AR19" s="12">
        <v>2304000</v>
      </c>
      <c r="AS19" s="12">
        <v>1649.2483894058698</v>
      </c>
      <c r="AT19" s="12">
        <v>1401.8611309949893</v>
      </c>
      <c r="AU19" s="12">
        <v>345600</v>
      </c>
      <c r="AV19" s="12">
        <v>345600</v>
      </c>
      <c r="AW19" s="12">
        <v>247.38725841088046</v>
      </c>
      <c r="AX19" s="12">
        <v>15</v>
      </c>
      <c r="AY19" s="2" t="s">
        <v>2322</v>
      </c>
      <c r="AZ19" s="2" t="s">
        <v>101</v>
      </c>
      <c r="BA19" s="46"/>
      <c r="BB19" s="2" t="s">
        <v>2323</v>
      </c>
      <c r="BC19" s="2" t="s">
        <v>102</v>
      </c>
      <c r="BD19" s="46"/>
      <c r="BE19" s="46"/>
      <c r="BF19" s="12"/>
      <c r="BG19" s="12">
        <v>1</v>
      </c>
      <c r="BH19" s="12" t="s">
        <v>890</v>
      </c>
      <c r="BI19" s="46" t="s">
        <v>741</v>
      </c>
      <c r="BJ19" s="46" t="s">
        <v>742</v>
      </c>
      <c r="BK19" s="46" t="s">
        <v>863</v>
      </c>
      <c r="BL19" s="46" t="s">
        <v>863</v>
      </c>
      <c r="BM19" s="46" t="s">
        <v>863</v>
      </c>
      <c r="BN19" s="46" t="s">
        <v>744</v>
      </c>
      <c r="BO19" s="46" t="s">
        <v>745</v>
      </c>
      <c r="BP19" s="46" t="s">
        <v>436</v>
      </c>
      <c r="BQ19" s="157">
        <v>46054</v>
      </c>
      <c r="BR19" s="156">
        <v>46055</v>
      </c>
      <c r="BS19" s="46" t="s">
        <v>746</v>
      </c>
      <c r="BT19" s="46"/>
      <c r="BU19" s="12">
        <v>1</v>
      </c>
      <c r="BV19" s="158" t="s">
        <v>891</v>
      </c>
      <c r="BW19" s="12" t="s">
        <v>892</v>
      </c>
      <c r="BX19" s="12">
        <v>0</v>
      </c>
      <c r="BY19" s="12">
        <v>0</v>
      </c>
      <c r="BZ19" s="12">
        <v>0</v>
      </c>
      <c r="CA19" s="12">
        <v>0</v>
      </c>
      <c r="CB19" s="12">
        <v>2304000</v>
      </c>
      <c r="CC19" s="12">
        <v>2304000</v>
      </c>
      <c r="CD19" s="12">
        <v>1958400</v>
      </c>
      <c r="CE19" s="12">
        <v>1958400</v>
      </c>
      <c r="CF19" s="12">
        <v>1</v>
      </c>
      <c r="CG19" s="12">
        <v>7.158196134574087E-4</v>
      </c>
      <c r="CH19" s="12">
        <v>7.158196134574087E-4</v>
      </c>
      <c r="CI19" s="12" t="b">
        <v>0</v>
      </c>
      <c r="CJ19" s="12" t="b">
        <v>0</v>
      </c>
      <c r="CK19" s="12" t="s">
        <v>690</v>
      </c>
      <c r="CL19" s="2" t="s">
        <v>107</v>
      </c>
      <c r="CM19" s="2" t="s">
        <v>893</v>
      </c>
      <c r="CN19" s="12">
        <v>1649.2483894058698</v>
      </c>
      <c r="CO19" s="12">
        <v>1401.8611309949893</v>
      </c>
      <c r="CP19" s="12" t="s">
        <v>107</v>
      </c>
      <c r="CQ19" s="159" t="s">
        <v>741</v>
      </c>
      <c r="CR19" s="46" t="s">
        <v>747</v>
      </c>
      <c r="CS19" s="46" t="s">
        <v>742</v>
      </c>
      <c r="CT19" s="2">
        <v>30693739698</v>
      </c>
      <c r="CU19" s="2" t="s">
        <v>691</v>
      </c>
      <c r="CV19" s="49">
        <v>46087.728472222225</v>
      </c>
      <c r="CW19" s="49">
        <v>46085.873611111114</v>
      </c>
      <c r="CX19" s="2" t="b">
        <v>1</v>
      </c>
      <c r="CY19" s="2" t="b">
        <v>1</v>
      </c>
      <c r="CZ19" s="160">
        <v>46054</v>
      </c>
      <c r="DA19" s="12" t="s">
        <v>693</v>
      </c>
      <c r="DB19" s="12"/>
      <c r="DC19" s="12"/>
      <c r="DD19" s="12"/>
      <c r="DE19" s="12"/>
      <c r="DF19" s="12"/>
      <c r="DG19" s="12"/>
      <c r="DH19" s="12"/>
      <c r="DI19" s="46"/>
      <c r="DJ19" s="48"/>
      <c r="DK19" s="48"/>
      <c r="DL19" s="48"/>
      <c r="DM19" s="13" t="s">
        <v>16</v>
      </c>
      <c r="DN19" s="13" t="s">
        <v>16</v>
      </c>
      <c r="DO19" s="12"/>
      <c r="DP19" s="12" t="s">
        <v>162</v>
      </c>
      <c r="DQ19" s="12" t="s">
        <v>111</v>
      </c>
      <c r="DR19" s="12">
        <v>2304000</v>
      </c>
      <c r="DS19" s="12" t="s">
        <v>99</v>
      </c>
      <c r="DT19" s="12">
        <v>0</v>
      </c>
      <c r="DU19" s="12"/>
      <c r="DV19" s="12"/>
      <c r="DW19" s="12" t="s">
        <v>16</v>
      </c>
      <c r="DX19" s="12"/>
      <c r="DY19" s="12" t="s">
        <v>111</v>
      </c>
      <c r="DZ19" s="12">
        <v>1520686.0800000001</v>
      </c>
      <c r="EA19" s="12" t="s">
        <v>99</v>
      </c>
      <c r="EB19" s="12">
        <v>437713.91999999993</v>
      </c>
      <c r="EC19" s="12"/>
      <c r="ED19" s="12" t="str">
        <f>INDEX('con 1'!CI:CI,MATCH(B19,'con 1'!A:A,0),1)</f>
        <v>OK</v>
      </c>
      <c r="EE19" s="12" t="s">
        <v>1946</v>
      </c>
      <c r="EF19" s="12" t="s">
        <v>1947</v>
      </c>
      <c r="EG19" s="48">
        <f ca="1">AN19/INDEX(er!D:D,MATCH(AA19,er!C:C,0),1)</f>
        <v>1649.2483894058698</v>
      </c>
    </row>
    <row r="20" spans="1:137" ht="12.5" x14ac:dyDescent="0.25">
      <c r="A20" s="46" t="s">
        <v>103</v>
      </c>
      <c r="B20" s="46" t="s">
        <v>165</v>
      </c>
      <c r="C20" s="46" t="s">
        <v>94</v>
      </c>
      <c r="D20" s="46" t="s">
        <v>98</v>
      </c>
      <c r="E20" s="156">
        <v>46081</v>
      </c>
      <c r="F20" s="46" t="s">
        <v>894</v>
      </c>
      <c r="G20" s="46" t="s">
        <v>895</v>
      </c>
      <c r="H20" s="46" t="s">
        <v>167</v>
      </c>
      <c r="I20" s="46" t="s">
        <v>896</v>
      </c>
      <c r="J20" s="46" t="s">
        <v>897</v>
      </c>
      <c r="K20" s="46" t="s">
        <v>559</v>
      </c>
      <c r="L20" s="46" t="s">
        <v>686</v>
      </c>
      <c r="M20" s="2" t="s">
        <v>563</v>
      </c>
      <c r="N20" s="46" t="s">
        <v>825</v>
      </c>
      <c r="O20" s="46" t="s">
        <v>826</v>
      </c>
      <c r="P20" s="46" t="s">
        <v>93</v>
      </c>
      <c r="Q20" s="46" t="s">
        <v>96</v>
      </c>
      <c r="R20" s="46" t="s">
        <v>104</v>
      </c>
      <c r="S20" s="46" t="s">
        <v>107</v>
      </c>
      <c r="T20" s="46" t="s">
        <v>107</v>
      </c>
      <c r="U20" s="46" t="s">
        <v>436</v>
      </c>
      <c r="V20" s="46" t="s">
        <v>105</v>
      </c>
      <c r="W20" s="46" t="s">
        <v>439</v>
      </c>
      <c r="X20" s="46" t="s">
        <v>687</v>
      </c>
      <c r="Y20" s="46" t="s">
        <v>688</v>
      </c>
      <c r="Z20" s="46" t="s">
        <v>688</v>
      </c>
      <c r="AA20" s="46" t="s">
        <v>111</v>
      </c>
      <c r="AB20" s="12" t="s">
        <v>111</v>
      </c>
      <c r="AC20" s="12">
        <v>718276.95</v>
      </c>
      <c r="AD20" s="12">
        <v>718276.95</v>
      </c>
      <c r="AE20" s="12">
        <v>1</v>
      </c>
      <c r="AF20" s="12">
        <v>1</v>
      </c>
      <c r="AG20" s="12">
        <v>1</v>
      </c>
      <c r="AH20" s="12">
        <v>0.78</v>
      </c>
      <c r="AI20" s="12">
        <v>0.78</v>
      </c>
      <c r="AJ20" s="12">
        <v>0</v>
      </c>
      <c r="AK20" s="12"/>
      <c r="AL20" s="12">
        <v>718276.95</v>
      </c>
      <c r="AM20" s="12">
        <v>718276.95</v>
      </c>
      <c r="AN20" s="12">
        <v>718276.95</v>
      </c>
      <c r="AO20" s="12">
        <v>560256.02099999995</v>
      </c>
      <c r="AP20" s="12">
        <v>434180.49</v>
      </c>
      <c r="AQ20" s="12"/>
      <c r="AR20" s="12">
        <v>718276.95</v>
      </c>
      <c r="AS20" s="12">
        <v>514.15672870436651</v>
      </c>
      <c r="AT20" s="12">
        <v>401.04224838940581</v>
      </c>
      <c r="AU20" s="12">
        <v>158020.929</v>
      </c>
      <c r="AV20" s="12">
        <v>158020.929</v>
      </c>
      <c r="AW20" s="12">
        <v>113.11448031496063</v>
      </c>
      <c r="AX20" s="12">
        <v>22</v>
      </c>
      <c r="AY20" s="2" t="s">
        <v>2045</v>
      </c>
      <c r="AZ20" s="2" t="s">
        <v>101</v>
      </c>
      <c r="BA20" s="46"/>
      <c r="BB20" s="2" t="s">
        <v>2224</v>
      </c>
      <c r="BC20" s="2" t="s">
        <v>102</v>
      </c>
      <c r="BD20" s="46"/>
      <c r="BE20" s="46"/>
      <c r="BF20" s="12"/>
      <c r="BG20" s="12">
        <v>1</v>
      </c>
      <c r="BH20" s="12" t="s">
        <v>898</v>
      </c>
      <c r="BI20" s="46" t="s">
        <v>825</v>
      </c>
      <c r="BJ20" s="46" t="s">
        <v>827</v>
      </c>
      <c r="BK20" s="46" t="s">
        <v>708</v>
      </c>
      <c r="BL20" s="46" t="s">
        <v>708</v>
      </c>
      <c r="BM20" s="46" t="s">
        <v>708</v>
      </c>
      <c r="BN20" s="46" t="s">
        <v>735</v>
      </c>
      <c r="BO20" s="46" t="s">
        <v>710</v>
      </c>
      <c r="BP20" s="46" t="s">
        <v>436</v>
      </c>
      <c r="BQ20" s="157">
        <v>45965</v>
      </c>
      <c r="BR20" s="156">
        <v>46112</v>
      </c>
      <c r="BS20" s="46" t="s">
        <v>692</v>
      </c>
      <c r="BT20" s="46"/>
      <c r="BU20" s="12">
        <v>1</v>
      </c>
      <c r="BV20" s="158" t="s">
        <v>899</v>
      </c>
      <c r="BW20" s="12" t="s">
        <v>900</v>
      </c>
      <c r="BX20" s="12">
        <v>0</v>
      </c>
      <c r="BY20" s="12">
        <v>0</v>
      </c>
      <c r="BZ20" s="12">
        <v>0</v>
      </c>
      <c r="CA20" s="12">
        <v>0</v>
      </c>
      <c r="CB20" s="12">
        <v>700000.1</v>
      </c>
      <c r="CC20" s="12">
        <v>700000.1</v>
      </c>
      <c r="CD20" s="12">
        <v>546000.07799999998</v>
      </c>
      <c r="CE20" s="12">
        <v>560256.02099999995</v>
      </c>
      <c r="CF20" s="12">
        <v>1</v>
      </c>
      <c r="CG20" s="12">
        <v>7.158196134574087E-4</v>
      </c>
      <c r="CH20" s="12">
        <v>7.158196134574087E-4</v>
      </c>
      <c r="CI20" s="12" t="b">
        <v>0</v>
      </c>
      <c r="CJ20" s="12" t="b">
        <v>0</v>
      </c>
      <c r="CK20" s="12" t="s">
        <v>715</v>
      </c>
      <c r="CL20" s="2" t="s">
        <v>107</v>
      </c>
      <c r="CM20" s="2" t="s">
        <v>901</v>
      </c>
      <c r="CN20" s="12">
        <v>514.15672870436651</v>
      </c>
      <c r="CO20" s="12">
        <v>401.04224838940587</v>
      </c>
      <c r="CP20" s="12" t="s">
        <v>107</v>
      </c>
      <c r="CQ20" s="161" t="s">
        <v>826</v>
      </c>
      <c r="CR20" s="46" t="s">
        <v>828</v>
      </c>
      <c r="CS20" s="46" t="s">
        <v>827</v>
      </c>
      <c r="CT20" s="2">
        <v>30712014047</v>
      </c>
      <c r="CU20" s="2" t="s">
        <v>694</v>
      </c>
      <c r="CV20" s="49">
        <v>46087.728472222225</v>
      </c>
      <c r="CW20" s="49">
        <v>46085.874305555553</v>
      </c>
      <c r="CX20" s="2" t="b">
        <v>1</v>
      </c>
      <c r="CY20" s="2" t="b">
        <v>1</v>
      </c>
      <c r="CZ20" s="160">
        <v>46054</v>
      </c>
      <c r="DA20" s="12" t="s">
        <v>693</v>
      </c>
      <c r="DB20" s="12"/>
      <c r="DC20" s="12"/>
      <c r="DD20" s="12"/>
      <c r="DE20" s="12"/>
      <c r="DF20" s="12"/>
      <c r="DG20" s="12"/>
      <c r="DH20" s="12"/>
      <c r="DI20" s="46"/>
      <c r="DJ20" s="48" t="s">
        <v>105</v>
      </c>
      <c r="DK20" s="48" t="s">
        <v>111</v>
      </c>
      <c r="DL20" s="48">
        <v>718276.95</v>
      </c>
      <c r="DM20" s="13" t="s">
        <v>99</v>
      </c>
      <c r="DN20" s="13" t="s">
        <v>99</v>
      </c>
      <c r="DO20" s="12">
        <v>0</v>
      </c>
      <c r="DP20" s="12" t="s">
        <v>165</v>
      </c>
      <c r="DQ20" s="12" t="s">
        <v>111</v>
      </c>
      <c r="DR20" s="12">
        <v>718276.95</v>
      </c>
      <c r="DS20" s="12" t="s">
        <v>99</v>
      </c>
      <c r="DT20" s="12">
        <v>0</v>
      </c>
      <c r="DU20" s="12"/>
      <c r="DV20" s="12"/>
      <c r="DW20" s="12" t="s">
        <v>16</v>
      </c>
      <c r="DX20" s="12"/>
      <c r="DY20" s="12" t="s">
        <v>111</v>
      </c>
      <c r="DZ20" s="12">
        <v>434180.46</v>
      </c>
      <c r="EA20" s="12" t="s">
        <v>99</v>
      </c>
      <c r="EB20" s="12">
        <v>126075.56099999993</v>
      </c>
      <c r="EC20" s="12"/>
      <c r="ED20" s="12" t="str">
        <f>INDEX('con 1'!CI:CI,MATCH(B20,'con 1'!A:A,0),1)</f>
        <v>OK</v>
      </c>
      <c r="EE20" s="12" t="s">
        <v>1946</v>
      </c>
      <c r="EF20" s="12" t="s">
        <v>1947</v>
      </c>
      <c r="EG20" s="48">
        <f ca="1">AN20/INDEX(er!D:D,MATCH(AA20,er!C:C,0),1)</f>
        <v>514.15672870436651</v>
      </c>
    </row>
    <row r="21" spans="1:137" ht="12.5" x14ac:dyDescent="0.25">
      <c r="A21" s="46" t="s">
        <v>103</v>
      </c>
      <c r="B21" s="46" t="s">
        <v>168</v>
      </c>
      <c r="C21" s="46" t="s">
        <v>94</v>
      </c>
      <c r="D21" s="46" t="s">
        <v>98</v>
      </c>
      <c r="E21" s="156">
        <v>46081</v>
      </c>
      <c r="F21" s="46" t="s">
        <v>902</v>
      </c>
      <c r="G21" s="46" t="s">
        <v>903</v>
      </c>
      <c r="H21" s="46" t="s">
        <v>170</v>
      </c>
      <c r="I21" s="46" t="s">
        <v>904</v>
      </c>
      <c r="J21" s="46" t="s">
        <v>905</v>
      </c>
      <c r="K21" s="46" t="s">
        <v>559</v>
      </c>
      <c r="L21" s="46" t="s">
        <v>686</v>
      </c>
      <c r="M21" s="2" t="s">
        <v>563</v>
      </c>
      <c r="N21" s="46" t="s">
        <v>906</v>
      </c>
      <c r="O21" s="46" t="s">
        <v>907</v>
      </c>
      <c r="P21" s="46" t="s">
        <v>93</v>
      </c>
      <c r="Q21" s="46" t="s">
        <v>96</v>
      </c>
      <c r="R21" s="46" t="s">
        <v>104</v>
      </c>
      <c r="S21" s="46" t="s">
        <v>107</v>
      </c>
      <c r="T21" s="46" t="s">
        <v>107</v>
      </c>
      <c r="U21" s="46" t="s">
        <v>436</v>
      </c>
      <c r="V21" s="46" t="s">
        <v>105</v>
      </c>
      <c r="W21" s="46" t="s">
        <v>439</v>
      </c>
      <c r="X21" s="46" t="s">
        <v>687</v>
      </c>
      <c r="Y21" s="46" t="s">
        <v>688</v>
      </c>
      <c r="Z21" s="46" t="s">
        <v>688</v>
      </c>
      <c r="AA21" s="46" t="s">
        <v>111</v>
      </c>
      <c r="AB21" s="12" t="s">
        <v>111</v>
      </c>
      <c r="AC21" s="12">
        <v>1206718.48</v>
      </c>
      <c r="AD21" s="12">
        <v>1206718.48</v>
      </c>
      <c r="AE21" s="12">
        <v>1</v>
      </c>
      <c r="AF21" s="12">
        <v>1</v>
      </c>
      <c r="AG21" s="12">
        <v>1</v>
      </c>
      <c r="AH21" s="12">
        <v>0.78</v>
      </c>
      <c r="AI21" s="12">
        <v>0.78</v>
      </c>
      <c r="AJ21" s="12">
        <v>0</v>
      </c>
      <c r="AK21" s="12"/>
      <c r="AL21" s="12">
        <v>1206718.48</v>
      </c>
      <c r="AM21" s="12">
        <v>1206718.48</v>
      </c>
      <c r="AN21" s="12">
        <v>1206718.48</v>
      </c>
      <c r="AO21" s="12">
        <v>941240.41440000001</v>
      </c>
      <c r="AP21" s="12">
        <v>729431.2</v>
      </c>
      <c r="AQ21" s="12"/>
      <c r="AR21" s="12">
        <v>1206718.48</v>
      </c>
      <c r="AS21" s="12">
        <v>863.79275590551185</v>
      </c>
      <c r="AT21" s="12">
        <v>673.75834960629925</v>
      </c>
      <c r="AU21" s="12">
        <v>265478.06559999997</v>
      </c>
      <c r="AV21" s="12">
        <v>265478.06559999997</v>
      </c>
      <c r="AW21" s="12">
        <v>190.03440629921258</v>
      </c>
      <c r="AX21" s="12">
        <v>22</v>
      </c>
      <c r="AY21" s="2" t="s">
        <v>2138</v>
      </c>
      <c r="AZ21" s="2" t="s">
        <v>101</v>
      </c>
      <c r="BA21" s="46"/>
      <c r="BB21" s="2" t="s">
        <v>2324</v>
      </c>
      <c r="BC21" s="2" t="s">
        <v>102</v>
      </c>
      <c r="BD21" s="46"/>
      <c r="BE21" s="46"/>
      <c r="BF21" s="12"/>
      <c r="BG21" s="12">
        <v>1</v>
      </c>
      <c r="BH21" s="12" t="s">
        <v>908</v>
      </c>
      <c r="BI21" s="46" t="s">
        <v>906</v>
      </c>
      <c r="BJ21" s="46" t="s">
        <v>909</v>
      </c>
      <c r="BK21" s="46" t="s">
        <v>865</v>
      </c>
      <c r="BL21" s="46" t="s">
        <v>865</v>
      </c>
      <c r="BM21" s="46" t="s">
        <v>865</v>
      </c>
      <c r="BN21" s="46" t="s">
        <v>735</v>
      </c>
      <c r="BO21" s="46" t="s">
        <v>710</v>
      </c>
      <c r="BP21" s="46" t="s">
        <v>436</v>
      </c>
      <c r="BQ21" s="157">
        <v>45967</v>
      </c>
      <c r="BR21" s="156">
        <v>46101</v>
      </c>
      <c r="BS21" s="46" t="s">
        <v>740</v>
      </c>
      <c r="BT21" s="46"/>
      <c r="BU21" s="12">
        <v>1</v>
      </c>
      <c r="BV21" s="158" t="s">
        <v>910</v>
      </c>
      <c r="BW21" s="12" t="s">
        <v>911</v>
      </c>
      <c r="BX21" s="12">
        <v>0</v>
      </c>
      <c r="BY21" s="12">
        <v>0</v>
      </c>
      <c r="BZ21" s="12">
        <v>0</v>
      </c>
      <c r="CA21" s="12">
        <v>0</v>
      </c>
      <c r="CB21" s="12">
        <v>1908000</v>
      </c>
      <c r="CC21" s="12">
        <v>1908000</v>
      </c>
      <c r="CD21" s="12">
        <v>1488240</v>
      </c>
      <c r="CE21" s="12">
        <v>941240.41440000001</v>
      </c>
      <c r="CF21" s="12">
        <v>1</v>
      </c>
      <c r="CG21" s="12">
        <v>7.158196134574087E-4</v>
      </c>
      <c r="CH21" s="12">
        <v>7.158196134574087E-4</v>
      </c>
      <c r="CI21" s="12" t="b">
        <v>0</v>
      </c>
      <c r="CJ21" s="12" t="b">
        <v>0</v>
      </c>
      <c r="CK21" s="12" t="s">
        <v>690</v>
      </c>
      <c r="CL21" s="2" t="s">
        <v>107</v>
      </c>
      <c r="CM21" s="2" t="s">
        <v>726</v>
      </c>
      <c r="CN21" s="12">
        <v>863.79275590551185</v>
      </c>
      <c r="CO21" s="12">
        <v>673.75834960629925</v>
      </c>
      <c r="CP21" s="12" t="s">
        <v>107</v>
      </c>
      <c r="CQ21" s="161" t="s">
        <v>907</v>
      </c>
      <c r="CR21" s="46" t="s">
        <v>912</v>
      </c>
      <c r="CS21" s="46" t="s">
        <v>909</v>
      </c>
      <c r="CT21" s="2">
        <v>30614089241</v>
      </c>
      <c r="CU21" s="2" t="s">
        <v>691</v>
      </c>
      <c r="CV21" s="49">
        <v>46087.728472222225</v>
      </c>
      <c r="CW21" s="49">
        <v>46085.874305555553</v>
      </c>
      <c r="CX21" s="2" t="b">
        <v>1</v>
      </c>
      <c r="CY21" s="2" t="b">
        <v>1</v>
      </c>
      <c r="CZ21" s="160">
        <v>46054</v>
      </c>
      <c r="DA21" s="12" t="s">
        <v>693</v>
      </c>
      <c r="DB21" s="12"/>
      <c r="DC21" s="12"/>
      <c r="DD21" s="12"/>
      <c r="DE21" s="12"/>
      <c r="DF21" s="12"/>
      <c r="DG21" s="12"/>
      <c r="DH21" s="12"/>
      <c r="DI21" s="46"/>
      <c r="DJ21" s="48" t="s">
        <v>105</v>
      </c>
      <c r="DK21" s="48" t="s">
        <v>111</v>
      </c>
      <c r="DL21" s="48">
        <v>1206718.48</v>
      </c>
      <c r="DM21" s="13" t="s">
        <v>99</v>
      </c>
      <c r="DN21" s="13" t="s">
        <v>99</v>
      </c>
      <c r="DO21" s="12">
        <v>0</v>
      </c>
      <c r="DP21" s="12" t="s">
        <v>168</v>
      </c>
      <c r="DQ21" s="12" t="s">
        <v>111</v>
      </c>
      <c r="DR21" s="12">
        <v>1206718.48</v>
      </c>
      <c r="DS21" s="12" t="s">
        <v>99</v>
      </c>
      <c r="DT21" s="12">
        <v>0</v>
      </c>
      <c r="DU21" s="12"/>
      <c r="DV21" s="12"/>
      <c r="DW21" s="12" t="s">
        <v>16</v>
      </c>
      <c r="DX21" s="12"/>
      <c r="DY21" s="12" t="s">
        <v>111</v>
      </c>
      <c r="DZ21" s="12">
        <v>729431.15</v>
      </c>
      <c r="EA21" s="12" t="s">
        <v>99</v>
      </c>
      <c r="EB21" s="12">
        <v>211809.26439999999</v>
      </c>
      <c r="EC21" s="12"/>
      <c r="ED21" s="12" t="str">
        <f>INDEX('con 1'!CI:CI,MATCH(B21,'con 1'!A:A,0),1)</f>
        <v>OK</v>
      </c>
      <c r="EE21" s="12" t="s">
        <v>1946</v>
      </c>
      <c r="EF21" s="12" t="s">
        <v>1947</v>
      </c>
      <c r="EG21" s="48">
        <f ca="1">AN21/INDEX(er!D:D,MATCH(AA21,er!C:C,0),1)</f>
        <v>863.79275590551185</v>
      </c>
    </row>
    <row r="22" spans="1:137" ht="12.5" x14ac:dyDescent="0.25">
      <c r="A22" s="46" t="s">
        <v>103</v>
      </c>
      <c r="B22" s="46" t="s">
        <v>172</v>
      </c>
      <c r="C22" s="46" t="s">
        <v>94</v>
      </c>
      <c r="D22" s="46" t="s">
        <v>98</v>
      </c>
      <c r="E22" s="156">
        <v>46081</v>
      </c>
      <c r="F22" s="46" t="s">
        <v>913</v>
      </c>
      <c r="G22" s="46" t="s">
        <v>914</v>
      </c>
      <c r="H22" s="46" t="s">
        <v>174</v>
      </c>
      <c r="I22" s="46" t="s">
        <v>915</v>
      </c>
      <c r="J22" s="46" t="s">
        <v>916</v>
      </c>
      <c r="K22" s="46" t="s">
        <v>559</v>
      </c>
      <c r="L22" s="46" t="s">
        <v>686</v>
      </c>
      <c r="M22" s="2" t="s">
        <v>563</v>
      </c>
      <c r="N22" s="46" t="s">
        <v>752</v>
      </c>
      <c r="O22" s="46" t="s">
        <v>753</v>
      </c>
      <c r="P22" s="46" t="s">
        <v>93</v>
      </c>
      <c r="Q22" s="46" t="s">
        <v>96</v>
      </c>
      <c r="R22" s="46" t="s">
        <v>104</v>
      </c>
      <c r="S22" s="46" t="s">
        <v>107</v>
      </c>
      <c r="T22" s="46" t="s">
        <v>107</v>
      </c>
      <c r="U22" s="46" t="s">
        <v>436</v>
      </c>
      <c r="V22" s="46" t="s">
        <v>105</v>
      </c>
      <c r="W22" s="46" t="s">
        <v>439</v>
      </c>
      <c r="X22" s="46" t="s">
        <v>687</v>
      </c>
      <c r="Y22" s="46" t="s">
        <v>688</v>
      </c>
      <c r="Z22" s="46" t="s">
        <v>688</v>
      </c>
      <c r="AA22" s="46" t="s">
        <v>111</v>
      </c>
      <c r="AB22" s="12" t="s">
        <v>111</v>
      </c>
      <c r="AC22" s="12">
        <v>2431431.12</v>
      </c>
      <c r="AD22" s="12">
        <v>2431431.12</v>
      </c>
      <c r="AE22" s="12">
        <v>1</v>
      </c>
      <c r="AF22" s="12">
        <v>1</v>
      </c>
      <c r="AG22" s="12">
        <v>1</v>
      </c>
      <c r="AH22" s="12">
        <v>0.78</v>
      </c>
      <c r="AI22" s="12">
        <v>0.78</v>
      </c>
      <c r="AJ22" s="12">
        <v>0</v>
      </c>
      <c r="AK22" s="12"/>
      <c r="AL22" s="12">
        <v>2431431.12</v>
      </c>
      <c r="AM22" s="12">
        <v>2431431.12</v>
      </c>
      <c r="AN22" s="12">
        <v>2431431.12</v>
      </c>
      <c r="AO22" s="12">
        <v>1896516.2736</v>
      </c>
      <c r="AP22" s="12">
        <v>1469739.42</v>
      </c>
      <c r="AQ22" s="12"/>
      <c r="AR22" s="12">
        <v>2431431.12</v>
      </c>
      <c r="AS22" s="12">
        <v>1740.4660844667144</v>
      </c>
      <c r="AT22" s="12">
        <v>1357.5635458840372</v>
      </c>
      <c r="AU22" s="12">
        <v>534914.84640000004</v>
      </c>
      <c r="AV22" s="12">
        <v>534914.84640000004</v>
      </c>
      <c r="AW22" s="12">
        <v>382.90253858267721</v>
      </c>
      <c r="AX22" s="12">
        <v>22</v>
      </c>
      <c r="AY22" s="2" t="s">
        <v>2026</v>
      </c>
      <c r="AZ22" s="2" t="s">
        <v>101</v>
      </c>
      <c r="BA22" s="46"/>
      <c r="BB22" s="2" t="s">
        <v>2222</v>
      </c>
      <c r="BC22" s="2" t="s">
        <v>102</v>
      </c>
      <c r="BD22" s="46"/>
      <c r="BE22" s="46"/>
      <c r="BF22" s="12"/>
      <c r="BG22" s="12">
        <v>1</v>
      </c>
      <c r="BH22" s="12" t="s">
        <v>917</v>
      </c>
      <c r="BI22" s="46" t="s">
        <v>752</v>
      </c>
      <c r="BJ22" s="46" t="s">
        <v>755</v>
      </c>
      <c r="BK22" s="46" t="s">
        <v>865</v>
      </c>
      <c r="BL22" s="46" t="s">
        <v>865</v>
      </c>
      <c r="BM22" s="46" t="s">
        <v>865</v>
      </c>
      <c r="BN22" s="46" t="s">
        <v>735</v>
      </c>
      <c r="BO22" s="46" t="s">
        <v>710</v>
      </c>
      <c r="BP22" s="46" t="s">
        <v>436</v>
      </c>
      <c r="BQ22" s="157">
        <v>45968</v>
      </c>
      <c r="BR22" s="156">
        <v>46142</v>
      </c>
      <c r="BS22" s="46" t="s">
        <v>696</v>
      </c>
      <c r="BT22" s="46"/>
      <c r="BU22" s="12">
        <v>1</v>
      </c>
      <c r="BV22" s="158" t="s">
        <v>918</v>
      </c>
      <c r="BW22" s="12" t="s">
        <v>919</v>
      </c>
      <c r="BX22" s="12">
        <v>0</v>
      </c>
      <c r="BY22" s="12">
        <v>0</v>
      </c>
      <c r="BZ22" s="12">
        <v>0</v>
      </c>
      <c r="CA22" s="12">
        <v>0</v>
      </c>
      <c r="CB22" s="12">
        <v>2500000</v>
      </c>
      <c r="CC22" s="12">
        <v>2500000</v>
      </c>
      <c r="CD22" s="12">
        <v>1950000</v>
      </c>
      <c r="CE22" s="12">
        <v>1896516.2736</v>
      </c>
      <c r="CF22" s="12">
        <v>1</v>
      </c>
      <c r="CG22" s="12">
        <v>7.158196134574087E-4</v>
      </c>
      <c r="CH22" s="12">
        <v>7.158196134574087E-4</v>
      </c>
      <c r="CI22" s="12" t="b">
        <v>0</v>
      </c>
      <c r="CJ22" s="12" t="b">
        <v>0</v>
      </c>
      <c r="CK22" s="12" t="s">
        <v>690</v>
      </c>
      <c r="CL22" s="2" t="s">
        <v>107</v>
      </c>
      <c r="CM22" s="2" t="s">
        <v>726</v>
      </c>
      <c r="CN22" s="12">
        <v>1740.4660844667144</v>
      </c>
      <c r="CO22" s="12">
        <v>1357.5635458840372</v>
      </c>
      <c r="CP22" s="12" t="s">
        <v>107</v>
      </c>
      <c r="CQ22" s="159" t="s">
        <v>753</v>
      </c>
      <c r="CR22" s="46" t="s">
        <v>758</v>
      </c>
      <c r="CS22" s="46" t="s">
        <v>755</v>
      </c>
      <c r="CT22" s="2">
        <v>30715554530</v>
      </c>
      <c r="CU22" s="2" t="s">
        <v>691</v>
      </c>
      <c r="CV22" s="49">
        <v>46087.728472222225</v>
      </c>
      <c r="CW22" s="49">
        <v>46085.874305555553</v>
      </c>
      <c r="CX22" s="2" t="b">
        <v>1</v>
      </c>
      <c r="CY22" s="2" t="b">
        <v>1</v>
      </c>
      <c r="CZ22" s="160">
        <v>46054</v>
      </c>
      <c r="DA22" s="12" t="s">
        <v>693</v>
      </c>
      <c r="DB22" s="12"/>
      <c r="DC22" s="12"/>
      <c r="DD22" s="12"/>
      <c r="DE22" s="12"/>
      <c r="DF22" s="12"/>
      <c r="DG22" s="12"/>
      <c r="DH22" s="12"/>
      <c r="DI22" s="46"/>
      <c r="DJ22" s="48" t="s">
        <v>105</v>
      </c>
      <c r="DK22" s="48" t="s">
        <v>111</v>
      </c>
      <c r="DL22" s="48">
        <v>2431431.11</v>
      </c>
      <c r="DM22" s="13" t="s">
        <v>99</v>
      </c>
      <c r="DN22" s="13" t="s">
        <v>99</v>
      </c>
      <c r="DO22" s="12">
        <v>1.0000000242143869E-2</v>
      </c>
      <c r="DP22" s="12" t="s">
        <v>172</v>
      </c>
      <c r="DQ22" s="12" t="s">
        <v>111</v>
      </c>
      <c r="DR22" s="12">
        <v>2431431.12</v>
      </c>
      <c r="DS22" s="12" t="s">
        <v>99</v>
      </c>
      <c r="DT22" s="12">
        <v>0</v>
      </c>
      <c r="DU22" s="12"/>
      <c r="DV22" s="12"/>
      <c r="DW22" s="12" t="s">
        <v>16</v>
      </c>
      <c r="DX22" s="12"/>
      <c r="DY22" s="12" t="s">
        <v>111</v>
      </c>
      <c r="DZ22" s="12">
        <v>1469739.33</v>
      </c>
      <c r="EA22" s="12" t="s">
        <v>99</v>
      </c>
      <c r="EB22" s="12">
        <v>426776.94359999988</v>
      </c>
      <c r="EC22" s="12"/>
      <c r="ED22" s="12" t="str">
        <f>INDEX('con 1'!CI:CI,MATCH(B22,'con 1'!A:A,0),1)</f>
        <v>OK</v>
      </c>
      <c r="EE22" s="12" t="s">
        <v>1946</v>
      </c>
      <c r="EF22" s="12" t="s">
        <v>1947</v>
      </c>
      <c r="EG22" s="48">
        <f ca="1">AN22/INDEX(er!D:D,MATCH(AA22,er!C:C,0),1)</f>
        <v>1740.4660844667144</v>
      </c>
    </row>
    <row r="23" spans="1:137" ht="12.5" x14ac:dyDescent="0.25">
      <c r="A23" s="46" t="s">
        <v>103</v>
      </c>
      <c r="B23" s="46" t="s">
        <v>176</v>
      </c>
      <c r="C23" s="46" t="s">
        <v>94</v>
      </c>
      <c r="D23" s="46" t="s">
        <v>98</v>
      </c>
      <c r="E23" s="156">
        <v>46081</v>
      </c>
      <c r="F23" s="46" t="s">
        <v>920</v>
      </c>
      <c r="G23" s="46" t="s">
        <v>921</v>
      </c>
      <c r="H23" s="46" t="s">
        <v>178</v>
      </c>
      <c r="I23" s="46" t="s">
        <v>922</v>
      </c>
      <c r="J23" s="46" t="s">
        <v>923</v>
      </c>
      <c r="K23" s="46" t="s">
        <v>559</v>
      </c>
      <c r="L23" s="46" t="s">
        <v>686</v>
      </c>
      <c r="M23" s="2" t="s">
        <v>563</v>
      </c>
      <c r="N23" s="46" t="s">
        <v>924</v>
      </c>
      <c r="O23" s="46" t="s">
        <v>925</v>
      </c>
      <c r="P23" s="46" t="s">
        <v>93</v>
      </c>
      <c r="Q23" s="46" t="s">
        <v>100</v>
      </c>
      <c r="R23" s="46" t="s">
        <v>104</v>
      </c>
      <c r="S23" s="46" t="s">
        <v>107</v>
      </c>
      <c r="T23" s="46" t="s">
        <v>107</v>
      </c>
      <c r="U23" s="46" t="s">
        <v>436</v>
      </c>
      <c r="V23" s="46" t="s">
        <v>105</v>
      </c>
      <c r="W23" s="46" t="s">
        <v>439</v>
      </c>
      <c r="X23" s="46" t="s">
        <v>687</v>
      </c>
      <c r="Y23" s="46" t="s">
        <v>688</v>
      </c>
      <c r="Z23" s="46" t="s">
        <v>688</v>
      </c>
      <c r="AA23" s="46" t="s">
        <v>111</v>
      </c>
      <c r="AB23" s="12" t="s">
        <v>111</v>
      </c>
      <c r="AC23" s="12">
        <v>4454635.05</v>
      </c>
      <c r="AD23" s="12">
        <v>4454635.05</v>
      </c>
      <c r="AE23" s="12">
        <v>1</v>
      </c>
      <c r="AF23" s="12">
        <v>1</v>
      </c>
      <c r="AG23" s="12">
        <v>1</v>
      </c>
      <c r="AH23" s="12">
        <v>0.85</v>
      </c>
      <c r="AI23" s="12">
        <v>0.85</v>
      </c>
      <c r="AJ23" s="12">
        <v>0</v>
      </c>
      <c r="AK23" s="12"/>
      <c r="AL23" s="12">
        <v>4454635.05</v>
      </c>
      <c r="AM23" s="12">
        <v>4454635.05</v>
      </c>
      <c r="AN23" s="12">
        <v>4454635.05</v>
      </c>
      <c r="AO23" s="12">
        <v>3786439.7925</v>
      </c>
      <c r="AP23" s="12">
        <v>2940036.86</v>
      </c>
      <c r="AQ23" s="12"/>
      <c r="AR23" s="12">
        <v>4454635.05</v>
      </c>
      <c r="AS23" s="12">
        <v>3188.7151395848246</v>
      </c>
      <c r="AT23" s="12">
        <v>2710.4078686471007</v>
      </c>
      <c r="AU23" s="12">
        <v>668195.25749999995</v>
      </c>
      <c r="AV23" s="12">
        <v>668195.25749999995</v>
      </c>
      <c r="AW23" s="12">
        <v>478.30727093772367</v>
      </c>
      <c r="AX23" s="12">
        <v>15</v>
      </c>
      <c r="AY23" s="2" t="s">
        <v>2325</v>
      </c>
      <c r="AZ23" s="2" t="s">
        <v>101</v>
      </c>
      <c r="BA23" s="46"/>
      <c r="BB23" s="2" t="s">
        <v>2326</v>
      </c>
      <c r="BC23" s="2" t="s">
        <v>102</v>
      </c>
      <c r="BD23" s="46"/>
      <c r="BE23" s="46"/>
      <c r="BF23" s="12"/>
      <c r="BG23" s="12">
        <v>1</v>
      </c>
      <c r="BH23" s="12" t="s">
        <v>926</v>
      </c>
      <c r="BI23" s="46" t="s">
        <v>924</v>
      </c>
      <c r="BJ23" s="46" t="s">
        <v>927</v>
      </c>
      <c r="BK23" s="46" t="s">
        <v>863</v>
      </c>
      <c r="BL23" s="46" t="s">
        <v>863</v>
      </c>
      <c r="BM23" s="46" t="s">
        <v>863</v>
      </c>
      <c r="BN23" s="46" t="s">
        <v>744</v>
      </c>
      <c r="BO23" s="46" t="s">
        <v>745</v>
      </c>
      <c r="BP23" s="46" t="s">
        <v>436</v>
      </c>
      <c r="BQ23" s="157">
        <v>46055</v>
      </c>
      <c r="BR23" s="156">
        <v>46070</v>
      </c>
      <c r="BS23" s="46" t="s">
        <v>746</v>
      </c>
      <c r="BT23" s="46"/>
      <c r="BU23" s="12">
        <v>1</v>
      </c>
      <c r="BV23" s="158" t="s">
        <v>928</v>
      </c>
      <c r="BW23" s="12" t="s">
        <v>929</v>
      </c>
      <c r="BX23" s="12">
        <v>0</v>
      </c>
      <c r="BY23" s="12">
        <v>0</v>
      </c>
      <c r="BZ23" s="12">
        <v>0</v>
      </c>
      <c r="CA23" s="12">
        <v>0</v>
      </c>
      <c r="CB23" s="12">
        <v>4455000</v>
      </c>
      <c r="CC23" s="12">
        <v>4455000</v>
      </c>
      <c r="CD23" s="12">
        <v>3786750</v>
      </c>
      <c r="CE23" s="12">
        <v>3786439.7925</v>
      </c>
      <c r="CF23" s="12">
        <v>1</v>
      </c>
      <c r="CG23" s="12">
        <v>7.158196134574087E-4</v>
      </c>
      <c r="CH23" s="12">
        <v>7.158196134574087E-4</v>
      </c>
      <c r="CI23" s="12" t="b">
        <v>0</v>
      </c>
      <c r="CJ23" s="12" t="b">
        <v>0</v>
      </c>
      <c r="CK23" s="12" t="s">
        <v>690</v>
      </c>
      <c r="CL23" s="2" t="s">
        <v>107</v>
      </c>
      <c r="CM23" s="12" t="s">
        <v>930</v>
      </c>
      <c r="CN23" s="12">
        <v>3188.7151395848246</v>
      </c>
      <c r="CO23" s="12">
        <v>2710.4078686471007</v>
      </c>
      <c r="CP23" s="12" t="s">
        <v>107</v>
      </c>
      <c r="CQ23" s="159" t="s">
        <v>925</v>
      </c>
      <c r="CR23" s="46" t="s">
        <v>931</v>
      </c>
      <c r="CS23" s="46" t="s">
        <v>927</v>
      </c>
      <c r="CT23" s="2">
        <v>30594476960</v>
      </c>
      <c r="CU23" s="2" t="s">
        <v>691</v>
      </c>
      <c r="CV23" s="49">
        <v>46087.728472222225</v>
      </c>
      <c r="CW23" s="49">
        <v>46085.873611111114</v>
      </c>
      <c r="CX23" s="2" t="b">
        <v>1</v>
      </c>
      <c r="CY23" s="2" t="b">
        <v>1</v>
      </c>
      <c r="CZ23" s="160">
        <v>46054</v>
      </c>
      <c r="DA23" s="12" t="s">
        <v>693</v>
      </c>
      <c r="DB23" s="12"/>
      <c r="DC23" s="12"/>
      <c r="DD23" s="12"/>
      <c r="DE23" s="12"/>
      <c r="DF23" s="12"/>
      <c r="DG23" s="12"/>
      <c r="DH23" s="12"/>
      <c r="DI23" s="46"/>
      <c r="DJ23" s="48"/>
      <c r="DK23" s="48"/>
      <c r="DL23" s="48"/>
      <c r="DM23" s="13" t="s">
        <v>16</v>
      </c>
      <c r="DN23" s="13" t="s">
        <v>16</v>
      </c>
      <c r="DO23" s="12"/>
      <c r="DP23" s="12" t="s">
        <v>176</v>
      </c>
      <c r="DQ23" s="12" t="s">
        <v>111</v>
      </c>
      <c r="DR23" s="12">
        <v>4454635.05</v>
      </c>
      <c r="DS23" s="12" t="s">
        <v>99</v>
      </c>
      <c r="DT23" s="12">
        <v>0</v>
      </c>
      <c r="DU23" s="12"/>
      <c r="DV23" s="12"/>
      <c r="DW23" s="12" t="s">
        <v>16</v>
      </c>
      <c r="DX23" s="12"/>
      <c r="DY23" s="12" t="s">
        <v>111</v>
      </c>
      <c r="DZ23" s="12">
        <v>2940148.22</v>
      </c>
      <c r="EA23" s="12" t="s">
        <v>99</v>
      </c>
      <c r="EB23" s="12">
        <v>846291.57249999978</v>
      </c>
      <c r="EC23" s="12"/>
      <c r="ED23" s="12" t="str">
        <f>INDEX('con 1'!CI:CI,MATCH(B23,'con 1'!A:A,0),1)</f>
        <v>OK</v>
      </c>
      <c r="EE23" s="12" t="s">
        <v>1946</v>
      </c>
      <c r="EF23" s="12" t="s">
        <v>1947</v>
      </c>
      <c r="EG23" s="48">
        <f ca="1">AN23/INDEX(er!D:D,MATCH(AA23,er!C:C,0),1)</f>
        <v>3188.7151395848246</v>
      </c>
    </row>
    <row r="24" spans="1:137" ht="12.5" x14ac:dyDescent="0.25">
      <c r="A24" s="46" t="s">
        <v>103</v>
      </c>
      <c r="B24" s="46" t="s">
        <v>179</v>
      </c>
      <c r="C24" s="46" t="s">
        <v>94</v>
      </c>
      <c r="D24" s="46" t="s">
        <v>98</v>
      </c>
      <c r="E24" s="156">
        <v>46081</v>
      </c>
      <c r="F24" s="46" t="s">
        <v>932</v>
      </c>
      <c r="G24" s="46" t="s">
        <v>933</v>
      </c>
      <c r="H24" s="46" t="s">
        <v>181</v>
      </c>
      <c r="I24" s="46" t="s">
        <v>934</v>
      </c>
      <c r="J24" s="46" t="s">
        <v>935</v>
      </c>
      <c r="K24" s="46" t="s">
        <v>559</v>
      </c>
      <c r="L24" s="46" t="s">
        <v>686</v>
      </c>
      <c r="M24" s="2" t="s">
        <v>563</v>
      </c>
      <c r="N24" s="46" t="s">
        <v>741</v>
      </c>
      <c r="O24" s="46" t="s">
        <v>741</v>
      </c>
      <c r="P24" s="46" t="s">
        <v>93</v>
      </c>
      <c r="Q24" s="46" t="s">
        <v>100</v>
      </c>
      <c r="R24" s="46" t="s">
        <v>104</v>
      </c>
      <c r="S24" s="46" t="s">
        <v>107</v>
      </c>
      <c r="T24" s="46" t="s">
        <v>107</v>
      </c>
      <c r="U24" s="46" t="s">
        <v>436</v>
      </c>
      <c r="V24" s="46" t="s">
        <v>105</v>
      </c>
      <c r="W24" s="46" t="s">
        <v>439</v>
      </c>
      <c r="X24" s="46" t="s">
        <v>687</v>
      </c>
      <c r="Y24" s="46" t="s">
        <v>688</v>
      </c>
      <c r="Z24" s="46" t="s">
        <v>688</v>
      </c>
      <c r="AA24" s="46" t="s">
        <v>111</v>
      </c>
      <c r="AB24" s="12" t="s">
        <v>111</v>
      </c>
      <c r="AC24" s="12">
        <v>2304000</v>
      </c>
      <c r="AD24" s="12">
        <v>2304000</v>
      </c>
      <c r="AE24" s="12">
        <v>1</v>
      </c>
      <c r="AF24" s="12">
        <v>1</v>
      </c>
      <c r="AG24" s="12">
        <v>1</v>
      </c>
      <c r="AH24" s="12">
        <v>0.85</v>
      </c>
      <c r="AI24" s="12">
        <v>0.85</v>
      </c>
      <c r="AJ24" s="12">
        <v>0</v>
      </c>
      <c r="AK24" s="12"/>
      <c r="AL24" s="12">
        <v>2304000</v>
      </c>
      <c r="AM24" s="12">
        <v>2304000</v>
      </c>
      <c r="AN24" s="12">
        <v>2304000</v>
      </c>
      <c r="AO24" s="12">
        <v>1958400</v>
      </c>
      <c r="AP24" s="12">
        <v>1520628.48</v>
      </c>
      <c r="AQ24" s="12"/>
      <c r="AR24" s="12">
        <v>2304000</v>
      </c>
      <c r="AS24" s="12">
        <v>1649.2483894058698</v>
      </c>
      <c r="AT24" s="12">
        <v>1401.8611309949893</v>
      </c>
      <c r="AU24" s="12">
        <v>345600</v>
      </c>
      <c r="AV24" s="12">
        <v>345600</v>
      </c>
      <c r="AW24" s="12">
        <v>247.38725841088046</v>
      </c>
      <c r="AX24" s="12">
        <v>15</v>
      </c>
      <c r="AY24" s="2" t="s">
        <v>2070</v>
      </c>
      <c r="AZ24" s="2" t="s">
        <v>101</v>
      </c>
      <c r="BA24" s="46"/>
      <c r="BB24" s="2" t="s">
        <v>2214</v>
      </c>
      <c r="BC24" s="2" t="s">
        <v>102</v>
      </c>
      <c r="BD24" s="46"/>
      <c r="BE24" s="46"/>
      <c r="BF24" s="12"/>
      <c r="BG24" s="12">
        <v>1</v>
      </c>
      <c r="BH24" s="12" t="s">
        <v>936</v>
      </c>
      <c r="BI24" s="46" t="s">
        <v>741</v>
      </c>
      <c r="BJ24" s="46" t="s">
        <v>742</v>
      </c>
      <c r="BK24" s="46" t="s">
        <v>937</v>
      </c>
      <c r="BL24" s="46" t="s">
        <v>937</v>
      </c>
      <c r="BM24" s="46" t="s">
        <v>937</v>
      </c>
      <c r="BN24" s="46" t="s">
        <v>744</v>
      </c>
      <c r="BO24" s="46" t="s">
        <v>745</v>
      </c>
      <c r="BP24" s="46" t="s">
        <v>436</v>
      </c>
      <c r="BQ24" s="157">
        <v>46028</v>
      </c>
      <c r="BR24" s="156">
        <v>46057</v>
      </c>
      <c r="BS24" s="46" t="s">
        <v>746</v>
      </c>
      <c r="BT24" s="46"/>
      <c r="BU24" s="12">
        <v>1</v>
      </c>
      <c r="BV24" s="158" t="s">
        <v>938</v>
      </c>
      <c r="BW24" s="12" t="s">
        <v>939</v>
      </c>
      <c r="BX24" s="12">
        <v>0</v>
      </c>
      <c r="BY24" s="12">
        <v>0</v>
      </c>
      <c r="BZ24" s="12">
        <v>0</v>
      </c>
      <c r="CA24" s="12">
        <v>0</v>
      </c>
      <c r="CB24" s="12">
        <v>614400</v>
      </c>
      <c r="CC24" s="12">
        <v>614400</v>
      </c>
      <c r="CD24" s="12">
        <v>522240</v>
      </c>
      <c r="CE24" s="12">
        <v>1958400</v>
      </c>
      <c r="CF24" s="12">
        <v>1</v>
      </c>
      <c r="CG24" s="12">
        <v>7.158196134574087E-4</v>
      </c>
      <c r="CH24" s="12">
        <v>7.158196134574087E-4</v>
      </c>
      <c r="CI24" s="12" t="b">
        <v>0</v>
      </c>
      <c r="CJ24" s="12" t="b">
        <v>0</v>
      </c>
      <c r="CK24" s="12" t="s">
        <v>690</v>
      </c>
      <c r="CL24" s="2" t="s">
        <v>107</v>
      </c>
      <c r="CM24" s="12" t="s">
        <v>940</v>
      </c>
      <c r="CN24" s="12">
        <v>1649.2483894058698</v>
      </c>
      <c r="CO24" s="12">
        <v>1401.8611309949893</v>
      </c>
      <c r="CP24" s="12" t="s">
        <v>107</v>
      </c>
      <c r="CQ24" s="161" t="s">
        <v>741</v>
      </c>
      <c r="CR24" s="46" t="s">
        <v>747</v>
      </c>
      <c r="CS24" s="46" t="s">
        <v>742</v>
      </c>
      <c r="CT24" s="2">
        <v>30693739698</v>
      </c>
      <c r="CU24" s="2" t="s">
        <v>691</v>
      </c>
      <c r="CV24" s="49">
        <v>46087.728472222225</v>
      </c>
      <c r="CW24" s="49">
        <v>46085.873611111114</v>
      </c>
      <c r="CX24" s="2" t="b">
        <v>1</v>
      </c>
      <c r="CY24" s="2" t="b">
        <v>1</v>
      </c>
      <c r="CZ24" s="160">
        <v>46054</v>
      </c>
      <c r="DA24" s="12" t="s">
        <v>693</v>
      </c>
      <c r="DB24" s="12"/>
      <c r="DC24" s="12"/>
      <c r="DD24" s="12"/>
      <c r="DE24" s="12"/>
      <c r="DF24" s="12"/>
      <c r="DG24" s="12"/>
      <c r="DH24" s="12"/>
      <c r="DI24" s="46"/>
      <c r="DJ24" s="48"/>
      <c r="DK24" s="48"/>
      <c r="DL24" s="48"/>
      <c r="DM24" s="13" t="s">
        <v>16</v>
      </c>
      <c r="DN24" s="13" t="s">
        <v>16</v>
      </c>
      <c r="DO24" s="12"/>
      <c r="DP24" s="12" t="s">
        <v>179</v>
      </c>
      <c r="DQ24" s="12" t="s">
        <v>111</v>
      </c>
      <c r="DR24" s="12">
        <v>2304000</v>
      </c>
      <c r="DS24" s="12" t="s">
        <v>99</v>
      </c>
      <c r="DT24" s="12">
        <v>0</v>
      </c>
      <c r="DU24" s="12"/>
      <c r="DV24" s="12"/>
      <c r="DW24" s="12" t="s">
        <v>16</v>
      </c>
      <c r="DX24" s="12"/>
      <c r="DY24" s="12" t="s">
        <v>111</v>
      </c>
      <c r="DZ24" s="12">
        <v>1520686.0800000001</v>
      </c>
      <c r="EA24" s="12" t="s">
        <v>99</v>
      </c>
      <c r="EB24" s="12">
        <v>437713.91999999993</v>
      </c>
      <c r="EC24" s="12"/>
      <c r="ED24" s="12" t="str">
        <f>INDEX('con 1'!CI:CI,MATCH(B24,'con 1'!A:A,0),1)</f>
        <v>OK</v>
      </c>
      <c r="EE24" s="12" t="s">
        <v>1946</v>
      </c>
      <c r="EF24" s="12" t="s">
        <v>1947</v>
      </c>
      <c r="EG24" s="48">
        <f ca="1">AN24/INDEX(er!D:D,MATCH(AA24,er!C:C,0),1)</f>
        <v>1649.2483894058698</v>
      </c>
    </row>
    <row r="25" spans="1:137" ht="12.5" x14ac:dyDescent="0.25">
      <c r="A25" s="46" t="s">
        <v>103</v>
      </c>
      <c r="B25" s="46" t="s">
        <v>182</v>
      </c>
      <c r="C25" s="46" t="s">
        <v>94</v>
      </c>
      <c r="D25" s="46" t="s">
        <v>98</v>
      </c>
      <c r="E25" s="156">
        <v>46081</v>
      </c>
      <c r="F25" s="46" t="s">
        <v>946</v>
      </c>
      <c r="G25" s="46" t="s">
        <v>947</v>
      </c>
      <c r="H25" s="46" t="s">
        <v>184</v>
      </c>
      <c r="I25" s="46" t="s">
        <v>948</v>
      </c>
      <c r="J25" s="46" t="s">
        <v>949</v>
      </c>
      <c r="K25" s="46" t="s">
        <v>559</v>
      </c>
      <c r="L25" s="46" t="s">
        <v>686</v>
      </c>
      <c r="M25" s="2" t="s">
        <v>563</v>
      </c>
      <c r="N25" s="46" t="s">
        <v>924</v>
      </c>
      <c r="O25" s="46" t="s">
        <v>925</v>
      </c>
      <c r="P25" s="46" t="s">
        <v>93</v>
      </c>
      <c r="Q25" s="46" t="s">
        <v>100</v>
      </c>
      <c r="R25" s="46" t="s">
        <v>104</v>
      </c>
      <c r="S25" s="46" t="s">
        <v>107</v>
      </c>
      <c r="T25" s="46" t="s">
        <v>107</v>
      </c>
      <c r="U25" s="46" t="s">
        <v>436</v>
      </c>
      <c r="V25" s="46" t="s">
        <v>105</v>
      </c>
      <c r="W25" s="46" t="s">
        <v>439</v>
      </c>
      <c r="X25" s="46" t="s">
        <v>687</v>
      </c>
      <c r="Y25" s="46" t="s">
        <v>688</v>
      </c>
      <c r="Z25" s="46" t="s">
        <v>688</v>
      </c>
      <c r="AA25" s="46" t="s">
        <v>111</v>
      </c>
      <c r="AB25" s="12" t="s">
        <v>111</v>
      </c>
      <c r="AC25" s="12">
        <v>1192935.18</v>
      </c>
      <c r="AD25" s="12">
        <v>1192935.18</v>
      </c>
      <c r="AE25" s="12">
        <v>1</v>
      </c>
      <c r="AF25" s="12">
        <v>1</v>
      </c>
      <c r="AG25" s="12">
        <v>1</v>
      </c>
      <c r="AH25" s="12">
        <v>0.85</v>
      </c>
      <c r="AI25" s="12">
        <v>0.85</v>
      </c>
      <c r="AJ25" s="12">
        <v>0</v>
      </c>
      <c r="AK25" s="12"/>
      <c r="AL25" s="12">
        <v>1192935.18</v>
      </c>
      <c r="AM25" s="12">
        <v>1192935.18</v>
      </c>
      <c r="AN25" s="12">
        <v>1192935.18</v>
      </c>
      <c r="AO25" s="12">
        <v>1013994.903</v>
      </c>
      <c r="AP25" s="12">
        <v>787331.25</v>
      </c>
      <c r="AQ25" s="12"/>
      <c r="AR25" s="12">
        <v>1192935.18</v>
      </c>
      <c r="AS25" s="12">
        <v>853.92639942734422</v>
      </c>
      <c r="AT25" s="12">
        <v>725.83743951324266</v>
      </c>
      <c r="AU25" s="12">
        <v>178940.277</v>
      </c>
      <c r="AV25" s="12">
        <v>178940.277</v>
      </c>
      <c r="AW25" s="12">
        <v>128.08895991410165</v>
      </c>
      <c r="AX25" s="12">
        <v>15</v>
      </c>
      <c r="AY25" s="2" t="s">
        <v>2327</v>
      </c>
      <c r="AZ25" s="2" t="s">
        <v>101</v>
      </c>
      <c r="BA25" s="46"/>
      <c r="BB25" s="2" t="s">
        <v>2328</v>
      </c>
      <c r="BC25" s="2" t="s">
        <v>102</v>
      </c>
      <c r="BD25" s="46"/>
      <c r="BE25" s="46"/>
      <c r="BF25" s="12"/>
      <c r="BG25" s="12">
        <v>1</v>
      </c>
      <c r="BH25" s="12" t="s">
        <v>950</v>
      </c>
      <c r="BI25" s="46" t="s">
        <v>924</v>
      </c>
      <c r="BJ25" s="46" t="s">
        <v>927</v>
      </c>
      <c r="BK25" s="46" t="s">
        <v>863</v>
      </c>
      <c r="BL25" s="46" t="s">
        <v>863</v>
      </c>
      <c r="BM25" s="46" t="s">
        <v>863</v>
      </c>
      <c r="BN25" s="46" t="s">
        <v>744</v>
      </c>
      <c r="BO25" s="46" t="s">
        <v>745</v>
      </c>
      <c r="BP25" s="46" t="s">
        <v>436</v>
      </c>
      <c r="BQ25" s="157">
        <v>46076</v>
      </c>
      <c r="BR25" s="156">
        <v>46089</v>
      </c>
      <c r="BS25" s="46" t="s">
        <v>746</v>
      </c>
      <c r="BT25" s="46"/>
      <c r="BU25" s="12">
        <v>1</v>
      </c>
      <c r="BV25" s="158" t="s">
        <v>951</v>
      </c>
      <c r="BW25" s="12" t="s">
        <v>952</v>
      </c>
      <c r="BX25" s="12">
        <v>0</v>
      </c>
      <c r="BY25" s="12">
        <v>0</v>
      </c>
      <c r="BZ25" s="12">
        <v>0</v>
      </c>
      <c r="CA25" s="12">
        <v>0</v>
      </c>
      <c r="CB25" s="12">
        <v>1909285.7142857143</v>
      </c>
      <c r="CC25" s="12">
        <v>1909285.714286</v>
      </c>
      <c r="CD25" s="12">
        <v>1622892.857143</v>
      </c>
      <c r="CE25" s="12">
        <v>1013994.903</v>
      </c>
      <c r="CF25" s="12">
        <v>1</v>
      </c>
      <c r="CG25" s="12">
        <v>7.158196134574087E-4</v>
      </c>
      <c r="CH25" s="12">
        <v>7.158196134574087E-4</v>
      </c>
      <c r="CI25" s="12" t="b">
        <v>0</v>
      </c>
      <c r="CJ25" s="12" t="b">
        <v>0</v>
      </c>
      <c r="CK25" s="12" t="s">
        <v>690</v>
      </c>
      <c r="CL25" s="2" t="s">
        <v>107</v>
      </c>
      <c r="CM25" s="12" t="s">
        <v>953</v>
      </c>
      <c r="CN25" s="12">
        <v>853.92639942734434</v>
      </c>
      <c r="CO25" s="12">
        <v>725.83743951324266</v>
      </c>
      <c r="CP25" s="12" t="s">
        <v>107</v>
      </c>
      <c r="CQ25" s="161" t="s">
        <v>925</v>
      </c>
      <c r="CR25" s="46" t="s">
        <v>931</v>
      </c>
      <c r="CS25" s="46" t="s">
        <v>927</v>
      </c>
      <c r="CT25" s="2">
        <v>30594476960</v>
      </c>
      <c r="CU25" s="2" t="s">
        <v>691</v>
      </c>
      <c r="CV25" s="49">
        <v>46087.728472222225</v>
      </c>
      <c r="CW25" s="49">
        <v>46085.873611111114</v>
      </c>
      <c r="CX25" s="2" t="b">
        <v>1</v>
      </c>
      <c r="CY25" s="2" t="b">
        <v>1</v>
      </c>
      <c r="CZ25" s="51">
        <v>46054</v>
      </c>
      <c r="DA25" s="12" t="s">
        <v>693</v>
      </c>
      <c r="DB25" s="12"/>
      <c r="DC25" s="12"/>
      <c r="DD25" s="12"/>
      <c r="DE25" s="12"/>
      <c r="DF25" s="12"/>
      <c r="DG25" s="12"/>
      <c r="DH25" s="12"/>
      <c r="DI25" s="46"/>
      <c r="DJ25" s="48"/>
      <c r="DK25" s="48"/>
      <c r="DL25" s="48"/>
      <c r="DM25" s="13" t="s">
        <v>16</v>
      </c>
      <c r="DN25" s="13" t="s">
        <v>16</v>
      </c>
      <c r="DO25" s="12"/>
      <c r="DP25" s="12" t="s">
        <v>182</v>
      </c>
      <c r="DQ25" s="12" t="s">
        <v>111</v>
      </c>
      <c r="DR25" s="12">
        <v>1192935.18</v>
      </c>
      <c r="DS25" s="12" t="s">
        <v>99</v>
      </c>
      <c r="DT25" s="12">
        <v>0</v>
      </c>
      <c r="DU25" s="12"/>
      <c r="DV25" s="12"/>
      <c r="DW25" s="12" t="s">
        <v>16</v>
      </c>
      <c r="DX25" s="12"/>
      <c r="DY25" s="12" t="s">
        <v>111</v>
      </c>
      <c r="DZ25" s="12">
        <v>930489.45</v>
      </c>
      <c r="EA25" s="12" t="s">
        <v>99</v>
      </c>
      <c r="EB25" s="12">
        <v>83505.453000000096</v>
      </c>
      <c r="EC25" s="12"/>
      <c r="ED25" s="12" t="str">
        <f>INDEX('con 1'!CI:CI,MATCH(B25,'con 1'!A:A,0),1)</f>
        <v>OK. Twitter Comm. ERR</v>
      </c>
      <c r="EE25" s="12" t="s">
        <v>1946</v>
      </c>
      <c r="EF25" s="12" t="s">
        <v>1947</v>
      </c>
      <c r="EG25" s="48">
        <f ca="1">AN25/INDEX(er!D:D,MATCH(AA25,er!C:C,0),1)</f>
        <v>853.92639942734422</v>
      </c>
    </row>
    <row r="26" spans="1:137" ht="12.5" x14ac:dyDescent="0.25">
      <c r="A26" s="46" t="s">
        <v>103</v>
      </c>
      <c r="B26" s="46" t="s">
        <v>185</v>
      </c>
      <c r="C26" s="46" t="s">
        <v>94</v>
      </c>
      <c r="D26" s="46" t="s">
        <v>98</v>
      </c>
      <c r="E26" s="156">
        <v>46081</v>
      </c>
      <c r="F26" s="46" t="s">
        <v>954</v>
      </c>
      <c r="G26" s="46" t="s">
        <v>955</v>
      </c>
      <c r="H26" s="46" t="s">
        <v>187</v>
      </c>
      <c r="I26" s="46" t="s">
        <v>956</v>
      </c>
      <c r="J26" s="46" t="s">
        <v>957</v>
      </c>
      <c r="K26" s="46" t="s">
        <v>559</v>
      </c>
      <c r="L26" s="46" t="s">
        <v>686</v>
      </c>
      <c r="M26" s="2" t="s">
        <v>563</v>
      </c>
      <c r="N26" s="46" t="s">
        <v>825</v>
      </c>
      <c r="O26" s="46" t="s">
        <v>826</v>
      </c>
      <c r="P26" s="46" t="s">
        <v>93</v>
      </c>
      <c r="Q26" s="46" t="s">
        <v>96</v>
      </c>
      <c r="R26" s="46" t="s">
        <v>104</v>
      </c>
      <c r="S26" s="46" t="s">
        <v>107</v>
      </c>
      <c r="T26" s="46" t="s">
        <v>107</v>
      </c>
      <c r="U26" s="46" t="s">
        <v>436</v>
      </c>
      <c r="V26" s="46" t="s">
        <v>105</v>
      </c>
      <c r="W26" s="46" t="s">
        <v>439</v>
      </c>
      <c r="X26" s="46" t="s">
        <v>687</v>
      </c>
      <c r="Y26" s="46" t="s">
        <v>688</v>
      </c>
      <c r="Z26" s="46" t="s">
        <v>688</v>
      </c>
      <c r="AA26" s="46" t="s">
        <v>111</v>
      </c>
      <c r="AB26" s="12" t="s">
        <v>111</v>
      </c>
      <c r="AC26" s="12">
        <v>6210184.3200000003</v>
      </c>
      <c r="AD26" s="12">
        <v>6210184.3200000003</v>
      </c>
      <c r="AE26" s="12">
        <v>1</v>
      </c>
      <c r="AF26" s="12">
        <v>1</v>
      </c>
      <c r="AG26" s="12">
        <v>1</v>
      </c>
      <c r="AH26" s="12">
        <v>0.78</v>
      </c>
      <c r="AI26" s="12">
        <v>0.78</v>
      </c>
      <c r="AJ26" s="12">
        <v>0</v>
      </c>
      <c r="AK26" s="12"/>
      <c r="AL26" s="12">
        <v>6210184.3200000003</v>
      </c>
      <c r="AM26" s="12">
        <v>6210184.3200000003</v>
      </c>
      <c r="AN26" s="12">
        <v>6210184.3200000003</v>
      </c>
      <c r="AO26" s="12">
        <v>4843943.7696000002</v>
      </c>
      <c r="AP26" s="12">
        <v>3753901.42</v>
      </c>
      <c r="AQ26" s="12"/>
      <c r="AR26" s="12">
        <v>6210184.3200000003</v>
      </c>
      <c r="AS26" s="12">
        <v>4445.3717394416608</v>
      </c>
      <c r="AT26" s="12">
        <v>3467.3899567644953</v>
      </c>
      <c r="AU26" s="12">
        <v>1366240.5504000001</v>
      </c>
      <c r="AV26" s="12">
        <v>1366240.5504000001</v>
      </c>
      <c r="AW26" s="12">
        <v>977.98178267716537</v>
      </c>
      <c r="AX26" s="12">
        <v>22</v>
      </c>
      <c r="AY26" s="2" t="s">
        <v>2043</v>
      </c>
      <c r="AZ26" s="2" t="s">
        <v>101</v>
      </c>
      <c r="BA26" s="46"/>
      <c r="BB26" s="2" t="s">
        <v>2220</v>
      </c>
      <c r="BC26" s="2" t="s">
        <v>102</v>
      </c>
      <c r="BD26" s="46"/>
      <c r="BE26" s="46"/>
      <c r="BF26" s="12"/>
      <c r="BG26" s="12">
        <v>1</v>
      </c>
      <c r="BH26" s="12" t="s">
        <v>958</v>
      </c>
      <c r="BI26" s="46" t="s">
        <v>825</v>
      </c>
      <c r="BJ26" s="46" t="s">
        <v>827</v>
      </c>
      <c r="BK26" s="46" t="s">
        <v>708</v>
      </c>
      <c r="BL26" s="46" t="s">
        <v>708</v>
      </c>
      <c r="BM26" s="46" t="s">
        <v>708</v>
      </c>
      <c r="BN26" s="46" t="s">
        <v>735</v>
      </c>
      <c r="BO26" s="46" t="s">
        <v>710</v>
      </c>
      <c r="BP26" s="46" t="s">
        <v>436</v>
      </c>
      <c r="BQ26" s="157">
        <v>46024</v>
      </c>
      <c r="BR26" s="156">
        <v>46112</v>
      </c>
      <c r="BS26" s="46" t="s">
        <v>692</v>
      </c>
      <c r="BT26" s="46"/>
      <c r="BU26" s="12">
        <v>1</v>
      </c>
      <c r="BV26" s="158" t="s">
        <v>959</v>
      </c>
      <c r="BW26" s="12" t="s">
        <v>960</v>
      </c>
      <c r="BX26" s="12">
        <v>0</v>
      </c>
      <c r="BY26" s="12">
        <v>0</v>
      </c>
      <c r="BZ26" s="12">
        <v>0</v>
      </c>
      <c r="CA26" s="12">
        <v>0</v>
      </c>
      <c r="CB26" s="12">
        <v>6099999.96</v>
      </c>
      <c r="CC26" s="12">
        <v>6099999.96</v>
      </c>
      <c r="CD26" s="12">
        <v>4757999.9687999999</v>
      </c>
      <c r="CE26" s="12">
        <v>4843943.7696000002</v>
      </c>
      <c r="CF26" s="12">
        <v>1</v>
      </c>
      <c r="CG26" s="12">
        <v>7.158196134574087E-4</v>
      </c>
      <c r="CH26" s="12">
        <v>7.158196134574087E-4</v>
      </c>
      <c r="CI26" s="12" t="b">
        <v>0</v>
      </c>
      <c r="CJ26" s="12" t="b">
        <v>0</v>
      </c>
      <c r="CK26" s="12" t="s">
        <v>715</v>
      </c>
      <c r="CL26" s="2" t="s">
        <v>107</v>
      </c>
      <c r="CM26" s="12" t="s">
        <v>961</v>
      </c>
      <c r="CN26" s="12">
        <v>4445.3717394416608</v>
      </c>
      <c r="CO26" s="12">
        <v>3467.3899567644953</v>
      </c>
      <c r="CP26" s="12" t="s">
        <v>107</v>
      </c>
      <c r="CQ26" s="161" t="s">
        <v>826</v>
      </c>
      <c r="CR26" s="46" t="s">
        <v>828</v>
      </c>
      <c r="CS26" s="46" t="s">
        <v>827</v>
      </c>
      <c r="CT26" s="2">
        <v>30712014047</v>
      </c>
      <c r="CU26" s="2" t="s">
        <v>694</v>
      </c>
      <c r="CV26" s="49">
        <v>46087.728472222225</v>
      </c>
      <c r="CW26" s="49">
        <v>46085.874305555553</v>
      </c>
      <c r="CX26" s="2" t="b">
        <v>1</v>
      </c>
      <c r="CY26" s="2" t="b">
        <v>1</v>
      </c>
      <c r="CZ26" s="160">
        <v>46054</v>
      </c>
      <c r="DA26" s="12" t="s">
        <v>693</v>
      </c>
      <c r="DB26" s="12"/>
      <c r="DC26" s="12"/>
      <c r="DD26" s="12"/>
      <c r="DE26" s="12"/>
      <c r="DF26" s="12"/>
      <c r="DG26" s="12"/>
      <c r="DH26" s="12"/>
      <c r="DI26" s="46"/>
      <c r="DJ26" s="48" t="s">
        <v>105</v>
      </c>
      <c r="DK26" s="48" t="s">
        <v>111</v>
      </c>
      <c r="DL26" s="48">
        <v>6210184.3099999996</v>
      </c>
      <c r="DM26" s="13" t="s">
        <v>99</v>
      </c>
      <c r="DN26" s="13" t="s">
        <v>99</v>
      </c>
      <c r="DO26" s="12">
        <v>1.0000000707805157E-2</v>
      </c>
      <c r="DP26" s="12" t="s">
        <v>185</v>
      </c>
      <c r="DQ26" s="12" t="s">
        <v>111</v>
      </c>
      <c r="DR26" s="12">
        <v>6210184.3200000003</v>
      </c>
      <c r="DS26" s="12" t="s">
        <v>99</v>
      </c>
      <c r="DT26" s="12">
        <v>0</v>
      </c>
      <c r="DU26" s="12"/>
      <c r="DV26" s="12"/>
      <c r="DW26" s="12" t="s">
        <v>16</v>
      </c>
      <c r="DX26" s="12"/>
      <c r="DY26" s="12" t="s">
        <v>111</v>
      </c>
      <c r="DZ26" s="12">
        <v>3753901.16</v>
      </c>
      <c r="EA26" s="12" t="s">
        <v>99</v>
      </c>
      <c r="EB26" s="12">
        <v>1090042.6096000001</v>
      </c>
      <c r="EC26" s="12"/>
      <c r="ED26" s="12" t="str">
        <f>INDEX('con 1'!CI:CI,MATCH(B26,'con 1'!A:A,0),1)</f>
        <v>OK</v>
      </c>
      <c r="EE26" s="12" t="s">
        <v>1946</v>
      </c>
      <c r="EF26" s="12" t="s">
        <v>1947</v>
      </c>
      <c r="EG26" s="48">
        <f ca="1">AN26/INDEX(er!D:D,MATCH(AA26,er!C:C,0),1)</f>
        <v>4445.3717394416608</v>
      </c>
    </row>
    <row r="27" spans="1:137" ht="12.5" x14ac:dyDescent="0.25">
      <c r="A27" s="46" t="s">
        <v>103</v>
      </c>
      <c r="B27" s="46" t="s">
        <v>188</v>
      </c>
      <c r="C27" s="46" t="s">
        <v>94</v>
      </c>
      <c r="D27" s="46" t="s">
        <v>98</v>
      </c>
      <c r="E27" s="156">
        <v>46081</v>
      </c>
      <c r="F27" s="46" t="s">
        <v>962</v>
      </c>
      <c r="G27" s="46" t="s">
        <v>963</v>
      </c>
      <c r="H27" s="46" t="s">
        <v>190</v>
      </c>
      <c r="I27" s="46" t="s">
        <v>964</v>
      </c>
      <c r="J27" s="46" t="s">
        <v>965</v>
      </c>
      <c r="K27" s="46" t="s">
        <v>559</v>
      </c>
      <c r="L27" s="46" t="s">
        <v>686</v>
      </c>
      <c r="M27" s="2" t="s">
        <v>563</v>
      </c>
      <c r="N27" s="46" t="s">
        <v>820</v>
      </c>
      <c r="O27" s="46" t="s">
        <v>821</v>
      </c>
      <c r="P27" s="46" t="s">
        <v>93</v>
      </c>
      <c r="Q27" s="46" t="s">
        <v>96</v>
      </c>
      <c r="R27" s="46" t="s">
        <v>104</v>
      </c>
      <c r="S27" s="46" t="s">
        <v>107</v>
      </c>
      <c r="T27" s="46" t="s">
        <v>107</v>
      </c>
      <c r="U27" s="46" t="s">
        <v>436</v>
      </c>
      <c r="V27" s="46" t="s">
        <v>105</v>
      </c>
      <c r="W27" s="46" t="s">
        <v>439</v>
      </c>
      <c r="X27" s="46" t="s">
        <v>687</v>
      </c>
      <c r="Y27" s="46" t="s">
        <v>688</v>
      </c>
      <c r="Z27" s="46" t="s">
        <v>688</v>
      </c>
      <c r="AA27" s="46" t="s">
        <v>111</v>
      </c>
      <c r="AB27" s="12" t="s">
        <v>111</v>
      </c>
      <c r="AC27" s="12">
        <v>5546437.7000000002</v>
      </c>
      <c r="AD27" s="12">
        <v>5546437.7000000002</v>
      </c>
      <c r="AE27" s="12">
        <v>1</v>
      </c>
      <c r="AF27" s="12">
        <v>1</v>
      </c>
      <c r="AG27" s="12">
        <v>1</v>
      </c>
      <c r="AH27" s="12">
        <v>0.78</v>
      </c>
      <c r="AI27" s="12">
        <v>0.78</v>
      </c>
      <c r="AJ27" s="12">
        <v>0</v>
      </c>
      <c r="AK27" s="12"/>
      <c r="AL27" s="12">
        <v>5546437.7000000002</v>
      </c>
      <c r="AM27" s="12">
        <v>5546437.7000000002</v>
      </c>
      <c r="AN27" s="12">
        <v>5546437.7000000002</v>
      </c>
      <c r="AO27" s="12">
        <v>4326221.4060000004</v>
      </c>
      <c r="AP27" s="12">
        <v>3352683.15</v>
      </c>
      <c r="AQ27" s="12"/>
      <c r="AR27" s="12">
        <v>5546437.7000000002</v>
      </c>
      <c r="AS27" s="12">
        <v>3970.2488904795991</v>
      </c>
      <c r="AT27" s="12">
        <v>3096.7941345740878</v>
      </c>
      <c r="AU27" s="12">
        <v>1220216.294</v>
      </c>
      <c r="AV27" s="12">
        <v>1220216.294</v>
      </c>
      <c r="AW27" s="12">
        <v>873.45475590551177</v>
      </c>
      <c r="AX27" s="12">
        <v>22</v>
      </c>
      <c r="AY27" s="2" t="s">
        <v>2035</v>
      </c>
      <c r="AZ27" s="2" t="s">
        <v>101</v>
      </c>
      <c r="BA27" s="46"/>
      <c r="BB27" s="2" t="s">
        <v>2200</v>
      </c>
      <c r="BC27" s="2" t="s">
        <v>102</v>
      </c>
      <c r="BD27" s="46"/>
      <c r="BE27" s="46"/>
      <c r="BF27" s="12"/>
      <c r="BG27" s="12">
        <v>1</v>
      </c>
      <c r="BH27" s="12" t="s">
        <v>966</v>
      </c>
      <c r="BI27" s="46" t="s">
        <v>820</v>
      </c>
      <c r="BJ27" s="46" t="s">
        <v>823</v>
      </c>
      <c r="BK27" s="46" t="s">
        <v>865</v>
      </c>
      <c r="BL27" s="46" t="s">
        <v>865</v>
      </c>
      <c r="BM27" s="46" t="s">
        <v>865</v>
      </c>
      <c r="BN27" s="46" t="s">
        <v>735</v>
      </c>
      <c r="BO27" s="46" t="s">
        <v>710</v>
      </c>
      <c r="BP27" s="46" t="s">
        <v>436</v>
      </c>
      <c r="BQ27" s="157">
        <v>46023</v>
      </c>
      <c r="BR27" s="156">
        <v>46112</v>
      </c>
      <c r="BS27" s="46" t="s">
        <v>740</v>
      </c>
      <c r="BT27" s="46"/>
      <c r="BU27" s="12">
        <v>1</v>
      </c>
      <c r="BV27" s="158" t="s">
        <v>967</v>
      </c>
      <c r="BW27" s="12" t="s">
        <v>968</v>
      </c>
      <c r="BX27" s="12">
        <v>0</v>
      </c>
      <c r="BY27" s="12">
        <v>0</v>
      </c>
      <c r="BZ27" s="12">
        <v>0</v>
      </c>
      <c r="CA27" s="12">
        <v>0</v>
      </c>
      <c r="CB27" s="12">
        <v>7082387.54</v>
      </c>
      <c r="CC27" s="12">
        <v>7082387.54</v>
      </c>
      <c r="CD27" s="12">
        <v>5524262.2812000001</v>
      </c>
      <c r="CE27" s="12">
        <v>4326221.4060000004</v>
      </c>
      <c r="CF27" s="12">
        <v>1</v>
      </c>
      <c r="CG27" s="12">
        <v>7.158196134574087E-4</v>
      </c>
      <c r="CH27" s="12">
        <v>7.158196134574087E-4</v>
      </c>
      <c r="CI27" s="12" t="b">
        <v>0</v>
      </c>
      <c r="CJ27" s="12" t="b">
        <v>0</v>
      </c>
      <c r="CK27" s="12" t="s">
        <v>690</v>
      </c>
      <c r="CL27" s="2" t="s">
        <v>107</v>
      </c>
      <c r="CM27" s="12">
        <v>1024001139</v>
      </c>
      <c r="CN27" s="12">
        <v>3970.2488904795991</v>
      </c>
      <c r="CO27" s="12">
        <v>3096.7941345740874</v>
      </c>
      <c r="CP27" s="12" t="s">
        <v>107</v>
      </c>
      <c r="CQ27" s="161" t="s">
        <v>821</v>
      </c>
      <c r="CR27" s="46" t="s">
        <v>824</v>
      </c>
      <c r="CS27" s="46" t="s">
        <v>823</v>
      </c>
      <c r="CT27" s="2">
        <v>30715225537</v>
      </c>
      <c r="CU27" s="2" t="s">
        <v>691</v>
      </c>
      <c r="CV27" s="49">
        <v>46087.728472222225</v>
      </c>
      <c r="CW27" s="49">
        <v>46085.873611111114</v>
      </c>
      <c r="CX27" s="2" t="b">
        <v>1</v>
      </c>
      <c r="CY27" s="2" t="b">
        <v>1</v>
      </c>
      <c r="CZ27" s="160">
        <v>46054</v>
      </c>
      <c r="DA27" s="12" t="s">
        <v>693</v>
      </c>
      <c r="DB27" s="12"/>
      <c r="DC27" s="12"/>
      <c r="DD27" s="12"/>
      <c r="DE27" s="12"/>
      <c r="DF27" s="12"/>
      <c r="DG27" s="12"/>
      <c r="DH27" s="12"/>
      <c r="DI27" s="46"/>
      <c r="DJ27" s="48" t="s">
        <v>105</v>
      </c>
      <c r="DK27" s="48" t="s">
        <v>111</v>
      </c>
      <c r="DL27" s="48">
        <v>5546437.7000000002</v>
      </c>
      <c r="DM27" s="13" t="s">
        <v>99</v>
      </c>
      <c r="DN27" s="13" t="s">
        <v>99</v>
      </c>
      <c r="DO27" s="12">
        <v>0</v>
      </c>
      <c r="DP27" s="12" t="s">
        <v>188</v>
      </c>
      <c r="DQ27" s="12" t="s">
        <v>111</v>
      </c>
      <c r="DR27" s="12">
        <v>5546437.7000000002</v>
      </c>
      <c r="DS27" s="12" t="s">
        <v>99</v>
      </c>
      <c r="DT27" s="12">
        <v>0</v>
      </c>
      <c r="DU27" s="12"/>
      <c r="DV27" s="12"/>
      <c r="DW27" s="12" t="s">
        <v>16</v>
      </c>
      <c r="DX27" s="12"/>
      <c r="DY27" s="12" t="s">
        <v>111</v>
      </c>
      <c r="DZ27" s="12">
        <v>3352682.93</v>
      </c>
      <c r="EA27" s="12" t="s">
        <v>99</v>
      </c>
      <c r="EB27" s="12">
        <v>973538.47600000026</v>
      </c>
      <c r="EC27" s="12"/>
      <c r="ED27" s="12" t="str">
        <f>INDEX('con 1'!CI:CI,MATCH(B27,'con 1'!A:A,0),1)</f>
        <v>OK</v>
      </c>
      <c r="EE27" s="12" t="s">
        <v>1946</v>
      </c>
      <c r="EF27" s="12" t="s">
        <v>1947</v>
      </c>
      <c r="EG27" s="48">
        <f ca="1">AN27/INDEX(er!D:D,MATCH(AA27,er!C:C,0),1)</f>
        <v>3970.2488904795991</v>
      </c>
    </row>
    <row r="28" spans="1:137" ht="12.5" x14ac:dyDescent="0.25">
      <c r="A28" s="46" t="s">
        <v>103</v>
      </c>
      <c r="B28" s="46" t="s">
        <v>193</v>
      </c>
      <c r="C28" s="46" t="s">
        <v>94</v>
      </c>
      <c r="D28" s="46" t="s">
        <v>98</v>
      </c>
      <c r="E28" s="156">
        <v>46081</v>
      </c>
      <c r="F28" s="46" t="s">
        <v>969</v>
      </c>
      <c r="G28" s="46" t="s">
        <v>970</v>
      </c>
      <c r="H28" s="46" t="s">
        <v>195</v>
      </c>
      <c r="I28" s="46" t="s">
        <v>971</v>
      </c>
      <c r="J28" s="46" t="s">
        <v>972</v>
      </c>
      <c r="K28" s="46" t="s">
        <v>559</v>
      </c>
      <c r="L28" s="46" t="s">
        <v>686</v>
      </c>
      <c r="M28" s="2" t="s">
        <v>563</v>
      </c>
      <c r="N28" s="46" t="s">
        <v>973</v>
      </c>
      <c r="O28" s="46" t="s">
        <v>974</v>
      </c>
      <c r="P28" s="46" t="s">
        <v>93</v>
      </c>
      <c r="Q28" s="46" t="s">
        <v>96</v>
      </c>
      <c r="R28" s="46" t="s">
        <v>104</v>
      </c>
      <c r="S28" s="46" t="s">
        <v>107</v>
      </c>
      <c r="T28" s="46" t="s">
        <v>107</v>
      </c>
      <c r="U28" s="46" t="s">
        <v>436</v>
      </c>
      <c r="V28" s="46" t="s">
        <v>105</v>
      </c>
      <c r="W28" s="46" t="s">
        <v>439</v>
      </c>
      <c r="X28" s="46" t="s">
        <v>687</v>
      </c>
      <c r="Y28" s="46" t="s">
        <v>688</v>
      </c>
      <c r="Z28" s="46" t="s">
        <v>688</v>
      </c>
      <c r="AA28" s="46" t="s">
        <v>111</v>
      </c>
      <c r="AB28" s="12" t="s">
        <v>111</v>
      </c>
      <c r="AC28" s="12">
        <v>6912000</v>
      </c>
      <c r="AD28" s="12">
        <v>6912000</v>
      </c>
      <c r="AE28" s="12">
        <v>1</v>
      </c>
      <c r="AF28" s="12">
        <v>1</v>
      </c>
      <c r="AG28" s="12">
        <v>1</v>
      </c>
      <c r="AH28" s="12">
        <v>0.78</v>
      </c>
      <c r="AI28" s="12">
        <v>0.78</v>
      </c>
      <c r="AJ28" s="12">
        <v>0</v>
      </c>
      <c r="AK28" s="12"/>
      <c r="AL28" s="12">
        <v>6912000</v>
      </c>
      <c r="AM28" s="12">
        <v>6912000</v>
      </c>
      <c r="AN28" s="12">
        <v>6912000</v>
      </c>
      <c r="AO28" s="12">
        <v>5391360</v>
      </c>
      <c r="AP28" s="12">
        <v>4178131.48</v>
      </c>
      <c r="AQ28" s="12"/>
      <c r="AR28" s="12">
        <v>6912000</v>
      </c>
      <c r="AS28" s="12">
        <v>4947.7451682176088</v>
      </c>
      <c r="AT28" s="12">
        <v>3859.2412312097354</v>
      </c>
      <c r="AU28" s="12">
        <v>1520640</v>
      </c>
      <c r="AV28" s="12">
        <v>1520640</v>
      </c>
      <c r="AW28" s="12">
        <v>1088.5039370078741</v>
      </c>
      <c r="AX28" s="12">
        <v>22</v>
      </c>
      <c r="AY28" s="2" t="s">
        <v>2329</v>
      </c>
      <c r="AZ28" s="2" t="s">
        <v>101</v>
      </c>
      <c r="BA28" s="46"/>
      <c r="BB28" s="2" t="s">
        <v>2330</v>
      </c>
      <c r="BC28" s="2" t="s">
        <v>102</v>
      </c>
      <c r="BD28" s="46"/>
      <c r="BE28" s="46"/>
      <c r="BF28" s="12"/>
      <c r="BG28" s="12">
        <v>1</v>
      </c>
      <c r="BH28" s="12" t="s">
        <v>975</v>
      </c>
      <c r="BI28" s="46" t="s">
        <v>973</v>
      </c>
      <c r="BJ28" s="46" t="s">
        <v>976</v>
      </c>
      <c r="BK28" s="46" t="s">
        <v>708</v>
      </c>
      <c r="BL28" s="46" t="s">
        <v>708</v>
      </c>
      <c r="BM28" s="46" t="s">
        <v>708</v>
      </c>
      <c r="BN28" s="46" t="s">
        <v>735</v>
      </c>
      <c r="BO28" s="46" t="s">
        <v>710</v>
      </c>
      <c r="BP28" s="46" t="s">
        <v>436</v>
      </c>
      <c r="BQ28" s="157">
        <v>46058</v>
      </c>
      <c r="BR28" s="156">
        <v>46086</v>
      </c>
      <c r="BS28" s="46" t="s">
        <v>689</v>
      </c>
      <c r="BT28" s="46"/>
      <c r="BU28" s="12">
        <v>1</v>
      </c>
      <c r="BV28" s="158" t="s">
        <v>977</v>
      </c>
      <c r="BW28" s="12" t="s">
        <v>978</v>
      </c>
      <c r="BX28" s="12">
        <v>0</v>
      </c>
      <c r="BY28" s="12">
        <v>0</v>
      </c>
      <c r="BZ28" s="12">
        <v>0</v>
      </c>
      <c r="CA28" s="12">
        <v>0</v>
      </c>
      <c r="CB28" s="12">
        <v>11440551.72413793</v>
      </c>
      <c r="CC28" s="12">
        <v>11440551.724137999</v>
      </c>
      <c r="CD28" s="12">
        <v>8923630.3448280003</v>
      </c>
      <c r="CE28" s="12">
        <v>5391360</v>
      </c>
      <c r="CF28" s="12">
        <v>1</v>
      </c>
      <c r="CG28" s="12">
        <v>7.158196134574087E-4</v>
      </c>
      <c r="CH28" s="12">
        <v>7.158196134574087E-4</v>
      </c>
      <c r="CI28" s="12" t="b">
        <v>0</v>
      </c>
      <c r="CJ28" s="12" t="b">
        <v>0</v>
      </c>
      <c r="CK28" s="12" t="s">
        <v>690</v>
      </c>
      <c r="CL28" s="2" t="s">
        <v>107</v>
      </c>
      <c r="CM28" s="2" t="s">
        <v>877</v>
      </c>
      <c r="CN28" s="12">
        <v>4947.7451682176088</v>
      </c>
      <c r="CO28" s="12">
        <v>3859.2412312097354</v>
      </c>
      <c r="CP28" s="12" t="s">
        <v>107</v>
      </c>
      <c r="CQ28" s="161"/>
      <c r="CR28" s="46" t="s">
        <v>979</v>
      </c>
      <c r="CS28" s="46" t="s">
        <v>976</v>
      </c>
      <c r="CT28" s="2">
        <v>30711985766</v>
      </c>
      <c r="CU28" s="2" t="s">
        <v>691</v>
      </c>
      <c r="CV28" s="49">
        <v>46087.728472222225</v>
      </c>
      <c r="CW28" s="49">
        <v>46085.873611111114</v>
      </c>
      <c r="CX28" s="2" t="b">
        <v>1</v>
      </c>
      <c r="CY28" s="2" t="b">
        <v>1</v>
      </c>
      <c r="CZ28" s="160">
        <v>46054</v>
      </c>
      <c r="DA28" s="12" t="s">
        <v>693</v>
      </c>
      <c r="DB28" s="12"/>
      <c r="DC28" s="12"/>
      <c r="DD28" s="12"/>
      <c r="DE28" s="12"/>
      <c r="DF28" s="12"/>
      <c r="DG28" s="12"/>
      <c r="DH28" s="12"/>
      <c r="DI28" s="46"/>
      <c r="DJ28" s="48" t="s">
        <v>105</v>
      </c>
      <c r="DK28" s="48" t="s">
        <v>111</v>
      </c>
      <c r="DL28" s="48">
        <v>6912000</v>
      </c>
      <c r="DM28" s="13" t="s">
        <v>99</v>
      </c>
      <c r="DN28" s="13" t="s">
        <v>99</v>
      </c>
      <c r="DO28" s="12">
        <v>0</v>
      </c>
      <c r="DP28" s="12" t="s">
        <v>193</v>
      </c>
      <c r="DQ28" s="12" t="s">
        <v>111</v>
      </c>
      <c r="DR28" s="12">
        <v>6912000</v>
      </c>
      <c r="DS28" s="12" t="s">
        <v>99</v>
      </c>
      <c r="DT28" s="12">
        <v>0</v>
      </c>
      <c r="DU28" s="12"/>
      <c r="DV28" s="12"/>
      <c r="DW28" s="12" t="s">
        <v>16</v>
      </c>
      <c r="DX28" s="12"/>
      <c r="DY28" s="12" t="s">
        <v>111</v>
      </c>
      <c r="DZ28" s="12">
        <v>4178131.18</v>
      </c>
      <c r="EA28" s="12" t="s">
        <v>99</v>
      </c>
      <c r="EB28" s="12">
        <v>1213228.8199999998</v>
      </c>
      <c r="EC28" s="12"/>
      <c r="ED28" s="12" t="str">
        <f>INDEX('con 1'!CI:CI,MATCH(B28,'con 1'!A:A,0),1)</f>
        <v>OK</v>
      </c>
      <c r="EE28" s="12" t="s">
        <v>1946</v>
      </c>
      <c r="EF28" s="12" t="s">
        <v>1947</v>
      </c>
      <c r="EG28" s="48">
        <f ca="1">AN28/INDEX(er!D:D,MATCH(AA28,er!C:C,0),1)</f>
        <v>4947.7451682176088</v>
      </c>
    </row>
    <row r="29" spans="1:137" ht="12.5" x14ac:dyDescent="0.25">
      <c r="A29" s="46" t="s">
        <v>103</v>
      </c>
      <c r="B29" s="46" t="s">
        <v>197</v>
      </c>
      <c r="C29" s="46" t="s">
        <v>94</v>
      </c>
      <c r="D29" s="46" t="s">
        <v>98</v>
      </c>
      <c r="E29" s="156">
        <v>46081</v>
      </c>
      <c r="F29" s="46" t="s">
        <v>980</v>
      </c>
      <c r="G29" s="46" t="s">
        <v>981</v>
      </c>
      <c r="H29" s="46" t="s">
        <v>199</v>
      </c>
      <c r="I29" s="46" t="s">
        <v>982</v>
      </c>
      <c r="J29" s="46" t="s">
        <v>983</v>
      </c>
      <c r="K29" s="46" t="s">
        <v>559</v>
      </c>
      <c r="L29" s="46" t="s">
        <v>686</v>
      </c>
      <c r="M29" s="2" t="s">
        <v>563</v>
      </c>
      <c r="N29" s="46" t="s">
        <v>984</v>
      </c>
      <c r="O29" s="46" t="s">
        <v>985</v>
      </c>
      <c r="P29" s="46" t="s">
        <v>93</v>
      </c>
      <c r="Q29" s="46" t="s">
        <v>96</v>
      </c>
      <c r="R29" s="46" t="s">
        <v>104</v>
      </c>
      <c r="S29" s="46" t="s">
        <v>107</v>
      </c>
      <c r="T29" s="46" t="s">
        <v>107</v>
      </c>
      <c r="U29" s="46" t="s">
        <v>436</v>
      </c>
      <c r="V29" s="46" t="s">
        <v>105</v>
      </c>
      <c r="W29" s="46" t="s">
        <v>439</v>
      </c>
      <c r="X29" s="46" t="s">
        <v>687</v>
      </c>
      <c r="Y29" s="46" t="s">
        <v>688</v>
      </c>
      <c r="Z29" s="46" t="s">
        <v>688</v>
      </c>
      <c r="AA29" s="46" t="s">
        <v>111</v>
      </c>
      <c r="AB29" s="12" t="s">
        <v>111</v>
      </c>
      <c r="AC29" s="12">
        <v>9005104.1400000006</v>
      </c>
      <c r="AD29" s="12">
        <v>9005104.1400000006</v>
      </c>
      <c r="AE29" s="12">
        <v>1</v>
      </c>
      <c r="AF29" s="12">
        <v>1</v>
      </c>
      <c r="AG29" s="12">
        <v>1</v>
      </c>
      <c r="AH29" s="12">
        <v>0.78</v>
      </c>
      <c r="AI29" s="12">
        <v>0.78</v>
      </c>
      <c r="AJ29" s="12">
        <v>0</v>
      </c>
      <c r="AK29" s="12"/>
      <c r="AL29" s="12">
        <v>9005104.1400000006</v>
      </c>
      <c r="AM29" s="12">
        <v>9005104.1400000006</v>
      </c>
      <c r="AN29" s="12">
        <v>9005104.1400000006</v>
      </c>
      <c r="AO29" s="12">
        <v>7023981.2291999999</v>
      </c>
      <c r="AP29" s="12">
        <v>5443360.6900000004</v>
      </c>
      <c r="AQ29" s="12"/>
      <c r="AR29" s="12">
        <v>9005104.1400000006</v>
      </c>
      <c r="AS29" s="12">
        <v>6446.0301646385115</v>
      </c>
      <c r="AT29" s="12">
        <v>5027.9035284180391</v>
      </c>
      <c r="AU29" s="12">
        <v>1981122.9108</v>
      </c>
      <c r="AV29" s="12">
        <v>1981122.9108</v>
      </c>
      <c r="AW29" s="12">
        <v>1418.1266362204724</v>
      </c>
      <c r="AX29" s="12">
        <v>22</v>
      </c>
      <c r="AY29" s="2" t="s">
        <v>2103</v>
      </c>
      <c r="AZ29" s="2" t="s">
        <v>101</v>
      </c>
      <c r="BA29" s="46"/>
      <c r="BB29" s="2" t="s">
        <v>2216</v>
      </c>
      <c r="BC29" s="2" t="s">
        <v>102</v>
      </c>
      <c r="BD29" s="46"/>
      <c r="BE29" s="46"/>
      <c r="BF29" s="12"/>
      <c r="BG29" s="12">
        <v>1</v>
      </c>
      <c r="BH29" s="12" t="s">
        <v>986</v>
      </c>
      <c r="BI29" s="46" t="s">
        <v>984</v>
      </c>
      <c r="BJ29" s="46" t="s">
        <v>987</v>
      </c>
      <c r="BK29" s="46" t="s">
        <v>708</v>
      </c>
      <c r="BL29" s="46" t="s">
        <v>708</v>
      </c>
      <c r="BM29" s="46" t="s">
        <v>708</v>
      </c>
      <c r="BN29" s="46" t="s">
        <v>735</v>
      </c>
      <c r="BO29" s="46" t="s">
        <v>710</v>
      </c>
      <c r="BP29" s="46" t="s">
        <v>436</v>
      </c>
      <c r="BQ29" s="157">
        <v>46010</v>
      </c>
      <c r="BR29" s="156">
        <v>46081</v>
      </c>
      <c r="BS29" s="46" t="s">
        <v>689</v>
      </c>
      <c r="BT29" s="46"/>
      <c r="BU29" s="12">
        <v>1</v>
      </c>
      <c r="BV29" s="158" t="s">
        <v>988</v>
      </c>
      <c r="BW29" s="12" t="s">
        <v>989</v>
      </c>
      <c r="BX29" s="12">
        <v>0</v>
      </c>
      <c r="BY29" s="12">
        <v>0</v>
      </c>
      <c r="BZ29" s="12">
        <v>0</v>
      </c>
      <c r="CA29" s="12">
        <v>0</v>
      </c>
      <c r="CB29" s="12">
        <v>9000000</v>
      </c>
      <c r="CC29" s="12">
        <v>9000000</v>
      </c>
      <c r="CD29" s="12">
        <v>7020000</v>
      </c>
      <c r="CE29" s="12">
        <v>7023981.2291999999</v>
      </c>
      <c r="CF29" s="12">
        <v>1</v>
      </c>
      <c r="CG29" s="12">
        <v>7.158196134574087E-4</v>
      </c>
      <c r="CH29" s="12">
        <v>7.158196134574087E-4</v>
      </c>
      <c r="CI29" s="12" t="b">
        <v>0</v>
      </c>
      <c r="CJ29" s="12" t="b">
        <v>0</v>
      </c>
      <c r="CK29" s="12" t="s">
        <v>690</v>
      </c>
      <c r="CL29" s="2" t="s">
        <v>107</v>
      </c>
      <c r="CM29" s="12" t="s">
        <v>990</v>
      </c>
      <c r="CN29" s="12">
        <v>6446.0301646385115</v>
      </c>
      <c r="CO29" s="12">
        <v>5027.9035284180391</v>
      </c>
      <c r="CP29" s="12" t="s">
        <v>107</v>
      </c>
      <c r="CQ29" s="161" t="s">
        <v>991</v>
      </c>
      <c r="CR29" s="46" t="s">
        <v>992</v>
      </c>
      <c r="CS29" s="46" t="s">
        <v>987</v>
      </c>
      <c r="CT29" s="2">
        <v>30500008454</v>
      </c>
      <c r="CU29" s="2" t="s">
        <v>691</v>
      </c>
      <c r="CV29" s="49">
        <v>46087.728472222225</v>
      </c>
      <c r="CW29" s="49">
        <v>46085.874305555553</v>
      </c>
      <c r="CX29" s="2" t="b">
        <v>1</v>
      </c>
      <c r="CY29" s="2" t="b">
        <v>1</v>
      </c>
      <c r="CZ29" s="160">
        <v>46054</v>
      </c>
      <c r="DA29" s="12" t="s">
        <v>693</v>
      </c>
      <c r="DB29" s="12"/>
      <c r="DC29" s="12"/>
      <c r="DD29" s="12"/>
      <c r="DE29" s="12"/>
      <c r="DF29" s="12"/>
      <c r="DG29" s="12"/>
      <c r="DH29" s="12"/>
      <c r="DI29" s="46"/>
      <c r="DJ29" s="48" t="s">
        <v>105</v>
      </c>
      <c r="DK29" s="48" t="s">
        <v>111</v>
      </c>
      <c r="DL29" s="48">
        <v>9005104.1400000006</v>
      </c>
      <c r="DM29" s="13" t="s">
        <v>99</v>
      </c>
      <c r="DN29" s="13" t="s">
        <v>99</v>
      </c>
      <c r="DO29" s="12">
        <v>0</v>
      </c>
      <c r="DP29" s="12" t="s">
        <v>197</v>
      </c>
      <c r="DQ29" s="12" t="s">
        <v>111</v>
      </c>
      <c r="DR29" s="12">
        <v>9005104.1400000006</v>
      </c>
      <c r="DS29" s="12" t="s">
        <v>99</v>
      </c>
      <c r="DT29" s="12">
        <v>0</v>
      </c>
      <c r="DU29" s="12"/>
      <c r="DV29" s="12"/>
      <c r="DW29" s="12" t="s">
        <v>16</v>
      </c>
      <c r="DX29" s="12"/>
      <c r="DY29" s="12" t="s">
        <v>111</v>
      </c>
      <c r="DZ29" s="12">
        <v>5443360.3300000001</v>
      </c>
      <c r="EA29" s="12" t="s">
        <v>99</v>
      </c>
      <c r="EB29" s="12">
        <v>1580620.8991999999</v>
      </c>
      <c r="EC29" s="12"/>
      <c r="ED29" s="12" t="str">
        <f>INDEX('con 1'!CI:CI,MATCH(B29,'con 1'!A:A,0),1)</f>
        <v>OK</v>
      </c>
      <c r="EE29" s="12" t="s">
        <v>1946</v>
      </c>
      <c r="EF29" s="12" t="s">
        <v>1947</v>
      </c>
      <c r="EG29" s="48">
        <f ca="1">AN29/INDEX(er!D:D,MATCH(AA29,er!C:C,0),1)</f>
        <v>6446.0301646385115</v>
      </c>
    </row>
    <row r="30" spans="1:137" ht="12.5" x14ac:dyDescent="0.25">
      <c r="A30" s="46" t="s">
        <v>103</v>
      </c>
      <c r="B30" s="46" t="s">
        <v>201</v>
      </c>
      <c r="C30" s="46" t="s">
        <v>94</v>
      </c>
      <c r="D30" s="46" t="s">
        <v>98</v>
      </c>
      <c r="E30" s="156">
        <v>46081</v>
      </c>
      <c r="F30" s="46" t="s">
        <v>993</v>
      </c>
      <c r="G30" s="46" t="s">
        <v>994</v>
      </c>
      <c r="H30" s="46" t="s">
        <v>203</v>
      </c>
      <c r="I30" s="46" t="s">
        <v>995</v>
      </c>
      <c r="J30" s="46" t="s">
        <v>996</v>
      </c>
      <c r="K30" s="46" t="s">
        <v>559</v>
      </c>
      <c r="L30" s="46" t="s">
        <v>686</v>
      </c>
      <c r="M30" s="2" t="s">
        <v>563</v>
      </c>
      <c r="N30" s="46" t="s">
        <v>997</v>
      </c>
      <c r="O30" s="46" t="s">
        <v>998</v>
      </c>
      <c r="P30" s="46" t="s">
        <v>93</v>
      </c>
      <c r="Q30" s="46" t="s">
        <v>96</v>
      </c>
      <c r="R30" s="46" t="s">
        <v>104</v>
      </c>
      <c r="S30" s="46" t="s">
        <v>107</v>
      </c>
      <c r="T30" s="46" t="s">
        <v>107</v>
      </c>
      <c r="U30" s="46" t="s">
        <v>436</v>
      </c>
      <c r="V30" s="46" t="s">
        <v>105</v>
      </c>
      <c r="W30" s="46" t="s">
        <v>439</v>
      </c>
      <c r="X30" s="46" t="s">
        <v>687</v>
      </c>
      <c r="Y30" s="46" t="s">
        <v>688</v>
      </c>
      <c r="Z30" s="46" t="s">
        <v>688</v>
      </c>
      <c r="AA30" s="46" t="s">
        <v>111</v>
      </c>
      <c r="AB30" s="12" t="s">
        <v>111</v>
      </c>
      <c r="AC30" s="12">
        <v>241926.19</v>
      </c>
      <c r="AD30" s="12">
        <v>241926.19</v>
      </c>
      <c r="AE30" s="12">
        <v>1</v>
      </c>
      <c r="AF30" s="12">
        <v>1</v>
      </c>
      <c r="AG30" s="12">
        <v>1</v>
      </c>
      <c r="AH30" s="12">
        <v>0.78</v>
      </c>
      <c r="AI30" s="12">
        <v>0.78</v>
      </c>
      <c r="AJ30" s="12">
        <v>0</v>
      </c>
      <c r="AK30" s="12"/>
      <c r="AL30" s="12">
        <v>241926.19</v>
      </c>
      <c r="AM30" s="12">
        <v>241926.19</v>
      </c>
      <c r="AN30" s="12">
        <v>241926.19</v>
      </c>
      <c r="AO30" s="12">
        <v>188702.42819999999</v>
      </c>
      <c r="AP30" s="12">
        <v>146238.34</v>
      </c>
      <c r="AQ30" s="12"/>
      <c r="AR30" s="12">
        <v>241926.19</v>
      </c>
      <c r="AS30" s="12">
        <v>173.17551181102363</v>
      </c>
      <c r="AT30" s="12">
        <v>135.07689921259842</v>
      </c>
      <c r="AU30" s="12">
        <v>53223.7618</v>
      </c>
      <c r="AV30" s="12">
        <v>53223.7618</v>
      </c>
      <c r="AW30" s="12">
        <v>38.098612598425198</v>
      </c>
      <c r="AX30" s="12">
        <v>22</v>
      </c>
      <c r="AY30" s="2" t="s">
        <v>204</v>
      </c>
      <c r="AZ30" s="2" t="s">
        <v>101</v>
      </c>
      <c r="BA30" s="46"/>
      <c r="BB30" s="2" t="s">
        <v>2331</v>
      </c>
      <c r="BC30" s="2" t="s">
        <v>102</v>
      </c>
      <c r="BD30" s="46"/>
      <c r="BE30" s="46"/>
      <c r="BF30" s="12"/>
      <c r="BG30" s="12">
        <v>1</v>
      </c>
      <c r="BH30" s="12" t="s">
        <v>999</v>
      </c>
      <c r="BI30" s="46" t="s">
        <v>997</v>
      </c>
      <c r="BJ30" s="46" t="s">
        <v>1000</v>
      </c>
      <c r="BK30" s="46" t="s">
        <v>1001</v>
      </c>
      <c r="BL30" s="46" t="s">
        <v>697</v>
      </c>
      <c r="BM30" s="46" t="s">
        <v>697</v>
      </c>
      <c r="BN30" s="46" t="s">
        <v>735</v>
      </c>
      <c r="BO30" s="46" t="s">
        <v>710</v>
      </c>
      <c r="BP30" s="46" t="s">
        <v>436</v>
      </c>
      <c r="BQ30" s="157">
        <v>46080</v>
      </c>
      <c r="BR30" s="156">
        <v>46112</v>
      </c>
      <c r="BS30" s="46" t="s">
        <v>692</v>
      </c>
      <c r="BT30" s="46"/>
      <c r="BU30" s="12">
        <v>1</v>
      </c>
      <c r="BV30" s="158" t="s">
        <v>1002</v>
      </c>
      <c r="BW30" s="12" t="s">
        <v>1003</v>
      </c>
      <c r="BX30" s="12">
        <v>0</v>
      </c>
      <c r="BY30" s="12">
        <v>0</v>
      </c>
      <c r="BZ30" s="12">
        <v>0</v>
      </c>
      <c r="CA30" s="12">
        <v>0</v>
      </c>
      <c r="CB30" s="12">
        <v>831789.81818181823</v>
      </c>
      <c r="CC30" s="12">
        <v>831789.81818199996</v>
      </c>
      <c r="CD30" s="12">
        <v>648796.05818199995</v>
      </c>
      <c r="CE30" s="12">
        <v>188702.42819999999</v>
      </c>
      <c r="CF30" s="12">
        <v>1</v>
      </c>
      <c r="CG30" s="12">
        <v>7.158196134574087E-4</v>
      </c>
      <c r="CH30" s="12">
        <v>7.158196134574087E-4</v>
      </c>
      <c r="CI30" s="12" t="b">
        <v>0</v>
      </c>
      <c r="CJ30" s="12" t="b">
        <v>0</v>
      </c>
      <c r="CK30" s="12" t="s">
        <v>690</v>
      </c>
      <c r="CL30" s="2" t="s">
        <v>107</v>
      </c>
      <c r="CM30" s="12" t="s">
        <v>1004</v>
      </c>
      <c r="CN30" s="12">
        <v>173.17551181102363</v>
      </c>
      <c r="CO30" s="12">
        <v>135.07689921259842</v>
      </c>
      <c r="CP30" s="12" t="s">
        <v>107</v>
      </c>
      <c r="CQ30" s="159" t="s">
        <v>821</v>
      </c>
      <c r="CR30" s="46" t="s">
        <v>1005</v>
      </c>
      <c r="CS30" s="46" t="s">
        <v>1000</v>
      </c>
      <c r="CT30" s="2">
        <v>30639453738</v>
      </c>
      <c r="CU30" s="2" t="s">
        <v>691</v>
      </c>
      <c r="CV30" s="49">
        <v>46087.728472222225</v>
      </c>
      <c r="CW30" s="49">
        <v>46087.57708333333</v>
      </c>
      <c r="CX30" s="2" t="b">
        <v>1</v>
      </c>
      <c r="CY30" s="2" t="b">
        <v>1</v>
      </c>
      <c r="CZ30" s="160">
        <v>46054</v>
      </c>
      <c r="DA30" s="12" t="s">
        <v>693</v>
      </c>
      <c r="DB30" s="12"/>
      <c r="DC30" s="12"/>
      <c r="DD30" s="12"/>
      <c r="DE30" s="12"/>
      <c r="DF30" s="12"/>
      <c r="DG30" s="12"/>
      <c r="DH30" s="12"/>
      <c r="DI30" s="46"/>
      <c r="DJ30" s="48" t="s">
        <v>105</v>
      </c>
      <c r="DK30" s="48" t="s">
        <v>111</v>
      </c>
      <c r="DL30" s="48">
        <v>241926.19</v>
      </c>
      <c r="DM30" s="13" t="s">
        <v>99</v>
      </c>
      <c r="DN30" s="13" t="s">
        <v>99</v>
      </c>
      <c r="DO30" s="12">
        <v>0</v>
      </c>
      <c r="DP30" s="12" t="s">
        <v>201</v>
      </c>
      <c r="DQ30" s="12" t="s">
        <v>111</v>
      </c>
      <c r="DR30" s="12">
        <v>241926.19</v>
      </c>
      <c r="DS30" s="12" t="s">
        <v>99</v>
      </c>
      <c r="DT30" s="12">
        <v>0</v>
      </c>
      <c r="DU30" s="12"/>
      <c r="DV30" s="12"/>
      <c r="DW30" s="12" t="s">
        <v>16</v>
      </c>
      <c r="DX30" s="12"/>
      <c r="DY30" s="12" t="s">
        <v>111</v>
      </c>
      <c r="DZ30" s="12">
        <v>188702.43</v>
      </c>
      <c r="EA30" s="12" t="s">
        <v>99</v>
      </c>
      <c r="EB30" s="12">
        <v>-1.799999998183921E-3</v>
      </c>
      <c r="EC30" s="12"/>
      <c r="ED30" s="12" t="str">
        <f>INDEX('con 1'!CI:CI,MATCH(B30,'con 1'!A:A,0),1)</f>
        <v>OK. Twitter tax err.</v>
      </c>
      <c r="EE30" s="12" t="s">
        <v>101</v>
      </c>
      <c r="EF30" s="12" t="s">
        <v>1947</v>
      </c>
      <c r="EG30" s="48">
        <f ca="1">AN30/INDEX(er!D:D,MATCH(AA30,er!C:C,0),1)</f>
        <v>173.17551181102363</v>
      </c>
    </row>
    <row r="31" spans="1:137" ht="12.5" x14ac:dyDescent="0.25">
      <c r="A31" s="46" t="s">
        <v>103</v>
      </c>
      <c r="B31" s="46" t="s">
        <v>207</v>
      </c>
      <c r="C31" s="46" t="s">
        <v>94</v>
      </c>
      <c r="D31" s="46" t="s">
        <v>98</v>
      </c>
      <c r="E31" s="156">
        <v>46081</v>
      </c>
      <c r="F31" s="46" t="s">
        <v>1006</v>
      </c>
      <c r="G31" s="46" t="s">
        <v>1007</v>
      </c>
      <c r="H31" s="46" t="s">
        <v>209</v>
      </c>
      <c r="I31" s="46" t="s">
        <v>1008</v>
      </c>
      <c r="J31" s="46" t="s">
        <v>1009</v>
      </c>
      <c r="K31" s="46" t="s">
        <v>559</v>
      </c>
      <c r="L31" s="46" t="s">
        <v>686</v>
      </c>
      <c r="M31" s="2" t="s">
        <v>563</v>
      </c>
      <c r="N31" s="46" t="s">
        <v>1010</v>
      </c>
      <c r="O31" s="46" t="s">
        <v>1011</v>
      </c>
      <c r="P31" s="46" t="s">
        <v>93</v>
      </c>
      <c r="Q31" s="46" t="s">
        <v>96</v>
      </c>
      <c r="R31" s="46" t="s">
        <v>104</v>
      </c>
      <c r="S31" s="46" t="s">
        <v>107</v>
      </c>
      <c r="T31" s="46" t="s">
        <v>107</v>
      </c>
      <c r="U31" s="46" t="s">
        <v>436</v>
      </c>
      <c r="V31" s="46" t="s">
        <v>105</v>
      </c>
      <c r="W31" s="46" t="s">
        <v>439</v>
      </c>
      <c r="X31" s="46" t="s">
        <v>687</v>
      </c>
      <c r="Y31" s="46" t="s">
        <v>688</v>
      </c>
      <c r="Z31" s="46" t="s">
        <v>688</v>
      </c>
      <c r="AA31" s="46" t="s">
        <v>111</v>
      </c>
      <c r="AB31" s="12" t="s">
        <v>111</v>
      </c>
      <c r="AC31" s="12">
        <v>1677857.16</v>
      </c>
      <c r="AD31" s="12">
        <v>1677857.16</v>
      </c>
      <c r="AE31" s="12">
        <v>1</v>
      </c>
      <c r="AF31" s="12">
        <v>1</v>
      </c>
      <c r="AG31" s="12">
        <v>1</v>
      </c>
      <c r="AH31" s="12">
        <v>0.78</v>
      </c>
      <c r="AI31" s="12">
        <v>0.78</v>
      </c>
      <c r="AJ31" s="12">
        <v>0</v>
      </c>
      <c r="AK31" s="12"/>
      <c r="AL31" s="12">
        <v>1677857.16</v>
      </c>
      <c r="AM31" s="12">
        <v>1677857.16</v>
      </c>
      <c r="AN31" s="12">
        <v>1677857.16</v>
      </c>
      <c r="AO31" s="12">
        <v>1308728.5848000001</v>
      </c>
      <c r="AP31" s="12">
        <v>1014222.77</v>
      </c>
      <c r="AQ31" s="12"/>
      <c r="AR31" s="12">
        <v>1677857.16</v>
      </c>
      <c r="AS31" s="12">
        <v>1201.0430637079455</v>
      </c>
      <c r="AT31" s="12">
        <v>936.81358969219764</v>
      </c>
      <c r="AU31" s="12">
        <v>369128.57520000002</v>
      </c>
      <c r="AV31" s="12">
        <v>369128.57520000002</v>
      </c>
      <c r="AW31" s="12">
        <v>264.22947401574805</v>
      </c>
      <c r="AX31" s="12">
        <v>22</v>
      </c>
      <c r="AY31" s="2" t="s">
        <v>2100</v>
      </c>
      <c r="AZ31" s="2" t="s">
        <v>101</v>
      </c>
      <c r="BA31" s="46"/>
      <c r="BB31" s="2" t="s">
        <v>2218</v>
      </c>
      <c r="BC31" s="2" t="s">
        <v>102</v>
      </c>
      <c r="BD31" s="46"/>
      <c r="BE31" s="46"/>
      <c r="BF31" s="12"/>
      <c r="BG31" s="12">
        <v>1</v>
      </c>
      <c r="BH31" s="12" t="s">
        <v>1012</v>
      </c>
      <c r="BI31" s="46" t="s">
        <v>1010</v>
      </c>
      <c r="BJ31" s="46" t="s">
        <v>1013</v>
      </c>
      <c r="BK31" s="46" t="s">
        <v>874</v>
      </c>
      <c r="BL31" s="46" t="s">
        <v>771</v>
      </c>
      <c r="BM31" s="46" t="s">
        <v>771</v>
      </c>
      <c r="BN31" s="46" t="s">
        <v>735</v>
      </c>
      <c r="BO31" s="46" t="s">
        <v>710</v>
      </c>
      <c r="BP31" s="46" t="s">
        <v>436</v>
      </c>
      <c r="BQ31" s="157">
        <v>46014</v>
      </c>
      <c r="BR31" s="156">
        <v>46081</v>
      </c>
      <c r="BS31" s="46" t="s">
        <v>689</v>
      </c>
      <c r="BT31" s="46"/>
      <c r="BU31" s="12">
        <v>1</v>
      </c>
      <c r="BV31" s="158" t="s">
        <v>1014</v>
      </c>
      <c r="BW31" s="12" t="s">
        <v>1015</v>
      </c>
      <c r="BX31" s="12">
        <v>0</v>
      </c>
      <c r="BY31" s="12">
        <v>0</v>
      </c>
      <c r="BZ31" s="12">
        <v>0</v>
      </c>
      <c r="CA31" s="12">
        <v>0</v>
      </c>
      <c r="CB31" s="12">
        <v>1892850</v>
      </c>
      <c r="CC31" s="12">
        <v>1892850</v>
      </c>
      <c r="CD31" s="12">
        <v>1476423</v>
      </c>
      <c r="CE31" s="12">
        <v>1308728.5848000001</v>
      </c>
      <c r="CF31" s="12">
        <v>1</v>
      </c>
      <c r="CG31" s="12">
        <v>7.158196134574087E-4</v>
      </c>
      <c r="CH31" s="12">
        <v>7.158196134574087E-4</v>
      </c>
      <c r="CI31" s="12" t="b">
        <v>0</v>
      </c>
      <c r="CJ31" s="12" t="b">
        <v>0</v>
      </c>
      <c r="CK31" s="12" t="s">
        <v>690</v>
      </c>
      <c r="CL31" s="2" t="s">
        <v>107</v>
      </c>
      <c r="CM31" s="12" t="s">
        <v>1016</v>
      </c>
      <c r="CN31" s="12">
        <v>1201.0430637079455</v>
      </c>
      <c r="CO31" s="12">
        <v>936.81358969219752</v>
      </c>
      <c r="CP31" s="12" t="s">
        <v>107</v>
      </c>
      <c r="CQ31" s="161" t="s">
        <v>861</v>
      </c>
      <c r="CR31" s="46" t="s">
        <v>1017</v>
      </c>
      <c r="CS31" s="46" t="s">
        <v>1013</v>
      </c>
      <c r="CT31" s="2">
        <v>30546689979</v>
      </c>
      <c r="CU31" s="2" t="s">
        <v>691</v>
      </c>
      <c r="CV31" s="49">
        <v>46087.728472222225</v>
      </c>
      <c r="CW31" s="49">
        <v>46085.873611111114</v>
      </c>
      <c r="CX31" s="2" t="b">
        <v>1</v>
      </c>
      <c r="CY31" s="2" t="b">
        <v>1</v>
      </c>
      <c r="CZ31" s="160">
        <v>46054</v>
      </c>
      <c r="DA31" s="12" t="s">
        <v>693</v>
      </c>
      <c r="DB31" s="12"/>
      <c r="DC31" s="12"/>
      <c r="DD31" s="12"/>
      <c r="DE31" s="12"/>
      <c r="DF31" s="12"/>
      <c r="DG31" s="12"/>
      <c r="DH31" s="12"/>
      <c r="DI31" s="46"/>
      <c r="DJ31" s="48" t="s">
        <v>105</v>
      </c>
      <c r="DK31" s="48" t="s">
        <v>111</v>
      </c>
      <c r="DL31" s="48">
        <v>1677857.16</v>
      </c>
      <c r="DM31" s="13" t="s">
        <v>99</v>
      </c>
      <c r="DN31" s="13" t="s">
        <v>99</v>
      </c>
      <c r="DO31" s="12">
        <v>0</v>
      </c>
      <c r="DP31" s="12" t="s">
        <v>207</v>
      </c>
      <c r="DQ31" s="12" t="s">
        <v>111</v>
      </c>
      <c r="DR31" s="12">
        <v>1677857.16</v>
      </c>
      <c r="DS31" s="12" t="s">
        <v>99</v>
      </c>
      <c r="DT31" s="12">
        <v>0</v>
      </c>
      <c r="DU31" s="12"/>
      <c r="DV31" s="12"/>
      <c r="DW31" s="12" t="s">
        <v>16</v>
      </c>
      <c r="DX31" s="12"/>
      <c r="DY31" s="12" t="s">
        <v>111</v>
      </c>
      <c r="DZ31" s="12">
        <v>1014222.71</v>
      </c>
      <c r="EA31" s="12" t="s">
        <v>99</v>
      </c>
      <c r="EB31" s="12">
        <v>294505.87480000011</v>
      </c>
      <c r="EC31" s="12"/>
      <c r="ED31" s="12" t="str">
        <f>INDEX('con 1'!CI:CI,MATCH(B31,'con 1'!A:A,0),1)</f>
        <v>OK</v>
      </c>
      <c r="EE31" s="12" t="s">
        <v>1946</v>
      </c>
      <c r="EF31" s="12" t="s">
        <v>1947</v>
      </c>
      <c r="EG31" s="48">
        <f ca="1">AN31/INDEX(er!D:D,MATCH(AA31,er!C:C,0),1)</f>
        <v>1201.0430637079455</v>
      </c>
    </row>
    <row r="32" spans="1:137" ht="12.5" x14ac:dyDescent="0.25">
      <c r="A32" s="46" t="s">
        <v>103</v>
      </c>
      <c r="B32" s="46" t="s">
        <v>211</v>
      </c>
      <c r="C32" s="46" t="s">
        <v>94</v>
      </c>
      <c r="D32" s="46" t="s">
        <v>98</v>
      </c>
      <c r="E32" s="156">
        <v>46081</v>
      </c>
      <c r="F32" s="46" t="s">
        <v>1018</v>
      </c>
      <c r="G32" s="46" t="s">
        <v>1019</v>
      </c>
      <c r="H32" s="46" t="s">
        <v>213</v>
      </c>
      <c r="I32" s="46" t="s">
        <v>1020</v>
      </c>
      <c r="J32" s="46" t="s">
        <v>1021</v>
      </c>
      <c r="K32" s="46" t="s">
        <v>559</v>
      </c>
      <c r="L32" s="46" t="s">
        <v>686</v>
      </c>
      <c r="M32" s="2" t="s">
        <v>563</v>
      </c>
      <c r="N32" s="46" t="s">
        <v>741</v>
      </c>
      <c r="O32" s="46" t="s">
        <v>741</v>
      </c>
      <c r="P32" s="46" t="s">
        <v>93</v>
      </c>
      <c r="Q32" s="46" t="s">
        <v>100</v>
      </c>
      <c r="R32" s="46" t="s">
        <v>104</v>
      </c>
      <c r="S32" s="46" t="s">
        <v>107</v>
      </c>
      <c r="T32" s="46" t="s">
        <v>107</v>
      </c>
      <c r="U32" s="46" t="s">
        <v>436</v>
      </c>
      <c r="V32" s="46" t="s">
        <v>105</v>
      </c>
      <c r="W32" s="46" t="s">
        <v>439</v>
      </c>
      <c r="X32" s="46" t="s">
        <v>687</v>
      </c>
      <c r="Y32" s="46" t="s">
        <v>688</v>
      </c>
      <c r="Z32" s="46" t="s">
        <v>688</v>
      </c>
      <c r="AA32" s="46" t="s">
        <v>111</v>
      </c>
      <c r="AB32" s="12" t="s">
        <v>111</v>
      </c>
      <c r="AC32" s="12">
        <v>1952420.44</v>
      </c>
      <c r="AD32" s="12">
        <v>1952420.44</v>
      </c>
      <c r="AE32" s="12">
        <v>1</v>
      </c>
      <c r="AF32" s="12">
        <v>1</v>
      </c>
      <c r="AG32" s="12">
        <v>1</v>
      </c>
      <c r="AH32" s="12">
        <v>0.85</v>
      </c>
      <c r="AI32" s="12">
        <v>0.85</v>
      </c>
      <c r="AJ32" s="12">
        <v>0</v>
      </c>
      <c r="AK32" s="12"/>
      <c r="AL32" s="12">
        <v>1952420.44</v>
      </c>
      <c r="AM32" s="12">
        <v>1952420.44</v>
      </c>
      <c r="AN32" s="12">
        <v>1952420.44</v>
      </c>
      <c r="AO32" s="12">
        <v>1659557.3740000001</v>
      </c>
      <c r="AP32" s="12">
        <v>1288587.73</v>
      </c>
      <c r="AQ32" s="12"/>
      <c r="AR32" s="12">
        <v>1952420.44</v>
      </c>
      <c r="AS32" s="12">
        <v>1397.5808446671438</v>
      </c>
      <c r="AT32" s="12">
        <v>1187.9437179670724</v>
      </c>
      <c r="AU32" s="12">
        <v>292863.06599999999</v>
      </c>
      <c r="AV32" s="12">
        <v>292863.06599999999</v>
      </c>
      <c r="AW32" s="12">
        <v>209.63712670007158</v>
      </c>
      <c r="AX32" s="12">
        <v>15</v>
      </c>
      <c r="AY32" s="2" t="s">
        <v>2072</v>
      </c>
      <c r="AZ32" s="2" t="s">
        <v>101</v>
      </c>
      <c r="BA32" s="46"/>
      <c r="BB32" s="2" t="s">
        <v>2212</v>
      </c>
      <c r="BC32" s="2" t="s">
        <v>102</v>
      </c>
      <c r="BD32" s="46"/>
      <c r="BE32" s="46"/>
      <c r="BF32" s="12"/>
      <c r="BG32" s="12">
        <v>1</v>
      </c>
      <c r="BH32" s="12" t="s">
        <v>1022</v>
      </c>
      <c r="BI32" s="46" t="s">
        <v>741</v>
      </c>
      <c r="BJ32" s="46" t="s">
        <v>742</v>
      </c>
      <c r="BK32" s="46" t="s">
        <v>937</v>
      </c>
      <c r="BL32" s="46" t="s">
        <v>937</v>
      </c>
      <c r="BM32" s="46" t="s">
        <v>937</v>
      </c>
      <c r="BN32" s="46" t="s">
        <v>744</v>
      </c>
      <c r="BO32" s="46" t="s">
        <v>745</v>
      </c>
      <c r="BP32" s="46" t="s">
        <v>436</v>
      </c>
      <c r="BQ32" s="157">
        <v>46027</v>
      </c>
      <c r="BR32" s="156">
        <v>46068</v>
      </c>
      <c r="BS32" s="46" t="s">
        <v>746</v>
      </c>
      <c r="BT32" s="46"/>
      <c r="BU32" s="12">
        <v>1</v>
      </c>
      <c r="BV32" s="158" t="s">
        <v>1023</v>
      </c>
      <c r="BW32" s="12" t="s">
        <v>1024</v>
      </c>
      <c r="BX32" s="12">
        <v>0</v>
      </c>
      <c r="BY32" s="12">
        <v>0</v>
      </c>
      <c r="BZ32" s="12">
        <v>0</v>
      </c>
      <c r="CA32" s="12">
        <v>0</v>
      </c>
      <c r="CB32" s="12">
        <v>1970547.1</v>
      </c>
      <c r="CC32" s="12">
        <v>1970547.1</v>
      </c>
      <c r="CD32" s="12">
        <v>1674965.0349999999</v>
      </c>
      <c r="CE32" s="12">
        <v>1659557.3740000001</v>
      </c>
      <c r="CF32" s="12">
        <v>1</v>
      </c>
      <c r="CG32" s="12">
        <v>7.158196134574087E-4</v>
      </c>
      <c r="CH32" s="12">
        <v>7.158196134574087E-4</v>
      </c>
      <c r="CI32" s="12" t="b">
        <v>0</v>
      </c>
      <c r="CJ32" s="12" t="b">
        <v>0</v>
      </c>
      <c r="CK32" s="12" t="s">
        <v>690</v>
      </c>
      <c r="CL32" s="2" t="s">
        <v>107</v>
      </c>
      <c r="CM32" s="2" t="s">
        <v>1025</v>
      </c>
      <c r="CN32" s="12">
        <v>1397.580844667144</v>
      </c>
      <c r="CO32" s="12">
        <v>1187.9437179670722</v>
      </c>
      <c r="CP32" s="12" t="s">
        <v>107</v>
      </c>
      <c r="CQ32" s="161" t="s">
        <v>741</v>
      </c>
      <c r="CR32" s="46" t="s">
        <v>747</v>
      </c>
      <c r="CS32" s="46" t="s">
        <v>742</v>
      </c>
      <c r="CT32" s="2">
        <v>30693739698</v>
      </c>
      <c r="CU32" s="2" t="s">
        <v>691</v>
      </c>
      <c r="CV32" s="49">
        <v>46087.728472222225</v>
      </c>
      <c r="CW32" s="49">
        <v>46085.873611111114</v>
      </c>
      <c r="CX32" s="2" t="b">
        <v>1</v>
      </c>
      <c r="CY32" s="2" t="b">
        <v>1</v>
      </c>
      <c r="CZ32" s="160">
        <v>46054</v>
      </c>
      <c r="DA32" s="12" t="s">
        <v>693</v>
      </c>
      <c r="DB32" s="12"/>
      <c r="DC32" s="12"/>
      <c r="DD32" s="12"/>
      <c r="DE32" s="12"/>
      <c r="DF32" s="12"/>
      <c r="DG32" s="12"/>
      <c r="DH32" s="12"/>
      <c r="DI32" s="46"/>
      <c r="DJ32" s="48"/>
      <c r="DK32" s="48"/>
      <c r="DL32" s="48"/>
      <c r="DM32" s="13" t="s">
        <v>16</v>
      </c>
      <c r="DN32" s="13" t="s">
        <v>16</v>
      </c>
      <c r="DO32" s="12"/>
      <c r="DP32" s="12" t="s">
        <v>211</v>
      </c>
      <c r="DQ32" s="12" t="s">
        <v>111</v>
      </c>
      <c r="DR32" s="12">
        <v>1952420.44</v>
      </c>
      <c r="DS32" s="12" t="s">
        <v>99</v>
      </c>
      <c r="DT32" s="12">
        <v>0</v>
      </c>
      <c r="DU32" s="12"/>
      <c r="DV32" s="12"/>
      <c r="DW32" s="12" t="s">
        <v>16</v>
      </c>
      <c r="DX32" s="12"/>
      <c r="DY32" s="12" t="s">
        <v>111</v>
      </c>
      <c r="DZ32" s="12">
        <v>1288636.54</v>
      </c>
      <c r="EA32" s="12" t="s">
        <v>99</v>
      </c>
      <c r="EB32" s="12">
        <v>370920.83400000003</v>
      </c>
      <c r="EC32" s="12"/>
      <c r="ED32" s="12" t="str">
        <f>INDEX('con 1'!CI:CI,MATCH(B32,'con 1'!A:A,0),1)</f>
        <v>OK</v>
      </c>
      <c r="EE32" s="12" t="s">
        <v>1946</v>
      </c>
      <c r="EF32" s="12" t="s">
        <v>1947</v>
      </c>
      <c r="EG32" s="48">
        <f ca="1">AN32/INDEX(er!D:D,MATCH(AA32,er!C:C,0),1)</f>
        <v>1397.5808446671438</v>
      </c>
    </row>
    <row r="33" spans="1:137" ht="12.5" x14ac:dyDescent="0.25">
      <c r="A33" s="46" t="s">
        <v>103</v>
      </c>
      <c r="B33" s="46" t="s">
        <v>214</v>
      </c>
      <c r="C33" s="46" t="s">
        <v>94</v>
      </c>
      <c r="D33" s="46" t="s">
        <v>98</v>
      </c>
      <c r="E33" s="156">
        <v>46081</v>
      </c>
      <c r="F33" s="46" t="s">
        <v>1026</v>
      </c>
      <c r="G33" s="46" t="s">
        <v>1027</v>
      </c>
      <c r="H33" s="46" t="s">
        <v>216</v>
      </c>
      <c r="I33" s="46" t="s">
        <v>1028</v>
      </c>
      <c r="J33" s="46" t="s">
        <v>1029</v>
      </c>
      <c r="K33" s="46" t="s">
        <v>559</v>
      </c>
      <c r="L33" s="46" t="s">
        <v>686</v>
      </c>
      <c r="M33" s="2" t="s">
        <v>563</v>
      </c>
      <c r="N33" s="46" t="s">
        <v>820</v>
      </c>
      <c r="O33" s="46" t="s">
        <v>821</v>
      </c>
      <c r="P33" s="46" t="s">
        <v>93</v>
      </c>
      <c r="Q33" s="46" t="s">
        <v>96</v>
      </c>
      <c r="R33" s="46" t="s">
        <v>104</v>
      </c>
      <c r="S33" s="46" t="s">
        <v>107</v>
      </c>
      <c r="T33" s="46" t="s">
        <v>107</v>
      </c>
      <c r="U33" s="46" t="s">
        <v>436</v>
      </c>
      <c r="V33" s="46" t="s">
        <v>105</v>
      </c>
      <c r="W33" s="46" t="s">
        <v>439</v>
      </c>
      <c r="X33" s="46" t="s">
        <v>687</v>
      </c>
      <c r="Y33" s="46" t="s">
        <v>688</v>
      </c>
      <c r="Z33" s="46" t="s">
        <v>688</v>
      </c>
      <c r="AA33" s="46" t="s">
        <v>111</v>
      </c>
      <c r="AB33" s="12" t="s">
        <v>111</v>
      </c>
      <c r="AC33" s="12">
        <v>9577518.6799999997</v>
      </c>
      <c r="AD33" s="12">
        <v>9577518.6799999997</v>
      </c>
      <c r="AE33" s="12">
        <v>1</v>
      </c>
      <c r="AF33" s="12">
        <v>1</v>
      </c>
      <c r="AG33" s="12">
        <v>1</v>
      </c>
      <c r="AH33" s="12">
        <v>0.78</v>
      </c>
      <c r="AI33" s="12">
        <v>0.78</v>
      </c>
      <c r="AJ33" s="12">
        <v>0</v>
      </c>
      <c r="AK33" s="12"/>
      <c r="AL33" s="12">
        <v>9577518.6799999997</v>
      </c>
      <c r="AM33" s="12">
        <v>9577518.6799999997</v>
      </c>
      <c r="AN33" s="12">
        <v>9577518.6799999997</v>
      </c>
      <c r="AO33" s="12">
        <v>7470464.5703999996</v>
      </c>
      <c r="AP33" s="12">
        <v>5789370.9900000002</v>
      </c>
      <c r="AQ33" s="12"/>
      <c r="AR33" s="12">
        <v>9577518.6799999997</v>
      </c>
      <c r="AS33" s="12">
        <v>6855.7757193987109</v>
      </c>
      <c r="AT33" s="12">
        <v>5347.5050611309944</v>
      </c>
      <c r="AU33" s="12">
        <v>2107054.1096000001</v>
      </c>
      <c r="AV33" s="12">
        <v>2107054.1096000001</v>
      </c>
      <c r="AW33" s="12">
        <v>1508.2706582677165</v>
      </c>
      <c r="AX33" s="12">
        <v>22</v>
      </c>
      <c r="AY33" s="2" t="s">
        <v>2037</v>
      </c>
      <c r="AZ33" s="2" t="s">
        <v>101</v>
      </c>
      <c r="BA33" s="46"/>
      <c r="BB33" s="2" t="s">
        <v>2198</v>
      </c>
      <c r="BC33" s="2" t="s">
        <v>102</v>
      </c>
      <c r="BD33" s="46"/>
      <c r="BE33" s="46"/>
      <c r="BF33" s="12"/>
      <c r="BG33" s="12">
        <v>1</v>
      </c>
      <c r="BH33" s="12" t="s">
        <v>1030</v>
      </c>
      <c r="BI33" s="46" t="s">
        <v>820</v>
      </c>
      <c r="BJ33" s="46" t="s">
        <v>823</v>
      </c>
      <c r="BK33" s="46" t="s">
        <v>874</v>
      </c>
      <c r="BL33" s="46" t="s">
        <v>874</v>
      </c>
      <c r="BM33" s="46" t="s">
        <v>874</v>
      </c>
      <c r="BN33" s="46" t="s">
        <v>735</v>
      </c>
      <c r="BO33" s="46" t="s">
        <v>710</v>
      </c>
      <c r="BP33" s="46" t="s">
        <v>436</v>
      </c>
      <c r="BQ33" s="157">
        <v>46023</v>
      </c>
      <c r="BR33" s="156">
        <v>46112</v>
      </c>
      <c r="BS33" s="46" t="s">
        <v>740</v>
      </c>
      <c r="BT33" s="46"/>
      <c r="BU33" s="12">
        <v>1</v>
      </c>
      <c r="BV33" s="158" t="s">
        <v>1031</v>
      </c>
      <c r="BW33" s="12" t="s">
        <v>1032</v>
      </c>
      <c r="BX33" s="12">
        <v>0</v>
      </c>
      <c r="BY33" s="12">
        <v>0</v>
      </c>
      <c r="BZ33" s="12">
        <v>0</v>
      </c>
      <c r="CA33" s="12">
        <v>0</v>
      </c>
      <c r="CB33" s="12">
        <v>10000000</v>
      </c>
      <c r="CC33" s="12">
        <v>10000000</v>
      </c>
      <c r="CD33" s="12">
        <v>7800000</v>
      </c>
      <c r="CE33" s="12">
        <v>7470464.5703999996</v>
      </c>
      <c r="CF33" s="12">
        <v>1</v>
      </c>
      <c r="CG33" s="12">
        <v>7.158196134574087E-4</v>
      </c>
      <c r="CH33" s="12">
        <v>7.158196134574087E-4</v>
      </c>
      <c r="CI33" s="12" t="b">
        <v>0</v>
      </c>
      <c r="CJ33" s="12" t="b">
        <v>0</v>
      </c>
      <c r="CK33" s="12" t="s">
        <v>690</v>
      </c>
      <c r="CL33" s="2" t="s">
        <v>107</v>
      </c>
      <c r="CM33" s="2">
        <v>1202601101139</v>
      </c>
      <c r="CN33" s="12">
        <v>6855.7757193987118</v>
      </c>
      <c r="CO33" s="12">
        <v>5347.5050611309953</v>
      </c>
      <c r="CP33" s="12" t="s">
        <v>107</v>
      </c>
      <c r="CQ33" s="161" t="s">
        <v>821</v>
      </c>
      <c r="CR33" s="46" t="s">
        <v>824</v>
      </c>
      <c r="CS33" s="46" t="s">
        <v>823</v>
      </c>
      <c r="CT33" s="2">
        <v>30715225537</v>
      </c>
      <c r="CU33" s="2" t="s">
        <v>691</v>
      </c>
      <c r="CV33" s="49">
        <v>46087.728472222225</v>
      </c>
      <c r="CW33" s="49">
        <v>46085.874305555553</v>
      </c>
      <c r="CX33" s="2" t="b">
        <v>1</v>
      </c>
      <c r="CY33" s="2" t="b">
        <v>1</v>
      </c>
      <c r="CZ33" s="160">
        <v>46054</v>
      </c>
      <c r="DA33" s="12" t="s">
        <v>693</v>
      </c>
      <c r="DB33" s="12"/>
      <c r="DC33" s="12"/>
      <c r="DD33" s="12"/>
      <c r="DE33" s="12"/>
      <c r="DF33" s="12"/>
      <c r="DG33" s="12"/>
      <c r="DH33" s="12"/>
      <c r="DI33" s="46"/>
      <c r="DJ33" s="48" t="s">
        <v>105</v>
      </c>
      <c r="DK33" s="48" t="s">
        <v>111</v>
      </c>
      <c r="DL33" s="48">
        <v>9577518.6899999995</v>
      </c>
      <c r="DM33" s="13" t="s">
        <v>99</v>
      </c>
      <c r="DN33" s="13" t="s">
        <v>99</v>
      </c>
      <c r="DO33" s="12">
        <v>-9.9999997764825821E-3</v>
      </c>
      <c r="DP33" s="12" t="s">
        <v>214</v>
      </c>
      <c r="DQ33" s="12" t="s">
        <v>111</v>
      </c>
      <c r="DR33" s="12">
        <v>9577518.6799999997</v>
      </c>
      <c r="DS33" s="12" t="s">
        <v>99</v>
      </c>
      <c r="DT33" s="12">
        <v>0</v>
      </c>
      <c r="DU33" s="12"/>
      <c r="DV33" s="12"/>
      <c r="DW33" s="12" t="s">
        <v>16</v>
      </c>
      <c r="DX33" s="12"/>
      <c r="DY33" s="12" t="s">
        <v>111</v>
      </c>
      <c r="DZ33" s="12">
        <v>5789370.5999999996</v>
      </c>
      <c r="EA33" s="12" t="s">
        <v>99</v>
      </c>
      <c r="EB33" s="12">
        <v>1681093.9704</v>
      </c>
      <c r="EC33" s="12"/>
      <c r="ED33" s="12" t="str">
        <f>INDEX('con 1'!CI:CI,MATCH(B33,'con 1'!A:A,0),1)</f>
        <v>OK</v>
      </c>
      <c r="EE33" s="12" t="s">
        <v>1946</v>
      </c>
      <c r="EF33" s="12" t="s">
        <v>1947</v>
      </c>
      <c r="EG33" s="48">
        <f ca="1">AN33/INDEX(er!D:D,MATCH(AA33,er!C:C,0),1)</f>
        <v>6855.7757193987109</v>
      </c>
    </row>
    <row r="34" spans="1:137" ht="12.5" x14ac:dyDescent="0.25">
      <c r="A34" s="46" t="s">
        <v>103</v>
      </c>
      <c r="B34" s="46" t="s">
        <v>218</v>
      </c>
      <c r="C34" s="46" t="s">
        <v>94</v>
      </c>
      <c r="D34" s="46" t="s">
        <v>98</v>
      </c>
      <c r="E34" s="156">
        <v>46081</v>
      </c>
      <c r="F34" s="46" t="s">
        <v>1033</v>
      </c>
      <c r="G34" s="46" t="s">
        <v>1034</v>
      </c>
      <c r="H34" s="46" t="s">
        <v>220</v>
      </c>
      <c r="I34" s="46" t="s">
        <v>1035</v>
      </c>
      <c r="J34" s="46" t="s">
        <v>1036</v>
      </c>
      <c r="K34" s="46" t="s">
        <v>559</v>
      </c>
      <c r="L34" s="46" t="s">
        <v>686</v>
      </c>
      <c r="M34" s="2" t="s">
        <v>563</v>
      </c>
      <c r="N34" s="46" t="s">
        <v>820</v>
      </c>
      <c r="O34" s="46" t="s">
        <v>821</v>
      </c>
      <c r="P34" s="46" t="s">
        <v>93</v>
      </c>
      <c r="Q34" s="46" t="s">
        <v>96</v>
      </c>
      <c r="R34" s="46" t="s">
        <v>104</v>
      </c>
      <c r="S34" s="46" t="s">
        <v>107</v>
      </c>
      <c r="T34" s="46" t="s">
        <v>107</v>
      </c>
      <c r="U34" s="46" t="s">
        <v>436</v>
      </c>
      <c r="V34" s="46" t="s">
        <v>105</v>
      </c>
      <c r="W34" s="46" t="s">
        <v>439</v>
      </c>
      <c r="X34" s="46" t="s">
        <v>687</v>
      </c>
      <c r="Y34" s="46" t="s">
        <v>688</v>
      </c>
      <c r="Z34" s="46" t="s">
        <v>688</v>
      </c>
      <c r="AA34" s="46" t="s">
        <v>111</v>
      </c>
      <c r="AB34" s="12" t="s">
        <v>111</v>
      </c>
      <c r="AC34" s="12">
        <v>894756.91</v>
      </c>
      <c r="AD34" s="12">
        <v>894756.91</v>
      </c>
      <c r="AE34" s="12">
        <v>1</v>
      </c>
      <c r="AF34" s="12">
        <v>1</v>
      </c>
      <c r="AG34" s="12">
        <v>1</v>
      </c>
      <c r="AH34" s="12">
        <v>0.78</v>
      </c>
      <c r="AI34" s="12">
        <v>0.78</v>
      </c>
      <c r="AJ34" s="12">
        <v>0</v>
      </c>
      <c r="AK34" s="12"/>
      <c r="AL34" s="12">
        <v>894756.91</v>
      </c>
      <c r="AM34" s="12">
        <v>894756.91</v>
      </c>
      <c r="AN34" s="12">
        <v>894756.91</v>
      </c>
      <c r="AO34" s="12">
        <v>697910.3898</v>
      </c>
      <c r="AP34" s="12">
        <v>540858.22</v>
      </c>
      <c r="AQ34" s="12"/>
      <c r="AR34" s="12">
        <v>894756.91</v>
      </c>
      <c r="AS34" s="12">
        <v>640.48454545454547</v>
      </c>
      <c r="AT34" s="12">
        <v>499.57794545454544</v>
      </c>
      <c r="AU34" s="12">
        <v>196846.5202</v>
      </c>
      <c r="AV34" s="12">
        <v>196846.5202</v>
      </c>
      <c r="AW34" s="12">
        <v>140.9066</v>
      </c>
      <c r="AX34" s="12">
        <v>22</v>
      </c>
      <c r="AY34" s="2" t="s">
        <v>2033</v>
      </c>
      <c r="AZ34" s="2" t="s">
        <v>101</v>
      </c>
      <c r="BA34" s="46"/>
      <c r="BB34" s="2" t="s">
        <v>2194</v>
      </c>
      <c r="BC34" s="2" t="s">
        <v>102</v>
      </c>
      <c r="BD34" s="46"/>
      <c r="BE34" s="46"/>
      <c r="BF34" s="12"/>
      <c r="BG34" s="12">
        <v>1</v>
      </c>
      <c r="BH34" s="12" t="s">
        <v>1037</v>
      </c>
      <c r="BI34" s="46" t="s">
        <v>820</v>
      </c>
      <c r="BJ34" s="46" t="s">
        <v>823</v>
      </c>
      <c r="BK34" s="46" t="s">
        <v>874</v>
      </c>
      <c r="BL34" s="46" t="s">
        <v>874</v>
      </c>
      <c r="BM34" s="46" t="s">
        <v>874</v>
      </c>
      <c r="BN34" s="46" t="s">
        <v>735</v>
      </c>
      <c r="BO34" s="46" t="s">
        <v>710</v>
      </c>
      <c r="BP34" s="46" t="s">
        <v>436</v>
      </c>
      <c r="BQ34" s="157">
        <v>46023</v>
      </c>
      <c r="BR34" s="156">
        <v>46081</v>
      </c>
      <c r="BS34" s="46" t="s">
        <v>740</v>
      </c>
      <c r="BT34" s="46"/>
      <c r="BU34" s="12">
        <v>1</v>
      </c>
      <c r="BV34" s="158" t="s">
        <v>1038</v>
      </c>
      <c r="BW34" s="12" t="s">
        <v>1039</v>
      </c>
      <c r="BX34" s="12">
        <v>0</v>
      </c>
      <c r="BY34" s="12">
        <v>0</v>
      </c>
      <c r="BZ34" s="12">
        <v>0</v>
      </c>
      <c r="CA34" s="12">
        <v>0</v>
      </c>
      <c r="CB34" s="12">
        <v>4200000</v>
      </c>
      <c r="CC34" s="12">
        <v>4200000</v>
      </c>
      <c r="CD34" s="12">
        <v>3276000</v>
      </c>
      <c r="CE34" s="12">
        <v>697910.3898</v>
      </c>
      <c r="CF34" s="12">
        <v>1</v>
      </c>
      <c r="CG34" s="12">
        <v>7.158196134574087E-4</v>
      </c>
      <c r="CH34" s="12">
        <v>7.158196134574087E-4</v>
      </c>
      <c r="CI34" s="12" t="b">
        <v>0</v>
      </c>
      <c r="CJ34" s="12" t="b">
        <v>0</v>
      </c>
      <c r="CK34" s="12" t="s">
        <v>690</v>
      </c>
      <c r="CL34" s="2" t="s">
        <v>107</v>
      </c>
      <c r="CM34" s="2">
        <v>1202601202139</v>
      </c>
      <c r="CN34" s="12">
        <v>640.48454545454547</v>
      </c>
      <c r="CO34" s="12">
        <v>499.57794545454544</v>
      </c>
      <c r="CP34" s="12" t="s">
        <v>107</v>
      </c>
      <c r="CQ34" s="159" t="s">
        <v>821</v>
      </c>
      <c r="CR34" s="46" t="s">
        <v>824</v>
      </c>
      <c r="CS34" s="46" t="s">
        <v>823</v>
      </c>
      <c r="CT34" s="2">
        <v>30715225537</v>
      </c>
      <c r="CU34" s="2" t="s">
        <v>691</v>
      </c>
      <c r="CV34" s="49">
        <v>46087.728472222225</v>
      </c>
      <c r="CW34" s="49">
        <v>46085.874305555553</v>
      </c>
      <c r="CX34" s="2" t="b">
        <v>1</v>
      </c>
      <c r="CY34" s="2" t="b">
        <v>1</v>
      </c>
      <c r="CZ34" s="160">
        <v>46054</v>
      </c>
      <c r="DA34" s="12" t="s">
        <v>693</v>
      </c>
      <c r="DB34" s="12"/>
      <c r="DC34" s="12"/>
      <c r="DD34" s="12"/>
      <c r="DE34" s="12"/>
      <c r="DF34" s="12"/>
      <c r="DG34" s="12"/>
      <c r="DH34" s="12"/>
      <c r="DI34" s="46"/>
      <c r="DJ34" s="48" t="s">
        <v>105</v>
      </c>
      <c r="DK34" s="48" t="s">
        <v>111</v>
      </c>
      <c r="DL34" s="48">
        <v>894756.92</v>
      </c>
      <c r="DM34" s="13" t="s">
        <v>99</v>
      </c>
      <c r="DN34" s="13" t="s">
        <v>99</v>
      </c>
      <c r="DO34" s="12">
        <v>-1.0000000009313226E-2</v>
      </c>
      <c r="DP34" s="12" t="s">
        <v>218</v>
      </c>
      <c r="DQ34" s="12" t="s">
        <v>111</v>
      </c>
      <c r="DR34" s="12">
        <v>894756.91</v>
      </c>
      <c r="DS34" s="12" t="s">
        <v>99</v>
      </c>
      <c r="DT34" s="12">
        <v>0</v>
      </c>
      <c r="DU34" s="12"/>
      <c r="DV34" s="12"/>
      <c r="DW34" s="12" t="s">
        <v>16</v>
      </c>
      <c r="DX34" s="12"/>
      <c r="DY34" s="12" t="s">
        <v>111</v>
      </c>
      <c r="DZ34" s="12">
        <v>540858.18999999994</v>
      </c>
      <c r="EA34" s="12" t="s">
        <v>99</v>
      </c>
      <c r="EB34" s="12">
        <v>157052.19980000006</v>
      </c>
      <c r="EC34" s="12"/>
      <c r="ED34" s="12" t="str">
        <f>INDEX('con 1'!CI:CI,MATCH(B34,'con 1'!A:A,0),1)</f>
        <v>OK</v>
      </c>
      <c r="EE34" s="12" t="s">
        <v>1946</v>
      </c>
      <c r="EF34" s="12" t="s">
        <v>1947</v>
      </c>
      <c r="EG34" s="48">
        <f ca="1">AN34/INDEX(er!D:D,MATCH(AA34,er!C:C,0),1)</f>
        <v>640.48454545454547</v>
      </c>
    </row>
    <row r="35" spans="1:137" ht="12.5" x14ac:dyDescent="0.25">
      <c r="A35" s="46" t="s">
        <v>103</v>
      </c>
      <c r="B35" s="46" t="s">
        <v>221</v>
      </c>
      <c r="C35" s="46" t="s">
        <v>94</v>
      </c>
      <c r="D35" s="46" t="s">
        <v>98</v>
      </c>
      <c r="E35" s="156">
        <v>46081</v>
      </c>
      <c r="F35" s="46" t="s">
        <v>1040</v>
      </c>
      <c r="G35" s="46" t="s">
        <v>1041</v>
      </c>
      <c r="H35" s="46" t="s">
        <v>223</v>
      </c>
      <c r="I35" s="46" t="s">
        <v>1042</v>
      </c>
      <c r="J35" s="46" t="s">
        <v>1043</v>
      </c>
      <c r="K35" s="46" t="s">
        <v>559</v>
      </c>
      <c r="L35" s="46" t="s">
        <v>686</v>
      </c>
      <c r="M35" s="2" t="s">
        <v>563</v>
      </c>
      <c r="N35" s="46" t="s">
        <v>861</v>
      </c>
      <c r="O35" s="46" t="s">
        <v>861</v>
      </c>
      <c r="P35" s="46" t="s">
        <v>93</v>
      </c>
      <c r="Q35" s="46" t="s">
        <v>100</v>
      </c>
      <c r="R35" s="46" t="s">
        <v>104</v>
      </c>
      <c r="S35" s="46" t="s">
        <v>107</v>
      </c>
      <c r="T35" s="46" t="s">
        <v>107</v>
      </c>
      <c r="U35" s="46" t="s">
        <v>436</v>
      </c>
      <c r="V35" s="46" t="s">
        <v>105</v>
      </c>
      <c r="W35" s="46" t="s">
        <v>439</v>
      </c>
      <c r="X35" s="46" t="s">
        <v>687</v>
      </c>
      <c r="Y35" s="46" t="s">
        <v>688</v>
      </c>
      <c r="Z35" s="46" t="s">
        <v>688</v>
      </c>
      <c r="AA35" s="46" t="s">
        <v>111</v>
      </c>
      <c r="AB35" s="12" t="s">
        <v>111</v>
      </c>
      <c r="AC35" s="12">
        <v>1353203.44</v>
      </c>
      <c r="AD35" s="12">
        <v>1353203.44</v>
      </c>
      <c r="AE35" s="12">
        <v>1</v>
      </c>
      <c r="AF35" s="12">
        <v>1</v>
      </c>
      <c r="AG35" s="12">
        <v>1</v>
      </c>
      <c r="AH35" s="12">
        <v>0.85</v>
      </c>
      <c r="AI35" s="12">
        <v>0.85</v>
      </c>
      <c r="AJ35" s="12">
        <v>0</v>
      </c>
      <c r="AK35" s="12"/>
      <c r="AL35" s="12">
        <v>1353203.44</v>
      </c>
      <c r="AM35" s="12">
        <v>1353203.44</v>
      </c>
      <c r="AN35" s="12">
        <v>1353203.44</v>
      </c>
      <c r="AO35" s="12">
        <v>1150222.9240000001</v>
      </c>
      <c r="AP35" s="12">
        <v>893107.5</v>
      </c>
      <c r="AQ35" s="12"/>
      <c r="AR35" s="12">
        <v>1353203.44</v>
      </c>
      <c r="AS35" s="12">
        <v>968.64956335003581</v>
      </c>
      <c r="AT35" s="12">
        <v>823.35212884753048</v>
      </c>
      <c r="AU35" s="12">
        <v>202980.516</v>
      </c>
      <c r="AV35" s="12">
        <v>202980.516</v>
      </c>
      <c r="AW35" s="12">
        <v>145.29743450250538</v>
      </c>
      <c r="AX35" s="12">
        <v>15</v>
      </c>
      <c r="AY35" s="2" t="s">
        <v>2059</v>
      </c>
      <c r="AZ35" s="2" t="s">
        <v>101</v>
      </c>
      <c r="BA35" s="46"/>
      <c r="BB35" s="2" t="s">
        <v>2208</v>
      </c>
      <c r="BC35" s="2" t="s">
        <v>102</v>
      </c>
      <c r="BD35" s="46"/>
      <c r="BE35" s="46"/>
      <c r="BF35" s="12"/>
      <c r="BG35" s="12">
        <v>1</v>
      </c>
      <c r="BH35" s="12" t="s">
        <v>1044</v>
      </c>
      <c r="BI35" s="46" t="s">
        <v>861</v>
      </c>
      <c r="BJ35" s="46" t="s">
        <v>862</v>
      </c>
      <c r="BK35" s="46" t="s">
        <v>863</v>
      </c>
      <c r="BL35" s="46" t="s">
        <v>863</v>
      </c>
      <c r="BM35" s="46" t="s">
        <v>863</v>
      </c>
      <c r="BN35" s="46" t="s">
        <v>744</v>
      </c>
      <c r="BO35" s="46" t="s">
        <v>745</v>
      </c>
      <c r="BP35" s="46" t="s">
        <v>436</v>
      </c>
      <c r="BQ35" s="157">
        <v>46027</v>
      </c>
      <c r="BR35" s="156">
        <v>46086</v>
      </c>
      <c r="BS35" s="46" t="s">
        <v>746</v>
      </c>
      <c r="BT35" s="46"/>
      <c r="BU35" s="12">
        <v>1</v>
      </c>
      <c r="BV35" s="158" t="s">
        <v>1045</v>
      </c>
      <c r="BW35" s="12" t="s">
        <v>1046</v>
      </c>
      <c r="BX35" s="12">
        <v>0</v>
      </c>
      <c r="BY35" s="12">
        <v>0</v>
      </c>
      <c r="BZ35" s="12">
        <v>0</v>
      </c>
      <c r="CA35" s="12">
        <v>0</v>
      </c>
      <c r="CB35" s="12">
        <v>1</v>
      </c>
      <c r="CC35" s="12">
        <v>1</v>
      </c>
      <c r="CD35" s="12">
        <v>0.85</v>
      </c>
      <c r="CE35" s="12">
        <v>1150222.9240000001</v>
      </c>
      <c r="CF35" s="12">
        <v>1</v>
      </c>
      <c r="CG35" s="12">
        <v>7.158196134574087E-4</v>
      </c>
      <c r="CH35" s="12">
        <v>7.158196134574087E-4</v>
      </c>
      <c r="CI35" s="12" t="b">
        <v>1</v>
      </c>
      <c r="CJ35" s="12" t="b">
        <v>1</v>
      </c>
      <c r="CK35" s="12" t="s">
        <v>690</v>
      </c>
      <c r="CL35" s="2" t="s">
        <v>107</v>
      </c>
      <c r="CM35" s="2" t="s">
        <v>1047</v>
      </c>
      <c r="CN35" s="12">
        <v>968.64956335003581</v>
      </c>
      <c r="CO35" s="12">
        <v>823.35212884753037</v>
      </c>
      <c r="CP35" s="12" t="s">
        <v>107</v>
      </c>
      <c r="CQ35" s="159" t="s">
        <v>861</v>
      </c>
      <c r="CR35" s="46" t="s">
        <v>864</v>
      </c>
      <c r="CS35" s="46" t="s">
        <v>862</v>
      </c>
      <c r="CT35" s="2">
        <v>30708983906</v>
      </c>
      <c r="CU35" s="2" t="s">
        <v>691</v>
      </c>
      <c r="CV35" s="49">
        <v>46087.728472222225</v>
      </c>
      <c r="CW35" s="49">
        <v>46086.681250000001</v>
      </c>
      <c r="CX35" s="2" t="b">
        <v>1</v>
      </c>
      <c r="CY35" s="2" t="b">
        <v>1</v>
      </c>
      <c r="CZ35" s="160">
        <v>46054</v>
      </c>
      <c r="DA35" s="12" t="s">
        <v>693</v>
      </c>
      <c r="DB35" s="12"/>
      <c r="DC35" s="12"/>
      <c r="DD35" s="12"/>
      <c r="DE35" s="12"/>
      <c r="DF35" s="12"/>
      <c r="DG35" s="12"/>
      <c r="DH35" s="12"/>
      <c r="DI35" s="46"/>
      <c r="DJ35" s="48"/>
      <c r="DK35" s="48"/>
      <c r="DL35" s="48"/>
      <c r="DM35" s="13" t="s">
        <v>16</v>
      </c>
      <c r="DN35" s="13" t="s">
        <v>16</v>
      </c>
      <c r="DO35" s="12"/>
      <c r="DP35" s="12" t="s">
        <v>221</v>
      </c>
      <c r="DQ35" s="12" t="s">
        <v>111</v>
      </c>
      <c r="DR35" s="12">
        <v>1353203.44</v>
      </c>
      <c r="DS35" s="12" t="s">
        <v>99</v>
      </c>
      <c r="DT35" s="12">
        <v>0</v>
      </c>
      <c r="DU35" s="12"/>
      <c r="DV35" s="12"/>
      <c r="DW35" s="12" t="s">
        <v>16</v>
      </c>
      <c r="DX35" s="12"/>
      <c r="DY35" s="12" t="s">
        <v>111</v>
      </c>
      <c r="DZ35" s="12">
        <v>893141.33</v>
      </c>
      <c r="EA35" s="12" t="s">
        <v>99</v>
      </c>
      <c r="EB35" s="12">
        <v>257081.59400000016</v>
      </c>
      <c r="EC35" s="12"/>
      <c r="ED35" s="12" t="str">
        <f>INDEX('con 1'!CI:CI,MATCH(B35,'con 1'!A:A,0),1)</f>
        <v>OK</v>
      </c>
      <c r="EE35" s="12" t="s">
        <v>1946</v>
      </c>
      <c r="EF35" s="12" t="s">
        <v>1947</v>
      </c>
      <c r="EG35" s="48">
        <f ca="1">AN35/INDEX(er!D:D,MATCH(AA35,er!C:C,0),1)</f>
        <v>968.64956335003581</v>
      </c>
    </row>
    <row r="36" spans="1:137" ht="12.5" x14ac:dyDescent="0.25">
      <c r="A36" s="46" t="s">
        <v>103</v>
      </c>
      <c r="B36" s="46" t="s">
        <v>224</v>
      </c>
      <c r="C36" s="46" t="s">
        <v>94</v>
      </c>
      <c r="D36" s="46" t="s">
        <v>98</v>
      </c>
      <c r="E36" s="156">
        <v>46081</v>
      </c>
      <c r="F36" s="46" t="s">
        <v>1048</v>
      </c>
      <c r="G36" s="46" t="s">
        <v>1049</v>
      </c>
      <c r="H36" s="46" t="s">
        <v>226</v>
      </c>
      <c r="I36" s="46" t="s">
        <v>1050</v>
      </c>
      <c r="J36" s="46" t="s">
        <v>1051</v>
      </c>
      <c r="K36" s="46" t="s">
        <v>559</v>
      </c>
      <c r="L36" s="46" t="s">
        <v>686</v>
      </c>
      <c r="M36" s="2" t="s">
        <v>563</v>
      </c>
      <c r="N36" s="46" t="s">
        <v>825</v>
      </c>
      <c r="O36" s="46" t="s">
        <v>826</v>
      </c>
      <c r="P36" s="46" t="s">
        <v>93</v>
      </c>
      <c r="Q36" s="46" t="s">
        <v>96</v>
      </c>
      <c r="R36" s="46" t="s">
        <v>104</v>
      </c>
      <c r="S36" s="46" t="s">
        <v>107</v>
      </c>
      <c r="T36" s="46" t="s">
        <v>107</v>
      </c>
      <c r="U36" s="46" t="s">
        <v>436</v>
      </c>
      <c r="V36" s="46" t="s">
        <v>105</v>
      </c>
      <c r="W36" s="46" t="s">
        <v>439</v>
      </c>
      <c r="X36" s="46" t="s">
        <v>687</v>
      </c>
      <c r="Y36" s="46" t="s">
        <v>688</v>
      </c>
      <c r="Z36" s="46" t="s">
        <v>688</v>
      </c>
      <c r="AA36" s="46" t="s">
        <v>111</v>
      </c>
      <c r="AB36" s="12" t="s">
        <v>111</v>
      </c>
      <c r="AC36" s="12">
        <v>2414312.9700000002</v>
      </c>
      <c r="AD36" s="12">
        <v>2414312.9700000002</v>
      </c>
      <c r="AE36" s="12">
        <v>1</v>
      </c>
      <c r="AF36" s="12">
        <v>1</v>
      </c>
      <c r="AG36" s="12">
        <v>1</v>
      </c>
      <c r="AH36" s="12">
        <v>0.78</v>
      </c>
      <c r="AI36" s="12">
        <v>0.78</v>
      </c>
      <c r="AJ36" s="12">
        <v>0</v>
      </c>
      <c r="AK36" s="12"/>
      <c r="AL36" s="12">
        <v>2414312.9700000002</v>
      </c>
      <c r="AM36" s="12">
        <v>2414312.9700000002</v>
      </c>
      <c r="AN36" s="12">
        <v>2414312.9700000002</v>
      </c>
      <c r="AO36" s="12">
        <v>1883164.1166000001</v>
      </c>
      <c r="AP36" s="12">
        <v>1459391.93</v>
      </c>
      <c r="AQ36" s="12"/>
      <c r="AR36" s="12">
        <v>2414312.9700000002</v>
      </c>
      <c r="AS36" s="12">
        <v>1728.2125769506085</v>
      </c>
      <c r="AT36" s="12">
        <v>1348.0058100214746</v>
      </c>
      <c r="AU36" s="12">
        <v>531148.85340000002</v>
      </c>
      <c r="AV36" s="12">
        <v>531148.85340000002</v>
      </c>
      <c r="AW36" s="12">
        <v>380.20676692913389</v>
      </c>
      <c r="AX36" s="12">
        <v>22</v>
      </c>
      <c r="AY36" s="2" t="s">
        <v>2041</v>
      </c>
      <c r="AZ36" s="2" t="s">
        <v>101</v>
      </c>
      <c r="BA36" s="46"/>
      <c r="BB36" s="2" t="s">
        <v>2196</v>
      </c>
      <c r="BC36" s="2" t="s">
        <v>102</v>
      </c>
      <c r="BD36" s="46"/>
      <c r="BE36" s="46"/>
      <c r="BF36" s="12"/>
      <c r="BG36" s="12">
        <v>1</v>
      </c>
      <c r="BH36" s="12" t="s">
        <v>1052</v>
      </c>
      <c r="BI36" s="46" t="s">
        <v>825</v>
      </c>
      <c r="BJ36" s="46" t="s">
        <v>827</v>
      </c>
      <c r="BK36" s="46" t="s">
        <v>708</v>
      </c>
      <c r="BL36" s="46" t="s">
        <v>708</v>
      </c>
      <c r="BM36" s="46" t="s">
        <v>708</v>
      </c>
      <c r="BN36" s="46" t="s">
        <v>735</v>
      </c>
      <c r="BO36" s="46" t="s">
        <v>710</v>
      </c>
      <c r="BP36" s="46" t="s">
        <v>436</v>
      </c>
      <c r="BQ36" s="157">
        <v>46023</v>
      </c>
      <c r="BR36" s="156">
        <v>46112</v>
      </c>
      <c r="BS36" s="46" t="s">
        <v>692</v>
      </c>
      <c r="BT36" s="46"/>
      <c r="BU36" s="12">
        <v>1</v>
      </c>
      <c r="BV36" s="158" t="s">
        <v>1053</v>
      </c>
      <c r="BW36" s="12" t="s">
        <v>1054</v>
      </c>
      <c r="BX36" s="12">
        <v>0</v>
      </c>
      <c r="BY36" s="12">
        <v>0</v>
      </c>
      <c r="BZ36" s="12">
        <v>0</v>
      </c>
      <c r="CA36" s="12">
        <v>0</v>
      </c>
      <c r="CB36" s="12">
        <v>3399942</v>
      </c>
      <c r="CC36" s="12">
        <v>3399942</v>
      </c>
      <c r="CD36" s="12">
        <v>2651954.7599999998</v>
      </c>
      <c r="CE36" s="12">
        <v>1883164.1166000001</v>
      </c>
      <c r="CF36" s="12">
        <v>1</v>
      </c>
      <c r="CG36" s="12">
        <v>7.158196134574087E-4</v>
      </c>
      <c r="CH36" s="12">
        <v>7.158196134574087E-4</v>
      </c>
      <c r="CI36" s="12" t="b">
        <v>0</v>
      </c>
      <c r="CJ36" s="12" t="b">
        <v>0</v>
      </c>
      <c r="CK36" s="12" t="s">
        <v>715</v>
      </c>
      <c r="CL36" s="2" t="s">
        <v>107</v>
      </c>
      <c r="CM36" s="12" t="s">
        <v>1055</v>
      </c>
      <c r="CN36" s="12">
        <v>1728.2125769506085</v>
      </c>
      <c r="CO36" s="12">
        <v>1348.0058100214746</v>
      </c>
      <c r="CP36" s="12" t="s">
        <v>107</v>
      </c>
      <c r="CQ36" s="159" t="s">
        <v>826</v>
      </c>
      <c r="CR36" s="46" t="s">
        <v>828</v>
      </c>
      <c r="CS36" s="46" t="s">
        <v>827</v>
      </c>
      <c r="CT36" s="2">
        <v>30712014047</v>
      </c>
      <c r="CU36" s="2" t="s">
        <v>694</v>
      </c>
      <c r="CV36" s="49">
        <v>46087.728472222225</v>
      </c>
      <c r="CW36" s="49">
        <v>46085.874305555553</v>
      </c>
      <c r="CX36" s="2" t="b">
        <v>1</v>
      </c>
      <c r="CY36" s="2" t="b">
        <v>1</v>
      </c>
      <c r="CZ36" s="160">
        <v>46054</v>
      </c>
      <c r="DA36" s="12" t="s">
        <v>693</v>
      </c>
      <c r="DB36" s="12"/>
      <c r="DC36" s="12"/>
      <c r="DD36" s="12"/>
      <c r="DE36" s="12"/>
      <c r="DF36" s="12"/>
      <c r="DG36" s="12"/>
      <c r="DH36" s="12"/>
      <c r="DI36" s="46"/>
      <c r="DJ36" s="48" t="s">
        <v>105</v>
      </c>
      <c r="DK36" s="48" t="s">
        <v>111</v>
      </c>
      <c r="DL36" s="48">
        <v>2414312.9700000002</v>
      </c>
      <c r="DM36" s="13" t="s">
        <v>99</v>
      </c>
      <c r="DN36" s="13" t="s">
        <v>99</v>
      </c>
      <c r="DO36" s="12">
        <v>0</v>
      </c>
      <c r="DP36" s="12" t="s">
        <v>224</v>
      </c>
      <c r="DQ36" s="12" t="s">
        <v>111</v>
      </c>
      <c r="DR36" s="12">
        <v>2414312.9700000002</v>
      </c>
      <c r="DS36" s="12" t="s">
        <v>99</v>
      </c>
      <c r="DT36" s="12">
        <v>0</v>
      </c>
      <c r="DU36" s="12"/>
      <c r="DV36" s="12"/>
      <c r="DW36" s="12" t="s">
        <v>16</v>
      </c>
      <c r="DX36" s="12"/>
      <c r="DY36" s="12" t="s">
        <v>111</v>
      </c>
      <c r="DZ36" s="12">
        <v>1459391.83</v>
      </c>
      <c r="EA36" s="12" t="s">
        <v>99</v>
      </c>
      <c r="EB36" s="12">
        <v>423772.28659999999</v>
      </c>
      <c r="EC36" s="12"/>
      <c r="ED36" s="12" t="str">
        <f>INDEX('con 1'!CI:CI,MATCH(B36,'con 1'!A:A,0),1)</f>
        <v>OK</v>
      </c>
      <c r="EE36" s="12" t="s">
        <v>1946</v>
      </c>
      <c r="EF36" s="12" t="s">
        <v>1947</v>
      </c>
      <c r="EG36" s="48">
        <f ca="1">AN36/INDEX(er!D:D,MATCH(AA36,er!C:C,0),1)</f>
        <v>1728.2125769506085</v>
      </c>
    </row>
    <row r="37" spans="1:137" ht="12.5" x14ac:dyDescent="0.25">
      <c r="A37" s="46" t="s">
        <v>103</v>
      </c>
      <c r="B37" s="46" t="s">
        <v>227</v>
      </c>
      <c r="C37" s="46" t="s">
        <v>94</v>
      </c>
      <c r="D37" s="46" t="s">
        <v>98</v>
      </c>
      <c r="E37" s="156">
        <v>46081</v>
      </c>
      <c r="F37" s="46" t="s">
        <v>1056</v>
      </c>
      <c r="G37" s="46" t="s">
        <v>1057</v>
      </c>
      <c r="H37" s="46" t="s">
        <v>229</v>
      </c>
      <c r="I37" s="46" t="s">
        <v>1058</v>
      </c>
      <c r="J37" s="46" t="s">
        <v>1059</v>
      </c>
      <c r="K37" s="46" t="s">
        <v>559</v>
      </c>
      <c r="L37" s="46" t="s">
        <v>686</v>
      </c>
      <c r="M37" s="2" t="s">
        <v>563</v>
      </c>
      <c r="N37" s="46" t="s">
        <v>870</v>
      </c>
      <c r="O37" s="46" t="s">
        <v>871</v>
      </c>
      <c r="P37" s="46" t="s">
        <v>93</v>
      </c>
      <c r="Q37" s="46" t="s">
        <v>96</v>
      </c>
      <c r="R37" s="46" t="s">
        <v>104</v>
      </c>
      <c r="S37" s="46" t="s">
        <v>107</v>
      </c>
      <c r="T37" s="46" t="s">
        <v>107</v>
      </c>
      <c r="U37" s="46" t="s">
        <v>436</v>
      </c>
      <c r="V37" s="46" t="s">
        <v>105</v>
      </c>
      <c r="W37" s="46" t="s">
        <v>439</v>
      </c>
      <c r="X37" s="46" t="s">
        <v>687</v>
      </c>
      <c r="Y37" s="46" t="s">
        <v>688</v>
      </c>
      <c r="Z37" s="46" t="s">
        <v>688</v>
      </c>
      <c r="AA37" s="46" t="s">
        <v>111</v>
      </c>
      <c r="AB37" s="12" t="s">
        <v>111</v>
      </c>
      <c r="AC37" s="12">
        <v>3962972.34</v>
      </c>
      <c r="AD37" s="12">
        <v>3962972.34</v>
      </c>
      <c r="AE37" s="12">
        <v>1</v>
      </c>
      <c r="AF37" s="12">
        <v>1</v>
      </c>
      <c r="AG37" s="12">
        <v>1</v>
      </c>
      <c r="AH37" s="12">
        <v>0.78</v>
      </c>
      <c r="AI37" s="12">
        <v>0.78</v>
      </c>
      <c r="AJ37" s="12">
        <v>0</v>
      </c>
      <c r="AK37" s="12"/>
      <c r="AL37" s="12">
        <v>3962972.34</v>
      </c>
      <c r="AM37" s="12">
        <v>3962972.34</v>
      </c>
      <c r="AN37" s="12">
        <v>3962972.34</v>
      </c>
      <c r="AO37" s="12">
        <v>3091118.4251999999</v>
      </c>
      <c r="AP37" s="12">
        <v>2395517.86</v>
      </c>
      <c r="AQ37" s="12"/>
      <c r="AR37" s="12">
        <v>3962972.34</v>
      </c>
      <c r="AS37" s="12">
        <v>2836.7733285612026</v>
      </c>
      <c r="AT37" s="12">
        <v>2212.6831962777378</v>
      </c>
      <c r="AU37" s="12">
        <v>871853.91480000003</v>
      </c>
      <c r="AV37" s="12">
        <v>871853.91480000003</v>
      </c>
      <c r="AW37" s="12">
        <v>624.09013228346464</v>
      </c>
      <c r="AX37" s="12">
        <v>22</v>
      </c>
      <c r="AY37" s="2" t="s">
        <v>1987</v>
      </c>
      <c r="AZ37" s="2" t="s">
        <v>101</v>
      </c>
      <c r="BA37" s="46"/>
      <c r="BB37" s="2" t="s">
        <v>2192</v>
      </c>
      <c r="BC37" s="2" t="s">
        <v>102</v>
      </c>
      <c r="BD37" s="46"/>
      <c r="BE37" s="46"/>
      <c r="BF37" s="12"/>
      <c r="BG37" s="12">
        <v>1</v>
      </c>
      <c r="BH37" s="12" t="s">
        <v>1060</v>
      </c>
      <c r="BI37" s="46" t="s">
        <v>870</v>
      </c>
      <c r="BJ37" s="46" t="s">
        <v>873</v>
      </c>
      <c r="BK37" s="46" t="s">
        <v>874</v>
      </c>
      <c r="BL37" s="46" t="s">
        <v>771</v>
      </c>
      <c r="BM37" s="46" t="s">
        <v>771</v>
      </c>
      <c r="BN37" s="46" t="s">
        <v>735</v>
      </c>
      <c r="BO37" s="46" t="s">
        <v>710</v>
      </c>
      <c r="BP37" s="46" t="s">
        <v>436</v>
      </c>
      <c r="BQ37" s="157">
        <v>46023</v>
      </c>
      <c r="BR37" s="156">
        <v>46112</v>
      </c>
      <c r="BS37" s="46" t="s">
        <v>740</v>
      </c>
      <c r="BT37" s="46"/>
      <c r="BU37" s="12">
        <v>1</v>
      </c>
      <c r="BV37" s="158" t="s">
        <v>1061</v>
      </c>
      <c r="BW37" s="12" t="s">
        <v>1062</v>
      </c>
      <c r="BX37" s="12">
        <v>0</v>
      </c>
      <c r="BY37" s="12">
        <v>0</v>
      </c>
      <c r="BZ37" s="12">
        <v>0</v>
      </c>
      <c r="CA37" s="12">
        <v>0</v>
      </c>
      <c r="CB37" s="12">
        <v>4500000</v>
      </c>
      <c r="CC37" s="12">
        <v>4500000</v>
      </c>
      <c r="CD37" s="12">
        <v>3510000</v>
      </c>
      <c r="CE37" s="12">
        <v>3091118.4251999999</v>
      </c>
      <c r="CF37" s="12">
        <v>1</v>
      </c>
      <c r="CG37" s="12">
        <v>7.158196134574087E-4</v>
      </c>
      <c r="CH37" s="12">
        <v>7.158196134574087E-4</v>
      </c>
      <c r="CI37" s="12" t="b">
        <v>0</v>
      </c>
      <c r="CJ37" s="12" t="b">
        <v>0</v>
      </c>
      <c r="CK37" s="12" t="s">
        <v>690</v>
      </c>
      <c r="CL37" s="2" t="s">
        <v>107</v>
      </c>
      <c r="CM37" s="2" t="s">
        <v>877</v>
      </c>
      <c r="CN37" s="12">
        <v>2836.7733285612026</v>
      </c>
      <c r="CO37" s="12">
        <v>2212.6831962777378</v>
      </c>
      <c r="CP37" s="12" t="s">
        <v>107</v>
      </c>
      <c r="CQ37" s="159" t="s">
        <v>871</v>
      </c>
      <c r="CR37" s="46" t="s">
        <v>878</v>
      </c>
      <c r="CS37" s="46" t="s">
        <v>878</v>
      </c>
      <c r="CT37" s="2">
        <v>30714243949</v>
      </c>
      <c r="CU37" s="2" t="s">
        <v>691</v>
      </c>
      <c r="CV37" s="49">
        <v>46087.728472222225</v>
      </c>
      <c r="CW37" s="49">
        <v>46085.874305555553</v>
      </c>
      <c r="CX37" s="2" t="b">
        <v>1</v>
      </c>
      <c r="CY37" s="2" t="b">
        <v>1</v>
      </c>
      <c r="CZ37" s="160">
        <v>46054</v>
      </c>
      <c r="DA37" s="12" t="s">
        <v>693</v>
      </c>
      <c r="DB37" s="12"/>
      <c r="DC37" s="12"/>
      <c r="DD37" s="12"/>
      <c r="DE37" s="12"/>
      <c r="DF37" s="12"/>
      <c r="DG37" s="12"/>
      <c r="DH37" s="12"/>
      <c r="DI37" s="46"/>
      <c r="DJ37" s="48" t="s">
        <v>105</v>
      </c>
      <c r="DK37" s="48" t="s">
        <v>111</v>
      </c>
      <c r="DL37" s="48">
        <v>3962972.35</v>
      </c>
      <c r="DM37" s="13" t="s">
        <v>99</v>
      </c>
      <c r="DN37" s="13" t="s">
        <v>99</v>
      </c>
      <c r="DO37" s="12">
        <v>-1.0000000242143869E-2</v>
      </c>
      <c r="DP37" s="12" t="s">
        <v>227</v>
      </c>
      <c r="DQ37" s="12" t="s">
        <v>111</v>
      </c>
      <c r="DR37" s="12">
        <v>3962972.34</v>
      </c>
      <c r="DS37" s="12" t="s">
        <v>99</v>
      </c>
      <c r="DT37" s="12">
        <v>0</v>
      </c>
      <c r="DU37" s="12"/>
      <c r="DV37" s="12"/>
      <c r="DW37" s="12" t="s">
        <v>16</v>
      </c>
      <c r="DX37" s="12"/>
      <c r="DY37" s="12" t="s">
        <v>111</v>
      </c>
      <c r="DZ37" s="12">
        <v>2395517.71</v>
      </c>
      <c r="EA37" s="12" t="s">
        <v>99</v>
      </c>
      <c r="EB37" s="12">
        <v>695600.71519999998</v>
      </c>
      <c r="EC37" s="12"/>
      <c r="ED37" s="12" t="str">
        <f>INDEX('con 1'!CI:CI,MATCH(B37,'con 1'!A:A,0),1)</f>
        <v>OK</v>
      </c>
      <c r="EE37" s="12" t="s">
        <v>1946</v>
      </c>
      <c r="EF37" s="12" t="s">
        <v>1947</v>
      </c>
      <c r="EG37" s="48">
        <f ca="1">AN37/INDEX(er!D:D,MATCH(AA37,er!C:C,0),1)</f>
        <v>2836.7733285612026</v>
      </c>
    </row>
    <row r="38" spans="1:137" ht="12.5" x14ac:dyDescent="0.25">
      <c r="A38" s="46" t="s">
        <v>103</v>
      </c>
      <c r="B38" s="46" t="s">
        <v>230</v>
      </c>
      <c r="C38" s="46" t="s">
        <v>94</v>
      </c>
      <c r="D38" s="46" t="s">
        <v>98</v>
      </c>
      <c r="E38" s="156">
        <v>46081</v>
      </c>
      <c r="F38" s="46" t="s">
        <v>1063</v>
      </c>
      <c r="G38" s="46" t="s">
        <v>1064</v>
      </c>
      <c r="H38" s="46" t="s">
        <v>232</v>
      </c>
      <c r="I38" s="46" t="s">
        <v>1065</v>
      </c>
      <c r="J38" s="46" t="s">
        <v>1066</v>
      </c>
      <c r="K38" s="46" t="s">
        <v>559</v>
      </c>
      <c r="L38" s="46" t="s">
        <v>686</v>
      </c>
      <c r="M38" s="2" t="s">
        <v>563</v>
      </c>
      <c r="N38" s="46" t="s">
        <v>870</v>
      </c>
      <c r="O38" s="46" t="s">
        <v>871</v>
      </c>
      <c r="P38" s="46" t="s">
        <v>93</v>
      </c>
      <c r="Q38" s="46" t="s">
        <v>96</v>
      </c>
      <c r="R38" s="46" t="s">
        <v>104</v>
      </c>
      <c r="S38" s="46" t="s">
        <v>107</v>
      </c>
      <c r="T38" s="46" t="s">
        <v>107</v>
      </c>
      <c r="U38" s="46" t="s">
        <v>436</v>
      </c>
      <c r="V38" s="46" t="s">
        <v>105</v>
      </c>
      <c r="W38" s="46" t="s">
        <v>439</v>
      </c>
      <c r="X38" s="46" t="s">
        <v>687</v>
      </c>
      <c r="Y38" s="46" t="s">
        <v>688</v>
      </c>
      <c r="Z38" s="46" t="s">
        <v>688</v>
      </c>
      <c r="AA38" s="46" t="s">
        <v>111</v>
      </c>
      <c r="AB38" s="12" t="s">
        <v>111</v>
      </c>
      <c r="AC38" s="12">
        <v>893323.9</v>
      </c>
      <c r="AD38" s="12">
        <v>893323.9</v>
      </c>
      <c r="AE38" s="12">
        <v>1</v>
      </c>
      <c r="AF38" s="12">
        <v>1</v>
      </c>
      <c r="AG38" s="12">
        <v>1</v>
      </c>
      <c r="AH38" s="12">
        <v>0.78</v>
      </c>
      <c r="AI38" s="12">
        <v>0.78</v>
      </c>
      <c r="AJ38" s="12">
        <v>0</v>
      </c>
      <c r="AK38" s="12"/>
      <c r="AL38" s="12">
        <v>893323.9</v>
      </c>
      <c r="AM38" s="12">
        <v>893323.9</v>
      </c>
      <c r="AN38" s="12">
        <v>893323.9</v>
      </c>
      <c r="AO38" s="12">
        <v>696792.64199999999</v>
      </c>
      <c r="AP38" s="12">
        <v>539992</v>
      </c>
      <c r="AQ38" s="12"/>
      <c r="AR38" s="12">
        <v>893323.9</v>
      </c>
      <c r="AS38" s="12">
        <v>639.45876879026491</v>
      </c>
      <c r="AT38" s="12">
        <v>498.77783965640657</v>
      </c>
      <c r="AU38" s="12">
        <v>196531.258</v>
      </c>
      <c r="AV38" s="12">
        <v>196531.258</v>
      </c>
      <c r="AW38" s="12">
        <v>140.68092913385826</v>
      </c>
      <c r="AX38" s="12">
        <v>22</v>
      </c>
      <c r="AY38" s="2" t="s">
        <v>1996</v>
      </c>
      <c r="AZ38" s="2" t="s">
        <v>101</v>
      </c>
      <c r="BA38" s="46"/>
      <c r="BB38" s="2" t="s">
        <v>2188</v>
      </c>
      <c r="BC38" s="2" t="s">
        <v>102</v>
      </c>
      <c r="BD38" s="46"/>
      <c r="BE38" s="46"/>
      <c r="BF38" s="12"/>
      <c r="BG38" s="12">
        <v>1</v>
      </c>
      <c r="BH38" s="12" t="s">
        <v>1067</v>
      </c>
      <c r="BI38" s="46" t="s">
        <v>870</v>
      </c>
      <c r="BJ38" s="46" t="s">
        <v>873</v>
      </c>
      <c r="BK38" s="46" t="s">
        <v>874</v>
      </c>
      <c r="BL38" s="46" t="s">
        <v>771</v>
      </c>
      <c r="BM38" s="46" t="s">
        <v>771</v>
      </c>
      <c r="BN38" s="46" t="s">
        <v>735</v>
      </c>
      <c r="BO38" s="46" t="s">
        <v>710</v>
      </c>
      <c r="BP38" s="46" t="s">
        <v>436</v>
      </c>
      <c r="BQ38" s="157">
        <v>46023</v>
      </c>
      <c r="BR38" s="156">
        <v>46112</v>
      </c>
      <c r="BS38" s="46" t="s">
        <v>740</v>
      </c>
      <c r="BT38" s="46"/>
      <c r="BU38" s="12">
        <v>1</v>
      </c>
      <c r="BV38" s="158" t="s">
        <v>1068</v>
      </c>
      <c r="BW38" s="12" t="s">
        <v>1069</v>
      </c>
      <c r="BX38" s="12">
        <v>0</v>
      </c>
      <c r="BY38" s="12">
        <v>0</v>
      </c>
      <c r="BZ38" s="12">
        <v>0</v>
      </c>
      <c r="CA38" s="12">
        <v>0</v>
      </c>
      <c r="CB38" s="12">
        <v>1000000</v>
      </c>
      <c r="CC38" s="12">
        <v>1000000</v>
      </c>
      <c r="CD38" s="12">
        <v>780000</v>
      </c>
      <c r="CE38" s="12">
        <v>696792.64199999999</v>
      </c>
      <c r="CF38" s="12">
        <v>1</v>
      </c>
      <c r="CG38" s="12">
        <v>7.158196134574087E-4</v>
      </c>
      <c r="CH38" s="12">
        <v>7.158196134574087E-4</v>
      </c>
      <c r="CI38" s="12" t="b">
        <v>0</v>
      </c>
      <c r="CJ38" s="12" t="b">
        <v>0</v>
      </c>
      <c r="CK38" s="12" t="s">
        <v>690</v>
      </c>
      <c r="CL38" s="2" t="s">
        <v>107</v>
      </c>
      <c r="CM38" s="2" t="s">
        <v>877</v>
      </c>
      <c r="CN38" s="12">
        <v>639.4587687902648</v>
      </c>
      <c r="CO38" s="12">
        <v>498.77783965640657</v>
      </c>
      <c r="CP38" s="12" t="s">
        <v>107</v>
      </c>
      <c r="CQ38" s="161" t="s">
        <v>871</v>
      </c>
      <c r="CR38" s="46" t="s">
        <v>878</v>
      </c>
      <c r="CS38" s="46" t="s">
        <v>878</v>
      </c>
      <c r="CT38" s="2">
        <v>30714243949</v>
      </c>
      <c r="CU38" s="2" t="s">
        <v>691</v>
      </c>
      <c r="CV38" s="49">
        <v>46087.728472222225</v>
      </c>
      <c r="CW38" s="49">
        <v>46085.873611111114</v>
      </c>
      <c r="CX38" s="2" t="b">
        <v>1</v>
      </c>
      <c r="CY38" s="2" t="b">
        <v>1</v>
      </c>
      <c r="CZ38" s="160">
        <v>46054</v>
      </c>
      <c r="DA38" s="12" t="s">
        <v>693</v>
      </c>
      <c r="DB38" s="12"/>
      <c r="DC38" s="12"/>
      <c r="DD38" s="12"/>
      <c r="DE38" s="12"/>
      <c r="DF38" s="12"/>
      <c r="DG38" s="12"/>
      <c r="DH38" s="12"/>
      <c r="DI38" s="46"/>
      <c r="DJ38" s="48" t="s">
        <v>105</v>
      </c>
      <c r="DK38" s="48" t="s">
        <v>111</v>
      </c>
      <c r="DL38" s="48">
        <v>893323.9</v>
      </c>
      <c r="DM38" s="13" t="s">
        <v>99</v>
      </c>
      <c r="DN38" s="13" t="s">
        <v>99</v>
      </c>
      <c r="DO38" s="12">
        <v>0</v>
      </c>
      <c r="DP38" s="12" t="s">
        <v>230</v>
      </c>
      <c r="DQ38" s="12" t="s">
        <v>111</v>
      </c>
      <c r="DR38" s="12">
        <v>893323.9</v>
      </c>
      <c r="DS38" s="12" t="s">
        <v>99</v>
      </c>
      <c r="DT38" s="12">
        <v>0</v>
      </c>
      <c r="DU38" s="12"/>
      <c r="DV38" s="12"/>
      <c r="DW38" s="12" t="s">
        <v>16</v>
      </c>
      <c r="DX38" s="12"/>
      <c r="DY38" s="12" t="s">
        <v>111</v>
      </c>
      <c r="DZ38" s="12">
        <v>539991.96</v>
      </c>
      <c r="EA38" s="12" t="s">
        <v>99</v>
      </c>
      <c r="EB38" s="12">
        <v>156800.68200000003</v>
      </c>
      <c r="EC38" s="12"/>
      <c r="ED38" s="12" t="str">
        <f>INDEX('con 1'!CI:CI,MATCH(B38,'con 1'!A:A,0),1)</f>
        <v>OK</v>
      </c>
      <c r="EE38" s="12" t="s">
        <v>1946</v>
      </c>
      <c r="EF38" s="12" t="s">
        <v>1947</v>
      </c>
      <c r="EG38" s="48">
        <f ca="1">AN38/INDEX(er!D:D,MATCH(AA38,er!C:C,0),1)</f>
        <v>639.45876879026491</v>
      </c>
    </row>
    <row r="39" spans="1:137" ht="12.5" x14ac:dyDescent="0.25">
      <c r="A39" s="46" t="s">
        <v>103</v>
      </c>
      <c r="B39" s="46" t="s">
        <v>233</v>
      </c>
      <c r="C39" s="46" t="s">
        <v>94</v>
      </c>
      <c r="D39" s="46" t="s">
        <v>98</v>
      </c>
      <c r="E39" s="156">
        <v>46081</v>
      </c>
      <c r="F39" s="46" t="s">
        <v>1070</v>
      </c>
      <c r="G39" s="46" t="s">
        <v>1071</v>
      </c>
      <c r="H39" s="46" t="s">
        <v>235</v>
      </c>
      <c r="I39" s="46" t="s">
        <v>1072</v>
      </c>
      <c r="J39" s="46" t="s">
        <v>1073</v>
      </c>
      <c r="K39" s="46" t="s">
        <v>559</v>
      </c>
      <c r="L39" s="46" t="s">
        <v>686</v>
      </c>
      <c r="M39" s="2" t="s">
        <v>563</v>
      </c>
      <c r="N39" s="46" t="s">
        <v>870</v>
      </c>
      <c r="O39" s="46" t="s">
        <v>871</v>
      </c>
      <c r="P39" s="46" t="s">
        <v>93</v>
      </c>
      <c r="Q39" s="46" t="s">
        <v>96</v>
      </c>
      <c r="R39" s="46" t="s">
        <v>104</v>
      </c>
      <c r="S39" s="46" t="s">
        <v>107</v>
      </c>
      <c r="T39" s="46" t="s">
        <v>107</v>
      </c>
      <c r="U39" s="46" t="s">
        <v>436</v>
      </c>
      <c r="V39" s="46" t="s">
        <v>105</v>
      </c>
      <c r="W39" s="46" t="s">
        <v>439</v>
      </c>
      <c r="X39" s="46" t="s">
        <v>687</v>
      </c>
      <c r="Y39" s="46" t="s">
        <v>688</v>
      </c>
      <c r="Z39" s="46" t="s">
        <v>688</v>
      </c>
      <c r="AA39" s="46" t="s">
        <v>111</v>
      </c>
      <c r="AB39" s="12" t="s">
        <v>111</v>
      </c>
      <c r="AC39" s="12">
        <v>4055968.32</v>
      </c>
      <c r="AD39" s="12">
        <v>4055968.32</v>
      </c>
      <c r="AE39" s="12">
        <v>1</v>
      </c>
      <c r="AF39" s="12">
        <v>1</v>
      </c>
      <c r="AG39" s="12">
        <v>1</v>
      </c>
      <c r="AH39" s="12">
        <v>0.78</v>
      </c>
      <c r="AI39" s="12">
        <v>0.78</v>
      </c>
      <c r="AJ39" s="12">
        <v>0</v>
      </c>
      <c r="AK39" s="12"/>
      <c r="AL39" s="12">
        <v>4055968.32</v>
      </c>
      <c r="AM39" s="12">
        <v>4055968.32</v>
      </c>
      <c r="AN39" s="12">
        <v>4055968.32</v>
      </c>
      <c r="AO39" s="12">
        <v>3163655.2895999998</v>
      </c>
      <c r="AP39" s="12">
        <v>2451731.61</v>
      </c>
      <c r="AQ39" s="12"/>
      <c r="AR39" s="12">
        <v>4055968.32</v>
      </c>
      <c r="AS39" s="12">
        <v>2903.3416750178953</v>
      </c>
      <c r="AT39" s="12">
        <v>2264.6065065139583</v>
      </c>
      <c r="AU39" s="12">
        <v>892313.03040000005</v>
      </c>
      <c r="AV39" s="12">
        <v>892313.03040000005</v>
      </c>
      <c r="AW39" s="12">
        <v>638.73516850393708</v>
      </c>
      <c r="AX39" s="12">
        <v>22</v>
      </c>
      <c r="AY39" s="2" t="s">
        <v>1998</v>
      </c>
      <c r="AZ39" s="2" t="s">
        <v>101</v>
      </c>
      <c r="BA39" s="46"/>
      <c r="BB39" s="2" t="s">
        <v>2190</v>
      </c>
      <c r="BC39" s="2" t="s">
        <v>102</v>
      </c>
      <c r="BD39" s="46"/>
      <c r="BE39" s="46"/>
      <c r="BF39" s="12"/>
      <c r="BG39" s="12">
        <v>1</v>
      </c>
      <c r="BH39" s="12" t="s">
        <v>1074</v>
      </c>
      <c r="BI39" s="46" t="s">
        <v>870</v>
      </c>
      <c r="BJ39" s="46" t="s">
        <v>873</v>
      </c>
      <c r="BK39" s="46" t="s">
        <v>874</v>
      </c>
      <c r="BL39" s="46" t="s">
        <v>771</v>
      </c>
      <c r="BM39" s="46" t="s">
        <v>771</v>
      </c>
      <c r="BN39" s="46" t="s">
        <v>735</v>
      </c>
      <c r="BO39" s="46" t="s">
        <v>710</v>
      </c>
      <c r="BP39" s="46" t="s">
        <v>436</v>
      </c>
      <c r="BQ39" s="157">
        <v>46023</v>
      </c>
      <c r="BR39" s="156">
        <v>46112</v>
      </c>
      <c r="BS39" s="46" t="s">
        <v>740</v>
      </c>
      <c r="BT39" s="46"/>
      <c r="BU39" s="12">
        <v>1</v>
      </c>
      <c r="BV39" s="158" t="s">
        <v>1075</v>
      </c>
      <c r="BW39" s="12" t="s">
        <v>1076</v>
      </c>
      <c r="BX39" s="12">
        <v>0</v>
      </c>
      <c r="BY39" s="12">
        <v>0</v>
      </c>
      <c r="BZ39" s="12">
        <v>0</v>
      </c>
      <c r="CA39" s="12">
        <v>0</v>
      </c>
      <c r="CB39" s="12">
        <v>5000000</v>
      </c>
      <c r="CC39" s="12">
        <v>5000000</v>
      </c>
      <c r="CD39" s="12">
        <v>3900000</v>
      </c>
      <c r="CE39" s="12">
        <v>3163655.2895999998</v>
      </c>
      <c r="CF39" s="12">
        <v>1</v>
      </c>
      <c r="CG39" s="12">
        <v>7.158196134574087E-4</v>
      </c>
      <c r="CH39" s="12">
        <v>7.158196134574087E-4</v>
      </c>
      <c r="CI39" s="12" t="b">
        <v>0</v>
      </c>
      <c r="CJ39" s="12" t="b">
        <v>0</v>
      </c>
      <c r="CK39" s="12" t="s">
        <v>690</v>
      </c>
      <c r="CL39" s="2" t="s">
        <v>107</v>
      </c>
      <c r="CM39" s="12" t="s">
        <v>877</v>
      </c>
      <c r="CN39" s="12">
        <v>2903.3416750178953</v>
      </c>
      <c r="CO39" s="12">
        <v>2264.6065065139583</v>
      </c>
      <c r="CP39" s="12" t="s">
        <v>107</v>
      </c>
      <c r="CQ39" s="159" t="s">
        <v>871</v>
      </c>
      <c r="CR39" s="46" t="s">
        <v>878</v>
      </c>
      <c r="CS39" s="46" t="s">
        <v>878</v>
      </c>
      <c r="CT39" s="2">
        <v>30714243949</v>
      </c>
      <c r="CU39" s="2" t="s">
        <v>691</v>
      </c>
      <c r="CV39" s="49">
        <v>46087.728472222225</v>
      </c>
      <c r="CW39" s="49">
        <v>46085.873611111114</v>
      </c>
      <c r="CX39" s="2" t="b">
        <v>1</v>
      </c>
      <c r="CY39" s="2" t="b">
        <v>1</v>
      </c>
      <c r="CZ39" s="160">
        <v>46054</v>
      </c>
      <c r="DA39" s="12" t="s">
        <v>693</v>
      </c>
      <c r="DB39" s="12"/>
      <c r="DC39" s="12"/>
      <c r="DD39" s="12"/>
      <c r="DE39" s="12"/>
      <c r="DF39" s="12"/>
      <c r="DG39" s="12"/>
      <c r="DH39" s="12"/>
      <c r="DI39" s="46"/>
      <c r="DJ39" s="48" t="s">
        <v>105</v>
      </c>
      <c r="DK39" s="48" t="s">
        <v>111</v>
      </c>
      <c r="DL39" s="48">
        <v>4055968.33</v>
      </c>
      <c r="DM39" s="13" t="s">
        <v>99</v>
      </c>
      <c r="DN39" s="13" t="s">
        <v>99</v>
      </c>
      <c r="DO39" s="12">
        <v>-1.0000000242143869E-2</v>
      </c>
      <c r="DP39" s="12" t="s">
        <v>233</v>
      </c>
      <c r="DQ39" s="12" t="s">
        <v>111</v>
      </c>
      <c r="DR39" s="12">
        <v>4055968.32</v>
      </c>
      <c r="DS39" s="12" t="s">
        <v>99</v>
      </c>
      <c r="DT39" s="12">
        <v>0</v>
      </c>
      <c r="DU39" s="12"/>
      <c r="DV39" s="12"/>
      <c r="DW39" s="12" t="s">
        <v>16</v>
      </c>
      <c r="DX39" s="12"/>
      <c r="DY39" s="12" t="s">
        <v>111</v>
      </c>
      <c r="DZ39" s="12">
        <v>2451731.4500000002</v>
      </c>
      <c r="EA39" s="12" t="s">
        <v>99</v>
      </c>
      <c r="EB39" s="12">
        <v>711923.8395999996</v>
      </c>
      <c r="EC39" s="12"/>
      <c r="ED39" s="12" t="str">
        <f>INDEX('con 1'!CI:CI,MATCH(B39,'con 1'!A:A,0),1)</f>
        <v>OK</v>
      </c>
      <c r="EE39" s="12" t="s">
        <v>1946</v>
      </c>
      <c r="EF39" s="12" t="s">
        <v>1947</v>
      </c>
      <c r="EG39" s="48">
        <f ca="1">AN39/INDEX(er!D:D,MATCH(AA39,er!C:C,0),1)</f>
        <v>2903.3416750178953</v>
      </c>
    </row>
    <row r="40" spans="1:137" ht="12.5" x14ac:dyDescent="0.25">
      <c r="A40" s="46" t="s">
        <v>103</v>
      </c>
      <c r="B40" s="46" t="s">
        <v>236</v>
      </c>
      <c r="C40" s="46" t="s">
        <v>94</v>
      </c>
      <c r="D40" s="46" t="s">
        <v>98</v>
      </c>
      <c r="E40" s="156">
        <v>46081</v>
      </c>
      <c r="F40" s="46" t="s">
        <v>1077</v>
      </c>
      <c r="G40" s="46" t="s">
        <v>1078</v>
      </c>
      <c r="H40" s="46" t="s">
        <v>238</v>
      </c>
      <c r="I40" s="46" t="s">
        <v>1079</v>
      </c>
      <c r="J40" s="46" t="s">
        <v>1080</v>
      </c>
      <c r="K40" s="46" t="s">
        <v>559</v>
      </c>
      <c r="L40" s="46" t="s">
        <v>686</v>
      </c>
      <c r="M40" s="2" t="s">
        <v>563</v>
      </c>
      <c r="N40" s="46" t="s">
        <v>825</v>
      </c>
      <c r="O40" s="46" t="s">
        <v>826</v>
      </c>
      <c r="P40" s="46" t="s">
        <v>93</v>
      </c>
      <c r="Q40" s="46" t="s">
        <v>96</v>
      </c>
      <c r="R40" s="46" t="s">
        <v>104</v>
      </c>
      <c r="S40" s="46" t="s">
        <v>107</v>
      </c>
      <c r="T40" s="46" t="s">
        <v>107</v>
      </c>
      <c r="U40" s="46" t="s">
        <v>436</v>
      </c>
      <c r="V40" s="46" t="s">
        <v>105</v>
      </c>
      <c r="W40" s="46" t="s">
        <v>439</v>
      </c>
      <c r="X40" s="46" t="s">
        <v>687</v>
      </c>
      <c r="Y40" s="46" t="s">
        <v>688</v>
      </c>
      <c r="Z40" s="46" t="s">
        <v>688</v>
      </c>
      <c r="AA40" s="46" t="s">
        <v>111</v>
      </c>
      <c r="AB40" s="12" t="s">
        <v>111</v>
      </c>
      <c r="AC40" s="12">
        <v>1699231.77</v>
      </c>
      <c r="AD40" s="12">
        <v>1699231.77</v>
      </c>
      <c r="AE40" s="12">
        <v>1</v>
      </c>
      <c r="AF40" s="12">
        <v>1</v>
      </c>
      <c r="AG40" s="12">
        <v>1</v>
      </c>
      <c r="AH40" s="12">
        <v>0.78</v>
      </c>
      <c r="AI40" s="12">
        <v>0.78</v>
      </c>
      <c r="AJ40" s="12">
        <v>0</v>
      </c>
      <c r="AK40" s="12"/>
      <c r="AL40" s="12">
        <v>1699231.77</v>
      </c>
      <c r="AM40" s="12">
        <v>1699231.77</v>
      </c>
      <c r="AN40" s="12">
        <v>1699231.77</v>
      </c>
      <c r="AO40" s="12">
        <v>1325400.7805999999</v>
      </c>
      <c r="AP40" s="12">
        <v>1027143.19</v>
      </c>
      <c r="AQ40" s="12"/>
      <c r="AR40" s="12">
        <v>1699231.77</v>
      </c>
      <c r="AS40" s="12">
        <v>1216.3434287759485</v>
      </c>
      <c r="AT40" s="12">
        <v>948.74787444523975</v>
      </c>
      <c r="AU40" s="12">
        <v>373830.98940000002</v>
      </c>
      <c r="AV40" s="12">
        <v>373830.98940000002</v>
      </c>
      <c r="AW40" s="12">
        <v>267.59555433070869</v>
      </c>
      <c r="AX40" s="12">
        <v>22</v>
      </c>
      <c r="AY40" s="2" t="s">
        <v>2048</v>
      </c>
      <c r="AZ40" s="2" t="s">
        <v>101</v>
      </c>
      <c r="BA40" s="46"/>
      <c r="BB40" s="2" t="s">
        <v>2226</v>
      </c>
      <c r="BC40" s="2" t="s">
        <v>102</v>
      </c>
      <c r="BD40" s="46"/>
      <c r="BE40" s="46"/>
      <c r="BF40" s="12"/>
      <c r="BG40" s="12">
        <v>1</v>
      </c>
      <c r="BH40" s="12" t="s">
        <v>1081</v>
      </c>
      <c r="BI40" s="46" t="s">
        <v>825</v>
      </c>
      <c r="BJ40" s="46" t="s">
        <v>827</v>
      </c>
      <c r="BK40" s="46" t="s">
        <v>708</v>
      </c>
      <c r="BL40" s="46" t="s">
        <v>708</v>
      </c>
      <c r="BM40" s="46" t="s">
        <v>708</v>
      </c>
      <c r="BN40" s="46" t="s">
        <v>735</v>
      </c>
      <c r="BO40" s="46" t="s">
        <v>710</v>
      </c>
      <c r="BP40" s="46" t="s">
        <v>436</v>
      </c>
      <c r="BQ40" s="157">
        <v>46030</v>
      </c>
      <c r="BR40" s="156">
        <v>46076</v>
      </c>
      <c r="BS40" s="46" t="s">
        <v>692</v>
      </c>
      <c r="BT40" s="46"/>
      <c r="BU40" s="12">
        <v>1</v>
      </c>
      <c r="BV40" s="158" t="s">
        <v>1082</v>
      </c>
      <c r="BW40" s="12" t="s">
        <v>1083</v>
      </c>
      <c r="BX40" s="12">
        <v>0</v>
      </c>
      <c r="BY40" s="12">
        <v>0</v>
      </c>
      <c r="BZ40" s="12">
        <v>0</v>
      </c>
      <c r="CA40" s="12">
        <v>0</v>
      </c>
      <c r="CB40" s="12">
        <v>1699999.7</v>
      </c>
      <c r="CC40" s="12">
        <v>1699999.7</v>
      </c>
      <c r="CD40" s="12">
        <v>1325999.7660000001</v>
      </c>
      <c r="CE40" s="12">
        <v>1325400.7805999999</v>
      </c>
      <c r="CF40" s="12">
        <v>1</v>
      </c>
      <c r="CG40" s="12">
        <v>7.158196134574087E-4</v>
      </c>
      <c r="CH40" s="12">
        <v>7.158196134574087E-4</v>
      </c>
      <c r="CI40" s="12" t="b">
        <v>0</v>
      </c>
      <c r="CJ40" s="12" t="b">
        <v>0</v>
      </c>
      <c r="CK40" s="12" t="s">
        <v>715</v>
      </c>
      <c r="CL40" s="2" t="s">
        <v>107</v>
      </c>
      <c r="CM40" s="12" t="s">
        <v>1084</v>
      </c>
      <c r="CN40" s="12">
        <v>1216.3434287759485</v>
      </c>
      <c r="CO40" s="12">
        <v>948.74787444523975</v>
      </c>
      <c r="CP40" s="12" t="s">
        <v>107</v>
      </c>
      <c r="CQ40" s="159" t="s">
        <v>826</v>
      </c>
      <c r="CR40" s="46" t="s">
        <v>828</v>
      </c>
      <c r="CS40" s="46" t="s">
        <v>827</v>
      </c>
      <c r="CT40" s="2">
        <v>30712014047</v>
      </c>
      <c r="CU40" s="2" t="s">
        <v>694</v>
      </c>
      <c r="CV40" s="49">
        <v>46087.728472222225</v>
      </c>
      <c r="CW40" s="49">
        <v>46085.873611111114</v>
      </c>
      <c r="CX40" s="2" t="b">
        <v>1</v>
      </c>
      <c r="CY40" s="2" t="b">
        <v>1</v>
      </c>
      <c r="CZ40" s="160">
        <v>46054</v>
      </c>
      <c r="DA40" s="12" t="s">
        <v>693</v>
      </c>
      <c r="DB40" s="12"/>
      <c r="DC40" s="12"/>
      <c r="DD40" s="12"/>
      <c r="DE40" s="12"/>
      <c r="DF40" s="12"/>
      <c r="DG40" s="12"/>
      <c r="DH40" s="12"/>
      <c r="DI40" s="46"/>
      <c r="DJ40" s="48" t="s">
        <v>105</v>
      </c>
      <c r="DK40" s="48" t="s">
        <v>111</v>
      </c>
      <c r="DL40" s="48">
        <v>1699231.78</v>
      </c>
      <c r="DM40" s="13" t="s">
        <v>99</v>
      </c>
      <c r="DN40" s="13" t="s">
        <v>99</v>
      </c>
      <c r="DO40" s="12">
        <v>-1.0000000009313226E-2</v>
      </c>
      <c r="DP40" s="12" t="s">
        <v>236</v>
      </c>
      <c r="DQ40" s="12" t="s">
        <v>111</v>
      </c>
      <c r="DR40" s="12">
        <v>1699231.77</v>
      </c>
      <c r="DS40" s="12" t="s">
        <v>99</v>
      </c>
      <c r="DT40" s="12">
        <v>0</v>
      </c>
      <c r="DU40" s="12"/>
      <c r="DV40" s="12"/>
      <c r="DW40" s="12" t="s">
        <v>16</v>
      </c>
      <c r="DX40" s="12"/>
      <c r="DY40" s="12" t="s">
        <v>111</v>
      </c>
      <c r="DZ40" s="12">
        <v>1027143.13</v>
      </c>
      <c r="EA40" s="12" t="s">
        <v>99</v>
      </c>
      <c r="EB40" s="12">
        <v>298257.65059999994</v>
      </c>
      <c r="EC40" s="12"/>
      <c r="ED40" s="12" t="str">
        <f>INDEX('con 1'!CI:CI,MATCH(B40,'con 1'!A:A,0),1)</f>
        <v>OK</v>
      </c>
      <c r="EE40" s="12" t="s">
        <v>1946</v>
      </c>
      <c r="EF40" s="12" t="s">
        <v>1947</v>
      </c>
      <c r="EG40" s="48">
        <f ca="1">AN40/INDEX(er!D:D,MATCH(AA40,er!C:C,0),1)</f>
        <v>1216.3434287759485</v>
      </c>
    </row>
    <row r="41" spans="1:137" ht="12.5" x14ac:dyDescent="0.25">
      <c r="A41" s="46" t="s">
        <v>103</v>
      </c>
      <c r="B41" s="46" t="s">
        <v>239</v>
      </c>
      <c r="C41" s="46" t="s">
        <v>94</v>
      </c>
      <c r="D41" s="46" t="s">
        <v>98</v>
      </c>
      <c r="E41" s="156">
        <v>46081</v>
      </c>
      <c r="F41" s="46" t="s">
        <v>1085</v>
      </c>
      <c r="G41" s="46" t="s">
        <v>1086</v>
      </c>
      <c r="H41" s="46" t="s">
        <v>241</v>
      </c>
      <c r="I41" s="46" t="s">
        <v>1087</v>
      </c>
      <c r="J41" s="46" t="s">
        <v>1088</v>
      </c>
      <c r="K41" s="46" t="s">
        <v>559</v>
      </c>
      <c r="L41" s="46" t="s">
        <v>686</v>
      </c>
      <c r="M41" s="2" t="s">
        <v>563</v>
      </c>
      <c r="N41" s="46" t="s">
        <v>1089</v>
      </c>
      <c r="O41" s="46" t="s">
        <v>991</v>
      </c>
      <c r="P41" s="46" t="s">
        <v>93</v>
      </c>
      <c r="Q41" s="46" t="s">
        <v>96</v>
      </c>
      <c r="R41" s="46" t="s">
        <v>104</v>
      </c>
      <c r="S41" s="46" t="s">
        <v>107</v>
      </c>
      <c r="T41" s="46" t="s">
        <v>107</v>
      </c>
      <c r="U41" s="46" t="s">
        <v>436</v>
      </c>
      <c r="V41" s="46" t="s">
        <v>105</v>
      </c>
      <c r="W41" s="46" t="s">
        <v>439</v>
      </c>
      <c r="X41" s="46" t="s">
        <v>687</v>
      </c>
      <c r="Y41" s="46" t="s">
        <v>688</v>
      </c>
      <c r="Z41" s="46" t="s">
        <v>688</v>
      </c>
      <c r="AA41" s="46" t="s">
        <v>111</v>
      </c>
      <c r="AB41" s="12" t="s">
        <v>111</v>
      </c>
      <c r="AC41" s="12">
        <v>4381827.7699999996</v>
      </c>
      <c r="AD41" s="12">
        <v>4381827.7699999996</v>
      </c>
      <c r="AE41" s="12">
        <v>1</v>
      </c>
      <c r="AF41" s="12">
        <v>1</v>
      </c>
      <c r="AG41" s="12">
        <v>1</v>
      </c>
      <c r="AH41" s="12">
        <v>0.78</v>
      </c>
      <c r="AI41" s="12">
        <v>0.78</v>
      </c>
      <c r="AJ41" s="12">
        <v>0</v>
      </c>
      <c r="AK41" s="12"/>
      <c r="AL41" s="12">
        <v>4381827.7699999996</v>
      </c>
      <c r="AM41" s="12">
        <v>4381827.7699999996</v>
      </c>
      <c r="AN41" s="12">
        <v>4381827.7699999996</v>
      </c>
      <c r="AO41" s="12">
        <v>3417825.6606000001</v>
      </c>
      <c r="AP41" s="12">
        <v>2648705.52</v>
      </c>
      <c r="AQ41" s="12"/>
      <c r="AR41" s="12">
        <v>4381827.7699999996</v>
      </c>
      <c r="AS41" s="12">
        <v>3136.598260558339</v>
      </c>
      <c r="AT41" s="12">
        <v>2446.5466432355047</v>
      </c>
      <c r="AU41" s="12">
        <v>964002.10939999996</v>
      </c>
      <c r="AV41" s="12">
        <v>964002.10939999996</v>
      </c>
      <c r="AW41" s="12">
        <v>690.05161732283466</v>
      </c>
      <c r="AX41" s="12">
        <v>22</v>
      </c>
      <c r="AY41" s="2" t="s">
        <v>2091</v>
      </c>
      <c r="AZ41" s="2" t="s">
        <v>101</v>
      </c>
      <c r="BA41" s="46"/>
      <c r="BB41" s="2" t="s">
        <v>2186</v>
      </c>
      <c r="BC41" s="2" t="s">
        <v>102</v>
      </c>
      <c r="BD41" s="46"/>
      <c r="BE41" s="46"/>
      <c r="BF41" s="12"/>
      <c r="BG41" s="12">
        <v>1</v>
      </c>
      <c r="BH41" s="12" t="s">
        <v>1090</v>
      </c>
      <c r="BI41" s="46" t="s">
        <v>1089</v>
      </c>
      <c r="BJ41" s="46" t="s">
        <v>1091</v>
      </c>
      <c r="BK41" s="46" t="s">
        <v>1001</v>
      </c>
      <c r="BL41" s="46" t="s">
        <v>771</v>
      </c>
      <c r="BM41" s="46" t="s">
        <v>771</v>
      </c>
      <c r="BN41" s="46" t="s">
        <v>735</v>
      </c>
      <c r="BO41" s="46" t="s">
        <v>710</v>
      </c>
      <c r="BP41" s="46" t="s">
        <v>436</v>
      </c>
      <c r="BQ41" s="157">
        <v>46035</v>
      </c>
      <c r="BR41" s="156">
        <v>46069</v>
      </c>
      <c r="BS41" s="46" t="s">
        <v>746</v>
      </c>
      <c r="BT41" s="46"/>
      <c r="BU41" s="12">
        <v>1</v>
      </c>
      <c r="BV41" s="158" t="s">
        <v>1092</v>
      </c>
      <c r="BW41" s="12" t="s">
        <v>1093</v>
      </c>
      <c r="BX41" s="12">
        <v>0</v>
      </c>
      <c r="BY41" s="12">
        <v>0</v>
      </c>
      <c r="BZ41" s="12">
        <v>0</v>
      </c>
      <c r="CA41" s="12">
        <v>0</v>
      </c>
      <c r="CB41" s="12">
        <v>3011904.6</v>
      </c>
      <c r="CC41" s="12">
        <v>3011904.6</v>
      </c>
      <c r="CD41" s="12">
        <v>2349285.588</v>
      </c>
      <c r="CE41" s="12">
        <v>3417825.6606000001</v>
      </c>
      <c r="CF41" s="12">
        <v>1</v>
      </c>
      <c r="CG41" s="12">
        <v>7.158196134574087E-4</v>
      </c>
      <c r="CH41" s="12">
        <v>7.158196134574087E-4</v>
      </c>
      <c r="CI41" s="12" t="b">
        <v>0</v>
      </c>
      <c r="CJ41" s="12" t="b">
        <v>0</v>
      </c>
      <c r="CK41" s="12" t="s">
        <v>715</v>
      </c>
      <c r="CL41" s="2" t="s">
        <v>107</v>
      </c>
      <c r="CM41" s="2" t="s">
        <v>1094</v>
      </c>
      <c r="CN41" s="12">
        <v>3136.5982605583395</v>
      </c>
      <c r="CO41" s="12">
        <v>2446.5466432355047</v>
      </c>
      <c r="CP41" s="12" t="s">
        <v>107</v>
      </c>
      <c r="CQ41" s="161" t="s">
        <v>991</v>
      </c>
      <c r="CR41" s="46" t="s">
        <v>1095</v>
      </c>
      <c r="CS41" s="46" t="s">
        <v>1091</v>
      </c>
      <c r="CT41" s="2">
        <v>30630308557</v>
      </c>
      <c r="CU41" s="2" t="s">
        <v>691</v>
      </c>
      <c r="CV41" s="49">
        <v>46087.728472222225</v>
      </c>
      <c r="CW41" s="49">
        <v>46085.873611111114</v>
      </c>
      <c r="CX41" s="2" t="b">
        <v>1</v>
      </c>
      <c r="CY41" s="2" t="b">
        <v>1</v>
      </c>
      <c r="CZ41" s="160">
        <v>46054</v>
      </c>
      <c r="DA41" s="12" t="s">
        <v>693</v>
      </c>
      <c r="DB41" s="12"/>
      <c r="DC41" s="12"/>
      <c r="DD41" s="12"/>
      <c r="DE41" s="12"/>
      <c r="DF41" s="12"/>
      <c r="DG41" s="12"/>
      <c r="DH41" s="12"/>
      <c r="DI41" s="46" t="s">
        <v>206</v>
      </c>
      <c r="DJ41" s="48" t="s">
        <v>105</v>
      </c>
      <c r="DK41" s="48" t="s">
        <v>111</v>
      </c>
      <c r="DL41" s="48">
        <v>4387094.46</v>
      </c>
      <c r="DM41" s="13" t="s">
        <v>99</v>
      </c>
      <c r="DN41" s="13" t="s">
        <v>99</v>
      </c>
      <c r="DO41" s="12">
        <v>-5266.6900000004098</v>
      </c>
      <c r="DP41" s="12" t="s">
        <v>239</v>
      </c>
      <c r="DQ41" s="12" t="s">
        <v>111</v>
      </c>
      <c r="DR41" s="12">
        <v>4381827.87</v>
      </c>
      <c r="DS41" s="12" t="s">
        <v>99</v>
      </c>
      <c r="DT41" s="12">
        <v>-0.10000000055879354</v>
      </c>
      <c r="DU41" s="12"/>
      <c r="DV41" s="12"/>
      <c r="DW41" s="12" t="s">
        <v>16</v>
      </c>
      <c r="DX41" s="12"/>
      <c r="DY41" s="12" t="s">
        <v>111</v>
      </c>
      <c r="DZ41" s="12">
        <v>2648705.4</v>
      </c>
      <c r="EA41" s="12" t="s">
        <v>99</v>
      </c>
      <c r="EB41" s="12">
        <v>769120.26060000015</v>
      </c>
      <c r="EC41" s="12"/>
      <c r="ED41" s="12" t="str">
        <f>INDEX('con 1'!CI:CI,MATCH(B41,'con 1'!A:A,0),1)</f>
        <v>OK</v>
      </c>
      <c r="EE41" s="12" t="s">
        <v>1946</v>
      </c>
      <c r="EF41" s="12" t="s">
        <v>1947</v>
      </c>
      <c r="EG41" s="48">
        <f ca="1">AN41/INDEX(er!D:D,MATCH(AA41,er!C:C,0),1)</f>
        <v>3136.598260558339</v>
      </c>
    </row>
    <row r="42" spans="1:137" ht="12.5" x14ac:dyDescent="0.25">
      <c r="A42" s="46" t="s">
        <v>103</v>
      </c>
      <c r="B42" s="46" t="s">
        <v>243</v>
      </c>
      <c r="C42" s="46" t="s">
        <v>94</v>
      </c>
      <c r="D42" s="46" t="s">
        <v>98</v>
      </c>
      <c r="E42" s="156">
        <v>46081</v>
      </c>
      <c r="F42" s="46" t="s">
        <v>1096</v>
      </c>
      <c r="G42" s="46" t="s">
        <v>1097</v>
      </c>
      <c r="H42" s="46" t="s">
        <v>245</v>
      </c>
      <c r="I42" s="46" t="s">
        <v>1098</v>
      </c>
      <c r="J42" s="46" t="s">
        <v>1099</v>
      </c>
      <c r="K42" s="46" t="s">
        <v>559</v>
      </c>
      <c r="L42" s="46" t="s">
        <v>686</v>
      </c>
      <c r="M42" s="2" t="s">
        <v>563</v>
      </c>
      <c r="N42" s="46" t="s">
        <v>820</v>
      </c>
      <c r="O42" s="46" t="s">
        <v>821</v>
      </c>
      <c r="P42" s="46" t="s">
        <v>93</v>
      </c>
      <c r="Q42" s="46" t="s">
        <v>96</v>
      </c>
      <c r="R42" s="46" t="s">
        <v>104</v>
      </c>
      <c r="S42" s="46" t="s">
        <v>107</v>
      </c>
      <c r="T42" s="46" t="s">
        <v>107</v>
      </c>
      <c r="U42" s="46" t="s">
        <v>436</v>
      </c>
      <c r="V42" s="46" t="s">
        <v>105</v>
      </c>
      <c r="W42" s="46" t="s">
        <v>439</v>
      </c>
      <c r="X42" s="46" t="s">
        <v>687</v>
      </c>
      <c r="Y42" s="46" t="s">
        <v>688</v>
      </c>
      <c r="Z42" s="46" t="s">
        <v>688</v>
      </c>
      <c r="AA42" s="46" t="s">
        <v>111</v>
      </c>
      <c r="AB42" s="12" t="s">
        <v>111</v>
      </c>
      <c r="AC42" s="12">
        <v>4712962.42</v>
      </c>
      <c r="AD42" s="12">
        <v>4712962.42</v>
      </c>
      <c r="AE42" s="12">
        <v>1</v>
      </c>
      <c r="AF42" s="12">
        <v>1</v>
      </c>
      <c r="AG42" s="12">
        <v>1</v>
      </c>
      <c r="AH42" s="12">
        <v>0.78</v>
      </c>
      <c r="AI42" s="12">
        <v>0.78</v>
      </c>
      <c r="AJ42" s="12">
        <v>0</v>
      </c>
      <c r="AK42" s="12"/>
      <c r="AL42" s="12">
        <v>4712962.42</v>
      </c>
      <c r="AM42" s="12">
        <v>4712962.42</v>
      </c>
      <c r="AN42" s="12">
        <v>4712962.42</v>
      </c>
      <c r="AO42" s="12">
        <v>3676110.6875999998</v>
      </c>
      <c r="AP42" s="12">
        <v>2848868.15</v>
      </c>
      <c r="AQ42" s="12"/>
      <c r="AR42" s="12">
        <v>4712962.42</v>
      </c>
      <c r="AS42" s="12">
        <v>3373.6309377236935</v>
      </c>
      <c r="AT42" s="12">
        <v>2631.4321314244808</v>
      </c>
      <c r="AU42" s="12">
        <v>1036851.7324</v>
      </c>
      <c r="AV42" s="12">
        <v>1036851.7324</v>
      </c>
      <c r="AW42" s="12">
        <v>742.19880629921261</v>
      </c>
      <c r="AX42" s="12">
        <v>22</v>
      </c>
      <c r="AY42" s="2" t="s">
        <v>2030</v>
      </c>
      <c r="AZ42" s="2" t="s">
        <v>101</v>
      </c>
      <c r="BA42" s="46"/>
      <c r="BB42" s="2" t="s">
        <v>2184</v>
      </c>
      <c r="BC42" s="2" t="s">
        <v>102</v>
      </c>
      <c r="BD42" s="46"/>
      <c r="BE42" s="46"/>
      <c r="BF42" s="12"/>
      <c r="BG42" s="12">
        <v>1</v>
      </c>
      <c r="BH42" s="12" t="s">
        <v>1100</v>
      </c>
      <c r="BI42" s="46" t="s">
        <v>820</v>
      </c>
      <c r="BJ42" s="46" t="s">
        <v>823</v>
      </c>
      <c r="BK42" s="46" t="s">
        <v>865</v>
      </c>
      <c r="BL42" s="46" t="s">
        <v>865</v>
      </c>
      <c r="BM42" s="46" t="s">
        <v>865</v>
      </c>
      <c r="BN42" s="46" t="s">
        <v>735</v>
      </c>
      <c r="BO42" s="46" t="s">
        <v>710</v>
      </c>
      <c r="BP42" s="46" t="s">
        <v>436</v>
      </c>
      <c r="BQ42" s="157">
        <v>46027</v>
      </c>
      <c r="BR42" s="156">
        <v>46112</v>
      </c>
      <c r="BS42" s="46" t="s">
        <v>740</v>
      </c>
      <c r="BT42" s="46"/>
      <c r="BU42" s="12">
        <v>1</v>
      </c>
      <c r="BV42" s="158" t="s">
        <v>1101</v>
      </c>
      <c r="BW42" s="12" t="s">
        <v>1102</v>
      </c>
      <c r="BX42" s="12">
        <v>0</v>
      </c>
      <c r="BY42" s="12">
        <v>0</v>
      </c>
      <c r="BZ42" s="12">
        <v>0</v>
      </c>
      <c r="CA42" s="12">
        <v>0</v>
      </c>
      <c r="CB42" s="12">
        <v>6800000</v>
      </c>
      <c r="CC42" s="12">
        <v>6800000</v>
      </c>
      <c r="CD42" s="12">
        <v>5304000</v>
      </c>
      <c r="CE42" s="12">
        <v>3676110.6875999998</v>
      </c>
      <c r="CF42" s="12">
        <v>1</v>
      </c>
      <c r="CG42" s="12">
        <v>7.158196134574087E-4</v>
      </c>
      <c r="CH42" s="12">
        <v>7.158196134574087E-4</v>
      </c>
      <c r="CI42" s="12" t="b">
        <v>0</v>
      </c>
      <c r="CJ42" s="12" t="b">
        <v>0</v>
      </c>
      <c r="CK42" s="12" t="s">
        <v>699</v>
      </c>
      <c r="CL42" s="2" t="s">
        <v>107</v>
      </c>
      <c r="CM42" s="2">
        <v>260101121874</v>
      </c>
      <c r="CN42" s="12">
        <v>3373.6309377236935</v>
      </c>
      <c r="CO42" s="12">
        <v>2631.4321314244812</v>
      </c>
      <c r="CP42" s="12" t="s">
        <v>107</v>
      </c>
      <c r="CQ42" s="159" t="s">
        <v>821</v>
      </c>
      <c r="CR42" s="46" t="s">
        <v>824</v>
      </c>
      <c r="CS42" s="46" t="s">
        <v>823</v>
      </c>
      <c r="CT42" s="2">
        <v>30715225537</v>
      </c>
      <c r="CU42" s="2" t="s">
        <v>691</v>
      </c>
      <c r="CV42" s="49">
        <v>46087.728472222225</v>
      </c>
      <c r="CW42" s="49">
        <v>46085.873611111114</v>
      </c>
      <c r="CX42" s="2" t="b">
        <v>1</v>
      </c>
      <c r="CY42" s="2" t="b">
        <v>1</v>
      </c>
      <c r="CZ42" s="160">
        <v>46054</v>
      </c>
      <c r="DA42" s="12" t="s">
        <v>693</v>
      </c>
      <c r="DB42" s="12"/>
      <c r="DC42" s="12"/>
      <c r="DD42" s="12"/>
      <c r="DE42" s="12"/>
      <c r="DF42" s="12"/>
      <c r="DG42" s="12"/>
      <c r="DH42" s="12"/>
      <c r="DI42" s="46"/>
      <c r="DJ42" s="48" t="s">
        <v>105</v>
      </c>
      <c r="DK42" s="48" t="s">
        <v>111</v>
      </c>
      <c r="DL42" s="48">
        <v>4712962.41</v>
      </c>
      <c r="DM42" s="13" t="s">
        <v>99</v>
      </c>
      <c r="DN42" s="13" t="s">
        <v>99</v>
      </c>
      <c r="DO42" s="12">
        <v>9.9999997764825821E-3</v>
      </c>
      <c r="DP42" s="12" t="s">
        <v>243</v>
      </c>
      <c r="DQ42" s="12" t="s">
        <v>111</v>
      </c>
      <c r="DR42" s="12">
        <v>4712962.42</v>
      </c>
      <c r="DS42" s="12" t="s">
        <v>99</v>
      </c>
      <c r="DT42" s="12">
        <v>0</v>
      </c>
      <c r="DU42" s="12"/>
      <c r="DV42" s="12"/>
      <c r="DW42" s="12" t="s">
        <v>16</v>
      </c>
      <c r="DX42" s="12"/>
      <c r="DY42" s="12" t="s">
        <v>111</v>
      </c>
      <c r="DZ42" s="12">
        <v>2848867.95</v>
      </c>
      <c r="EA42" s="12" t="s">
        <v>99</v>
      </c>
      <c r="EB42" s="12">
        <v>827242.73759999964</v>
      </c>
      <c r="EC42" s="12"/>
      <c r="ED42" s="12" t="str">
        <f>INDEX('con 1'!CI:CI,MATCH(B42,'con 1'!A:A,0),1)</f>
        <v>OK</v>
      </c>
      <c r="EE42" s="12" t="s">
        <v>1946</v>
      </c>
      <c r="EF42" s="12" t="s">
        <v>1947</v>
      </c>
      <c r="EG42" s="48">
        <f ca="1">AN42/INDEX(er!D:D,MATCH(AA42,er!C:C,0),1)</f>
        <v>3373.6309377236935</v>
      </c>
    </row>
    <row r="43" spans="1:137" ht="12.5" x14ac:dyDescent="0.25">
      <c r="A43" s="46" t="s">
        <v>103</v>
      </c>
      <c r="B43" s="46" t="s">
        <v>247</v>
      </c>
      <c r="C43" s="46" t="s">
        <v>94</v>
      </c>
      <c r="D43" s="46" t="s">
        <v>98</v>
      </c>
      <c r="E43" s="156">
        <v>46081</v>
      </c>
      <c r="F43" s="46" t="s">
        <v>1103</v>
      </c>
      <c r="G43" s="46" t="s">
        <v>1104</v>
      </c>
      <c r="H43" s="46" t="s">
        <v>249</v>
      </c>
      <c r="I43" s="46" t="s">
        <v>1105</v>
      </c>
      <c r="J43" s="46" t="s">
        <v>1106</v>
      </c>
      <c r="K43" s="46" t="s">
        <v>559</v>
      </c>
      <c r="L43" s="46" t="s">
        <v>686</v>
      </c>
      <c r="M43" s="2" t="s">
        <v>563</v>
      </c>
      <c r="N43" s="46" t="s">
        <v>1107</v>
      </c>
      <c r="O43" s="46" t="s">
        <v>1108</v>
      </c>
      <c r="P43" s="46" t="s">
        <v>93</v>
      </c>
      <c r="Q43" s="46" t="s">
        <v>96</v>
      </c>
      <c r="R43" s="46" t="s">
        <v>104</v>
      </c>
      <c r="S43" s="46" t="s">
        <v>107</v>
      </c>
      <c r="T43" s="46" t="s">
        <v>107</v>
      </c>
      <c r="U43" s="46" t="s">
        <v>436</v>
      </c>
      <c r="V43" s="46" t="s">
        <v>105</v>
      </c>
      <c r="W43" s="46" t="s">
        <v>439</v>
      </c>
      <c r="X43" s="46" t="s">
        <v>687</v>
      </c>
      <c r="Y43" s="46" t="s">
        <v>688</v>
      </c>
      <c r="Z43" s="46" t="s">
        <v>688</v>
      </c>
      <c r="AA43" s="46" t="s">
        <v>111</v>
      </c>
      <c r="AB43" s="12" t="s">
        <v>111</v>
      </c>
      <c r="AC43" s="12">
        <v>7779983.4400000004</v>
      </c>
      <c r="AD43" s="12">
        <v>7779983.4400000004</v>
      </c>
      <c r="AE43" s="12">
        <v>1</v>
      </c>
      <c r="AF43" s="12">
        <v>1</v>
      </c>
      <c r="AG43" s="12">
        <v>1</v>
      </c>
      <c r="AH43" s="12">
        <v>0.78</v>
      </c>
      <c r="AI43" s="12">
        <v>0.78</v>
      </c>
      <c r="AJ43" s="12">
        <v>0</v>
      </c>
      <c r="AK43" s="12"/>
      <c r="AL43" s="12">
        <v>7779983.4400000004</v>
      </c>
      <c r="AM43" s="12">
        <v>7779983.4400000004</v>
      </c>
      <c r="AN43" s="12">
        <v>7779983.4400000004</v>
      </c>
      <c r="AO43" s="12">
        <v>6068387.0832000002</v>
      </c>
      <c r="AP43" s="12">
        <v>4702805.8</v>
      </c>
      <c r="AQ43" s="12"/>
      <c r="AR43" s="12">
        <v>7779983.4400000004</v>
      </c>
      <c r="AS43" s="12">
        <v>5569.0647387258414</v>
      </c>
      <c r="AT43" s="12">
        <v>4343.8704962061565</v>
      </c>
      <c r="AU43" s="12">
        <v>1711596.3568</v>
      </c>
      <c r="AV43" s="12">
        <v>1711596.3568</v>
      </c>
      <c r="AW43" s="12">
        <v>1225.1942425196851</v>
      </c>
      <c r="AX43" s="12">
        <v>22</v>
      </c>
      <c r="AY43" s="2" t="s">
        <v>2082</v>
      </c>
      <c r="AZ43" s="2" t="s">
        <v>101</v>
      </c>
      <c r="BA43" s="46"/>
      <c r="BB43" s="2" t="s">
        <v>2178</v>
      </c>
      <c r="BC43" s="2" t="s">
        <v>102</v>
      </c>
      <c r="BD43" s="46"/>
      <c r="BE43" s="46"/>
      <c r="BF43" s="12"/>
      <c r="BG43" s="12">
        <v>1</v>
      </c>
      <c r="BH43" s="12" t="s">
        <v>1109</v>
      </c>
      <c r="BI43" s="46" t="s">
        <v>1107</v>
      </c>
      <c r="BJ43" s="46" t="s">
        <v>1110</v>
      </c>
      <c r="BK43" s="46" t="s">
        <v>874</v>
      </c>
      <c r="BL43" s="46" t="s">
        <v>771</v>
      </c>
      <c r="BM43" s="46" t="s">
        <v>771</v>
      </c>
      <c r="BN43" s="46" t="s">
        <v>735</v>
      </c>
      <c r="BO43" s="46" t="s">
        <v>710</v>
      </c>
      <c r="BP43" s="46" t="s">
        <v>436</v>
      </c>
      <c r="BQ43" s="157">
        <v>46034</v>
      </c>
      <c r="BR43" s="156">
        <v>46068</v>
      </c>
      <c r="BS43" s="46" t="s">
        <v>689</v>
      </c>
      <c r="BT43" s="46"/>
      <c r="BU43" s="12">
        <v>1</v>
      </c>
      <c r="BV43" s="158" t="s">
        <v>1111</v>
      </c>
      <c r="BW43" s="12" t="s">
        <v>1112</v>
      </c>
      <c r="BX43" s="12">
        <v>0</v>
      </c>
      <c r="BY43" s="12">
        <v>0</v>
      </c>
      <c r="BZ43" s="12">
        <v>0</v>
      </c>
      <c r="CA43" s="12">
        <v>0</v>
      </c>
      <c r="CB43" s="12">
        <v>8571428.5714285709</v>
      </c>
      <c r="CC43" s="12">
        <v>8571428.5714289993</v>
      </c>
      <c r="CD43" s="12">
        <v>6685714.2857140005</v>
      </c>
      <c r="CE43" s="12">
        <v>6068387.0832000002</v>
      </c>
      <c r="CF43" s="12">
        <v>1</v>
      </c>
      <c r="CG43" s="12">
        <v>7.158196134574087E-4</v>
      </c>
      <c r="CH43" s="12">
        <v>7.158196134574087E-4</v>
      </c>
      <c r="CI43" s="12" t="b">
        <v>0</v>
      </c>
      <c r="CJ43" s="12" t="b">
        <v>0</v>
      </c>
      <c r="CK43" s="12" t="s">
        <v>690</v>
      </c>
      <c r="CL43" s="2" t="s">
        <v>107</v>
      </c>
      <c r="CM43" s="2" t="s">
        <v>1113</v>
      </c>
      <c r="CN43" s="12">
        <v>5569.0647387258414</v>
      </c>
      <c r="CO43" s="12">
        <v>4343.8704962061556</v>
      </c>
      <c r="CP43" s="12" t="s">
        <v>107</v>
      </c>
      <c r="CQ43" s="159"/>
      <c r="CR43" s="46" t="s">
        <v>1114</v>
      </c>
      <c r="CS43" s="46" t="s">
        <v>1110</v>
      </c>
      <c r="CT43" s="2">
        <v>30685376349</v>
      </c>
      <c r="CU43" s="2" t="s">
        <v>691</v>
      </c>
      <c r="CV43" s="49">
        <v>46087.728472222225</v>
      </c>
      <c r="CW43" s="49">
        <v>46085.873611111114</v>
      </c>
      <c r="CX43" s="2" t="b">
        <v>1</v>
      </c>
      <c r="CY43" s="2" t="b">
        <v>1</v>
      </c>
      <c r="CZ43" s="160">
        <v>46054</v>
      </c>
      <c r="DA43" s="12" t="s">
        <v>693</v>
      </c>
      <c r="DB43" s="12"/>
      <c r="DC43" s="12"/>
      <c r="DD43" s="12"/>
      <c r="DE43" s="12"/>
      <c r="DF43" s="12"/>
      <c r="DG43" s="12"/>
      <c r="DH43" s="12"/>
      <c r="DI43" s="46"/>
      <c r="DJ43" s="48" t="s">
        <v>105</v>
      </c>
      <c r="DK43" s="48" t="s">
        <v>111</v>
      </c>
      <c r="DL43" s="48">
        <v>7779983.4400000004</v>
      </c>
      <c r="DM43" s="13" t="s">
        <v>99</v>
      </c>
      <c r="DN43" s="13" t="s">
        <v>99</v>
      </c>
      <c r="DO43" s="12">
        <v>0</v>
      </c>
      <c r="DP43" s="12" t="s">
        <v>247</v>
      </c>
      <c r="DQ43" s="12" t="s">
        <v>111</v>
      </c>
      <c r="DR43" s="12">
        <v>7779983.4400000004</v>
      </c>
      <c r="DS43" s="12" t="s">
        <v>99</v>
      </c>
      <c r="DT43" s="12">
        <v>0</v>
      </c>
      <c r="DU43" s="12"/>
      <c r="DV43" s="12"/>
      <c r="DW43" s="12" t="s">
        <v>16</v>
      </c>
      <c r="DX43" s="12"/>
      <c r="DY43" s="12" t="s">
        <v>111</v>
      </c>
      <c r="DZ43" s="12">
        <v>4702805.49</v>
      </c>
      <c r="EA43" s="12" t="s">
        <v>99</v>
      </c>
      <c r="EB43" s="12">
        <v>1365581.5932</v>
      </c>
      <c r="EC43" s="12"/>
      <c r="ED43" s="12" t="str">
        <f>INDEX('con 1'!CI:CI,MATCH(B43,'con 1'!A:A,0),1)</f>
        <v>OK</v>
      </c>
      <c r="EE43" s="12" t="s">
        <v>1946</v>
      </c>
      <c r="EF43" s="12" t="s">
        <v>1947</v>
      </c>
      <c r="EG43" s="48">
        <f ca="1">AN43/INDEX(er!D:D,MATCH(AA43,er!C:C,0),1)</f>
        <v>5569.0647387258414</v>
      </c>
    </row>
    <row r="44" spans="1:137" ht="12.5" x14ac:dyDescent="0.25">
      <c r="A44" s="46" t="s">
        <v>103</v>
      </c>
      <c r="B44" s="46" t="s">
        <v>251</v>
      </c>
      <c r="C44" s="46" t="s">
        <v>94</v>
      </c>
      <c r="D44" s="46" t="s">
        <v>98</v>
      </c>
      <c r="E44" s="156">
        <v>46081</v>
      </c>
      <c r="F44" s="46" t="s">
        <v>1115</v>
      </c>
      <c r="G44" s="46" t="s">
        <v>1116</v>
      </c>
      <c r="H44" s="46" t="s">
        <v>253</v>
      </c>
      <c r="I44" s="46" t="s">
        <v>1117</v>
      </c>
      <c r="J44" s="46" t="s">
        <v>1118</v>
      </c>
      <c r="K44" s="46" t="s">
        <v>559</v>
      </c>
      <c r="L44" s="46" t="s">
        <v>686</v>
      </c>
      <c r="M44" s="2" t="s">
        <v>563</v>
      </c>
      <c r="N44" s="46" t="s">
        <v>741</v>
      </c>
      <c r="O44" s="46" t="s">
        <v>741</v>
      </c>
      <c r="P44" s="46" t="s">
        <v>93</v>
      </c>
      <c r="Q44" s="46" t="s">
        <v>100</v>
      </c>
      <c r="R44" s="46" t="s">
        <v>104</v>
      </c>
      <c r="S44" s="46" t="s">
        <v>107</v>
      </c>
      <c r="T44" s="46" t="s">
        <v>107</v>
      </c>
      <c r="U44" s="46" t="s">
        <v>436</v>
      </c>
      <c r="V44" s="46" t="s">
        <v>105</v>
      </c>
      <c r="W44" s="46" t="s">
        <v>439</v>
      </c>
      <c r="X44" s="46" t="s">
        <v>687</v>
      </c>
      <c r="Y44" s="46" t="s">
        <v>688</v>
      </c>
      <c r="Z44" s="46" t="s">
        <v>688</v>
      </c>
      <c r="AA44" s="46" t="s">
        <v>111</v>
      </c>
      <c r="AB44" s="12" t="s">
        <v>111</v>
      </c>
      <c r="AC44" s="12">
        <v>2937600</v>
      </c>
      <c r="AD44" s="12">
        <v>2937600</v>
      </c>
      <c r="AE44" s="12">
        <v>1</v>
      </c>
      <c r="AF44" s="12">
        <v>1</v>
      </c>
      <c r="AG44" s="12">
        <v>1</v>
      </c>
      <c r="AH44" s="12">
        <v>0.85</v>
      </c>
      <c r="AI44" s="12">
        <v>0.85</v>
      </c>
      <c r="AJ44" s="12">
        <v>0</v>
      </c>
      <c r="AK44" s="12"/>
      <c r="AL44" s="12">
        <v>2937600</v>
      </c>
      <c r="AM44" s="12">
        <v>2937600</v>
      </c>
      <c r="AN44" s="12">
        <v>2937600</v>
      </c>
      <c r="AO44" s="12">
        <v>2496960</v>
      </c>
      <c r="AP44" s="12">
        <v>1938801.31</v>
      </c>
      <c r="AQ44" s="12"/>
      <c r="AR44" s="12">
        <v>2937600</v>
      </c>
      <c r="AS44" s="12">
        <v>2102.7916964924839</v>
      </c>
      <c r="AT44" s="12">
        <v>1787.3729420186114</v>
      </c>
      <c r="AU44" s="12">
        <v>440640</v>
      </c>
      <c r="AV44" s="12">
        <v>440640</v>
      </c>
      <c r="AW44" s="12">
        <v>315.41875447387258</v>
      </c>
      <c r="AX44" s="12">
        <v>15</v>
      </c>
      <c r="AY44" s="2" t="s">
        <v>2332</v>
      </c>
      <c r="AZ44" s="2" t="s">
        <v>101</v>
      </c>
      <c r="BA44" s="46"/>
      <c r="BB44" s="2" t="s">
        <v>2333</v>
      </c>
      <c r="BC44" s="2" t="s">
        <v>102</v>
      </c>
      <c r="BD44" s="46"/>
      <c r="BE44" s="46"/>
      <c r="BF44" s="12"/>
      <c r="BG44" s="12">
        <v>1</v>
      </c>
      <c r="BH44" s="12" t="s">
        <v>1119</v>
      </c>
      <c r="BI44" s="46" t="s">
        <v>741</v>
      </c>
      <c r="BJ44" s="46" t="s">
        <v>742</v>
      </c>
      <c r="BK44" s="46" t="s">
        <v>863</v>
      </c>
      <c r="BL44" s="46" t="s">
        <v>863</v>
      </c>
      <c r="BM44" s="46" t="s">
        <v>863</v>
      </c>
      <c r="BN44" s="46" t="s">
        <v>744</v>
      </c>
      <c r="BO44" s="46" t="s">
        <v>745</v>
      </c>
      <c r="BP44" s="46" t="s">
        <v>436</v>
      </c>
      <c r="BQ44" s="157">
        <v>46056</v>
      </c>
      <c r="BR44" s="156">
        <v>46110</v>
      </c>
      <c r="BS44" s="46" t="s">
        <v>746</v>
      </c>
      <c r="BT44" s="46"/>
      <c r="BU44" s="12">
        <v>1</v>
      </c>
      <c r="BV44" s="158" t="s">
        <v>1120</v>
      </c>
      <c r="BW44" s="12" t="s">
        <v>1121</v>
      </c>
      <c r="BX44" s="12">
        <v>0</v>
      </c>
      <c r="BY44" s="12">
        <v>0</v>
      </c>
      <c r="BZ44" s="12">
        <v>0</v>
      </c>
      <c r="CA44" s="12">
        <v>0</v>
      </c>
      <c r="CB44" s="12">
        <v>2777367.2727272729</v>
      </c>
      <c r="CC44" s="12">
        <v>2777367.2727270001</v>
      </c>
      <c r="CD44" s="12">
        <v>2360762.181818</v>
      </c>
      <c r="CE44" s="12">
        <v>2496960</v>
      </c>
      <c r="CF44" s="12">
        <v>1</v>
      </c>
      <c r="CG44" s="12">
        <v>7.158196134574087E-4</v>
      </c>
      <c r="CH44" s="12">
        <v>7.158196134574087E-4</v>
      </c>
      <c r="CI44" s="12" t="b">
        <v>0</v>
      </c>
      <c r="CJ44" s="12" t="b">
        <v>0</v>
      </c>
      <c r="CK44" s="12" t="s">
        <v>690</v>
      </c>
      <c r="CL44" s="2" t="s">
        <v>107</v>
      </c>
      <c r="CM44" s="2" t="s">
        <v>1122</v>
      </c>
      <c r="CN44" s="12">
        <v>2102.7916964924839</v>
      </c>
      <c r="CO44" s="12">
        <v>1787.3729420186114</v>
      </c>
      <c r="CP44" s="12" t="s">
        <v>107</v>
      </c>
      <c r="CQ44" s="161" t="s">
        <v>741</v>
      </c>
      <c r="CR44" s="46" t="s">
        <v>747</v>
      </c>
      <c r="CS44" s="46" t="s">
        <v>742</v>
      </c>
      <c r="CT44" s="2">
        <v>30693739698</v>
      </c>
      <c r="CU44" s="2" t="s">
        <v>691</v>
      </c>
      <c r="CV44" s="49">
        <v>46087.728472222225</v>
      </c>
      <c r="CW44" s="49">
        <v>46086.691666666666</v>
      </c>
      <c r="CX44" s="2" t="b">
        <v>1</v>
      </c>
      <c r="CY44" s="2" t="b">
        <v>1</v>
      </c>
      <c r="CZ44" s="160">
        <v>46054</v>
      </c>
      <c r="DA44" s="12" t="s">
        <v>693</v>
      </c>
      <c r="DB44" s="12"/>
      <c r="DC44" s="12"/>
      <c r="DD44" s="12"/>
      <c r="DE44" s="12"/>
      <c r="DF44" s="12"/>
      <c r="DG44" s="12"/>
      <c r="DH44" s="12"/>
      <c r="DI44" s="46"/>
      <c r="DJ44" s="48"/>
      <c r="DK44" s="48"/>
      <c r="DL44" s="48"/>
      <c r="DM44" s="13" t="s">
        <v>16</v>
      </c>
      <c r="DN44" s="13" t="s">
        <v>16</v>
      </c>
      <c r="DO44" s="12"/>
      <c r="DP44" s="12" t="s">
        <v>251</v>
      </c>
      <c r="DQ44" s="12" t="s">
        <v>111</v>
      </c>
      <c r="DR44" s="12">
        <v>2937600</v>
      </c>
      <c r="DS44" s="12" t="s">
        <v>99</v>
      </c>
      <c r="DT44" s="12">
        <v>0</v>
      </c>
      <c r="DU44" s="12"/>
      <c r="DV44" s="12"/>
      <c r="DW44" s="12" t="s">
        <v>16</v>
      </c>
      <c r="DX44" s="12"/>
      <c r="DY44" s="12" t="s">
        <v>111</v>
      </c>
      <c r="DZ44" s="12">
        <v>1938874.75</v>
      </c>
      <c r="EA44" s="12" t="s">
        <v>99</v>
      </c>
      <c r="EB44" s="12">
        <v>558085.25</v>
      </c>
      <c r="EC44" s="12"/>
      <c r="ED44" s="12" t="str">
        <f>INDEX('con 1'!CI:CI,MATCH(B44,'con 1'!A:A,0),1)</f>
        <v>OK</v>
      </c>
      <c r="EE44" s="12" t="s">
        <v>1946</v>
      </c>
      <c r="EF44" s="12" t="s">
        <v>1947</v>
      </c>
      <c r="EG44" s="48">
        <f ca="1">AN44/INDEX(er!D:D,MATCH(AA44,er!C:C,0),1)</f>
        <v>2102.7916964924839</v>
      </c>
    </row>
    <row r="45" spans="1:137" ht="12.5" x14ac:dyDescent="0.25">
      <c r="A45" s="46" t="s">
        <v>103</v>
      </c>
      <c r="B45" s="46" t="s">
        <v>254</v>
      </c>
      <c r="C45" s="46" t="s">
        <v>94</v>
      </c>
      <c r="D45" s="46" t="s">
        <v>98</v>
      </c>
      <c r="E45" s="156">
        <v>46081</v>
      </c>
      <c r="F45" s="46" t="s">
        <v>1123</v>
      </c>
      <c r="G45" s="46" t="s">
        <v>1124</v>
      </c>
      <c r="H45" s="46" t="s">
        <v>256</v>
      </c>
      <c r="I45" s="46" t="s">
        <v>1125</v>
      </c>
      <c r="J45" s="46" t="s">
        <v>1126</v>
      </c>
      <c r="K45" s="46" t="s">
        <v>559</v>
      </c>
      <c r="L45" s="46" t="s">
        <v>686</v>
      </c>
      <c r="M45" s="2" t="s">
        <v>563</v>
      </c>
      <c r="N45" s="46" t="s">
        <v>830</v>
      </c>
      <c r="O45" s="46" t="s">
        <v>831</v>
      </c>
      <c r="P45" s="46" t="s">
        <v>93</v>
      </c>
      <c r="Q45" s="46" t="s">
        <v>96</v>
      </c>
      <c r="R45" s="46" t="s">
        <v>104</v>
      </c>
      <c r="S45" s="46" t="s">
        <v>107</v>
      </c>
      <c r="T45" s="46" t="s">
        <v>107</v>
      </c>
      <c r="U45" s="46" t="s">
        <v>436</v>
      </c>
      <c r="V45" s="46" t="s">
        <v>105</v>
      </c>
      <c r="W45" s="46" t="s">
        <v>439</v>
      </c>
      <c r="X45" s="46" t="s">
        <v>687</v>
      </c>
      <c r="Y45" s="46" t="s">
        <v>688</v>
      </c>
      <c r="Z45" s="46" t="s">
        <v>688</v>
      </c>
      <c r="AA45" s="46" t="s">
        <v>111</v>
      </c>
      <c r="AB45" s="12" t="s">
        <v>111</v>
      </c>
      <c r="AC45" s="12">
        <v>1651074.28</v>
      </c>
      <c r="AD45" s="12">
        <v>1651074.28</v>
      </c>
      <c r="AE45" s="12">
        <v>1</v>
      </c>
      <c r="AF45" s="12">
        <v>1</v>
      </c>
      <c r="AG45" s="12">
        <v>1</v>
      </c>
      <c r="AH45" s="12">
        <v>0.78</v>
      </c>
      <c r="AI45" s="12">
        <v>0.78</v>
      </c>
      <c r="AJ45" s="12">
        <v>0</v>
      </c>
      <c r="AK45" s="12"/>
      <c r="AL45" s="12">
        <v>1651074.28</v>
      </c>
      <c r="AM45" s="12">
        <v>1651074.28</v>
      </c>
      <c r="AN45" s="12">
        <v>1651074.28</v>
      </c>
      <c r="AO45" s="12">
        <v>1287837.9384000001</v>
      </c>
      <c r="AP45" s="12">
        <v>998033.19</v>
      </c>
      <c r="AQ45" s="12"/>
      <c r="AR45" s="12">
        <v>1651074.28</v>
      </c>
      <c r="AS45" s="12">
        <v>1181.8713528990695</v>
      </c>
      <c r="AT45" s="12">
        <v>921.85965526127427</v>
      </c>
      <c r="AU45" s="12">
        <v>363236.34159999999</v>
      </c>
      <c r="AV45" s="12">
        <v>363236.34159999999</v>
      </c>
      <c r="AW45" s="12">
        <v>260.01169763779524</v>
      </c>
      <c r="AX45" s="12">
        <v>22</v>
      </c>
      <c r="AY45" s="2" t="s">
        <v>2011</v>
      </c>
      <c r="AZ45" s="2" t="s">
        <v>101</v>
      </c>
      <c r="BA45" s="46"/>
      <c r="BB45" s="2" t="s">
        <v>2180</v>
      </c>
      <c r="BC45" s="2" t="s">
        <v>102</v>
      </c>
      <c r="BD45" s="46"/>
      <c r="BE45" s="46"/>
      <c r="BF45" s="12"/>
      <c r="BG45" s="12">
        <v>1</v>
      </c>
      <c r="BH45" s="12" t="s">
        <v>1127</v>
      </c>
      <c r="BI45" s="46" t="s">
        <v>830</v>
      </c>
      <c r="BJ45" s="46" t="s">
        <v>834</v>
      </c>
      <c r="BK45" s="46" t="s">
        <v>708</v>
      </c>
      <c r="BL45" s="46" t="s">
        <v>708</v>
      </c>
      <c r="BM45" s="46" t="s">
        <v>708</v>
      </c>
      <c r="BN45" s="46" t="s">
        <v>735</v>
      </c>
      <c r="BO45" s="46" t="s">
        <v>710</v>
      </c>
      <c r="BP45" s="46" t="s">
        <v>436</v>
      </c>
      <c r="BQ45" s="157">
        <v>46023</v>
      </c>
      <c r="BR45" s="156">
        <v>46203</v>
      </c>
      <c r="BS45" s="46" t="s">
        <v>689</v>
      </c>
      <c r="BT45" s="46"/>
      <c r="BU45" s="12">
        <v>1</v>
      </c>
      <c r="BV45" s="158" t="s">
        <v>1128</v>
      </c>
      <c r="BW45" s="12" t="s">
        <v>1129</v>
      </c>
      <c r="BX45" s="12">
        <v>0</v>
      </c>
      <c r="BY45" s="12">
        <v>0</v>
      </c>
      <c r="BZ45" s="12">
        <v>0</v>
      </c>
      <c r="CA45" s="12">
        <v>0</v>
      </c>
      <c r="CB45" s="12">
        <v>4612388.9502762435</v>
      </c>
      <c r="CC45" s="12">
        <v>4612388.9502760004</v>
      </c>
      <c r="CD45" s="12">
        <v>3597663.3812150001</v>
      </c>
      <c r="CE45" s="12">
        <v>1287837.9384000001</v>
      </c>
      <c r="CF45" s="12">
        <v>1</v>
      </c>
      <c r="CG45" s="12">
        <v>7.158196134574087E-4</v>
      </c>
      <c r="CH45" s="12">
        <v>7.158196134574087E-4</v>
      </c>
      <c r="CI45" s="12" t="b">
        <v>0</v>
      </c>
      <c r="CJ45" s="12" t="b">
        <v>0</v>
      </c>
      <c r="CK45" s="12" t="s">
        <v>690</v>
      </c>
      <c r="CL45" s="2" t="s">
        <v>107</v>
      </c>
      <c r="CM45" s="2" t="s">
        <v>726</v>
      </c>
      <c r="CN45" s="12">
        <v>1181.8713528990695</v>
      </c>
      <c r="CO45" s="12">
        <v>921.85965526127416</v>
      </c>
      <c r="CP45" s="12" t="s">
        <v>107</v>
      </c>
      <c r="CQ45" s="161"/>
      <c r="CR45" s="46" t="s">
        <v>835</v>
      </c>
      <c r="CS45" s="46" t="s">
        <v>834</v>
      </c>
      <c r="CT45" s="2">
        <v>33547992429</v>
      </c>
      <c r="CU45" s="2" t="s">
        <v>691</v>
      </c>
      <c r="CV45" s="49">
        <v>46087.728472222225</v>
      </c>
      <c r="CW45" s="49">
        <v>46085.873611111114</v>
      </c>
      <c r="CX45" s="2" t="b">
        <v>1</v>
      </c>
      <c r="CY45" s="2" t="b">
        <v>1</v>
      </c>
      <c r="CZ45" s="160">
        <v>46054</v>
      </c>
      <c r="DA45" s="12" t="s">
        <v>693</v>
      </c>
      <c r="DB45" s="12"/>
      <c r="DC45" s="12"/>
      <c r="DD45" s="12"/>
      <c r="DE45" s="12"/>
      <c r="DF45" s="12"/>
      <c r="DG45" s="12"/>
      <c r="DH45" s="12"/>
      <c r="DI45" s="46"/>
      <c r="DJ45" s="48" t="s">
        <v>105</v>
      </c>
      <c r="DK45" s="48" t="s">
        <v>111</v>
      </c>
      <c r="DL45" s="48">
        <v>1651074.27</v>
      </c>
      <c r="DM45" s="13" t="s">
        <v>99</v>
      </c>
      <c r="DN45" s="13" t="s">
        <v>99</v>
      </c>
      <c r="DO45" s="12">
        <v>1.0000000009313226E-2</v>
      </c>
      <c r="DP45" s="12" t="s">
        <v>254</v>
      </c>
      <c r="DQ45" s="12" t="s">
        <v>111</v>
      </c>
      <c r="DR45" s="12">
        <v>1651074.28</v>
      </c>
      <c r="DS45" s="12" t="s">
        <v>99</v>
      </c>
      <c r="DT45" s="12">
        <v>0</v>
      </c>
      <c r="DU45" s="12"/>
      <c r="DV45" s="12"/>
      <c r="DW45" s="12" t="s">
        <v>16</v>
      </c>
      <c r="DX45" s="12"/>
      <c r="DY45" s="12" t="s">
        <v>111</v>
      </c>
      <c r="DZ45" s="12">
        <v>998033.13</v>
      </c>
      <c r="EA45" s="12" t="s">
        <v>99</v>
      </c>
      <c r="EB45" s="12">
        <v>289804.8084000001</v>
      </c>
      <c r="EC45" s="12"/>
      <c r="ED45" s="12" t="str">
        <f>INDEX('con 1'!CI:CI,MATCH(B45,'con 1'!A:A,0),1)</f>
        <v>OK</v>
      </c>
      <c r="EE45" s="12" t="s">
        <v>1946</v>
      </c>
      <c r="EF45" s="12" t="s">
        <v>1947</v>
      </c>
      <c r="EG45" s="48">
        <f ca="1">AN45/INDEX(er!D:D,MATCH(AA45,er!C:C,0),1)</f>
        <v>1181.8713528990695</v>
      </c>
    </row>
    <row r="46" spans="1:137" ht="12.5" x14ac:dyDescent="0.25">
      <c r="A46" s="46" t="s">
        <v>103</v>
      </c>
      <c r="B46" s="46" t="s">
        <v>258</v>
      </c>
      <c r="C46" s="46" t="s">
        <v>94</v>
      </c>
      <c r="D46" s="46" t="s">
        <v>98</v>
      </c>
      <c r="E46" s="156">
        <v>46081</v>
      </c>
      <c r="F46" s="46" t="s">
        <v>1130</v>
      </c>
      <c r="G46" s="46" t="s">
        <v>1131</v>
      </c>
      <c r="H46" s="46" t="s">
        <v>260</v>
      </c>
      <c r="I46" s="46" t="s">
        <v>1132</v>
      </c>
      <c r="J46" s="46" t="s">
        <v>1133</v>
      </c>
      <c r="K46" s="46" t="s">
        <v>559</v>
      </c>
      <c r="L46" s="46" t="s">
        <v>686</v>
      </c>
      <c r="M46" s="2" t="s">
        <v>563</v>
      </c>
      <c r="N46" s="46" t="s">
        <v>997</v>
      </c>
      <c r="O46" s="46" t="s">
        <v>998</v>
      </c>
      <c r="P46" s="46" t="s">
        <v>93</v>
      </c>
      <c r="Q46" s="46" t="s">
        <v>96</v>
      </c>
      <c r="R46" s="46" t="s">
        <v>104</v>
      </c>
      <c r="S46" s="46" t="s">
        <v>107</v>
      </c>
      <c r="T46" s="46" t="s">
        <v>107</v>
      </c>
      <c r="U46" s="46" t="s">
        <v>436</v>
      </c>
      <c r="V46" s="46" t="s">
        <v>105</v>
      </c>
      <c r="W46" s="46" t="s">
        <v>439</v>
      </c>
      <c r="X46" s="46" t="s">
        <v>687</v>
      </c>
      <c r="Y46" s="46" t="s">
        <v>688</v>
      </c>
      <c r="Z46" s="46" t="s">
        <v>688</v>
      </c>
      <c r="AA46" s="46" t="s">
        <v>111</v>
      </c>
      <c r="AB46" s="12" t="s">
        <v>111</v>
      </c>
      <c r="AC46" s="12">
        <v>7514153.1299999999</v>
      </c>
      <c r="AD46" s="12">
        <v>7514153.1299999999</v>
      </c>
      <c r="AE46" s="12">
        <v>1</v>
      </c>
      <c r="AF46" s="12">
        <v>1</v>
      </c>
      <c r="AG46" s="12">
        <v>1</v>
      </c>
      <c r="AH46" s="12">
        <v>0.78</v>
      </c>
      <c r="AI46" s="12">
        <v>0.78</v>
      </c>
      <c r="AJ46" s="12">
        <v>0</v>
      </c>
      <c r="AK46" s="12"/>
      <c r="AL46" s="12">
        <v>7514153.1299999999</v>
      </c>
      <c r="AM46" s="12">
        <v>7514153.1299999999</v>
      </c>
      <c r="AN46" s="12">
        <v>7514153.1299999999</v>
      </c>
      <c r="AO46" s="12">
        <v>5861039.4413999999</v>
      </c>
      <c r="AP46" s="12">
        <v>4542118.01</v>
      </c>
      <c r="AQ46" s="12"/>
      <c r="AR46" s="12">
        <v>7514153.1299999999</v>
      </c>
      <c r="AS46" s="12">
        <v>5378.7781889763783</v>
      </c>
      <c r="AT46" s="12">
        <v>4195.4469874015749</v>
      </c>
      <c r="AU46" s="12">
        <v>1653113.6886</v>
      </c>
      <c r="AV46" s="12">
        <v>1653113.6886</v>
      </c>
      <c r="AW46" s="12">
        <v>1183.3312015748031</v>
      </c>
      <c r="AX46" s="12">
        <v>22</v>
      </c>
      <c r="AY46" s="2" t="s">
        <v>261</v>
      </c>
      <c r="AZ46" s="2" t="s">
        <v>101</v>
      </c>
      <c r="BA46" s="46"/>
      <c r="BB46" s="2" t="s">
        <v>2176</v>
      </c>
      <c r="BC46" s="2" t="s">
        <v>102</v>
      </c>
      <c r="BD46" s="46"/>
      <c r="BE46" s="46"/>
      <c r="BF46" s="12"/>
      <c r="BG46" s="12">
        <v>1</v>
      </c>
      <c r="BH46" s="12" t="s">
        <v>1134</v>
      </c>
      <c r="BI46" s="46" t="s">
        <v>997</v>
      </c>
      <c r="BJ46" s="46" t="s">
        <v>1000</v>
      </c>
      <c r="BK46" s="46" t="s">
        <v>1001</v>
      </c>
      <c r="BL46" s="46" t="s">
        <v>697</v>
      </c>
      <c r="BM46" s="46" t="s">
        <v>697</v>
      </c>
      <c r="BN46" s="46" t="s">
        <v>735</v>
      </c>
      <c r="BO46" s="46" t="s">
        <v>710</v>
      </c>
      <c r="BP46" s="46" t="s">
        <v>436</v>
      </c>
      <c r="BQ46" s="157">
        <v>46038</v>
      </c>
      <c r="BR46" s="156">
        <v>46081</v>
      </c>
      <c r="BS46" s="46" t="s">
        <v>692</v>
      </c>
      <c r="BT46" s="46"/>
      <c r="BU46" s="12">
        <v>1</v>
      </c>
      <c r="BV46" s="158" t="s">
        <v>1135</v>
      </c>
      <c r="BW46" s="12" t="s">
        <v>1136</v>
      </c>
      <c r="BX46" s="12">
        <v>0</v>
      </c>
      <c r="BY46" s="12">
        <v>0</v>
      </c>
      <c r="BZ46" s="12">
        <v>0</v>
      </c>
      <c r="CA46" s="12">
        <v>0</v>
      </c>
      <c r="CB46" s="12">
        <v>27809091.545454547</v>
      </c>
      <c r="CC46" s="12">
        <v>27809091.545455001</v>
      </c>
      <c r="CD46" s="12">
        <v>21691091.405455001</v>
      </c>
      <c r="CE46" s="12">
        <v>5861039.4413999999</v>
      </c>
      <c r="CF46" s="12">
        <v>1</v>
      </c>
      <c r="CG46" s="12">
        <v>7.158196134574087E-4</v>
      </c>
      <c r="CH46" s="12">
        <v>7.158196134574087E-4</v>
      </c>
      <c r="CI46" s="12" t="b">
        <v>0</v>
      </c>
      <c r="CJ46" s="12" t="b">
        <v>0</v>
      </c>
      <c r="CK46" s="12" t="s">
        <v>690</v>
      </c>
      <c r="CL46" s="2" t="s">
        <v>107</v>
      </c>
      <c r="CM46" s="2" t="s">
        <v>1137</v>
      </c>
      <c r="CN46" s="12">
        <v>5378.7781889763783</v>
      </c>
      <c r="CO46" s="12">
        <v>4195.4469874015749</v>
      </c>
      <c r="CP46" s="12" t="s">
        <v>107</v>
      </c>
      <c r="CQ46" s="159" t="s">
        <v>821</v>
      </c>
      <c r="CR46" s="46" t="s">
        <v>1005</v>
      </c>
      <c r="CS46" s="46" t="s">
        <v>1000</v>
      </c>
      <c r="CT46" s="2">
        <v>30639453738</v>
      </c>
      <c r="CU46" s="2" t="s">
        <v>694</v>
      </c>
      <c r="CV46" s="49">
        <v>46087.728472222225</v>
      </c>
      <c r="CW46" s="49">
        <v>46087.57708333333</v>
      </c>
      <c r="CX46" s="2" t="b">
        <v>1</v>
      </c>
      <c r="CY46" s="2" t="b">
        <v>1</v>
      </c>
      <c r="CZ46" s="160">
        <v>46054</v>
      </c>
      <c r="DA46" s="12" t="s">
        <v>693</v>
      </c>
      <c r="DB46" s="12"/>
      <c r="DC46" s="12"/>
      <c r="DD46" s="12"/>
      <c r="DE46" s="12"/>
      <c r="DF46" s="12"/>
      <c r="DG46" s="12"/>
      <c r="DH46" s="12"/>
      <c r="DI46" s="46"/>
      <c r="DJ46" s="48" t="s">
        <v>105</v>
      </c>
      <c r="DK46" s="48" t="s">
        <v>111</v>
      </c>
      <c r="DL46" s="48">
        <v>7514153.1299999999</v>
      </c>
      <c r="DM46" s="13" t="s">
        <v>99</v>
      </c>
      <c r="DN46" s="13" t="s">
        <v>99</v>
      </c>
      <c r="DO46" s="12">
        <v>0</v>
      </c>
      <c r="DP46" s="12" t="s">
        <v>258</v>
      </c>
      <c r="DQ46" s="12" t="s">
        <v>111</v>
      </c>
      <c r="DR46" s="12">
        <v>7514153.1299999999</v>
      </c>
      <c r="DS46" s="12" t="s">
        <v>99</v>
      </c>
      <c r="DT46" s="12">
        <v>0</v>
      </c>
      <c r="DU46" s="12"/>
      <c r="DV46" s="12"/>
      <c r="DW46" s="12" t="s">
        <v>16</v>
      </c>
      <c r="DX46" s="12"/>
      <c r="DY46" s="12" t="s">
        <v>111</v>
      </c>
      <c r="DZ46" s="12">
        <v>4542117.71</v>
      </c>
      <c r="EA46" s="12" t="s">
        <v>99</v>
      </c>
      <c r="EB46" s="12">
        <v>1318921.7313999999</v>
      </c>
      <c r="EC46" s="12"/>
      <c r="ED46" s="12" t="str">
        <f>INDEX('con 1'!CI:CI,MATCH(B46,'con 1'!A:A,0),1)</f>
        <v>OK</v>
      </c>
      <c r="EE46" s="12" t="s">
        <v>101</v>
      </c>
      <c r="EF46" s="12" t="s">
        <v>1947</v>
      </c>
      <c r="EG46" s="48">
        <f ca="1">AN46/INDEX(er!D:D,MATCH(AA46,er!C:C,0),1)</f>
        <v>5378.7781889763783</v>
      </c>
    </row>
    <row r="47" spans="1:137" ht="12.5" x14ac:dyDescent="0.25">
      <c r="A47" s="46" t="s">
        <v>103</v>
      </c>
      <c r="B47" s="46" t="s">
        <v>262</v>
      </c>
      <c r="C47" s="46" t="s">
        <v>94</v>
      </c>
      <c r="D47" s="46" t="s">
        <v>98</v>
      </c>
      <c r="E47" s="156">
        <v>46081</v>
      </c>
      <c r="F47" s="46" t="s">
        <v>1138</v>
      </c>
      <c r="G47" s="46" t="s">
        <v>1139</v>
      </c>
      <c r="H47" s="46" t="s">
        <v>264</v>
      </c>
      <c r="I47" s="46" t="s">
        <v>1140</v>
      </c>
      <c r="J47" s="46" t="s">
        <v>1141</v>
      </c>
      <c r="K47" s="46" t="s">
        <v>559</v>
      </c>
      <c r="L47" s="46" t="s">
        <v>686</v>
      </c>
      <c r="M47" s="2" t="s">
        <v>563</v>
      </c>
      <c r="N47" s="46" t="s">
        <v>1142</v>
      </c>
      <c r="O47" s="46" t="s">
        <v>1143</v>
      </c>
      <c r="P47" s="46" t="s">
        <v>93</v>
      </c>
      <c r="Q47" s="46" t="s">
        <v>96</v>
      </c>
      <c r="R47" s="46" t="s">
        <v>104</v>
      </c>
      <c r="S47" s="46" t="s">
        <v>107</v>
      </c>
      <c r="T47" s="46" t="s">
        <v>107</v>
      </c>
      <c r="U47" s="46" t="s">
        <v>436</v>
      </c>
      <c r="V47" s="46" t="s">
        <v>105</v>
      </c>
      <c r="W47" s="46" t="s">
        <v>439</v>
      </c>
      <c r="X47" s="46" t="s">
        <v>687</v>
      </c>
      <c r="Y47" s="46" t="s">
        <v>688</v>
      </c>
      <c r="Z47" s="46" t="s">
        <v>688</v>
      </c>
      <c r="AA47" s="46" t="s">
        <v>111</v>
      </c>
      <c r="AB47" s="12" t="s">
        <v>111</v>
      </c>
      <c r="AC47" s="12">
        <v>7991501.8099999996</v>
      </c>
      <c r="AD47" s="12">
        <v>7991501.8099999996</v>
      </c>
      <c r="AE47" s="12">
        <v>1</v>
      </c>
      <c r="AF47" s="12">
        <v>1</v>
      </c>
      <c r="AG47" s="12">
        <v>1</v>
      </c>
      <c r="AH47" s="12">
        <v>0.78</v>
      </c>
      <c r="AI47" s="12">
        <v>0.78</v>
      </c>
      <c r="AJ47" s="12">
        <v>0</v>
      </c>
      <c r="AK47" s="12"/>
      <c r="AL47" s="12">
        <v>7991501.8099999996</v>
      </c>
      <c r="AM47" s="12">
        <v>7991501.8099999996</v>
      </c>
      <c r="AN47" s="12">
        <v>7991501.8099999996</v>
      </c>
      <c r="AO47" s="12">
        <v>6233371.4117999999</v>
      </c>
      <c r="AP47" s="12">
        <v>4830663.38</v>
      </c>
      <c r="AQ47" s="12"/>
      <c r="AR47" s="12">
        <v>7991501.8099999996</v>
      </c>
      <c r="AS47" s="12">
        <v>5720.4737365783822</v>
      </c>
      <c r="AT47" s="12">
        <v>4461.969514531138</v>
      </c>
      <c r="AU47" s="12">
        <v>1758130.3981999999</v>
      </c>
      <c r="AV47" s="12">
        <v>1758130.3981999999</v>
      </c>
      <c r="AW47" s="12">
        <v>1258.504222047244</v>
      </c>
      <c r="AX47" s="12">
        <v>22</v>
      </c>
      <c r="AY47" s="2" t="s">
        <v>2017</v>
      </c>
      <c r="AZ47" s="2" t="s">
        <v>101</v>
      </c>
      <c r="BA47" s="46"/>
      <c r="BB47" s="2" t="s">
        <v>2182</v>
      </c>
      <c r="BC47" s="2" t="s">
        <v>102</v>
      </c>
      <c r="BD47" s="46"/>
      <c r="BE47" s="46"/>
      <c r="BF47" s="12"/>
      <c r="BG47" s="12">
        <v>1</v>
      </c>
      <c r="BH47" s="12" t="s">
        <v>1144</v>
      </c>
      <c r="BI47" s="46" t="s">
        <v>1142</v>
      </c>
      <c r="BJ47" s="46" t="s">
        <v>1145</v>
      </c>
      <c r="BK47" s="46" t="s">
        <v>865</v>
      </c>
      <c r="BL47" s="46" t="s">
        <v>865</v>
      </c>
      <c r="BM47" s="46" t="s">
        <v>865</v>
      </c>
      <c r="BN47" s="46" t="s">
        <v>735</v>
      </c>
      <c r="BO47" s="46" t="s">
        <v>710</v>
      </c>
      <c r="BP47" s="46" t="s">
        <v>436</v>
      </c>
      <c r="BQ47" s="157">
        <v>46023</v>
      </c>
      <c r="BR47" s="156">
        <v>46112</v>
      </c>
      <c r="BS47" s="46" t="s">
        <v>689</v>
      </c>
      <c r="BT47" s="46"/>
      <c r="BU47" s="12">
        <v>1</v>
      </c>
      <c r="BV47" s="158" t="s">
        <v>1146</v>
      </c>
      <c r="BW47" s="12" t="s">
        <v>1147</v>
      </c>
      <c r="BX47" s="12">
        <v>0</v>
      </c>
      <c r="BY47" s="12">
        <v>0</v>
      </c>
      <c r="BZ47" s="12">
        <v>0</v>
      </c>
      <c r="CA47" s="12">
        <v>0</v>
      </c>
      <c r="CB47" s="12">
        <v>6650000</v>
      </c>
      <c r="CC47" s="12">
        <v>6650000</v>
      </c>
      <c r="CD47" s="12">
        <v>5187000</v>
      </c>
      <c r="CE47" s="12">
        <v>6233371.4117999999</v>
      </c>
      <c r="CF47" s="12">
        <v>1</v>
      </c>
      <c r="CG47" s="12">
        <v>7.158196134574087E-4</v>
      </c>
      <c r="CH47" s="12">
        <v>7.158196134574087E-4</v>
      </c>
      <c r="CI47" s="12" t="b">
        <v>0</v>
      </c>
      <c r="CJ47" s="12" t="b">
        <v>0</v>
      </c>
      <c r="CK47" s="12" t="s">
        <v>690</v>
      </c>
      <c r="CL47" s="2" t="s">
        <v>107</v>
      </c>
      <c r="CM47" s="2" t="s">
        <v>1148</v>
      </c>
      <c r="CN47" s="12">
        <v>5720.4737365783822</v>
      </c>
      <c r="CO47" s="12">
        <v>4461.969514531138</v>
      </c>
      <c r="CP47" s="12" t="s">
        <v>107</v>
      </c>
      <c r="CQ47" s="159" t="s">
        <v>1143</v>
      </c>
      <c r="CR47" s="46" t="s">
        <v>1149</v>
      </c>
      <c r="CS47" s="46" t="s">
        <v>1145</v>
      </c>
      <c r="CT47" s="2">
        <v>30716209551</v>
      </c>
      <c r="CU47" s="2" t="s">
        <v>691</v>
      </c>
      <c r="CV47" s="49">
        <v>46087.728472222225</v>
      </c>
      <c r="CW47" s="49">
        <v>46085.873611111114</v>
      </c>
      <c r="CX47" s="2" t="b">
        <v>1</v>
      </c>
      <c r="CY47" s="2" t="b">
        <v>1</v>
      </c>
      <c r="CZ47" s="160">
        <v>46054</v>
      </c>
      <c r="DA47" s="12" t="s">
        <v>693</v>
      </c>
      <c r="DB47" s="12"/>
      <c r="DC47" s="12"/>
      <c r="DD47" s="12"/>
      <c r="DE47" s="12"/>
      <c r="DF47" s="12"/>
      <c r="DG47" s="12"/>
      <c r="DH47" s="12"/>
      <c r="DI47" s="46"/>
      <c r="DJ47" s="48" t="s">
        <v>105</v>
      </c>
      <c r="DK47" s="48" t="s">
        <v>111</v>
      </c>
      <c r="DL47" s="48">
        <v>7991501.8200000003</v>
      </c>
      <c r="DM47" s="13" t="s">
        <v>99</v>
      </c>
      <c r="DN47" s="13" t="s">
        <v>99</v>
      </c>
      <c r="DO47" s="12">
        <v>-1.0000000707805157E-2</v>
      </c>
      <c r="DP47" s="12" t="s">
        <v>262</v>
      </c>
      <c r="DQ47" s="12" t="s">
        <v>111</v>
      </c>
      <c r="DR47" s="12">
        <v>7991501.8099999996</v>
      </c>
      <c r="DS47" s="12" t="s">
        <v>99</v>
      </c>
      <c r="DT47" s="12">
        <v>0</v>
      </c>
      <c r="DU47" s="12"/>
      <c r="DV47" s="12"/>
      <c r="DW47" s="12" t="s">
        <v>16</v>
      </c>
      <c r="DX47" s="12"/>
      <c r="DY47" s="12" t="s">
        <v>111</v>
      </c>
      <c r="DZ47" s="12">
        <v>4830663.0599999996</v>
      </c>
      <c r="EA47" s="12" t="s">
        <v>99</v>
      </c>
      <c r="EB47" s="12">
        <v>1402708.3518000003</v>
      </c>
      <c r="EC47" s="12"/>
      <c r="ED47" s="12" t="str">
        <f>INDEX('con 1'!CI:CI,MATCH(B47,'con 1'!A:A,0),1)</f>
        <v>OK</v>
      </c>
      <c r="EE47" s="12" t="s">
        <v>1946</v>
      </c>
      <c r="EF47" s="12" t="s">
        <v>1947</v>
      </c>
      <c r="EG47" s="48">
        <f ca="1">AN47/INDEX(er!D:D,MATCH(AA47,er!C:C,0),1)</f>
        <v>5720.4737365783822</v>
      </c>
    </row>
    <row r="48" spans="1:137" ht="12.5" x14ac:dyDescent="0.25">
      <c r="A48" s="46" t="s">
        <v>103</v>
      </c>
      <c r="B48" s="46" t="s">
        <v>266</v>
      </c>
      <c r="C48" s="46" t="s">
        <v>94</v>
      </c>
      <c r="D48" s="46" t="s">
        <v>98</v>
      </c>
      <c r="E48" s="156">
        <v>46081</v>
      </c>
      <c r="F48" s="46" t="s">
        <v>1150</v>
      </c>
      <c r="G48" s="46" t="s">
        <v>1151</v>
      </c>
      <c r="H48" s="46" t="s">
        <v>268</v>
      </c>
      <c r="I48" s="46" t="s">
        <v>1152</v>
      </c>
      <c r="J48" s="46" t="s">
        <v>1153</v>
      </c>
      <c r="K48" s="46" t="s">
        <v>559</v>
      </c>
      <c r="L48" s="46" t="s">
        <v>686</v>
      </c>
      <c r="M48" s="2" t="s">
        <v>563</v>
      </c>
      <c r="N48" s="46" t="s">
        <v>741</v>
      </c>
      <c r="O48" s="46" t="s">
        <v>741</v>
      </c>
      <c r="P48" s="46" t="s">
        <v>93</v>
      </c>
      <c r="Q48" s="46" t="s">
        <v>100</v>
      </c>
      <c r="R48" s="46" t="s">
        <v>104</v>
      </c>
      <c r="S48" s="46" t="s">
        <v>107</v>
      </c>
      <c r="T48" s="46" t="s">
        <v>107</v>
      </c>
      <c r="U48" s="46" t="s">
        <v>436</v>
      </c>
      <c r="V48" s="46" t="s">
        <v>105</v>
      </c>
      <c r="W48" s="46" t="s">
        <v>439</v>
      </c>
      <c r="X48" s="46" t="s">
        <v>687</v>
      </c>
      <c r="Y48" s="46" t="s">
        <v>688</v>
      </c>
      <c r="Z48" s="46" t="s">
        <v>688</v>
      </c>
      <c r="AA48" s="46" t="s">
        <v>111</v>
      </c>
      <c r="AB48" s="12" t="s">
        <v>111</v>
      </c>
      <c r="AC48" s="12">
        <v>8088113.9100000001</v>
      </c>
      <c r="AD48" s="12">
        <v>8088113.9100000001</v>
      </c>
      <c r="AE48" s="12">
        <v>1</v>
      </c>
      <c r="AF48" s="12">
        <v>1</v>
      </c>
      <c r="AG48" s="12">
        <v>1</v>
      </c>
      <c r="AH48" s="12">
        <v>0.85</v>
      </c>
      <c r="AI48" s="12">
        <v>0.85</v>
      </c>
      <c r="AJ48" s="12">
        <v>0</v>
      </c>
      <c r="AK48" s="12"/>
      <c r="AL48" s="12">
        <v>8088113.9100000001</v>
      </c>
      <c r="AM48" s="12">
        <v>8088113.9100000001</v>
      </c>
      <c r="AN48" s="12">
        <v>8088113.9100000001</v>
      </c>
      <c r="AO48" s="12">
        <v>6874896.8234999999</v>
      </c>
      <c r="AP48" s="12">
        <v>5338114.74</v>
      </c>
      <c r="AQ48" s="12"/>
      <c r="AR48" s="12">
        <v>8088113.9100000001</v>
      </c>
      <c r="AS48" s="12">
        <v>5789.6305726556911</v>
      </c>
      <c r="AT48" s="12">
        <v>4921.1859867573376</v>
      </c>
      <c r="AU48" s="12">
        <v>1213217.0865</v>
      </c>
      <c r="AV48" s="12">
        <v>1213217.0865</v>
      </c>
      <c r="AW48" s="12">
        <v>868.44458589835358</v>
      </c>
      <c r="AX48" s="12">
        <v>15</v>
      </c>
      <c r="AY48" s="2" t="s">
        <v>2075</v>
      </c>
      <c r="AZ48" s="2" t="s">
        <v>101</v>
      </c>
      <c r="BA48" s="46"/>
      <c r="BB48" s="2" t="s">
        <v>2204</v>
      </c>
      <c r="BC48" s="2" t="s">
        <v>102</v>
      </c>
      <c r="BD48" s="46"/>
      <c r="BE48" s="46"/>
      <c r="BF48" s="12"/>
      <c r="BG48" s="12">
        <v>1</v>
      </c>
      <c r="BH48" s="12" t="s">
        <v>1154</v>
      </c>
      <c r="BI48" s="46" t="s">
        <v>741</v>
      </c>
      <c r="BJ48" s="46" t="s">
        <v>742</v>
      </c>
      <c r="BK48" s="46" t="s">
        <v>937</v>
      </c>
      <c r="BL48" s="46" t="s">
        <v>937</v>
      </c>
      <c r="BM48" s="46" t="s">
        <v>937</v>
      </c>
      <c r="BN48" s="46" t="s">
        <v>744</v>
      </c>
      <c r="BO48" s="46" t="s">
        <v>745</v>
      </c>
      <c r="BP48" s="46" t="s">
        <v>436</v>
      </c>
      <c r="BQ48" s="157">
        <v>46044</v>
      </c>
      <c r="BR48" s="156">
        <v>46082</v>
      </c>
      <c r="BS48" s="46" t="s">
        <v>746</v>
      </c>
      <c r="BT48" s="46"/>
      <c r="BU48" s="12">
        <v>1</v>
      </c>
      <c r="BV48" s="158" t="s">
        <v>1155</v>
      </c>
      <c r="BW48" s="12" t="s">
        <v>1156</v>
      </c>
      <c r="BX48" s="12">
        <v>0</v>
      </c>
      <c r="BY48" s="12">
        <v>0</v>
      </c>
      <c r="BZ48" s="12">
        <v>0</v>
      </c>
      <c r="CA48" s="12">
        <v>0</v>
      </c>
      <c r="CB48" s="12">
        <v>8111556.923076923</v>
      </c>
      <c r="CC48" s="12">
        <v>8111556.9230770003</v>
      </c>
      <c r="CD48" s="12">
        <v>6894823.3846150003</v>
      </c>
      <c r="CE48" s="12">
        <v>6874896.8234999999</v>
      </c>
      <c r="CF48" s="12">
        <v>1</v>
      </c>
      <c r="CG48" s="12">
        <v>7.158196134574087E-4</v>
      </c>
      <c r="CH48" s="12">
        <v>7.158196134574087E-4</v>
      </c>
      <c r="CI48" s="12" t="b">
        <v>0</v>
      </c>
      <c r="CJ48" s="12" t="b">
        <v>0</v>
      </c>
      <c r="CK48" s="12" t="s">
        <v>690</v>
      </c>
      <c r="CL48" s="2" t="s">
        <v>107</v>
      </c>
      <c r="CM48" s="2" t="s">
        <v>1157</v>
      </c>
      <c r="CN48" s="12">
        <v>5789.6305726556911</v>
      </c>
      <c r="CO48" s="12">
        <v>4921.1859867573376</v>
      </c>
      <c r="CP48" s="12" t="s">
        <v>107</v>
      </c>
      <c r="CQ48" s="161" t="s">
        <v>741</v>
      </c>
      <c r="CR48" s="46" t="s">
        <v>747</v>
      </c>
      <c r="CS48" s="46" t="s">
        <v>742</v>
      </c>
      <c r="CT48" s="2">
        <v>30693739698</v>
      </c>
      <c r="CU48" s="2" t="s">
        <v>691</v>
      </c>
      <c r="CV48" s="49">
        <v>46087.728472222225</v>
      </c>
      <c r="CW48" s="49">
        <v>46085.873611111114</v>
      </c>
      <c r="CX48" s="2" t="b">
        <v>1</v>
      </c>
      <c r="CY48" s="2" t="b">
        <v>1</v>
      </c>
      <c r="CZ48" s="160">
        <v>46054</v>
      </c>
      <c r="DA48" s="12" t="s">
        <v>693</v>
      </c>
      <c r="DB48" s="12"/>
      <c r="DC48" s="12"/>
      <c r="DD48" s="12"/>
      <c r="DE48" s="12"/>
      <c r="DF48" s="12"/>
      <c r="DG48" s="12"/>
      <c r="DH48" s="12"/>
      <c r="DI48" s="46"/>
      <c r="DJ48" s="48"/>
      <c r="DK48" s="48"/>
      <c r="DL48" s="48"/>
      <c r="DM48" s="13" t="s">
        <v>16</v>
      </c>
      <c r="DN48" s="13" t="s">
        <v>16</v>
      </c>
      <c r="DO48" s="12"/>
      <c r="DP48" s="12" t="s">
        <v>266</v>
      </c>
      <c r="DQ48" s="12" t="s">
        <v>111</v>
      </c>
      <c r="DR48" s="12">
        <v>8088113.9100000001</v>
      </c>
      <c r="DS48" s="12" t="s">
        <v>99</v>
      </c>
      <c r="DT48" s="12">
        <v>0</v>
      </c>
      <c r="DU48" s="12"/>
      <c r="DV48" s="12"/>
      <c r="DW48" s="12" t="s">
        <v>16</v>
      </c>
      <c r="DX48" s="12"/>
      <c r="DY48" s="12" t="s">
        <v>111</v>
      </c>
      <c r="DZ48" s="12">
        <v>5338316.9400000004</v>
      </c>
      <c r="EA48" s="12" t="s">
        <v>99</v>
      </c>
      <c r="EB48" s="12">
        <v>1536579.8834999995</v>
      </c>
      <c r="EC48" s="12"/>
      <c r="ED48" s="12" t="str">
        <f>INDEX('con 1'!CI:CI,MATCH(B48,'con 1'!A:A,0),1)</f>
        <v>OK</v>
      </c>
      <c r="EE48" s="12" t="s">
        <v>1946</v>
      </c>
      <c r="EF48" s="12" t="s">
        <v>1947</v>
      </c>
      <c r="EG48" s="48">
        <f ca="1">AN48/INDEX(er!D:D,MATCH(AA48,er!C:C,0),1)</f>
        <v>5789.6305726556911</v>
      </c>
    </row>
    <row r="49" spans="1:137" ht="12.5" x14ac:dyDescent="0.25">
      <c r="A49" s="46" t="s">
        <v>103</v>
      </c>
      <c r="B49" s="46" t="s">
        <v>269</v>
      </c>
      <c r="C49" s="46" t="s">
        <v>94</v>
      </c>
      <c r="D49" s="46" t="s">
        <v>98</v>
      </c>
      <c r="E49" s="156">
        <v>46081</v>
      </c>
      <c r="F49" s="46" t="s">
        <v>1158</v>
      </c>
      <c r="G49" s="46" t="s">
        <v>1159</v>
      </c>
      <c r="H49" s="46" t="s">
        <v>271</v>
      </c>
      <c r="I49" s="46" t="s">
        <v>1160</v>
      </c>
      <c r="J49" s="46" t="s">
        <v>1161</v>
      </c>
      <c r="K49" s="46" t="s">
        <v>559</v>
      </c>
      <c r="L49" s="46" t="s">
        <v>686</v>
      </c>
      <c r="M49" s="2" t="s">
        <v>563</v>
      </c>
      <c r="N49" s="46" t="s">
        <v>741</v>
      </c>
      <c r="O49" s="46" t="s">
        <v>741</v>
      </c>
      <c r="P49" s="46" t="s">
        <v>93</v>
      </c>
      <c r="Q49" s="46" t="s">
        <v>100</v>
      </c>
      <c r="R49" s="46" t="s">
        <v>104</v>
      </c>
      <c r="S49" s="46" t="s">
        <v>107</v>
      </c>
      <c r="T49" s="46" t="s">
        <v>107</v>
      </c>
      <c r="U49" s="46" t="s">
        <v>436</v>
      </c>
      <c r="V49" s="46" t="s">
        <v>105</v>
      </c>
      <c r="W49" s="46" t="s">
        <v>439</v>
      </c>
      <c r="X49" s="46" t="s">
        <v>687</v>
      </c>
      <c r="Y49" s="46" t="s">
        <v>688</v>
      </c>
      <c r="Z49" s="46" t="s">
        <v>688</v>
      </c>
      <c r="AA49" s="46" t="s">
        <v>111</v>
      </c>
      <c r="AB49" s="12" t="s">
        <v>111</v>
      </c>
      <c r="AC49" s="12">
        <v>4701458.79</v>
      </c>
      <c r="AD49" s="12">
        <v>4701458.79</v>
      </c>
      <c r="AE49" s="12">
        <v>1</v>
      </c>
      <c r="AF49" s="12">
        <v>1</v>
      </c>
      <c r="AG49" s="12">
        <v>1</v>
      </c>
      <c r="AH49" s="12">
        <v>0.85</v>
      </c>
      <c r="AI49" s="12">
        <v>0.85</v>
      </c>
      <c r="AJ49" s="12">
        <v>0</v>
      </c>
      <c r="AK49" s="12"/>
      <c r="AL49" s="12">
        <v>4701458.79</v>
      </c>
      <c r="AM49" s="12">
        <v>4701458.79</v>
      </c>
      <c r="AN49" s="12">
        <v>4701458.79</v>
      </c>
      <c r="AO49" s="12">
        <v>3996239.9715</v>
      </c>
      <c r="AP49" s="12">
        <v>3102939.29</v>
      </c>
      <c r="AQ49" s="12"/>
      <c r="AR49" s="12">
        <v>4701458.79</v>
      </c>
      <c r="AS49" s="12">
        <v>3365.3964137437365</v>
      </c>
      <c r="AT49" s="12">
        <v>2860.5869516821763</v>
      </c>
      <c r="AU49" s="12">
        <v>705218.81850000005</v>
      </c>
      <c r="AV49" s="12">
        <v>705218.81850000005</v>
      </c>
      <c r="AW49" s="12">
        <v>504.80946206156051</v>
      </c>
      <c r="AX49" s="12">
        <v>15</v>
      </c>
      <c r="AY49" s="2" t="s">
        <v>2334</v>
      </c>
      <c r="AZ49" s="2" t="s">
        <v>101</v>
      </c>
      <c r="BA49" s="46"/>
      <c r="BB49" s="2" t="s">
        <v>2335</v>
      </c>
      <c r="BC49" s="2" t="s">
        <v>102</v>
      </c>
      <c r="BD49" s="46"/>
      <c r="BE49" s="46"/>
      <c r="BF49" s="12"/>
      <c r="BG49" s="12">
        <v>1</v>
      </c>
      <c r="BH49" s="12" t="s">
        <v>1162</v>
      </c>
      <c r="BI49" s="46" t="s">
        <v>741</v>
      </c>
      <c r="BJ49" s="46" t="s">
        <v>742</v>
      </c>
      <c r="BK49" s="46" t="s">
        <v>863</v>
      </c>
      <c r="BL49" s="46" t="s">
        <v>863</v>
      </c>
      <c r="BM49" s="46" t="s">
        <v>863</v>
      </c>
      <c r="BN49" s="46" t="s">
        <v>744</v>
      </c>
      <c r="BO49" s="46" t="s">
        <v>745</v>
      </c>
      <c r="BP49" s="46" t="s">
        <v>436</v>
      </c>
      <c r="BQ49" s="157">
        <v>46056</v>
      </c>
      <c r="BR49" s="156">
        <v>46110</v>
      </c>
      <c r="BS49" s="46" t="s">
        <v>746</v>
      </c>
      <c r="BT49" s="46"/>
      <c r="BU49" s="12">
        <v>1</v>
      </c>
      <c r="BV49" s="158" t="s">
        <v>1163</v>
      </c>
      <c r="BW49" s="12" t="s">
        <v>1164</v>
      </c>
      <c r="BX49" s="12">
        <v>0</v>
      </c>
      <c r="BY49" s="12">
        <v>0</v>
      </c>
      <c r="BZ49" s="12">
        <v>0</v>
      </c>
      <c r="CA49" s="12">
        <v>0</v>
      </c>
      <c r="CB49" s="12">
        <v>4727272.7272727275</v>
      </c>
      <c r="CC49" s="12">
        <v>4727272.7272730004</v>
      </c>
      <c r="CD49" s="12">
        <v>4018181.818182</v>
      </c>
      <c r="CE49" s="12">
        <v>3996239.9715</v>
      </c>
      <c r="CF49" s="12">
        <v>1</v>
      </c>
      <c r="CG49" s="12">
        <v>7.158196134574087E-4</v>
      </c>
      <c r="CH49" s="12">
        <v>7.158196134574087E-4</v>
      </c>
      <c r="CI49" s="12" t="b">
        <v>0</v>
      </c>
      <c r="CJ49" s="12" t="b">
        <v>0</v>
      </c>
      <c r="CK49" s="12" t="s">
        <v>690</v>
      </c>
      <c r="CL49" s="2" t="s">
        <v>107</v>
      </c>
      <c r="CM49" s="2" t="s">
        <v>1165</v>
      </c>
      <c r="CN49" s="12">
        <v>3365.3964137437365</v>
      </c>
      <c r="CO49" s="12">
        <v>2860.5869516821763</v>
      </c>
      <c r="CP49" s="12" t="s">
        <v>107</v>
      </c>
      <c r="CQ49" s="161" t="s">
        <v>741</v>
      </c>
      <c r="CR49" s="46" t="s">
        <v>747</v>
      </c>
      <c r="CS49" s="46" t="s">
        <v>742</v>
      </c>
      <c r="CT49" s="2">
        <v>30693739698</v>
      </c>
      <c r="CU49" s="2" t="s">
        <v>691</v>
      </c>
      <c r="CV49" s="49">
        <v>46087.728472222225</v>
      </c>
      <c r="CW49" s="49">
        <v>46085.873611111114</v>
      </c>
      <c r="CX49" s="2" t="b">
        <v>1</v>
      </c>
      <c r="CY49" s="2" t="b">
        <v>1</v>
      </c>
      <c r="CZ49" s="160">
        <v>46054</v>
      </c>
      <c r="DA49" s="12" t="s">
        <v>693</v>
      </c>
      <c r="DB49" s="12"/>
      <c r="DC49" s="12"/>
      <c r="DD49" s="12"/>
      <c r="DE49" s="12"/>
      <c r="DF49" s="12"/>
      <c r="DG49" s="12"/>
      <c r="DH49" s="12"/>
      <c r="DI49" s="46"/>
      <c r="DJ49" s="48"/>
      <c r="DK49" s="48"/>
      <c r="DL49" s="48"/>
      <c r="DM49" s="13" t="s">
        <v>16</v>
      </c>
      <c r="DN49" s="13" t="s">
        <v>16</v>
      </c>
      <c r="DO49" s="12"/>
      <c r="DP49" s="12" t="s">
        <v>269</v>
      </c>
      <c r="DQ49" s="12" t="s">
        <v>111</v>
      </c>
      <c r="DR49" s="12">
        <v>4701458.79</v>
      </c>
      <c r="DS49" s="12" t="s">
        <v>99</v>
      </c>
      <c r="DT49" s="12">
        <v>0</v>
      </c>
      <c r="DU49" s="12"/>
      <c r="DV49" s="12"/>
      <c r="DW49" s="12" t="s">
        <v>16</v>
      </c>
      <c r="DX49" s="12"/>
      <c r="DY49" s="12" t="s">
        <v>111</v>
      </c>
      <c r="DZ49" s="12">
        <v>3103056.83</v>
      </c>
      <c r="EA49" s="12" t="s">
        <v>99</v>
      </c>
      <c r="EB49" s="12">
        <v>893183.14149999991</v>
      </c>
      <c r="EC49" s="12"/>
      <c r="ED49" s="12" t="str">
        <f>INDEX('con 1'!CI:CI,MATCH(B49,'con 1'!A:A,0),1)</f>
        <v>OK</v>
      </c>
      <c r="EE49" s="12" t="s">
        <v>1946</v>
      </c>
      <c r="EF49" s="12" t="s">
        <v>1947</v>
      </c>
      <c r="EG49" s="48">
        <f ca="1">AN49/INDEX(er!D:D,MATCH(AA49,er!C:C,0),1)</f>
        <v>3365.3964137437365</v>
      </c>
    </row>
    <row r="50" spans="1:137" ht="12.5" x14ac:dyDescent="0.25">
      <c r="A50" s="46" t="s">
        <v>103</v>
      </c>
      <c r="B50" s="46" t="s">
        <v>272</v>
      </c>
      <c r="C50" s="46" t="s">
        <v>94</v>
      </c>
      <c r="D50" s="46" t="s">
        <v>98</v>
      </c>
      <c r="E50" s="156">
        <v>46081</v>
      </c>
      <c r="F50" s="46" t="s">
        <v>1166</v>
      </c>
      <c r="G50" s="46" t="s">
        <v>1167</v>
      </c>
      <c r="H50" s="46" t="s">
        <v>274</v>
      </c>
      <c r="I50" s="46" t="s">
        <v>1168</v>
      </c>
      <c r="J50" s="46" t="s">
        <v>1169</v>
      </c>
      <c r="K50" s="46" t="s">
        <v>559</v>
      </c>
      <c r="L50" s="46" t="s">
        <v>686</v>
      </c>
      <c r="M50" s="2" t="s">
        <v>563</v>
      </c>
      <c r="N50" s="46" t="s">
        <v>741</v>
      </c>
      <c r="O50" s="46" t="s">
        <v>741</v>
      </c>
      <c r="P50" s="46" t="s">
        <v>93</v>
      </c>
      <c r="Q50" s="46" t="s">
        <v>100</v>
      </c>
      <c r="R50" s="46" t="s">
        <v>104</v>
      </c>
      <c r="S50" s="46" t="s">
        <v>107</v>
      </c>
      <c r="T50" s="46" t="s">
        <v>107</v>
      </c>
      <c r="U50" s="46" t="s">
        <v>436</v>
      </c>
      <c r="V50" s="46" t="s">
        <v>105</v>
      </c>
      <c r="W50" s="46" t="s">
        <v>439</v>
      </c>
      <c r="X50" s="46" t="s">
        <v>687</v>
      </c>
      <c r="Y50" s="46" t="s">
        <v>688</v>
      </c>
      <c r="Z50" s="46" t="s">
        <v>688</v>
      </c>
      <c r="AA50" s="46" t="s">
        <v>111</v>
      </c>
      <c r="AB50" s="12" t="s">
        <v>111</v>
      </c>
      <c r="AC50" s="12">
        <v>1745729.16</v>
      </c>
      <c r="AD50" s="12">
        <v>1745729.16</v>
      </c>
      <c r="AE50" s="12">
        <v>1</v>
      </c>
      <c r="AF50" s="12">
        <v>1</v>
      </c>
      <c r="AG50" s="12">
        <v>1</v>
      </c>
      <c r="AH50" s="12">
        <v>0.85</v>
      </c>
      <c r="AI50" s="12">
        <v>0.85</v>
      </c>
      <c r="AJ50" s="12">
        <v>0</v>
      </c>
      <c r="AK50" s="12"/>
      <c r="AL50" s="12">
        <v>1745729.16</v>
      </c>
      <c r="AM50" s="12">
        <v>1745729.16</v>
      </c>
      <c r="AN50" s="12">
        <v>1745729.16</v>
      </c>
      <c r="AO50" s="12">
        <v>1483869.7860000001</v>
      </c>
      <c r="AP50" s="12">
        <v>1152172.52</v>
      </c>
      <c r="AQ50" s="12"/>
      <c r="AR50" s="12">
        <v>1745729.16</v>
      </c>
      <c r="AS50" s="12">
        <v>1249.6271725125268</v>
      </c>
      <c r="AT50" s="12">
        <v>1062.1830966356479</v>
      </c>
      <c r="AU50" s="12">
        <v>261859.37400000001</v>
      </c>
      <c r="AV50" s="12">
        <v>261859.37400000001</v>
      </c>
      <c r="AW50" s="12">
        <v>187.44407587687903</v>
      </c>
      <c r="AX50" s="12">
        <v>15</v>
      </c>
      <c r="AY50" s="2" t="s">
        <v>2077</v>
      </c>
      <c r="AZ50" s="2" t="s">
        <v>101</v>
      </c>
      <c r="BA50" s="46"/>
      <c r="BB50" s="2" t="s">
        <v>2210</v>
      </c>
      <c r="BC50" s="2" t="s">
        <v>102</v>
      </c>
      <c r="BD50" s="46"/>
      <c r="BE50" s="46"/>
      <c r="BF50" s="12"/>
      <c r="BG50" s="12">
        <v>1</v>
      </c>
      <c r="BH50" s="12" t="s">
        <v>1170</v>
      </c>
      <c r="BI50" s="46" t="s">
        <v>741</v>
      </c>
      <c r="BJ50" s="46" t="s">
        <v>742</v>
      </c>
      <c r="BK50" s="46" t="s">
        <v>937</v>
      </c>
      <c r="BL50" s="46" t="s">
        <v>937</v>
      </c>
      <c r="BM50" s="46" t="s">
        <v>937</v>
      </c>
      <c r="BN50" s="46" t="s">
        <v>744</v>
      </c>
      <c r="BO50" s="46" t="s">
        <v>745</v>
      </c>
      <c r="BP50" s="46" t="s">
        <v>436</v>
      </c>
      <c r="BQ50" s="157">
        <v>46041</v>
      </c>
      <c r="BR50" s="156">
        <v>46055</v>
      </c>
      <c r="BS50" s="46" t="s">
        <v>746</v>
      </c>
      <c r="BT50" s="46"/>
      <c r="BU50" s="12">
        <v>1</v>
      </c>
      <c r="BV50" s="158" t="s">
        <v>1171</v>
      </c>
      <c r="BW50" s="12" t="s">
        <v>1172</v>
      </c>
      <c r="BX50" s="12">
        <v>0</v>
      </c>
      <c r="BY50" s="12">
        <v>0</v>
      </c>
      <c r="BZ50" s="12">
        <v>0</v>
      </c>
      <c r="CA50" s="12">
        <v>0</v>
      </c>
      <c r="CB50" s="12">
        <v>1745729.3333333333</v>
      </c>
      <c r="CC50" s="12">
        <v>1745729.3333330001</v>
      </c>
      <c r="CD50" s="12">
        <v>1483869.9333329999</v>
      </c>
      <c r="CE50" s="12">
        <v>1483869.7860000001</v>
      </c>
      <c r="CF50" s="12">
        <v>1</v>
      </c>
      <c r="CG50" s="12">
        <v>7.158196134574087E-4</v>
      </c>
      <c r="CH50" s="12">
        <v>7.158196134574087E-4</v>
      </c>
      <c r="CI50" s="12" t="b">
        <v>0</v>
      </c>
      <c r="CJ50" s="12" t="b">
        <v>0</v>
      </c>
      <c r="CK50" s="12" t="s">
        <v>690</v>
      </c>
      <c r="CL50" s="2" t="s">
        <v>107</v>
      </c>
      <c r="CM50" s="2" t="s">
        <v>1173</v>
      </c>
      <c r="CN50" s="12">
        <v>1249.6271725125268</v>
      </c>
      <c r="CO50" s="12">
        <v>1062.1830966356479</v>
      </c>
      <c r="CP50" s="12" t="s">
        <v>107</v>
      </c>
      <c r="CQ50" s="159" t="s">
        <v>741</v>
      </c>
      <c r="CR50" s="46" t="s">
        <v>747</v>
      </c>
      <c r="CS50" s="46" t="s">
        <v>742</v>
      </c>
      <c r="CT50" s="2">
        <v>30693739698</v>
      </c>
      <c r="CU50" s="2" t="s">
        <v>691</v>
      </c>
      <c r="CV50" s="49">
        <v>46087.728472222225</v>
      </c>
      <c r="CW50" s="49">
        <v>46085.873611111114</v>
      </c>
      <c r="CX50" s="2" t="b">
        <v>1</v>
      </c>
      <c r="CY50" s="2" t="b">
        <v>1</v>
      </c>
      <c r="CZ50" s="160">
        <v>46054</v>
      </c>
      <c r="DA50" s="12" t="s">
        <v>693</v>
      </c>
      <c r="DB50" s="12"/>
      <c r="DC50" s="12"/>
      <c r="DD50" s="12"/>
      <c r="DE50" s="12"/>
      <c r="DF50" s="12"/>
      <c r="DG50" s="12"/>
      <c r="DH50" s="12"/>
      <c r="DI50" s="46"/>
      <c r="DJ50" s="48"/>
      <c r="DK50" s="48"/>
      <c r="DL50" s="48"/>
      <c r="DM50" s="13" t="s">
        <v>16</v>
      </c>
      <c r="DN50" s="13" t="s">
        <v>16</v>
      </c>
      <c r="DO50" s="12"/>
      <c r="DP50" s="12" t="s">
        <v>272</v>
      </c>
      <c r="DQ50" s="12" t="s">
        <v>111</v>
      </c>
      <c r="DR50" s="12">
        <v>1745729.16</v>
      </c>
      <c r="DS50" s="12" t="s">
        <v>99</v>
      </c>
      <c r="DT50" s="12">
        <v>0</v>
      </c>
      <c r="DU50" s="12"/>
      <c r="DV50" s="12"/>
      <c r="DW50" s="12" t="s">
        <v>16</v>
      </c>
      <c r="DX50" s="12"/>
      <c r="DY50" s="12" t="s">
        <v>111</v>
      </c>
      <c r="DZ50" s="12">
        <v>1152216.1599999999</v>
      </c>
      <c r="EA50" s="12" t="s">
        <v>99</v>
      </c>
      <c r="EB50" s="12">
        <v>331653.62600000016</v>
      </c>
      <c r="EC50" s="12"/>
      <c r="ED50" s="12" t="str">
        <f>INDEX('con 1'!CI:CI,MATCH(B50,'con 1'!A:A,0),1)</f>
        <v>OK</v>
      </c>
      <c r="EE50" s="12" t="s">
        <v>1946</v>
      </c>
      <c r="EF50" s="12" t="s">
        <v>1947</v>
      </c>
      <c r="EG50" s="48">
        <f ca="1">AN50/INDEX(er!D:D,MATCH(AA50,er!C:C,0),1)</f>
        <v>1249.6271725125268</v>
      </c>
    </row>
    <row r="51" spans="1:137" ht="12.5" x14ac:dyDescent="0.25">
      <c r="A51" s="46" t="s">
        <v>103</v>
      </c>
      <c r="B51" s="46" t="s">
        <v>275</v>
      </c>
      <c r="C51" s="46" t="s">
        <v>94</v>
      </c>
      <c r="D51" s="46" t="s">
        <v>98</v>
      </c>
      <c r="E51" s="156">
        <v>46081</v>
      </c>
      <c r="F51" s="46" t="s">
        <v>1174</v>
      </c>
      <c r="G51" s="46" t="s">
        <v>1179</v>
      </c>
      <c r="H51" s="46" t="s">
        <v>277</v>
      </c>
      <c r="I51" s="46" t="s">
        <v>1176</v>
      </c>
      <c r="J51" s="46" t="s">
        <v>1180</v>
      </c>
      <c r="K51" s="46" t="s">
        <v>559</v>
      </c>
      <c r="L51" s="46" t="s">
        <v>686</v>
      </c>
      <c r="M51" s="2" t="s">
        <v>563</v>
      </c>
      <c r="N51" s="46" t="s">
        <v>861</v>
      </c>
      <c r="O51" s="46" t="s">
        <v>861</v>
      </c>
      <c r="P51" s="46" t="s">
        <v>93</v>
      </c>
      <c r="Q51" s="46" t="s">
        <v>96</v>
      </c>
      <c r="R51" s="46" t="s">
        <v>104</v>
      </c>
      <c r="S51" s="46" t="s">
        <v>107</v>
      </c>
      <c r="T51" s="46" t="s">
        <v>107</v>
      </c>
      <c r="U51" s="46" t="s">
        <v>436</v>
      </c>
      <c r="V51" s="46" t="s">
        <v>105</v>
      </c>
      <c r="W51" s="46" t="s">
        <v>439</v>
      </c>
      <c r="X51" s="46" t="s">
        <v>687</v>
      </c>
      <c r="Y51" s="46" t="s">
        <v>688</v>
      </c>
      <c r="Z51" s="46" t="s">
        <v>688</v>
      </c>
      <c r="AA51" s="46" t="s">
        <v>111</v>
      </c>
      <c r="AB51" s="12" t="s">
        <v>111</v>
      </c>
      <c r="AC51" s="12">
        <v>92012.77</v>
      </c>
      <c r="AD51" s="12">
        <v>92012.77</v>
      </c>
      <c r="AE51" s="12">
        <v>1</v>
      </c>
      <c r="AF51" s="12">
        <v>1</v>
      </c>
      <c r="AG51" s="12">
        <v>1</v>
      </c>
      <c r="AH51" s="12">
        <v>0.78</v>
      </c>
      <c r="AI51" s="12">
        <v>0.78</v>
      </c>
      <c r="AJ51" s="12">
        <v>0</v>
      </c>
      <c r="AK51" s="12"/>
      <c r="AL51" s="12">
        <v>92012.77</v>
      </c>
      <c r="AM51" s="12">
        <v>92012.77</v>
      </c>
      <c r="AN51" s="12">
        <v>92012.77</v>
      </c>
      <c r="AO51" s="12">
        <v>71769.960600000006</v>
      </c>
      <c r="AP51" s="12">
        <v>55619.42</v>
      </c>
      <c r="AQ51" s="12"/>
      <c r="AR51" s="12">
        <v>92012.77</v>
      </c>
      <c r="AS51" s="12">
        <v>65.864545454545464</v>
      </c>
      <c r="AT51" s="12">
        <v>51.374345454545455</v>
      </c>
      <c r="AU51" s="12">
        <v>20242.809399999998</v>
      </c>
      <c r="AV51" s="12">
        <v>20242.809399999998</v>
      </c>
      <c r="AW51" s="12">
        <v>14.490199999999998</v>
      </c>
      <c r="AX51" s="12">
        <v>22</v>
      </c>
      <c r="AY51" s="2" t="s">
        <v>2057</v>
      </c>
      <c r="AZ51" s="2" t="s">
        <v>101</v>
      </c>
      <c r="BA51" s="46"/>
      <c r="BB51" s="2" t="s">
        <v>2166</v>
      </c>
      <c r="BC51" s="2" t="s">
        <v>102</v>
      </c>
      <c r="BD51" s="46"/>
      <c r="BE51" s="46"/>
      <c r="BF51" s="12"/>
      <c r="BG51" s="12">
        <v>1</v>
      </c>
      <c r="BH51" s="12" t="s">
        <v>1177</v>
      </c>
      <c r="BI51" s="46" t="s">
        <v>861</v>
      </c>
      <c r="BJ51" s="46" t="s">
        <v>862</v>
      </c>
      <c r="BK51" s="46" t="s">
        <v>865</v>
      </c>
      <c r="BL51" s="46" t="s">
        <v>865</v>
      </c>
      <c r="BM51" s="46" t="s">
        <v>865</v>
      </c>
      <c r="BN51" s="46" t="s">
        <v>735</v>
      </c>
      <c r="BO51" s="46" t="s">
        <v>710</v>
      </c>
      <c r="BP51" s="46" t="s">
        <v>436</v>
      </c>
      <c r="BQ51" s="157">
        <v>46036</v>
      </c>
      <c r="BR51" s="156">
        <v>46061</v>
      </c>
      <c r="BS51" s="46" t="s">
        <v>746</v>
      </c>
      <c r="BT51" s="46"/>
      <c r="BU51" s="12">
        <v>2</v>
      </c>
      <c r="BV51" s="158" t="s">
        <v>1181</v>
      </c>
      <c r="BW51" s="12" t="s">
        <v>1182</v>
      </c>
      <c r="BX51" s="12">
        <v>0</v>
      </c>
      <c r="BY51" s="12">
        <v>0</v>
      </c>
      <c r="BZ51" s="12">
        <v>0</v>
      </c>
      <c r="CA51" s="12">
        <v>0</v>
      </c>
      <c r="CB51" s="12">
        <v>763374.15384615387</v>
      </c>
      <c r="CC51" s="12">
        <v>763374.15384599997</v>
      </c>
      <c r="CD51" s="12">
        <v>595431.84</v>
      </c>
      <c r="CE51" s="12">
        <v>71769.960600000006</v>
      </c>
      <c r="CF51" s="12">
        <v>1</v>
      </c>
      <c r="CG51" s="12">
        <v>7.158196134574087E-4</v>
      </c>
      <c r="CH51" s="12">
        <v>7.158196134574087E-4</v>
      </c>
      <c r="CI51" s="12" t="b">
        <v>0</v>
      </c>
      <c r="CJ51" s="12" t="b">
        <v>0</v>
      </c>
      <c r="CK51" s="12" t="s">
        <v>690</v>
      </c>
      <c r="CL51" s="2" t="s">
        <v>107</v>
      </c>
      <c r="CM51" s="2" t="s">
        <v>1178</v>
      </c>
      <c r="CN51" s="12">
        <v>65.86454545454545</v>
      </c>
      <c r="CO51" s="12">
        <v>51.374345454545455</v>
      </c>
      <c r="CP51" s="12" t="s">
        <v>107</v>
      </c>
      <c r="CQ51" s="161" t="s">
        <v>861</v>
      </c>
      <c r="CR51" s="46" t="s">
        <v>864</v>
      </c>
      <c r="CS51" s="46" t="s">
        <v>862</v>
      </c>
      <c r="CT51" s="2">
        <v>30708983906</v>
      </c>
      <c r="CU51" s="2" t="s">
        <v>691</v>
      </c>
      <c r="CV51" s="49">
        <v>46087.728472222225</v>
      </c>
      <c r="CW51" s="49">
        <v>46085.874305555553</v>
      </c>
      <c r="CX51" s="2" t="b">
        <v>1</v>
      </c>
      <c r="CY51" s="2" t="b">
        <v>1</v>
      </c>
      <c r="CZ51" s="160">
        <v>46054</v>
      </c>
      <c r="DA51" s="12" t="s">
        <v>693</v>
      </c>
      <c r="DB51" s="12"/>
      <c r="DC51" s="12"/>
      <c r="DD51" s="12"/>
      <c r="DE51" s="12"/>
      <c r="DF51" s="12"/>
      <c r="DG51" s="12"/>
      <c r="DH51" s="12"/>
      <c r="DI51" s="46"/>
      <c r="DJ51" s="48" t="s">
        <v>105</v>
      </c>
      <c r="DK51" s="48" t="s">
        <v>111</v>
      </c>
      <c r="DL51" s="48">
        <v>92012.77</v>
      </c>
      <c r="DM51" s="13" t="s">
        <v>99</v>
      </c>
      <c r="DN51" s="13" t="s">
        <v>99</v>
      </c>
      <c r="DO51" s="12">
        <v>0</v>
      </c>
      <c r="DP51" s="12" t="s">
        <v>275</v>
      </c>
      <c r="DQ51" s="12" t="s">
        <v>111</v>
      </c>
      <c r="DR51" s="12">
        <v>92012.77</v>
      </c>
      <c r="DS51" s="12" t="s">
        <v>99</v>
      </c>
      <c r="DT51" s="12">
        <v>0</v>
      </c>
      <c r="DU51" s="12"/>
      <c r="DV51" s="12"/>
      <c r="DW51" s="12" t="s">
        <v>16</v>
      </c>
      <c r="DX51" s="12"/>
      <c r="DY51" s="12" t="s">
        <v>111</v>
      </c>
      <c r="DZ51" s="12">
        <v>55619.42</v>
      </c>
      <c r="EA51" s="12" t="s">
        <v>99</v>
      </c>
      <c r="EB51" s="12">
        <v>16150.540600000008</v>
      </c>
      <c r="EC51" s="12"/>
      <c r="ED51" s="12" t="str">
        <f>INDEX('con 1'!CI:CI,MATCH(B51,'con 1'!A:A,0),1)</f>
        <v>OK</v>
      </c>
      <c r="EE51" s="12" t="s">
        <v>1946</v>
      </c>
      <c r="EF51" s="12" t="s">
        <v>1947</v>
      </c>
      <c r="EG51" s="48">
        <f ca="1">AN51/INDEX(er!D:D,MATCH(AA51,er!C:C,0),1)</f>
        <v>65.864545454545464</v>
      </c>
    </row>
    <row r="52" spans="1:137" ht="12.5" x14ac:dyDescent="0.25">
      <c r="A52" s="46" t="s">
        <v>103</v>
      </c>
      <c r="B52" s="46" t="s">
        <v>279</v>
      </c>
      <c r="C52" s="46" t="s">
        <v>94</v>
      </c>
      <c r="D52" s="46" t="s">
        <v>98</v>
      </c>
      <c r="E52" s="156">
        <v>46081</v>
      </c>
      <c r="F52" s="46" t="s">
        <v>1183</v>
      </c>
      <c r="G52" s="46" t="s">
        <v>1184</v>
      </c>
      <c r="H52" s="46" t="s">
        <v>281</v>
      </c>
      <c r="I52" s="46" t="s">
        <v>1185</v>
      </c>
      <c r="J52" s="46" t="s">
        <v>1186</v>
      </c>
      <c r="K52" s="46" t="s">
        <v>559</v>
      </c>
      <c r="L52" s="46" t="s">
        <v>686</v>
      </c>
      <c r="M52" s="2" t="s">
        <v>563</v>
      </c>
      <c r="N52" s="46" t="s">
        <v>825</v>
      </c>
      <c r="O52" s="46" t="s">
        <v>826</v>
      </c>
      <c r="P52" s="46" t="s">
        <v>93</v>
      </c>
      <c r="Q52" s="46" t="s">
        <v>96</v>
      </c>
      <c r="R52" s="46" t="s">
        <v>104</v>
      </c>
      <c r="S52" s="46" t="s">
        <v>107</v>
      </c>
      <c r="T52" s="46" t="s">
        <v>107</v>
      </c>
      <c r="U52" s="46" t="s">
        <v>436</v>
      </c>
      <c r="V52" s="46" t="s">
        <v>105</v>
      </c>
      <c r="W52" s="46" t="s">
        <v>439</v>
      </c>
      <c r="X52" s="46" t="s">
        <v>687</v>
      </c>
      <c r="Y52" s="46" t="s">
        <v>688</v>
      </c>
      <c r="Z52" s="46" t="s">
        <v>688</v>
      </c>
      <c r="AA52" s="46" t="s">
        <v>111</v>
      </c>
      <c r="AB52" s="12" t="s">
        <v>111</v>
      </c>
      <c r="AC52" s="12">
        <v>4109964.98</v>
      </c>
      <c r="AD52" s="12">
        <v>4109964.98</v>
      </c>
      <c r="AE52" s="12">
        <v>1</v>
      </c>
      <c r="AF52" s="12">
        <v>1</v>
      </c>
      <c r="AG52" s="12">
        <v>1</v>
      </c>
      <c r="AH52" s="12">
        <v>0.78</v>
      </c>
      <c r="AI52" s="12">
        <v>0.78</v>
      </c>
      <c r="AJ52" s="12">
        <v>0</v>
      </c>
      <c r="AK52" s="12"/>
      <c r="AL52" s="12">
        <v>4109964.98</v>
      </c>
      <c r="AM52" s="12">
        <v>4109964.98</v>
      </c>
      <c r="AN52" s="12">
        <v>4109964.98</v>
      </c>
      <c r="AO52" s="12">
        <v>3205772.6844000001</v>
      </c>
      <c r="AP52" s="12">
        <v>2484371.25</v>
      </c>
      <c r="AQ52" s="12"/>
      <c r="AR52" s="12">
        <v>4109964.98</v>
      </c>
      <c r="AS52" s="12">
        <v>2941.9935433070864</v>
      </c>
      <c r="AT52" s="12">
        <v>2294.7549637795278</v>
      </c>
      <c r="AU52" s="12">
        <v>904192.29559999995</v>
      </c>
      <c r="AV52" s="12">
        <v>904192.29559999995</v>
      </c>
      <c r="AW52" s="12">
        <v>647.23857952755907</v>
      </c>
      <c r="AX52" s="12">
        <v>22</v>
      </c>
      <c r="AY52" s="2" t="s">
        <v>2039</v>
      </c>
      <c r="AZ52" s="2" t="s">
        <v>101</v>
      </c>
      <c r="BA52" s="46"/>
      <c r="BB52" s="2" t="s">
        <v>2174</v>
      </c>
      <c r="BC52" s="2" t="s">
        <v>102</v>
      </c>
      <c r="BD52" s="46"/>
      <c r="BE52" s="46"/>
      <c r="BF52" s="12"/>
      <c r="BG52" s="12">
        <v>1</v>
      </c>
      <c r="BH52" s="12" t="s">
        <v>1187</v>
      </c>
      <c r="BI52" s="46" t="s">
        <v>825</v>
      </c>
      <c r="BJ52" s="46" t="s">
        <v>827</v>
      </c>
      <c r="BK52" s="46" t="s">
        <v>708</v>
      </c>
      <c r="BL52" s="46" t="s">
        <v>708</v>
      </c>
      <c r="BM52" s="46" t="s">
        <v>708</v>
      </c>
      <c r="BN52" s="46" t="s">
        <v>735</v>
      </c>
      <c r="BO52" s="46" t="s">
        <v>710</v>
      </c>
      <c r="BP52" s="46" t="s">
        <v>436</v>
      </c>
      <c r="BQ52" s="157">
        <v>46042</v>
      </c>
      <c r="BR52" s="156">
        <v>46112</v>
      </c>
      <c r="BS52" s="46" t="s">
        <v>692</v>
      </c>
      <c r="BT52" s="46"/>
      <c r="BU52" s="12">
        <v>1</v>
      </c>
      <c r="BV52" s="158" t="s">
        <v>1188</v>
      </c>
      <c r="BW52" s="12" t="s">
        <v>1189</v>
      </c>
      <c r="BX52" s="12">
        <v>0</v>
      </c>
      <c r="BY52" s="12">
        <v>0</v>
      </c>
      <c r="BZ52" s="12">
        <v>0</v>
      </c>
      <c r="CA52" s="12">
        <v>0</v>
      </c>
      <c r="CB52" s="12">
        <v>3999933.44</v>
      </c>
      <c r="CC52" s="12">
        <v>3999933.44</v>
      </c>
      <c r="CD52" s="12">
        <v>3119948.0832000002</v>
      </c>
      <c r="CE52" s="12">
        <v>3205772.6844000001</v>
      </c>
      <c r="CF52" s="12">
        <v>1</v>
      </c>
      <c r="CG52" s="12">
        <v>7.158196134574087E-4</v>
      </c>
      <c r="CH52" s="12">
        <v>7.158196134574087E-4</v>
      </c>
      <c r="CI52" s="12" t="b">
        <v>0</v>
      </c>
      <c r="CJ52" s="12" t="b">
        <v>0</v>
      </c>
      <c r="CK52" s="12" t="s">
        <v>715</v>
      </c>
      <c r="CL52" s="2" t="s">
        <v>107</v>
      </c>
      <c r="CM52" s="12" t="s">
        <v>1190</v>
      </c>
      <c r="CN52" s="12">
        <v>2941.9935433070868</v>
      </c>
      <c r="CO52" s="12">
        <v>2294.7549637795278</v>
      </c>
      <c r="CP52" s="12" t="s">
        <v>107</v>
      </c>
      <c r="CQ52" s="161" t="s">
        <v>826</v>
      </c>
      <c r="CR52" s="46" t="s">
        <v>828</v>
      </c>
      <c r="CS52" s="46" t="s">
        <v>827</v>
      </c>
      <c r="CT52" s="2">
        <v>30712014047</v>
      </c>
      <c r="CU52" s="2" t="s">
        <v>694</v>
      </c>
      <c r="CV52" s="49">
        <v>46087.728472222225</v>
      </c>
      <c r="CW52" s="49">
        <v>46085.874305555553</v>
      </c>
      <c r="CX52" s="2" t="b">
        <v>1</v>
      </c>
      <c r="CY52" s="2" t="b">
        <v>1</v>
      </c>
      <c r="CZ52" s="160">
        <v>46054</v>
      </c>
      <c r="DA52" s="12" t="s">
        <v>693</v>
      </c>
      <c r="DB52" s="12"/>
      <c r="DC52" s="12"/>
      <c r="DD52" s="12"/>
      <c r="DE52" s="12"/>
      <c r="DF52" s="12"/>
      <c r="DG52" s="12"/>
      <c r="DH52" s="12"/>
      <c r="DI52" s="46"/>
      <c r="DJ52" s="48" t="s">
        <v>105</v>
      </c>
      <c r="DK52" s="48" t="s">
        <v>111</v>
      </c>
      <c r="DL52" s="48">
        <v>4109964.98</v>
      </c>
      <c r="DM52" s="13" t="s">
        <v>99</v>
      </c>
      <c r="DN52" s="13" t="s">
        <v>99</v>
      </c>
      <c r="DO52" s="12">
        <v>0</v>
      </c>
      <c r="DP52" s="12" t="s">
        <v>279</v>
      </c>
      <c r="DQ52" s="12" t="s">
        <v>111</v>
      </c>
      <c r="DR52" s="12">
        <v>4109964.98</v>
      </c>
      <c r="DS52" s="12" t="s">
        <v>99</v>
      </c>
      <c r="DT52" s="12">
        <v>0</v>
      </c>
      <c r="DU52" s="12"/>
      <c r="DV52" s="12"/>
      <c r="DW52" s="12" t="s">
        <v>16</v>
      </c>
      <c r="DX52" s="12"/>
      <c r="DY52" s="12" t="s">
        <v>111</v>
      </c>
      <c r="DZ52" s="12">
        <v>2484371.08</v>
      </c>
      <c r="EA52" s="12" t="s">
        <v>99</v>
      </c>
      <c r="EB52" s="12">
        <v>721401.60440000007</v>
      </c>
      <c r="EC52" s="12"/>
      <c r="ED52" s="12" t="str">
        <f>INDEX('con 1'!CI:CI,MATCH(B52,'con 1'!A:A,0),1)</f>
        <v>OK</v>
      </c>
      <c r="EE52" s="12" t="s">
        <v>1946</v>
      </c>
      <c r="EF52" s="12" t="s">
        <v>1947</v>
      </c>
      <c r="EG52" s="48">
        <f ca="1">AN52/INDEX(er!D:D,MATCH(AA52,er!C:C,0),1)</f>
        <v>2941.9935433070864</v>
      </c>
    </row>
    <row r="53" spans="1:137" ht="12.5" x14ac:dyDescent="0.25">
      <c r="A53" s="46" t="s">
        <v>103</v>
      </c>
      <c r="B53" s="46" t="s">
        <v>282</v>
      </c>
      <c r="C53" s="46" t="s">
        <v>94</v>
      </c>
      <c r="D53" s="46" t="s">
        <v>98</v>
      </c>
      <c r="E53" s="156">
        <v>46081</v>
      </c>
      <c r="F53" s="46" t="s">
        <v>1191</v>
      </c>
      <c r="G53" s="46" t="s">
        <v>1192</v>
      </c>
      <c r="H53" s="46" t="s">
        <v>284</v>
      </c>
      <c r="I53" s="46" t="s">
        <v>1193</v>
      </c>
      <c r="J53" s="46" t="s">
        <v>1194</v>
      </c>
      <c r="K53" s="46" t="s">
        <v>559</v>
      </c>
      <c r="L53" s="46" t="s">
        <v>686</v>
      </c>
      <c r="M53" s="2" t="s">
        <v>563</v>
      </c>
      <c r="N53" s="46" t="s">
        <v>1195</v>
      </c>
      <c r="O53" s="46" t="s">
        <v>1195</v>
      </c>
      <c r="P53" s="46" t="s">
        <v>93</v>
      </c>
      <c r="Q53" s="46" t="s">
        <v>96</v>
      </c>
      <c r="R53" s="46" t="s">
        <v>104</v>
      </c>
      <c r="S53" s="46" t="s">
        <v>107</v>
      </c>
      <c r="T53" s="46" t="s">
        <v>107</v>
      </c>
      <c r="U53" s="46" t="s">
        <v>436</v>
      </c>
      <c r="V53" s="46" t="s">
        <v>105</v>
      </c>
      <c r="W53" s="46" t="s">
        <v>439</v>
      </c>
      <c r="X53" s="46" t="s">
        <v>687</v>
      </c>
      <c r="Y53" s="46" t="s">
        <v>688</v>
      </c>
      <c r="Z53" s="46" t="s">
        <v>688</v>
      </c>
      <c r="AA53" s="46" t="s">
        <v>111</v>
      </c>
      <c r="AB53" s="12" t="s">
        <v>111</v>
      </c>
      <c r="AC53" s="12">
        <v>798524.61</v>
      </c>
      <c r="AD53" s="12">
        <v>798524.61</v>
      </c>
      <c r="AE53" s="12">
        <v>1</v>
      </c>
      <c r="AF53" s="12">
        <v>1</v>
      </c>
      <c r="AG53" s="12">
        <v>1</v>
      </c>
      <c r="AH53" s="12">
        <v>0.78</v>
      </c>
      <c r="AI53" s="12">
        <v>0.78</v>
      </c>
      <c r="AJ53" s="12">
        <v>0</v>
      </c>
      <c r="AK53" s="12"/>
      <c r="AL53" s="12">
        <v>798524.61</v>
      </c>
      <c r="AM53" s="12">
        <v>798524.61</v>
      </c>
      <c r="AN53" s="12">
        <v>798524.61</v>
      </c>
      <c r="AO53" s="12">
        <v>622849.19579999999</v>
      </c>
      <c r="AP53" s="12">
        <v>482688.2</v>
      </c>
      <c r="AQ53" s="12"/>
      <c r="AR53" s="12">
        <v>798524.61</v>
      </c>
      <c r="AS53" s="12">
        <v>571.5995776664281</v>
      </c>
      <c r="AT53" s="12">
        <v>445.84767057981389</v>
      </c>
      <c r="AU53" s="12">
        <v>175675.4142</v>
      </c>
      <c r="AV53" s="12">
        <v>175675.4142</v>
      </c>
      <c r="AW53" s="12">
        <v>125.75190708661417</v>
      </c>
      <c r="AX53" s="12">
        <v>22</v>
      </c>
      <c r="AY53" s="2" t="s">
        <v>2005</v>
      </c>
      <c r="AZ53" s="2" t="s">
        <v>101</v>
      </c>
      <c r="BA53" s="46"/>
      <c r="BB53" s="2" t="s">
        <v>2164</v>
      </c>
      <c r="BC53" s="2" t="s">
        <v>102</v>
      </c>
      <c r="BD53" s="46"/>
      <c r="BE53" s="46"/>
      <c r="BF53" s="12"/>
      <c r="BG53" s="12">
        <v>1</v>
      </c>
      <c r="BH53" s="12" t="s">
        <v>1196</v>
      </c>
      <c r="BI53" s="46" t="s">
        <v>1195</v>
      </c>
      <c r="BJ53" s="46" t="s">
        <v>1197</v>
      </c>
      <c r="BK53" s="46" t="s">
        <v>865</v>
      </c>
      <c r="BL53" s="46" t="s">
        <v>865</v>
      </c>
      <c r="BM53" s="46" t="s">
        <v>865</v>
      </c>
      <c r="BN53" s="46" t="s">
        <v>735</v>
      </c>
      <c r="BO53" s="46" t="s">
        <v>710</v>
      </c>
      <c r="BP53" s="46" t="s">
        <v>436</v>
      </c>
      <c r="BQ53" s="157">
        <v>46042</v>
      </c>
      <c r="BR53" s="156">
        <v>46387</v>
      </c>
      <c r="BS53" s="46" t="s">
        <v>746</v>
      </c>
      <c r="BT53" s="46"/>
      <c r="BU53" s="12">
        <v>1</v>
      </c>
      <c r="BV53" s="158" t="s">
        <v>1198</v>
      </c>
      <c r="BW53" s="12" t="s">
        <v>1199</v>
      </c>
      <c r="BX53" s="12">
        <v>0</v>
      </c>
      <c r="BY53" s="12">
        <v>0</v>
      </c>
      <c r="BZ53" s="12">
        <v>0</v>
      </c>
      <c r="CA53" s="12">
        <v>0</v>
      </c>
      <c r="CB53" s="12">
        <v>971098.26589595375</v>
      </c>
      <c r="CC53" s="12">
        <v>971098.26589599997</v>
      </c>
      <c r="CD53" s="12">
        <v>757456.64739900001</v>
      </c>
      <c r="CE53" s="12">
        <v>622849.19579999999</v>
      </c>
      <c r="CF53" s="12">
        <v>1</v>
      </c>
      <c r="CG53" s="12">
        <v>7.158196134574087E-4</v>
      </c>
      <c r="CH53" s="12">
        <v>7.158196134574087E-4</v>
      </c>
      <c r="CI53" s="12" t="b">
        <v>0</v>
      </c>
      <c r="CJ53" s="12" t="b">
        <v>0</v>
      </c>
      <c r="CK53" s="12" t="s">
        <v>690</v>
      </c>
      <c r="CL53" s="2" t="s">
        <v>107</v>
      </c>
      <c r="CM53" s="2" t="s">
        <v>726</v>
      </c>
      <c r="CN53" s="12">
        <v>571.5995776664281</v>
      </c>
      <c r="CO53" s="12">
        <v>445.84767057981389</v>
      </c>
      <c r="CP53" s="12" t="s">
        <v>107</v>
      </c>
      <c r="CQ53" s="159" t="s">
        <v>1195</v>
      </c>
      <c r="CR53" s="46" t="s">
        <v>1200</v>
      </c>
      <c r="CS53" s="46" t="s">
        <v>1197</v>
      </c>
      <c r="CT53" s="2">
        <v>33707344089</v>
      </c>
      <c r="CU53" s="2" t="s">
        <v>691</v>
      </c>
      <c r="CV53" s="49">
        <v>46087.728472222225</v>
      </c>
      <c r="CW53" s="49">
        <v>46085.873611111114</v>
      </c>
      <c r="CX53" s="2" t="b">
        <v>1</v>
      </c>
      <c r="CY53" s="2" t="b">
        <v>1</v>
      </c>
      <c r="CZ53" s="160">
        <v>46054</v>
      </c>
      <c r="DA53" s="12" t="s">
        <v>693</v>
      </c>
      <c r="DB53" s="12"/>
      <c r="DC53" s="12"/>
      <c r="DD53" s="12"/>
      <c r="DE53" s="12"/>
      <c r="DF53" s="12"/>
      <c r="DG53" s="12"/>
      <c r="DH53" s="12"/>
      <c r="DI53" s="46"/>
      <c r="DJ53" s="48" t="s">
        <v>105</v>
      </c>
      <c r="DK53" s="48" t="s">
        <v>111</v>
      </c>
      <c r="DL53" s="48">
        <v>798524.61</v>
      </c>
      <c r="DM53" s="13" t="s">
        <v>99</v>
      </c>
      <c r="DN53" s="13" t="s">
        <v>99</v>
      </c>
      <c r="DO53" s="12">
        <v>0</v>
      </c>
      <c r="DP53" s="12" t="s">
        <v>282</v>
      </c>
      <c r="DQ53" s="12" t="s">
        <v>111</v>
      </c>
      <c r="DR53" s="12">
        <v>798524.61</v>
      </c>
      <c r="DS53" s="12" t="s">
        <v>99</v>
      </c>
      <c r="DT53" s="12">
        <v>0</v>
      </c>
      <c r="DU53" s="12"/>
      <c r="DV53" s="12"/>
      <c r="DW53" s="12" t="s">
        <v>16</v>
      </c>
      <c r="DX53" s="12"/>
      <c r="DY53" s="12" t="s">
        <v>111</v>
      </c>
      <c r="DZ53" s="12">
        <v>482688.16</v>
      </c>
      <c r="EA53" s="12" t="s">
        <v>99</v>
      </c>
      <c r="EB53" s="12">
        <v>140161.03580000001</v>
      </c>
      <c r="EC53" s="12"/>
      <c r="ED53" s="12" t="str">
        <f>INDEX('con 1'!CI:CI,MATCH(B53,'con 1'!A:A,0),1)</f>
        <v>OK</v>
      </c>
      <c r="EE53" s="12" t="s">
        <v>1946</v>
      </c>
      <c r="EF53" s="12" t="s">
        <v>1947</v>
      </c>
      <c r="EG53" s="48">
        <f ca="1">AN53/INDEX(er!D:D,MATCH(AA53,er!C:C,0),1)</f>
        <v>571.5995776664281</v>
      </c>
    </row>
    <row r="54" spans="1:137" ht="12.5" x14ac:dyDescent="0.25">
      <c r="A54" s="46" t="s">
        <v>103</v>
      </c>
      <c r="B54" s="46" t="s">
        <v>286</v>
      </c>
      <c r="C54" s="46" t="s">
        <v>94</v>
      </c>
      <c r="D54" s="46" t="s">
        <v>98</v>
      </c>
      <c r="E54" s="156">
        <v>46081</v>
      </c>
      <c r="F54" s="46" t="s">
        <v>1201</v>
      </c>
      <c r="G54" s="46" t="s">
        <v>1202</v>
      </c>
      <c r="H54" s="46" t="s">
        <v>288</v>
      </c>
      <c r="I54" s="46" t="s">
        <v>1203</v>
      </c>
      <c r="J54" s="46" t="s">
        <v>1204</v>
      </c>
      <c r="K54" s="46" t="s">
        <v>559</v>
      </c>
      <c r="L54" s="46" t="s">
        <v>686</v>
      </c>
      <c r="M54" s="2" t="s">
        <v>563</v>
      </c>
      <c r="N54" s="46" t="s">
        <v>1205</v>
      </c>
      <c r="O54" s="46" t="s">
        <v>1206</v>
      </c>
      <c r="P54" s="46" t="s">
        <v>93</v>
      </c>
      <c r="Q54" s="46" t="s">
        <v>96</v>
      </c>
      <c r="R54" s="46" t="s">
        <v>104</v>
      </c>
      <c r="S54" s="46" t="s">
        <v>107</v>
      </c>
      <c r="T54" s="46" t="s">
        <v>107</v>
      </c>
      <c r="U54" s="46" t="s">
        <v>436</v>
      </c>
      <c r="V54" s="46" t="s">
        <v>105</v>
      </c>
      <c r="W54" s="46" t="s">
        <v>439</v>
      </c>
      <c r="X54" s="46" t="s">
        <v>687</v>
      </c>
      <c r="Y54" s="46" t="s">
        <v>688</v>
      </c>
      <c r="Z54" s="46" t="s">
        <v>688</v>
      </c>
      <c r="AA54" s="46" t="s">
        <v>111</v>
      </c>
      <c r="AB54" s="12" t="s">
        <v>111</v>
      </c>
      <c r="AC54" s="12">
        <v>2028302.04</v>
      </c>
      <c r="AD54" s="12">
        <v>2028302.04</v>
      </c>
      <c r="AE54" s="12">
        <v>1</v>
      </c>
      <c r="AF54" s="12">
        <v>1</v>
      </c>
      <c r="AG54" s="12">
        <v>1</v>
      </c>
      <c r="AH54" s="12">
        <v>0.78</v>
      </c>
      <c r="AI54" s="12">
        <v>0.78</v>
      </c>
      <c r="AJ54" s="12">
        <v>0</v>
      </c>
      <c r="AK54" s="12"/>
      <c r="AL54" s="12">
        <v>2028302.04</v>
      </c>
      <c r="AM54" s="12">
        <v>2028302.04</v>
      </c>
      <c r="AN54" s="12">
        <v>2028302.04</v>
      </c>
      <c r="AO54" s="12">
        <v>1582075.5911999999</v>
      </c>
      <c r="AP54" s="12">
        <v>1226057.96</v>
      </c>
      <c r="AQ54" s="12"/>
      <c r="AR54" s="12">
        <v>2028302.04</v>
      </c>
      <c r="AS54" s="12">
        <v>1451.8983822476737</v>
      </c>
      <c r="AT54" s="12">
        <v>1132.4807381531853</v>
      </c>
      <c r="AU54" s="12">
        <v>446226.44880000001</v>
      </c>
      <c r="AV54" s="12">
        <v>446226.44880000001</v>
      </c>
      <c r="AW54" s="12">
        <v>319.4176440944882</v>
      </c>
      <c r="AX54" s="12">
        <v>22</v>
      </c>
      <c r="AY54" s="2" t="s">
        <v>2052</v>
      </c>
      <c r="AZ54" s="2" t="s">
        <v>101</v>
      </c>
      <c r="BA54" s="46"/>
      <c r="BB54" s="2" t="s">
        <v>2168</v>
      </c>
      <c r="BC54" s="2" t="s">
        <v>102</v>
      </c>
      <c r="BD54" s="46"/>
      <c r="BE54" s="46"/>
      <c r="BF54" s="12"/>
      <c r="BG54" s="12">
        <v>1</v>
      </c>
      <c r="BH54" s="12" t="s">
        <v>1207</v>
      </c>
      <c r="BI54" s="46" t="s">
        <v>1205</v>
      </c>
      <c r="BJ54" s="46" t="s">
        <v>1208</v>
      </c>
      <c r="BK54" s="46" t="s">
        <v>865</v>
      </c>
      <c r="BL54" s="46" t="s">
        <v>865</v>
      </c>
      <c r="BM54" s="46" t="s">
        <v>865</v>
      </c>
      <c r="BN54" s="46" t="s">
        <v>735</v>
      </c>
      <c r="BO54" s="46" t="s">
        <v>710</v>
      </c>
      <c r="BP54" s="46" t="s">
        <v>436</v>
      </c>
      <c r="BQ54" s="157">
        <v>46041</v>
      </c>
      <c r="BR54" s="156">
        <v>46112</v>
      </c>
      <c r="BS54" s="46" t="s">
        <v>689</v>
      </c>
      <c r="BT54" s="46"/>
      <c r="BU54" s="12">
        <v>1</v>
      </c>
      <c r="BV54" s="158" t="s">
        <v>1209</v>
      </c>
      <c r="BW54" s="12" t="s">
        <v>1210</v>
      </c>
      <c r="BX54" s="12">
        <v>0</v>
      </c>
      <c r="BY54" s="12">
        <v>0</v>
      </c>
      <c r="BZ54" s="12">
        <v>0</v>
      </c>
      <c r="CA54" s="12">
        <v>0</v>
      </c>
      <c r="CB54" s="12">
        <v>2333333.3333333335</v>
      </c>
      <c r="CC54" s="12">
        <v>2333333.3333330001</v>
      </c>
      <c r="CD54" s="12">
        <v>1820000</v>
      </c>
      <c r="CE54" s="12">
        <v>1582075.5911999999</v>
      </c>
      <c r="CF54" s="12">
        <v>1</v>
      </c>
      <c r="CG54" s="12">
        <v>7.158196134574087E-4</v>
      </c>
      <c r="CH54" s="12">
        <v>7.158196134574087E-4</v>
      </c>
      <c r="CI54" s="12" t="b">
        <v>0</v>
      </c>
      <c r="CJ54" s="12" t="b">
        <v>0</v>
      </c>
      <c r="CK54" s="12" t="s">
        <v>690</v>
      </c>
      <c r="CL54" s="2" t="s">
        <v>107</v>
      </c>
      <c r="CM54" s="12" t="s">
        <v>1211</v>
      </c>
      <c r="CN54" s="12">
        <v>1451.8983822476737</v>
      </c>
      <c r="CO54" s="12">
        <v>1132.4807381531855</v>
      </c>
      <c r="CP54" s="12" t="s">
        <v>107</v>
      </c>
      <c r="CQ54" s="159" t="s">
        <v>1206</v>
      </c>
      <c r="CR54" s="46" t="s">
        <v>1212</v>
      </c>
      <c r="CS54" s="46" t="s">
        <v>1208</v>
      </c>
      <c r="CT54" s="2">
        <v>30711620857</v>
      </c>
      <c r="CU54" s="2" t="s">
        <v>691</v>
      </c>
      <c r="CV54" s="49">
        <v>46087.728472222225</v>
      </c>
      <c r="CW54" s="49">
        <v>46085.874305555553</v>
      </c>
      <c r="CX54" s="2" t="b">
        <v>1</v>
      </c>
      <c r="CY54" s="2" t="b">
        <v>1</v>
      </c>
      <c r="CZ54" s="160">
        <v>46054</v>
      </c>
      <c r="DA54" s="12" t="s">
        <v>693</v>
      </c>
      <c r="DB54" s="12"/>
      <c r="DC54" s="12"/>
      <c r="DD54" s="12"/>
      <c r="DE54" s="12"/>
      <c r="DF54" s="12"/>
      <c r="DG54" s="12"/>
      <c r="DH54" s="12"/>
      <c r="DI54" s="46"/>
      <c r="DJ54" s="48" t="s">
        <v>105</v>
      </c>
      <c r="DK54" s="48" t="s">
        <v>111</v>
      </c>
      <c r="DL54" s="48">
        <v>2028302.04</v>
      </c>
      <c r="DM54" s="13" t="s">
        <v>99</v>
      </c>
      <c r="DN54" s="13" t="s">
        <v>99</v>
      </c>
      <c r="DO54" s="12">
        <v>0</v>
      </c>
      <c r="DP54" s="12" t="s">
        <v>286</v>
      </c>
      <c r="DQ54" s="12" t="s">
        <v>111</v>
      </c>
      <c r="DR54" s="12">
        <v>2028302.04</v>
      </c>
      <c r="DS54" s="12" t="s">
        <v>99</v>
      </c>
      <c r="DT54" s="12">
        <v>0</v>
      </c>
      <c r="DU54" s="12"/>
      <c r="DV54" s="12"/>
      <c r="DW54" s="12" t="s">
        <v>16</v>
      </c>
      <c r="DX54" s="12"/>
      <c r="DY54" s="12" t="s">
        <v>111</v>
      </c>
      <c r="DZ54" s="12">
        <v>1226057.8799999999</v>
      </c>
      <c r="EA54" s="12" t="s">
        <v>99</v>
      </c>
      <c r="EB54" s="12">
        <v>356017.71120000002</v>
      </c>
      <c r="EC54" s="12"/>
      <c r="ED54" s="12" t="str">
        <f>INDEX('con 1'!CI:CI,MATCH(B54,'con 1'!A:A,0),1)</f>
        <v>OK</v>
      </c>
      <c r="EE54" s="12" t="s">
        <v>1946</v>
      </c>
      <c r="EF54" s="12" t="s">
        <v>1947</v>
      </c>
      <c r="EG54" s="48">
        <f ca="1">AN54/INDEX(er!D:D,MATCH(AA54,er!C:C,0),1)</f>
        <v>1451.8983822476737</v>
      </c>
    </row>
    <row r="55" spans="1:137" ht="12.5" x14ac:dyDescent="0.25">
      <c r="A55" s="46" t="s">
        <v>103</v>
      </c>
      <c r="B55" s="46" t="s">
        <v>290</v>
      </c>
      <c r="C55" s="46" t="s">
        <v>94</v>
      </c>
      <c r="D55" s="46" t="s">
        <v>98</v>
      </c>
      <c r="E55" s="156">
        <v>46081</v>
      </c>
      <c r="F55" s="46" t="s">
        <v>1213</v>
      </c>
      <c r="G55" s="46" t="s">
        <v>1214</v>
      </c>
      <c r="H55" s="46" t="s">
        <v>292</v>
      </c>
      <c r="I55" s="46" t="s">
        <v>1215</v>
      </c>
      <c r="J55" s="46" t="s">
        <v>1216</v>
      </c>
      <c r="K55" s="46" t="s">
        <v>559</v>
      </c>
      <c r="L55" s="46" t="s">
        <v>686</v>
      </c>
      <c r="M55" s="2" t="s">
        <v>563</v>
      </c>
      <c r="N55" s="46" t="s">
        <v>1010</v>
      </c>
      <c r="O55" s="46" t="s">
        <v>1011</v>
      </c>
      <c r="P55" s="46" t="s">
        <v>93</v>
      </c>
      <c r="Q55" s="46" t="s">
        <v>96</v>
      </c>
      <c r="R55" s="46" t="s">
        <v>104</v>
      </c>
      <c r="S55" s="46" t="s">
        <v>107</v>
      </c>
      <c r="T55" s="46" t="s">
        <v>107</v>
      </c>
      <c r="U55" s="46" t="s">
        <v>436</v>
      </c>
      <c r="V55" s="46" t="s">
        <v>105</v>
      </c>
      <c r="W55" s="46" t="s">
        <v>439</v>
      </c>
      <c r="X55" s="46" t="s">
        <v>687</v>
      </c>
      <c r="Y55" s="46" t="s">
        <v>688</v>
      </c>
      <c r="Z55" s="46" t="s">
        <v>688</v>
      </c>
      <c r="AA55" s="46" t="s">
        <v>111</v>
      </c>
      <c r="AB55" s="12" t="s">
        <v>111</v>
      </c>
      <c r="AC55" s="12">
        <v>1419697.03</v>
      </c>
      <c r="AD55" s="12">
        <v>235002</v>
      </c>
      <c r="AE55" s="12">
        <v>1</v>
      </c>
      <c r="AF55" s="12">
        <v>1</v>
      </c>
      <c r="AG55" s="12">
        <v>1</v>
      </c>
      <c r="AH55" s="12">
        <v>0.78</v>
      </c>
      <c r="AI55" s="12">
        <v>0.78</v>
      </c>
      <c r="AJ55" s="12">
        <v>0</v>
      </c>
      <c r="AK55" s="12"/>
      <c r="AL55" s="12">
        <v>1419697.03</v>
      </c>
      <c r="AM55" s="12">
        <v>1419697.03</v>
      </c>
      <c r="AN55" s="12">
        <v>1419697.03</v>
      </c>
      <c r="AO55" s="12">
        <v>183301.56</v>
      </c>
      <c r="AP55" s="12">
        <v>142052.84</v>
      </c>
      <c r="AQ55" s="12"/>
      <c r="AR55" s="12">
        <v>1419697.03</v>
      </c>
      <c r="AS55" s="12">
        <v>1016.2469792412312</v>
      </c>
      <c r="AT55" s="12">
        <v>131.21085182534</v>
      </c>
      <c r="AU55" s="12">
        <v>1236395.47</v>
      </c>
      <c r="AV55" s="12">
        <v>1236395.47</v>
      </c>
      <c r="AW55" s="12">
        <v>885.0361274158912</v>
      </c>
      <c r="AX55" s="12">
        <v>87.09</v>
      </c>
      <c r="AY55" s="2" t="s">
        <v>2094</v>
      </c>
      <c r="AZ55" s="2" t="s">
        <v>101</v>
      </c>
      <c r="BA55" s="46"/>
      <c r="BB55" s="2" t="s">
        <v>2158</v>
      </c>
      <c r="BC55" s="2" t="s">
        <v>102</v>
      </c>
      <c r="BD55" s="46"/>
      <c r="BE55" s="46"/>
      <c r="BF55" s="12"/>
      <c r="BG55" s="12">
        <v>1</v>
      </c>
      <c r="BH55" s="12" t="s">
        <v>1217</v>
      </c>
      <c r="BI55" s="46" t="s">
        <v>1010</v>
      </c>
      <c r="BJ55" s="46" t="s">
        <v>1013</v>
      </c>
      <c r="BK55" s="46" t="s">
        <v>874</v>
      </c>
      <c r="BL55" s="46" t="s">
        <v>771</v>
      </c>
      <c r="BM55" s="46" t="s">
        <v>771</v>
      </c>
      <c r="BN55" s="46" t="s">
        <v>735</v>
      </c>
      <c r="BO55" s="46" t="s">
        <v>710</v>
      </c>
      <c r="BP55" s="46" t="s">
        <v>436</v>
      </c>
      <c r="BQ55" s="157">
        <v>46023</v>
      </c>
      <c r="BR55" s="156">
        <v>46086</v>
      </c>
      <c r="BS55" s="46" t="s">
        <v>689</v>
      </c>
      <c r="BT55" s="46"/>
      <c r="BU55" s="12">
        <v>1</v>
      </c>
      <c r="BV55" s="158" t="s">
        <v>1218</v>
      </c>
      <c r="BW55" s="12" t="s">
        <v>1219</v>
      </c>
      <c r="BX55" s="12">
        <v>0</v>
      </c>
      <c r="BY55" s="12">
        <v>0</v>
      </c>
      <c r="BZ55" s="12">
        <v>0</v>
      </c>
      <c r="CA55" s="12">
        <v>0</v>
      </c>
      <c r="CB55" s="12">
        <v>1520001.6</v>
      </c>
      <c r="CC55" s="12">
        <v>1520001.6</v>
      </c>
      <c r="CD55" s="12">
        <v>0.78</v>
      </c>
      <c r="CE55" s="12">
        <v>183301.56</v>
      </c>
      <c r="CF55" s="12">
        <v>1</v>
      </c>
      <c r="CG55" s="12">
        <v>7.158196134574087E-4</v>
      </c>
      <c r="CH55" s="12">
        <v>7.158196134574087E-4</v>
      </c>
      <c r="CI55" s="12" t="b">
        <v>0</v>
      </c>
      <c r="CJ55" s="12" t="b">
        <v>0</v>
      </c>
      <c r="CK55" s="12" t="s">
        <v>690</v>
      </c>
      <c r="CL55" s="2" t="s">
        <v>107</v>
      </c>
      <c r="CM55" s="2" t="s">
        <v>1220</v>
      </c>
      <c r="CN55" s="12">
        <v>1016.2469792412312</v>
      </c>
      <c r="CO55" s="12">
        <v>131.21085182534</v>
      </c>
      <c r="CP55" s="12" t="s">
        <v>107</v>
      </c>
      <c r="CQ55" s="159" t="s">
        <v>861</v>
      </c>
      <c r="CR55" s="46" t="s">
        <v>1017</v>
      </c>
      <c r="CS55" s="46" t="s">
        <v>1013</v>
      </c>
      <c r="CT55" s="2">
        <v>30546689979</v>
      </c>
      <c r="CU55" s="2" t="s">
        <v>691</v>
      </c>
      <c r="CV55" s="49">
        <v>46087.728472222225</v>
      </c>
      <c r="CW55" s="49">
        <v>46085.874305555553</v>
      </c>
      <c r="CX55" s="2" t="b">
        <v>1</v>
      </c>
      <c r="CY55" s="2" t="b">
        <v>1</v>
      </c>
      <c r="CZ55" s="160">
        <v>46054</v>
      </c>
      <c r="DA55" s="12" t="s">
        <v>693</v>
      </c>
      <c r="DB55" s="12"/>
      <c r="DC55" s="12"/>
      <c r="DD55" s="12"/>
      <c r="DE55" s="12"/>
      <c r="DF55" s="12"/>
      <c r="DG55" s="12"/>
      <c r="DH55" s="12"/>
      <c r="DI55" s="46"/>
      <c r="DJ55" s="48"/>
      <c r="DK55" s="48"/>
      <c r="DL55" s="48"/>
      <c r="DM55" s="13"/>
      <c r="DN55" s="13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 t="str">
        <f>INDEX('con 1'!CI:CI,MATCH(B55,'con 1'!A:A,0),1)</f>
        <v>OK</v>
      </c>
      <c r="EE55" s="12" t="s">
        <v>1946</v>
      </c>
      <c r="EF55" s="12" t="s">
        <v>1947</v>
      </c>
      <c r="EG55" s="48">
        <f ca="1">AN55/INDEX(er!D:D,MATCH(AA55,er!C:C,0),1)</f>
        <v>1016.2469792412312</v>
      </c>
    </row>
    <row r="56" spans="1:137" ht="12.5" x14ac:dyDescent="0.25">
      <c r="A56" s="46" t="s">
        <v>103</v>
      </c>
      <c r="B56" s="46" t="s">
        <v>290</v>
      </c>
      <c r="C56" s="46" t="s">
        <v>94</v>
      </c>
      <c r="D56" s="46" t="s">
        <v>98</v>
      </c>
      <c r="E56" s="156">
        <v>46081</v>
      </c>
      <c r="F56" s="46" t="s">
        <v>1213</v>
      </c>
      <c r="G56" s="46" t="s">
        <v>1221</v>
      </c>
      <c r="H56" s="46" t="s">
        <v>292</v>
      </c>
      <c r="I56" s="46" t="s">
        <v>1215</v>
      </c>
      <c r="J56" s="46" t="s">
        <v>1222</v>
      </c>
      <c r="K56" s="46" t="s">
        <v>558</v>
      </c>
      <c r="L56" s="46" t="s">
        <v>686</v>
      </c>
      <c r="M56" s="2" t="s">
        <v>563</v>
      </c>
      <c r="N56" s="46" t="s">
        <v>1010</v>
      </c>
      <c r="O56" s="46" t="s">
        <v>1011</v>
      </c>
      <c r="P56" s="46" t="s">
        <v>93</v>
      </c>
      <c r="Q56" s="46" t="s">
        <v>96</v>
      </c>
      <c r="R56" s="46" t="s">
        <v>104</v>
      </c>
      <c r="S56" s="46" t="s">
        <v>107</v>
      </c>
      <c r="T56" s="46" t="s">
        <v>107</v>
      </c>
      <c r="U56" s="46" t="s">
        <v>436</v>
      </c>
      <c r="V56" s="46" t="s">
        <v>105</v>
      </c>
      <c r="W56" s="46" t="s">
        <v>439</v>
      </c>
      <c r="X56" s="46" t="s">
        <v>687</v>
      </c>
      <c r="Y56" s="46" t="s">
        <v>688</v>
      </c>
      <c r="Z56" s="46" t="s">
        <v>688</v>
      </c>
      <c r="AA56" s="46" t="s">
        <v>111</v>
      </c>
      <c r="AB56" s="12" t="s">
        <v>111</v>
      </c>
      <c r="AC56" s="12">
        <v>0</v>
      </c>
      <c r="AD56" s="12">
        <v>1184695.03</v>
      </c>
      <c r="AE56" s="12">
        <v>1</v>
      </c>
      <c r="AF56" s="12">
        <v>1</v>
      </c>
      <c r="AG56" s="12">
        <v>1</v>
      </c>
      <c r="AH56" s="12">
        <v>0.78</v>
      </c>
      <c r="AI56" s="12">
        <v>0.78</v>
      </c>
      <c r="AJ56" s="12">
        <v>0</v>
      </c>
      <c r="AK56" s="12"/>
      <c r="AL56" s="12">
        <v>0</v>
      </c>
      <c r="AM56" s="12">
        <v>0</v>
      </c>
      <c r="AN56" s="12">
        <v>0</v>
      </c>
      <c r="AO56" s="12">
        <v>924062.12340000004</v>
      </c>
      <c r="AP56" s="12">
        <v>716118.58</v>
      </c>
      <c r="AQ56" s="12"/>
      <c r="AR56" s="12">
        <v>0</v>
      </c>
      <c r="AS56" s="12">
        <v>0</v>
      </c>
      <c r="AT56" s="12">
        <v>661.46179198282039</v>
      </c>
      <c r="AU56" s="12">
        <v>-924062.12340000004</v>
      </c>
      <c r="AV56" s="12">
        <v>-924062.12340000004</v>
      </c>
      <c r="AW56" s="12">
        <v>-661.46179198282039</v>
      </c>
      <c r="AX56" s="12">
        <v>0</v>
      </c>
      <c r="AY56" s="2" t="s">
        <v>1496</v>
      </c>
      <c r="AZ56" s="2" t="s">
        <v>432</v>
      </c>
      <c r="BA56" s="46"/>
      <c r="BB56" s="2" t="s">
        <v>2158</v>
      </c>
      <c r="BC56" s="2" t="s">
        <v>102</v>
      </c>
      <c r="BD56" s="46"/>
      <c r="BE56" s="46"/>
      <c r="BF56" s="12"/>
      <c r="BG56" s="12">
        <v>1</v>
      </c>
      <c r="BH56" s="12" t="s">
        <v>1217</v>
      </c>
      <c r="BI56" s="46" t="s">
        <v>1010</v>
      </c>
      <c r="BJ56" s="46" t="s">
        <v>1013</v>
      </c>
      <c r="BK56" s="46" t="s">
        <v>874</v>
      </c>
      <c r="BL56" s="46" t="s">
        <v>771</v>
      </c>
      <c r="BM56" s="46" t="s">
        <v>771</v>
      </c>
      <c r="BN56" s="46" t="s">
        <v>735</v>
      </c>
      <c r="BO56" s="46" t="s">
        <v>710</v>
      </c>
      <c r="BP56" s="46" t="s">
        <v>436</v>
      </c>
      <c r="BQ56" s="157">
        <v>46023</v>
      </c>
      <c r="BR56" s="156">
        <v>46086</v>
      </c>
      <c r="BS56" s="46" t="s">
        <v>689</v>
      </c>
      <c r="BT56" s="46"/>
      <c r="BU56" s="12">
        <v>1</v>
      </c>
      <c r="BV56" s="158" t="s">
        <v>1223</v>
      </c>
      <c r="BW56" s="12" t="s">
        <v>1224</v>
      </c>
      <c r="BX56" s="12">
        <v>0</v>
      </c>
      <c r="BY56" s="12">
        <v>0</v>
      </c>
      <c r="BZ56" s="12">
        <v>0</v>
      </c>
      <c r="CA56" s="12">
        <v>0</v>
      </c>
      <c r="CB56" s="12">
        <v>0</v>
      </c>
      <c r="CC56" s="12">
        <v>0</v>
      </c>
      <c r="CD56" s="12">
        <v>0</v>
      </c>
      <c r="CE56" s="12">
        <v>924062.12340000004</v>
      </c>
      <c r="CF56" s="12">
        <v>1</v>
      </c>
      <c r="CG56" s="12">
        <v>7.158196134574087E-4</v>
      </c>
      <c r="CH56" s="12">
        <v>7.158196134574087E-4</v>
      </c>
      <c r="CI56" s="12" t="b">
        <v>1</v>
      </c>
      <c r="CJ56" s="12" t="b">
        <v>1</v>
      </c>
      <c r="CK56" s="12" t="s">
        <v>690</v>
      </c>
      <c r="CL56" s="2" t="s">
        <v>107</v>
      </c>
      <c r="CM56" s="2" t="s">
        <v>1220</v>
      </c>
      <c r="CN56" s="12">
        <v>0</v>
      </c>
      <c r="CO56" s="12">
        <v>661.46179198282027</v>
      </c>
      <c r="CP56" s="12" t="s">
        <v>107</v>
      </c>
      <c r="CQ56" s="161" t="s">
        <v>861</v>
      </c>
      <c r="CR56" s="46" t="s">
        <v>1017</v>
      </c>
      <c r="CS56" s="46" t="s">
        <v>1013</v>
      </c>
      <c r="CT56" s="2">
        <v>30546689979</v>
      </c>
      <c r="CU56" s="2" t="s">
        <v>691</v>
      </c>
      <c r="CV56" s="49">
        <v>46087.728472222225</v>
      </c>
      <c r="CW56" s="49">
        <v>46086.876388888886</v>
      </c>
      <c r="CX56" s="2" t="b">
        <v>1</v>
      </c>
      <c r="CY56" s="2" t="b">
        <v>1</v>
      </c>
      <c r="CZ56" s="160">
        <v>46054</v>
      </c>
      <c r="DA56" s="12" t="s">
        <v>693</v>
      </c>
      <c r="DB56" s="12"/>
      <c r="DC56" s="12"/>
      <c r="DD56" s="12"/>
      <c r="DE56" s="12"/>
      <c r="DF56" s="12"/>
      <c r="DG56" s="12"/>
      <c r="DH56" s="12"/>
      <c r="DI56" s="46"/>
      <c r="DJ56" s="48" t="s">
        <v>105</v>
      </c>
      <c r="DK56" s="48" t="s">
        <v>111</v>
      </c>
      <c r="DL56" s="48">
        <v>1419697.04</v>
      </c>
      <c r="DM56" s="13" t="s">
        <v>99</v>
      </c>
      <c r="DN56" s="13" t="s">
        <v>99</v>
      </c>
      <c r="DO56" s="12">
        <v>-1.0000000009313226E-2</v>
      </c>
      <c r="DP56" s="12" t="s">
        <v>290</v>
      </c>
      <c r="DQ56" s="12" t="s">
        <v>111</v>
      </c>
      <c r="DR56" s="12">
        <v>1419697.03</v>
      </c>
      <c r="DS56" s="12" t="s">
        <v>99</v>
      </c>
      <c r="DT56" s="12">
        <v>0</v>
      </c>
      <c r="DU56" s="12"/>
      <c r="DV56" s="12"/>
      <c r="DW56" s="12" t="s">
        <v>16</v>
      </c>
      <c r="DX56" s="12"/>
      <c r="DY56" s="12" t="s">
        <v>111</v>
      </c>
      <c r="DZ56" s="12">
        <v>858171.37</v>
      </c>
      <c r="EA56" s="12" t="s">
        <v>99</v>
      </c>
      <c r="EB56" s="12">
        <v>249192.31339999998</v>
      </c>
      <c r="EC56" s="12"/>
      <c r="ED56" s="12" t="str">
        <f>INDEX('con 1'!CI:CI,MATCH(B56,'con 1'!A:A,0),1)</f>
        <v>OK</v>
      </c>
      <c r="EE56" s="12" t="s">
        <v>1948</v>
      </c>
      <c r="EF56" s="12" t="s">
        <v>1947</v>
      </c>
      <c r="EG56" s="48">
        <f ca="1">AN56/INDEX(er!D:D,MATCH(AA56,er!C:C,0),1)</f>
        <v>0</v>
      </c>
    </row>
    <row r="57" spans="1:137" ht="12.5" x14ac:dyDescent="0.25">
      <c r="A57" s="46" t="s">
        <v>103</v>
      </c>
      <c r="B57" s="46" t="s">
        <v>293</v>
      </c>
      <c r="C57" s="46" t="s">
        <v>94</v>
      </c>
      <c r="D57" s="46" t="s">
        <v>98</v>
      </c>
      <c r="E57" s="156">
        <v>46081</v>
      </c>
      <c r="F57" s="46" t="s">
        <v>1225</v>
      </c>
      <c r="G57" s="46" t="s">
        <v>1226</v>
      </c>
      <c r="H57" s="46" t="s">
        <v>295</v>
      </c>
      <c r="I57" s="46" t="s">
        <v>1227</v>
      </c>
      <c r="J57" s="46" t="s">
        <v>1228</v>
      </c>
      <c r="K57" s="46" t="s">
        <v>559</v>
      </c>
      <c r="L57" s="46" t="s">
        <v>686</v>
      </c>
      <c r="M57" s="2" t="s">
        <v>563</v>
      </c>
      <c r="N57" s="46" t="s">
        <v>870</v>
      </c>
      <c r="O57" s="46" t="s">
        <v>871</v>
      </c>
      <c r="P57" s="46" t="s">
        <v>93</v>
      </c>
      <c r="Q57" s="46" t="s">
        <v>96</v>
      </c>
      <c r="R57" s="46" t="s">
        <v>104</v>
      </c>
      <c r="S57" s="46" t="s">
        <v>107</v>
      </c>
      <c r="T57" s="46" t="s">
        <v>107</v>
      </c>
      <c r="U57" s="46" t="s">
        <v>436</v>
      </c>
      <c r="V57" s="46" t="s">
        <v>105</v>
      </c>
      <c r="W57" s="46" t="s">
        <v>439</v>
      </c>
      <c r="X57" s="46" t="s">
        <v>687</v>
      </c>
      <c r="Y57" s="46" t="s">
        <v>688</v>
      </c>
      <c r="Z57" s="46" t="s">
        <v>688</v>
      </c>
      <c r="AA57" s="46" t="s">
        <v>111</v>
      </c>
      <c r="AB57" s="12" t="s">
        <v>111</v>
      </c>
      <c r="AC57" s="12">
        <v>3110400</v>
      </c>
      <c r="AD57" s="12">
        <v>3110400</v>
      </c>
      <c r="AE57" s="12">
        <v>1</v>
      </c>
      <c r="AF57" s="12">
        <v>1</v>
      </c>
      <c r="AG57" s="12">
        <v>1</v>
      </c>
      <c r="AH57" s="12">
        <v>0.78</v>
      </c>
      <c r="AI57" s="12">
        <v>0.78</v>
      </c>
      <c r="AJ57" s="12">
        <v>0</v>
      </c>
      <c r="AK57" s="12"/>
      <c r="AL57" s="12">
        <v>3110400</v>
      </c>
      <c r="AM57" s="12">
        <v>3110400</v>
      </c>
      <c r="AN57" s="12">
        <v>3110400</v>
      </c>
      <c r="AO57" s="12">
        <v>2426112</v>
      </c>
      <c r="AP57" s="12">
        <v>1880159.16</v>
      </c>
      <c r="AQ57" s="12"/>
      <c r="AR57" s="12">
        <v>3110400</v>
      </c>
      <c r="AS57" s="12">
        <v>2226.4853256979241</v>
      </c>
      <c r="AT57" s="12">
        <v>1736.6585540443807</v>
      </c>
      <c r="AU57" s="12">
        <v>684288</v>
      </c>
      <c r="AV57" s="12">
        <v>684288</v>
      </c>
      <c r="AW57" s="12">
        <v>489.82677165354329</v>
      </c>
      <c r="AX57" s="12">
        <v>22</v>
      </c>
      <c r="AY57" s="2" t="s">
        <v>2336</v>
      </c>
      <c r="AZ57" s="2" t="s">
        <v>101</v>
      </c>
      <c r="BA57" s="46"/>
      <c r="BB57" s="2" t="s">
        <v>2337</v>
      </c>
      <c r="BC57" s="2" t="s">
        <v>102</v>
      </c>
      <c r="BD57" s="46"/>
      <c r="BE57" s="46"/>
      <c r="BF57" s="12"/>
      <c r="BG57" s="12">
        <v>1</v>
      </c>
      <c r="BH57" s="12" t="s">
        <v>1229</v>
      </c>
      <c r="BI57" s="46" t="s">
        <v>870</v>
      </c>
      <c r="BJ57" s="46" t="s">
        <v>873</v>
      </c>
      <c r="BK57" s="46" t="s">
        <v>874</v>
      </c>
      <c r="BL57" s="46" t="s">
        <v>771</v>
      </c>
      <c r="BM57" s="46" t="s">
        <v>771</v>
      </c>
      <c r="BN57" s="46" t="s">
        <v>735</v>
      </c>
      <c r="BO57" s="46" t="s">
        <v>710</v>
      </c>
      <c r="BP57" s="46" t="s">
        <v>436</v>
      </c>
      <c r="BQ57" s="157">
        <v>46062</v>
      </c>
      <c r="BR57" s="156">
        <v>46062</v>
      </c>
      <c r="BS57" s="46" t="s">
        <v>740</v>
      </c>
      <c r="BT57" s="46"/>
      <c r="BU57" s="12">
        <v>1</v>
      </c>
      <c r="BV57" s="158" t="s">
        <v>1230</v>
      </c>
      <c r="BW57" s="12" t="s">
        <v>1231</v>
      </c>
      <c r="BX57" s="12">
        <v>0</v>
      </c>
      <c r="BY57" s="12">
        <v>0</v>
      </c>
      <c r="BZ57" s="12">
        <v>0</v>
      </c>
      <c r="CA57" s="12">
        <v>0</v>
      </c>
      <c r="CB57" s="12">
        <v>3110400</v>
      </c>
      <c r="CC57" s="12">
        <v>3110400</v>
      </c>
      <c r="CD57" s="12">
        <v>2426112</v>
      </c>
      <c r="CE57" s="12">
        <v>2426112</v>
      </c>
      <c r="CF57" s="12">
        <v>1</v>
      </c>
      <c r="CG57" s="12">
        <v>7.158196134574087E-4</v>
      </c>
      <c r="CH57" s="12">
        <v>7.158196134574087E-4</v>
      </c>
      <c r="CI57" s="12" t="b">
        <v>0</v>
      </c>
      <c r="CJ57" s="12" t="b">
        <v>0</v>
      </c>
      <c r="CK57" s="12" t="s">
        <v>690</v>
      </c>
      <c r="CL57" s="2" t="s">
        <v>107</v>
      </c>
      <c r="CM57" s="2" t="s">
        <v>877</v>
      </c>
      <c r="CN57" s="12">
        <v>2226.4853256979241</v>
      </c>
      <c r="CO57" s="12">
        <v>1736.6585540443807</v>
      </c>
      <c r="CP57" s="12" t="s">
        <v>107</v>
      </c>
      <c r="CQ57" s="159" t="s">
        <v>871</v>
      </c>
      <c r="CR57" s="46" t="s">
        <v>878</v>
      </c>
      <c r="CS57" s="46" t="s">
        <v>878</v>
      </c>
      <c r="CT57" s="2">
        <v>30714243949</v>
      </c>
      <c r="CU57" s="2" t="s">
        <v>691</v>
      </c>
      <c r="CV57" s="49">
        <v>46087.728472222225</v>
      </c>
      <c r="CW57" s="49">
        <v>46085.874305555553</v>
      </c>
      <c r="CX57" s="2" t="b">
        <v>1</v>
      </c>
      <c r="CY57" s="2" t="b">
        <v>1</v>
      </c>
      <c r="CZ57" s="160">
        <v>46054</v>
      </c>
      <c r="DA57" s="12" t="s">
        <v>693</v>
      </c>
      <c r="DB57" s="12"/>
      <c r="DC57" s="12"/>
      <c r="DD57" s="12"/>
      <c r="DE57" s="12"/>
      <c r="DF57" s="12"/>
      <c r="DG57" s="12"/>
      <c r="DH57" s="12"/>
      <c r="DI57" s="46"/>
      <c r="DJ57" s="48" t="s">
        <v>105</v>
      </c>
      <c r="DK57" s="48" t="s">
        <v>111</v>
      </c>
      <c r="DL57" s="48">
        <v>3110400</v>
      </c>
      <c r="DM57" s="13" t="s">
        <v>99</v>
      </c>
      <c r="DN57" s="13" t="s">
        <v>99</v>
      </c>
      <c r="DO57" s="12">
        <v>0</v>
      </c>
      <c r="DP57" s="12" t="s">
        <v>293</v>
      </c>
      <c r="DQ57" s="12" t="s">
        <v>111</v>
      </c>
      <c r="DR57" s="12">
        <v>3110400</v>
      </c>
      <c r="DS57" s="12" t="s">
        <v>99</v>
      </c>
      <c r="DT57" s="12">
        <v>0</v>
      </c>
      <c r="DU57" s="12"/>
      <c r="DV57" s="12"/>
      <c r="DW57" s="12" t="s">
        <v>16</v>
      </c>
      <c r="DX57" s="12"/>
      <c r="DY57" s="12" t="s">
        <v>111</v>
      </c>
      <c r="DZ57" s="12">
        <v>1880159.04</v>
      </c>
      <c r="EA57" s="12" t="s">
        <v>99</v>
      </c>
      <c r="EB57" s="12">
        <v>545952.96</v>
      </c>
      <c r="EC57" s="12"/>
      <c r="ED57" s="12" t="str">
        <f>INDEX('con 1'!CI:CI,MATCH(B57,'con 1'!A:A,0),1)</f>
        <v>OK</v>
      </c>
      <c r="EE57" s="12" t="s">
        <v>1946</v>
      </c>
      <c r="EF57" s="12" t="s">
        <v>1947</v>
      </c>
      <c r="EG57" s="48">
        <f ca="1">AN57/INDEX(er!D:D,MATCH(AA57,er!C:C,0),1)</f>
        <v>2226.4853256979241</v>
      </c>
    </row>
    <row r="58" spans="1:137" ht="12.5" x14ac:dyDescent="0.25">
      <c r="A58" s="46" t="s">
        <v>103</v>
      </c>
      <c r="B58" s="46" t="s">
        <v>296</v>
      </c>
      <c r="C58" s="46" t="s">
        <v>94</v>
      </c>
      <c r="D58" s="46" t="s">
        <v>98</v>
      </c>
      <c r="E58" s="156">
        <v>46081</v>
      </c>
      <c r="F58" s="46" t="s">
        <v>1232</v>
      </c>
      <c r="G58" s="46" t="s">
        <v>1233</v>
      </c>
      <c r="H58" s="46" t="s">
        <v>298</v>
      </c>
      <c r="I58" s="46" t="s">
        <v>1234</v>
      </c>
      <c r="J58" s="46" t="s">
        <v>1235</v>
      </c>
      <c r="K58" s="46" t="s">
        <v>559</v>
      </c>
      <c r="L58" s="46" t="s">
        <v>686</v>
      </c>
      <c r="M58" s="2" t="s">
        <v>563</v>
      </c>
      <c r="N58" s="46" t="s">
        <v>1236</v>
      </c>
      <c r="O58" s="46" t="s">
        <v>1237</v>
      </c>
      <c r="P58" s="46" t="s">
        <v>93</v>
      </c>
      <c r="Q58" s="46" t="s">
        <v>96</v>
      </c>
      <c r="R58" s="46" t="s">
        <v>104</v>
      </c>
      <c r="S58" s="46" t="s">
        <v>107</v>
      </c>
      <c r="T58" s="46" t="s">
        <v>107</v>
      </c>
      <c r="U58" s="46" t="s">
        <v>436</v>
      </c>
      <c r="V58" s="46" t="s">
        <v>105</v>
      </c>
      <c r="W58" s="46" t="s">
        <v>439</v>
      </c>
      <c r="X58" s="46" t="s">
        <v>687</v>
      </c>
      <c r="Y58" s="46" t="s">
        <v>688</v>
      </c>
      <c r="Z58" s="46" t="s">
        <v>688</v>
      </c>
      <c r="AA58" s="46" t="s">
        <v>111</v>
      </c>
      <c r="AB58" s="12" t="s">
        <v>95</v>
      </c>
      <c r="AC58" s="12">
        <v>8.35</v>
      </c>
      <c r="AD58" s="12">
        <v>8.35</v>
      </c>
      <c r="AE58" s="12">
        <v>1550</v>
      </c>
      <c r="AF58" s="12">
        <v>1</v>
      </c>
      <c r="AG58" s="12">
        <v>1</v>
      </c>
      <c r="AH58" s="12">
        <v>0.85</v>
      </c>
      <c r="AI58" s="12">
        <v>0.85</v>
      </c>
      <c r="AJ58" s="12">
        <v>0</v>
      </c>
      <c r="AK58" s="12"/>
      <c r="AL58" s="12">
        <v>8.35</v>
      </c>
      <c r="AM58" s="12">
        <v>8.35</v>
      </c>
      <c r="AN58" s="12">
        <v>12942.5</v>
      </c>
      <c r="AO58" s="12">
        <v>7.0975000000000001</v>
      </c>
      <c r="AP58" s="12">
        <v>5.5</v>
      </c>
      <c r="AQ58" s="12">
        <v>1550</v>
      </c>
      <c r="AR58" s="12">
        <v>8.35</v>
      </c>
      <c r="AS58" s="12">
        <v>8.35</v>
      </c>
      <c r="AT58" s="12">
        <v>7.0975000000000001</v>
      </c>
      <c r="AU58" s="12">
        <v>3027.2925</v>
      </c>
      <c r="AV58" s="12">
        <v>1.2524999999999999</v>
      </c>
      <c r="AW58" s="12">
        <v>1.2524999999999999</v>
      </c>
      <c r="AX58" s="12">
        <v>15</v>
      </c>
      <c r="AY58" s="2" t="s">
        <v>2338</v>
      </c>
      <c r="AZ58" s="2" t="s">
        <v>101</v>
      </c>
      <c r="BA58" s="46"/>
      <c r="BB58" s="2" t="s">
        <v>2339</v>
      </c>
      <c r="BC58" s="2" t="s">
        <v>102</v>
      </c>
      <c r="BD58" s="46"/>
      <c r="BE58" s="46"/>
      <c r="BF58" s="12"/>
      <c r="BG58" s="12">
        <v>1397</v>
      </c>
      <c r="BH58" s="12" t="s">
        <v>1238</v>
      </c>
      <c r="BI58" s="46" t="s">
        <v>1236</v>
      </c>
      <c r="BJ58" s="46" t="s">
        <v>1239</v>
      </c>
      <c r="BK58" s="46" t="s">
        <v>874</v>
      </c>
      <c r="BL58" s="46" t="s">
        <v>874</v>
      </c>
      <c r="BM58" s="46" t="s">
        <v>874</v>
      </c>
      <c r="BN58" s="46" t="s">
        <v>698</v>
      </c>
      <c r="BO58" s="46"/>
      <c r="BP58" s="46" t="s">
        <v>436</v>
      </c>
      <c r="BQ58" s="157">
        <v>46049</v>
      </c>
      <c r="BR58" s="156">
        <v>46203</v>
      </c>
      <c r="BS58" s="46" t="s">
        <v>689</v>
      </c>
      <c r="BT58" s="46"/>
      <c r="BU58" s="12">
        <v>1</v>
      </c>
      <c r="BV58" s="158" t="s">
        <v>1240</v>
      </c>
      <c r="BW58" s="12" t="s">
        <v>1241</v>
      </c>
      <c r="BX58" s="12">
        <v>0</v>
      </c>
      <c r="BY58" s="12">
        <v>0</v>
      </c>
      <c r="BZ58" s="12">
        <v>0</v>
      </c>
      <c r="CA58" s="12">
        <v>0</v>
      </c>
      <c r="CB58" s="12">
        <v>9032.2580645161288</v>
      </c>
      <c r="CC58" s="12">
        <v>9032.258065</v>
      </c>
      <c r="CD58" s="12">
        <v>7677.419355</v>
      </c>
      <c r="CE58" s="12">
        <v>9915.2075000000004</v>
      </c>
      <c r="CF58" s="12">
        <v>1550</v>
      </c>
      <c r="CG58" s="12">
        <v>1</v>
      </c>
      <c r="CH58" s="12">
        <v>1</v>
      </c>
      <c r="CI58" s="12" t="b">
        <v>0</v>
      </c>
      <c r="CJ58" s="12" t="b">
        <v>0</v>
      </c>
      <c r="CK58" s="12" t="s">
        <v>690</v>
      </c>
      <c r="CL58" s="2" t="s">
        <v>107</v>
      </c>
      <c r="CM58" s="12" t="s">
        <v>1242</v>
      </c>
      <c r="CN58" s="12">
        <v>8.35</v>
      </c>
      <c r="CO58" s="12">
        <v>7.0975000000000001</v>
      </c>
      <c r="CP58" s="12" t="s">
        <v>107</v>
      </c>
      <c r="CQ58" s="12" t="s">
        <v>1237</v>
      </c>
      <c r="CR58" s="46" t="s">
        <v>1243</v>
      </c>
      <c r="CS58" s="46" t="s">
        <v>1239</v>
      </c>
      <c r="CT58" s="2">
        <v>30715907948</v>
      </c>
      <c r="CU58" s="2" t="s">
        <v>691</v>
      </c>
      <c r="CV58" s="49">
        <v>46087.728472222225</v>
      </c>
      <c r="CW58" s="49">
        <v>46085.874305555553</v>
      </c>
      <c r="CX58" s="2" t="b">
        <v>1</v>
      </c>
      <c r="CY58" s="2" t="b">
        <v>1</v>
      </c>
      <c r="CZ58" s="160">
        <v>46054</v>
      </c>
      <c r="DA58" s="12" t="s">
        <v>693</v>
      </c>
      <c r="DB58" s="12"/>
      <c r="DC58" s="12"/>
      <c r="DD58" s="12"/>
      <c r="DE58" s="12"/>
      <c r="DF58" s="12"/>
      <c r="DG58" s="12"/>
      <c r="DH58" s="12"/>
      <c r="DI58" s="46"/>
      <c r="DJ58" s="48" t="s">
        <v>105</v>
      </c>
      <c r="DK58" s="48" t="s">
        <v>95</v>
      </c>
      <c r="DL58" s="48">
        <v>8.35</v>
      </c>
      <c r="DM58" s="13" t="s">
        <v>99</v>
      </c>
      <c r="DN58" s="13" t="s">
        <v>99</v>
      </c>
      <c r="DO58" s="12">
        <v>0</v>
      </c>
      <c r="DP58" s="12" t="s">
        <v>296</v>
      </c>
      <c r="DQ58" s="12" t="s">
        <v>95</v>
      </c>
      <c r="DR58" s="12">
        <v>8.35</v>
      </c>
      <c r="DS58" s="12" t="s">
        <v>99</v>
      </c>
      <c r="DT58" s="12">
        <v>0</v>
      </c>
      <c r="DU58" s="12"/>
      <c r="DV58" s="12"/>
      <c r="DW58" s="12" t="s">
        <v>16</v>
      </c>
      <c r="DX58" s="12"/>
      <c r="DY58" s="12" t="s">
        <v>95</v>
      </c>
      <c r="DZ58" s="12">
        <v>7.1</v>
      </c>
      <c r="EA58" s="12" t="s">
        <v>99</v>
      </c>
      <c r="EB58" s="12">
        <v>-2.4999999999995026E-3</v>
      </c>
      <c r="EC58" s="12"/>
      <c r="ED58" s="12" t="str">
        <f>INDEX('con 1'!CI:CI,MATCH(B58,'con 1'!A:A,0),1)</f>
        <v>OK. Diff. Bill. / Adv. Country</v>
      </c>
      <c r="EE58" s="12" t="s">
        <v>1946</v>
      </c>
      <c r="EF58" s="12" t="s">
        <v>1947</v>
      </c>
      <c r="EG58" s="48">
        <f ca="1">AN58/INDEX(er!D:D,MATCH(AA58,er!C:C,0),1)</f>
        <v>9.2644953471725131</v>
      </c>
    </row>
    <row r="59" spans="1:137" ht="12.5" x14ac:dyDescent="0.25">
      <c r="A59" s="46" t="s">
        <v>103</v>
      </c>
      <c r="B59" s="46" t="s">
        <v>300</v>
      </c>
      <c r="C59" s="46" t="s">
        <v>94</v>
      </c>
      <c r="D59" s="46" t="s">
        <v>98</v>
      </c>
      <c r="E59" s="156">
        <v>46081</v>
      </c>
      <c r="F59" s="46" t="s">
        <v>1244</v>
      </c>
      <c r="G59" s="46" t="s">
        <v>1245</v>
      </c>
      <c r="H59" s="46" t="s">
        <v>302</v>
      </c>
      <c r="I59" s="46" t="s">
        <v>1246</v>
      </c>
      <c r="J59" s="46" t="s">
        <v>1247</v>
      </c>
      <c r="K59" s="46" t="s">
        <v>559</v>
      </c>
      <c r="L59" s="46" t="s">
        <v>686</v>
      </c>
      <c r="M59" s="2" t="s">
        <v>563</v>
      </c>
      <c r="N59" s="46" t="s">
        <v>1236</v>
      </c>
      <c r="O59" s="46" t="s">
        <v>1237</v>
      </c>
      <c r="P59" s="46" t="s">
        <v>93</v>
      </c>
      <c r="Q59" s="46" t="s">
        <v>96</v>
      </c>
      <c r="R59" s="46" t="s">
        <v>104</v>
      </c>
      <c r="S59" s="46" t="s">
        <v>107</v>
      </c>
      <c r="T59" s="46" t="s">
        <v>107</v>
      </c>
      <c r="U59" s="46" t="s">
        <v>436</v>
      </c>
      <c r="V59" s="46" t="s">
        <v>105</v>
      </c>
      <c r="W59" s="46" t="s">
        <v>439</v>
      </c>
      <c r="X59" s="46" t="s">
        <v>687</v>
      </c>
      <c r="Y59" s="46" t="s">
        <v>688</v>
      </c>
      <c r="Z59" s="46" t="s">
        <v>688</v>
      </c>
      <c r="AA59" s="46" t="s">
        <v>111</v>
      </c>
      <c r="AB59" s="12" t="s">
        <v>95</v>
      </c>
      <c r="AC59" s="12">
        <v>1722</v>
      </c>
      <c r="AD59" s="12">
        <v>1722</v>
      </c>
      <c r="AE59" s="12">
        <v>1550</v>
      </c>
      <c r="AF59" s="12">
        <v>1</v>
      </c>
      <c r="AG59" s="12">
        <v>1</v>
      </c>
      <c r="AH59" s="12">
        <v>0.85</v>
      </c>
      <c r="AI59" s="12">
        <v>0.85</v>
      </c>
      <c r="AJ59" s="12">
        <v>0</v>
      </c>
      <c r="AK59" s="12"/>
      <c r="AL59" s="12">
        <v>1722</v>
      </c>
      <c r="AM59" s="12">
        <v>1722</v>
      </c>
      <c r="AN59" s="12">
        <v>2669100</v>
      </c>
      <c r="AO59" s="12">
        <v>1463.7</v>
      </c>
      <c r="AP59" s="12">
        <v>1134.32</v>
      </c>
      <c r="AQ59" s="12">
        <v>1550</v>
      </c>
      <c r="AR59" s="12">
        <v>1722</v>
      </c>
      <c r="AS59" s="12">
        <v>1722</v>
      </c>
      <c r="AT59" s="12">
        <v>1463.7</v>
      </c>
      <c r="AU59" s="12">
        <v>624311.1</v>
      </c>
      <c r="AV59" s="12">
        <v>258.3</v>
      </c>
      <c r="AW59" s="12">
        <v>258.3</v>
      </c>
      <c r="AX59" s="12">
        <v>15</v>
      </c>
      <c r="AY59" s="2" t="s">
        <v>2019</v>
      </c>
      <c r="AZ59" s="2" t="s">
        <v>101</v>
      </c>
      <c r="BA59" s="46"/>
      <c r="BB59" s="2" t="s">
        <v>2170</v>
      </c>
      <c r="BC59" s="2" t="s">
        <v>102</v>
      </c>
      <c r="BD59" s="46"/>
      <c r="BE59" s="46"/>
      <c r="BF59" s="12"/>
      <c r="BG59" s="12">
        <v>1397</v>
      </c>
      <c r="BH59" s="12" t="s">
        <v>1248</v>
      </c>
      <c r="BI59" s="46" t="s">
        <v>1236</v>
      </c>
      <c r="BJ59" s="46" t="s">
        <v>1239</v>
      </c>
      <c r="BK59" s="46" t="s">
        <v>874</v>
      </c>
      <c r="BL59" s="46" t="s">
        <v>874</v>
      </c>
      <c r="BM59" s="46" t="s">
        <v>874</v>
      </c>
      <c r="BN59" s="46" t="s">
        <v>698</v>
      </c>
      <c r="BO59" s="46"/>
      <c r="BP59" s="46" t="s">
        <v>436</v>
      </c>
      <c r="BQ59" s="157">
        <v>46049</v>
      </c>
      <c r="BR59" s="156">
        <v>46203</v>
      </c>
      <c r="BS59" s="46" t="s">
        <v>689</v>
      </c>
      <c r="BT59" s="46"/>
      <c r="BU59" s="12">
        <v>1</v>
      </c>
      <c r="BV59" s="158" t="s">
        <v>1249</v>
      </c>
      <c r="BW59" s="12" t="s">
        <v>1250</v>
      </c>
      <c r="BX59" s="12">
        <v>0</v>
      </c>
      <c r="BY59" s="12">
        <v>0</v>
      </c>
      <c r="BZ59" s="12">
        <v>0</v>
      </c>
      <c r="CA59" s="12">
        <v>0</v>
      </c>
      <c r="CB59" s="12">
        <v>9032.2580645161288</v>
      </c>
      <c r="CC59" s="12">
        <v>9032.258065</v>
      </c>
      <c r="CD59" s="12">
        <v>7677.419355</v>
      </c>
      <c r="CE59" s="12">
        <v>2044788.9</v>
      </c>
      <c r="CF59" s="12">
        <v>1550</v>
      </c>
      <c r="CG59" s="12">
        <v>1</v>
      </c>
      <c r="CH59" s="12">
        <v>1</v>
      </c>
      <c r="CI59" s="12" t="b">
        <v>0</v>
      </c>
      <c r="CJ59" s="12" t="b">
        <v>0</v>
      </c>
      <c r="CK59" s="12" t="s">
        <v>690</v>
      </c>
      <c r="CL59" s="2" t="s">
        <v>107</v>
      </c>
      <c r="CM59" s="12" t="s">
        <v>1251</v>
      </c>
      <c r="CN59" s="12">
        <v>1722</v>
      </c>
      <c r="CO59" s="12">
        <v>1463.7</v>
      </c>
      <c r="CP59" s="12" t="s">
        <v>107</v>
      </c>
      <c r="CQ59" s="12" t="s">
        <v>1237</v>
      </c>
      <c r="CR59" s="46" t="s">
        <v>1243</v>
      </c>
      <c r="CS59" s="46" t="s">
        <v>1239</v>
      </c>
      <c r="CT59" s="2">
        <v>30715907948</v>
      </c>
      <c r="CU59" s="2" t="s">
        <v>691</v>
      </c>
      <c r="CV59" s="49">
        <v>46087.728472222225</v>
      </c>
      <c r="CW59" s="49">
        <v>46085.874305555553</v>
      </c>
      <c r="CX59" s="2" t="b">
        <v>1</v>
      </c>
      <c r="CY59" s="2" t="b">
        <v>1</v>
      </c>
      <c r="CZ59" s="160">
        <v>46054</v>
      </c>
      <c r="DA59" s="12" t="s">
        <v>693</v>
      </c>
      <c r="DB59" s="12"/>
      <c r="DC59" s="12"/>
      <c r="DD59" s="12"/>
      <c r="DE59" s="12"/>
      <c r="DF59" s="12"/>
      <c r="DG59" s="12"/>
      <c r="DH59" s="12"/>
      <c r="DI59" s="46"/>
      <c r="DJ59" s="48" t="s">
        <v>105</v>
      </c>
      <c r="DK59" s="48" t="s">
        <v>95</v>
      </c>
      <c r="DL59" s="48">
        <v>1722</v>
      </c>
      <c r="DM59" s="13" t="s">
        <v>99</v>
      </c>
      <c r="DN59" s="13" t="s">
        <v>99</v>
      </c>
      <c r="DO59" s="12">
        <v>0</v>
      </c>
      <c r="DP59" s="12" t="s">
        <v>300</v>
      </c>
      <c r="DQ59" s="12" t="s">
        <v>95</v>
      </c>
      <c r="DR59" s="12">
        <v>1722</v>
      </c>
      <c r="DS59" s="12" t="s">
        <v>99</v>
      </c>
      <c r="DT59" s="12">
        <v>0</v>
      </c>
      <c r="DU59" s="12"/>
      <c r="DV59" s="12"/>
      <c r="DW59" s="12" t="s">
        <v>16</v>
      </c>
      <c r="DX59" s="12"/>
      <c r="DY59" s="12" t="s">
        <v>95</v>
      </c>
      <c r="DZ59" s="12">
        <v>1463.7</v>
      </c>
      <c r="EA59" s="12" t="s">
        <v>99</v>
      </c>
      <c r="EB59" s="12">
        <v>0</v>
      </c>
      <c r="EC59" s="12"/>
      <c r="ED59" s="12" t="str">
        <f>INDEX('con 1'!CI:CI,MATCH(B59,'con 1'!A:A,0),1)</f>
        <v>OK. Diff. Bill. / Adv. Country</v>
      </c>
      <c r="EE59" s="12" t="s">
        <v>1946</v>
      </c>
      <c r="EF59" s="12" t="s">
        <v>1947</v>
      </c>
      <c r="EG59" s="48">
        <f ca="1">AN59/INDEX(er!D:D,MATCH(AA59,er!C:C,0),1)</f>
        <v>1910.5941302791696</v>
      </c>
    </row>
    <row r="60" spans="1:137" ht="12.5" x14ac:dyDescent="0.25">
      <c r="A60" s="46" t="s">
        <v>103</v>
      </c>
      <c r="B60" s="46" t="s">
        <v>303</v>
      </c>
      <c r="C60" s="46" t="s">
        <v>94</v>
      </c>
      <c r="D60" s="46" t="s">
        <v>98</v>
      </c>
      <c r="E60" s="156">
        <v>46081</v>
      </c>
      <c r="F60" s="46" t="s">
        <v>1252</v>
      </c>
      <c r="G60" s="46" t="s">
        <v>1253</v>
      </c>
      <c r="H60" s="46" t="s">
        <v>305</v>
      </c>
      <c r="I60" s="46" t="s">
        <v>1254</v>
      </c>
      <c r="J60" s="46" t="s">
        <v>1255</v>
      </c>
      <c r="K60" s="46" t="s">
        <v>559</v>
      </c>
      <c r="L60" s="46" t="s">
        <v>686</v>
      </c>
      <c r="M60" s="2" t="s">
        <v>563</v>
      </c>
      <c r="N60" s="46" t="s">
        <v>1256</v>
      </c>
      <c r="O60" s="46" t="s">
        <v>1257</v>
      </c>
      <c r="P60" s="46" t="s">
        <v>93</v>
      </c>
      <c r="Q60" s="46" t="s">
        <v>96</v>
      </c>
      <c r="R60" s="46" t="s">
        <v>104</v>
      </c>
      <c r="S60" s="46" t="s">
        <v>107</v>
      </c>
      <c r="T60" s="46" t="s">
        <v>107</v>
      </c>
      <c r="U60" s="46" t="s">
        <v>436</v>
      </c>
      <c r="V60" s="46" t="s">
        <v>105</v>
      </c>
      <c r="W60" s="46" t="s">
        <v>439</v>
      </c>
      <c r="X60" s="46" t="s">
        <v>687</v>
      </c>
      <c r="Y60" s="46" t="s">
        <v>688</v>
      </c>
      <c r="Z60" s="46" t="s">
        <v>688</v>
      </c>
      <c r="AA60" s="46" t="s">
        <v>111</v>
      </c>
      <c r="AB60" s="12" t="s">
        <v>111</v>
      </c>
      <c r="AC60" s="12">
        <v>5000000</v>
      </c>
      <c r="AD60" s="12">
        <v>5000000</v>
      </c>
      <c r="AE60" s="12">
        <v>1</v>
      </c>
      <c r="AF60" s="12">
        <v>1</v>
      </c>
      <c r="AG60" s="12">
        <v>1</v>
      </c>
      <c r="AH60" s="12">
        <v>0.78</v>
      </c>
      <c r="AI60" s="12">
        <v>0.78</v>
      </c>
      <c r="AJ60" s="12">
        <v>0</v>
      </c>
      <c r="AK60" s="12"/>
      <c r="AL60" s="12">
        <v>5000000</v>
      </c>
      <c r="AM60" s="12">
        <v>5000000</v>
      </c>
      <c r="AN60" s="12">
        <v>5000000</v>
      </c>
      <c r="AO60" s="12">
        <v>3900000</v>
      </c>
      <c r="AP60" s="12">
        <v>3022375.2</v>
      </c>
      <c r="AQ60" s="12"/>
      <c r="AR60" s="12">
        <v>5000000</v>
      </c>
      <c r="AS60" s="12">
        <v>3579.0980672870437</v>
      </c>
      <c r="AT60" s="12">
        <v>2791.696492483894</v>
      </c>
      <c r="AU60" s="12">
        <v>1100000</v>
      </c>
      <c r="AV60" s="12">
        <v>1100000</v>
      </c>
      <c r="AW60" s="12">
        <v>787.40157480314963</v>
      </c>
      <c r="AX60" s="12">
        <v>22</v>
      </c>
      <c r="AY60" s="2" t="s">
        <v>2340</v>
      </c>
      <c r="AZ60" s="2" t="s">
        <v>101</v>
      </c>
      <c r="BA60" s="46"/>
      <c r="BB60" s="2" t="s">
        <v>2341</v>
      </c>
      <c r="BC60" s="2" t="s">
        <v>102</v>
      </c>
      <c r="BD60" s="46"/>
      <c r="BE60" s="46"/>
      <c r="BF60" s="12"/>
      <c r="BG60" s="12">
        <v>1</v>
      </c>
      <c r="BH60" s="12" t="s">
        <v>1258</v>
      </c>
      <c r="BI60" s="46" t="s">
        <v>1256</v>
      </c>
      <c r="BJ60" s="46" t="s">
        <v>1259</v>
      </c>
      <c r="BK60" s="46" t="s">
        <v>874</v>
      </c>
      <c r="BL60" s="46" t="s">
        <v>874</v>
      </c>
      <c r="BM60" s="46" t="s">
        <v>874</v>
      </c>
      <c r="BN60" s="46" t="s">
        <v>735</v>
      </c>
      <c r="BO60" s="46" t="s">
        <v>710</v>
      </c>
      <c r="BP60" s="46" t="s">
        <v>436</v>
      </c>
      <c r="BQ60" s="157">
        <v>46054</v>
      </c>
      <c r="BR60" s="156">
        <v>46081</v>
      </c>
      <c r="BS60" s="46" t="s">
        <v>746</v>
      </c>
      <c r="BT60" s="46"/>
      <c r="BU60" s="12">
        <v>1</v>
      </c>
      <c r="BV60" s="158" t="s">
        <v>1260</v>
      </c>
      <c r="BW60" s="12" t="s">
        <v>1261</v>
      </c>
      <c r="BX60" s="12">
        <v>0</v>
      </c>
      <c r="BY60" s="12">
        <v>0</v>
      </c>
      <c r="BZ60" s="12">
        <v>0</v>
      </c>
      <c r="CA60" s="12">
        <v>0</v>
      </c>
      <c r="CB60" s="12">
        <v>5000000</v>
      </c>
      <c r="CC60" s="12">
        <v>5000000</v>
      </c>
      <c r="CD60" s="12">
        <v>3900000</v>
      </c>
      <c r="CE60" s="12">
        <v>3900000</v>
      </c>
      <c r="CF60" s="12">
        <v>1</v>
      </c>
      <c r="CG60" s="12">
        <v>7.158196134574087E-4</v>
      </c>
      <c r="CH60" s="12">
        <v>7.158196134574087E-4</v>
      </c>
      <c r="CI60" s="12" t="b">
        <v>0</v>
      </c>
      <c r="CJ60" s="12" t="b">
        <v>0</v>
      </c>
      <c r="CK60" s="12" t="s">
        <v>690</v>
      </c>
      <c r="CL60" s="2" t="s">
        <v>107</v>
      </c>
      <c r="CM60" s="12" t="s">
        <v>1262</v>
      </c>
      <c r="CN60" s="12">
        <v>3579.0980672870437</v>
      </c>
      <c r="CO60" s="12">
        <v>2791.696492483894</v>
      </c>
      <c r="CP60" s="12" t="s">
        <v>107</v>
      </c>
      <c r="CQ60" s="12" t="s">
        <v>1257</v>
      </c>
      <c r="CR60" s="46" t="s">
        <v>1263</v>
      </c>
      <c r="CS60" s="46" t="s">
        <v>1259</v>
      </c>
      <c r="CT60" s="2">
        <v>33695614549</v>
      </c>
      <c r="CU60" s="2" t="s">
        <v>691</v>
      </c>
      <c r="CV60" s="49">
        <v>46087.728472222225</v>
      </c>
      <c r="CW60" s="49">
        <v>46085.874305555553</v>
      </c>
      <c r="CX60" s="2" t="b">
        <v>1</v>
      </c>
      <c r="CY60" s="2" t="b">
        <v>1</v>
      </c>
      <c r="CZ60" s="160">
        <v>46054</v>
      </c>
      <c r="DA60" s="12" t="s">
        <v>693</v>
      </c>
      <c r="DB60" s="12"/>
      <c r="DC60" s="12"/>
      <c r="DD60" s="12"/>
      <c r="DE60" s="12"/>
      <c r="DF60" s="12"/>
      <c r="DG60" s="12"/>
      <c r="DH60" s="12"/>
      <c r="DI60" s="46" t="s">
        <v>206</v>
      </c>
      <c r="DJ60" s="48" t="s">
        <v>105</v>
      </c>
      <c r="DK60" s="48" t="s">
        <v>111</v>
      </c>
      <c r="DL60" s="48">
        <v>5004389.9800000004</v>
      </c>
      <c r="DM60" s="13" t="s">
        <v>99</v>
      </c>
      <c r="DN60" s="13" t="s">
        <v>99</v>
      </c>
      <c r="DO60" s="12">
        <v>-4389.980000000447</v>
      </c>
      <c r="DP60" s="12" t="s">
        <v>303</v>
      </c>
      <c r="DQ60" s="12" t="s">
        <v>111</v>
      </c>
      <c r="DR60" s="12">
        <v>5000000</v>
      </c>
      <c r="DS60" s="12" t="s">
        <v>99</v>
      </c>
      <c r="DT60" s="12">
        <v>0</v>
      </c>
      <c r="DU60" s="12"/>
      <c r="DV60" s="12"/>
      <c r="DW60" s="12" t="s">
        <v>16</v>
      </c>
      <c r="DX60" s="12"/>
      <c r="DY60" s="12" t="s">
        <v>111</v>
      </c>
      <c r="DZ60" s="12">
        <v>3022375</v>
      </c>
      <c r="EA60" s="12" t="s">
        <v>99</v>
      </c>
      <c r="EB60" s="12">
        <v>877625</v>
      </c>
      <c r="EC60" s="12"/>
      <c r="ED60" s="12" t="str">
        <f>INDEX('con 1'!CI:CI,MATCH(B60,'con 1'!A:A,0),1)</f>
        <v>OK</v>
      </c>
      <c r="EE60" s="12" t="s">
        <v>1946</v>
      </c>
      <c r="EF60" s="12" t="s">
        <v>1947</v>
      </c>
      <c r="EG60" s="48">
        <f ca="1">AN60/INDEX(er!D:D,MATCH(AA60,er!C:C,0),1)</f>
        <v>3579.0980672870437</v>
      </c>
    </row>
    <row r="61" spans="1:137" ht="12.5" x14ac:dyDescent="0.25">
      <c r="A61" s="46" t="s">
        <v>103</v>
      </c>
      <c r="B61" s="46" t="s">
        <v>307</v>
      </c>
      <c r="C61" s="46" t="s">
        <v>94</v>
      </c>
      <c r="D61" s="46" t="s">
        <v>98</v>
      </c>
      <c r="E61" s="156">
        <v>46081</v>
      </c>
      <c r="F61" s="46" t="s">
        <v>1264</v>
      </c>
      <c r="G61" s="46" t="s">
        <v>1265</v>
      </c>
      <c r="H61" s="46" t="s">
        <v>309</v>
      </c>
      <c r="I61" s="46" t="s">
        <v>1266</v>
      </c>
      <c r="J61" s="46" t="s">
        <v>1267</v>
      </c>
      <c r="K61" s="46" t="s">
        <v>559</v>
      </c>
      <c r="L61" s="46" t="s">
        <v>686</v>
      </c>
      <c r="M61" s="2" t="s">
        <v>563</v>
      </c>
      <c r="N61" s="46" t="s">
        <v>997</v>
      </c>
      <c r="O61" s="46" t="s">
        <v>998</v>
      </c>
      <c r="P61" s="46" t="s">
        <v>93</v>
      </c>
      <c r="Q61" s="46" t="s">
        <v>96</v>
      </c>
      <c r="R61" s="46" t="s">
        <v>104</v>
      </c>
      <c r="S61" s="46" t="s">
        <v>107</v>
      </c>
      <c r="T61" s="46" t="s">
        <v>107</v>
      </c>
      <c r="U61" s="46" t="s">
        <v>436</v>
      </c>
      <c r="V61" s="46" t="s">
        <v>105</v>
      </c>
      <c r="W61" s="46" t="s">
        <v>439</v>
      </c>
      <c r="X61" s="46" t="s">
        <v>687</v>
      </c>
      <c r="Y61" s="46" t="s">
        <v>688</v>
      </c>
      <c r="Z61" s="46" t="s">
        <v>688</v>
      </c>
      <c r="AA61" s="46" t="s">
        <v>111</v>
      </c>
      <c r="AB61" s="12" t="s">
        <v>111</v>
      </c>
      <c r="AC61" s="12">
        <v>4884766</v>
      </c>
      <c r="AD61" s="12">
        <v>4884766</v>
      </c>
      <c r="AE61" s="12">
        <v>1</v>
      </c>
      <c r="AF61" s="12">
        <v>1</v>
      </c>
      <c r="AG61" s="12">
        <v>1</v>
      </c>
      <c r="AH61" s="12">
        <v>0.78</v>
      </c>
      <c r="AI61" s="12">
        <v>0.78</v>
      </c>
      <c r="AJ61" s="12">
        <v>0</v>
      </c>
      <c r="AK61" s="12"/>
      <c r="AL61" s="12">
        <v>4884766</v>
      </c>
      <c r="AM61" s="12">
        <v>4884766</v>
      </c>
      <c r="AN61" s="12">
        <v>4884766</v>
      </c>
      <c r="AO61" s="12">
        <v>3810117.48</v>
      </c>
      <c r="AP61" s="12">
        <v>2952719.12</v>
      </c>
      <c r="AQ61" s="12"/>
      <c r="AR61" s="12">
        <v>4884766</v>
      </c>
      <c r="AS61" s="12">
        <v>3496.6113099498925</v>
      </c>
      <c r="AT61" s="12">
        <v>2727.3568217609163</v>
      </c>
      <c r="AU61" s="12">
        <v>1074648.52</v>
      </c>
      <c r="AV61" s="12">
        <v>1074648.52</v>
      </c>
      <c r="AW61" s="12">
        <v>769.25448818897644</v>
      </c>
      <c r="AX61" s="12">
        <v>22</v>
      </c>
      <c r="AY61" s="2" t="s">
        <v>310</v>
      </c>
      <c r="AZ61" s="2" t="s">
        <v>101</v>
      </c>
      <c r="BA61" s="46"/>
      <c r="BB61" s="2" t="s">
        <v>2342</v>
      </c>
      <c r="BC61" s="2" t="s">
        <v>102</v>
      </c>
      <c r="BD61" s="46"/>
      <c r="BE61" s="46"/>
      <c r="BF61" s="12"/>
      <c r="BG61" s="12">
        <v>1</v>
      </c>
      <c r="BH61" s="12" t="s">
        <v>1268</v>
      </c>
      <c r="BI61" s="46" t="s">
        <v>997</v>
      </c>
      <c r="BJ61" s="46" t="s">
        <v>1000</v>
      </c>
      <c r="BK61" s="46" t="s">
        <v>1001</v>
      </c>
      <c r="BL61" s="46" t="s">
        <v>697</v>
      </c>
      <c r="BM61" s="46" t="s">
        <v>697</v>
      </c>
      <c r="BN61" s="46" t="s">
        <v>735</v>
      </c>
      <c r="BO61" s="46" t="s">
        <v>710</v>
      </c>
      <c r="BP61" s="46" t="s">
        <v>436</v>
      </c>
      <c r="BQ61" s="157">
        <v>46080</v>
      </c>
      <c r="BR61" s="156">
        <v>46080</v>
      </c>
      <c r="BS61" s="46" t="s">
        <v>692</v>
      </c>
      <c r="BT61" s="46"/>
      <c r="BU61" s="12">
        <v>1</v>
      </c>
      <c r="BV61" s="158" t="s">
        <v>1269</v>
      </c>
      <c r="BW61" s="12" t="s">
        <v>1270</v>
      </c>
      <c r="BX61" s="12">
        <v>0</v>
      </c>
      <c r="BY61" s="12">
        <v>0</v>
      </c>
      <c r="BZ61" s="12">
        <v>0</v>
      </c>
      <c r="CA61" s="12">
        <v>0</v>
      </c>
      <c r="CB61" s="12">
        <v>4884766</v>
      </c>
      <c r="CC61" s="12">
        <v>4884766</v>
      </c>
      <c r="CD61" s="12">
        <v>3810117.48</v>
      </c>
      <c r="CE61" s="12">
        <v>3810117.48</v>
      </c>
      <c r="CF61" s="12">
        <v>1</v>
      </c>
      <c r="CG61" s="12">
        <v>7.158196134574087E-4</v>
      </c>
      <c r="CH61" s="12">
        <v>7.158196134574087E-4</v>
      </c>
      <c r="CI61" s="12" t="b">
        <v>0</v>
      </c>
      <c r="CJ61" s="12" t="b">
        <v>0</v>
      </c>
      <c r="CK61" s="12" t="s">
        <v>690</v>
      </c>
      <c r="CL61" s="2" t="s">
        <v>107</v>
      </c>
      <c r="CM61" s="2">
        <v>2278147</v>
      </c>
      <c r="CN61" s="12">
        <v>3496.6113099498925</v>
      </c>
      <c r="CO61" s="12">
        <v>2727.3568217609163</v>
      </c>
      <c r="CP61" s="12" t="s">
        <v>107</v>
      </c>
      <c r="CQ61" s="12" t="s">
        <v>821</v>
      </c>
      <c r="CR61" s="46" t="s">
        <v>1005</v>
      </c>
      <c r="CS61" s="46" t="s">
        <v>1000</v>
      </c>
      <c r="CT61" s="2">
        <v>30639453738</v>
      </c>
      <c r="CU61" s="2" t="s">
        <v>691</v>
      </c>
      <c r="CV61" s="49">
        <v>46087.728472222225</v>
      </c>
      <c r="CW61" s="49">
        <v>46087.57708333333</v>
      </c>
      <c r="CX61" s="2" t="b">
        <v>1</v>
      </c>
      <c r="CY61" s="2" t="b">
        <v>1</v>
      </c>
      <c r="CZ61" s="160">
        <v>46054</v>
      </c>
      <c r="DA61" s="12" t="s">
        <v>693</v>
      </c>
      <c r="DB61" s="12"/>
      <c r="DC61" s="12"/>
      <c r="DD61" s="12"/>
      <c r="DE61" s="12"/>
      <c r="DF61" s="12"/>
      <c r="DG61" s="12"/>
      <c r="DH61" s="12"/>
      <c r="DI61" s="46"/>
      <c r="DJ61" s="48" t="s">
        <v>105</v>
      </c>
      <c r="DK61" s="48" t="s">
        <v>111</v>
      </c>
      <c r="DL61" s="48">
        <v>4884766</v>
      </c>
      <c r="DM61" s="13" t="s">
        <v>99</v>
      </c>
      <c r="DN61" s="13" t="s">
        <v>99</v>
      </c>
      <c r="DO61" s="12">
        <v>0</v>
      </c>
      <c r="DP61" s="12" t="s">
        <v>307</v>
      </c>
      <c r="DQ61" s="12" t="s">
        <v>111</v>
      </c>
      <c r="DR61" s="12">
        <v>4884766</v>
      </c>
      <c r="DS61" s="12" t="s">
        <v>99</v>
      </c>
      <c r="DT61" s="12">
        <v>0</v>
      </c>
      <c r="DU61" s="12"/>
      <c r="DV61" s="12"/>
      <c r="DW61" s="12" t="s">
        <v>16</v>
      </c>
      <c r="DX61" s="12"/>
      <c r="DY61" s="12" t="s">
        <v>111</v>
      </c>
      <c r="DZ61" s="12">
        <v>2952718.93</v>
      </c>
      <c r="EA61" s="12" t="s">
        <v>99</v>
      </c>
      <c r="EB61" s="12">
        <v>857398.54999999981</v>
      </c>
      <c r="EC61" s="12"/>
      <c r="ED61" s="12" t="str">
        <f>INDEX('con 1'!CI:CI,MATCH(B61,'con 1'!A:A,0),1)</f>
        <v>OK</v>
      </c>
      <c r="EE61" s="12" t="s">
        <v>101</v>
      </c>
      <c r="EF61" s="12" t="s">
        <v>1947</v>
      </c>
      <c r="EG61" s="48">
        <f ca="1">AN61/INDEX(er!D:D,MATCH(AA61,er!C:C,0),1)</f>
        <v>3496.6113099498925</v>
      </c>
    </row>
    <row r="62" spans="1:137" ht="12.5" x14ac:dyDescent="0.25">
      <c r="A62" s="46" t="s">
        <v>103</v>
      </c>
      <c r="B62" s="46" t="s">
        <v>311</v>
      </c>
      <c r="C62" s="46" t="s">
        <v>94</v>
      </c>
      <c r="D62" s="46" t="s">
        <v>98</v>
      </c>
      <c r="E62" s="156">
        <v>46081</v>
      </c>
      <c r="F62" s="46" t="s">
        <v>1271</v>
      </c>
      <c r="G62" s="46" t="s">
        <v>1272</v>
      </c>
      <c r="H62" s="46" t="s">
        <v>313</v>
      </c>
      <c r="I62" s="46" t="s">
        <v>1273</v>
      </c>
      <c r="J62" s="46" t="s">
        <v>1274</v>
      </c>
      <c r="K62" s="46" t="s">
        <v>559</v>
      </c>
      <c r="L62" s="46" t="s">
        <v>686</v>
      </c>
      <c r="M62" s="2" t="s">
        <v>563</v>
      </c>
      <c r="N62" s="46" t="s">
        <v>973</v>
      </c>
      <c r="O62" s="46" t="s">
        <v>974</v>
      </c>
      <c r="P62" s="46" t="s">
        <v>93</v>
      </c>
      <c r="Q62" s="46" t="s">
        <v>96</v>
      </c>
      <c r="R62" s="46" t="s">
        <v>104</v>
      </c>
      <c r="S62" s="46" t="s">
        <v>107</v>
      </c>
      <c r="T62" s="46" t="s">
        <v>107</v>
      </c>
      <c r="U62" s="46" t="s">
        <v>436</v>
      </c>
      <c r="V62" s="46" t="s">
        <v>105</v>
      </c>
      <c r="W62" s="46" t="s">
        <v>439</v>
      </c>
      <c r="X62" s="46" t="s">
        <v>687</v>
      </c>
      <c r="Y62" s="46" t="s">
        <v>688</v>
      </c>
      <c r="Z62" s="46" t="s">
        <v>688</v>
      </c>
      <c r="AA62" s="46" t="s">
        <v>111</v>
      </c>
      <c r="AB62" s="12" t="s">
        <v>111</v>
      </c>
      <c r="AC62" s="12">
        <v>12365642.550000001</v>
      </c>
      <c r="AD62" s="12">
        <v>12365642.550000001</v>
      </c>
      <c r="AE62" s="12">
        <v>1</v>
      </c>
      <c r="AF62" s="12">
        <v>1</v>
      </c>
      <c r="AG62" s="12">
        <v>1</v>
      </c>
      <c r="AH62" s="12">
        <v>0.78</v>
      </c>
      <c r="AI62" s="12">
        <v>0.78</v>
      </c>
      <c r="AJ62" s="12">
        <v>0</v>
      </c>
      <c r="AK62" s="12"/>
      <c r="AL62" s="12">
        <v>12365642.550000001</v>
      </c>
      <c r="AM62" s="12">
        <v>12365642.550000001</v>
      </c>
      <c r="AN62" s="12">
        <v>12365642.550000001</v>
      </c>
      <c r="AO62" s="12">
        <v>9645201.1889999993</v>
      </c>
      <c r="AP62" s="12">
        <v>7474722.2800000003</v>
      </c>
      <c r="AQ62" s="12"/>
      <c r="AR62" s="12">
        <v>12365642.550000001</v>
      </c>
      <c r="AS62" s="12">
        <v>8851.569470293487</v>
      </c>
      <c r="AT62" s="12">
        <v>6904.2241868289184</v>
      </c>
      <c r="AU62" s="12">
        <v>2720441.361</v>
      </c>
      <c r="AV62" s="12">
        <v>2720441.361</v>
      </c>
      <c r="AW62" s="12">
        <v>1947.345283464567</v>
      </c>
      <c r="AX62" s="12">
        <v>22</v>
      </c>
      <c r="AY62" s="2" t="s">
        <v>2343</v>
      </c>
      <c r="AZ62" s="2" t="s">
        <v>101</v>
      </c>
      <c r="BA62" s="46"/>
      <c r="BB62" s="2" t="s">
        <v>2344</v>
      </c>
      <c r="BC62" s="2" t="s">
        <v>102</v>
      </c>
      <c r="BD62" s="46"/>
      <c r="BE62" s="46"/>
      <c r="BF62" s="12"/>
      <c r="BG62" s="12">
        <v>1</v>
      </c>
      <c r="BH62" s="12" t="s">
        <v>1275</v>
      </c>
      <c r="BI62" s="46" t="s">
        <v>973</v>
      </c>
      <c r="BJ62" s="46" t="s">
        <v>976</v>
      </c>
      <c r="BK62" s="46" t="s">
        <v>708</v>
      </c>
      <c r="BL62" s="46" t="s">
        <v>708</v>
      </c>
      <c r="BM62" s="46" t="s">
        <v>708</v>
      </c>
      <c r="BN62" s="46" t="s">
        <v>735</v>
      </c>
      <c r="BO62" s="46" t="s">
        <v>710</v>
      </c>
      <c r="BP62" s="46" t="s">
        <v>436</v>
      </c>
      <c r="BQ62" s="157">
        <v>46054</v>
      </c>
      <c r="BR62" s="156">
        <v>46081</v>
      </c>
      <c r="BS62" s="46" t="s">
        <v>689</v>
      </c>
      <c r="BT62" s="46"/>
      <c r="BU62" s="12">
        <v>1</v>
      </c>
      <c r="BV62" s="158" t="s">
        <v>1276</v>
      </c>
      <c r="BW62" s="12" t="s">
        <v>1277</v>
      </c>
      <c r="BX62" s="12">
        <v>0</v>
      </c>
      <c r="BY62" s="12">
        <v>0</v>
      </c>
      <c r="BZ62" s="12">
        <v>0</v>
      </c>
      <c r="CA62" s="12">
        <v>0</v>
      </c>
      <c r="CB62" s="12">
        <v>12400000</v>
      </c>
      <c r="CC62" s="12">
        <v>12400000</v>
      </c>
      <c r="CD62" s="12">
        <v>9672000</v>
      </c>
      <c r="CE62" s="12">
        <v>9645201.1889999993</v>
      </c>
      <c r="CF62" s="12">
        <v>1</v>
      </c>
      <c r="CG62" s="12">
        <v>7.158196134574087E-4</v>
      </c>
      <c r="CH62" s="12">
        <v>7.158196134574087E-4</v>
      </c>
      <c r="CI62" s="12" t="b">
        <v>0</v>
      </c>
      <c r="CJ62" s="12" t="b">
        <v>0</v>
      </c>
      <c r="CK62" s="12" t="s">
        <v>690</v>
      </c>
      <c r="CL62" s="2" t="s">
        <v>107</v>
      </c>
      <c r="CM62" s="2">
        <v>4400235981</v>
      </c>
      <c r="CN62" s="12">
        <v>8851.5694702934852</v>
      </c>
      <c r="CO62" s="12">
        <v>6904.2241868289193</v>
      </c>
      <c r="CP62" s="12" t="s">
        <v>107</v>
      </c>
      <c r="CQ62" s="12"/>
      <c r="CR62" s="46" t="s">
        <v>979</v>
      </c>
      <c r="CS62" s="46" t="s">
        <v>976</v>
      </c>
      <c r="CT62" s="2">
        <v>30711985766</v>
      </c>
      <c r="CU62" s="2" t="s">
        <v>691</v>
      </c>
      <c r="CV62" s="49">
        <v>46087.728472222225</v>
      </c>
      <c r="CW62" s="49">
        <v>46085.873611111114</v>
      </c>
      <c r="CX62" s="2" t="b">
        <v>1</v>
      </c>
      <c r="CY62" s="2" t="b">
        <v>1</v>
      </c>
      <c r="CZ62" s="160">
        <v>46054</v>
      </c>
      <c r="DA62" s="12" t="s">
        <v>693</v>
      </c>
      <c r="DB62" s="12"/>
      <c r="DC62" s="12"/>
      <c r="DD62" s="12"/>
      <c r="DE62" s="12"/>
      <c r="DF62" s="12"/>
      <c r="DG62" s="12"/>
      <c r="DH62" s="12"/>
      <c r="DI62" s="46"/>
      <c r="DJ62" s="48" t="s">
        <v>105</v>
      </c>
      <c r="DK62" s="48" t="s">
        <v>111</v>
      </c>
      <c r="DL62" s="48">
        <v>12365642.550000001</v>
      </c>
      <c r="DM62" s="13" t="s">
        <v>99</v>
      </c>
      <c r="DN62" s="13" t="s">
        <v>99</v>
      </c>
      <c r="DO62" s="12">
        <v>0</v>
      </c>
      <c r="DP62" s="12" t="s">
        <v>311</v>
      </c>
      <c r="DQ62" s="12" t="s">
        <v>111</v>
      </c>
      <c r="DR62" s="12">
        <v>12365642.550000001</v>
      </c>
      <c r="DS62" s="12" t="s">
        <v>99</v>
      </c>
      <c r="DT62" s="12">
        <v>0</v>
      </c>
      <c r="DU62" s="12"/>
      <c r="DV62" s="12"/>
      <c r="DW62" s="12" t="s">
        <v>16</v>
      </c>
      <c r="DX62" s="12"/>
      <c r="DY62" s="12" t="s">
        <v>111</v>
      </c>
      <c r="DZ62" s="12">
        <v>7474721.7800000003</v>
      </c>
      <c r="EA62" s="12" t="s">
        <v>99</v>
      </c>
      <c r="EB62" s="12">
        <v>2170479.4089999991</v>
      </c>
      <c r="EC62" s="12"/>
      <c r="ED62" s="12" t="str">
        <f>INDEX('con 1'!CI:CI,MATCH(B62,'con 1'!A:A,0),1)</f>
        <v>OK</v>
      </c>
      <c r="EE62" s="12" t="s">
        <v>1946</v>
      </c>
      <c r="EF62" s="12" t="s">
        <v>1947</v>
      </c>
      <c r="EG62" s="48">
        <f ca="1">AN62/INDEX(er!D:D,MATCH(AA62,er!C:C,0),1)</f>
        <v>8851.569470293487</v>
      </c>
    </row>
    <row r="63" spans="1:137" ht="12.5" x14ac:dyDescent="0.25">
      <c r="A63" s="46" t="s">
        <v>103</v>
      </c>
      <c r="B63" s="46" t="s">
        <v>314</v>
      </c>
      <c r="C63" s="46" t="s">
        <v>94</v>
      </c>
      <c r="D63" s="46" t="s">
        <v>98</v>
      </c>
      <c r="E63" s="156">
        <v>46081</v>
      </c>
      <c r="F63" s="46" t="s">
        <v>1278</v>
      </c>
      <c r="G63" s="46" t="s">
        <v>1279</v>
      </c>
      <c r="H63" s="46" t="s">
        <v>316</v>
      </c>
      <c r="I63" s="46" t="s">
        <v>1280</v>
      </c>
      <c r="J63" s="46" t="s">
        <v>1281</v>
      </c>
      <c r="K63" s="46" t="s">
        <v>559</v>
      </c>
      <c r="L63" s="46" t="s">
        <v>686</v>
      </c>
      <c r="M63" s="2" t="s">
        <v>563</v>
      </c>
      <c r="N63" s="46" t="s">
        <v>1282</v>
      </c>
      <c r="O63" s="46" t="s">
        <v>1283</v>
      </c>
      <c r="P63" s="46" t="s">
        <v>93</v>
      </c>
      <c r="Q63" s="46" t="s">
        <v>96</v>
      </c>
      <c r="R63" s="46" t="s">
        <v>104</v>
      </c>
      <c r="S63" s="46" t="s">
        <v>107</v>
      </c>
      <c r="T63" s="46" t="s">
        <v>107</v>
      </c>
      <c r="U63" s="46" t="s">
        <v>436</v>
      </c>
      <c r="V63" s="46" t="s">
        <v>105</v>
      </c>
      <c r="W63" s="46" t="s">
        <v>439</v>
      </c>
      <c r="X63" s="46" t="s">
        <v>687</v>
      </c>
      <c r="Y63" s="46" t="s">
        <v>688</v>
      </c>
      <c r="Z63" s="46" t="s">
        <v>688</v>
      </c>
      <c r="AA63" s="46" t="s">
        <v>111</v>
      </c>
      <c r="AB63" s="12" t="s">
        <v>111</v>
      </c>
      <c r="AC63" s="12">
        <v>2489548.4</v>
      </c>
      <c r="AD63" s="12">
        <v>2489548.4</v>
      </c>
      <c r="AE63" s="12">
        <v>1</v>
      </c>
      <c r="AF63" s="12">
        <v>1</v>
      </c>
      <c r="AG63" s="12">
        <v>1</v>
      </c>
      <c r="AH63" s="12">
        <v>0.78</v>
      </c>
      <c r="AI63" s="12">
        <v>0.78</v>
      </c>
      <c r="AJ63" s="12">
        <v>0</v>
      </c>
      <c r="AK63" s="12"/>
      <c r="AL63" s="12">
        <v>2489548.4</v>
      </c>
      <c r="AM63" s="12">
        <v>2489548.4</v>
      </c>
      <c r="AN63" s="12">
        <v>2489548.4</v>
      </c>
      <c r="AO63" s="12">
        <v>1941847.7520000001</v>
      </c>
      <c r="AP63" s="12">
        <v>1504869.87</v>
      </c>
      <c r="AQ63" s="12"/>
      <c r="AR63" s="12">
        <v>2489548.4</v>
      </c>
      <c r="AS63" s="12">
        <v>1782.0675733715102</v>
      </c>
      <c r="AT63" s="12">
        <v>1390.0127072297782</v>
      </c>
      <c r="AU63" s="12">
        <v>547700.64800000004</v>
      </c>
      <c r="AV63" s="12">
        <v>547700.64800000004</v>
      </c>
      <c r="AW63" s="12">
        <v>392.0548661417323</v>
      </c>
      <c r="AX63" s="12">
        <v>22</v>
      </c>
      <c r="AY63" s="2" t="s">
        <v>2345</v>
      </c>
      <c r="AZ63" s="2" t="s">
        <v>101</v>
      </c>
      <c r="BA63" s="46"/>
      <c r="BB63" s="2" t="s">
        <v>2346</v>
      </c>
      <c r="BC63" s="2" t="s">
        <v>102</v>
      </c>
      <c r="BD63" s="46"/>
      <c r="BE63" s="46"/>
      <c r="BF63" s="12"/>
      <c r="BG63" s="12">
        <v>1</v>
      </c>
      <c r="BH63" s="12" t="s">
        <v>1284</v>
      </c>
      <c r="BI63" s="46" t="s">
        <v>1282</v>
      </c>
      <c r="BJ63" s="46" t="s">
        <v>1285</v>
      </c>
      <c r="BK63" s="46" t="s">
        <v>865</v>
      </c>
      <c r="BL63" s="46" t="s">
        <v>865</v>
      </c>
      <c r="BM63" s="46" t="s">
        <v>865</v>
      </c>
      <c r="BN63" s="46" t="s">
        <v>735</v>
      </c>
      <c r="BO63" s="46" t="s">
        <v>710</v>
      </c>
      <c r="BP63" s="46" t="s">
        <v>436</v>
      </c>
      <c r="BQ63" s="157">
        <v>46054</v>
      </c>
      <c r="BR63" s="156">
        <v>46081</v>
      </c>
      <c r="BS63" s="46" t="s">
        <v>740</v>
      </c>
      <c r="BT63" s="46"/>
      <c r="BU63" s="12">
        <v>1</v>
      </c>
      <c r="BV63" s="158" t="s">
        <v>1286</v>
      </c>
      <c r="BW63" s="12" t="s">
        <v>1287</v>
      </c>
      <c r="BX63" s="12">
        <v>0</v>
      </c>
      <c r="BY63" s="12">
        <v>0</v>
      </c>
      <c r="BZ63" s="12">
        <v>0</v>
      </c>
      <c r="CA63" s="12">
        <v>0</v>
      </c>
      <c r="CB63" s="12">
        <v>2500000</v>
      </c>
      <c r="CC63" s="12">
        <v>2500000</v>
      </c>
      <c r="CD63" s="12">
        <v>1950000</v>
      </c>
      <c r="CE63" s="12">
        <v>1941847.7520000001</v>
      </c>
      <c r="CF63" s="12">
        <v>1</v>
      </c>
      <c r="CG63" s="12">
        <v>7.158196134574087E-4</v>
      </c>
      <c r="CH63" s="12">
        <v>7.158196134574087E-4</v>
      </c>
      <c r="CI63" s="12" t="b">
        <v>0</v>
      </c>
      <c r="CJ63" s="12" t="b">
        <v>0</v>
      </c>
      <c r="CK63" s="12" t="s">
        <v>690</v>
      </c>
      <c r="CL63" s="2" t="s">
        <v>107</v>
      </c>
      <c r="CM63" s="2">
        <v>260200631595</v>
      </c>
      <c r="CN63" s="12">
        <v>1782.0675733715104</v>
      </c>
      <c r="CO63" s="12">
        <v>1390.012707229778</v>
      </c>
      <c r="CP63" s="12" t="s">
        <v>107</v>
      </c>
      <c r="CQ63" s="12" t="s">
        <v>1283</v>
      </c>
      <c r="CR63" s="46" t="s">
        <v>1288</v>
      </c>
      <c r="CS63" s="46" t="s">
        <v>1285</v>
      </c>
      <c r="CT63" s="2">
        <v>30715825852</v>
      </c>
      <c r="CU63" s="2" t="s">
        <v>691</v>
      </c>
      <c r="CV63" s="49">
        <v>46087.728472222225</v>
      </c>
      <c r="CW63" s="49">
        <v>46085.873611111114</v>
      </c>
      <c r="CX63" s="2" t="b">
        <v>1</v>
      </c>
      <c r="CY63" s="2" t="b">
        <v>1</v>
      </c>
      <c r="CZ63" s="160">
        <v>46054</v>
      </c>
      <c r="DA63" s="12" t="s">
        <v>693</v>
      </c>
      <c r="DB63" s="12"/>
      <c r="DC63" s="12"/>
      <c r="DD63" s="12"/>
      <c r="DE63" s="12"/>
      <c r="DF63" s="12"/>
      <c r="DG63" s="12"/>
      <c r="DH63" s="12"/>
      <c r="DI63" s="46"/>
      <c r="DJ63" s="48" t="s">
        <v>105</v>
      </c>
      <c r="DK63" s="48" t="s">
        <v>111</v>
      </c>
      <c r="DL63" s="48">
        <v>2489548.39</v>
      </c>
      <c r="DM63" s="13" t="s">
        <v>99</v>
      </c>
      <c r="DN63" s="13" t="s">
        <v>99</v>
      </c>
      <c r="DO63" s="12">
        <v>9.9999997764825821E-3</v>
      </c>
      <c r="DP63" s="12" t="s">
        <v>314</v>
      </c>
      <c r="DQ63" s="12" t="s">
        <v>111</v>
      </c>
      <c r="DR63" s="12">
        <v>2489548.4</v>
      </c>
      <c r="DS63" s="12" t="s">
        <v>99</v>
      </c>
      <c r="DT63" s="12">
        <v>0</v>
      </c>
      <c r="DU63" s="12"/>
      <c r="DV63" s="12"/>
      <c r="DW63" s="12" t="s">
        <v>16</v>
      </c>
      <c r="DX63" s="12"/>
      <c r="DY63" s="12" t="s">
        <v>111</v>
      </c>
      <c r="DZ63" s="12">
        <v>1504869.77</v>
      </c>
      <c r="EA63" s="12" t="s">
        <v>99</v>
      </c>
      <c r="EB63" s="12">
        <v>436977.98200000008</v>
      </c>
      <c r="EC63" s="12"/>
      <c r="ED63" s="12" t="str">
        <f>INDEX('con 1'!CI:CI,MATCH(B63,'con 1'!A:A,0),1)</f>
        <v>OK</v>
      </c>
      <c r="EE63" s="12" t="s">
        <v>1946</v>
      </c>
      <c r="EF63" s="12" t="s">
        <v>1947</v>
      </c>
      <c r="EG63" s="48">
        <f ca="1">AN63/INDEX(er!D:D,MATCH(AA63,er!C:C,0),1)</f>
        <v>1782.0675733715102</v>
      </c>
    </row>
    <row r="64" spans="1:137" ht="12.5" x14ac:dyDescent="0.25">
      <c r="A64" s="46" t="s">
        <v>103</v>
      </c>
      <c r="B64" s="46" t="s">
        <v>318</v>
      </c>
      <c r="C64" s="46" t="s">
        <v>94</v>
      </c>
      <c r="D64" s="46" t="s">
        <v>98</v>
      </c>
      <c r="E64" s="156">
        <v>46081</v>
      </c>
      <c r="F64" s="46" t="s">
        <v>1289</v>
      </c>
      <c r="G64" s="46" t="s">
        <v>1290</v>
      </c>
      <c r="H64" s="46" t="s">
        <v>320</v>
      </c>
      <c r="I64" s="46" t="s">
        <v>1291</v>
      </c>
      <c r="J64" s="46" t="s">
        <v>1292</v>
      </c>
      <c r="K64" s="46" t="s">
        <v>559</v>
      </c>
      <c r="L64" s="46" t="s">
        <v>686</v>
      </c>
      <c r="M64" s="2" t="s">
        <v>563</v>
      </c>
      <c r="N64" s="46" t="s">
        <v>1293</v>
      </c>
      <c r="O64" s="46" t="s">
        <v>1294</v>
      </c>
      <c r="P64" s="46" t="s">
        <v>93</v>
      </c>
      <c r="Q64" s="46" t="s">
        <v>96</v>
      </c>
      <c r="R64" s="46" t="s">
        <v>104</v>
      </c>
      <c r="S64" s="46" t="s">
        <v>107</v>
      </c>
      <c r="T64" s="46" t="s">
        <v>107</v>
      </c>
      <c r="U64" s="46" t="s">
        <v>436</v>
      </c>
      <c r="V64" s="46" t="s">
        <v>105</v>
      </c>
      <c r="W64" s="46" t="s">
        <v>439</v>
      </c>
      <c r="X64" s="46" t="s">
        <v>687</v>
      </c>
      <c r="Y64" s="46" t="s">
        <v>688</v>
      </c>
      <c r="Z64" s="46" t="s">
        <v>688</v>
      </c>
      <c r="AA64" s="46" t="s">
        <v>111</v>
      </c>
      <c r="AB64" s="12" t="s">
        <v>111</v>
      </c>
      <c r="AC64" s="12">
        <v>4396289.4000000004</v>
      </c>
      <c r="AD64" s="12">
        <v>4396289.4000000004</v>
      </c>
      <c r="AE64" s="12">
        <v>1</v>
      </c>
      <c r="AF64" s="12">
        <v>1</v>
      </c>
      <c r="AG64" s="12">
        <v>1</v>
      </c>
      <c r="AH64" s="12">
        <v>0.78</v>
      </c>
      <c r="AI64" s="12">
        <v>0.78</v>
      </c>
      <c r="AJ64" s="12">
        <v>0</v>
      </c>
      <c r="AK64" s="12"/>
      <c r="AL64" s="12">
        <v>4396289.4000000004</v>
      </c>
      <c r="AM64" s="12">
        <v>4396289.4000000004</v>
      </c>
      <c r="AN64" s="12">
        <v>4396289.4000000004</v>
      </c>
      <c r="AO64" s="12">
        <v>3429105.7319999998</v>
      </c>
      <c r="AP64" s="12">
        <v>2657447.21</v>
      </c>
      <c r="AQ64" s="12"/>
      <c r="AR64" s="12">
        <v>4396289.4000000004</v>
      </c>
      <c r="AS64" s="12">
        <v>3146.9501789549035</v>
      </c>
      <c r="AT64" s="12">
        <v>2454.6211395848245</v>
      </c>
      <c r="AU64" s="12">
        <v>967183.66799999995</v>
      </c>
      <c r="AV64" s="12">
        <v>967183.66799999995</v>
      </c>
      <c r="AW64" s="12">
        <v>692.3290393700787</v>
      </c>
      <c r="AX64" s="12">
        <v>22</v>
      </c>
      <c r="AY64" s="2" t="s">
        <v>2347</v>
      </c>
      <c r="AZ64" s="2" t="s">
        <v>101</v>
      </c>
      <c r="BA64" s="46"/>
      <c r="BB64" s="2" t="s">
        <v>2348</v>
      </c>
      <c r="BC64" s="2" t="s">
        <v>102</v>
      </c>
      <c r="BD64" s="46"/>
      <c r="BE64" s="46"/>
      <c r="BF64" s="12"/>
      <c r="BG64" s="12">
        <v>1</v>
      </c>
      <c r="BH64" s="12" t="s">
        <v>1295</v>
      </c>
      <c r="BI64" s="46" t="s">
        <v>1293</v>
      </c>
      <c r="BJ64" s="46" t="s">
        <v>1296</v>
      </c>
      <c r="BK64" s="46" t="s">
        <v>708</v>
      </c>
      <c r="BL64" s="46" t="s">
        <v>708</v>
      </c>
      <c r="BM64" s="46" t="s">
        <v>708</v>
      </c>
      <c r="BN64" s="46" t="s">
        <v>735</v>
      </c>
      <c r="BO64" s="46" t="s">
        <v>710</v>
      </c>
      <c r="BP64" s="46" t="s">
        <v>436</v>
      </c>
      <c r="BQ64" s="157">
        <v>46073</v>
      </c>
      <c r="BR64" s="156">
        <v>46073</v>
      </c>
      <c r="BS64" s="46" t="s">
        <v>689</v>
      </c>
      <c r="BT64" s="46"/>
      <c r="BU64" s="12">
        <v>1</v>
      </c>
      <c r="BV64" s="158" t="s">
        <v>1297</v>
      </c>
      <c r="BW64" s="12" t="s">
        <v>1298</v>
      </c>
      <c r="BX64" s="12">
        <v>0</v>
      </c>
      <c r="BY64" s="12">
        <v>0</v>
      </c>
      <c r="BZ64" s="12">
        <v>0</v>
      </c>
      <c r="CA64" s="12">
        <v>0</v>
      </c>
      <c r="CB64" s="12">
        <v>4396298</v>
      </c>
      <c r="CC64" s="12">
        <v>4396298</v>
      </c>
      <c r="CD64" s="12">
        <v>3429112.44</v>
      </c>
      <c r="CE64" s="12">
        <v>3429105.7319999998</v>
      </c>
      <c r="CF64" s="12">
        <v>1</v>
      </c>
      <c r="CG64" s="12">
        <v>7.158196134574087E-4</v>
      </c>
      <c r="CH64" s="12">
        <v>7.158196134574087E-4</v>
      </c>
      <c r="CI64" s="12" t="b">
        <v>0</v>
      </c>
      <c r="CJ64" s="12" t="b">
        <v>0</v>
      </c>
      <c r="CK64" s="12" t="s">
        <v>690</v>
      </c>
      <c r="CL64" s="2" t="s">
        <v>107</v>
      </c>
      <c r="CM64" s="2" t="s">
        <v>1299</v>
      </c>
      <c r="CN64" s="12">
        <v>3146.9501789549035</v>
      </c>
      <c r="CO64" s="12">
        <v>2454.6211395848245</v>
      </c>
      <c r="CP64" s="12" t="s">
        <v>107</v>
      </c>
      <c r="CQ64" s="12" t="s">
        <v>1294</v>
      </c>
      <c r="CR64" s="46" t="s">
        <v>1300</v>
      </c>
      <c r="CS64" s="46" t="s">
        <v>1296</v>
      </c>
      <c r="CT64" s="2">
        <v>30716321033</v>
      </c>
      <c r="CU64" s="2" t="s">
        <v>691</v>
      </c>
      <c r="CV64" s="49">
        <v>46087.728472222225</v>
      </c>
      <c r="CW64" s="49">
        <v>46085.874305555553</v>
      </c>
      <c r="CX64" s="2" t="b">
        <v>1</v>
      </c>
      <c r="CY64" s="2" t="b">
        <v>1</v>
      </c>
      <c r="CZ64" s="160">
        <v>46054</v>
      </c>
      <c r="DA64" s="12" t="s">
        <v>693</v>
      </c>
      <c r="DB64" s="12"/>
      <c r="DC64" s="12"/>
      <c r="DD64" s="12"/>
      <c r="DE64" s="12"/>
      <c r="DF64" s="12"/>
      <c r="DG64" s="12"/>
      <c r="DH64" s="12"/>
      <c r="DI64" s="46"/>
      <c r="DJ64" s="48" t="s">
        <v>105</v>
      </c>
      <c r="DK64" s="48" t="s">
        <v>111</v>
      </c>
      <c r="DL64" s="48">
        <v>4396289.4000000004</v>
      </c>
      <c r="DM64" s="13" t="s">
        <v>99</v>
      </c>
      <c r="DN64" s="13" t="s">
        <v>99</v>
      </c>
      <c r="DO64" s="12">
        <v>0</v>
      </c>
      <c r="DP64" s="12" t="s">
        <v>318</v>
      </c>
      <c r="DQ64" s="12" t="s">
        <v>111</v>
      </c>
      <c r="DR64" s="12">
        <v>4396289.4000000004</v>
      </c>
      <c r="DS64" s="12" t="s">
        <v>99</v>
      </c>
      <c r="DT64" s="12">
        <v>0</v>
      </c>
      <c r="DU64" s="12"/>
      <c r="DV64" s="12"/>
      <c r="DW64" s="12" t="s">
        <v>16</v>
      </c>
      <c r="DX64" s="12"/>
      <c r="DY64" s="12" t="s">
        <v>111</v>
      </c>
      <c r="DZ64" s="12">
        <v>3429105.73</v>
      </c>
      <c r="EA64" s="12" t="s">
        <v>99</v>
      </c>
      <c r="EB64" s="12">
        <v>1.999999862164259E-3</v>
      </c>
      <c r="EC64" s="12"/>
      <c r="ED64" s="12" t="str">
        <f>INDEX('con 1'!CI:CI,MATCH(B64,'con 1'!A:A,0),1)</f>
        <v>OK. Twitter tax err.</v>
      </c>
      <c r="EE64" s="12" t="s">
        <v>1946</v>
      </c>
      <c r="EF64" s="12" t="s">
        <v>1947</v>
      </c>
      <c r="EG64" s="48">
        <f ca="1">AN64/INDEX(er!D:D,MATCH(AA64,er!C:C,0),1)</f>
        <v>3146.9501789549035</v>
      </c>
    </row>
    <row r="65" spans="1:137" ht="12.5" x14ac:dyDescent="0.25">
      <c r="A65" s="46" t="s">
        <v>103</v>
      </c>
      <c r="B65" s="46" t="s">
        <v>322</v>
      </c>
      <c r="C65" s="46" t="s">
        <v>94</v>
      </c>
      <c r="D65" s="46" t="s">
        <v>98</v>
      </c>
      <c r="E65" s="156">
        <v>46081</v>
      </c>
      <c r="F65" s="46" t="s">
        <v>1301</v>
      </c>
      <c r="G65" s="46" t="s">
        <v>1302</v>
      </c>
      <c r="H65" s="46" t="s">
        <v>324</v>
      </c>
      <c r="I65" s="46" t="s">
        <v>1303</v>
      </c>
      <c r="J65" s="46" t="s">
        <v>1304</v>
      </c>
      <c r="K65" s="46" t="s">
        <v>559</v>
      </c>
      <c r="L65" s="46" t="s">
        <v>686</v>
      </c>
      <c r="M65" s="2" t="s">
        <v>563</v>
      </c>
      <c r="N65" s="46" t="s">
        <v>820</v>
      </c>
      <c r="O65" s="46" t="s">
        <v>821</v>
      </c>
      <c r="P65" s="46" t="s">
        <v>93</v>
      </c>
      <c r="Q65" s="46" t="s">
        <v>96</v>
      </c>
      <c r="R65" s="46" t="s">
        <v>104</v>
      </c>
      <c r="S65" s="46" t="s">
        <v>107</v>
      </c>
      <c r="T65" s="46" t="s">
        <v>107</v>
      </c>
      <c r="U65" s="46" t="s">
        <v>436</v>
      </c>
      <c r="V65" s="46" t="s">
        <v>105</v>
      </c>
      <c r="W65" s="46" t="s">
        <v>439</v>
      </c>
      <c r="X65" s="46" t="s">
        <v>687</v>
      </c>
      <c r="Y65" s="46" t="s">
        <v>688</v>
      </c>
      <c r="Z65" s="46" t="s">
        <v>688</v>
      </c>
      <c r="AA65" s="46" t="s">
        <v>111</v>
      </c>
      <c r="AB65" s="12" t="s">
        <v>111</v>
      </c>
      <c r="AC65" s="12">
        <v>2000000</v>
      </c>
      <c r="AD65" s="12">
        <v>2000000</v>
      </c>
      <c r="AE65" s="12">
        <v>1</v>
      </c>
      <c r="AF65" s="12">
        <v>1</v>
      </c>
      <c r="AG65" s="12">
        <v>1</v>
      </c>
      <c r="AH65" s="12">
        <v>0.78</v>
      </c>
      <c r="AI65" s="12">
        <v>0.78</v>
      </c>
      <c r="AJ65" s="12">
        <v>0</v>
      </c>
      <c r="AK65" s="12"/>
      <c r="AL65" s="12">
        <v>2000000</v>
      </c>
      <c r="AM65" s="12">
        <v>2000000</v>
      </c>
      <c r="AN65" s="12">
        <v>2000000</v>
      </c>
      <c r="AO65" s="12">
        <v>1560000</v>
      </c>
      <c r="AP65" s="12">
        <v>1208950.08</v>
      </c>
      <c r="AQ65" s="12"/>
      <c r="AR65" s="12">
        <v>2000000</v>
      </c>
      <c r="AS65" s="12">
        <v>1431.6392269148175</v>
      </c>
      <c r="AT65" s="12">
        <v>1116.6785969935577</v>
      </c>
      <c r="AU65" s="12">
        <v>440000</v>
      </c>
      <c r="AV65" s="12">
        <v>440000</v>
      </c>
      <c r="AW65" s="12">
        <v>314.96062992125985</v>
      </c>
      <c r="AX65" s="12">
        <v>22</v>
      </c>
      <c r="AY65" s="2" t="s">
        <v>2349</v>
      </c>
      <c r="AZ65" s="2" t="s">
        <v>101</v>
      </c>
      <c r="BA65" s="46"/>
      <c r="BB65" s="2" t="s">
        <v>2350</v>
      </c>
      <c r="BC65" s="2" t="s">
        <v>102</v>
      </c>
      <c r="BD65" s="46"/>
      <c r="BE65" s="46"/>
      <c r="BF65" s="12"/>
      <c r="BG65" s="12">
        <v>1</v>
      </c>
      <c r="BH65" s="12" t="s">
        <v>1305</v>
      </c>
      <c r="BI65" s="46" t="s">
        <v>820</v>
      </c>
      <c r="BJ65" s="46" t="s">
        <v>823</v>
      </c>
      <c r="BK65" s="46" t="s">
        <v>865</v>
      </c>
      <c r="BL65" s="46" t="s">
        <v>865</v>
      </c>
      <c r="BM65" s="46" t="s">
        <v>865</v>
      </c>
      <c r="BN65" s="46" t="s">
        <v>735</v>
      </c>
      <c r="BO65" s="46" t="s">
        <v>710</v>
      </c>
      <c r="BP65" s="46" t="s">
        <v>436</v>
      </c>
      <c r="BQ65" s="157">
        <v>46054</v>
      </c>
      <c r="BR65" s="156">
        <v>46112</v>
      </c>
      <c r="BS65" s="46" t="s">
        <v>740</v>
      </c>
      <c r="BT65" s="46"/>
      <c r="BU65" s="12">
        <v>1</v>
      </c>
      <c r="BV65" s="158" t="s">
        <v>1306</v>
      </c>
      <c r="BW65" s="12" t="s">
        <v>1307</v>
      </c>
      <c r="BX65" s="12">
        <v>0</v>
      </c>
      <c r="BY65" s="12">
        <v>0</v>
      </c>
      <c r="BZ65" s="12">
        <v>0</v>
      </c>
      <c r="CA65" s="12">
        <v>0</v>
      </c>
      <c r="CB65" s="12">
        <v>2000000</v>
      </c>
      <c r="CC65" s="12">
        <v>2000000</v>
      </c>
      <c r="CD65" s="12">
        <v>1560000</v>
      </c>
      <c r="CE65" s="12">
        <v>1560000</v>
      </c>
      <c r="CF65" s="12">
        <v>1</v>
      </c>
      <c r="CG65" s="12">
        <v>7.158196134574087E-4</v>
      </c>
      <c r="CH65" s="12">
        <v>7.158196134574087E-4</v>
      </c>
      <c r="CI65" s="12" t="b">
        <v>0</v>
      </c>
      <c r="CJ65" s="12" t="b">
        <v>0</v>
      </c>
      <c r="CK65" s="12" t="s">
        <v>690</v>
      </c>
      <c r="CL65" s="2" t="s">
        <v>107</v>
      </c>
      <c r="CM65" s="2">
        <v>260201121902</v>
      </c>
      <c r="CN65" s="12">
        <v>1431.6392269148175</v>
      </c>
      <c r="CO65" s="12">
        <v>1116.6785969935577</v>
      </c>
      <c r="CP65" s="12" t="s">
        <v>107</v>
      </c>
      <c r="CQ65" s="12" t="s">
        <v>821</v>
      </c>
      <c r="CR65" s="46" t="s">
        <v>824</v>
      </c>
      <c r="CS65" s="46" t="s">
        <v>823</v>
      </c>
      <c r="CT65" s="2">
        <v>30715225537</v>
      </c>
      <c r="CU65" s="2" t="s">
        <v>691</v>
      </c>
      <c r="CV65" s="49">
        <v>46087.728472222225</v>
      </c>
      <c r="CW65" s="49">
        <v>46085.874305555553</v>
      </c>
      <c r="CX65" s="2" t="b">
        <v>1</v>
      </c>
      <c r="CY65" s="2" t="b">
        <v>1</v>
      </c>
      <c r="CZ65" s="160">
        <v>46054</v>
      </c>
      <c r="DA65" s="12" t="s">
        <v>693</v>
      </c>
      <c r="DB65" s="12"/>
      <c r="DC65" s="12"/>
      <c r="DD65" s="12"/>
      <c r="DE65" s="12"/>
      <c r="DF65" s="12"/>
      <c r="DG65" s="12"/>
      <c r="DH65" s="12"/>
      <c r="DI65" s="46"/>
      <c r="DJ65" s="48" t="s">
        <v>105</v>
      </c>
      <c r="DK65" s="48" t="s">
        <v>111</v>
      </c>
      <c r="DL65" s="48">
        <v>2004216.19</v>
      </c>
      <c r="DM65" s="13" t="s">
        <v>99</v>
      </c>
      <c r="DN65" s="13" t="s">
        <v>99</v>
      </c>
      <c r="DO65" s="12">
        <v>-4216.1899999999441</v>
      </c>
      <c r="DP65" s="12" t="s">
        <v>322</v>
      </c>
      <c r="DQ65" s="12" t="s">
        <v>111</v>
      </c>
      <c r="DR65" s="12">
        <v>2000000</v>
      </c>
      <c r="DS65" s="12" t="s">
        <v>99</v>
      </c>
      <c r="DT65" s="12">
        <v>0</v>
      </c>
      <c r="DU65" s="12"/>
      <c r="DV65" s="12"/>
      <c r="DW65" s="12" t="s">
        <v>16</v>
      </c>
      <c r="DX65" s="12"/>
      <c r="DY65" s="12" t="s">
        <v>111</v>
      </c>
      <c r="DZ65" s="12">
        <v>1208950</v>
      </c>
      <c r="EA65" s="12" t="s">
        <v>99</v>
      </c>
      <c r="EB65" s="12">
        <v>351050</v>
      </c>
      <c r="EC65" s="12"/>
      <c r="ED65" s="12" t="str">
        <f>INDEX('con 1'!CI:CI,MATCH(B65,'con 1'!A:A,0),1)</f>
        <v>OK</v>
      </c>
      <c r="EE65" s="12" t="s">
        <v>1946</v>
      </c>
      <c r="EF65" s="12" t="s">
        <v>1947</v>
      </c>
      <c r="EG65" s="48">
        <f ca="1">AN65/INDEX(er!D:D,MATCH(AA65,er!C:C,0),1)</f>
        <v>1431.6392269148175</v>
      </c>
    </row>
    <row r="66" spans="1:137" ht="12.5" x14ac:dyDescent="0.25">
      <c r="A66" s="46" t="s">
        <v>103</v>
      </c>
      <c r="B66" s="46" t="s">
        <v>325</v>
      </c>
      <c r="C66" s="46" t="s">
        <v>94</v>
      </c>
      <c r="D66" s="46" t="s">
        <v>98</v>
      </c>
      <c r="E66" s="156">
        <v>46081</v>
      </c>
      <c r="F66" s="46" t="s">
        <v>1308</v>
      </c>
      <c r="G66" s="46" t="s">
        <v>1309</v>
      </c>
      <c r="H66" s="46" t="s">
        <v>327</v>
      </c>
      <c r="I66" s="46" t="s">
        <v>1310</v>
      </c>
      <c r="J66" s="46" t="s">
        <v>1311</v>
      </c>
      <c r="K66" s="46" t="s">
        <v>559</v>
      </c>
      <c r="L66" s="46" t="s">
        <v>686</v>
      </c>
      <c r="M66" s="2" t="s">
        <v>563</v>
      </c>
      <c r="N66" s="46" t="s">
        <v>1256</v>
      </c>
      <c r="O66" s="46" t="s">
        <v>1257</v>
      </c>
      <c r="P66" s="46" t="s">
        <v>93</v>
      </c>
      <c r="Q66" s="46" t="s">
        <v>96</v>
      </c>
      <c r="R66" s="46" t="s">
        <v>104</v>
      </c>
      <c r="S66" s="46" t="s">
        <v>107</v>
      </c>
      <c r="T66" s="46" t="s">
        <v>107</v>
      </c>
      <c r="U66" s="46" t="s">
        <v>436</v>
      </c>
      <c r="V66" s="46" t="s">
        <v>105</v>
      </c>
      <c r="W66" s="46" t="s">
        <v>439</v>
      </c>
      <c r="X66" s="46" t="s">
        <v>687</v>
      </c>
      <c r="Y66" s="46" t="s">
        <v>688</v>
      </c>
      <c r="Z66" s="46" t="s">
        <v>688</v>
      </c>
      <c r="AA66" s="46" t="s">
        <v>111</v>
      </c>
      <c r="AB66" s="12" t="s">
        <v>111</v>
      </c>
      <c r="AC66" s="12">
        <v>4000000</v>
      </c>
      <c r="AD66" s="12">
        <v>4000000</v>
      </c>
      <c r="AE66" s="12">
        <v>1</v>
      </c>
      <c r="AF66" s="12">
        <v>1</v>
      </c>
      <c r="AG66" s="12">
        <v>1</v>
      </c>
      <c r="AH66" s="12">
        <v>0.78</v>
      </c>
      <c r="AI66" s="12">
        <v>0.78</v>
      </c>
      <c r="AJ66" s="12">
        <v>0</v>
      </c>
      <c r="AK66" s="12"/>
      <c r="AL66" s="12">
        <v>4000000</v>
      </c>
      <c r="AM66" s="12">
        <v>4000000</v>
      </c>
      <c r="AN66" s="12">
        <v>4000000</v>
      </c>
      <c r="AO66" s="12">
        <v>3120000</v>
      </c>
      <c r="AP66" s="12">
        <v>2417900.16</v>
      </c>
      <c r="AQ66" s="12"/>
      <c r="AR66" s="12">
        <v>4000000</v>
      </c>
      <c r="AS66" s="12">
        <v>2863.2784538296351</v>
      </c>
      <c r="AT66" s="12">
        <v>2233.3571939871154</v>
      </c>
      <c r="AU66" s="12">
        <v>880000</v>
      </c>
      <c r="AV66" s="12">
        <v>880000</v>
      </c>
      <c r="AW66" s="12">
        <v>629.9212598425197</v>
      </c>
      <c r="AX66" s="12">
        <v>22</v>
      </c>
      <c r="AY66" s="2" t="s">
        <v>2351</v>
      </c>
      <c r="AZ66" s="2" t="s">
        <v>101</v>
      </c>
      <c r="BA66" s="46"/>
      <c r="BB66" s="2" t="s">
        <v>2352</v>
      </c>
      <c r="BC66" s="2" t="s">
        <v>102</v>
      </c>
      <c r="BD66" s="46"/>
      <c r="BE66" s="46"/>
      <c r="BF66" s="12"/>
      <c r="BG66" s="12">
        <v>1</v>
      </c>
      <c r="BH66" s="12" t="s">
        <v>1312</v>
      </c>
      <c r="BI66" s="46" t="s">
        <v>1256</v>
      </c>
      <c r="BJ66" s="46" t="s">
        <v>1259</v>
      </c>
      <c r="BK66" s="46" t="s">
        <v>874</v>
      </c>
      <c r="BL66" s="46" t="s">
        <v>874</v>
      </c>
      <c r="BM66" s="46" t="s">
        <v>874</v>
      </c>
      <c r="BN66" s="46" t="s">
        <v>735</v>
      </c>
      <c r="BO66" s="46" t="s">
        <v>710</v>
      </c>
      <c r="BP66" s="46" t="s">
        <v>436</v>
      </c>
      <c r="BQ66" s="157">
        <v>46054</v>
      </c>
      <c r="BR66" s="156">
        <v>46081</v>
      </c>
      <c r="BS66" s="46" t="s">
        <v>746</v>
      </c>
      <c r="BT66" s="46"/>
      <c r="BU66" s="12">
        <v>1</v>
      </c>
      <c r="BV66" s="158" t="s">
        <v>1313</v>
      </c>
      <c r="BW66" s="12" t="s">
        <v>1314</v>
      </c>
      <c r="BX66" s="12">
        <v>0</v>
      </c>
      <c r="BY66" s="12">
        <v>0</v>
      </c>
      <c r="BZ66" s="12">
        <v>0</v>
      </c>
      <c r="CA66" s="12">
        <v>0</v>
      </c>
      <c r="CB66" s="12">
        <v>4000000</v>
      </c>
      <c r="CC66" s="12">
        <v>4000000</v>
      </c>
      <c r="CD66" s="12">
        <v>3120000</v>
      </c>
      <c r="CE66" s="12">
        <v>3120000</v>
      </c>
      <c r="CF66" s="12">
        <v>1</v>
      </c>
      <c r="CG66" s="12">
        <v>7.158196134574087E-4</v>
      </c>
      <c r="CH66" s="12">
        <v>7.158196134574087E-4</v>
      </c>
      <c r="CI66" s="12" t="b">
        <v>0</v>
      </c>
      <c r="CJ66" s="12" t="b">
        <v>0</v>
      </c>
      <c r="CK66" s="12" t="s">
        <v>690</v>
      </c>
      <c r="CL66" s="2" t="s">
        <v>107</v>
      </c>
      <c r="CM66" s="2" t="s">
        <v>1315</v>
      </c>
      <c r="CN66" s="12">
        <v>2863.2784538296351</v>
      </c>
      <c r="CO66" s="12">
        <v>2233.3571939871154</v>
      </c>
      <c r="CP66" s="12" t="s">
        <v>107</v>
      </c>
      <c r="CQ66" s="12" t="s">
        <v>1257</v>
      </c>
      <c r="CR66" s="46" t="s">
        <v>1263</v>
      </c>
      <c r="CS66" s="46" t="s">
        <v>1259</v>
      </c>
      <c r="CT66" s="2">
        <v>33695614549</v>
      </c>
      <c r="CU66" s="2" t="s">
        <v>691</v>
      </c>
      <c r="CV66" s="49">
        <v>46087.728472222225</v>
      </c>
      <c r="CW66" s="49">
        <v>46085.874305555553</v>
      </c>
      <c r="CX66" s="2" t="b">
        <v>1</v>
      </c>
      <c r="CY66" s="2" t="b">
        <v>1</v>
      </c>
      <c r="CZ66" s="160">
        <v>46054</v>
      </c>
      <c r="DA66" s="12" t="s">
        <v>693</v>
      </c>
      <c r="DB66" s="12"/>
      <c r="DC66" s="12"/>
      <c r="DD66" s="12"/>
      <c r="DE66" s="12"/>
      <c r="DF66" s="12"/>
      <c r="DG66" s="12"/>
      <c r="DH66" s="12"/>
      <c r="DI66" s="46" t="s">
        <v>206</v>
      </c>
      <c r="DJ66" s="48" t="s">
        <v>105</v>
      </c>
      <c r="DK66" s="48" t="s">
        <v>111</v>
      </c>
      <c r="DL66" s="48">
        <v>4002572.21</v>
      </c>
      <c r="DM66" s="13" t="s">
        <v>99</v>
      </c>
      <c r="DN66" s="13" t="s">
        <v>99</v>
      </c>
      <c r="DO66" s="12">
        <v>-2572.2099999999627</v>
      </c>
      <c r="DP66" s="12" t="s">
        <v>325</v>
      </c>
      <c r="DQ66" s="12" t="s">
        <v>111</v>
      </c>
      <c r="DR66" s="12">
        <v>4000000</v>
      </c>
      <c r="DS66" s="12" t="s">
        <v>99</v>
      </c>
      <c r="DT66" s="12">
        <v>0</v>
      </c>
      <c r="DU66" s="12"/>
      <c r="DV66" s="12"/>
      <c r="DW66" s="12" t="s">
        <v>16</v>
      </c>
      <c r="DX66" s="12"/>
      <c r="DY66" s="12" t="s">
        <v>111</v>
      </c>
      <c r="DZ66" s="12">
        <v>2417900</v>
      </c>
      <c r="EA66" s="12" t="s">
        <v>99</v>
      </c>
      <c r="EB66" s="12">
        <v>702100</v>
      </c>
      <c r="EC66" s="12"/>
      <c r="ED66" s="12" t="str">
        <f>INDEX('con 1'!CI:CI,MATCH(B66,'con 1'!A:A,0),1)</f>
        <v>OK</v>
      </c>
      <c r="EE66" s="12" t="s">
        <v>1946</v>
      </c>
      <c r="EF66" s="12" t="s">
        <v>1947</v>
      </c>
      <c r="EG66" s="48">
        <f ca="1">AN66/INDEX(er!D:D,MATCH(AA66,er!C:C,0),1)</f>
        <v>2863.2784538296351</v>
      </c>
    </row>
    <row r="67" spans="1:137" ht="12.5" x14ac:dyDescent="0.25">
      <c r="A67" s="46" t="s">
        <v>103</v>
      </c>
      <c r="B67" s="46" t="s">
        <v>328</v>
      </c>
      <c r="C67" s="46" t="s">
        <v>94</v>
      </c>
      <c r="D67" s="46" t="s">
        <v>98</v>
      </c>
      <c r="E67" s="156">
        <v>46081</v>
      </c>
      <c r="F67" s="46" t="s">
        <v>1316</v>
      </c>
      <c r="G67" s="46" t="s">
        <v>1317</v>
      </c>
      <c r="H67" s="46" t="s">
        <v>330</v>
      </c>
      <c r="I67" s="46" t="s">
        <v>1318</v>
      </c>
      <c r="J67" s="46" t="s">
        <v>1319</v>
      </c>
      <c r="K67" s="46" t="s">
        <v>559</v>
      </c>
      <c r="L67" s="46" t="s">
        <v>686</v>
      </c>
      <c r="M67" s="2" t="s">
        <v>563</v>
      </c>
      <c r="N67" s="46" t="s">
        <v>997</v>
      </c>
      <c r="O67" s="46" t="s">
        <v>998</v>
      </c>
      <c r="P67" s="46" t="s">
        <v>93</v>
      </c>
      <c r="Q67" s="46" t="s">
        <v>96</v>
      </c>
      <c r="R67" s="46" t="s">
        <v>104</v>
      </c>
      <c r="S67" s="46" t="s">
        <v>107</v>
      </c>
      <c r="T67" s="46" t="s">
        <v>107</v>
      </c>
      <c r="U67" s="46" t="s">
        <v>436</v>
      </c>
      <c r="V67" s="46" t="s">
        <v>105</v>
      </c>
      <c r="W67" s="46" t="s">
        <v>439</v>
      </c>
      <c r="X67" s="46" t="s">
        <v>687</v>
      </c>
      <c r="Y67" s="46" t="s">
        <v>688</v>
      </c>
      <c r="Z67" s="46" t="s">
        <v>688</v>
      </c>
      <c r="AA67" s="46" t="s">
        <v>111</v>
      </c>
      <c r="AB67" s="12" t="s">
        <v>111</v>
      </c>
      <c r="AC67" s="12">
        <v>997649.16</v>
      </c>
      <c r="AD67" s="12">
        <v>997649.16</v>
      </c>
      <c r="AE67" s="12">
        <v>1</v>
      </c>
      <c r="AF67" s="12">
        <v>1</v>
      </c>
      <c r="AG67" s="12">
        <v>1</v>
      </c>
      <c r="AH67" s="12">
        <v>0.78</v>
      </c>
      <c r="AI67" s="12">
        <v>0.78</v>
      </c>
      <c r="AJ67" s="12">
        <v>0</v>
      </c>
      <c r="AK67" s="12"/>
      <c r="AL67" s="12">
        <v>997649.16</v>
      </c>
      <c r="AM67" s="12">
        <v>997649.16</v>
      </c>
      <c r="AN67" s="12">
        <v>997649.16</v>
      </c>
      <c r="AO67" s="12">
        <v>778166.34479999996</v>
      </c>
      <c r="AP67" s="12">
        <v>603054.02</v>
      </c>
      <c r="AQ67" s="12"/>
      <c r="AR67" s="12">
        <v>997649.16</v>
      </c>
      <c r="AS67" s="12">
        <v>714.13683607730854</v>
      </c>
      <c r="AT67" s="12">
        <v>557.02673214030062</v>
      </c>
      <c r="AU67" s="12">
        <v>219482.81520000001</v>
      </c>
      <c r="AV67" s="12">
        <v>219482.81520000001</v>
      </c>
      <c r="AW67" s="12">
        <v>157.11010393700789</v>
      </c>
      <c r="AX67" s="12">
        <v>22</v>
      </c>
      <c r="AY67" s="2" t="s">
        <v>331</v>
      </c>
      <c r="AZ67" s="2" t="s">
        <v>101</v>
      </c>
      <c r="BA67" s="46"/>
      <c r="BB67" s="2" t="s">
        <v>2353</v>
      </c>
      <c r="BC67" s="2" t="s">
        <v>102</v>
      </c>
      <c r="BD67" s="46"/>
      <c r="BE67" s="46"/>
      <c r="BF67" s="12"/>
      <c r="BG67" s="12">
        <v>1</v>
      </c>
      <c r="BH67" s="12" t="s">
        <v>1320</v>
      </c>
      <c r="BI67" s="46" t="s">
        <v>997</v>
      </c>
      <c r="BJ67" s="46" t="s">
        <v>1000</v>
      </c>
      <c r="BK67" s="46" t="s">
        <v>1001</v>
      </c>
      <c r="BL67" s="46" t="s">
        <v>697</v>
      </c>
      <c r="BM67" s="46" t="s">
        <v>697</v>
      </c>
      <c r="BN67" s="46" t="s">
        <v>735</v>
      </c>
      <c r="BO67" s="46" t="s">
        <v>710</v>
      </c>
      <c r="BP67" s="46" t="s">
        <v>436</v>
      </c>
      <c r="BQ67" s="157">
        <v>46065</v>
      </c>
      <c r="BR67" s="156">
        <v>46100</v>
      </c>
      <c r="BS67" s="46" t="s">
        <v>692</v>
      </c>
      <c r="BT67" s="46"/>
      <c r="BU67" s="12">
        <v>1</v>
      </c>
      <c r="BV67" s="158" t="s">
        <v>1321</v>
      </c>
      <c r="BW67" s="12" t="s">
        <v>1322</v>
      </c>
      <c r="BX67" s="12">
        <v>0</v>
      </c>
      <c r="BY67" s="12">
        <v>0</v>
      </c>
      <c r="BZ67" s="12">
        <v>0</v>
      </c>
      <c r="CA67" s="12">
        <v>0</v>
      </c>
      <c r="CB67" s="12">
        <v>2361111.111111111</v>
      </c>
      <c r="CC67" s="12">
        <v>2361111.1111110002</v>
      </c>
      <c r="CD67" s="12">
        <v>1841666.6666669999</v>
      </c>
      <c r="CE67" s="12">
        <v>778166.34479999996</v>
      </c>
      <c r="CF67" s="12">
        <v>1</v>
      </c>
      <c r="CG67" s="12">
        <v>7.158196134574087E-4</v>
      </c>
      <c r="CH67" s="12">
        <v>7.158196134574087E-4</v>
      </c>
      <c r="CI67" s="12" t="b">
        <v>0</v>
      </c>
      <c r="CJ67" s="12" t="b">
        <v>0</v>
      </c>
      <c r="CK67" s="12" t="s">
        <v>690</v>
      </c>
      <c r="CL67" s="2" t="s">
        <v>107</v>
      </c>
      <c r="CM67" s="2" t="s">
        <v>1323</v>
      </c>
      <c r="CN67" s="12">
        <v>714.13683607730854</v>
      </c>
      <c r="CO67" s="12">
        <v>557.02673214030062</v>
      </c>
      <c r="CP67" s="12" t="s">
        <v>107</v>
      </c>
      <c r="CQ67" s="12" t="s">
        <v>821</v>
      </c>
      <c r="CR67" s="46" t="s">
        <v>1005</v>
      </c>
      <c r="CS67" s="46" t="s">
        <v>1000</v>
      </c>
      <c r="CT67" s="2">
        <v>30639453738</v>
      </c>
      <c r="CU67" s="2" t="s">
        <v>691</v>
      </c>
      <c r="CV67" s="49">
        <v>46087.728472222225</v>
      </c>
      <c r="CW67" s="49">
        <v>46087.57708333333</v>
      </c>
      <c r="CX67" s="2" t="b">
        <v>1</v>
      </c>
      <c r="CY67" s="2" t="b">
        <v>1</v>
      </c>
      <c r="CZ67" s="160">
        <v>46054</v>
      </c>
      <c r="DA67" s="12" t="s">
        <v>693</v>
      </c>
      <c r="DB67" s="12"/>
      <c r="DC67" s="12"/>
      <c r="DD67" s="12"/>
      <c r="DE67" s="12"/>
      <c r="DF67" s="12"/>
      <c r="DG67" s="12"/>
      <c r="DH67" s="12"/>
      <c r="DI67" s="46"/>
      <c r="DJ67" s="48" t="s">
        <v>105</v>
      </c>
      <c r="DK67" s="48" t="s">
        <v>111</v>
      </c>
      <c r="DL67" s="48">
        <v>997649.16</v>
      </c>
      <c r="DM67" s="13" t="s">
        <v>99</v>
      </c>
      <c r="DN67" s="13" t="s">
        <v>99</v>
      </c>
      <c r="DO67" s="12">
        <v>0</v>
      </c>
      <c r="DP67" s="12" t="s">
        <v>328</v>
      </c>
      <c r="DQ67" s="12" t="s">
        <v>111</v>
      </c>
      <c r="DR67" s="12">
        <v>997649.16</v>
      </c>
      <c r="DS67" s="12" t="s">
        <v>99</v>
      </c>
      <c r="DT67" s="12">
        <v>0</v>
      </c>
      <c r="DU67" s="12"/>
      <c r="DV67" s="12"/>
      <c r="DW67" s="12" t="s">
        <v>16</v>
      </c>
      <c r="DX67" s="12"/>
      <c r="DY67" s="12" t="s">
        <v>111</v>
      </c>
      <c r="DZ67" s="12">
        <v>778166.34</v>
      </c>
      <c r="EA67" s="12" t="s">
        <v>99</v>
      </c>
      <c r="EB67" s="12">
        <v>4.7999999951571226E-3</v>
      </c>
      <c r="EC67" s="12"/>
      <c r="ED67" s="12" t="str">
        <f>INDEX('con 1'!CI:CI,MATCH(B67,'con 1'!A:A,0),1)</f>
        <v>OK. Twitter tax err.</v>
      </c>
      <c r="EE67" s="12" t="s">
        <v>101</v>
      </c>
      <c r="EF67" s="12" t="s">
        <v>1947</v>
      </c>
      <c r="EG67" s="48">
        <f ca="1">AN67/INDEX(er!D:D,MATCH(AA67,er!C:C,0),1)</f>
        <v>714.13683607730854</v>
      </c>
    </row>
    <row r="68" spans="1:137" ht="12.5" x14ac:dyDescent="0.25">
      <c r="A68" s="46" t="s">
        <v>103</v>
      </c>
      <c r="B68" s="46" t="s">
        <v>332</v>
      </c>
      <c r="C68" s="46" t="s">
        <v>94</v>
      </c>
      <c r="D68" s="46" t="s">
        <v>98</v>
      </c>
      <c r="E68" s="156">
        <v>46081</v>
      </c>
      <c r="F68" s="46" t="s">
        <v>1324</v>
      </c>
      <c r="G68" s="46" t="s">
        <v>1325</v>
      </c>
      <c r="H68" s="46" t="s">
        <v>334</v>
      </c>
      <c r="I68" s="46" t="s">
        <v>1326</v>
      </c>
      <c r="J68" s="46" t="s">
        <v>1327</v>
      </c>
      <c r="K68" s="46" t="s">
        <v>559</v>
      </c>
      <c r="L68" s="46" t="s">
        <v>686</v>
      </c>
      <c r="M68" s="2" t="s">
        <v>563</v>
      </c>
      <c r="N68" s="46" t="s">
        <v>776</v>
      </c>
      <c r="O68" s="46" t="s">
        <v>776</v>
      </c>
      <c r="P68" s="46" t="s">
        <v>93</v>
      </c>
      <c r="Q68" s="46" t="s">
        <v>96</v>
      </c>
      <c r="R68" s="46" t="s">
        <v>104</v>
      </c>
      <c r="S68" s="46" t="s">
        <v>107</v>
      </c>
      <c r="T68" s="46" t="s">
        <v>107</v>
      </c>
      <c r="U68" s="46" t="s">
        <v>436</v>
      </c>
      <c r="V68" s="46" t="s">
        <v>105</v>
      </c>
      <c r="W68" s="46" t="s">
        <v>439</v>
      </c>
      <c r="X68" s="46" t="s">
        <v>687</v>
      </c>
      <c r="Y68" s="46" t="s">
        <v>688</v>
      </c>
      <c r="Z68" s="46" t="s">
        <v>688</v>
      </c>
      <c r="AA68" s="46" t="s">
        <v>111</v>
      </c>
      <c r="AB68" s="12" t="s">
        <v>111</v>
      </c>
      <c r="AC68" s="12">
        <v>7445541.0300000003</v>
      </c>
      <c r="AD68" s="12">
        <v>7445541.0300000003</v>
      </c>
      <c r="AE68" s="12">
        <v>1</v>
      </c>
      <c r="AF68" s="12">
        <v>1</v>
      </c>
      <c r="AG68" s="12">
        <v>1</v>
      </c>
      <c r="AH68" s="12">
        <v>0.78</v>
      </c>
      <c r="AI68" s="12">
        <v>0.78</v>
      </c>
      <c r="AJ68" s="12">
        <v>0</v>
      </c>
      <c r="AK68" s="12"/>
      <c r="AL68" s="12">
        <v>7445541.0300000003</v>
      </c>
      <c r="AM68" s="12">
        <v>7445541.0300000003</v>
      </c>
      <c r="AN68" s="12">
        <v>7445541.0300000003</v>
      </c>
      <c r="AO68" s="12">
        <v>5807522.0033999998</v>
      </c>
      <c r="AP68" s="12">
        <v>4500643.71</v>
      </c>
      <c r="AQ68" s="12"/>
      <c r="AR68" s="12">
        <v>7445541.0300000003</v>
      </c>
      <c r="AS68" s="12">
        <v>5329.6643020758775</v>
      </c>
      <c r="AT68" s="12">
        <v>4157.1381556191836</v>
      </c>
      <c r="AU68" s="12">
        <v>1638019.0266</v>
      </c>
      <c r="AV68" s="12">
        <v>1638019.0266</v>
      </c>
      <c r="AW68" s="12">
        <v>1172.5261464566929</v>
      </c>
      <c r="AX68" s="12">
        <v>22</v>
      </c>
      <c r="AY68" s="2" t="s">
        <v>2354</v>
      </c>
      <c r="AZ68" s="2" t="s">
        <v>101</v>
      </c>
      <c r="BA68" s="46"/>
      <c r="BB68" s="2" t="s">
        <v>2355</v>
      </c>
      <c r="BC68" s="2" t="s">
        <v>102</v>
      </c>
      <c r="BD68" s="46"/>
      <c r="BE68" s="46"/>
      <c r="BF68" s="12"/>
      <c r="BG68" s="12">
        <v>1</v>
      </c>
      <c r="BH68" s="12" t="s">
        <v>1328</v>
      </c>
      <c r="BI68" s="46" t="s">
        <v>776</v>
      </c>
      <c r="BJ68" s="46" t="s">
        <v>778</v>
      </c>
      <c r="BK68" s="46" t="s">
        <v>865</v>
      </c>
      <c r="BL68" s="46" t="s">
        <v>865</v>
      </c>
      <c r="BM68" s="46" t="s">
        <v>865</v>
      </c>
      <c r="BN68" s="46" t="s">
        <v>735</v>
      </c>
      <c r="BO68" s="46" t="s">
        <v>710</v>
      </c>
      <c r="BP68" s="46" t="s">
        <v>436</v>
      </c>
      <c r="BQ68" s="157">
        <v>46054</v>
      </c>
      <c r="BR68" s="156">
        <v>46081</v>
      </c>
      <c r="BS68" s="46" t="s">
        <v>746</v>
      </c>
      <c r="BT68" s="46"/>
      <c r="BU68" s="12">
        <v>1</v>
      </c>
      <c r="BV68" s="158" t="s">
        <v>1329</v>
      </c>
      <c r="BW68" s="12" t="s">
        <v>1330</v>
      </c>
      <c r="BX68" s="12">
        <v>0</v>
      </c>
      <c r="BY68" s="12">
        <v>0</v>
      </c>
      <c r="BZ68" s="12">
        <v>0</v>
      </c>
      <c r="CA68" s="12">
        <v>0</v>
      </c>
      <c r="CB68" s="12">
        <v>7500000</v>
      </c>
      <c r="CC68" s="12">
        <v>7500000</v>
      </c>
      <c r="CD68" s="12">
        <v>5850000</v>
      </c>
      <c r="CE68" s="12">
        <v>5807522.0033999998</v>
      </c>
      <c r="CF68" s="12">
        <v>1</v>
      </c>
      <c r="CG68" s="12">
        <v>7.158196134574087E-4</v>
      </c>
      <c r="CH68" s="12">
        <v>7.158196134574087E-4</v>
      </c>
      <c r="CI68" s="12" t="b">
        <v>0</v>
      </c>
      <c r="CJ68" s="12" t="b">
        <v>0</v>
      </c>
      <c r="CK68" s="12" t="s">
        <v>690</v>
      </c>
      <c r="CL68" s="2" t="s">
        <v>107</v>
      </c>
      <c r="CM68" s="2" t="s">
        <v>1331</v>
      </c>
      <c r="CN68" s="12">
        <v>5329.6643020758765</v>
      </c>
      <c r="CO68" s="12">
        <v>4157.1381556191836</v>
      </c>
      <c r="CP68" s="12" t="s">
        <v>107</v>
      </c>
      <c r="CQ68" s="12" t="s">
        <v>776</v>
      </c>
      <c r="CR68" s="46" t="s">
        <v>782</v>
      </c>
      <c r="CS68" s="46" t="s">
        <v>778</v>
      </c>
      <c r="CT68" s="2">
        <v>30707117016</v>
      </c>
      <c r="CU68" s="2" t="s">
        <v>691</v>
      </c>
      <c r="CV68" s="49">
        <v>46087.728472222225</v>
      </c>
      <c r="CW68" s="49">
        <v>46085.874305555553</v>
      </c>
      <c r="CX68" s="2" t="b">
        <v>1</v>
      </c>
      <c r="CY68" s="2" t="b">
        <v>1</v>
      </c>
      <c r="CZ68" s="160">
        <v>46054</v>
      </c>
      <c r="DA68" s="12" t="s">
        <v>693</v>
      </c>
      <c r="DB68" s="12"/>
      <c r="DC68" s="12"/>
      <c r="DD68" s="12"/>
      <c r="DE68" s="12"/>
      <c r="DF68" s="12"/>
      <c r="DG68" s="12"/>
      <c r="DH68" s="12"/>
      <c r="DI68" s="46"/>
      <c r="DJ68" s="48" t="s">
        <v>105</v>
      </c>
      <c r="DK68" s="48" t="s">
        <v>111</v>
      </c>
      <c r="DL68" s="48">
        <v>7445541.0300000003</v>
      </c>
      <c r="DM68" s="13" t="s">
        <v>99</v>
      </c>
      <c r="DN68" s="13" t="s">
        <v>99</v>
      </c>
      <c r="DO68" s="12">
        <v>0</v>
      </c>
      <c r="DP68" s="12" t="s">
        <v>332</v>
      </c>
      <c r="DQ68" s="12" t="s">
        <v>111</v>
      </c>
      <c r="DR68" s="12">
        <v>7445541.0300000003</v>
      </c>
      <c r="DS68" s="12" t="s">
        <v>99</v>
      </c>
      <c r="DT68" s="12">
        <v>0</v>
      </c>
      <c r="DU68" s="12"/>
      <c r="DV68" s="12"/>
      <c r="DW68" s="12" t="s">
        <v>16</v>
      </c>
      <c r="DX68" s="12"/>
      <c r="DY68" s="12" t="s">
        <v>111</v>
      </c>
      <c r="DZ68" s="12">
        <v>5807522</v>
      </c>
      <c r="EA68" s="12" t="s">
        <v>99</v>
      </c>
      <c r="EB68" s="12">
        <v>3.399999812245369E-3</v>
      </c>
      <c r="EC68" s="12"/>
      <c r="ED68" s="12" t="str">
        <f>INDEX('con 1'!CI:CI,MATCH(B68,'con 1'!A:A,0),1)</f>
        <v>OK. Twitter tax err.</v>
      </c>
      <c r="EE68" s="12" t="s">
        <v>1946</v>
      </c>
      <c r="EF68" s="12" t="s">
        <v>1947</v>
      </c>
      <c r="EG68" s="48">
        <f ca="1">AN68/INDEX(er!D:D,MATCH(AA68,er!C:C,0),1)</f>
        <v>5329.6643020758775</v>
      </c>
    </row>
    <row r="69" spans="1:137" ht="12.5" x14ac:dyDescent="0.25">
      <c r="A69" s="46" t="s">
        <v>103</v>
      </c>
      <c r="B69" s="46" t="s">
        <v>336</v>
      </c>
      <c r="C69" s="46" t="s">
        <v>94</v>
      </c>
      <c r="D69" s="46" t="s">
        <v>98</v>
      </c>
      <c r="E69" s="156">
        <v>46081</v>
      </c>
      <c r="F69" s="46" t="s">
        <v>1332</v>
      </c>
      <c r="G69" s="46" t="s">
        <v>1333</v>
      </c>
      <c r="H69" s="46" t="s">
        <v>338</v>
      </c>
      <c r="I69" s="46" t="s">
        <v>1334</v>
      </c>
      <c r="J69" s="46" t="s">
        <v>1335</v>
      </c>
      <c r="K69" s="46" t="s">
        <v>559</v>
      </c>
      <c r="L69" s="46" t="s">
        <v>686</v>
      </c>
      <c r="M69" s="2" t="s">
        <v>563</v>
      </c>
      <c r="N69" s="46" t="s">
        <v>1336</v>
      </c>
      <c r="O69" s="46" t="s">
        <v>1337</v>
      </c>
      <c r="P69" s="46" t="s">
        <v>93</v>
      </c>
      <c r="Q69" s="46" t="s">
        <v>96</v>
      </c>
      <c r="R69" s="46" t="s">
        <v>104</v>
      </c>
      <c r="S69" s="46" t="s">
        <v>107</v>
      </c>
      <c r="T69" s="46" t="s">
        <v>107</v>
      </c>
      <c r="U69" s="46" t="s">
        <v>436</v>
      </c>
      <c r="V69" s="46" t="s">
        <v>105</v>
      </c>
      <c r="W69" s="46" t="s">
        <v>439</v>
      </c>
      <c r="X69" s="46" t="s">
        <v>687</v>
      </c>
      <c r="Y69" s="46" t="s">
        <v>688</v>
      </c>
      <c r="Z69" s="46" t="s">
        <v>688</v>
      </c>
      <c r="AA69" s="46" t="s">
        <v>111</v>
      </c>
      <c r="AB69" s="12" t="s">
        <v>111</v>
      </c>
      <c r="AC69" s="12">
        <v>839339.96</v>
      </c>
      <c r="AD69" s="12">
        <v>839339.96</v>
      </c>
      <c r="AE69" s="12">
        <v>1</v>
      </c>
      <c r="AF69" s="12">
        <v>1</v>
      </c>
      <c r="AG69" s="12">
        <v>1</v>
      </c>
      <c r="AH69" s="12">
        <v>0.78</v>
      </c>
      <c r="AI69" s="12">
        <v>0.78</v>
      </c>
      <c r="AJ69" s="12">
        <v>0</v>
      </c>
      <c r="AK69" s="12"/>
      <c r="AL69" s="12">
        <v>839339.96</v>
      </c>
      <c r="AM69" s="12">
        <v>839339.96</v>
      </c>
      <c r="AN69" s="12">
        <v>839339.96</v>
      </c>
      <c r="AO69" s="12">
        <v>654685.16879999998</v>
      </c>
      <c r="AP69" s="12">
        <v>507360.06</v>
      </c>
      <c r="AQ69" s="12"/>
      <c r="AR69" s="12">
        <v>839339.96</v>
      </c>
      <c r="AS69" s="12">
        <v>600.81600572655691</v>
      </c>
      <c r="AT69" s="12">
        <v>468.63648446671436</v>
      </c>
      <c r="AU69" s="12">
        <v>184654.79120000001</v>
      </c>
      <c r="AV69" s="12">
        <v>184654.79120000001</v>
      </c>
      <c r="AW69" s="12">
        <v>132.17952125984252</v>
      </c>
      <c r="AX69" s="12">
        <v>22</v>
      </c>
      <c r="AY69" s="2" t="s">
        <v>2356</v>
      </c>
      <c r="AZ69" s="2" t="s">
        <v>101</v>
      </c>
      <c r="BA69" s="46"/>
      <c r="BB69" s="2" t="s">
        <v>2357</v>
      </c>
      <c r="BC69" s="2" t="s">
        <v>102</v>
      </c>
      <c r="BD69" s="46"/>
      <c r="BE69" s="46"/>
      <c r="BF69" s="12"/>
      <c r="BG69" s="12">
        <v>1</v>
      </c>
      <c r="BH69" s="12" t="s">
        <v>1338</v>
      </c>
      <c r="BI69" s="46" t="s">
        <v>1336</v>
      </c>
      <c r="BJ69" s="46" t="s">
        <v>1339</v>
      </c>
      <c r="BK69" s="46" t="s">
        <v>865</v>
      </c>
      <c r="BL69" s="46" t="s">
        <v>865</v>
      </c>
      <c r="BM69" s="46" t="s">
        <v>865</v>
      </c>
      <c r="BN69" s="46" t="s">
        <v>735</v>
      </c>
      <c r="BO69" s="46" t="s">
        <v>710</v>
      </c>
      <c r="BP69" s="46" t="s">
        <v>436</v>
      </c>
      <c r="BQ69" s="157">
        <v>46054</v>
      </c>
      <c r="BR69" s="156">
        <v>46081</v>
      </c>
      <c r="BS69" s="46" t="s">
        <v>746</v>
      </c>
      <c r="BT69" s="46"/>
      <c r="BU69" s="12">
        <v>1</v>
      </c>
      <c r="BV69" s="158" t="s">
        <v>1340</v>
      </c>
      <c r="BW69" s="12" t="s">
        <v>1341</v>
      </c>
      <c r="BX69" s="12">
        <v>0</v>
      </c>
      <c r="BY69" s="12">
        <v>0</v>
      </c>
      <c r="BZ69" s="12">
        <v>0</v>
      </c>
      <c r="CA69" s="12">
        <v>0</v>
      </c>
      <c r="CB69" s="12">
        <v>1000000</v>
      </c>
      <c r="CC69" s="12">
        <v>1000000</v>
      </c>
      <c r="CD69" s="12">
        <v>780000</v>
      </c>
      <c r="CE69" s="12">
        <v>654685.16879999998</v>
      </c>
      <c r="CF69" s="12">
        <v>1</v>
      </c>
      <c r="CG69" s="12">
        <v>7.158196134574087E-4</v>
      </c>
      <c r="CH69" s="12">
        <v>7.158196134574087E-4</v>
      </c>
      <c r="CI69" s="12" t="b">
        <v>0</v>
      </c>
      <c r="CJ69" s="12" t="b">
        <v>0</v>
      </c>
      <c r="CK69" s="12" t="s">
        <v>690</v>
      </c>
      <c r="CL69" s="2" t="s">
        <v>107</v>
      </c>
      <c r="CM69" s="2" t="s">
        <v>1342</v>
      </c>
      <c r="CN69" s="12">
        <v>600.81600572655691</v>
      </c>
      <c r="CO69" s="12">
        <v>468.63648446671436</v>
      </c>
      <c r="CP69" s="12" t="s">
        <v>107</v>
      </c>
      <c r="CQ69" s="12" t="s">
        <v>1337</v>
      </c>
      <c r="CR69" s="46" t="s">
        <v>1343</v>
      </c>
      <c r="CS69" s="46" t="s">
        <v>1339</v>
      </c>
      <c r="CT69" s="2">
        <v>30707906959</v>
      </c>
      <c r="CU69" s="2" t="s">
        <v>691</v>
      </c>
      <c r="CV69" s="49">
        <v>46087.728472222225</v>
      </c>
      <c r="CW69" s="49">
        <v>46085.874305555553</v>
      </c>
      <c r="CX69" s="2" t="b">
        <v>1</v>
      </c>
      <c r="CY69" s="2" t="b">
        <v>1</v>
      </c>
      <c r="CZ69" s="160">
        <v>46054</v>
      </c>
      <c r="DA69" s="12" t="s">
        <v>693</v>
      </c>
      <c r="DB69" s="12"/>
      <c r="DC69" s="12"/>
      <c r="DD69" s="12"/>
      <c r="DE69" s="12"/>
      <c r="DF69" s="12"/>
      <c r="DG69" s="12"/>
      <c r="DH69" s="12"/>
      <c r="DI69" s="46"/>
      <c r="DJ69" s="48" t="s">
        <v>105</v>
      </c>
      <c r="DK69" s="48" t="s">
        <v>111</v>
      </c>
      <c r="DL69" s="48">
        <v>839339.97</v>
      </c>
      <c r="DM69" s="13" t="s">
        <v>99</v>
      </c>
      <c r="DN69" s="13" t="s">
        <v>99</v>
      </c>
      <c r="DO69" s="12">
        <v>-1.0000000009313226E-2</v>
      </c>
      <c r="DP69" s="12" t="s">
        <v>336</v>
      </c>
      <c r="DQ69" s="12" t="s">
        <v>111</v>
      </c>
      <c r="DR69" s="12">
        <v>839339.96</v>
      </c>
      <c r="DS69" s="12" t="s">
        <v>99</v>
      </c>
      <c r="DT69" s="12">
        <v>0</v>
      </c>
      <c r="DU69" s="12"/>
      <c r="DV69" s="12"/>
      <c r="DW69" s="12" t="s">
        <v>16</v>
      </c>
      <c r="DX69" s="12"/>
      <c r="DY69" s="12" t="s">
        <v>111</v>
      </c>
      <c r="DZ69" s="12">
        <v>654685.18000000005</v>
      </c>
      <c r="EA69" s="12" t="s">
        <v>99</v>
      </c>
      <c r="EB69" s="12">
        <v>-1.1200000066310167E-2</v>
      </c>
      <c r="EC69" s="12"/>
      <c r="ED69" s="12" t="str">
        <f>INDEX('con 1'!CI:CI,MATCH(B69,'con 1'!A:A,0),1)</f>
        <v>OK. Twitter tax err.</v>
      </c>
      <c r="EE69" s="12" t="s">
        <v>1946</v>
      </c>
      <c r="EF69" s="12" t="s">
        <v>1947</v>
      </c>
      <c r="EG69" s="48">
        <f ca="1">AN69/INDEX(er!D:D,MATCH(AA69,er!C:C,0),1)</f>
        <v>600.81600572655691</v>
      </c>
    </row>
    <row r="70" spans="1:137" ht="12.5" x14ac:dyDescent="0.25">
      <c r="A70" s="46" t="s">
        <v>103</v>
      </c>
      <c r="B70" s="46" t="s">
        <v>340</v>
      </c>
      <c r="C70" s="46" t="s">
        <v>94</v>
      </c>
      <c r="D70" s="46" t="s">
        <v>98</v>
      </c>
      <c r="E70" s="156">
        <v>46081</v>
      </c>
      <c r="F70" s="46" t="s">
        <v>1344</v>
      </c>
      <c r="G70" s="46" t="s">
        <v>1345</v>
      </c>
      <c r="H70" s="46" t="s">
        <v>342</v>
      </c>
      <c r="I70" s="46" t="s">
        <v>1346</v>
      </c>
      <c r="J70" s="46" t="s">
        <v>1347</v>
      </c>
      <c r="K70" s="46" t="s">
        <v>559</v>
      </c>
      <c r="L70" s="46" t="s">
        <v>686</v>
      </c>
      <c r="M70" s="2" t="s">
        <v>563</v>
      </c>
      <c r="N70" s="46" t="s">
        <v>861</v>
      </c>
      <c r="O70" s="46" t="s">
        <v>861</v>
      </c>
      <c r="P70" s="46" t="s">
        <v>93</v>
      </c>
      <c r="Q70" s="46" t="s">
        <v>100</v>
      </c>
      <c r="R70" s="46" t="s">
        <v>104</v>
      </c>
      <c r="S70" s="46" t="s">
        <v>107</v>
      </c>
      <c r="T70" s="46" t="s">
        <v>107</v>
      </c>
      <c r="U70" s="46" t="s">
        <v>436</v>
      </c>
      <c r="V70" s="46" t="s">
        <v>105</v>
      </c>
      <c r="W70" s="46" t="s">
        <v>439</v>
      </c>
      <c r="X70" s="46" t="s">
        <v>687</v>
      </c>
      <c r="Y70" s="46" t="s">
        <v>688</v>
      </c>
      <c r="Z70" s="46" t="s">
        <v>688</v>
      </c>
      <c r="AA70" s="46" t="s">
        <v>111</v>
      </c>
      <c r="AB70" s="12" t="s">
        <v>111</v>
      </c>
      <c r="AC70" s="12">
        <v>2890408.14</v>
      </c>
      <c r="AD70" s="12">
        <v>2890408.14</v>
      </c>
      <c r="AE70" s="12">
        <v>1</v>
      </c>
      <c r="AF70" s="12">
        <v>1</v>
      </c>
      <c r="AG70" s="12">
        <v>1</v>
      </c>
      <c r="AH70" s="12">
        <v>0.85</v>
      </c>
      <c r="AI70" s="12">
        <v>0.85</v>
      </c>
      <c r="AJ70" s="12">
        <v>0</v>
      </c>
      <c r="AK70" s="12"/>
      <c r="AL70" s="12">
        <v>2890408.14</v>
      </c>
      <c r="AM70" s="12">
        <v>2890408.14</v>
      </c>
      <c r="AN70" s="12">
        <v>2890408.14</v>
      </c>
      <c r="AO70" s="12">
        <v>2456846.9190000002</v>
      </c>
      <c r="AP70" s="12">
        <v>1907654.92</v>
      </c>
      <c r="AQ70" s="12"/>
      <c r="AR70" s="12">
        <v>2890408.14</v>
      </c>
      <c r="AS70" s="12">
        <v>2069.010837508948</v>
      </c>
      <c r="AT70" s="12">
        <v>1758.6592118826059</v>
      </c>
      <c r="AU70" s="12">
        <v>433561.22100000002</v>
      </c>
      <c r="AV70" s="12">
        <v>433561.22100000002</v>
      </c>
      <c r="AW70" s="12">
        <v>310.35162562634218</v>
      </c>
      <c r="AX70" s="12">
        <v>15</v>
      </c>
      <c r="AY70" s="2" t="s">
        <v>2358</v>
      </c>
      <c r="AZ70" s="2" t="s">
        <v>101</v>
      </c>
      <c r="BA70" s="46"/>
      <c r="BB70" s="2" t="s">
        <v>2359</v>
      </c>
      <c r="BC70" s="2" t="s">
        <v>102</v>
      </c>
      <c r="BD70" s="46"/>
      <c r="BE70" s="46"/>
      <c r="BF70" s="12"/>
      <c r="BG70" s="12">
        <v>1</v>
      </c>
      <c r="BH70" s="12" t="s">
        <v>1348</v>
      </c>
      <c r="BI70" s="46" t="s">
        <v>861</v>
      </c>
      <c r="BJ70" s="46" t="s">
        <v>862</v>
      </c>
      <c r="BK70" s="46" t="s">
        <v>863</v>
      </c>
      <c r="BL70" s="46" t="s">
        <v>863</v>
      </c>
      <c r="BM70" s="46" t="s">
        <v>863</v>
      </c>
      <c r="BN70" s="46" t="s">
        <v>744</v>
      </c>
      <c r="BO70" s="46" t="s">
        <v>745</v>
      </c>
      <c r="BP70" s="46" t="s">
        <v>436</v>
      </c>
      <c r="BQ70" s="157">
        <v>46062</v>
      </c>
      <c r="BR70" s="156">
        <v>46082</v>
      </c>
      <c r="BS70" s="46" t="s">
        <v>746</v>
      </c>
      <c r="BT70" s="46"/>
      <c r="BU70" s="12">
        <v>1</v>
      </c>
      <c r="BV70" s="158" t="s">
        <v>1349</v>
      </c>
      <c r="BW70" s="12" t="s">
        <v>1350</v>
      </c>
      <c r="BX70" s="12">
        <v>0</v>
      </c>
      <c r="BY70" s="12">
        <v>0</v>
      </c>
      <c r="BZ70" s="12">
        <v>0</v>
      </c>
      <c r="CA70" s="12">
        <v>0</v>
      </c>
      <c r="CB70" s="12">
        <v>2857142.8571428573</v>
      </c>
      <c r="CC70" s="12">
        <v>2857142.8571429998</v>
      </c>
      <c r="CD70" s="12">
        <v>2428571.4285710002</v>
      </c>
      <c r="CE70" s="12">
        <v>2456846.9190000002</v>
      </c>
      <c r="CF70" s="12">
        <v>1</v>
      </c>
      <c r="CG70" s="12">
        <v>7.158196134574087E-4</v>
      </c>
      <c r="CH70" s="12">
        <v>7.158196134574087E-4</v>
      </c>
      <c r="CI70" s="12" t="b">
        <v>0</v>
      </c>
      <c r="CJ70" s="12" t="b">
        <v>0</v>
      </c>
      <c r="CK70" s="12" t="s">
        <v>690</v>
      </c>
      <c r="CL70" s="2" t="s">
        <v>107</v>
      </c>
      <c r="CM70" s="2" t="s">
        <v>1351</v>
      </c>
      <c r="CN70" s="12">
        <v>2069.0108375089476</v>
      </c>
      <c r="CO70" s="12">
        <v>1758.6592118826056</v>
      </c>
      <c r="CP70" s="12" t="s">
        <v>107</v>
      </c>
      <c r="CQ70" s="12" t="s">
        <v>861</v>
      </c>
      <c r="CR70" s="46" t="s">
        <v>864</v>
      </c>
      <c r="CS70" s="46" t="s">
        <v>862</v>
      </c>
      <c r="CT70" s="2">
        <v>30708983906</v>
      </c>
      <c r="CU70" s="2" t="s">
        <v>691</v>
      </c>
      <c r="CV70" s="49">
        <v>46087.728472222225</v>
      </c>
      <c r="CW70" s="49">
        <v>46086.690972222219</v>
      </c>
      <c r="CX70" s="2" t="b">
        <v>1</v>
      </c>
      <c r="CY70" s="2" t="b">
        <v>1</v>
      </c>
      <c r="CZ70" s="160">
        <v>46054</v>
      </c>
      <c r="DA70" s="12" t="s">
        <v>693</v>
      </c>
      <c r="DB70" s="12"/>
      <c r="DC70" s="12"/>
      <c r="DD70" s="12"/>
      <c r="DE70" s="12"/>
      <c r="DF70" s="12"/>
      <c r="DG70" s="12"/>
      <c r="DH70" s="12"/>
      <c r="DI70" s="46"/>
      <c r="DJ70" s="48"/>
      <c r="DK70" s="48"/>
      <c r="DL70" s="48"/>
      <c r="DM70" s="13" t="s">
        <v>16</v>
      </c>
      <c r="DN70" s="13" t="s">
        <v>16</v>
      </c>
      <c r="DO70" s="12"/>
      <c r="DP70" s="12" t="s">
        <v>340</v>
      </c>
      <c r="DQ70" s="12" t="s">
        <v>111</v>
      </c>
      <c r="DR70" s="12">
        <v>2890408.14</v>
      </c>
      <c r="DS70" s="12" t="s">
        <v>99</v>
      </c>
      <c r="DT70" s="12">
        <v>0</v>
      </c>
      <c r="DU70" s="12"/>
      <c r="DV70" s="12"/>
      <c r="DW70" s="12" t="s">
        <v>16</v>
      </c>
      <c r="DX70" s="12"/>
      <c r="DY70" s="12" t="s">
        <v>111</v>
      </c>
      <c r="DZ70" s="12">
        <v>2254518.35</v>
      </c>
      <c r="EA70" s="12" t="s">
        <v>99</v>
      </c>
      <c r="EB70" s="12">
        <v>202328.56900000013</v>
      </c>
      <c r="EC70" s="12"/>
      <c r="ED70" s="12" t="str">
        <f>INDEX('con 1'!CI:CI,MATCH(B70,'con 1'!A:A,0),1)</f>
        <v>OK. Twitter Comm. ERR</v>
      </c>
      <c r="EE70" s="12" t="s">
        <v>1946</v>
      </c>
      <c r="EF70" s="12" t="s">
        <v>1947</v>
      </c>
      <c r="EG70" s="48">
        <f ca="1">AN70/INDEX(er!D:D,MATCH(AA70,er!C:C,0),1)</f>
        <v>2069.010837508948</v>
      </c>
    </row>
    <row r="71" spans="1:137" ht="12.5" x14ac:dyDescent="0.25">
      <c r="A71" s="46" t="s">
        <v>103</v>
      </c>
      <c r="B71" s="46" t="s">
        <v>343</v>
      </c>
      <c r="C71" s="46" t="s">
        <v>94</v>
      </c>
      <c r="D71" s="46" t="s">
        <v>98</v>
      </c>
      <c r="E71" s="156">
        <v>46081</v>
      </c>
      <c r="F71" s="46" t="s">
        <v>1352</v>
      </c>
      <c r="G71" s="46" t="s">
        <v>1353</v>
      </c>
      <c r="H71" s="46" t="s">
        <v>345</v>
      </c>
      <c r="I71" s="46" t="s">
        <v>1354</v>
      </c>
      <c r="J71" s="46" t="s">
        <v>1355</v>
      </c>
      <c r="K71" s="46" t="s">
        <v>559</v>
      </c>
      <c r="L71" s="46" t="s">
        <v>686</v>
      </c>
      <c r="M71" s="2" t="s">
        <v>563</v>
      </c>
      <c r="N71" s="46" t="s">
        <v>1089</v>
      </c>
      <c r="O71" s="46" t="s">
        <v>991</v>
      </c>
      <c r="P71" s="46" t="s">
        <v>93</v>
      </c>
      <c r="Q71" s="46" t="s">
        <v>96</v>
      </c>
      <c r="R71" s="46" t="s">
        <v>104</v>
      </c>
      <c r="S71" s="46" t="s">
        <v>107</v>
      </c>
      <c r="T71" s="46" t="s">
        <v>107</v>
      </c>
      <c r="U71" s="46" t="s">
        <v>436</v>
      </c>
      <c r="V71" s="46" t="s">
        <v>105</v>
      </c>
      <c r="W71" s="46" t="s">
        <v>439</v>
      </c>
      <c r="X71" s="46" t="s">
        <v>687</v>
      </c>
      <c r="Y71" s="46" t="s">
        <v>688</v>
      </c>
      <c r="Z71" s="46" t="s">
        <v>688</v>
      </c>
      <c r="AA71" s="46" t="s">
        <v>111</v>
      </c>
      <c r="AB71" s="12" t="s">
        <v>111</v>
      </c>
      <c r="AC71" s="12">
        <v>2906163.1</v>
      </c>
      <c r="AD71" s="12">
        <v>2906163.1</v>
      </c>
      <c r="AE71" s="12">
        <v>1</v>
      </c>
      <c r="AF71" s="12">
        <v>1</v>
      </c>
      <c r="AG71" s="12">
        <v>1</v>
      </c>
      <c r="AH71" s="12">
        <v>0.78</v>
      </c>
      <c r="AI71" s="12">
        <v>0.78</v>
      </c>
      <c r="AJ71" s="12">
        <v>0</v>
      </c>
      <c r="AK71" s="12"/>
      <c r="AL71" s="12">
        <v>2906163.1</v>
      </c>
      <c r="AM71" s="12">
        <v>2906163.1</v>
      </c>
      <c r="AN71" s="12">
        <v>2906163.1</v>
      </c>
      <c r="AO71" s="12">
        <v>2266807.2179999999</v>
      </c>
      <c r="AP71" s="12">
        <v>1756703.06</v>
      </c>
      <c r="AQ71" s="12"/>
      <c r="AR71" s="12">
        <v>2906163.1</v>
      </c>
      <c r="AS71" s="12">
        <v>2080.2885468861846</v>
      </c>
      <c r="AT71" s="12">
        <v>1622.6250665712239</v>
      </c>
      <c r="AU71" s="12">
        <v>639355.88199999998</v>
      </c>
      <c r="AV71" s="12">
        <v>639355.88199999998</v>
      </c>
      <c r="AW71" s="12">
        <v>457.66348031496062</v>
      </c>
      <c r="AX71" s="12">
        <v>22</v>
      </c>
      <c r="AY71" s="2" t="s">
        <v>2360</v>
      </c>
      <c r="AZ71" s="2" t="s">
        <v>101</v>
      </c>
      <c r="BA71" s="46"/>
      <c r="BB71" s="2" t="s">
        <v>2361</v>
      </c>
      <c r="BC71" s="2" t="s">
        <v>102</v>
      </c>
      <c r="BD71" s="46"/>
      <c r="BE71" s="46"/>
      <c r="BF71" s="12"/>
      <c r="BG71" s="12">
        <v>1</v>
      </c>
      <c r="BH71" s="12" t="s">
        <v>1356</v>
      </c>
      <c r="BI71" s="46" t="s">
        <v>1089</v>
      </c>
      <c r="BJ71" s="46" t="s">
        <v>1091</v>
      </c>
      <c r="BK71" s="46" t="s">
        <v>874</v>
      </c>
      <c r="BL71" s="46" t="s">
        <v>874</v>
      </c>
      <c r="BM71" s="46" t="s">
        <v>874</v>
      </c>
      <c r="BN71" s="46" t="s">
        <v>735</v>
      </c>
      <c r="BO71" s="46" t="s">
        <v>710</v>
      </c>
      <c r="BP71" s="46" t="s">
        <v>436</v>
      </c>
      <c r="BQ71" s="157">
        <v>46059</v>
      </c>
      <c r="BR71" s="156">
        <v>46082</v>
      </c>
      <c r="BS71" s="46" t="s">
        <v>746</v>
      </c>
      <c r="BT71" s="46"/>
      <c r="BU71" s="12">
        <v>1</v>
      </c>
      <c r="BV71" s="158" t="s">
        <v>1357</v>
      </c>
      <c r="BW71" s="12" t="s">
        <v>1358</v>
      </c>
      <c r="BX71" s="12">
        <v>0</v>
      </c>
      <c r="BY71" s="12">
        <v>0</v>
      </c>
      <c r="BZ71" s="12">
        <v>0</v>
      </c>
      <c r="CA71" s="12">
        <v>0</v>
      </c>
      <c r="CB71" s="12">
        <v>3000000</v>
      </c>
      <c r="CC71" s="12">
        <v>3000000</v>
      </c>
      <c r="CD71" s="12">
        <v>2340000</v>
      </c>
      <c r="CE71" s="12">
        <v>2266807.2179999999</v>
      </c>
      <c r="CF71" s="12">
        <v>1</v>
      </c>
      <c r="CG71" s="12">
        <v>7.158196134574087E-4</v>
      </c>
      <c r="CH71" s="12">
        <v>7.158196134574087E-4</v>
      </c>
      <c r="CI71" s="12" t="b">
        <v>0</v>
      </c>
      <c r="CJ71" s="12" t="b">
        <v>0</v>
      </c>
      <c r="CK71" s="12" t="s">
        <v>690</v>
      </c>
      <c r="CL71" s="2" t="s">
        <v>107</v>
      </c>
      <c r="CM71" s="2" t="s">
        <v>1359</v>
      </c>
      <c r="CN71" s="12">
        <v>2080.2885468861846</v>
      </c>
      <c r="CO71" s="12">
        <v>1622.6250665712241</v>
      </c>
      <c r="CP71" s="12" t="s">
        <v>107</v>
      </c>
      <c r="CQ71" s="12" t="s">
        <v>991</v>
      </c>
      <c r="CR71" s="46" t="s">
        <v>1095</v>
      </c>
      <c r="CS71" s="46" t="s">
        <v>1091</v>
      </c>
      <c r="CT71" s="2">
        <v>30630308557</v>
      </c>
      <c r="CU71" s="2" t="s">
        <v>691</v>
      </c>
      <c r="CV71" s="49">
        <v>46087.728472222225</v>
      </c>
      <c r="CW71" s="49">
        <v>46085.874305555553</v>
      </c>
      <c r="CX71" s="2" t="b">
        <v>1</v>
      </c>
      <c r="CY71" s="2" t="b">
        <v>1</v>
      </c>
      <c r="CZ71" s="160">
        <v>46054</v>
      </c>
      <c r="DA71" s="12" t="s">
        <v>693</v>
      </c>
      <c r="DB71" s="12"/>
      <c r="DC71" s="12"/>
      <c r="DD71" s="12"/>
      <c r="DE71" s="12"/>
      <c r="DF71" s="12"/>
      <c r="DG71" s="12"/>
      <c r="DH71" s="12"/>
      <c r="DI71" s="46"/>
      <c r="DJ71" s="48" t="s">
        <v>105</v>
      </c>
      <c r="DK71" s="48" t="s">
        <v>111</v>
      </c>
      <c r="DL71" s="48">
        <v>2906163.1</v>
      </c>
      <c r="DM71" s="13" t="s">
        <v>99</v>
      </c>
      <c r="DN71" s="13" t="s">
        <v>99</v>
      </c>
      <c r="DO71" s="12">
        <v>0</v>
      </c>
      <c r="DP71" s="12" t="s">
        <v>343</v>
      </c>
      <c r="DQ71" s="12" t="s">
        <v>111</v>
      </c>
      <c r="DR71" s="12">
        <v>2906163.1</v>
      </c>
      <c r="DS71" s="12" t="s">
        <v>99</v>
      </c>
      <c r="DT71" s="12">
        <v>0</v>
      </c>
      <c r="DU71" s="12"/>
      <c r="DV71" s="12"/>
      <c r="DW71" s="12" t="s">
        <v>16</v>
      </c>
      <c r="DX71" s="12"/>
      <c r="DY71" s="12" t="s">
        <v>111</v>
      </c>
      <c r="DZ71" s="12">
        <v>2266807.2200000002</v>
      </c>
      <c r="EA71" s="12" t="s">
        <v>99</v>
      </c>
      <c r="EB71" s="12">
        <v>-2.0000003278255463E-3</v>
      </c>
      <c r="EC71" s="12"/>
      <c r="ED71" s="12" t="str">
        <f>INDEX('con 1'!CI:CI,MATCH(B71,'con 1'!A:A,0),1)</f>
        <v>OK. Twitter tax err.</v>
      </c>
      <c r="EE71" s="12" t="s">
        <v>1946</v>
      </c>
      <c r="EF71" s="12" t="s">
        <v>1947</v>
      </c>
      <c r="EG71" s="48">
        <f ca="1">AN71/INDEX(er!D:D,MATCH(AA71,er!C:C,0),1)</f>
        <v>2080.2885468861846</v>
      </c>
    </row>
    <row r="72" spans="1:137" ht="12.5" x14ac:dyDescent="0.25">
      <c r="A72" s="46" t="s">
        <v>103</v>
      </c>
      <c r="B72" s="46" t="s">
        <v>347</v>
      </c>
      <c r="C72" s="46" t="s">
        <v>94</v>
      </c>
      <c r="D72" s="46" t="s">
        <v>98</v>
      </c>
      <c r="E72" s="156">
        <v>46081</v>
      </c>
      <c r="F72" s="46" t="s">
        <v>1360</v>
      </c>
      <c r="G72" s="46" t="s">
        <v>1361</v>
      </c>
      <c r="H72" s="46" t="s">
        <v>349</v>
      </c>
      <c r="I72" s="46" t="s">
        <v>1362</v>
      </c>
      <c r="J72" s="46" t="s">
        <v>1363</v>
      </c>
      <c r="K72" s="46" t="s">
        <v>559</v>
      </c>
      <c r="L72" s="46" t="s">
        <v>686</v>
      </c>
      <c r="M72" s="2" t="s">
        <v>563</v>
      </c>
      <c r="N72" s="46" t="s">
        <v>1089</v>
      </c>
      <c r="O72" s="46" t="s">
        <v>991</v>
      </c>
      <c r="P72" s="46" t="s">
        <v>93</v>
      </c>
      <c r="Q72" s="46" t="s">
        <v>96</v>
      </c>
      <c r="R72" s="46" t="s">
        <v>104</v>
      </c>
      <c r="S72" s="46" t="s">
        <v>107</v>
      </c>
      <c r="T72" s="46" t="s">
        <v>107</v>
      </c>
      <c r="U72" s="46" t="s">
        <v>436</v>
      </c>
      <c r="V72" s="46" t="s">
        <v>105</v>
      </c>
      <c r="W72" s="46" t="s">
        <v>439</v>
      </c>
      <c r="X72" s="46" t="s">
        <v>687</v>
      </c>
      <c r="Y72" s="46" t="s">
        <v>688</v>
      </c>
      <c r="Z72" s="46" t="s">
        <v>688</v>
      </c>
      <c r="AA72" s="46" t="s">
        <v>111</v>
      </c>
      <c r="AB72" s="12" t="s">
        <v>111</v>
      </c>
      <c r="AC72" s="12">
        <v>2327584.0699999998</v>
      </c>
      <c r="AD72" s="12">
        <v>2327584.0699999998</v>
      </c>
      <c r="AE72" s="12">
        <v>1</v>
      </c>
      <c r="AF72" s="12">
        <v>1</v>
      </c>
      <c r="AG72" s="12">
        <v>1</v>
      </c>
      <c r="AH72" s="12">
        <v>0.78</v>
      </c>
      <c r="AI72" s="12">
        <v>0.78</v>
      </c>
      <c r="AJ72" s="12">
        <v>0</v>
      </c>
      <c r="AK72" s="12"/>
      <c r="AL72" s="12">
        <v>2327584.0699999998</v>
      </c>
      <c r="AM72" s="12">
        <v>2327584.0699999998</v>
      </c>
      <c r="AN72" s="12">
        <v>2327584.0699999998</v>
      </c>
      <c r="AO72" s="12">
        <v>1815515.5745999999</v>
      </c>
      <c r="AP72" s="12">
        <v>1406966.47</v>
      </c>
      <c r="AQ72" s="12"/>
      <c r="AR72" s="12">
        <v>2327584.0699999998</v>
      </c>
      <c r="AS72" s="12">
        <v>1666.1303292770222</v>
      </c>
      <c r="AT72" s="12">
        <v>1299.5816568360772</v>
      </c>
      <c r="AU72" s="12">
        <v>512068.49540000001</v>
      </c>
      <c r="AV72" s="12">
        <v>512068.49540000001</v>
      </c>
      <c r="AW72" s="12">
        <v>366.54867244094487</v>
      </c>
      <c r="AX72" s="12">
        <v>22</v>
      </c>
      <c r="AY72" s="2" t="s">
        <v>2362</v>
      </c>
      <c r="AZ72" s="2" t="s">
        <v>101</v>
      </c>
      <c r="BA72" s="46"/>
      <c r="BB72" s="2" t="s">
        <v>2363</v>
      </c>
      <c r="BC72" s="2" t="s">
        <v>102</v>
      </c>
      <c r="BD72" s="46"/>
      <c r="BE72" s="46"/>
      <c r="BF72" s="12"/>
      <c r="BG72" s="12">
        <v>1</v>
      </c>
      <c r="BH72" s="2" t="s">
        <v>1364</v>
      </c>
      <c r="BI72" s="46" t="s">
        <v>1089</v>
      </c>
      <c r="BJ72" s="46" t="s">
        <v>1091</v>
      </c>
      <c r="BK72" s="46" t="s">
        <v>874</v>
      </c>
      <c r="BL72" s="46" t="s">
        <v>874</v>
      </c>
      <c r="BM72" s="46" t="s">
        <v>874</v>
      </c>
      <c r="BN72" s="46" t="s">
        <v>735</v>
      </c>
      <c r="BO72" s="46" t="s">
        <v>710</v>
      </c>
      <c r="BP72" s="46" t="s">
        <v>436</v>
      </c>
      <c r="BQ72" s="157">
        <v>46059</v>
      </c>
      <c r="BR72" s="156">
        <v>46082</v>
      </c>
      <c r="BS72" s="46" t="s">
        <v>746</v>
      </c>
      <c r="BT72" s="46"/>
      <c r="BU72" s="12">
        <v>1</v>
      </c>
      <c r="BV72" s="158" t="s">
        <v>1365</v>
      </c>
      <c r="BW72" s="12" t="s">
        <v>1366</v>
      </c>
      <c r="BX72" s="12">
        <v>0</v>
      </c>
      <c r="BY72" s="12">
        <v>0</v>
      </c>
      <c r="BZ72" s="12">
        <v>0</v>
      </c>
      <c r="CA72" s="12">
        <v>0</v>
      </c>
      <c r="CB72" s="12">
        <v>2400000</v>
      </c>
      <c r="CC72" s="12">
        <v>2400000</v>
      </c>
      <c r="CD72" s="12">
        <v>1872000</v>
      </c>
      <c r="CE72" s="12">
        <v>1815515.5745999999</v>
      </c>
      <c r="CF72" s="12">
        <v>1</v>
      </c>
      <c r="CG72" s="12">
        <v>7.158196134574087E-4</v>
      </c>
      <c r="CH72" s="12">
        <v>7.158196134574087E-4</v>
      </c>
      <c r="CI72" s="12" t="b">
        <v>0</v>
      </c>
      <c r="CJ72" s="12" t="b">
        <v>0</v>
      </c>
      <c r="CK72" s="12" t="s">
        <v>690</v>
      </c>
      <c r="CL72" s="2" t="s">
        <v>107</v>
      </c>
      <c r="CM72" s="2" t="s">
        <v>1367</v>
      </c>
      <c r="CN72" s="12">
        <v>1666.1303292770222</v>
      </c>
      <c r="CO72" s="12">
        <v>1299.5816568360774</v>
      </c>
      <c r="CP72" s="12" t="s">
        <v>107</v>
      </c>
      <c r="CQ72" s="12" t="s">
        <v>991</v>
      </c>
      <c r="CR72" s="46" t="s">
        <v>1095</v>
      </c>
      <c r="CS72" s="46" t="s">
        <v>1091</v>
      </c>
      <c r="CT72" s="2">
        <v>30630308557</v>
      </c>
      <c r="CU72" s="2" t="s">
        <v>691</v>
      </c>
      <c r="CV72" s="49">
        <v>46087.728472222225</v>
      </c>
      <c r="CW72" s="49">
        <v>46085.874305555553</v>
      </c>
      <c r="CX72" s="2" t="b">
        <v>1</v>
      </c>
      <c r="CY72" s="2" t="b">
        <v>1</v>
      </c>
      <c r="CZ72" s="160">
        <v>46054</v>
      </c>
      <c r="DA72" s="12" t="s">
        <v>693</v>
      </c>
      <c r="DB72" s="12"/>
      <c r="DC72" s="12"/>
      <c r="DD72" s="12"/>
      <c r="DE72" s="12"/>
      <c r="DF72" s="12"/>
      <c r="DG72" s="12"/>
      <c r="DH72" s="12"/>
      <c r="DI72" s="46"/>
      <c r="DJ72" s="48" t="s">
        <v>105</v>
      </c>
      <c r="DK72" s="48" t="s">
        <v>111</v>
      </c>
      <c r="DL72" s="48">
        <v>2327584.0699999998</v>
      </c>
      <c r="DM72" s="13" t="s">
        <v>99</v>
      </c>
      <c r="DN72" s="13" t="s">
        <v>99</v>
      </c>
      <c r="DO72" s="12">
        <v>0</v>
      </c>
      <c r="DP72" s="12" t="s">
        <v>347</v>
      </c>
      <c r="DQ72" s="12" t="s">
        <v>111</v>
      </c>
      <c r="DR72" s="12">
        <v>2327584.0699999998</v>
      </c>
      <c r="DS72" s="12" t="s">
        <v>99</v>
      </c>
      <c r="DT72" s="12">
        <v>0</v>
      </c>
      <c r="DU72" s="12"/>
      <c r="DV72" s="12"/>
      <c r="DW72" s="12" t="s">
        <v>16</v>
      </c>
      <c r="DX72" s="12"/>
      <c r="DY72" s="12" t="s">
        <v>111</v>
      </c>
      <c r="DZ72" s="12">
        <v>1815515.57</v>
      </c>
      <c r="EA72" s="12" t="s">
        <v>99</v>
      </c>
      <c r="EB72" s="12">
        <v>4.5999998692423105E-3</v>
      </c>
      <c r="EC72" s="12"/>
      <c r="ED72" s="12" t="str">
        <f>INDEX('con 1'!CI:CI,MATCH(B72,'con 1'!A:A,0),1)</f>
        <v>OK. Twitter tax err.</v>
      </c>
      <c r="EE72" s="12" t="s">
        <v>1946</v>
      </c>
      <c r="EF72" s="12" t="s">
        <v>1947</v>
      </c>
      <c r="EG72" s="48">
        <f ca="1">AN72/INDEX(er!D:D,MATCH(AA72,er!C:C,0),1)</f>
        <v>1666.1303292770222</v>
      </c>
    </row>
    <row r="73" spans="1:137" ht="12.5" x14ac:dyDescent="0.25">
      <c r="A73" s="46" t="s">
        <v>103</v>
      </c>
      <c r="B73" s="46" t="s">
        <v>350</v>
      </c>
      <c r="C73" s="46" t="s">
        <v>94</v>
      </c>
      <c r="D73" s="46" t="s">
        <v>98</v>
      </c>
      <c r="E73" s="156">
        <v>46081</v>
      </c>
      <c r="F73" s="46" t="s">
        <v>1368</v>
      </c>
      <c r="G73" s="46" t="s">
        <v>1369</v>
      </c>
      <c r="H73" s="46" t="s">
        <v>352</v>
      </c>
      <c r="I73" s="46" t="s">
        <v>1370</v>
      </c>
      <c r="J73" s="46" t="s">
        <v>1371</v>
      </c>
      <c r="K73" s="46" t="s">
        <v>559</v>
      </c>
      <c r="L73" s="46" t="s">
        <v>686</v>
      </c>
      <c r="M73" s="2" t="s">
        <v>563</v>
      </c>
      <c r="N73" s="46" t="s">
        <v>825</v>
      </c>
      <c r="O73" s="46" t="s">
        <v>826</v>
      </c>
      <c r="P73" s="46" t="s">
        <v>93</v>
      </c>
      <c r="Q73" s="46" t="s">
        <v>96</v>
      </c>
      <c r="R73" s="46" t="s">
        <v>104</v>
      </c>
      <c r="S73" s="46" t="s">
        <v>107</v>
      </c>
      <c r="T73" s="46" t="s">
        <v>107</v>
      </c>
      <c r="U73" s="46" t="s">
        <v>436</v>
      </c>
      <c r="V73" s="46" t="s">
        <v>105</v>
      </c>
      <c r="W73" s="46" t="s">
        <v>439</v>
      </c>
      <c r="X73" s="46" t="s">
        <v>687</v>
      </c>
      <c r="Y73" s="46" t="s">
        <v>688</v>
      </c>
      <c r="Z73" s="46" t="s">
        <v>688</v>
      </c>
      <c r="AA73" s="46" t="s">
        <v>111</v>
      </c>
      <c r="AB73" s="12" t="s">
        <v>111</v>
      </c>
      <c r="AC73" s="12">
        <v>4558905.76</v>
      </c>
      <c r="AD73" s="12">
        <v>4558905.76</v>
      </c>
      <c r="AE73" s="12">
        <v>1</v>
      </c>
      <c r="AF73" s="12">
        <v>1</v>
      </c>
      <c r="AG73" s="12">
        <v>1</v>
      </c>
      <c r="AH73" s="12">
        <v>0.78</v>
      </c>
      <c r="AI73" s="12">
        <v>0.78</v>
      </c>
      <c r="AJ73" s="12">
        <v>0</v>
      </c>
      <c r="AK73" s="12"/>
      <c r="AL73" s="12">
        <v>4558905.76</v>
      </c>
      <c r="AM73" s="12">
        <v>4558905.76</v>
      </c>
      <c r="AN73" s="12">
        <v>4558905.76</v>
      </c>
      <c r="AO73" s="12">
        <v>3555946.4928000001</v>
      </c>
      <c r="AP73" s="12">
        <v>2755744.74</v>
      </c>
      <c r="AQ73" s="12"/>
      <c r="AR73" s="12">
        <v>4558905.76</v>
      </c>
      <c r="AS73" s="12">
        <v>3263.3541589119541</v>
      </c>
      <c r="AT73" s="12">
        <v>2545.4162439513243</v>
      </c>
      <c r="AU73" s="12">
        <v>1002959.2672</v>
      </c>
      <c r="AV73" s="12">
        <v>1002959.2672</v>
      </c>
      <c r="AW73" s="12">
        <v>717.93791496062988</v>
      </c>
      <c r="AX73" s="12">
        <v>22</v>
      </c>
      <c r="AY73" s="2" t="s">
        <v>2364</v>
      </c>
      <c r="AZ73" s="2" t="s">
        <v>101</v>
      </c>
      <c r="BA73" s="46"/>
      <c r="BB73" s="2" t="s">
        <v>2365</v>
      </c>
      <c r="BC73" s="2" t="s">
        <v>102</v>
      </c>
      <c r="BD73" s="46"/>
      <c r="BE73" s="46"/>
      <c r="BF73" s="12"/>
      <c r="BG73" s="12">
        <v>1</v>
      </c>
      <c r="BH73" s="12" t="s">
        <v>1372</v>
      </c>
      <c r="BI73" s="46" t="s">
        <v>825</v>
      </c>
      <c r="BJ73" s="46" t="s">
        <v>827</v>
      </c>
      <c r="BK73" s="46" t="s">
        <v>708</v>
      </c>
      <c r="BL73" s="46" t="s">
        <v>708</v>
      </c>
      <c r="BM73" s="46" t="s">
        <v>708</v>
      </c>
      <c r="BN73" s="46" t="s">
        <v>735</v>
      </c>
      <c r="BO73" s="46" t="s">
        <v>710</v>
      </c>
      <c r="BP73" s="46" t="s">
        <v>436</v>
      </c>
      <c r="BQ73" s="157">
        <v>46062</v>
      </c>
      <c r="BR73" s="156">
        <v>46096</v>
      </c>
      <c r="BS73" s="46" t="s">
        <v>692</v>
      </c>
      <c r="BT73" s="46"/>
      <c r="BU73" s="12">
        <v>1</v>
      </c>
      <c r="BV73" s="158" t="s">
        <v>1373</v>
      </c>
      <c r="BW73" s="12" t="s">
        <v>1374</v>
      </c>
      <c r="BX73" s="12">
        <v>0</v>
      </c>
      <c r="BY73" s="12">
        <v>0</v>
      </c>
      <c r="BZ73" s="12">
        <v>0</v>
      </c>
      <c r="CA73" s="12">
        <v>0</v>
      </c>
      <c r="CB73" s="12">
        <v>4554499.9400000004</v>
      </c>
      <c r="CC73" s="12">
        <v>4554499.9400000004</v>
      </c>
      <c r="CD73" s="12">
        <v>3552509.9531999999</v>
      </c>
      <c r="CE73" s="12">
        <v>3555946.4928000001</v>
      </c>
      <c r="CF73" s="12">
        <v>1</v>
      </c>
      <c r="CG73" s="12">
        <v>7.158196134574087E-4</v>
      </c>
      <c r="CH73" s="12">
        <v>7.158196134574087E-4</v>
      </c>
      <c r="CI73" s="12" t="b">
        <v>0</v>
      </c>
      <c r="CJ73" s="12" t="b">
        <v>0</v>
      </c>
      <c r="CK73" s="12" t="s">
        <v>715</v>
      </c>
      <c r="CL73" s="2" t="s">
        <v>107</v>
      </c>
      <c r="CM73" s="2" t="s">
        <v>1375</v>
      </c>
      <c r="CN73" s="12">
        <v>3263.3541589119541</v>
      </c>
      <c r="CO73" s="12">
        <v>2545.4162439513243</v>
      </c>
      <c r="CP73" s="12" t="s">
        <v>107</v>
      </c>
      <c r="CQ73" s="12" t="s">
        <v>826</v>
      </c>
      <c r="CR73" s="46" t="s">
        <v>828</v>
      </c>
      <c r="CS73" s="46" t="s">
        <v>827</v>
      </c>
      <c r="CT73" s="2">
        <v>30712014047</v>
      </c>
      <c r="CU73" s="2" t="s">
        <v>694</v>
      </c>
      <c r="CV73" s="49">
        <v>46087.728472222225</v>
      </c>
      <c r="CW73" s="49">
        <v>46085.874305555553</v>
      </c>
      <c r="CX73" s="2" t="b">
        <v>1</v>
      </c>
      <c r="CY73" s="2" t="b">
        <v>1</v>
      </c>
      <c r="CZ73" s="160">
        <v>46054</v>
      </c>
      <c r="DA73" s="12" t="s">
        <v>693</v>
      </c>
      <c r="DB73" s="12"/>
      <c r="DC73" s="12"/>
      <c r="DD73" s="12"/>
      <c r="DE73" s="12"/>
      <c r="DF73" s="12"/>
      <c r="DG73" s="12"/>
      <c r="DH73" s="12"/>
      <c r="DI73" s="46"/>
      <c r="DJ73" s="48" t="s">
        <v>105</v>
      </c>
      <c r="DK73" s="48" t="s">
        <v>111</v>
      </c>
      <c r="DL73" s="48">
        <v>4558905.76</v>
      </c>
      <c r="DM73" s="13" t="s">
        <v>99</v>
      </c>
      <c r="DN73" s="13" t="s">
        <v>99</v>
      </c>
      <c r="DO73" s="12">
        <v>0</v>
      </c>
      <c r="DP73" s="12" t="s">
        <v>350</v>
      </c>
      <c r="DQ73" s="12" t="s">
        <v>111</v>
      </c>
      <c r="DR73" s="12">
        <v>4558905.76</v>
      </c>
      <c r="DS73" s="12" t="s">
        <v>99</v>
      </c>
      <c r="DT73" s="12">
        <v>0</v>
      </c>
      <c r="DU73" s="12"/>
      <c r="DV73" s="12"/>
      <c r="DW73" s="12" t="s">
        <v>16</v>
      </c>
      <c r="DX73" s="12"/>
      <c r="DY73" s="12" t="s">
        <v>111</v>
      </c>
      <c r="DZ73" s="12">
        <v>3555946.49</v>
      </c>
      <c r="EA73" s="12" t="s">
        <v>99</v>
      </c>
      <c r="EB73" s="12">
        <v>2.79999990016222E-3</v>
      </c>
      <c r="EC73" s="12"/>
      <c r="ED73" s="12" t="str">
        <f>INDEX('con 1'!CI:CI,MATCH(B73,'con 1'!A:A,0),1)</f>
        <v>OK. Twitter tax err.</v>
      </c>
      <c r="EE73" s="12" t="s">
        <v>1946</v>
      </c>
      <c r="EF73" s="12" t="s">
        <v>1947</v>
      </c>
      <c r="EG73" s="48">
        <f ca="1">AN73/INDEX(er!D:D,MATCH(AA73,er!C:C,0),1)</f>
        <v>3263.3541589119541</v>
      </c>
    </row>
    <row r="74" spans="1:137" ht="12.5" x14ac:dyDescent="0.25">
      <c r="A74" s="46" t="s">
        <v>103</v>
      </c>
      <c r="B74" s="46" t="s">
        <v>353</v>
      </c>
      <c r="C74" s="46" t="s">
        <v>94</v>
      </c>
      <c r="D74" s="46" t="s">
        <v>98</v>
      </c>
      <c r="E74" s="156">
        <v>46081</v>
      </c>
      <c r="F74" s="46" t="s">
        <v>1376</v>
      </c>
      <c r="G74" s="46" t="s">
        <v>1377</v>
      </c>
      <c r="H74" s="46" t="s">
        <v>355</v>
      </c>
      <c r="I74" s="46" t="s">
        <v>1378</v>
      </c>
      <c r="J74" s="46" t="s">
        <v>1379</v>
      </c>
      <c r="K74" s="46" t="s">
        <v>559</v>
      </c>
      <c r="L74" s="46" t="s">
        <v>686</v>
      </c>
      <c r="M74" s="2" t="s">
        <v>563</v>
      </c>
      <c r="N74" s="46" t="s">
        <v>1010</v>
      </c>
      <c r="O74" s="46" t="s">
        <v>1011</v>
      </c>
      <c r="P74" s="46" t="s">
        <v>93</v>
      </c>
      <c r="Q74" s="46" t="s">
        <v>96</v>
      </c>
      <c r="R74" s="46" t="s">
        <v>104</v>
      </c>
      <c r="S74" s="46" t="s">
        <v>107</v>
      </c>
      <c r="T74" s="46" t="s">
        <v>107</v>
      </c>
      <c r="U74" s="46" t="s">
        <v>436</v>
      </c>
      <c r="V74" s="46" t="s">
        <v>105</v>
      </c>
      <c r="W74" s="46" t="s">
        <v>439</v>
      </c>
      <c r="X74" s="46" t="s">
        <v>687</v>
      </c>
      <c r="Y74" s="46" t="s">
        <v>688</v>
      </c>
      <c r="Z74" s="46" t="s">
        <v>688</v>
      </c>
      <c r="AA74" s="46" t="s">
        <v>111</v>
      </c>
      <c r="AB74" s="12" t="s">
        <v>111</v>
      </c>
      <c r="AC74" s="12">
        <v>22444.51</v>
      </c>
      <c r="AD74" s="12">
        <v>22444.51</v>
      </c>
      <c r="AE74" s="12">
        <v>1</v>
      </c>
      <c r="AF74" s="12">
        <v>1</v>
      </c>
      <c r="AG74" s="12">
        <v>1</v>
      </c>
      <c r="AH74" s="12">
        <v>0.78</v>
      </c>
      <c r="AI74" s="12">
        <v>0.78</v>
      </c>
      <c r="AJ74" s="12">
        <v>0</v>
      </c>
      <c r="AK74" s="12"/>
      <c r="AL74" s="12">
        <v>22444.51</v>
      </c>
      <c r="AM74" s="12">
        <v>22444.51</v>
      </c>
      <c r="AN74" s="12">
        <v>22444.51</v>
      </c>
      <c r="AO74" s="12">
        <v>17506.717799999999</v>
      </c>
      <c r="AP74" s="12">
        <v>13567.15</v>
      </c>
      <c r="AQ74" s="12"/>
      <c r="AR74" s="12">
        <v>22444.51</v>
      </c>
      <c r="AS74" s="12">
        <v>16.066220472440943</v>
      </c>
      <c r="AT74" s="12">
        <v>12.531651968503937</v>
      </c>
      <c r="AU74" s="12">
        <v>4937.7921999999999</v>
      </c>
      <c r="AV74" s="12">
        <v>4937.7921999999999</v>
      </c>
      <c r="AW74" s="12">
        <v>3.5345685039370078</v>
      </c>
      <c r="AX74" s="12">
        <v>22</v>
      </c>
      <c r="AY74" s="2" t="s">
        <v>2366</v>
      </c>
      <c r="AZ74" s="2" t="s">
        <v>101</v>
      </c>
      <c r="BA74" s="46"/>
      <c r="BB74" s="2" t="s">
        <v>2367</v>
      </c>
      <c r="BC74" s="2" t="s">
        <v>102</v>
      </c>
      <c r="BD74" s="46"/>
      <c r="BE74" s="46"/>
      <c r="BF74" s="12"/>
      <c r="BG74" s="12">
        <v>1</v>
      </c>
      <c r="BH74" s="2" t="s">
        <v>1380</v>
      </c>
      <c r="BI74" s="46" t="s">
        <v>1010</v>
      </c>
      <c r="BJ74" s="46" t="s">
        <v>1013</v>
      </c>
      <c r="BK74" s="46" t="s">
        <v>874</v>
      </c>
      <c r="BL74" s="46" t="s">
        <v>771</v>
      </c>
      <c r="BM74" s="46" t="s">
        <v>771</v>
      </c>
      <c r="BN74" s="46" t="s">
        <v>735</v>
      </c>
      <c r="BO74" s="46" t="s">
        <v>710</v>
      </c>
      <c r="BP74" s="46" t="s">
        <v>436</v>
      </c>
      <c r="BQ74" s="157">
        <v>46060</v>
      </c>
      <c r="BR74" s="156">
        <v>46067</v>
      </c>
      <c r="BS74" s="46" t="s">
        <v>689</v>
      </c>
      <c r="BT74" s="46"/>
      <c r="BU74" s="12">
        <v>1</v>
      </c>
      <c r="BV74" s="158" t="s">
        <v>1381</v>
      </c>
      <c r="BW74" s="12" t="s">
        <v>1382</v>
      </c>
      <c r="BX74" s="12">
        <v>0</v>
      </c>
      <c r="BY74" s="12">
        <v>0</v>
      </c>
      <c r="BZ74" s="12">
        <v>0</v>
      </c>
      <c r="CA74" s="12">
        <v>0</v>
      </c>
      <c r="CB74" s="12">
        <v>30500</v>
      </c>
      <c r="CC74" s="12">
        <v>30500</v>
      </c>
      <c r="CD74" s="12">
        <v>23790</v>
      </c>
      <c r="CE74" s="12">
        <v>17506.717799999999</v>
      </c>
      <c r="CF74" s="12">
        <v>1</v>
      </c>
      <c r="CG74" s="12">
        <v>7.158196134574087E-4</v>
      </c>
      <c r="CH74" s="12">
        <v>7.158196134574087E-4</v>
      </c>
      <c r="CI74" s="12" t="b">
        <v>0</v>
      </c>
      <c r="CJ74" s="12" t="b">
        <v>0</v>
      </c>
      <c r="CK74" s="12" t="s">
        <v>690</v>
      </c>
      <c r="CL74" s="2" t="s">
        <v>107</v>
      </c>
      <c r="CM74" s="2" t="s">
        <v>1383</v>
      </c>
      <c r="CN74" s="12">
        <v>16.066220472440946</v>
      </c>
      <c r="CO74" s="12">
        <v>12.531651968503937</v>
      </c>
      <c r="CP74" s="12" t="s">
        <v>107</v>
      </c>
      <c r="CQ74" s="12" t="s">
        <v>861</v>
      </c>
      <c r="CR74" s="46" t="s">
        <v>1017</v>
      </c>
      <c r="CS74" s="46" t="s">
        <v>1013</v>
      </c>
      <c r="CT74" s="2">
        <v>30546689979</v>
      </c>
      <c r="CU74" s="2" t="s">
        <v>691</v>
      </c>
      <c r="CV74" s="49">
        <v>46087.728472222225</v>
      </c>
      <c r="CW74" s="49">
        <v>46085.874305555553</v>
      </c>
      <c r="CX74" s="2" t="b">
        <v>1</v>
      </c>
      <c r="CY74" s="2" t="b">
        <v>1</v>
      </c>
      <c r="CZ74" s="160">
        <v>46054</v>
      </c>
      <c r="DA74" s="12" t="s">
        <v>693</v>
      </c>
      <c r="DB74" s="12"/>
      <c r="DC74" s="12"/>
      <c r="DD74" s="12"/>
      <c r="DE74" s="12"/>
      <c r="DF74" s="12"/>
      <c r="DG74" s="12"/>
      <c r="DH74" s="12"/>
      <c r="DI74" s="46"/>
      <c r="DJ74" s="48" t="s">
        <v>105</v>
      </c>
      <c r="DK74" s="48" t="s">
        <v>111</v>
      </c>
      <c r="DL74" s="48">
        <v>22444.51</v>
      </c>
      <c r="DM74" s="13" t="s">
        <v>99</v>
      </c>
      <c r="DN74" s="13" t="s">
        <v>99</v>
      </c>
      <c r="DO74" s="12">
        <v>0</v>
      </c>
      <c r="DP74" s="12" t="s">
        <v>353</v>
      </c>
      <c r="DQ74" s="12" t="s">
        <v>111</v>
      </c>
      <c r="DR74" s="12">
        <v>22444.51</v>
      </c>
      <c r="DS74" s="12" t="s">
        <v>99</v>
      </c>
      <c r="DT74" s="12">
        <v>0</v>
      </c>
      <c r="DU74" s="12"/>
      <c r="DV74" s="12"/>
      <c r="DW74" s="12" t="s">
        <v>16</v>
      </c>
      <c r="DX74" s="12"/>
      <c r="DY74" s="12" t="s">
        <v>111</v>
      </c>
      <c r="DZ74" s="12">
        <v>17506.72</v>
      </c>
      <c r="EA74" s="12" t="s">
        <v>99</v>
      </c>
      <c r="EB74" s="12">
        <v>-2.2000000026309863E-3</v>
      </c>
      <c r="EC74" s="12"/>
      <c r="ED74" s="12" t="str">
        <f>INDEX('con 1'!CI:CI,MATCH(B74,'con 1'!A:A,0),1)</f>
        <v>OK. Twitter tax err.</v>
      </c>
      <c r="EE74" s="12" t="s">
        <v>1946</v>
      </c>
      <c r="EF74" s="12" t="s">
        <v>1947</v>
      </c>
      <c r="EG74" s="48">
        <f ca="1">AN74/INDEX(er!D:D,MATCH(AA74,er!C:C,0),1)</f>
        <v>16.066220472440943</v>
      </c>
    </row>
    <row r="75" spans="1:137" ht="12.5" x14ac:dyDescent="0.25">
      <c r="A75" s="46" t="s">
        <v>103</v>
      </c>
      <c r="B75" s="46" t="s">
        <v>356</v>
      </c>
      <c r="C75" s="46" t="s">
        <v>94</v>
      </c>
      <c r="D75" s="46" t="s">
        <v>98</v>
      </c>
      <c r="E75" s="156">
        <v>46081</v>
      </c>
      <c r="F75" s="46" t="s">
        <v>1384</v>
      </c>
      <c r="G75" s="46" t="s">
        <v>1385</v>
      </c>
      <c r="H75" s="46" t="s">
        <v>358</v>
      </c>
      <c r="I75" s="46" t="s">
        <v>1386</v>
      </c>
      <c r="J75" s="46" t="s">
        <v>1387</v>
      </c>
      <c r="K75" s="46" t="s">
        <v>559</v>
      </c>
      <c r="L75" s="46" t="s">
        <v>686</v>
      </c>
      <c r="M75" s="2" t="s">
        <v>563</v>
      </c>
      <c r="N75" s="46" t="s">
        <v>820</v>
      </c>
      <c r="O75" s="46" t="s">
        <v>821</v>
      </c>
      <c r="P75" s="46" t="s">
        <v>93</v>
      </c>
      <c r="Q75" s="46" t="s">
        <v>96</v>
      </c>
      <c r="R75" s="46" t="s">
        <v>104</v>
      </c>
      <c r="S75" s="46" t="s">
        <v>107</v>
      </c>
      <c r="T75" s="46" t="s">
        <v>107</v>
      </c>
      <c r="U75" s="46" t="s">
        <v>436</v>
      </c>
      <c r="V75" s="46" t="s">
        <v>105</v>
      </c>
      <c r="W75" s="46" t="s">
        <v>439</v>
      </c>
      <c r="X75" s="46" t="s">
        <v>687</v>
      </c>
      <c r="Y75" s="46" t="s">
        <v>688</v>
      </c>
      <c r="Z75" s="46" t="s">
        <v>688</v>
      </c>
      <c r="AA75" s="46" t="s">
        <v>111</v>
      </c>
      <c r="AB75" s="12" t="s">
        <v>111</v>
      </c>
      <c r="AC75" s="12">
        <v>3625356</v>
      </c>
      <c r="AD75" s="12">
        <v>3625356</v>
      </c>
      <c r="AE75" s="12">
        <v>1</v>
      </c>
      <c r="AF75" s="12">
        <v>1</v>
      </c>
      <c r="AG75" s="12">
        <v>1</v>
      </c>
      <c r="AH75" s="12">
        <v>0.78</v>
      </c>
      <c r="AI75" s="12">
        <v>0.78</v>
      </c>
      <c r="AJ75" s="12">
        <v>0</v>
      </c>
      <c r="AK75" s="12"/>
      <c r="AL75" s="12">
        <v>3625356</v>
      </c>
      <c r="AM75" s="12">
        <v>3625356</v>
      </c>
      <c r="AN75" s="12">
        <v>3625356</v>
      </c>
      <c r="AO75" s="12">
        <v>2827777.68</v>
      </c>
      <c r="AP75" s="12">
        <v>2191437.21</v>
      </c>
      <c r="AQ75" s="12"/>
      <c r="AR75" s="12">
        <v>3625356</v>
      </c>
      <c r="AS75" s="12">
        <v>2595.1009305654975</v>
      </c>
      <c r="AT75" s="12">
        <v>2024.1787258410882</v>
      </c>
      <c r="AU75" s="12">
        <v>797578.32</v>
      </c>
      <c r="AV75" s="12">
        <v>797578.32</v>
      </c>
      <c r="AW75" s="12">
        <v>570.92220472440943</v>
      </c>
      <c r="AX75" s="12">
        <v>22</v>
      </c>
      <c r="AY75" s="2" t="s">
        <v>2368</v>
      </c>
      <c r="AZ75" s="2" t="s">
        <v>101</v>
      </c>
      <c r="BA75" s="46"/>
      <c r="BB75" s="2" t="s">
        <v>2369</v>
      </c>
      <c r="BC75" s="2" t="s">
        <v>102</v>
      </c>
      <c r="BD75" s="46"/>
      <c r="BE75" s="46"/>
      <c r="BF75" s="12"/>
      <c r="BG75" s="12">
        <v>1</v>
      </c>
      <c r="BH75" s="2" t="s">
        <v>1388</v>
      </c>
      <c r="BI75" s="46" t="s">
        <v>820</v>
      </c>
      <c r="BJ75" s="46" t="s">
        <v>823</v>
      </c>
      <c r="BK75" s="46" t="s">
        <v>865</v>
      </c>
      <c r="BL75" s="46" t="s">
        <v>865</v>
      </c>
      <c r="BM75" s="46" t="s">
        <v>865</v>
      </c>
      <c r="BN75" s="46" t="s">
        <v>735</v>
      </c>
      <c r="BO75" s="46" t="s">
        <v>710</v>
      </c>
      <c r="BP75" s="46" t="s">
        <v>436</v>
      </c>
      <c r="BQ75" s="157">
        <v>46076</v>
      </c>
      <c r="BR75" s="156">
        <v>46076</v>
      </c>
      <c r="BS75" s="46" t="s">
        <v>740</v>
      </c>
      <c r="BT75" s="46"/>
      <c r="BU75" s="12">
        <v>1</v>
      </c>
      <c r="BV75" s="158" t="s">
        <v>1389</v>
      </c>
      <c r="BW75" s="12" t="s">
        <v>1390</v>
      </c>
      <c r="BX75" s="12">
        <v>0</v>
      </c>
      <c r="BY75" s="12">
        <v>0</v>
      </c>
      <c r="BZ75" s="12">
        <v>0</v>
      </c>
      <c r="CA75" s="12">
        <v>0</v>
      </c>
      <c r="CB75" s="12">
        <v>3625356</v>
      </c>
      <c r="CC75" s="12">
        <v>3625356</v>
      </c>
      <c r="CD75" s="12">
        <v>2827777.68</v>
      </c>
      <c r="CE75" s="12">
        <v>2827777.68</v>
      </c>
      <c r="CF75" s="12">
        <v>1</v>
      </c>
      <c r="CG75" s="12">
        <v>7.158196134574087E-4</v>
      </c>
      <c r="CH75" s="12">
        <v>7.158196134574087E-4</v>
      </c>
      <c r="CI75" s="12" t="b">
        <v>0</v>
      </c>
      <c r="CJ75" s="12" t="b">
        <v>0</v>
      </c>
      <c r="CK75" s="12" t="s">
        <v>690</v>
      </c>
      <c r="CL75" s="2" t="s">
        <v>107</v>
      </c>
      <c r="CM75" s="2">
        <v>260201121940</v>
      </c>
      <c r="CN75" s="12">
        <v>2595.1009305654975</v>
      </c>
      <c r="CO75" s="12">
        <v>2024.178725841088</v>
      </c>
      <c r="CP75" s="12" t="s">
        <v>107</v>
      </c>
      <c r="CQ75" s="12" t="s">
        <v>821</v>
      </c>
      <c r="CR75" s="46" t="s">
        <v>824</v>
      </c>
      <c r="CS75" s="46" t="s">
        <v>823</v>
      </c>
      <c r="CT75" s="2">
        <v>30715225537</v>
      </c>
      <c r="CU75" s="2" t="s">
        <v>691</v>
      </c>
      <c r="CV75" s="49">
        <v>46087.728472222225</v>
      </c>
      <c r="CW75" s="49">
        <v>46085.874305555553</v>
      </c>
      <c r="CX75" s="2" t="b">
        <v>1</v>
      </c>
      <c r="CY75" s="2" t="b">
        <v>1</v>
      </c>
      <c r="CZ75" s="160">
        <v>46054</v>
      </c>
      <c r="DA75" s="12" t="s">
        <v>693</v>
      </c>
      <c r="DB75" s="12"/>
      <c r="DC75" s="12"/>
      <c r="DD75" s="12"/>
      <c r="DE75" s="12"/>
      <c r="DF75" s="12"/>
      <c r="DG75" s="12"/>
      <c r="DH75" s="12"/>
      <c r="DI75" s="46"/>
      <c r="DJ75" s="48" t="s">
        <v>105</v>
      </c>
      <c r="DK75" s="48" t="s">
        <v>111</v>
      </c>
      <c r="DL75" s="48">
        <v>3625356</v>
      </c>
      <c r="DM75" s="13" t="s">
        <v>99</v>
      </c>
      <c r="DN75" s="13" t="s">
        <v>99</v>
      </c>
      <c r="DO75" s="12">
        <v>0</v>
      </c>
      <c r="DP75" s="12" t="s">
        <v>356</v>
      </c>
      <c r="DQ75" s="12" t="s">
        <v>111</v>
      </c>
      <c r="DR75" s="12">
        <v>3625356</v>
      </c>
      <c r="DS75" s="12" t="s">
        <v>99</v>
      </c>
      <c r="DT75" s="12">
        <v>0</v>
      </c>
      <c r="DU75" s="12"/>
      <c r="DV75" s="12"/>
      <c r="DW75" s="12" t="s">
        <v>16</v>
      </c>
      <c r="DX75" s="12"/>
      <c r="DY75" s="12" t="s">
        <v>111</v>
      </c>
      <c r="DZ75" s="12">
        <v>2827777.68</v>
      </c>
      <c r="EA75" s="12" t="s">
        <v>99</v>
      </c>
      <c r="EB75" s="12">
        <v>0</v>
      </c>
      <c r="EC75" s="12"/>
      <c r="ED75" s="12" t="str">
        <f>INDEX('con 1'!CI:CI,MATCH(B75,'con 1'!A:A,0),1)</f>
        <v>OK. Twitter tax err.</v>
      </c>
      <c r="EE75" s="12" t="s">
        <v>1946</v>
      </c>
      <c r="EF75" s="12" t="s">
        <v>1947</v>
      </c>
      <c r="EG75" s="48">
        <f ca="1">AN75/INDEX(er!D:D,MATCH(AA75,er!C:C,0),1)</f>
        <v>2595.1009305654975</v>
      </c>
    </row>
    <row r="76" spans="1:137" ht="12.5" x14ac:dyDescent="0.25">
      <c r="A76" s="46" t="s">
        <v>103</v>
      </c>
      <c r="B76" s="46" t="s">
        <v>359</v>
      </c>
      <c r="C76" s="46" t="s">
        <v>94</v>
      </c>
      <c r="D76" s="46" t="s">
        <v>98</v>
      </c>
      <c r="E76" s="156">
        <v>46081</v>
      </c>
      <c r="F76" s="46" t="s">
        <v>1391</v>
      </c>
      <c r="G76" s="46" t="s">
        <v>1392</v>
      </c>
      <c r="H76" s="46" t="s">
        <v>361</v>
      </c>
      <c r="I76" s="46" t="s">
        <v>1393</v>
      </c>
      <c r="J76" s="46" t="s">
        <v>1394</v>
      </c>
      <c r="K76" s="46" t="s">
        <v>559</v>
      </c>
      <c r="L76" s="46" t="s">
        <v>686</v>
      </c>
      <c r="M76" s="2" t="s">
        <v>563</v>
      </c>
      <c r="N76" s="46" t="s">
        <v>1089</v>
      </c>
      <c r="O76" s="46" t="s">
        <v>991</v>
      </c>
      <c r="P76" s="46" t="s">
        <v>93</v>
      </c>
      <c r="Q76" s="46" t="s">
        <v>96</v>
      </c>
      <c r="R76" s="46" t="s">
        <v>104</v>
      </c>
      <c r="S76" s="46" t="s">
        <v>107</v>
      </c>
      <c r="T76" s="46" t="s">
        <v>107</v>
      </c>
      <c r="U76" s="46" t="s">
        <v>436</v>
      </c>
      <c r="V76" s="46" t="s">
        <v>105</v>
      </c>
      <c r="W76" s="46" t="s">
        <v>439</v>
      </c>
      <c r="X76" s="46" t="s">
        <v>687</v>
      </c>
      <c r="Y76" s="46" t="s">
        <v>688</v>
      </c>
      <c r="Z76" s="46" t="s">
        <v>688</v>
      </c>
      <c r="AA76" s="46" t="s">
        <v>111</v>
      </c>
      <c r="AB76" s="12" t="s">
        <v>111</v>
      </c>
      <c r="AC76" s="12">
        <v>2113734.34</v>
      </c>
      <c r="AD76" s="12">
        <v>2113734.34</v>
      </c>
      <c r="AE76" s="12">
        <v>1</v>
      </c>
      <c r="AF76" s="12">
        <v>1</v>
      </c>
      <c r="AG76" s="12">
        <v>1</v>
      </c>
      <c r="AH76" s="12">
        <v>0.78</v>
      </c>
      <c r="AI76" s="12">
        <v>0.78</v>
      </c>
      <c r="AJ76" s="12">
        <v>0</v>
      </c>
      <c r="AK76" s="12"/>
      <c r="AL76" s="12">
        <v>2113734.34</v>
      </c>
      <c r="AM76" s="12">
        <v>2113734.34</v>
      </c>
      <c r="AN76" s="12">
        <v>2113734.34</v>
      </c>
      <c r="AO76" s="12">
        <v>1648712.7852</v>
      </c>
      <c r="AP76" s="12">
        <v>1277699.6499999999</v>
      </c>
      <c r="AQ76" s="12"/>
      <c r="AR76" s="12">
        <v>2113734.34</v>
      </c>
      <c r="AS76" s="12">
        <v>1513.0524982104509</v>
      </c>
      <c r="AT76" s="12">
        <v>1180.1809486041518</v>
      </c>
      <c r="AU76" s="12">
        <v>465021.55479999998</v>
      </c>
      <c r="AV76" s="12">
        <v>465021.55479999998</v>
      </c>
      <c r="AW76" s="12">
        <v>332.8715496062992</v>
      </c>
      <c r="AX76" s="12">
        <v>22</v>
      </c>
      <c r="AY76" s="2" t="s">
        <v>2370</v>
      </c>
      <c r="AZ76" s="2" t="s">
        <v>101</v>
      </c>
      <c r="BA76" s="46"/>
      <c r="BB76" s="2" t="s">
        <v>2371</v>
      </c>
      <c r="BC76" s="2" t="s">
        <v>102</v>
      </c>
      <c r="BD76" s="46"/>
      <c r="BE76" s="46"/>
      <c r="BF76" s="12"/>
      <c r="BG76" s="12">
        <v>1</v>
      </c>
      <c r="BH76" s="12" t="s">
        <v>1395</v>
      </c>
      <c r="BI76" s="46" t="s">
        <v>1089</v>
      </c>
      <c r="BJ76" s="46" t="s">
        <v>1091</v>
      </c>
      <c r="BK76" s="46" t="s">
        <v>1001</v>
      </c>
      <c r="BL76" s="46" t="s">
        <v>771</v>
      </c>
      <c r="BM76" s="46" t="s">
        <v>771</v>
      </c>
      <c r="BN76" s="46" t="s">
        <v>735</v>
      </c>
      <c r="BO76" s="46" t="s">
        <v>710</v>
      </c>
      <c r="BP76" s="46" t="s">
        <v>436</v>
      </c>
      <c r="BQ76" s="157">
        <v>46063</v>
      </c>
      <c r="BR76" s="156">
        <v>46122</v>
      </c>
      <c r="BS76" s="46" t="s">
        <v>746</v>
      </c>
      <c r="BT76" s="46"/>
      <c r="BU76" s="12">
        <v>1</v>
      </c>
      <c r="BV76" s="158" t="s">
        <v>1396</v>
      </c>
      <c r="BW76" s="12" t="s">
        <v>1397</v>
      </c>
      <c r="BX76" s="12">
        <v>0</v>
      </c>
      <c r="BY76" s="12">
        <v>0</v>
      </c>
      <c r="BZ76" s="12">
        <v>0</v>
      </c>
      <c r="CA76" s="12">
        <v>0</v>
      </c>
      <c r="CB76" s="12">
        <v>2216666.6666666665</v>
      </c>
      <c r="CC76" s="12">
        <v>2216666.6666669999</v>
      </c>
      <c r="CD76" s="12">
        <v>1729000</v>
      </c>
      <c r="CE76" s="12">
        <v>1648712.7852</v>
      </c>
      <c r="CF76" s="12">
        <v>1</v>
      </c>
      <c r="CG76" s="12">
        <v>7.158196134574087E-4</v>
      </c>
      <c r="CH76" s="12">
        <v>7.158196134574087E-4</v>
      </c>
      <c r="CI76" s="12" t="b">
        <v>0</v>
      </c>
      <c r="CJ76" s="12" t="b">
        <v>0</v>
      </c>
      <c r="CK76" s="12" t="s">
        <v>715</v>
      </c>
      <c r="CL76" s="2" t="s">
        <v>107</v>
      </c>
      <c r="CM76" s="2" t="s">
        <v>1398</v>
      </c>
      <c r="CN76" s="12">
        <v>1513.0524982104509</v>
      </c>
      <c r="CO76" s="12">
        <v>1180.1809486041518</v>
      </c>
      <c r="CP76" s="12" t="s">
        <v>107</v>
      </c>
      <c r="CQ76" s="12" t="s">
        <v>991</v>
      </c>
      <c r="CR76" s="46" t="s">
        <v>1095</v>
      </c>
      <c r="CS76" s="46" t="s">
        <v>1091</v>
      </c>
      <c r="CT76" s="2">
        <v>30630308557</v>
      </c>
      <c r="CU76" s="2" t="s">
        <v>691</v>
      </c>
      <c r="CV76" s="49">
        <v>46087.728472222225</v>
      </c>
      <c r="CW76" s="49">
        <v>46085.874305555553</v>
      </c>
      <c r="CX76" s="2" t="b">
        <v>1</v>
      </c>
      <c r="CY76" s="2" t="b">
        <v>1</v>
      </c>
      <c r="CZ76" s="160">
        <v>46054</v>
      </c>
      <c r="DA76" s="12" t="s">
        <v>693</v>
      </c>
      <c r="DB76" s="12"/>
      <c r="DC76" s="12"/>
      <c r="DD76" s="12"/>
      <c r="DE76" s="12"/>
      <c r="DF76" s="12"/>
      <c r="DG76" s="12"/>
      <c r="DH76" s="12"/>
      <c r="DI76" s="46"/>
      <c r="DJ76" s="48" t="s">
        <v>105</v>
      </c>
      <c r="DK76" s="48" t="s">
        <v>111</v>
      </c>
      <c r="DL76" s="48">
        <v>2113734.34</v>
      </c>
      <c r="DM76" s="13" t="s">
        <v>99</v>
      </c>
      <c r="DN76" s="13" t="s">
        <v>99</v>
      </c>
      <c r="DO76" s="12">
        <v>0</v>
      </c>
      <c r="DP76" s="12" t="s">
        <v>359</v>
      </c>
      <c r="DQ76" s="12" t="s">
        <v>111</v>
      </c>
      <c r="DR76" s="12">
        <v>2113734.34</v>
      </c>
      <c r="DS76" s="12" t="s">
        <v>99</v>
      </c>
      <c r="DT76" s="12">
        <v>0</v>
      </c>
      <c r="DU76" s="12"/>
      <c r="DV76" s="12"/>
      <c r="DW76" s="12" t="s">
        <v>16</v>
      </c>
      <c r="DX76" s="12"/>
      <c r="DY76" s="12" t="s">
        <v>111</v>
      </c>
      <c r="DZ76" s="12">
        <v>1648712.79</v>
      </c>
      <c r="EA76" s="12" t="s">
        <v>99</v>
      </c>
      <c r="EB76" s="12">
        <v>-4.7999999951571226E-3</v>
      </c>
      <c r="EC76" s="12"/>
      <c r="ED76" s="12" t="str">
        <f>INDEX('con 1'!CI:CI,MATCH(B76,'con 1'!A:A,0),1)</f>
        <v>OK. Twitter tax err.</v>
      </c>
      <c r="EE76" s="12" t="s">
        <v>1946</v>
      </c>
      <c r="EF76" s="12" t="s">
        <v>1947</v>
      </c>
      <c r="EG76" s="48">
        <f ca="1">AN76/INDEX(er!D:D,MATCH(AA76,er!C:C,0),1)</f>
        <v>1513.0524982104509</v>
      </c>
    </row>
    <row r="77" spans="1:137" ht="12.5" x14ac:dyDescent="0.25">
      <c r="A77" s="46" t="s">
        <v>103</v>
      </c>
      <c r="B77" s="46" t="s">
        <v>362</v>
      </c>
      <c r="C77" s="46" t="s">
        <v>94</v>
      </c>
      <c r="D77" s="46" t="s">
        <v>98</v>
      </c>
      <c r="E77" s="156">
        <v>46081</v>
      </c>
      <c r="F77" s="46" t="s">
        <v>1399</v>
      </c>
      <c r="G77" s="46" t="s">
        <v>1400</v>
      </c>
      <c r="H77" s="46" t="s">
        <v>364</v>
      </c>
      <c r="I77" s="46" t="s">
        <v>1401</v>
      </c>
      <c r="J77" s="46" t="s">
        <v>1402</v>
      </c>
      <c r="K77" s="46" t="s">
        <v>559</v>
      </c>
      <c r="L77" s="46" t="s">
        <v>686</v>
      </c>
      <c r="M77" s="2" t="s">
        <v>563</v>
      </c>
      <c r="N77" s="46" t="s">
        <v>997</v>
      </c>
      <c r="O77" s="46" t="s">
        <v>998</v>
      </c>
      <c r="P77" s="46" t="s">
        <v>93</v>
      </c>
      <c r="Q77" s="46" t="s">
        <v>96</v>
      </c>
      <c r="R77" s="46" t="s">
        <v>104</v>
      </c>
      <c r="S77" s="46" t="s">
        <v>107</v>
      </c>
      <c r="T77" s="46" t="s">
        <v>107</v>
      </c>
      <c r="U77" s="46" t="s">
        <v>436</v>
      </c>
      <c r="V77" s="46" t="s">
        <v>105</v>
      </c>
      <c r="W77" s="46" t="s">
        <v>439</v>
      </c>
      <c r="X77" s="46" t="s">
        <v>687</v>
      </c>
      <c r="Y77" s="46" t="s">
        <v>688</v>
      </c>
      <c r="Z77" s="46" t="s">
        <v>688</v>
      </c>
      <c r="AA77" s="46" t="s">
        <v>111</v>
      </c>
      <c r="AB77" s="12" t="s">
        <v>111</v>
      </c>
      <c r="AC77" s="12">
        <v>999321.21</v>
      </c>
      <c r="AD77" s="12">
        <v>999321.21</v>
      </c>
      <c r="AE77" s="12">
        <v>1</v>
      </c>
      <c r="AF77" s="12">
        <v>1</v>
      </c>
      <c r="AG77" s="12">
        <v>1</v>
      </c>
      <c r="AH77" s="12">
        <v>0.78</v>
      </c>
      <c r="AI77" s="12">
        <v>0.78</v>
      </c>
      <c r="AJ77" s="12">
        <v>0</v>
      </c>
      <c r="AK77" s="12"/>
      <c r="AL77" s="12">
        <v>999321.21</v>
      </c>
      <c r="AM77" s="12">
        <v>999321.21</v>
      </c>
      <c r="AN77" s="12">
        <v>999321.21</v>
      </c>
      <c r="AO77" s="12">
        <v>779470.54379999998</v>
      </c>
      <c r="AP77" s="12">
        <v>604064.73</v>
      </c>
      <c r="AQ77" s="12"/>
      <c r="AR77" s="12">
        <v>999321.21</v>
      </c>
      <c r="AS77" s="12">
        <v>715.33372226198992</v>
      </c>
      <c r="AT77" s="12">
        <v>557.96030336435217</v>
      </c>
      <c r="AU77" s="12">
        <v>219850.66620000001</v>
      </c>
      <c r="AV77" s="12">
        <v>219850.66620000001</v>
      </c>
      <c r="AW77" s="12">
        <v>157.37341889763781</v>
      </c>
      <c r="AX77" s="12">
        <v>22</v>
      </c>
      <c r="AY77" s="2" t="s">
        <v>365</v>
      </c>
      <c r="AZ77" s="2" t="s">
        <v>101</v>
      </c>
      <c r="BA77" s="46"/>
      <c r="BB77" s="2" t="s">
        <v>2372</v>
      </c>
      <c r="BC77" s="2" t="s">
        <v>102</v>
      </c>
      <c r="BD77" s="46"/>
      <c r="BE77" s="46"/>
      <c r="BF77" s="12"/>
      <c r="BG77" s="12">
        <v>1</v>
      </c>
      <c r="BH77" s="12" t="s">
        <v>1403</v>
      </c>
      <c r="BI77" s="46" t="s">
        <v>997</v>
      </c>
      <c r="BJ77" s="46" t="s">
        <v>1000</v>
      </c>
      <c r="BK77" s="46" t="s">
        <v>1001</v>
      </c>
      <c r="BL77" s="46" t="s">
        <v>697</v>
      </c>
      <c r="BM77" s="46" t="s">
        <v>697</v>
      </c>
      <c r="BN77" s="46" t="s">
        <v>735</v>
      </c>
      <c r="BO77" s="46" t="s">
        <v>710</v>
      </c>
      <c r="BP77" s="46" t="s">
        <v>436</v>
      </c>
      <c r="BQ77" s="157">
        <v>46065</v>
      </c>
      <c r="BR77" s="156">
        <v>46080</v>
      </c>
      <c r="BS77" s="46" t="s">
        <v>692</v>
      </c>
      <c r="BT77" s="46"/>
      <c r="BU77" s="12">
        <v>1</v>
      </c>
      <c r="BV77" s="158" t="s">
        <v>1404</v>
      </c>
      <c r="BW77" s="12" t="s">
        <v>1405</v>
      </c>
      <c r="BX77" s="12">
        <v>0</v>
      </c>
      <c r="BY77" s="12">
        <v>0</v>
      </c>
      <c r="BZ77" s="12">
        <v>0</v>
      </c>
      <c r="CA77" s="12">
        <v>0</v>
      </c>
      <c r="CB77" s="12">
        <v>1000000</v>
      </c>
      <c r="CC77" s="12">
        <v>1000000</v>
      </c>
      <c r="CD77" s="12">
        <v>780000</v>
      </c>
      <c r="CE77" s="12">
        <v>779470.54379999998</v>
      </c>
      <c r="CF77" s="12">
        <v>1</v>
      </c>
      <c r="CG77" s="12">
        <v>7.158196134574087E-4</v>
      </c>
      <c r="CH77" s="12">
        <v>7.158196134574087E-4</v>
      </c>
      <c r="CI77" s="12" t="b">
        <v>0</v>
      </c>
      <c r="CJ77" s="12" t="b">
        <v>0</v>
      </c>
      <c r="CK77" s="12" t="s">
        <v>690</v>
      </c>
      <c r="CL77" s="2" t="s">
        <v>107</v>
      </c>
      <c r="CM77" s="2">
        <v>2285186</v>
      </c>
      <c r="CN77" s="12">
        <v>715.33372226199003</v>
      </c>
      <c r="CO77" s="12">
        <v>557.96030336435217</v>
      </c>
      <c r="CP77" s="12" t="s">
        <v>107</v>
      </c>
      <c r="CQ77" s="12" t="s">
        <v>821</v>
      </c>
      <c r="CR77" s="46" t="s">
        <v>1005</v>
      </c>
      <c r="CS77" s="46" t="s">
        <v>1000</v>
      </c>
      <c r="CT77" s="2">
        <v>30639453738</v>
      </c>
      <c r="CU77" s="2" t="s">
        <v>691</v>
      </c>
      <c r="CV77" s="49">
        <v>46087.728472222225</v>
      </c>
      <c r="CW77" s="49">
        <v>46087.57708333333</v>
      </c>
      <c r="CX77" s="2" t="b">
        <v>1</v>
      </c>
      <c r="CY77" s="2" t="b">
        <v>1</v>
      </c>
      <c r="CZ77" s="160">
        <v>46054</v>
      </c>
      <c r="DA77" s="12" t="s">
        <v>693</v>
      </c>
      <c r="DB77" s="12"/>
      <c r="DC77" s="12"/>
      <c r="DD77" s="12"/>
      <c r="DE77" s="12"/>
      <c r="DF77" s="12"/>
      <c r="DG77" s="12"/>
      <c r="DH77" s="12"/>
      <c r="DI77" s="46"/>
      <c r="DJ77" s="48" t="s">
        <v>105</v>
      </c>
      <c r="DK77" s="48" t="s">
        <v>111</v>
      </c>
      <c r="DL77" s="48">
        <v>999321.21</v>
      </c>
      <c r="DM77" s="13" t="s">
        <v>99</v>
      </c>
      <c r="DN77" s="13" t="s">
        <v>99</v>
      </c>
      <c r="DO77" s="12">
        <v>0</v>
      </c>
      <c r="DP77" s="12" t="s">
        <v>362</v>
      </c>
      <c r="DQ77" s="12" t="s">
        <v>111</v>
      </c>
      <c r="DR77" s="12">
        <v>999321.21</v>
      </c>
      <c r="DS77" s="12" t="s">
        <v>99</v>
      </c>
      <c r="DT77" s="12">
        <v>0</v>
      </c>
      <c r="DU77" s="12"/>
      <c r="DV77" s="12"/>
      <c r="DW77" s="12" t="s">
        <v>16</v>
      </c>
      <c r="DX77" s="12"/>
      <c r="DY77" s="12" t="s">
        <v>111</v>
      </c>
      <c r="DZ77" s="12">
        <v>779470.54</v>
      </c>
      <c r="EA77" s="12" t="s">
        <v>99</v>
      </c>
      <c r="EB77" s="12">
        <v>3.7999999476596713E-3</v>
      </c>
      <c r="EC77" s="12"/>
      <c r="ED77" s="12" t="str">
        <f>INDEX('con 1'!CI:CI,MATCH(B77,'con 1'!A:A,0),1)</f>
        <v>OK. Twitter tax err.</v>
      </c>
      <c r="EE77" s="12" t="s">
        <v>101</v>
      </c>
      <c r="EF77" s="12" t="s">
        <v>1947</v>
      </c>
      <c r="EG77" s="48">
        <f ca="1">AN77/INDEX(er!D:D,MATCH(AA77,er!C:C,0),1)</f>
        <v>715.33372226198992</v>
      </c>
    </row>
    <row r="78" spans="1:137" ht="12.5" x14ac:dyDescent="0.25">
      <c r="A78" s="46" t="s">
        <v>103</v>
      </c>
      <c r="B78" s="46" t="s">
        <v>366</v>
      </c>
      <c r="C78" s="46" t="s">
        <v>94</v>
      </c>
      <c r="D78" s="46" t="s">
        <v>98</v>
      </c>
      <c r="E78" s="156">
        <v>46081</v>
      </c>
      <c r="F78" s="46" t="s">
        <v>1406</v>
      </c>
      <c r="G78" s="46" t="s">
        <v>1407</v>
      </c>
      <c r="H78" s="46" t="s">
        <v>368</v>
      </c>
      <c r="I78" s="46" t="s">
        <v>1408</v>
      </c>
      <c r="J78" s="46" t="s">
        <v>1409</v>
      </c>
      <c r="K78" s="46" t="s">
        <v>559</v>
      </c>
      <c r="L78" s="46" t="s">
        <v>686</v>
      </c>
      <c r="M78" s="2" t="s">
        <v>563</v>
      </c>
      <c r="N78" s="46" t="s">
        <v>1256</v>
      </c>
      <c r="O78" s="46" t="s">
        <v>1257</v>
      </c>
      <c r="P78" s="46" t="s">
        <v>93</v>
      </c>
      <c r="Q78" s="46" t="s">
        <v>96</v>
      </c>
      <c r="R78" s="46" t="s">
        <v>104</v>
      </c>
      <c r="S78" s="46" t="s">
        <v>107</v>
      </c>
      <c r="T78" s="46" t="s">
        <v>107</v>
      </c>
      <c r="U78" s="46" t="s">
        <v>436</v>
      </c>
      <c r="V78" s="46" t="s">
        <v>105</v>
      </c>
      <c r="W78" s="46" t="s">
        <v>439</v>
      </c>
      <c r="X78" s="46" t="s">
        <v>687</v>
      </c>
      <c r="Y78" s="46" t="s">
        <v>688</v>
      </c>
      <c r="Z78" s="46" t="s">
        <v>688</v>
      </c>
      <c r="AA78" s="46" t="s">
        <v>111</v>
      </c>
      <c r="AB78" s="12" t="s">
        <v>111</v>
      </c>
      <c r="AC78" s="12">
        <v>2499831.17</v>
      </c>
      <c r="AD78" s="12">
        <v>2499831.17</v>
      </c>
      <c r="AE78" s="12">
        <v>1</v>
      </c>
      <c r="AF78" s="12">
        <v>1</v>
      </c>
      <c r="AG78" s="12">
        <v>1</v>
      </c>
      <c r="AH78" s="12">
        <v>0.78</v>
      </c>
      <c r="AI78" s="12">
        <v>0.78</v>
      </c>
      <c r="AJ78" s="12">
        <v>0</v>
      </c>
      <c r="AK78" s="12"/>
      <c r="AL78" s="12">
        <v>2499831.17</v>
      </c>
      <c r="AM78" s="12">
        <v>2499831.17</v>
      </c>
      <c r="AN78" s="12">
        <v>2499831.17</v>
      </c>
      <c r="AO78" s="12">
        <v>1949868.3126000001</v>
      </c>
      <c r="AP78" s="12">
        <v>1511085.55</v>
      </c>
      <c r="AQ78" s="12"/>
      <c r="AR78" s="12">
        <v>2499831.17</v>
      </c>
      <c r="AS78" s="12">
        <v>1789.4281818181817</v>
      </c>
      <c r="AT78" s="12">
        <v>1395.753981818182</v>
      </c>
      <c r="AU78" s="12">
        <v>549962.85739999998</v>
      </c>
      <c r="AV78" s="12">
        <v>549962.85739999998</v>
      </c>
      <c r="AW78" s="12">
        <v>393.67419999999998</v>
      </c>
      <c r="AX78" s="12">
        <v>22</v>
      </c>
      <c r="AY78" s="2" t="s">
        <v>2373</v>
      </c>
      <c r="AZ78" s="2" t="s">
        <v>101</v>
      </c>
      <c r="BA78" s="46"/>
      <c r="BB78" s="2" t="s">
        <v>2374</v>
      </c>
      <c r="BC78" s="2" t="s">
        <v>102</v>
      </c>
      <c r="BD78" s="46"/>
      <c r="BE78" s="46"/>
      <c r="BF78" s="12"/>
      <c r="BG78" s="12">
        <v>1</v>
      </c>
      <c r="BH78" s="2" t="s">
        <v>1410</v>
      </c>
      <c r="BI78" s="46" t="s">
        <v>1256</v>
      </c>
      <c r="BJ78" s="46" t="s">
        <v>1259</v>
      </c>
      <c r="BK78" s="46" t="s">
        <v>865</v>
      </c>
      <c r="BL78" s="46" t="s">
        <v>865</v>
      </c>
      <c r="BM78" s="46" t="s">
        <v>865</v>
      </c>
      <c r="BN78" s="46" t="s">
        <v>735</v>
      </c>
      <c r="BO78" s="46" t="s">
        <v>710</v>
      </c>
      <c r="BP78" s="46" t="s">
        <v>436</v>
      </c>
      <c r="BQ78" s="157">
        <v>46063</v>
      </c>
      <c r="BR78" s="156">
        <v>46081</v>
      </c>
      <c r="BS78" s="46" t="s">
        <v>746</v>
      </c>
      <c r="BT78" s="46"/>
      <c r="BU78" s="12">
        <v>1</v>
      </c>
      <c r="BV78" s="158" t="s">
        <v>1411</v>
      </c>
      <c r="BW78" s="12" t="s">
        <v>1412</v>
      </c>
      <c r="BX78" s="12">
        <v>0</v>
      </c>
      <c r="BY78" s="12">
        <v>0</v>
      </c>
      <c r="BZ78" s="12">
        <v>0</v>
      </c>
      <c r="CA78" s="12">
        <v>0</v>
      </c>
      <c r="CB78" s="12">
        <v>2500000</v>
      </c>
      <c r="CC78" s="12">
        <v>2500000</v>
      </c>
      <c r="CD78" s="12">
        <v>1950000</v>
      </c>
      <c r="CE78" s="12">
        <v>1949868.3126000001</v>
      </c>
      <c r="CF78" s="12">
        <v>1</v>
      </c>
      <c r="CG78" s="12">
        <v>7.158196134574087E-4</v>
      </c>
      <c r="CH78" s="12">
        <v>7.158196134574087E-4</v>
      </c>
      <c r="CI78" s="12" t="b">
        <v>0</v>
      </c>
      <c r="CJ78" s="12" t="b">
        <v>0</v>
      </c>
      <c r="CK78" s="12" t="s">
        <v>690</v>
      </c>
      <c r="CL78" s="2" t="s">
        <v>107</v>
      </c>
      <c r="CM78" s="2" t="s">
        <v>1413</v>
      </c>
      <c r="CN78" s="12">
        <v>1789.4281818181819</v>
      </c>
      <c r="CO78" s="12">
        <v>1395.7539818181817</v>
      </c>
      <c r="CP78" s="12" t="s">
        <v>107</v>
      </c>
      <c r="CQ78" s="12" t="s">
        <v>1257</v>
      </c>
      <c r="CR78" s="46" t="s">
        <v>1263</v>
      </c>
      <c r="CS78" s="46" t="s">
        <v>1259</v>
      </c>
      <c r="CT78" s="2">
        <v>33695614549</v>
      </c>
      <c r="CU78" s="2" t="s">
        <v>691</v>
      </c>
      <c r="CV78" s="49">
        <v>46087.728472222225</v>
      </c>
      <c r="CW78" s="49">
        <v>46085.874305555553</v>
      </c>
      <c r="CX78" s="2" t="b">
        <v>1</v>
      </c>
      <c r="CY78" s="2" t="b">
        <v>1</v>
      </c>
      <c r="CZ78" s="160">
        <v>46054</v>
      </c>
      <c r="DA78" s="12" t="s">
        <v>693</v>
      </c>
      <c r="DB78" s="12"/>
      <c r="DC78" s="12"/>
      <c r="DD78" s="12"/>
      <c r="DE78" s="12"/>
      <c r="DF78" s="12"/>
      <c r="DG78" s="12"/>
      <c r="DH78" s="12"/>
      <c r="DI78" s="46"/>
      <c r="DJ78" s="48" t="s">
        <v>105</v>
      </c>
      <c r="DK78" s="48" t="s">
        <v>111</v>
      </c>
      <c r="DL78" s="48">
        <v>2499831.17</v>
      </c>
      <c r="DM78" s="13" t="s">
        <v>99</v>
      </c>
      <c r="DN78" s="13" t="s">
        <v>99</v>
      </c>
      <c r="DO78" s="12">
        <v>0</v>
      </c>
      <c r="DP78" s="12" t="s">
        <v>366</v>
      </c>
      <c r="DQ78" s="12" t="s">
        <v>111</v>
      </c>
      <c r="DR78" s="12">
        <v>2499831.17</v>
      </c>
      <c r="DS78" s="12" t="s">
        <v>99</v>
      </c>
      <c r="DT78" s="12">
        <v>0</v>
      </c>
      <c r="DU78" s="12"/>
      <c r="DV78" s="12"/>
      <c r="DW78" s="12" t="s">
        <v>16</v>
      </c>
      <c r="DX78" s="12"/>
      <c r="DY78" s="12" t="s">
        <v>111</v>
      </c>
      <c r="DZ78" s="12">
        <v>1949868.31</v>
      </c>
      <c r="EA78" s="12" t="s">
        <v>99</v>
      </c>
      <c r="EB78" s="12">
        <v>2.6000000070780516E-3</v>
      </c>
      <c r="EC78" s="12"/>
      <c r="ED78" s="12" t="str">
        <f>INDEX('con 1'!CI:CI,MATCH(B78,'con 1'!A:A,0),1)</f>
        <v>OK. Twitter tax err.</v>
      </c>
      <c r="EE78" s="12" t="s">
        <v>1946</v>
      </c>
      <c r="EF78" s="12" t="s">
        <v>1947</v>
      </c>
      <c r="EG78" s="48">
        <f ca="1">AN78/INDEX(er!D:D,MATCH(AA78,er!C:C,0),1)</f>
        <v>1789.4281818181817</v>
      </c>
    </row>
    <row r="79" spans="1:137" ht="12.5" x14ac:dyDescent="0.25">
      <c r="A79" s="46" t="s">
        <v>103</v>
      </c>
      <c r="B79" s="46" t="s">
        <v>370</v>
      </c>
      <c r="C79" s="46" t="s">
        <v>94</v>
      </c>
      <c r="D79" s="46" t="s">
        <v>98</v>
      </c>
      <c r="E79" s="156">
        <v>46081</v>
      </c>
      <c r="F79" s="46" t="s">
        <v>1414</v>
      </c>
      <c r="G79" s="46" t="s">
        <v>1415</v>
      </c>
      <c r="H79" s="46" t="s">
        <v>372</v>
      </c>
      <c r="I79" s="46" t="s">
        <v>1416</v>
      </c>
      <c r="J79" s="46" t="s">
        <v>1417</v>
      </c>
      <c r="K79" s="46" t="s">
        <v>559</v>
      </c>
      <c r="L79" s="46" t="s">
        <v>686</v>
      </c>
      <c r="M79" s="2" t="s">
        <v>563</v>
      </c>
      <c r="N79" s="46" t="s">
        <v>1010</v>
      </c>
      <c r="O79" s="46" t="s">
        <v>1011</v>
      </c>
      <c r="P79" s="46" t="s">
        <v>93</v>
      </c>
      <c r="Q79" s="46" t="s">
        <v>96</v>
      </c>
      <c r="R79" s="46" t="s">
        <v>104</v>
      </c>
      <c r="S79" s="46" t="s">
        <v>107</v>
      </c>
      <c r="T79" s="46" t="s">
        <v>107</v>
      </c>
      <c r="U79" s="46" t="s">
        <v>436</v>
      </c>
      <c r="V79" s="46" t="s">
        <v>105</v>
      </c>
      <c r="W79" s="46" t="s">
        <v>439</v>
      </c>
      <c r="X79" s="46" t="s">
        <v>687</v>
      </c>
      <c r="Y79" s="46" t="s">
        <v>688</v>
      </c>
      <c r="Z79" s="46" t="s">
        <v>688</v>
      </c>
      <c r="AA79" s="46" t="s">
        <v>111</v>
      </c>
      <c r="AB79" s="12" t="s">
        <v>111</v>
      </c>
      <c r="AC79" s="12">
        <v>6195989.9900000002</v>
      </c>
      <c r="AD79" s="12">
        <v>6195989.9900000002</v>
      </c>
      <c r="AE79" s="12">
        <v>1</v>
      </c>
      <c r="AF79" s="12">
        <v>1</v>
      </c>
      <c r="AG79" s="12">
        <v>1</v>
      </c>
      <c r="AH79" s="12">
        <v>0.78</v>
      </c>
      <c r="AI79" s="12">
        <v>0.78</v>
      </c>
      <c r="AJ79" s="12">
        <v>0</v>
      </c>
      <c r="AK79" s="12"/>
      <c r="AL79" s="12">
        <v>6195989.9900000002</v>
      </c>
      <c r="AM79" s="12">
        <v>6195989.9900000002</v>
      </c>
      <c r="AN79" s="12">
        <v>6195989.9900000002</v>
      </c>
      <c r="AO79" s="12">
        <v>4832872.1922000004</v>
      </c>
      <c r="AP79" s="12">
        <v>3745321.3</v>
      </c>
      <c r="AQ79" s="12"/>
      <c r="AR79" s="12">
        <v>6195989.9900000002</v>
      </c>
      <c r="AS79" s="12">
        <v>4435.2111596277737</v>
      </c>
      <c r="AT79" s="12">
        <v>3459.464704509664</v>
      </c>
      <c r="AU79" s="12">
        <v>1363117.7978000001</v>
      </c>
      <c r="AV79" s="12">
        <v>1363117.7978000001</v>
      </c>
      <c r="AW79" s="12">
        <v>975.74645511811025</v>
      </c>
      <c r="AX79" s="12">
        <v>22</v>
      </c>
      <c r="AY79" s="2" t="s">
        <v>2375</v>
      </c>
      <c r="AZ79" s="2" t="s">
        <v>101</v>
      </c>
      <c r="BA79" s="46"/>
      <c r="BB79" s="2" t="s">
        <v>2376</v>
      </c>
      <c r="BC79" s="2" t="s">
        <v>102</v>
      </c>
      <c r="BD79" s="46"/>
      <c r="BE79" s="46"/>
      <c r="BF79" s="12"/>
      <c r="BG79" s="12">
        <v>1</v>
      </c>
      <c r="BH79" s="2" t="s">
        <v>1418</v>
      </c>
      <c r="BI79" s="46" t="s">
        <v>1010</v>
      </c>
      <c r="BJ79" s="46" t="s">
        <v>1013</v>
      </c>
      <c r="BK79" s="46" t="s">
        <v>874</v>
      </c>
      <c r="BL79" s="46" t="s">
        <v>771</v>
      </c>
      <c r="BM79" s="46" t="s">
        <v>771</v>
      </c>
      <c r="BN79" s="46" t="s">
        <v>735</v>
      </c>
      <c r="BO79" s="46" t="s">
        <v>710</v>
      </c>
      <c r="BP79" s="46" t="s">
        <v>436</v>
      </c>
      <c r="BQ79" s="157">
        <v>46064</v>
      </c>
      <c r="BR79" s="156">
        <v>46081</v>
      </c>
      <c r="BS79" s="46" t="s">
        <v>689</v>
      </c>
      <c r="BT79" s="46"/>
      <c r="BU79" s="12">
        <v>1</v>
      </c>
      <c r="BV79" s="158" t="s">
        <v>1419</v>
      </c>
      <c r="BW79" s="12" t="s">
        <v>1420</v>
      </c>
      <c r="BX79" s="12">
        <v>0</v>
      </c>
      <c r="BY79" s="12">
        <v>0</v>
      </c>
      <c r="BZ79" s="12">
        <v>0</v>
      </c>
      <c r="CA79" s="12">
        <v>0</v>
      </c>
      <c r="CB79" s="12">
        <v>6195990</v>
      </c>
      <c r="CC79" s="12">
        <v>6195990</v>
      </c>
      <c r="CD79" s="12">
        <v>4832872.2</v>
      </c>
      <c r="CE79" s="12">
        <v>4832872.1922000004</v>
      </c>
      <c r="CF79" s="12">
        <v>1</v>
      </c>
      <c r="CG79" s="12">
        <v>7.158196134574087E-4</v>
      </c>
      <c r="CH79" s="12">
        <v>7.158196134574087E-4</v>
      </c>
      <c r="CI79" s="12" t="b">
        <v>0</v>
      </c>
      <c r="CJ79" s="12" t="b">
        <v>0</v>
      </c>
      <c r="CK79" s="12" t="s">
        <v>690</v>
      </c>
      <c r="CL79" s="2" t="s">
        <v>107</v>
      </c>
      <c r="CM79" s="2" t="s">
        <v>1421</v>
      </c>
      <c r="CN79" s="12">
        <v>4435.2111596277737</v>
      </c>
      <c r="CO79" s="12">
        <v>3459.4647045096635</v>
      </c>
      <c r="CP79" s="12" t="s">
        <v>107</v>
      </c>
      <c r="CQ79" s="12" t="s">
        <v>861</v>
      </c>
      <c r="CR79" s="46" t="s">
        <v>1017</v>
      </c>
      <c r="CS79" s="46" t="s">
        <v>1013</v>
      </c>
      <c r="CT79" s="2">
        <v>30546689979</v>
      </c>
      <c r="CU79" s="2" t="s">
        <v>691</v>
      </c>
      <c r="CV79" s="49">
        <v>46087.728472222225</v>
      </c>
      <c r="CW79" s="49">
        <v>46085.874305555553</v>
      </c>
      <c r="CX79" s="2" t="b">
        <v>1</v>
      </c>
      <c r="CY79" s="2" t="b">
        <v>1</v>
      </c>
      <c r="CZ79" s="160">
        <v>46054</v>
      </c>
      <c r="DA79" s="12" t="s">
        <v>693</v>
      </c>
      <c r="DB79" s="12"/>
      <c r="DC79" s="12"/>
      <c r="DD79" s="12"/>
      <c r="DE79" s="12"/>
      <c r="DF79" s="12"/>
      <c r="DG79" s="12"/>
      <c r="DH79" s="12"/>
      <c r="DI79" s="46" t="s">
        <v>206</v>
      </c>
      <c r="DJ79" s="48" t="s">
        <v>105</v>
      </c>
      <c r="DK79" s="48" t="s">
        <v>111</v>
      </c>
      <c r="DL79" s="48">
        <v>6200280.3600000003</v>
      </c>
      <c r="DM79" s="13" t="s">
        <v>99</v>
      </c>
      <c r="DN79" s="13" t="s">
        <v>99</v>
      </c>
      <c r="DO79" s="12">
        <v>-4290.3700000001118</v>
      </c>
      <c r="DP79" s="12" t="s">
        <v>370</v>
      </c>
      <c r="DQ79" s="12" t="s">
        <v>111</v>
      </c>
      <c r="DR79" s="12">
        <v>6195989.9900000002</v>
      </c>
      <c r="DS79" s="12" t="s">
        <v>99</v>
      </c>
      <c r="DT79" s="12">
        <v>0</v>
      </c>
      <c r="DU79" s="12"/>
      <c r="DV79" s="12"/>
      <c r="DW79" s="12" t="s">
        <v>16</v>
      </c>
      <c r="DX79" s="12"/>
      <c r="DY79" s="12" t="s">
        <v>111</v>
      </c>
      <c r="DZ79" s="12">
        <v>4832872.2</v>
      </c>
      <c r="EA79" s="12" t="s">
        <v>99</v>
      </c>
      <c r="EB79" s="12">
        <v>-7.799999788403511E-3</v>
      </c>
      <c r="EC79" s="12"/>
      <c r="ED79" s="12" t="str">
        <f>INDEX('con 1'!CI:CI,MATCH(B79,'con 1'!A:A,0),1)</f>
        <v>OK. Twitter tax err.</v>
      </c>
      <c r="EE79" s="12" t="s">
        <v>1946</v>
      </c>
      <c r="EF79" s="12" t="s">
        <v>1947</v>
      </c>
      <c r="EG79" s="48">
        <f ca="1">AN79/INDEX(er!D:D,MATCH(AA79,er!C:C,0),1)</f>
        <v>4435.2111596277737</v>
      </c>
    </row>
    <row r="80" spans="1:137" ht="12.5" x14ac:dyDescent="0.25">
      <c r="A80" s="46" t="s">
        <v>103</v>
      </c>
      <c r="B80" s="46" t="s">
        <v>373</v>
      </c>
      <c r="C80" s="46" t="s">
        <v>94</v>
      </c>
      <c r="D80" s="46" t="s">
        <v>98</v>
      </c>
      <c r="E80" s="156">
        <v>46081</v>
      </c>
      <c r="F80" s="46" t="s">
        <v>1422</v>
      </c>
      <c r="G80" s="46" t="s">
        <v>1423</v>
      </c>
      <c r="H80" s="46" t="s">
        <v>375</v>
      </c>
      <c r="I80" s="46" t="s">
        <v>1424</v>
      </c>
      <c r="J80" s="46" t="s">
        <v>1425</v>
      </c>
      <c r="K80" s="46" t="s">
        <v>559</v>
      </c>
      <c r="L80" s="46" t="s">
        <v>686</v>
      </c>
      <c r="M80" s="2" t="s">
        <v>563</v>
      </c>
      <c r="N80" s="46" t="s">
        <v>741</v>
      </c>
      <c r="O80" s="46" t="s">
        <v>741</v>
      </c>
      <c r="P80" s="46" t="s">
        <v>93</v>
      </c>
      <c r="Q80" s="46" t="s">
        <v>96</v>
      </c>
      <c r="R80" s="46" t="s">
        <v>104</v>
      </c>
      <c r="S80" s="46" t="s">
        <v>107</v>
      </c>
      <c r="T80" s="46" t="s">
        <v>107</v>
      </c>
      <c r="U80" s="46" t="s">
        <v>436</v>
      </c>
      <c r="V80" s="46" t="s">
        <v>105</v>
      </c>
      <c r="W80" s="46" t="s">
        <v>439</v>
      </c>
      <c r="X80" s="46" t="s">
        <v>687</v>
      </c>
      <c r="Y80" s="46" t="s">
        <v>688</v>
      </c>
      <c r="Z80" s="46" t="s">
        <v>688</v>
      </c>
      <c r="AA80" s="46" t="s">
        <v>111</v>
      </c>
      <c r="AB80" s="12" t="s">
        <v>111</v>
      </c>
      <c r="AC80" s="12">
        <v>4901475.9400000004</v>
      </c>
      <c r="AD80" s="12">
        <v>4901475.9400000004</v>
      </c>
      <c r="AE80" s="12">
        <v>1</v>
      </c>
      <c r="AF80" s="12">
        <v>1</v>
      </c>
      <c r="AG80" s="12">
        <v>1</v>
      </c>
      <c r="AH80" s="12">
        <v>0.78</v>
      </c>
      <c r="AI80" s="12">
        <v>0.78</v>
      </c>
      <c r="AJ80" s="12">
        <v>0</v>
      </c>
      <c r="AK80" s="12"/>
      <c r="AL80" s="12">
        <v>4901475.9400000004</v>
      </c>
      <c r="AM80" s="12">
        <v>4901475.9400000004</v>
      </c>
      <c r="AN80" s="12">
        <v>4901475.9400000004</v>
      </c>
      <c r="AO80" s="12">
        <v>3823151.2332000001</v>
      </c>
      <c r="AP80" s="12">
        <v>2962819.86</v>
      </c>
      <c r="AQ80" s="12"/>
      <c r="AR80" s="12">
        <v>4901475.9400000004</v>
      </c>
      <c r="AS80" s="12">
        <v>3508.5726127415896</v>
      </c>
      <c r="AT80" s="12">
        <v>2736.6866379384396</v>
      </c>
      <c r="AU80" s="12">
        <v>1078324.7068</v>
      </c>
      <c r="AV80" s="12">
        <v>1078324.7068</v>
      </c>
      <c r="AW80" s="12">
        <v>771.88597480314968</v>
      </c>
      <c r="AX80" s="12">
        <v>22</v>
      </c>
      <c r="AY80" s="2" t="s">
        <v>2377</v>
      </c>
      <c r="AZ80" s="2" t="s">
        <v>101</v>
      </c>
      <c r="BA80" s="46"/>
      <c r="BB80" s="2" t="s">
        <v>2378</v>
      </c>
      <c r="BC80" s="2" t="s">
        <v>102</v>
      </c>
      <c r="BD80" s="46"/>
      <c r="BE80" s="46"/>
      <c r="BF80" s="12"/>
      <c r="BG80" s="12">
        <v>1</v>
      </c>
      <c r="BH80" s="12" t="s">
        <v>1426</v>
      </c>
      <c r="BI80" s="46" t="s">
        <v>741</v>
      </c>
      <c r="BJ80" s="46" t="s">
        <v>742</v>
      </c>
      <c r="BK80" s="46" t="s">
        <v>865</v>
      </c>
      <c r="BL80" s="46" t="s">
        <v>865</v>
      </c>
      <c r="BM80" s="46" t="s">
        <v>865</v>
      </c>
      <c r="BN80" s="46" t="s">
        <v>735</v>
      </c>
      <c r="BO80" s="46" t="s">
        <v>710</v>
      </c>
      <c r="BP80" s="46" t="s">
        <v>436</v>
      </c>
      <c r="BQ80" s="157">
        <v>46063</v>
      </c>
      <c r="BR80" s="156">
        <v>46068</v>
      </c>
      <c r="BS80" s="46" t="s">
        <v>746</v>
      </c>
      <c r="BT80" s="46"/>
      <c r="BU80" s="12">
        <v>1</v>
      </c>
      <c r="BV80" s="158" t="s">
        <v>1427</v>
      </c>
      <c r="BW80" s="12" t="s">
        <v>1428</v>
      </c>
      <c r="BX80" s="12">
        <v>0</v>
      </c>
      <c r="BY80" s="12">
        <v>0</v>
      </c>
      <c r="BZ80" s="12">
        <v>0</v>
      </c>
      <c r="CA80" s="12">
        <v>0</v>
      </c>
      <c r="CB80" s="12">
        <v>12969532</v>
      </c>
      <c r="CC80" s="12">
        <v>12969532</v>
      </c>
      <c r="CD80" s="12">
        <v>10116234.960000001</v>
      </c>
      <c r="CE80" s="12">
        <v>3823151.2332000001</v>
      </c>
      <c r="CF80" s="12">
        <v>1</v>
      </c>
      <c r="CG80" s="12">
        <v>7.158196134574087E-4</v>
      </c>
      <c r="CH80" s="12">
        <v>7.158196134574087E-4</v>
      </c>
      <c r="CI80" s="12" t="b">
        <v>0</v>
      </c>
      <c r="CJ80" s="12" t="b">
        <v>0</v>
      </c>
      <c r="CK80" s="12" t="s">
        <v>690</v>
      </c>
      <c r="CL80" s="2" t="s">
        <v>107</v>
      </c>
      <c r="CM80" s="12" t="s">
        <v>1429</v>
      </c>
      <c r="CN80" s="12">
        <v>3508.5726127415892</v>
      </c>
      <c r="CO80" s="12">
        <v>2736.6866379384396</v>
      </c>
      <c r="CP80" s="12" t="s">
        <v>107</v>
      </c>
      <c r="CQ80" s="12" t="s">
        <v>741</v>
      </c>
      <c r="CR80" s="46" t="s">
        <v>747</v>
      </c>
      <c r="CS80" s="46" t="s">
        <v>742</v>
      </c>
      <c r="CT80" s="2">
        <v>30693739698</v>
      </c>
      <c r="CU80" s="2" t="s">
        <v>691</v>
      </c>
      <c r="CV80" s="49">
        <v>46087.728472222225</v>
      </c>
      <c r="CW80" s="49">
        <v>46085.874305555553</v>
      </c>
      <c r="CX80" s="2" t="b">
        <v>1</v>
      </c>
      <c r="CY80" s="2" t="b">
        <v>1</v>
      </c>
      <c r="CZ80" s="160">
        <v>46054</v>
      </c>
      <c r="DA80" s="12" t="s">
        <v>693</v>
      </c>
      <c r="DB80" s="12"/>
      <c r="DC80" s="12"/>
      <c r="DD80" s="12"/>
      <c r="DE80" s="12"/>
      <c r="DF80" s="12"/>
      <c r="DG80" s="12"/>
      <c r="DH80" s="12"/>
      <c r="DI80" s="46"/>
      <c r="DJ80" s="48" t="s">
        <v>105</v>
      </c>
      <c r="DK80" s="48" t="s">
        <v>111</v>
      </c>
      <c r="DL80" s="48">
        <v>4901475.9400000004</v>
      </c>
      <c r="DM80" s="13" t="s">
        <v>99</v>
      </c>
      <c r="DN80" s="13" t="s">
        <v>99</v>
      </c>
      <c r="DO80" s="12">
        <v>0</v>
      </c>
      <c r="DP80" s="12" t="s">
        <v>373</v>
      </c>
      <c r="DQ80" s="12" t="s">
        <v>111</v>
      </c>
      <c r="DR80" s="12">
        <v>4901475.9400000004</v>
      </c>
      <c r="DS80" s="12" t="s">
        <v>99</v>
      </c>
      <c r="DT80" s="12">
        <v>0</v>
      </c>
      <c r="DU80" s="12"/>
      <c r="DV80" s="12"/>
      <c r="DW80" s="12" t="s">
        <v>16</v>
      </c>
      <c r="DX80" s="12"/>
      <c r="DY80" s="12" t="s">
        <v>111</v>
      </c>
      <c r="DZ80" s="12">
        <v>3823151.23</v>
      </c>
      <c r="EA80" s="12" t="s">
        <v>99</v>
      </c>
      <c r="EB80" s="12">
        <v>3.2000001519918442E-3</v>
      </c>
      <c r="EC80" s="12"/>
      <c r="ED80" s="12" t="str">
        <f>INDEX('con 1'!CI:CI,MATCH(B80,'con 1'!A:A,0),1)</f>
        <v>OK. Twitter tax err.</v>
      </c>
      <c r="EE80" s="12" t="s">
        <v>1946</v>
      </c>
      <c r="EF80" s="12" t="s">
        <v>1947</v>
      </c>
      <c r="EG80" s="48">
        <f ca="1">AN80/INDEX(er!D:D,MATCH(AA80,er!C:C,0),1)</f>
        <v>3508.5726127415896</v>
      </c>
    </row>
    <row r="81" spans="1:137" ht="12.5" x14ac:dyDescent="0.25">
      <c r="A81" s="46" t="s">
        <v>103</v>
      </c>
      <c r="B81" s="46" t="s">
        <v>377</v>
      </c>
      <c r="C81" s="46" t="s">
        <v>94</v>
      </c>
      <c r="D81" s="46" t="s">
        <v>98</v>
      </c>
      <c r="E81" s="156">
        <v>46081</v>
      </c>
      <c r="F81" s="46" t="s">
        <v>1430</v>
      </c>
      <c r="G81" s="46" t="s">
        <v>1431</v>
      </c>
      <c r="H81" s="46" t="s">
        <v>379</v>
      </c>
      <c r="I81" s="46" t="s">
        <v>1432</v>
      </c>
      <c r="J81" s="46" t="s">
        <v>1433</v>
      </c>
      <c r="K81" s="46" t="s">
        <v>559</v>
      </c>
      <c r="L81" s="46" t="s">
        <v>686</v>
      </c>
      <c r="M81" s="2" t="s">
        <v>563</v>
      </c>
      <c r="N81" s="46" t="s">
        <v>741</v>
      </c>
      <c r="O81" s="46" t="s">
        <v>741</v>
      </c>
      <c r="P81" s="46" t="s">
        <v>93</v>
      </c>
      <c r="Q81" s="46" t="s">
        <v>96</v>
      </c>
      <c r="R81" s="46" t="s">
        <v>104</v>
      </c>
      <c r="S81" s="46" t="s">
        <v>107</v>
      </c>
      <c r="T81" s="46" t="s">
        <v>107</v>
      </c>
      <c r="U81" s="46" t="s">
        <v>436</v>
      </c>
      <c r="V81" s="46" t="s">
        <v>105</v>
      </c>
      <c r="W81" s="46" t="s">
        <v>439</v>
      </c>
      <c r="X81" s="46" t="s">
        <v>687</v>
      </c>
      <c r="Y81" s="46" t="s">
        <v>688</v>
      </c>
      <c r="Z81" s="46" t="s">
        <v>688</v>
      </c>
      <c r="AA81" s="46" t="s">
        <v>111</v>
      </c>
      <c r="AB81" s="12" t="s">
        <v>111</v>
      </c>
      <c r="AC81" s="12">
        <v>2300000</v>
      </c>
      <c r="AD81" s="12">
        <v>2300000</v>
      </c>
      <c r="AE81" s="12">
        <v>1</v>
      </c>
      <c r="AF81" s="12">
        <v>1</v>
      </c>
      <c r="AG81" s="12">
        <v>1</v>
      </c>
      <c r="AH81" s="12">
        <v>0.78</v>
      </c>
      <c r="AI81" s="12">
        <v>0.78</v>
      </c>
      <c r="AJ81" s="12">
        <v>0</v>
      </c>
      <c r="AK81" s="12"/>
      <c r="AL81" s="12">
        <v>2300000</v>
      </c>
      <c r="AM81" s="12">
        <v>2300000</v>
      </c>
      <c r="AN81" s="12">
        <v>2300000</v>
      </c>
      <c r="AO81" s="12">
        <v>1794000</v>
      </c>
      <c r="AP81" s="12">
        <v>1390292.59</v>
      </c>
      <c r="AQ81" s="12"/>
      <c r="AR81" s="12">
        <v>2300000</v>
      </c>
      <c r="AS81" s="12">
        <v>1646.3851109520401</v>
      </c>
      <c r="AT81" s="12">
        <v>1284.1803865425914</v>
      </c>
      <c r="AU81" s="12">
        <v>506000</v>
      </c>
      <c r="AV81" s="12">
        <v>506000</v>
      </c>
      <c r="AW81" s="12">
        <v>362.20472440944883</v>
      </c>
      <c r="AX81" s="12">
        <v>22</v>
      </c>
      <c r="AY81" s="2" t="s">
        <v>2379</v>
      </c>
      <c r="AZ81" s="2" t="s">
        <v>101</v>
      </c>
      <c r="BA81" s="46"/>
      <c r="BB81" s="2" t="s">
        <v>2380</v>
      </c>
      <c r="BC81" s="2" t="s">
        <v>102</v>
      </c>
      <c r="BD81" s="46"/>
      <c r="BE81" s="46"/>
      <c r="BF81" s="12"/>
      <c r="BG81" s="12">
        <v>1</v>
      </c>
      <c r="BH81" s="2" t="s">
        <v>1434</v>
      </c>
      <c r="BI81" s="46" t="s">
        <v>741</v>
      </c>
      <c r="BJ81" s="46" t="s">
        <v>742</v>
      </c>
      <c r="BK81" s="46" t="s">
        <v>874</v>
      </c>
      <c r="BL81" s="46" t="s">
        <v>771</v>
      </c>
      <c r="BM81" s="46" t="s">
        <v>771</v>
      </c>
      <c r="BN81" s="46" t="s">
        <v>735</v>
      </c>
      <c r="BO81" s="46" t="s">
        <v>710</v>
      </c>
      <c r="BP81" s="46" t="s">
        <v>436</v>
      </c>
      <c r="BQ81" s="157">
        <v>46054</v>
      </c>
      <c r="BR81" s="156">
        <v>46081</v>
      </c>
      <c r="BS81" s="46" t="s">
        <v>746</v>
      </c>
      <c r="BT81" s="46"/>
      <c r="BU81" s="12">
        <v>1</v>
      </c>
      <c r="BV81" s="158" t="s">
        <v>1435</v>
      </c>
      <c r="BW81" s="12" t="s">
        <v>1436</v>
      </c>
      <c r="BX81" s="12">
        <v>0</v>
      </c>
      <c r="BY81" s="12">
        <v>0</v>
      </c>
      <c r="BZ81" s="12">
        <v>0</v>
      </c>
      <c r="CA81" s="12">
        <v>0</v>
      </c>
      <c r="CB81" s="12">
        <v>2300000</v>
      </c>
      <c r="CC81" s="12">
        <v>2300000</v>
      </c>
      <c r="CD81" s="12">
        <v>1794000</v>
      </c>
      <c r="CE81" s="12">
        <v>1794000</v>
      </c>
      <c r="CF81" s="12">
        <v>1</v>
      </c>
      <c r="CG81" s="12">
        <v>7.158196134574087E-4</v>
      </c>
      <c r="CH81" s="12">
        <v>7.158196134574087E-4</v>
      </c>
      <c r="CI81" s="12" t="b">
        <v>0</v>
      </c>
      <c r="CJ81" s="12" t="b">
        <v>0</v>
      </c>
      <c r="CK81" s="12" t="s">
        <v>690</v>
      </c>
      <c r="CL81" s="2" t="s">
        <v>107</v>
      </c>
      <c r="CM81" s="2" t="s">
        <v>1437</v>
      </c>
      <c r="CN81" s="12">
        <v>1646.3851109520401</v>
      </c>
      <c r="CO81" s="12">
        <v>1284.1803865425914</v>
      </c>
      <c r="CP81" s="12" t="s">
        <v>107</v>
      </c>
      <c r="CQ81" s="12" t="s">
        <v>741</v>
      </c>
      <c r="CR81" s="46" t="s">
        <v>747</v>
      </c>
      <c r="CS81" s="46" t="s">
        <v>742</v>
      </c>
      <c r="CT81" s="2">
        <v>30693739698</v>
      </c>
      <c r="CU81" s="2" t="s">
        <v>691</v>
      </c>
      <c r="CV81" s="49">
        <v>46087.728472222225</v>
      </c>
      <c r="CW81" s="49">
        <v>46085.874305555553</v>
      </c>
      <c r="CX81" s="2" t="b">
        <v>1</v>
      </c>
      <c r="CY81" s="2" t="b">
        <v>1</v>
      </c>
      <c r="CZ81" s="160">
        <v>46054</v>
      </c>
      <c r="DA81" s="12" t="s">
        <v>693</v>
      </c>
      <c r="DB81" s="12"/>
      <c r="DC81" s="12"/>
      <c r="DD81" s="12"/>
      <c r="DE81" s="12"/>
      <c r="DF81" s="12"/>
      <c r="DG81" s="12"/>
      <c r="DH81" s="12"/>
      <c r="DI81" s="46" t="s">
        <v>206</v>
      </c>
      <c r="DJ81" s="48" t="s">
        <v>105</v>
      </c>
      <c r="DK81" s="48" t="s">
        <v>111</v>
      </c>
      <c r="DL81" s="48">
        <v>2302160.9300000002</v>
      </c>
      <c r="DM81" s="13" t="s">
        <v>99</v>
      </c>
      <c r="DN81" s="13" t="s">
        <v>99</v>
      </c>
      <c r="DO81" s="12">
        <v>-2160.9300000001676</v>
      </c>
      <c r="DP81" s="12" t="s">
        <v>377</v>
      </c>
      <c r="DQ81" s="12" t="s">
        <v>111</v>
      </c>
      <c r="DR81" s="12">
        <v>2300000</v>
      </c>
      <c r="DS81" s="12" t="s">
        <v>99</v>
      </c>
      <c r="DT81" s="12">
        <v>0</v>
      </c>
      <c r="DU81" s="12"/>
      <c r="DV81" s="12"/>
      <c r="DW81" s="12" t="s">
        <v>16</v>
      </c>
      <c r="DX81" s="12"/>
      <c r="DY81" s="12" t="s">
        <v>111</v>
      </c>
      <c r="DZ81" s="12">
        <v>1794000</v>
      </c>
      <c r="EA81" s="12" t="s">
        <v>99</v>
      </c>
      <c r="EB81" s="12">
        <v>0</v>
      </c>
      <c r="EC81" s="12"/>
      <c r="ED81" s="12" t="str">
        <f>INDEX('con 1'!CI:CI,MATCH(B81,'con 1'!A:A,0),1)</f>
        <v>OK. Twitter tax err.</v>
      </c>
      <c r="EE81" s="12" t="s">
        <v>1946</v>
      </c>
      <c r="EF81" s="12" t="s">
        <v>1947</v>
      </c>
      <c r="EG81" s="48">
        <f ca="1">AN81/INDEX(er!D:D,MATCH(AA81,er!C:C,0),1)</f>
        <v>1646.3851109520401</v>
      </c>
    </row>
    <row r="82" spans="1:137" ht="12.5" x14ac:dyDescent="0.25">
      <c r="A82" s="46" t="s">
        <v>103</v>
      </c>
      <c r="B82" s="46" t="s">
        <v>381</v>
      </c>
      <c r="C82" s="46" t="s">
        <v>94</v>
      </c>
      <c r="D82" s="46" t="s">
        <v>98</v>
      </c>
      <c r="E82" s="156">
        <v>46081</v>
      </c>
      <c r="F82" s="46" t="s">
        <v>1438</v>
      </c>
      <c r="G82" s="46" t="s">
        <v>1439</v>
      </c>
      <c r="H82" s="46" t="s">
        <v>383</v>
      </c>
      <c r="I82" s="46" t="s">
        <v>1440</v>
      </c>
      <c r="J82" s="46" t="s">
        <v>1441</v>
      </c>
      <c r="K82" s="46" t="s">
        <v>559</v>
      </c>
      <c r="L82" s="46" t="s">
        <v>686</v>
      </c>
      <c r="M82" s="2" t="s">
        <v>563</v>
      </c>
      <c r="N82" s="46" t="s">
        <v>741</v>
      </c>
      <c r="O82" s="46" t="s">
        <v>741</v>
      </c>
      <c r="P82" s="46" t="s">
        <v>93</v>
      </c>
      <c r="Q82" s="46" t="s">
        <v>100</v>
      </c>
      <c r="R82" s="46" t="s">
        <v>104</v>
      </c>
      <c r="S82" s="46" t="s">
        <v>107</v>
      </c>
      <c r="T82" s="46" t="s">
        <v>107</v>
      </c>
      <c r="U82" s="46" t="s">
        <v>436</v>
      </c>
      <c r="V82" s="46" t="s">
        <v>105</v>
      </c>
      <c r="W82" s="46" t="s">
        <v>439</v>
      </c>
      <c r="X82" s="46" t="s">
        <v>687</v>
      </c>
      <c r="Y82" s="46" t="s">
        <v>688</v>
      </c>
      <c r="Z82" s="46" t="s">
        <v>688</v>
      </c>
      <c r="AA82" s="46" t="s">
        <v>111</v>
      </c>
      <c r="AB82" s="12" t="s">
        <v>111</v>
      </c>
      <c r="AC82" s="12">
        <v>9224933.0199999996</v>
      </c>
      <c r="AD82" s="12">
        <v>9224933.0199999996</v>
      </c>
      <c r="AE82" s="12">
        <v>1</v>
      </c>
      <c r="AF82" s="12">
        <v>1</v>
      </c>
      <c r="AG82" s="12">
        <v>1</v>
      </c>
      <c r="AH82" s="12">
        <v>0.85</v>
      </c>
      <c r="AI82" s="12">
        <v>0.85</v>
      </c>
      <c r="AJ82" s="12">
        <v>0</v>
      </c>
      <c r="AK82" s="12"/>
      <c r="AL82" s="12">
        <v>9224933.0199999996</v>
      </c>
      <c r="AM82" s="12">
        <v>9224933.0199999996</v>
      </c>
      <c r="AN82" s="12">
        <v>9224933.0199999996</v>
      </c>
      <c r="AO82" s="12">
        <v>7841193.0669999998</v>
      </c>
      <c r="AP82" s="12">
        <v>6088409.6699999999</v>
      </c>
      <c r="AQ82" s="12"/>
      <c r="AR82" s="12">
        <v>9224933.0199999996</v>
      </c>
      <c r="AS82" s="12">
        <v>6603.3879885468859</v>
      </c>
      <c r="AT82" s="12">
        <v>5612.879790264853</v>
      </c>
      <c r="AU82" s="12">
        <v>1383739.953</v>
      </c>
      <c r="AV82" s="12">
        <v>1383739.953</v>
      </c>
      <c r="AW82" s="12">
        <v>990.50819828203294</v>
      </c>
      <c r="AX82" s="12">
        <v>15</v>
      </c>
      <c r="AY82" s="2" t="s">
        <v>2381</v>
      </c>
      <c r="AZ82" s="2" t="s">
        <v>101</v>
      </c>
      <c r="BA82" s="46"/>
      <c r="BB82" s="2" t="s">
        <v>2382</v>
      </c>
      <c r="BC82" s="2" t="s">
        <v>102</v>
      </c>
      <c r="BD82" s="46"/>
      <c r="BE82" s="46"/>
      <c r="BF82" s="12"/>
      <c r="BG82" s="12">
        <v>1</v>
      </c>
      <c r="BH82" s="12" t="s">
        <v>1442</v>
      </c>
      <c r="BI82" s="46" t="s">
        <v>741</v>
      </c>
      <c r="BJ82" s="46" t="s">
        <v>742</v>
      </c>
      <c r="BK82" s="46" t="s">
        <v>863</v>
      </c>
      <c r="BL82" s="46" t="s">
        <v>863</v>
      </c>
      <c r="BM82" s="46" t="s">
        <v>863</v>
      </c>
      <c r="BN82" s="46" t="s">
        <v>744</v>
      </c>
      <c r="BO82" s="46" t="s">
        <v>745</v>
      </c>
      <c r="BP82" s="46" t="s">
        <v>436</v>
      </c>
      <c r="BQ82" s="157">
        <v>46071</v>
      </c>
      <c r="BR82" s="156">
        <v>46084</v>
      </c>
      <c r="BS82" s="46" t="s">
        <v>746</v>
      </c>
      <c r="BT82" s="46"/>
      <c r="BU82" s="12">
        <v>1</v>
      </c>
      <c r="BV82" s="158" t="s">
        <v>1443</v>
      </c>
      <c r="BW82" s="12" t="s">
        <v>1444</v>
      </c>
      <c r="BX82" s="12">
        <v>0</v>
      </c>
      <c r="BY82" s="12">
        <v>0</v>
      </c>
      <c r="BZ82" s="12">
        <v>0</v>
      </c>
      <c r="CA82" s="12">
        <v>0</v>
      </c>
      <c r="CB82" s="12">
        <v>9227780.5714285709</v>
      </c>
      <c r="CC82" s="12">
        <v>9227780.5714289993</v>
      </c>
      <c r="CD82" s="12">
        <v>7843613.4857139997</v>
      </c>
      <c r="CE82" s="12">
        <v>7841193.0669999998</v>
      </c>
      <c r="CF82" s="12">
        <v>1</v>
      </c>
      <c r="CG82" s="12">
        <v>7.158196134574087E-4</v>
      </c>
      <c r="CH82" s="12">
        <v>7.158196134574087E-4</v>
      </c>
      <c r="CI82" s="12" t="b">
        <v>0</v>
      </c>
      <c r="CJ82" s="12" t="b">
        <v>0</v>
      </c>
      <c r="CK82" s="12" t="s">
        <v>690</v>
      </c>
      <c r="CL82" s="2" t="s">
        <v>107</v>
      </c>
      <c r="CM82" s="2" t="s">
        <v>1445</v>
      </c>
      <c r="CN82" s="12">
        <v>6603.3879885468859</v>
      </c>
      <c r="CO82" s="12">
        <v>5612.879790264853</v>
      </c>
      <c r="CP82" s="12" t="s">
        <v>107</v>
      </c>
      <c r="CQ82" s="12" t="s">
        <v>741</v>
      </c>
      <c r="CR82" s="46" t="s">
        <v>747</v>
      </c>
      <c r="CS82" s="46" t="s">
        <v>742</v>
      </c>
      <c r="CT82" s="2">
        <v>30693739698</v>
      </c>
      <c r="CU82" s="2" t="s">
        <v>691</v>
      </c>
      <c r="CV82" s="49">
        <v>46087.728472222225</v>
      </c>
      <c r="CW82" s="49">
        <v>46086.695833333331</v>
      </c>
      <c r="CX82" s="2" t="b">
        <v>1</v>
      </c>
      <c r="CY82" s="2" t="b">
        <v>1</v>
      </c>
      <c r="CZ82" s="160">
        <v>46054</v>
      </c>
      <c r="DA82" s="12" t="s">
        <v>693</v>
      </c>
      <c r="DB82" s="12"/>
      <c r="DC82" s="12"/>
      <c r="DD82" s="12"/>
      <c r="DE82" s="12"/>
      <c r="DF82" s="12"/>
      <c r="DG82" s="12"/>
      <c r="DH82" s="12"/>
      <c r="DI82" s="46"/>
      <c r="DJ82" s="48"/>
      <c r="DK82" s="48"/>
      <c r="DL82" s="48"/>
      <c r="DM82" s="13" t="s">
        <v>16</v>
      </c>
      <c r="DN82" s="13" t="s">
        <v>16</v>
      </c>
      <c r="DO82" s="12"/>
      <c r="DP82" s="12" t="s">
        <v>381</v>
      </c>
      <c r="DQ82" s="12" t="s">
        <v>111</v>
      </c>
      <c r="DR82" s="12">
        <v>9224933.0199999996</v>
      </c>
      <c r="DS82" s="12" t="s">
        <v>99</v>
      </c>
      <c r="DT82" s="12">
        <v>0</v>
      </c>
      <c r="DU82" s="12"/>
      <c r="DV82" s="12"/>
      <c r="DW82" s="12" t="s">
        <v>16</v>
      </c>
      <c r="DX82" s="12"/>
      <c r="DY82" s="12" t="s">
        <v>111</v>
      </c>
      <c r="DZ82" s="12">
        <v>7195447.7599999998</v>
      </c>
      <c r="EA82" s="12" t="s">
        <v>99</v>
      </c>
      <c r="EB82" s="12">
        <v>645745.30700000003</v>
      </c>
      <c r="EC82" s="12"/>
      <c r="ED82" s="12" t="str">
        <f>INDEX('con 1'!CI:CI,MATCH(B82,'con 1'!A:A,0),1)</f>
        <v>OK. Twitter Comm. ERR</v>
      </c>
      <c r="EE82" s="12" t="s">
        <v>1946</v>
      </c>
      <c r="EF82" s="12" t="s">
        <v>1947</v>
      </c>
      <c r="EG82" s="48">
        <f ca="1">AN82/INDEX(er!D:D,MATCH(AA82,er!C:C,0),1)</f>
        <v>6603.3879885468859</v>
      </c>
    </row>
    <row r="83" spans="1:137" ht="12.5" x14ac:dyDescent="0.25">
      <c r="A83" s="46" t="s">
        <v>103</v>
      </c>
      <c r="B83" s="46" t="s">
        <v>384</v>
      </c>
      <c r="C83" s="46" t="s">
        <v>94</v>
      </c>
      <c r="D83" s="46" t="s">
        <v>98</v>
      </c>
      <c r="E83" s="156">
        <v>46081</v>
      </c>
      <c r="F83" s="46" t="s">
        <v>1446</v>
      </c>
      <c r="G83" s="46" t="s">
        <v>1447</v>
      </c>
      <c r="H83" s="46" t="s">
        <v>386</v>
      </c>
      <c r="I83" s="46" t="s">
        <v>1448</v>
      </c>
      <c r="J83" s="46" t="s">
        <v>1449</v>
      </c>
      <c r="K83" s="46" t="s">
        <v>559</v>
      </c>
      <c r="L83" s="46" t="s">
        <v>686</v>
      </c>
      <c r="M83" s="2" t="s">
        <v>563</v>
      </c>
      <c r="N83" s="46" t="s">
        <v>1010</v>
      </c>
      <c r="O83" s="46" t="s">
        <v>1011</v>
      </c>
      <c r="P83" s="46" t="s">
        <v>93</v>
      </c>
      <c r="Q83" s="46" t="s">
        <v>96</v>
      </c>
      <c r="R83" s="46" t="s">
        <v>104</v>
      </c>
      <c r="S83" s="46" t="s">
        <v>107</v>
      </c>
      <c r="T83" s="46" t="s">
        <v>107</v>
      </c>
      <c r="U83" s="46" t="s">
        <v>436</v>
      </c>
      <c r="V83" s="46" t="s">
        <v>105</v>
      </c>
      <c r="W83" s="46" t="s">
        <v>439</v>
      </c>
      <c r="X83" s="46" t="s">
        <v>687</v>
      </c>
      <c r="Y83" s="46" t="s">
        <v>688</v>
      </c>
      <c r="Z83" s="46" t="s">
        <v>688</v>
      </c>
      <c r="AA83" s="46" t="s">
        <v>111</v>
      </c>
      <c r="AB83" s="12" t="s">
        <v>111</v>
      </c>
      <c r="AC83" s="12">
        <v>232244.92</v>
      </c>
      <c r="AD83" s="12">
        <v>232244.92</v>
      </c>
      <c r="AE83" s="12">
        <v>1</v>
      </c>
      <c r="AF83" s="12">
        <v>1</v>
      </c>
      <c r="AG83" s="12">
        <v>1</v>
      </c>
      <c r="AH83" s="12">
        <v>0.78</v>
      </c>
      <c r="AI83" s="12">
        <v>0.78</v>
      </c>
      <c r="AJ83" s="12">
        <v>0</v>
      </c>
      <c r="AK83" s="12"/>
      <c r="AL83" s="12">
        <v>232244.92</v>
      </c>
      <c r="AM83" s="12">
        <v>232244.92</v>
      </c>
      <c r="AN83" s="12">
        <v>232244.92</v>
      </c>
      <c r="AO83" s="12">
        <v>181151.03760000001</v>
      </c>
      <c r="AP83" s="12">
        <v>140386.26</v>
      </c>
      <c r="AQ83" s="12"/>
      <c r="AR83" s="12">
        <v>232244.92</v>
      </c>
      <c r="AS83" s="12">
        <v>166.24546886184683</v>
      </c>
      <c r="AT83" s="12">
        <v>129.67146571224052</v>
      </c>
      <c r="AU83" s="12">
        <v>51093.882400000002</v>
      </c>
      <c r="AV83" s="12">
        <v>51093.882400000002</v>
      </c>
      <c r="AW83" s="12">
        <v>36.574003149606298</v>
      </c>
      <c r="AX83" s="12">
        <v>22</v>
      </c>
      <c r="AY83" s="2" t="s">
        <v>2383</v>
      </c>
      <c r="AZ83" s="2" t="s">
        <v>101</v>
      </c>
      <c r="BA83" s="46"/>
      <c r="BB83" s="2" t="s">
        <v>2384</v>
      </c>
      <c r="BC83" s="2" t="s">
        <v>102</v>
      </c>
      <c r="BD83" s="46"/>
      <c r="BE83" s="46"/>
      <c r="BF83" s="2"/>
      <c r="BG83" s="12">
        <v>1</v>
      </c>
      <c r="BH83" s="12" t="s">
        <v>1450</v>
      </c>
      <c r="BI83" s="46" t="s">
        <v>1010</v>
      </c>
      <c r="BJ83" s="46" t="s">
        <v>1013</v>
      </c>
      <c r="BK83" s="46" t="s">
        <v>874</v>
      </c>
      <c r="BL83" s="46" t="s">
        <v>771</v>
      </c>
      <c r="BM83" s="46" t="s">
        <v>771</v>
      </c>
      <c r="BN83" s="46" t="s">
        <v>735</v>
      </c>
      <c r="BO83" s="46" t="s">
        <v>710</v>
      </c>
      <c r="BP83" s="46" t="s">
        <v>436</v>
      </c>
      <c r="BQ83" s="157">
        <v>46067</v>
      </c>
      <c r="BR83" s="156">
        <v>46074</v>
      </c>
      <c r="BS83" s="46" t="s">
        <v>689</v>
      </c>
      <c r="BT83" s="46"/>
      <c r="BU83" s="12">
        <v>1</v>
      </c>
      <c r="BV83" s="158" t="s">
        <v>1451</v>
      </c>
      <c r="BW83" s="12" t="s">
        <v>1452</v>
      </c>
      <c r="BX83" s="12">
        <v>0</v>
      </c>
      <c r="BY83" s="12">
        <v>0</v>
      </c>
      <c r="BZ83" s="12">
        <v>0</v>
      </c>
      <c r="CA83" s="12">
        <v>0</v>
      </c>
      <c r="CB83" s="12">
        <v>249000.75</v>
      </c>
      <c r="CC83" s="12">
        <v>249000.75</v>
      </c>
      <c r="CD83" s="12">
        <v>194220.58499999999</v>
      </c>
      <c r="CE83" s="12">
        <v>181151.03760000001</v>
      </c>
      <c r="CF83" s="12">
        <v>1</v>
      </c>
      <c r="CG83" s="12">
        <v>7.158196134574087E-4</v>
      </c>
      <c r="CH83" s="12">
        <v>7.158196134574087E-4</v>
      </c>
      <c r="CI83" s="12" t="b">
        <v>0</v>
      </c>
      <c r="CJ83" s="12" t="b">
        <v>0</v>
      </c>
      <c r="CK83" s="12" t="s">
        <v>690</v>
      </c>
      <c r="CL83" s="2" t="s">
        <v>107</v>
      </c>
      <c r="CM83" s="2" t="s">
        <v>1453</v>
      </c>
      <c r="CN83" s="12">
        <v>166.2454688618468</v>
      </c>
      <c r="CO83" s="12">
        <v>129.67146571224052</v>
      </c>
      <c r="CP83" s="12" t="s">
        <v>107</v>
      </c>
      <c r="CQ83" s="12" t="s">
        <v>861</v>
      </c>
      <c r="CR83" s="46" t="s">
        <v>1017</v>
      </c>
      <c r="CS83" s="46" t="s">
        <v>1013</v>
      </c>
      <c r="CT83" s="2">
        <v>30546689979</v>
      </c>
      <c r="CU83" s="2" t="s">
        <v>691</v>
      </c>
      <c r="CV83" s="49">
        <v>46087.728472222225</v>
      </c>
      <c r="CW83" s="49">
        <v>46085.874305555553</v>
      </c>
      <c r="CX83" s="2" t="b">
        <v>1</v>
      </c>
      <c r="CY83" s="2" t="b">
        <v>1</v>
      </c>
      <c r="CZ83" s="160">
        <v>46054</v>
      </c>
      <c r="DA83" s="12" t="s">
        <v>693</v>
      </c>
      <c r="DB83" s="12"/>
      <c r="DC83" s="12"/>
      <c r="DD83" s="12"/>
      <c r="DE83" s="12"/>
      <c r="DF83" s="12"/>
      <c r="DG83" s="12"/>
      <c r="DH83" s="12"/>
      <c r="DI83" s="46"/>
      <c r="DJ83" s="48" t="s">
        <v>105</v>
      </c>
      <c r="DK83" s="48" t="s">
        <v>111</v>
      </c>
      <c r="DL83" s="48">
        <v>232244.92</v>
      </c>
      <c r="DM83" s="13" t="s">
        <v>99</v>
      </c>
      <c r="DN83" s="13" t="s">
        <v>99</v>
      </c>
      <c r="DO83" s="12">
        <v>0</v>
      </c>
      <c r="DP83" s="12" t="s">
        <v>384</v>
      </c>
      <c r="DQ83" s="12" t="s">
        <v>111</v>
      </c>
      <c r="DR83" s="12">
        <v>232244.92</v>
      </c>
      <c r="DS83" s="12" t="s">
        <v>99</v>
      </c>
      <c r="DT83" s="12">
        <v>0</v>
      </c>
      <c r="DU83" s="12"/>
      <c r="DV83" s="12"/>
      <c r="DW83" s="12" t="s">
        <v>16</v>
      </c>
      <c r="DX83" s="12"/>
      <c r="DY83" s="12" t="s">
        <v>111</v>
      </c>
      <c r="DZ83" s="12">
        <v>181151.04</v>
      </c>
      <c r="EA83" s="12" t="s">
        <v>99</v>
      </c>
      <c r="EB83" s="12">
        <v>-2.3999999975785613E-3</v>
      </c>
      <c r="EC83" s="12"/>
      <c r="ED83" s="12" t="str">
        <f>INDEX('con 1'!CI:CI,MATCH(B83,'con 1'!A:A,0),1)</f>
        <v>OK. Twitter tax err.</v>
      </c>
      <c r="EE83" s="12" t="s">
        <v>1946</v>
      </c>
      <c r="EF83" s="12" t="s">
        <v>1947</v>
      </c>
      <c r="EG83" s="48">
        <f ca="1">AN83/INDEX(er!D:D,MATCH(AA83,er!C:C,0),1)</f>
        <v>166.24546886184683</v>
      </c>
    </row>
    <row r="84" spans="1:137" ht="12.5" x14ac:dyDescent="0.25">
      <c r="A84" s="46" t="s">
        <v>103</v>
      </c>
      <c r="B84" s="46" t="s">
        <v>387</v>
      </c>
      <c r="C84" s="46" t="s">
        <v>94</v>
      </c>
      <c r="D84" s="46" t="s">
        <v>98</v>
      </c>
      <c r="E84" s="156">
        <v>46081</v>
      </c>
      <c r="F84" s="46" t="s">
        <v>1454</v>
      </c>
      <c r="G84" s="46" t="s">
        <v>1455</v>
      </c>
      <c r="H84" s="46" t="s">
        <v>389</v>
      </c>
      <c r="I84" s="46" t="s">
        <v>1456</v>
      </c>
      <c r="J84" s="46" t="s">
        <v>1457</v>
      </c>
      <c r="K84" s="46" t="s">
        <v>559</v>
      </c>
      <c r="L84" s="46" t="s">
        <v>686</v>
      </c>
      <c r="M84" s="2" t="s">
        <v>563</v>
      </c>
      <c r="N84" s="46" t="s">
        <v>1089</v>
      </c>
      <c r="O84" s="46" t="s">
        <v>991</v>
      </c>
      <c r="P84" s="46" t="s">
        <v>93</v>
      </c>
      <c r="Q84" s="46" t="s">
        <v>96</v>
      </c>
      <c r="R84" s="46" t="s">
        <v>104</v>
      </c>
      <c r="S84" s="46" t="s">
        <v>107</v>
      </c>
      <c r="T84" s="46" t="s">
        <v>107</v>
      </c>
      <c r="U84" s="46" t="s">
        <v>436</v>
      </c>
      <c r="V84" s="46" t="s">
        <v>105</v>
      </c>
      <c r="W84" s="46" t="s">
        <v>439</v>
      </c>
      <c r="X84" s="46" t="s">
        <v>687</v>
      </c>
      <c r="Y84" s="46" t="s">
        <v>688</v>
      </c>
      <c r="Z84" s="46" t="s">
        <v>688</v>
      </c>
      <c r="AA84" s="46" t="s">
        <v>111</v>
      </c>
      <c r="AB84" s="12" t="s">
        <v>111</v>
      </c>
      <c r="AC84" s="12">
        <v>298515.78999999998</v>
      </c>
      <c r="AD84" s="12">
        <v>298515.78999999998</v>
      </c>
      <c r="AE84" s="12">
        <v>1</v>
      </c>
      <c r="AF84" s="12">
        <v>1</v>
      </c>
      <c r="AG84" s="12">
        <v>1</v>
      </c>
      <c r="AH84" s="12">
        <v>0.78</v>
      </c>
      <c r="AI84" s="12">
        <v>0.78</v>
      </c>
      <c r="AJ84" s="12">
        <v>0</v>
      </c>
      <c r="AK84" s="12"/>
      <c r="AL84" s="12">
        <v>298515.78999999998</v>
      </c>
      <c r="AM84" s="12">
        <v>298515.78999999998</v>
      </c>
      <c r="AN84" s="12">
        <v>298515.78999999998</v>
      </c>
      <c r="AO84" s="12">
        <v>232842.3162</v>
      </c>
      <c r="AP84" s="12">
        <v>180445.34</v>
      </c>
      <c r="AQ84" s="12"/>
      <c r="AR84" s="12">
        <v>298515.78999999998</v>
      </c>
      <c r="AS84" s="12">
        <v>213.68345740873298</v>
      </c>
      <c r="AT84" s="12">
        <v>166.67309677881175</v>
      </c>
      <c r="AU84" s="12">
        <v>65673.473800000007</v>
      </c>
      <c r="AV84" s="12">
        <v>65673.473800000007</v>
      </c>
      <c r="AW84" s="12">
        <v>47.010360629921266</v>
      </c>
      <c r="AX84" s="12">
        <v>22</v>
      </c>
      <c r="AY84" s="2" t="s">
        <v>2385</v>
      </c>
      <c r="AZ84" s="2" t="s">
        <v>101</v>
      </c>
      <c r="BA84" s="46"/>
      <c r="BB84" s="2" t="s">
        <v>2386</v>
      </c>
      <c r="BC84" s="2" t="s">
        <v>102</v>
      </c>
      <c r="BD84" s="46"/>
      <c r="BE84" s="46"/>
      <c r="BF84" s="12"/>
      <c r="BG84" s="12">
        <v>1</v>
      </c>
      <c r="BH84" s="12" t="s">
        <v>1458</v>
      </c>
      <c r="BI84" s="46" t="s">
        <v>1089</v>
      </c>
      <c r="BJ84" s="46" t="s">
        <v>1091</v>
      </c>
      <c r="BK84" s="46" t="s">
        <v>1001</v>
      </c>
      <c r="BL84" s="46" t="s">
        <v>771</v>
      </c>
      <c r="BM84" s="46" t="s">
        <v>771</v>
      </c>
      <c r="BN84" s="46" t="s">
        <v>735</v>
      </c>
      <c r="BO84" s="46" t="s">
        <v>710</v>
      </c>
      <c r="BP84" s="46" t="s">
        <v>436</v>
      </c>
      <c r="BQ84" s="157">
        <v>46071</v>
      </c>
      <c r="BR84" s="156">
        <v>46099</v>
      </c>
      <c r="BS84" s="46" t="s">
        <v>746</v>
      </c>
      <c r="BT84" s="46"/>
      <c r="BU84" s="12">
        <v>1</v>
      </c>
      <c r="BV84" s="158" t="s">
        <v>1459</v>
      </c>
      <c r="BW84" s="12" t="s">
        <v>1460</v>
      </c>
      <c r="BX84" s="12">
        <v>0</v>
      </c>
      <c r="BY84" s="12">
        <v>0</v>
      </c>
      <c r="BZ84" s="12">
        <v>0</v>
      </c>
      <c r="CA84" s="12">
        <v>0</v>
      </c>
      <c r="CB84" s="12">
        <v>341379.31034482759</v>
      </c>
      <c r="CC84" s="12">
        <v>341379.31034500001</v>
      </c>
      <c r="CD84" s="12">
        <v>266275.86206900002</v>
      </c>
      <c r="CE84" s="12">
        <v>232842.3162</v>
      </c>
      <c r="CF84" s="12">
        <v>1</v>
      </c>
      <c r="CG84" s="12">
        <v>7.158196134574087E-4</v>
      </c>
      <c r="CH84" s="12">
        <v>7.158196134574087E-4</v>
      </c>
      <c r="CI84" s="12" t="b">
        <v>0</v>
      </c>
      <c r="CJ84" s="12" t="b">
        <v>0</v>
      </c>
      <c r="CK84" s="12" t="s">
        <v>715</v>
      </c>
      <c r="CL84" s="2" t="s">
        <v>107</v>
      </c>
      <c r="CM84" s="2" t="s">
        <v>1461</v>
      </c>
      <c r="CN84" s="12">
        <v>213.68345740873301</v>
      </c>
      <c r="CO84" s="12">
        <v>166.67309677881173</v>
      </c>
      <c r="CP84" s="12" t="s">
        <v>107</v>
      </c>
      <c r="CQ84" s="12" t="s">
        <v>991</v>
      </c>
      <c r="CR84" s="46" t="s">
        <v>1095</v>
      </c>
      <c r="CS84" s="46" t="s">
        <v>1091</v>
      </c>
      <c r="CT84" s="2">
        <v>30630308557</v>
      </c>
      <c r="CU84" s="2" t="s">
        <v>691</v>
      </c>
      <c r="CV84" s="49">
        <v>46087.728472222225</v>
      </c>
      <c r="CW84" s="49">
        <v>46085.874305555553</v>
      </c>
      <c r="CX84" s="2" t="b">
        <v>1</v>
      </c>
      <c r="CY84" s="2" t="b">
        <v>1</v>
      </c>
      <c r="CZ84" s="160">
        <v>46054</v>
      </c>
      <c r="DA84" s="12" t="s">
        <v>693</v>
      </c>
      <c r="DB84" s="12"/>
      <c r="DC84" s="12"/>
      <c r="DD84" s="12"/>
      <c r="DE84" s="12"/>
      <c r="DF84" s="12"/>
      <c r="DG84" s="12"/>
      <c r="DH84" s="12"/>
      <c r="DI84" s="46"/>
      <c r="DJ84" s="48" t="s">
        <v>105</v>
      </c>
      <c r="DK84" s="48" t="s">
        <v>111</v>
      </c>
      <c r="DL84" s="48">
        <v>298515.78999999998</v>
      </c>
      <c r="DM84" s="13" t="s">
        <v>99</v>
      </c>
      <c r="DN84" s="13" t="s">
        <v>99</v>
      </c>
      <c r="DO84" s="12">
        <v>0</v>
      </c>
      <c r="DP84" s="12" t="s">
        <v>387</v>
      </c>
      <c r="DQ84" s="12" t="s">
        <v>111</v>
      </c>
      <c r="DR84" s="12">
        <v>298515.78999999998</v>
      </c>
      <c r="DS84" s="12" t="s">
        <v>99</v>
      </c>
      <c r="DT84" s="12">
        <v>0</v>
      </c>
      <c r="DU84" s="12"/>
      <c r="DV84" s="12"/>
      <c r="DW84" s="12" t="s">
        <v>16</v>
      </c>
      <c r="DX84" s="12"/>
      <c r="DY84" s="12" t="s">
        <v>111</v>
      </c>
      <c r="DZ84" s="12">
        <v>232842.32</v>
      </c>
      <c r="EA84" s="12" t="s">
        <v>99</v>
      </c>
      <c r="EB84" s="12">
        <v>-3.8000000058673322E-3</v>
      </c>
      <c r="EC84" s="12"/>
      <c r="ED84" s="12" t="str">
        <f>INDEX('con 1'!CI:CI,MATCH(B84,'con 1'!A:A,0),1)</f>
        <v>OK. Twitter tax err.</v>
      </c>
      <c r="EE84" s="12" t="s">
        <v>1946</v>
      </c>
      <c r="EF84" s="12" t="s">
        <v>1947</v>
      </c>
      <c r="EG84" s="48">
        <f ca="1">AN84/INDEX(er!D:D,MATCH(AA84,er!C:C,0),1)</f>
        <v>213.68345740873298</v>
      </c>
    </row>
    <row r="85" spans="1:137" ht="12.5" x14ac:dyDescent="0.25">
      <c r="A85" s="46" t="s">
        <v>103</v>
      </c>
      <c r="B85" s="46" t="s">
        <v>390</v>
      </c>
      <c r="C85" s="46" t="s">
        <v>94</v>
      </c>
      <c r="D85" s="46" t="s">
        <v>98</v>
      </c>
      <c r="E85" s="156">
        <v>46081</v>
      </c>
      <c r="F85" s="46" t="s">
        <v>1271</v>
      </c>
      <c r="G85" s="46" t="s">
        <v>1462</v>
      </c>
      <c r="H85" s="46" t="s">
        <v>313</v>
      </c>
      <c r="I85" s="46" t="s">
        <v>1463</v>
      </c>
      <c r="J85" s="46" t="s">
        <v>1464</v>
      </c>
      <c r="K85" s="46" t="s">
        <v>559</v>
      </c>
      <c r="L85" s="46" t="s">
        <v>686</v>
      </c>
      <c r="M85" s="2" t="s">
        <v>563</v>
      </c>
      <c r="N85" s="46" t="s">
        <v>973</v>
      </c>
      <c r="O85" s="46" t="s">
        <v>974</v>
      </c>
      <c r="P85" s="46" t="s">
        <v>93</v>
      </c>
      <c r="Q85" s="46" t="s">
        <v>96</v>
      </c>
      <c r="R85" s="46" t="s">
        <v>104</v>
      </c>
      <c r="S85" s="46" t="s">
        <v>107</v>
      </c>
      <c r="T85" s="46" t="s">
        <v>107</v>
      </c>
      <c r="U85" s="46" t="s">
        <v>436</v>
      </c>
      <c r="V85" s="46" t="s">
        <v>105</v>
      </c>
      <c r="W85" s="46" t="s">
        <v>439</v>
      </c>
      <c r="X85" s="46" t="s">
        <v>687</v>
      </c>
      <c r="Y85" s="46" t="s">
        <v>688</v>
      </c>
      <c r="Z85" s="46" t="s">
        <v>688</v>
      </c>
      <c r="AA85" s="46" t="s">
        <v>111</v>
      </c>
      <c r="AB85" s="12" t="s">
        <v>111</v>
      </c>
      <c r="AC85" s="12">
        <v>343.25</v>
      </c>
      <c r="AD85" s="12">
        <v>343.25</v>
      </c>
      <c r="AE85" s="12">
        <v>1</v>
      </c>
      <c r="AF85" s="12">
        <v>1</v>
      </c>
      <c r="AG85" s="12">
        <v>1</v>
      </c>
      <c r="AH85" s="12">
        <v>0.78</v>
      </c>
      <c r="AI85" s="12">
        <v>0.78</v>
      </c>
      <c r="AJ85" s="12">
        <v>0</v>
      </c>
      <c r="AK85" s="12"/>
      <c r="AL85" s="12">
        <v>343.25</v>
      </c>
      <c r="AM85" s="12">
        <v>343.25</v>
      </c>
      <c r="AN85" s="12">
        <v>343.25</v>
      </c>
      <c r="AO85" s="12">
        <v>267.73500000000001</v>
      </c>
      <c r="AP85" s="12">
        <v>207.49</v>
      </c>
      <c r="AQ85" s="12"/>
      <c r="AR85" s="12">
        <v>343.25</v>
      </c>
      <c r="AS85" s="12">
        <v>0.24570508231925556</v>
      </c>
      <c r="AT85" s="12">
        <v>0.19164996420901934</v>
      </c>
      <c r="AU85" s="12">
        <v>75.515000000000001</v>
      </c>
      <c r="AV85" s="12">
        <v>75.515000000000001</v>
      </c>
      <c r="AW85" s="12">
        <v>5.4055118110236222E-2</v>
      </c>
      <c r="AX85" s="12">
        <v>22</v>
      </c>
      <c r="AY85" s="2" t="s">
        <v>2343</v>
      </c>
      <c r="AZ85" s="2" t="s">
        <v>101</v>
      </c>
      <c r="BA85" s="46"/>
      <c r="BB85" s="2" t="s">
        <v>2344</v>
      </c>
      <c r="BC85" s="2" t="s">
        <v>102</v>
      </c>
      <c r="BD85" s="46"/>
      <c r="BE85" s="46"/>
      <c r="BF85" s="12"/>
      <c r="BG85" s="12">
        <v>1</v>
      </c>
      <c r="BH85" s="12" t="s">
        <v>1275</v>
      </c>
      <c r="BI85" s="46" t="s">
        <v>973</v>
      </c>
      <c r="BJ85" s="46" t="s">
        <v>976</v>
      </c>
      <c r="BK85" s="46" t="s">
        <v>708</v>
      </c>
      <c r="BL85" s="46" t="s">
        <v>708</v>
      </c>
      <c r="BM85" s="46" t="s">
        <v>708</v>
      </c>
      <c r="BN85" s="46" t="s">
        <v>735</v>
      </c>
      <c r="BO85" s="46" t="s">
        <v>710</v>
      </c>
      <c r="BP85" s="46" t="s">
        <v>436</v>
      </c>
      <c r="BQ85" s="157">
        <v>46054</v>
      </c>
      <c r="BR85" s="156">
        <v>46203</v>
      </c>
      <c r="BS85" s="46" t="s">
        <v>689</v>
      </c>
      <c r="BT85" s="46"/>
      <c r="BU85" s="12">
        <v>1</v>
      </c>
      <c r="BV85" s="158" t="s">
        <v>1465</v>
      </c>
      <c r="BW85" s="12" t="s">
        <v>1466</v>
      </c>
      <c r="BX85" s="12">
        <v>0</v>
      </c>
      <c r="BY85" s="12">
        <v>0</v>
      </c>
      <c r="BZ85" s="12">
        <v>0</v>
      </c>
      <c r="CA85" s="12">
        <v>0</v>
      </c>
      <c r="CB85" s="12">
        <v>1</v>
      </c>
      <c r="CC85" s="12">
        <v>1</v>
      </c>
      <c r="CD85" s="12">
        <v>0.78</v>
      </c>
      <c r="CE85" s="12">
        <v>267.73500000000001</v>
      </c>
      <c r="CF85" s="12">
        <v>1</v>
      </c>
      <c r="CG85" s="12">
        <v>7.158196134574087E-4</v>
      </c>
      <c r="CH85" s="12">
        <v>7.158196134574087E-4</v>
      </c>
      <c r="CI85" s="12" t="b">
        <v>1</v>
      </c>
      <c r="CJ85" s="12" t="b">
        <v>1</v>
      </c>
      <c r="CK85" s="12" t="s">
        <v>690</v>
      </c>
      <c r="CL85" s="2" t="s">
        <v>107</v>
      </c>
      <c r="CM85" s="2">
        <v>4400235981</v>
      </c>
      <c r="CN85" s="12">
        <v>0.24570508231925556</v>
      </c>
      <c r="CO85" s="12">
        <v>0.19164996420901934</v>
      </c>
      <c r="CP85" s="12" t="s">
        <v>107</v>
      </c>
      <c r="CQ85" s="12"/>
      <c r="CR85" s="46" t="s">
        <v>979</v>
      </c>
      <c r="CS85" s="46" t="s">
        <v>976</v>
      </c>
      <c r="CT85" s="2">
        <v>30711985766</v>
      </c>
      <c r="CU85" s="2" t="s">
        <v>691</v>
      </c>
      <c r="CV85" s="49">
        <v>46088.555555555555</v>
      </c>
      <c r="CW85" s="49">
        <v>46087.739583333336</v>
      </c>
      <c r="CX85" s="2" t="b">
        <v>1</v>
      </c>
      <c r="CY85" s="2" t="b">
        <v>1</v>
      </c>
      <c r="CZ85" s="160">
        <v>46054</v>
      </c>
      <c r="DA85" s="12" t="s">
        <v>693</v>
      </c>
      <c r="DB85" s="12"/>
      <c r="DC85" s="12"/>
      <c r="DD85" s="12"/>
      <c r="DE85" s="12"/>
      <c r="DF85" s="12"/>
      <c r="DG85" s="12"/>
      <c r="DH85" s="12"/>
      <c r="DI85" s="46"/>
      <c r="DJ85" s="48" t="s">
        <v>105</v>
      </c>
      <c r="DK85" s="48" t="s">
        <v>111</v>
      </c>
      <c r="DL85" s="48">
        <v>343.25</v>
      </c>
      <c r="DM85" s="13" t="s">
        <v>99</v>
      </c>
      <c r="DN85" s="13" t="s">
        <v>99</v>
      </c>
      <c r="DO85" s="12">
        <v>0</v>
      </c>
      <c r="DP85" s="12" t="s">
        <v>390</v>
      </c>
      <c r="DQ85" s="12" t="s">
        <v>111</v>
      </c>
      <c r="DR85" s="12">
        <v>343.25</v>
      </c>
      <c r="DS85" s="12" t="s">
        <v>99</v>
      </c>
      <c r="DT85" s="12">
        <v>0</v>
      </c>
      <c r="DU85" s="12"/>
      <c r="DV85" s="12"/>
      <c r="DW85" s="12" t="s">
        <v>16</v>
      </c>
      <c r="DX85" s="12"/>
      <c r="DY85" s="12" t="s">
        <v>111</v>
      </c>
      <c r="DZ85" s="12">
        <v>267.73</v>
      </c>
      <c r="EA85" s="12" t="s">
        <v>99</v>
      </c>
      <c r="EB85" s="12">
        <v>4.9999999999954525E-3</v>
      </c>
      <c r="EC85" s="12"/>
      <c r="ED85" s="12" t="str">
        <f>INDEX('con 1'!CI:CI,MATCH(B85,'con 1'!A:A,0),1)</f>
        <v>OK</v>
      </c>
      <c r="EE85" s="12" t="s">
        <v>1946</v>
      </c>
      <c r="EF85" s="12" t="s">
        <v>1947</v>
      </c>
      <c r="EG85" s="48">
        <f ca="1">AN85/INDEX(er!D:D,MATCH(AA85,er!C:C,0),1)</f>
        <v>0.24570508231925556</v>
      </c>
    </row>
    <row r="86" spans="1:137" ht="12.5" x14ac:dyDescent="0.25">
      <c r="A86" s="46" t="s">
        <v>103</v>
      </c>
      <c r="B86" s="46" t="s">
        <v>391</v>
      </c>
      <c r="C86" s="46" t="s">
        <v>94</v>
      </c>
      <c r="D86" s="46" t="s">
        <v>98</v>
      </c>
      <c r="E86" s="156">
        <v>46081</v>
      </c>
      <c r="F86" s="46" t="s">
        <v>1467</v>
      </c>
      <c r="G86" s="46" t="s">
        <v>1468</v>
      </c>
      <c r="H86" s="46" t="s">
        <v>393</v>
      </c>
      <c r="I86" s="46" t="s">
        <v>1469</v>
      </c>
      <c r="J86" s="46" t="s">
        <v>1470</v>
      </c>
      <c r="K86" s="46" t="s">
        <v>559</v>
      </c>
      <c r="L86" s="46" t="s">
        <v>686</v>
      </c>
      <c r="M86" s="2" t="s">
        <v>563</v>
      </c>
      <c r="N86" s="46" t="s">
        <v>1010</v>
      </c>
      <c r="O86" s="46" t="s">
        <v>1011</v>
      </c>
      <c r="P86" s="46" t="s">
        <v>93</v>
      </c>
      <c r="Q86" s="46" t="s">
        <v>96</v>
      </c>
      <c r="R86" s="46" t="s">
        <v>104</v>
      </c>
      <c r="S86" s="46" t="s">
        <v>107</v>
      </c>
      <c r="T86" s="46" t="s">
        <v>107</v>
      </c>
      <c r="U86" s="46" t="s">
        <v>436</v>
      </c>
      <c r="V86" s="46" t="s">
        <v>105</v>
      </c>
      <c r="W86" s="46" t="s">
        <v>439</v>
      </c>
      <c r="X86" s="46" t="s">
        <v>687</v>
      </c>
      <c r="Y86" s="46" t="s">
        <v>688</v>
      </c>
      <c r="Z86" s="46" t="s">
        <v>688</v>
      </c>
      <c r="AA86" s="46" t="s">
        <v>111</v>
      </c>
      <c r="AB86" s="12" t="s">
        <v>111</v>
      </c>
      <c r="AC86" s="12">
        <v>1585096.5</v>
      </c>
      <c r="AD86" s="12">
        <v>1585096.5</v>
      </c>
      <c r="AE86" s="12">
        <v>1</v>
      </c>
      <c r="AF86" s="12">
        <v>1</v>
      </c>
      <c r="AG86" s="12">
        <v>1</v>
      </c>
      <c r="AH86" s="12">
        <v>0.78</v>
      </c>
      <c r="AI86" s="12">
        <v>0.78</v>
      </c>
      <c r="AJ86" s="12">
        <v>0</v>
      </c>
      <c r="AK86" s="12"/>
      <c r="AL86" s="12">
        <v>1585096.5</v>
      </c>
      <c r="AM86" s="12">
        <v>1585096.5</v>
      </c>
      <c r="AN86" s="12">
        <v>1585096.5</v>
      </c>
      <c r="AO86" s="12">
        <v>1236375.27</v>
      </c>
      <c r="AP86" s="12">
        <v>958151.27</v>
      </c>
      <c r="AQ86" s="12"/>
      <c r="AR86" s="12">
        <v>1585096.5</v>
      </c>
      <c r="AS86" s="12">
        <v>1134.6431639226914</v>
      </c>
      <c r="AT86" s="12">
        <v>885.02166785969939</v>
      </c>
      <c r="AU86" s="12">
        <v>348721.23</v>
      </c>
      <c r="AV86" s="12">
        <v>348721.23</v>
      </c>
      <c r="AW86" s="12">
        <v>249.62149606299212</v>
      </c>
      <c r="AX86" s="12">
        <v>22</v>
      </c>
      <c r="AY86" s="2" t="s">
        <v>2387</v>
      </c>
      <c r="AZ86" s="2" t="s">
        <v>101</v>
      </c>
      <c r="BA86" s="46"/>
      <c r="BB86" s="2" t="s">
        <v>2388</v>
      </c>
      <c r="BC86" s="2" t="s">
        <v>102</v>
      </c>
      <c r="BD86" s="46"/>
      <c r="BE86" s="46"/>
      <c r="BF86" s="12"/>
      <c r="BG86" s="12">
        <v>1</v>
      </c>
      <c r="BH86" s="12" t="s">
        <v>1471</v>
      </c>
      <c r="BI86" s="46" t="s">
        <v>1010</v>
      </c>
      <c r="BJ86" s="46" t="s">
        <v>1013</v>
      </c>
      <c r="BK86" s="46" t="s">
        <v>874</v>
      </c>
      <c r="BL86" s="46" t="s">
        <v>771</v>
      </c>
      <c r="BM86" s="46" t="s">
        <v>771</v>
      </c>
      <c r="BN86" s="46" t="s">
        <v>735</v>
      </c>
      <c r="BO86" s="46" t="s">
        <v>710</v>
      </c>
      <c r="BP86" s="46" t="s">
        <v>436</v>
      </c>
      <c r="BQ86" s="157">
        <v>46073</v>
      </c>
      <c r="BR86" s="156">
        <v>46081</v>
      </c>
      <c r="BS86" s="46" t="s">
        <v>689</v>
      </c>
      <c r="BT86" s="46"/>
      <c r="BU86" s="12">
        <v>1</v>
      </c>
      <c r="BV86" s="158" t="s">
        <v>1472</v>
      </c>
      <c r="BW86" s="12" t="s">
        <v>1473</v>
      </c>
      <c r="BX86" s="12">
        <v>0</v>
      </c>
      <c r="BY86" s="12">
        <v>0</v>
      </c>
      <c r="BZ86" s="12">
        <v>0</v>
      </c>
      <c r="CA86" s="12">
        <v>0</v>
      </c>
      <c r="CB86" s="12">
        <v>1585096.5</v>
      </c>
      <c r="CC86" s="12">
        <v>1585096.5</v>
      </c>
      <c r="CD86" s="12">
        <v>1236375.27</v>
      </c>
      <c r="CE86" s="12">
        <v>1236375.27</v>
      </c>
      <c r="CF86" s="12">
        <v>1</v>
      </c>
      <c r="CG86" s="12">
        <v>7.158196134574087E-4</v>
      </c>
      <c r="CH86" s="12">
        <v>7.158196134574087E-4</v>
      </c>
      <c r="CI86" s="12" t="b">
        <v>0</v>
      </c>
      <c r="CJ86" s="12" t="b">
        <v>0</v>
      </c>
      <c r="CK86" s="12" t="s">
        <v>690</v>
      </c>
      <c r="CL86" s="2" t="s">
        <v>107</v>
      </c>
      <c r="CM86" s="2" t="s">
        <v>1474</v>
      </c>
      <c r="CN86" s="12">
        <v>1134.6431639226914</v>
      </c>
      <c r="CO86" s="12">
        <v>885.02166785969939</v>
      </c>
      <c r="CP86" s="12" t="s">
        <v>107</v>
      </c>
      <c r="CQ86" s="12" t="s">
        <v>861</v>
      </c>
      <c r="CR86" s="46" t="s">
        <v>1017</v>
      </c>
      <c r="CS86" s="46" t="s">
        <v>1013</v>
      </c>
      <c r="CT86" s="2">
        <v>30546689979</v>
      </c>
      <c r="CU86" s="2" t="s">
        <v>691</v>
      </c>
      <c r="CV86" s="49">
        <v>46087.728472222225</v>
      </c>
      <c r="CW86" s="49">
        <v>46085.874305555553</v>
      </c>
      <c r="CX86" s="2" t="b">
        <v>1</v>
      </c>
      <c r="CY86" s="2" t="b">
        <v>1</v>
      </c>
      <c r="CZ86" s="160">
        <v>46054</v>
      </c>
      <c r="DA86" s="12" t="s">
        <v>693</v>
      </c>
      <c r="DB86" s="12"/>
      <c r="DC86" s="12"/>
      <c r="DD86" s="12"/>
      <c r="DE86" s="12"/>
      <c r="DF86" s="12"/>
      <c r="DG86" s="12"/>
      <c r="DH86" s="12"/>
      <c r="DI86" s="46"/>
      <c r="DJ86" s="48" t="s">
        <v>105</v>
      </c>
      <c r="DK86" s="48" t="s">
        <v>111</v>
      </c>
      <c r="DL86" s="48">
        <v>1585096.5</v>
      </c>
      <c r="DM86" s="13" t="s">
        <v>99</v>
      </c>
      <c r="DN86" s="13" t="s">
        <v>99</v>
      </c>
      <c r="DO86" s="12">
        <v>0</v>
      </c>
      <c r="DP86" s="12" t="s">
        <v>391</v>
      </c>
      <c r="DQ86" s="12" t="s">
        <v>111</v>
      </c>
      <c r="DR86" s="12">
        <v>1585096.5</v>
      </c>
      <c r="DS86" s="12" t="s">
        <v>99</v>
      </c>
      <c r="DT86" s="12">
        <v>0</v>
      </c>
      <c r="DU86" s="12"/>
      <c r="DV86" s="12"/>
      <c r="DW86" s="12" t="s">
        <v>16</v>
      </c>
      <c r="DX86" s="12"/>
      <c r="DY86" s="12" t="s">
        <v>111</v>
      </c>
      <c r="DZ86" s="12">
        <v>1236375.27</v>
      </c>
      <c r="EA86" s="12" t="s">
        <v>99</v>
      </c>
      <c r="EB86" s="12">
        <v>0</v>
      </c>
      <c r="EC86" s="12"/>
      <c r="ED86" s="12" t="str">
        <f>INDEX('con 1'!CI:CI,MATCH(B86,'con 1'!A:A,0),1)</f>
        <v>OK. Twitter tax err.</v>
      </c>
      <c r="EE86" s="12" t="s">
        <v>1946</v>
      </c>
      <c r="EF86" s="12" t="s">
        <v>1947</v>
      </c>
      <c r="EG86" s="48">
        <f ca="1">AN86/INDEX(er!D:D,MATCH(AA86,er!C:C,0),1)</f>
        <v>1134.6431639226914</v>
      </c>
    </row>
    <row r="87" spans="1:137" ht="12.5" x14ac:dyDescent="0.25">
      <c r="A87" s="46" t="s">
        <v>103</v>
      </c>
      <c r="B87" s="46" t="s">
        <v>394</v>
      </c>
      <c r="C87" s="46" t="s">
        <v>94</v>
      </c>
      <c r="D87" s="46" t="s">
        <v>98</v>
      </c>
      <c r="E87" s="156">
        <v>46081</v>
      </c>
      <c r="F87" s="46" t="s">
        <v>1475</v>
      </c>
      <c r="G87" s="46" t="s">
        <v>1476</v>
      </c>
      <c r="H87" s="46" t="s">
        <v>396</v>
      </c>
      <c r="I87" s="46" t="s">
        <v>1477</v>
      </c>
      <c r="J87" s="46" t="s">
        <v>1478</v>
      </c>
      <c r="K87" s="46" t="s">
        <v>559</v>
      </c>
      <c r="L87" s="46" t="s">
        <v>686</v>
      </c>
      <c r="M87" s="2" t="s">
        <v>563</v>
      </c>
      <c r="N87" s="46" t="s">
        <v>861</v>
      </c>
      <c r="O87" s="46" t="s">
        <v>861</v>
      </c>
      <c r="P87" s="46" t="s">
        <v>93</v>
      </c>
      <c r="Q87" s="46" t="s">
        <v>100</v>
      </c>
      <c r="R87" s="46" t="s">
        <v>104</v>
      </c>
      <c r="S87" s="46" t="s">
        <v>107</v>
      </c>
      <c r="T87" s="46" t="s">
        <v>107</v>
      </c>
      <c r="U87" s="46" t="s">
        <v>436</v>
      </c>
      <c r="V87" s="46" t="s">
        <v>105</v>
      </c>
      <c r="W87" s="46" t="s">
        <v>439</v>
      </c>
      <c r="X87" s="46" t="s">
        <v>687</v>
      </c>
      <c r="Y87" s="46" t="s">
        <v>688</v>
      </c>
      <c r="Z87" s="46" t="s">
        <v>688</v>
      </c>
      <c r="AA87" s="46" t="s">
        <v>111</v>
      </c>
      <c r="AB87" s="12" t="s">
        <v>111</v>
      </c>
      <c r="AC87" s="12">
        <v>540391.47</v>
      </c>
      <c r="AD87" s="12">
        <v>540391.47</v>
      </c>
      <c r="AE87" s="12">
        <v>1</v>
      </c>
      <c r="AF87" s="12">
        <v>1</v>
      </c>
      <c r="AG87" s="12">
        <v>1</v>
      </c>
      <c r="AH87" s="12">
        <v>0.85</v>
      </c>
      <c r="AI87" s="12">
        <v>0.85</v>
      </c>
      <c r="AJ87" s="12">
        <v>0</v>
      </c>
      <c r="AK87" s="12"/>
      <c r="AL87" s="12">
        <v>540391.47</v>
      </c>
      <c r="AM87" s="12">
        <v>540391.47</v>
      </c>
      <c r="AN87" s="12">
        <v>540391.47</v>
      </c>
      <c r="AO87" s="12">
        <v>459332.74949999998</v>
      </c>
      <c r="AP87" s="12">
        <v>356655.67</v>
      </c>
      <c r="AQ87" s="12"/>
      <c r="AR87" s="12">
        <v>540391.47</v>
      </c>
      <c r="AS87" s="12">
        <v>386.8228131710809</v>
      </c>
      <c r="AT87" s="12">
        <v>328.79939119541876</v>
      </c>
      <c r="AU87" s="12">
        <v>81058.720499999996</v>
      </c>
      <c r="AV87" s="12">
        <v>81058.720499999996</v>
      </c>
      <c r="AW87" s="12">
        <v>58.023421975662131</v>
      </c>
      <c r="AX87" s="12">
        <v>15</v>
      </c>
      <c r="AY87" s="2" t="s">
        <v>2389</v>
      </c>
      <c r="AZ87" s="2" t="s">
        <v>101</v>
      </c>
      <c r="BA87" s="46"/>
      <c r="BB87" s="2" t="s">
        <v>2390</v>
      </c>
      <c r="BC87" s="2" t="s">
        <v>102</v>
      </c>
      <c r="BD87" s="46"/>
      <c r="BE87" s="46"/>
      <c r="BF87" s="12"/>
      <c r="BG87" s="12">
        <v>1</v>
      </c>
      <c r="BH87" s="12" t="s">
        <v>1479</v>
      </c>
      <c r="BI87" s="46" t="s">
        <v>861</v>
      </c>
      <c r="BJ87" s="46" t="s">
        <v>862</v>
      </c>
      <c r="BK87" s="46" t="s">
        <v>863</v>
      </c>
      <c r="BL87" s="46" t="s">
        <v>863</v>
      </c>
      <c r="BM87" s="46" t="s">
        <v>863</v>
      </c>
      <c r="BN87" s="46" t="s">
        <v>744</v>
      </c>
      <c r="BO87" s="46" t="s">
        <v>745</v>
      </c>
      <c r="BP87" s="46" t="s">
        <v>436</v>
      </c>
      <c r="BQ87" s="157">
        <v>46076</v>
      </c>
      <c r="BR87" s="156">
        <v>46096</v>
      </c>
      <c r="BS87" s="46" t="s">
        <v>746</v>
      </c>
      <c r="BT87" s="46"/>
      <c r="BU87" s="12">
        <v>1</v>
      </c>
      <c r="BV87" s="158" t="s">
        <v>1480</v>
      </c>
      <c r="BW87" s="12" t="s">
        <v>1481</v>
      </c>
      <c r="BX87" s="12">
        <v>0</v>
      </c>
      <c r="BY87" s="12">
        <v>0</v>
      </c>
      <c r="BZ87" s="12">
        <v>0</v>
      </c>
      <c r="CA87" s="12">
        <v>0</v>
      </c>
      <c r="CB87" s="12">
        <v>1028571.4285714285</v>
      </c>
      <c r="CC87" s="12">
        <v>1028571.428571</v>
      </c>
      <c r="CD87" s="12">
        <v>874285.714286</v>
      </c>
      <c r="CE87" s="12">
        <v>459332.74949999998</v>
      </c>
      <c r="CF87" s="12">
        <v>1</v>
      </c>
      <c r="CG87" s="12">
        <v>7.158196134574087E-4</v>
      </c>
      <c r="CH87" s="12">
        <v>7.158196134574087E-4</v>
      </c>
      <c r="CI87" s="12" t="b">
        <v>0</v>
      </c>
      <c r="CJ87" s="12" t="b">
        <v>0</v>
      </c>
      <c r="CK87" s="12" t="s">
        <v>690</v>
      </c>
      <c r="CL87" s="2" t="s">
        <v>107</v>
      </c>
      <c r="CM87" s="2" t="s">
        <v>1482</v>
      </c>
      <c r="CN87" s="12">
        <v>386.8228131710809</v>
      </c>
      <c r="CO87" s="12">
        <v>328.79939119541876</v>
      </c>
      <c r="CP87" s="12" t="s">
        <v>107</v>
      </c>
      <c r="CQ87" s="12" t="s">
        <v>861</v>
      </c>
      <c r="CR87" s="46" t="s">
        <v>864</v>
      </c>
      <c r="CS87" s="46" t="s">
        <v>862</v>
      </c>
      <c r="CT87" s="2">
        <v>30708983906</v>
      </c>
      <c r="CU87" s="2" t="s">
        <v>691</v>
      </c>
      <c r="CV87" s="49">
        <v>46087.728472222225</v>
      </c>
      <c r="CW87" s="49">
        <v>46086.686111111114</v>
      </c>
      <c r="CX87" s="2" t="b">
        <v>1</v>
      </c>
      <c r="CY87" s="2" t="b">
        <v>1</v>
      </c>
      <c r="CZ87" s="160">
        <v>46054</v>
      </c>
      <c r="DA87" s="12" t="s">
        <v>693</v>
      </c>
      <c r="DB87" s="12"/>
      <c r="DC87" s="12"/>
      <c r="DD87" s="12"/>
      <c r="DE87" s="12"/>
      <c r="DF87" s="12"/>
      <c r="DG87" s="12"/>
      <c r="DH87" s="12"/>
      <c r="DI87" s="46"/>
      <c r="DJ87" s="48"/>
      <c r="DK87" s="48"/>
      <c r="DL87" s="48"/>
      <c r="DM87" s="13" t="s">
        <v>16</v>
      </c>
      <c r="DN87" s="13" t="s">
        <v>16</v>
      </c>
      <c r="DO87" s="12"/>
      <c r="DP87" s="12" t="s">
        <v>394</v>
      </c>
      <c r="DQ87" s="12" t="s">
        <v>111</v>
      </c>
      <c r="DR87" s="12">
        <v>540391.47</v>
      </c>
      <c r="DS87" s="12" t="s">
        <v>99</v>
      </c>
      <c r="DT87" s="12">
        <v>0</v>
      </c>
      <c r="DU87" s="12"/>
      <c r="DV87" s="12"/>
      <c r="DW87" s="12" t="s">
        <v>16</v>
      </c>
      <c r="DX87" s="12"/>
      <c r="DY87" s="12" t="s">
        <v>111</v>
      </c>
      <c r="DZ87" s="12">
        <v>421505.35</v>
      </c>
      <c r="EA87" s="12" t="s">
        <v>99</v>
      </c>
      <c r="EB87" s="12">
        <v>37827.3995</v>
      </c>
      <c r="EC87" s="12"/>
      <c r="ED87" s="12" t="str">
        <f>INDEX('con 1'!CI:CI,MATCH(B87,'con 1'!A:A,0),1)</f>
        <v>OK. Twitter Comm. ERR</v>
      </c>
      <c r="EE87" s="12" t="s">
        <v>1946</v>
      </c>
      <c r="EF87" s="12" t="s">
        <v>1947</v>
      </c>
      <c r="EG87" s="48">
        <f ca="1">AN87/INDEX(er!D:D,MATCH(AA87,er!C:C,0),1)</f>
        <v>386.8228131710809</v>
      </c>
    </row>
    <row r="88" spans="1:137" ht="12.5" x14ac:dyDescent="0.25">
      <c r="A88" s="46" t="s">
        <v>103</v>
      </c>
      <c r="B88" s="46" t="s">
        <v>397</v>
      </c>
      <c r="C88" s="46" t="s">
        <v>94</v>
      </c>
      <c r="D88" s="46" t="s">
        <v>98</v>
      </c>
      <c r="E88" s="156">
        <v>46081</v>
      </c>
      <c r="F88" s="46" t="s">
        <v>1483</v>
      </c>
      <c r="G88" s="46" t="s">
        <v>1484</v>
      </c>
      <c r="H88" s="46" t="s">
        <v>399</v>
      </c>
      <c r="I88" s="46" t="s">
        <v>1485</v>
      </c>
      <c r="J88" s="46" t="s">
        <v>1486</v>
      </c>
      <c r="K88" s="46" t="s">
        <v>559</v>
      </c>
      <c r="L88" s="46" t="s">
        <v>686</v>
      </c>
      <c r="M88" s="2" t="s">
        <v>563</v>
      </c>
      <c r="N88" s="46" t="s">
        <v>1487</v>
      </c>
      <c r="O88" s="46" t="s">
        <v>1488</v>
      </c>
      <c r="P88" s="46" t="s">
        <v>93</v>
      </c>
      <c r="Q88" s="46" t="s">
        <v>96</v>
      </c>
      <c r="R88" s="46" t="s">
        <v>104</v>
      </c>
      <c r="S88" s="46" t="s">
        <v>107</v>
      </c>
      <c r="T88" s="46" t="s">
        <v>107</v>
      </c>
      <c r="U88" s="46" t="s">
        <v>436</v>
      </c>
      <c r="V88" s="46" t="s">
        <v>105</v>
      </c>
      <c r="W88" s="46" t="s">
        <v>439</v>
      </c>
      <c r="X88" s="46" t="s">
        <v>687</v>
      </c>
      <c r="Y88" s="46" t="s">
        <v>688</v>
      </c>
      <c r="Z88" s="46" t="s">
        <v>688</v>
      </c>
      <c r="AA88" s="46" t="s">
        <v>111</v>
      </c>
      <c r="AB88" s="12" t="s">
        <v>111</v>
      </c>
      <c r="AC88" s="12">
        <v>1065199.8799999999</v>
      </c>
      <c r="AD88" s="12">
        <v>1065199.8799999999</v>
      </c>
      <c r="AE88" s="12">
        <v>1</v>
      </c>
      <c r="AF88" s="12">
        <v>1</v>
      </c>
      <c r="AG88" s="12">
        <v>1</v>
      </c>
      <c r="AH88" s="12">
        <v>0.78</v>
      </c>
      <c r="AI88" s="12">
        <v>0.78</v>
      </c>
      <c r="AJ88" s="12">
        <v>0</v>
      </c>
      <c r="AK88" s="12"/>
      <c r="AL88" s="12">
        <v>1065199.8799999999</v>
      </c>
      <c r="AM88" s="12">
        <v>1065199.8799999999</v>
      </c>
      <c r="AN88" s="12">
        <v>1065199.8799999999</v>
      </c>
      <c r="AO88" s="12">
        <v>830855.90639999998</v>
      </c>
      <c r="AP88" s="12">
        <v>643886.74</v>
      </c>
      <c r="AQ88" s="12"/>
      <c r="AR88" s="12">
        <v>1065199.8799999999</v>
      </c>
      <c r="AS88" s="12">
        <v>762.49096635647811</v>
      </c>
      <c r="AT88" s="12">
        <v>594.74295375805298</v>
      </c>
      <c r="AU88" s="12">
        <v>234343.9736</v>
      </c>
      <c r="AV88" s="12">
        <v>234343.9736</v>
      </c>
      <c r="AW88" s="12">
        <v>167.74801259842519</v>
      </c>
      <c r="AX88" s="12">
        <v>22</v>
      </c>
      <c r="AY88" s="2" t="s">
        <v>2391</v>
      </c>
      <c r="AZ88" s="2" t="s">
        <v>101</v>
      </c>
      <c r="BA88" s="46"/>
      <c r="BB88" s="2" t="s">
        <v>2392</v>
      </c>
      <c r="BC88" s="2" t="s">
        <v>102</v>
      </c>
      <c r="BD88" s="46"/>
      <c r="BE88" s="46"/>
      <c r="BF88" s="12"/>
      <c r="BG88" s="12">
        <v>1</v>
      </c>
      <c r="BH88" s="12" t="s">
        <v>1489</v>
      </c>
      <c r="BI88" s="46" t="s">
        <v>1487</v>
      </c>
      <c r="BJ88" s="46" t="s">
        <v>1490</v>
      </c>
      <c r="BK88" s="46" t="s">
        <v>708</v>
      </c>
      <c r="BL88" s="46" t="s">
        <v>708</v>
      </c>
      <c r="BM88" s="46" t="s">
        <v>708</v>
      </c>
      <c r="BN88" s="46" t="s">
        <v>735</v>
      </c>
      <c r="BO88" s="46" t="s">
        <v>710</v>
      </c>
      <c r="BP88" s="46" t="s">
        <v>436</v>
      </c>
      <c r="BQ88" s="157">
        <v>46077</v>
      </c>
      <c r="BR88" s="156">
        <v>46089</v>
      </c>
      <c r="BS88" s="46" t="s">
        <v>689</v>
      </c>
      <c r="BT88" s="46"/>
      <c r="BU88" s="12">
        <v>1</v>
      </c>
      <c r="BV88" s="158" t="s">
        <v>1491</v>
      </c>
      <c r="BW88" s="12" t="s">
        <v>1492</v>
      </c>
      <c r="BX88" s="12">
        <v>0</v>
      </c>
      <c r="BY88" s="12">
        <v>0</v>
      </c>
      <c r="BZ88" s="12">
        <v>0</v>
      </c>
      <c r="CA88" s="12">
        <v>0</v>
      </c>
      <c r="CB88" s="12">
        <v>2461538.4</v>
      </c>
      <c r="CC88" s="12">
        <v>2461538.4</v>
      </c>
      <c r="CD88" s="12">
        <v>1919999.952</v>
      </c>
      <c r="CE88" s="12">
        <v>830855.90639999998</v>
      </c>
      <c r="CF88" s="12">
        <v>1</v>
      </c>
      <c r="CG88" s="12">
        <v>7.158196134574087E-4</v>
      </c>
      <c r="CH88" s="12">
        <v>7.158196134574087E-4</v>
      </c>
      <c r="CI88" s="12" t="b">
        <v>0</v>
      </c>
      <c r="CJ88" s="12" t="b">
        <v>0</v>
      </c>
      <c r="CK88" s="12" t="s">
        <v>690</v>
      </c>
      <c r="CL88" s="2" t="s">
        <v>107</v>
      </c>
      <c r="CM88" s="2" t="s">
        <v>1493</v>
      </c>
      <c r="CN88" s="12">
        <v>762.49096635647811</v>
      </c>
      <c r="CO88" s="12">
        <v>594.74295375805298</v>
      </c>
      <c r="CP88" s="12" t="s">
        <v>107</v>
      </c>
      <c r="CQ88" s="12" t="s">
        <v>1488</v>
      </c>
      <c r="CR88" s="46" t="s">
        <v>1494</v>
      </c>
      <c r="CS88" s="46" t="s">
        <v>1494</v>
      </c>
      <c r="CT88" s="2">
        <v>30718739221</v>
      </c>
      <c r="CU88" s="2" t="s">
        <v>691</v>
      </c>
      <c r="CV88" s="49">
        <v>46087.728472222225</v>
      </c>
      <c r="CW88" s="49">
        <v>46085.875</v>
      </c>
      <c r="CX88" s="2" t="b">
        <v>1</v>
      </c>
      <c r="CY88" s="2" t="b">
        <v>1</v>
      </c>
      <c r="CZ88" s="160">
        <v>46054</v>
      </c>
      <c r="DA88" s="12" t="s">
        <v>693</v>
      </c>
      <c r="DB88" s="12"/>
      <c r="DC88" s="12"/>
      <c r="DD88" s="12"/>
      <c r="DE88" s="12"/>
      <c r="DF88" s="12"/>
      <c r="DG88" s="12"/>
      <c r="DH88" s="12"/>
      <c r="DI88" s="46"/>
      <c r="DJ88" s="48" t="s">
        <v>105</v>
      </c>
      <c r="DK88" s="48" t="s">
        <v>111</v>
      </c>
      <c r="DL88" s="48">
        <v>1065199.8799999999</v>
      </c>
      <c r="DM88" s="13" t="s">
        <v>99</v>
      </c>
      <c r="DN88" s="13" t="s">
        <v>99</v>
      </c>
      <c r="DO88" s="12">
        <v>0</v>
      </c>
      <c r="DP88" s="12" t="s">
        <v>397</v>
      </c>
      <c r="DQ88" s="12" t="s">
        <v>111</v>
      </c>
      <c r="DR88" s="12">
        <v>1065199.8799999999</v>
      </c>
      <c r="DS88" s="12" t="s">
        <v>99</v>
      </c>
      <c r="DT88" s="12">
        <v>0</v>
      </c>
      <c r="DU88" s="12"/>
      <c r="DV88" s="12"/>
      <c r="DW88" s="12" t="s">
        <v>16</v>
      </c>
      <c r="DX88" s="12"/>
      <c r="DY88" s="12" t="s">
        <v>111</v>
      </c>
      <c r="DZ88" s="12">
        <v>830855.91</v>
      </c>
      <c r="EA88" s="12" t="s">
        <v>99</v>
      </c>
      <c r="EB88" s="12">
        <v>-3.6000000545755029E-3</v>
      </c>
      <c r="EC88" s="12"/>
      <c r="ED88" s="12" t="str">
        <f>INDEX('con 1'!CI:CI,MATCH(B88,'con 1'!A:A,0),1)</f>
        <v>OK. Twitter tax err.</v>
      </c>
      <c r="EE88" s="12" t="s">
        <v>1946</v>
      </c>
      <c r="EF88" s="12" t="s">
        <v>1947</v>
      </c>
      <c r="EG88" s="48">
        <f ca="1">AN88/INDEX(er!D:D,MATCH(AA88,er!C:C,0),1)</f>
        <v>762.49096635647811</v>
      </c>
    </row>
    <row r="89" spans="1:137" ht="12.5" x14ac:dyDescent="0.25">
      <c r="A89" s="46"/>
      <c r="B89" s="46"/>
      <c r="C89" s="46"/>
      <c r="D89" s="46"/>
      <c r="E89" s="15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46"/>
      <c r="BA89" s="46"/>
      <c r="BB89" s="46"/>
      <c r="BC89" s="46"/>
      <c r="BD89" s="46"/>
      <c r="BE89" s="46"/>
      <c r="BF89" s="12"/>
      <c r="BG89" s="12"/>
      <c r="BH89" s="12"/>
      <c r="BI89" s="46"/>
      <c r="BJ89" s="46"/>
      <c r="BK89" s="46"/>
      <c r="BL89" s="46"/>
      <c r="BM89" s="46"/>
      <c r="BN89" s="46"/>
      <c r="BO89" s="46"/>
      <c r="BP89" s="46"/>
      <c r="BQ89" s="157"/>
      <c r="BR89" s="156"/>
      <c r="BS89" s="46"/>
      <c r="BT89" s="46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2"/>
      <c r="CM89" s="12"/>
      <c r="CN89" s="12"/>
      <c r="CO89" s="12"/>
      <c r="CP89" s="12"/>
      <c r="CQ89" s="12"/>
      <c r="CR89" s="46"/>
      <c r="CS89" s="46"/>
      <c r="CT89" s="2"/>
      <c r="CU89" s="2"/>
      <c r="CV89" s="49"/>
      <c r="CW89" s="49"/>
      <c r="CX89" s="2"/>
      <c r="CY89" s="2"/>
      <c r="CZ89" s="160"/>
      <c r="DA89" s="12"/>
      <c r="DB89" s="12"/>
      <c r="DC89" s="12"/>
      <c r="DD89" s="12"/>
      <c r="DE89" s="12"/>
      <c r="DF89" s="12"/>
      <c r="DG89" s="12"/>
      <c r="DH89" s="12"/>
      <c r="DI89" s="46"/>
      <c r="DJ89" s="48"/>
      <c r="DK89" s="48"/>
      <c r="DL89" s="48"/>
      <c r="DM89" s="13"/>
      <c r="DN89" s="13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</row>
    <row r="90" spans="1:137" ht="12.5" x14ac:dyDescent="0.25">
      <c r="A90" s="46"/>
      <c r="B90" s="46"/>
      <c r="C90" s="46"/>
      <c r="D90" s="46"/>
      <c r="E90" s="15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46"/>
      <c r="BA90" s="46"/>
      <c r="BB90" s="46"/>
      <c r="BC90" s="46"/>
      <c r="BD90" s="46"/>
      <c r="BE90" s="46"/>
      <c r="BF90" s="12"/>
      <c r="BG90" s="12"/>
      <c r="BH90" s="12"/>
      <c r="BI90" s="46"/>
      <c r="BJ90" s="46"/>
      <c r="BK90" s="46"/>
      <c r="BL90" s="46"/>
      <c r="BM90" s="46"/>
      <c r="BN90" s="46"/>
      <c r="BO90" s="46"/>
      <c r="BP90" s="46"/>
      <c r="BQ90" s="157"/>
      <c r="BR90" s="156"/>
      <c r="BS90" s="46"/>
      <c r="BT90" s="46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2"/>
      <c r="CM90" s="12"/>
      <c r="CN90" s="12"/>
      <c r="CO90" s="12"/>
      <c r="CP90" s="12"/>
      <c r="CQ90" s="12"/>
      <c r="CR90" s="46"/>
      <c r="CS90" s="46"/>
      <c r="CT90" s="2"/>
      <c r="CU90" s="2"/>
      <c r="CV90" s="49"/>
      <c r="CW90" s="49"/>
      <c r="CX90" s="2"/>
      <c r="CY90" s="2"/>
      <c r="CZ90" s="160"/>
      <c r="DA90" s="12"/>
      <c r="DB90" s="12"/>
      <c r="DC90" s="12"/>
      <c r="DD90" s="12"/>
      <c r="DE90" s="12"/>
      <c r="DF90" s="12"/>
      <c r="DG90" s="12"/>
      <c r="DH90" s="12"/>
      <c r="DI90" s="46"/>
      <c r="DJ90" s="48"/>
      <c r="DK90" s="48"/>
      <c r="DL90" s="48"/>
      <c r="DM90" s="13"/>
      <c r="DN90" s="13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</row>
    <row r="91" spans="1:137" ht="12.5" x14ac:dyDescent="0.25">
      <c r="A91" s="46"/>
      <c r="B91" s="46"/>
      <c r="C91" s="46"/>
      <c r="D91" s="46"/>
      <c r="E91" s="15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46"/>
      <c r="BA91" s="46"/>
      <c r="BB91" s="46"/>
      <c r="BC91" s="46"/>
      <c r="BD91" s="46"/>
      <c r="BE91" s="46"/>
      <c r="BF91" s="12"/>
      <c r="BG91" s="12"/>
      <c r="BH91" s="12"/>
      <c r="BI91" s="46"/>
      <c r="BJ91" s="46"/>
      <c r="BK91" s="46"/>
      <c r="BL91" s="46"/>
      <c r="BM91" s="46"/>
      <c r="BN91" s="46"/>
      <c r="BO91" s="46"/>
      <c r="BP91" s="46"/>
      <c r="BQ91" s="157"/>
      <c r="BR91" s="156"/>
      <c r="BS91" s="46"/>
      <c r="BT91" s="46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2"/>
      <c r="CM91" s="12"/>
      <c r="CN91" s="12"/>
      <c r="CO91" s="12"/>
      <c r="CP91" s="12"/>
      <c r="CQ91" s="12"/>
      <c r="CR91" s="46"/>
      <c r="CS91" s="46"/>
      <c r="CT91" s="2"/>
      <c r="CU91" s="2"/>
      <c r="CV91" s="49"/>
      <c r="CW91" s="49"/>
      <c r="CX91" s="2"/>
      <c r="CY91" s="2"/>
      <c r="CZ91" s="160"/>
      <c r="DA91" s="12"/>
      <c r="DB91" s="12"/>
      <c r="DC91" s="12"/>
      <c r="DD91" s="12"/>
      <c r="DE91" s="12"/>
      <c r="DF91" s="12"/>
      <c r="DG91" s="12"/>
      <c r="DH91" s="12"/>
      <c r="DI91" s="46"/>
      <c r="DJ91" s="48"/>
      <c r="DK91" s="48"/>
      <c r="DL91" s="48"/>
      <c r="DM91" s="13"/>
      <c r="DN91" s="13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</row>
    <row r="92" spans="1:137" ht="12.5" x14ac:dyDescent="0.25">
      <c r="A92" s="46"/>
      <c r="B92" s="46"/>
      <c r="C92" s="46"/>
      <c r="D92" s="46"/>
      <c r="E92" s="15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46"/>
      <c r="BA92" s="46"/>
      <c r="BB92" s="46"/>
      <c r="BC92" s="46"/>
      <c r="BD92" s="46"/>
      <c r="BE92" s="46"/>
      <c r="BF92" s="12"/>
      <c r="BG92" s="12"/>
      <c r="BH92" s="12"/>
      <c r="BI92" s="46"/>
      <c r="BJ92" s="46"/>
      <c r="BK92" s="46"/>
      <c r="BL92" s="46"/>
      <c r="BM92" s="46"/>
      <c r="BN92" s="46"/>
      <c r="BO92" s="46"/>
      <c r="BP92" s="46"/>
      <c r="BQ92" s="157"/>
      <c r="BR92" s="156"/>
      <c r="BS92" s="46"/>
      <c r="BT92" s="46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2"/>
      <c r="CM92" s="12"/>
      <c r="CN92" s="12"/>
      <c r="CO92" s="12"/>
      <c r="CP92" s="12"/>
      <c r="CQ92" s="12"/>
      <c r="CR92" s="46"/>
      <c r="CS92" s="46"/>
      <c r="CT92" s="2"/>
      <c r="CU92" s="2"/>
      <c r="CV92" s="49"/>
      <c r="CW92" s="49"/>
      <c r="CX92" s="2"/>
      <c r="CY92" s="2"/>
      <c r="CZ92" s="160"/>
      <c r="DA92" s="12"/>
      <c r="DB92" s="12"/>
      <c r="DC92" s="12"/>
      <c r="DD92" s="12"/>
      <c r="DE92" s="12"/>
      <c r="DF92" s="12"/>
      <c r="DG92" s="12"/>
      <c r="DH92" s="12"/>
      <c r="DI92" s="46"/>
      <c r="DJ92" s="48"/>
      <c r="DK92" s="48"/>
      <c r="DL92" s="48"/>
      <c r="DM92" s="13"/>
      <c r="DN92" s="13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</row>
    <row r="93" spans="1:137" ht="12.5" x14ac:dyDescent="0.25">
      <c r="A93" s="46"/>
      <c r="B93" s="46"/>
      <c r="C93" s="46"/>
      <c r="D93" s="46"/>
      <c r="E93" s="15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46"/>
      <c r="BA93" s="46"/>
      <c r="BB93" s="46"/>
      <c r="BC93" s="46"/>
      <c r="BD93" s="46"/>
      <c r="BE93" s="46"/>
      <c r="BF93" s="12"/>
      <c r="BG93" s="12"/>
      <c r="BH93" s="12"/>
      <c r="BI93" s="46"/>
      <c r="BJ93" s="46"/>
      <c r="BK93" s="46"/>
      <c r="BL93" s="46"/>
      <c r="BM93" s="46"/>
      <c r="BN93" s="46"/>
      <c r="BO93" s="46"/>
      <c r="BP93" s="46"/>
      <c r="BQ93" s="157"/>
      <c r="BR93" s="156"/>
      <c r="BS93" s="46"/>
      <c r="BT93" s="46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2"/>
      <c r="CM93" s="12"/>
      <c r="CN93" s="12"/>
      <c r="CO93" s="12"/>
      <c r="CP93" s="12"/>
      <c r="CQ93" s="12"/>
      <c r="CR93" s="46"/>
      <c r="CS93" s="46"/>
      <c r="CT93" s="2"/>
      <c r="CU93" s="2"/>
      <c r="CV93" s="49"/>
      <c r="CW93" s="49"/>
      <c r="CX93" s="2"/>
      <c r="CY93" s="2"/>
      <c r="CZ93" s="160"/>
      <c r="DA93" s="12"/>
      <c r="DB93" s="12"/>
      <c r="DC93" s="12"/>
      <c r="DD93" s="12"/>
      <c r="DE93" s="12"/>
      <c r="DF93" s="12"/>
      <c r="DG93" s="12"/>
      <c r="DH93" s="12"/>
      <c r="DI93" s="46"/>
      <c r="DJ93" s="48"/>
      <c r="DK93" s="48"/>
      <c r="DL93" s="48"/>
      <c r="DM93" s="13"/>
      <c r="DN93" s="13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</row>
    <row r="94" spans="1:137" ht="12.5" x14ac:dyDescent="0.25">
      <c r="A94" s="46"/>
      <c r="B94" s="46"/>
      <c r="C94" s="46"/>
      <c r="D94" s="46"/>
      <c r="E94" s="15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46"/>
      <c r="BA94" s="46"/>
      <c r="BB94" s="46"/>
      <c r="BC94" s="46"/>
      <c r="BD94" s="46"/>
      <c r="BE94" s="46"/>
      <c r="BF94" s="12"/>
      <c r="BG94" s="12"/>
      <c r="BH94" s="12"/>
      <c r="BI94" s="46"/>
      <c r="BJ94" s="46"/>
      <c r="BK94" s="46"/>
      <c r="BL94" s="46"/>
      <c r="BM94" s="46"/>
      <c r="BN94" s="46"/>
      <c r="BO94" s="46"/>
      <c r="BP94" s="46"/>
      <c r="BQ94" s="157"/>
      <c r="BR94" s="156"/>
      <c r="BS94" s="46"/>
      <c r="BT94" s="46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2"/>
      <c r="CM94" s="12"/>
      <c r="CN94" s="12"/>
      <c r="CO94" s="12"/>
      <c r="CP94" s="12"/>
      <c r="CQ94" s="12"/>
      <c r="CR94" s="46"/>
      <c r="CS94" s="46"/>
      <c r="CT94" s="2"/>
      <c r="CU94" s="2"/>
      <c r="CV94" s="49"/>
      <c r="CW94" s="49"/>
      <c r="CX94" s="2"/>
      <c r="CY94" s="2"/>
      <c r="CZ94" s="160"/>
      <c r="DA94" s="12"/>
      <c r="DB94" s="12"/>
      <c r="DC94" s="12"/>
      <c r="DD94" s="12"/>
      <c r="DE94" s="12"/>
      <c r="DF94" s="12"/>
      <c r="DG94" s="12"/>
      <c r="DH94" s="12"/>
      <c r="DI94" s="46"/>
      <c r="DJ94" s="48"/>
      <c r="DK94" s="48"/>
      <c r="DL94" s="48"/>
      <c r="DM94" s="13"/>
      <c r="DN94" s="13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</row>
    <row r="95" spans="1:137" ht="12.5" x14ac:dyDescent="0.25">
      <c r="A95" s="46"/>
      <c r="B95" s="46"/>
      <c r="C95" s="46"/>
      <c r="D95" s="46"/>
      <c r="E95" s="15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46"/>
      <c r="BA95" s="46"/>
      <c r="BB95" s="46"/>
      <c r="BC95" s="46"/>
      <c r="BD95" s="46"/>
      <c r="BE95" s="46"/>
      <c r="BF95" s="12"/>
      <c r="BG95" s="12"/>
      <c r="BH95" s="12"/>
      <c r="BI95" s="46"/>
      <c r="BJ95" s="46"/>
      <c r="BK95" s="46"/>
      <c r="BL95" s="46"/>
      <c r="BM95" s="46"/>
      <c r="BN95" s="46"/>
      <c r="BO95" s="46"/>
      <c r="BP95" s="46"/>
      <c r="BQ95" s="157"/>
      <c r="BR95" s="156"/>
      <c r="BS95" s="46"/>
      <c r="BT95" s="46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2"/>
      <c r="CM95" s="12"/>
      <c r="CN95" s="12"/>
      <c r="CO95" s="12"/>
      <c r="CP95" s="12"/>
      <c r="CQ95" s="12"/>
      <c r="CR95" s="46"/>
      <c r="CS95" s="46"/>
      <c r="CT95" s="2"/>
      <c r="CU95" s="2"/>
      <c r="CV95" s="49"/>
      <c r="CW95" s="49"/>
      <c r="CX95" s="2"/>
      <c r="CY95" s="2"/>
      <c r="CZ95" s="160"/>
      <c r="DA95" s="12"/>
      <c r="DB95" s="12"/>
      <c r="DC95" s="12"/>
      <c r="DD95" s="12"/>
      <c r="DE95" s="12"/>
      <c r="DF95" s="12"/>
      <c r="DG95" s="12"/>
      <c r="DH95" s="12"/>
      <c r="DI95" s="46"/>
      <c r="DJ95" s="48"/>
      <c r="DK95" s="48"/>
      <c r="DL95" s="48"/>
      <c r="DM95" s="13"/>
      <c r="DN95" s="13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</row>
    <row r="96" spans="1:137" ht="12.5" x14ac:dyDescent="0.25">
      <c r="A96" s="46"/>
      <c r="B96" s="46"/>
      <c r="C96" s="46"/>
      <c r="D96" s="46"/>
      <c r="E96" s="15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46"/>
      <c r="BA96" s="46"/>
      <c r="BB96" s="46"/>
      <c r="BC96" s="46"/>
      <c r="BD96" s="46"/>
      <c r="BE96" s="46"/>
      <c r="BF96" s="12"/>
      <c r="BG96" s="12"/>
      <c r="BH96" s="12"/>
      <c r="BI96" s="46"/>
      <c r="BJ96" s="46"/>
      <c r="BK96" s="46"/>
      <c r="BL96" s="46"/>
      <c r="BM96" s="46"/>
      <c r="BN96" s="46"/>
      <c r="BO96" s="46"/>
      <c r="BP96" s="46"/>
      <c r="BQ96" s="157"/>
      <c r="BR96" s="156"/>
      <c r="BS96" s="46"/>
      <c r="BT96" s="46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2"/>
      <c r="CM96" s="12"/>
      <c r="CN96" s="12"/>
      <c r="CO96" s="12"/>
      <c r="CP96" s="12"/>
      <c r="CQ96" s="12"/>
      <c r="CR96" s="46"/>
      <c r="CS96" s="46"/>
      <c r="CT96" s="2"/>
      <c r="CU96" s="2"/>
      <c r="CV96" s="49"/>
      <c r="CW96" s="49"/>
      <c r="CX96" s="2"/>
      <c r="CY96" s="2"/>
      <c r="CZ96" s="160"/>
      <c r="DA96" s="12"/>
      <c r="DB96" s="12"/>
      <c r="DC96" s="12"/>
      <c r="DD96" s="12"/>
      <c r="DE96" s="12"/>
      <c r="DF96" s="12"/>
      <c r="DG96" s="12"/>
      <c r="DH96" s="12"/>
      <c r="DI96" s="46"/>
      <c r="DJ96" s="48"/>
      <c r="DK96" s="48"/>
      <c r="DL96" s="48"/>
      <c r="DM96" s="13"/>
      <c r="DN96" s="13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</row>
    <row r="97" spans="1:134" ht="12.5" x14ac:dyDescent="0.25">
      <c r="A97" s="46"/>
      <c r="B97" s="46"/>
      <c r="C97" s="46"/>
      <c r="D97" s="46"/>
      <c r="E97" s="15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46"/>
      <c r="BA97" s="46"/>
      <c r="BB97" s="46"/>
      <c r="BC97" s="46"/>
      <c r="BD97" s="46"/>
      <c r="BE97" s="46"/>
      <c r="BF97" s="12"/>
      <c r="BG97" s="12"/>
      <c r="BH97" s="12"/>
      <c r="BI97" s="46"/>
      <c r="BJ97" s="46"/>
      <c r="BK97" s="46"/>
      <c r="BL97" s="46"/>
      <c r="BM97" s="46"/>
      <c r="BN97" s="46"/>
      <c r="BO97" s="46"/>
      <c r="BP97" s="46"/>
      <c r="BQ97" s="157"/>
      <c r="BR97" s="156"/>
      <c r="BS97" s="46"/>
      <c r="BT97" s="46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2"/>
      <c r="CM97" s="12"/>
      <c r="CN97" s="12"/>
      <c r="CO97" s="12"/>
      <c r="CP97" s="12"/>
      <c r="CQ97" s="12"/>
      <c r="CR97" s="46"/>
      <c r="CS97" s="46"/>
      <c r="CT97" s="2"/>
      <c r="CU97" s="2"/>
      <c r="CV97" s="49"/>
      <c r="CW97" s="49"/>
      <c r="CX97" s="2"/>
      <c r="CY97" s="2"/>
      <c r="CZ97" s="160"/>
      <c r="DA97" s="12"/>
      <c r="DB97" s="12"/>
      <c r="DC97" s="12"/>
      <c r="DD97" s="12"/>
      <c r="DE97" s="12"/>
      <c r="DF97" s="12"/>
      <c r="DG97" s="12"/>
      <c r="DH97" s="12"/>
      <c r="DI97" s="46"/>
      <c r="DJ97" s="48"/>
      <c r="DK97" s="48"/>
      <c r="DL97" s="48"/>
      <c r="DM97" s="13"/>
      <c r="DN97" s="13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</row>
    <row r="98" spans="1:134" ht="12.5" x14ac:dyDescent="0.25">
      <c r="A98" s="46"/>
      <c r="B98" s="46"/>
      <c r="C98" s="46"/>
      <c r="D98" s="46"/>
      <c r="E98" s="15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46"/>
      <c r="BA98" s="46"/>
      <c r="BB98" s="46"/>
      <c r="BC98" s="46"/>
      <c r="BD98" s="46"/>
      <c r="BE98" s="46"/>
      <c r="BF98" s="12"/>
      <c r="BG98" s="12"/>
      <c r="BH98" s="12"/>
      <c r="BI98" s="46"/>
      <c r="BJ98" s="46"/>
      <c r="BK98" s="46"/>
      <c r="BL98" s="46"/>
      <c r="BM98" s="46"/>
      <c r="BN98" s="46"/>
      <c r="BO98" s="46"/>
      <c r="BP98" s="46"/>
      <c r="BQ98" s="157"/>
      <c r="BR98" s="156"/>
      <c r="BS98" s="46"/>
      <c r="BT98" s="46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2"/>
      <c r="CM98" s="12"/>
      <c r="CN98" s="12"/>
      <c r="CO98" s="12"/>
      <c r="CP98" s="12"/>
      <c r="CQ98" s="12"/>
      <c r="CR98" s="46"/>
      <c r="CS98" s="46"/>
      <c r="CT98" s="2"/>
      <c r="CU98" s="2"/>
      <c r="CV98" s="49"/>
      <c r="CW98" s="49"/>
      <c r="CX98" s="2"/>
      <c r="CY98" s="2"/>
      <c r="CZ98" s="160"/>
      <c r="DA98" s="12"/>
      <c r="DB98" s="12"/>
      <c r="DC98" s="12"/>
      <c r="DD98" s="12"/>
      <c r="DE98" s="12"/>
      <c r="DF98" s="12"/>
      <c r="DG98" s="12"/>
      <c r="DH98" s="12"/>
      <c r="DI98" s="46"/>
      <c r="DJ98" s="48"/>
      <c r="DK98" s="48"/>
      <c r="DL98" s="48"/>
      <c r="DM98" s="13"/>
      <c r="DN98" s="13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</row>
    <row r="99" spans="1:134" ht="12.5" x14ac:dyDescent="0.25">
      <c r="A99" s="46"/>
      <c r="B99" s="46"/>
      <c r="C99" s="46"/>
      <c r="D99" s="46"/>
      <c r="E99" s="15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46"/>
      <c r="BA99" s="46"/>
      <c r="BB99" s="46"/>
      <c r="BC99" s="46"/>
      <c r="BD99" s="46"/>
      <c r="BE99" s="46"/>
      <c r="BF99" s="12"/>
      <c r="BG99" s="12"/>
      <c r="BH99" s="12"/>
      <c r="BI99" s="46"/>
      <c r="BJ99" s="46"/>
      <c r="BK99" s="46"/>
      <c r="BL99" s="46"/>
      <c r="BM99" s="46"/>
      <c r="BN99" s="46"/>
      <c r="BO99" s="46"/>
      <c r="BP99" s="46"/>
      <c r="BQ99" s="157"/>
      <c r="BR99" s="156"/>
      <c r="BS99" s="46"/>
      <c r="BT99" s="46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2"/>
      <c r="CM99" s="12"/>
      <c r="CN99" s="12"/>
      <c r="CO99" s="12"/>
      <c r="CP99" s="12"/>
      <c r="CQ99" s="12"/>
      <c r="CR99" s="46"/>
      <c r="CS99" s="46"/>
      <c r="CT99" s="2"/>
      <c r="CU99" s="2"/>
      <c r="CV99" s="49"/>
      <c r="CW99" s="49"/>
      <c r="CX99" s="2"/>
      <c r="CY99" s="2"/>
      <c r="CZ99" s="160"/>
      <c r="DA99" s="12"/>
      <c r="DB99" s="12"/>
      <c r="DC99" s="12"/>
      <c r="DD99" s="12"/>
      <c r="DE99" s="12"/>
      <c r="DF99" s="12"/>
      <c r="DG99" s="12"/>
      <c r="DH99" s="12"/>
      <c r="DI99" s="46"/>
      <c r="DJ99" s="48"/>
      <c r="DK99" s="48"/>
      <c r="DL99" s="48"/>
      <c r="DM99" s="13"/>
      <c r="DN99" s="13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</row>
    <row r="100" spans="1:134" ht="12.5" x14ac:dyDescent="0.25">
      <c r="A100" s="46"/>
      <c r="B100" s="46"/>
      <c r="C100" s="46"/>
      <c r="D100" s="46"/>
      <c r="E100" s="15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46"/>
      <c r="BA100" s="46"/>
      <c r="BB100" s="46"/>
      <c r="BC100" s="46"/>
      <c r="BD100" s="46"/>
      <c r="BE100" s="46"/>
      <c r="BF100" s="12"/>
      <c r="BG100" s="12"/>
      <c r="BH100" s="12"/>
      <c r="BI100" s="46"/>
      <c r="BJ100" s="46"/>
      <c r="BK100" s="46"/>
      <c r="BL100" s="46"/>
      <c r="BM100" s="46"/>
      <c r="BN100" s="46"/>
      <c r="BO100" s="46"/>
      <c r="BP100" s="46"/>
      <c r="BQ100" s="157"/>
      <c r="BR100" s="156"/>
      <c r="BS100" s="46"/>
      <c r="BT100" s="46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2"/>
      <c r="CM100" s="12"/>
      <c r="CN100" s="12"/>
      <c r="CO100" s="12"/>
      <c r="CP100" s="12"/>
      <c r="CQ100" s="12"/>
      <c r="CR100" s="46"/>
      <c r="CS100" s="46"/>
      <c r="CT100" s="2"/>
      <c r="CU100" s="2"/>
      <c r="CV100" s="49"/>
      <c r="CW100" s="49"/>
      <c r="CX100" s="2"/>
      <c r="CY100" s="2"/>
      <c r="CZ100" s="160"/>
      <c r="DA100" s="12"/>
      <c r="DB100" s="12"/>
      <c r="DC100" s="12"/>
      <c r="DD100" s="12"/>
      <c r="DE100" s="12"/>
      <c r="DF100" s="12"/>
      <c r="DG100" s="12"/>
      <c r="DH100" s="12"/>
      <c r="DI100" s="46"/>
      <c r="DJ100" s="48"/>
      <c r="DK100" s="48"/>
      <c r="DL100" s="48"/>
      <c r="DM100" s="13"/>
      <c r="DN100" s="13"/>
      <c r="DO100" s="12"/>
      <c r="DP100" s="12"/>
      <c r="DQ100" s="12"/>
      <c r="DR100" s="12"/>
      <c r="DS100" s="12"/>
      <c r="DT100" s="12"/>
      <c r="DU100" s="12"/>
      <c r="DV100" s="12"/>
      <c r="DW100" s="12"/>
      <c r="DX100" s="12"/>
      <c r="DY100" s="12"/>
      <c r="DZ100" s="12"/>
      <c r="EA100" s="12"/>
      <c r="EB100" s="12"/>
      <c r="EC100" s="12"/>
      <c r="ED100" s="12"/>
    </row>
    <row r="101" spans="1:134" ht="12.5" x14ac:dyDescent="0.25">
      <c r="A101" s="46"/>
      <c r="B101" s="46"/>
      <c r="C101" s="46"/>
      <c r="D101" s="46"/>
      <c r="E101" s="15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46"/>
      <c r="BA101" s="46"/>
      <c r="BB101" s="46"/>
      <c r="BC101" s="46"/>
      <c r="BD101" s="46"/>
      <c r="BE101" s="46"/>
      <c r="BF101" s="12"/>
      <c r="BG101" s="12"/>
      <c r="BH101" s="12"/>
      <c r="BI101" s="46"/>
      <c r="BJ101" s="46"/>
      <c r="BK101" s="46"/>
      <c r="BL101" s="46"/>
      <c r="BM101" s="46"/>
      <c r="BN101" s="46"/>
      <c r="BO101" s="46"/>
      <c r="BP101" s="46"/>
      <c r="BQ101" s="157"/>
      <c r="BR101" s="156"/>
      <c r="BS101" s="46"/>
      <c r="BT101" s="46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2"/>
      <c r="CM101" s="12"/>
      <c r="CN101" s="12"/>
      <c r="CO101" s="12"/>
      <c r="CP101" s="12"/>
      <c r="CQ101" s="12"/>
      <c r="CR101" s="46"/>
      <c r="CS101" s="46"/>
      <c r="CT101" s="2"/>
      <c r="CU101" s="2"/>
      <c r="CV101" s="49"/>
      <c r="CW101" s="49"/>
      <c r="CX101" s="2"/>
      <c r="CY101" s="2"/>
      <c r="CZ101" s="160"/>
      <c r="DA101" s="12"/>
      <c r="DB101" s="12"/>
      <c r="DC101" s="12"/>
      <c r="DD101" s="12"/>
      <c r="DE101" s="12"/>
      <c r="DF101" s="12"/>
      <c r="DG101" s="12"/>
      <c r="DH101" s="12"/>
      <c r="DI101" s="46"/>
      <c r="DJ101" s="48"/>
      <c r="DK101" s="48"/>
      <c r="DL101" s="48"/>
      <c r="DM101" s="13"/>
      <c r="DN101" s="13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</row>
    <row r="102" spans="1:134" ht="12.5" x14ac:dyDescent="0.25">
      <c r="A102" s="46"/>
      <c r="B102" s="46"/>
      <c r="C102" s="46"/>
      <c r="D102" s="46"/>
      <c r="E102" s="15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46"/>
      <c r="BA102" s="46"/>
      <c r="BB102" s="46"/>
      <c r="BC102" s="46"/>
      <c r="BD102" s="46"/>
      <c r="BE102" s="46"/>
      <c r="BF102" s="12"/>
      <c r="BG102" s="12"/>
      <c r="BH102" s="12"/>
      <c r="BI102" s="46"/>
      <c r="BJ102" s="46"/>
      <c r="BK102" s="46"/>
      <c r="BL102" s="46"/>
      <c r="BM102" s="46"/>
      <c r="BN102" s="46"/>
      <c r="BO102" s="46"/>
      <c r="BP102" s="46"/>
      <c r="BQ102" s="157"/>
      <c r="BR102" s="156"/>
      <c r="BS102" s="46"/>
      <c r="BT102" s="46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2"/>
      <c r="CM102" s="12"/>
      <c r="CN102" s="12"/>
      <c r="CO102" s="12"/>
      <c r="CP102" s="12"/>
      <c r="CQ102" s="12"/>
      <c r="CR102" s="46"/>
      <c r="CS102" s="46"/>
      <c r="CT102" s="2"/>
      <c r="CU102" s="2"/>
      <c r="CV102" s="49"/>
      <c r="CW102" s="49"/>
      <c r="CX102" s="2"/>
      <c r="CY102" s="2"/>
      <c r="CZ102" s="160"/>
      <c r="DA102" s="12"/>
      <c r="DB102" s="12"/>
      <c r="DC102" s="12"/>
      <c r="DD102" s="12"/>
      <c r="DE102" s="12"/>
      <c r="DF102" s="12"/>
      <c r="DG102" s="12"/>
      <c r="DH102" s="12"/>
      <c r="DI102" s="46"/>
      <c r="DJ102" s="48"/>
      <c r="DK102" s="48"/>
      <c r="DL102" s="48"/>
      <c r="DM102" s="13"/>
      <c r="DN102" s="13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</row>
    <row r="103" spans="1:134" ht="12.5" x14ac:dyDescent="0.25">
      <c r="A103" s="46"/>
      <c r="B103" s="46"/>
      <c r="C103" s="46"/>
      <c r="D103" s="46"/>
      <c r="E103" s="15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46"/>
      <c r="BA103" s="46"/>
      <c r="BB103" s="46"/>
      <c r="BC103" s="46"/>
      <c r="BD103" s="46"/>
      <c r="BE103" s="46"/>
      <c r="BF103" s="12"/>
      <c r="BG103" s="12"/>
      <c r="BH103" s="12"/>
      <c r="BI103" s="46"/>
      <c r="BJ103" s="46"/>
      <c r="BK103" s="46"/>
      <c r="BL103" s="46"/>
      <c r="BM103" s="46"/>
      <c r="BN103" s="46"/>
      <c r="BO103" s="46"/>
      <c r="BP103" s="46"/>
      <c r="BQ103" s="157"/>
      <c r="BR103" s="156"/>
      <c r="BS103" s="46"/>
      <c r="BT103" s="46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2"/>
      <c r="CM103" s="12"/>
      <c r="CN103" s="12"/>
      <c r="CO103" s="12"/>
      <c r="CP103" s="12"/>
      <c r="CQ103" s="12"/>
      <c r="CR103" s="46"/>
      <c r="CS103" s="46"/>
      <c r="CT103" s="2"/>
      <c r="CU103" s="2"/>
      <c r="CV103" s="49"/>
      <c r="CW103" s="49"/>
      <c r="CX103" s="2"/>
      <c r="CY103" s="2"/>
      <c r="CZ103" s="160"/>
      <c r="DA103" s="12"/>
      <c r="DB103" s="12"/>
      <c r="DC103" s="12"/>
      <c r="DD103" s="12"/>
      <c r="DE103" s="12"/>
      <c r="DF103" s="12"/>
      <c r="DG103" s="12"/>
      <c r="DH103" s="12"/>
      <c r="DI103" s="46"/>
      <c r="DJ103" s="48"/>
      <c r="DK103" s="48"/>
      <c r="DL103" s="48"/>
      <c r="DM103" s="13"/>
      <c r="DN103" s="13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</row>
    <row r="104" spans="1:134" ht="12.5" x14ac:dyDescent="0.25">
      <c r="A104" s="46"/>
      <c r="B104" s="46"/>
      <c r="C104" s="46"/>
      <c r="D104" s="46"/>
      <c r="E104" s="15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46"/>
      <c r="BA104" s="46"/>
      <c r="BB104" s="46"/>
      <c r="BC104" s="46"/>
      <c r="BD104" s="46"/>
      <c r="BE104" s="46"/>
      <c r="BF104" s="12"/>
      <c r="BG104" s="12"/>
      <c r="BH104" s="12"/>
      <c r="BI104" s="46"/>
      <c r="BJ104" s="46"/>
      <c r="BK104" s="46"/>
      <c r="BL104" s="46"/>
      <c r="BM104" s="46"/>
      <c r="BN104" s="46"/>
      <c r="BO104" s="46"/>
      <c r="BP104" s="46"/>
      <c r="BQ104" s="157"/>
      <c r="BR104" s="156"/>
      <c r="BS104" s="46"/>
      <c r="BT104" s="46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2"/>
      <c r="CM104" s="12"/>
      <c r="CN104" s="12"/>
      <c r="CO104" s="12"/>
      <c r="CP104" s="12"/>
      <c r="CQ104" s="12"/>
      <c r="CR104" s="46"/>
      <c r="CS104" s="46"/>
      <c r="CT104" s="2"/>
      <c r="CU104" s="2"/>
      <c r="CV104" s="49"/>
      <c r="CW104" s="49"/>
      <c r="CX104" s="2"/>
      <c r="CY104" s="2"/>
      <c r="CZ104" s="160"/>
      <c r="DA104" s="12"/>
      <c r="DB104" s="12"/>
      <c r="DC104" s="12"/>
      <c r="DD104" s="12"/>
      <c r="DE104" s="12"/>
      <c r="DF104" s="12"/>
      <c r="DG104" s="12"/>
      <c r="DH104" s="12"/>
      <c r="DI104" s="46"/>
      <c r="DJ104" s="48"/>
      <c r="DK104" s="48"/>
      <c r="DL104" s="48"/>
      <c r="DM104" s="13"/>
      <c r="DN104" s="13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</row>
    <row r="105" spans="1:134" ht="12.5" x14ac:dyDescent="0.25">
      <c r="A105" s="46"/>
      <c r="B105" s="46"/>
      <c r="C105" s="46"/>
      <c r="D105" s="46"/>
      <c r="E105" s="15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46"/>
      <c r="BA105" s="46"/>
      <c r="BB105" s="46"/>
      <c r="BC105" s="46"/>
      <c r="BD105" s="46"/>
      <c r="BE105" s="46"/>
      <c r="BF105" s="12"/>
      <c r="BG105" s="12"/>
      <c r="BH105" s="12"/>
      <c r="BI105" s="46"/>
      <c r="BJ105" s="46"/>
      <c r="BK105" s="46"/>
      <c r="BL105" s="46"/>
      <c r="BM105" s="46"/>
      <c r="BN105" s="46"/>
      <c r="BO105" s="46"/>
      <c r="BP105" s="46"/>
      <c r="BQ105" s="157"/>
      <c r="BR105" s="156"/>
      <c r="BS105" s="46"/>
      <c r="BT105" s="46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2"/>
      <c r="CM105" s="12"/>
      <c r="CN105" s="12"/>
      <c r="CO105" s="12"/>
      <c r="CP105" s="12"/>
      <c r="CQ105" s="12"/>
      <c r="CR105" s="46"/>
      <c r="CS105" s="46"/>
      <c r="CT105" s="2"/>
      <c r="CU105" s="2"/>
      <c r="CV105" s="49"/>
      <c r="CW105" s="49"/>
      <c r="CX105" s="2"/>
      <c r="CY105" s="2"/>
      <c r="CZ105" s="160"/>
      <c r="DA105" s="12"/>
      <c r="DB105" s="12"/>
      <c r="DC105" s="12"/>
      <c r="DD105" s="12"/>
      <c r="DE105" s="12"/>
      <c r="DF105" s="12"/>
      <c r="DG105" s="12"/>
      <c r="DH105" s="12"/>
      <c r="DI105" s="46"/>
      <c r="DJ105" s="48"/>
      <c r="DK105" s="48"/>
      <c r="DL105" s="48"/>
      <c r="DM105" s="13"/>
      <c r="DN105" s="13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</row>
    <row r="106" spans="1:134" ht="12.5" x14ac:dyDescent="0.25">
      <c r="A106" s="46"/>
      <c r="B106" s="46"/>
      <c r="C106" s="46"/>
      <c r="D106" s="46"/>
      <c r="E106" s="15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46"/>
      <c r="BA106" s="46"/>
      <c r="BB106" s="46"/>
      <c r="BC106" s="46"/>
      <c r="BD106" s="46"/>
      <c r="BE106" s="46"/>
      <c r="BF106" s="12"/>
      <c r="BG106" s="12"/>
      <c r="BH106" s="12"/>
      <c r="BI106" s="46"/>
      <c r="BJ106" s="46"/>
      <c r="BK106" s="46"/>
      <c r="BL106" s="46"/>
      <c r="BM106" s="46"/>
      <c r="BN106" s="46"/>
      <c r="BO106" s="46"/>
      <c r="BP106" s="46"/>
      <c r="BQ106" s="157"/>
      <c r="BR106" s="156"/>
      <c r="BS106" s="46"/>
      <c r="BT106" s="46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2"/>
      <c r="CM106" s="12"/>
      <c r="CN106" s="12"/>
      <c r="CO106" s="12"/>
      <c r="CP106" s="12"/>
      <c r="CQ106" s="12"/>
      <c r="CR106" s="46"/>
      <c r="CS106" s="46"/>
      <c r="CT106" s="2"/>
      <c r="CU106" s="2"/>
      <c r="CV106" s="49"/>
      <c r="CW106" s="49"/>
      <c r="CX106" s="2"/>
      <c r="CY106" s="2"/>
      <c r="CZ106" s="160"/>
      <c r="DA106" s="12"/>
      <c r="DB106" s="12"/>
      <c r="DC106" s="12"/>
      <c r="DD106" s="12"/>
      <c r="DE106" s="12"/>
      <c r="DF106" s="12"/>
      <c r="DG106" s="12"/>
      <c r="DH106" s="12"/>
      <c r="DI106" s="46"/>
      <c r="DJ106" s="48"/>
      <c r="DK106" s="48"/>
      <c r="DL106" s="48"/>
      <c r="DM106" s="13"/>
      <c r="DN106" s="13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</row>
    <row r="107" spans="1:134" ht="12.5" x14ac:dyDescent="0.25">
      <c r="A107" s="46"/>
      <c r="B107" s="46"/>
      <c r="C107" s="46"/>
      <c r="D107" s="46"/>
      <c r="E107" s="15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46"/>
      <c r="BA107" s="46"/>
      <c r="BB107" s="46"/>
      <c r="BC107" s="46"/>
      <c r="BD107" s="46"/>
      <c r="BE107" s="46"/>
      <c r="BF107" s="12"/>
      <c r="BG107" s="12"/>
      <c r="BH107" s="12"/>
      <c r="BI107" s="46"/>
      <c r="BJ107" s="46"/>
      <c r="BK107" s="46"/>
      <c r="BL107" s="46"/>
      <c r="BM107" s="46"/>
      <c r="BN107" s="46"/>
      <c r="BO107" s="46"/>
      <c r="BP107" s="46"/>
      <c r="BQ107" s="157"/>
      <c r="BR107" s="156"/>
      <c r="BS107" s="46"/>
      <c r="BT107" s="46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2"/>
      <c r="CM107" s="12"/>
      <c r="CN107" s="12"/>
      <c r="CO107" s="12"/>
      <c r="CP107" s="12"/>
      <c r="CQ107" s="12"/>
      <c r="CR107" s="46"/>
      <c r="CS107" s="46"/>
      <c r="CT107" s="2"/>
      <c r="CU107" s="2"/>
      <c r="CV107" s="49"/>
      <c r="CW107" s="49"/>
      <c r="CX107" s="2"/>
      <c r="CY107" s="2"/>
      <c r="CZ107" s="160"/>
      <c r="DA107" s="12"/>
      <c r="DB107" s="12"/>
      <c r="DC107" s="12"/>
      <c r="DD107" s="12"/>
      <c r="DE107" s="12"/>
      <c r="DF107" s="12"/>
      <c r="DG107" s="12"/>
      <c r="DH107" s="12"/>
      <c r="DI107" s="46"/>
      <c r="DJ107" s="48"/>
      <c r="DK107" s="48"/>
      <c r="DL107" s="48"/>
      <c r="DM107" s="13"/>
      <c r="DN107" s="13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</row>
    <row r="108" spans="1:134" ht="12.5" x14ac:dyDescent="0.25">
      <c r="A108" s="46"/>
      <c r="B108" s="46"/>
      <c r="C108" s="46"/>
      <c r="D108" s="46"/>
      <c r="E108" s="15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46"/>
      <c r="BA108" s="46"/>
      <c r="BB108" s="46"/>
      <c r="BC108" s="46"/>
      <c r="BD108" s="46"/>
      <c r="BE108" s="46"/>
      <c r="BF108" s="12"/>
      <c r="BG108" s="12"/>
      <c r="BH108" s="12"/>
      <c r="BI108" s="46"/>
      <c r="BJ108" s="46"/>
      <c r="BK108" s="46"/>
      <c r="BL108" s="46"/>
      <c r="BM108" s="46"/>
      <c r="BN108" s="46"/>
      <c r="BO108" s="46"/>
      <c r="BP108" s="46"/>
      <c r="BQ108" s="157"/>
      <c r="BR108" s="156"/>
      <c r="BS108" s="46"/>
      <c r="BT108" s="46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2"/>
      <c r="CM108" s="12"/>
      <c r="CN108" s="12"/>
      <c r="CO108" s="12"/>
      <c r="CP108" s="12"/>
      <c r="CQ108" s="12"/>
      <c r="CR108" s="46"/>
      <c r="CS108" s="46"/>
      <c r="CT108" s="2"/>
      <c r="CU108" s="2"/>
      <c r="CV108" s="49"/>
      <c r="CW108" s="49"/>
      <c r="CX108" s="2"/>
      <c r="CY108" s="2"/>
      <c r="CZ108" s="160"/>
      <c r="DA108" s="12"/>
      <c r="DB108" s="12"/>
      <c r="DC108" s="12"/>
      <c r="DD108" s="12"/>
      <c r="DE108" s="12"/>
      <c r="DF108" s="12"/>
      <c r="DG108" s="12"/>
      <c r="DH108" s="12"/>
      <c r="DI108" s="46"/>
      <c r="DJ108" s="48"/>
      <c r="DK108" s="48"/>
      <c r="DL108" s="48"/>
      <c r="DM108" s="13"/>
      <c r="DN108" s="13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</row>
    <row r="109" spans="1:134" ht="12.5" x14ac:dyDescent="0.25">
      <c r="A109" s="46"/>
      <c r="B109" s="46"/>
      <c r="C109" s="46"/>
      <c r="D109" s="46"/>
      <c r="E109" s="15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46"/>
      <c r="BA109" s="46"/>
      <c r="BB109" s="46"/>
      <c r="BC109" s="46"/>
      <c r="BD109" s="46"/>
      <c r="BE109" s="46"/>
      <c r="BF109" s="12"/>
      <c r="BG109" s="12"/>
      <c r="BH109" s="12"/>
      <c r="BI109" s="46"/>
      <c r="BJ109" s="46"/>
      <c r="BK109" s="46"/>
      <c r="BL109" s="46"/>
      <c r="BM109" s="46"/>
      <c r="BN109" s="46"/>
      <c r="BO109" s="46"/>
      <c r="BP109" s="46"/>
      <c r="BQ109" s="157"/>
      <c r="BR109" s="156"/>
      <c r="BS109" s="46"/>
      <c r="BT109" s="46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2"/>
      <c r="CM109" s="12"/>
      <c r="CN109" s="12"/>
      <c r="CO109" s="12"/>
      <c r="CP109" s="12"/>
      <c r="CQ109" s="12"/>
      <c r="CR109" s="46"/>
      <c r="CS109" s="46"/>
      <c r="CT109" s="2"/>
      <c r="CU109" s="2"/>
      <c r="CV109" s="49"/>
      <c r="CW109" s="49"/>
      <c r="CX109" s="2"/>
      <c r="CY109" s="2"/>
      <c r="CZ109" s="160"/>
      <c r="DA109" s="12"/>
      <c r="DB109" s="12"/>
      <c r="DC109" s="12"/>
      <c r="DD109" s="12"/>
      <c r="DE109" s="12"/>
      <c r="DF109" s="12"/>
      <c r="DG109" s="12"/>
      <c r="DH109" s="12"/>
      <c r="DI109" s="46"/>
      <c r="DJ109" s="48"/>
      <c r="DK109" s="48"/>
      <c r="DL109" s="48"/>
      <c r="DM109" s="13"/>
      <c r="DN109" s="13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  <c r="ED109" s="12"/>
    </row>
    <row r="110" spans="1:134" ht="12.5" x14ac:dyDescent="0.25">
      <c r="A110" s="46"/>
      <c r="B110" s="46"/>
      <c r="C110" s="46"/>
      <c r="D110" s="46"/>
      <c r="E110" s="15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46"/>
      <c r="BA110" s="46"/>
      <c r="BB110" s="46"/>
      <c r="BC110" s="46"/>
      <c r="BD110" s="46"/>
      <c r="BE110" s="46"/>
      <c r="BF110" s="12"/>
      <c r="BG110" s="12"/>
      <c r="BH110" s="12"/>
      <c r="BI110" s="46"/>
      <c r="BJ110" s="46"/>
      <c r="BK110" s="46"/>
      <c r="BL110" s="46"/>
      <c r="BM110" s="46"/>
      <c r="BN110" s="46"/>
      <c r="BO110" s="46"/>
      <c r="BP110" s="46"/>
      <c r="BQ110" s="157"/>
      <c r="BR110" s="156"/>
      <c r="BS110" s="46"/>
      <c r="BT110" s="46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2"/>
      <c r="CM110" s="12"/>
      <c r="CN110" s="12"/>
      <c r="CO110" s="12"/>
      <c r="CP110" s="12"/>
      <c r="CQ110" s="12"/>
      <c r="CR110" s="46"/>
      <c r="CS110" s="46"/>
      <c r="CT110" s="2"/>
      <c r="CU110" s="2"/>
      <c r="CV110" s="49"/>
      <c r="CW110" s="49"/>
      <c r="CX110" s="2"/>
      <c r="CY110" s="2"/>
      <c r="CZ110" s="160"/>
      <c r="DA110" s="12"/>
      <c r="DB110" s="12"/>
      <c r="DC110" s="12"/>
      <c r="DD110" s="12"/>
      <c r="DE110" s="12"/>
      <c r="DF110" s="12"/>
      <c r="DG110" s="12"/>
      <c r="DH110" s="12"/>
      <c r="DI110" s="46"/>
      <c r="DJ110" s="48"/>
      <c r="DK110" s="48"/>
      <c r="DL110" s="48"/>
      <c r="DM110" s="13"/>
      <c r="DN110" s="13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</row>
    <row r="111" spans="1:134" ht="12.5" x14ac:dyDescent="0.25">
      <c r="A111" s="46"/>
      <c r="B111" s="46"/>
      <c r="C111" s="46"/>
      <c r="D111" s="46"/>
      <c r="E111" s="15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46"/>
      <c r="BA111" s="46"/>
      <c r="BB111" s="46"/>
      <c r="BC111" s="46"/>
      <c r="BD111" s="46"/>
      <c r="BE111" s="46"/>
      <c r="BF111" s="12"/>
      <c r="BG111" s="12"/>
      <c r="BH111" s="12"/>
      <c r="BI111" s="46"/>
      <c r="BJ111" s="46"/>
      <c r="BK111" s="46"/>
      <c r="BL111" s="46"/>
      <c r="BM111" s="46"/>
      <c r="BN111" s="46"/>
      <c r="BO111" s="46"/>
      <c r="BP111" s="46"/>
      <c r="BQ111" s="157"/>
      <c r="BR111" s="156"/>
      <c r="BS111" s="46"/>
      <c r="BT111" s="46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2"/>
      <c r="CM111" s="12"/>
      <c r="CN111" s="12"/>
      <c r="CO111" s="12"/>
      <c r="CP111" s="12"/>
      <c r="CQ111" s="12"/>
      <c r="CR111" s="46"/>
      <c r="CS111" s="46"/>
      <c r="CT111" s="2"/>
      <c r="CU111" s="2"/>
      <c r="CV111" s="49"/>
      <c r="CW111" s="49"/>
      <c r="CX111" s="2"/>
      <c r="CY111" s="2"/>
      <c r="CZ111" s="160"/>
      <c r="DA111" s="12"/>
      <c r="DB111" s="12"/>
      <c r="DC111" s="12"/>
      <c r="DD111" s="12"/>
      <c r="DE111" s="12"/>
      <c r="DF111" s="12"/>
      <c r="DG111" s="12"/>
      <c r="DH111" s="12"/>
      <c r="DI111" s="46"/>
      <c r="DJ111" s="48"/>
      <c r="DK111" s="48"/>
      <c r="DL111" s="48"/>
      <c r="DM111" s="13"/>
      <c r="DN111" s="13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</row>
    <row r="112" spans="1:134" ht="12.5" x14ac:dyDescent="0.25">
      <c r="A112" s="46"/>
      <c r="B112" s="46"/>
      <c r="C112" s="46"/>
      <c r="D112" s="46"/>
      <c r="E112" s="15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46"/>
      <c r="BA112" s="46"/>
      <c r="BB112" s="46"/>
      <c r="BC112" s="46"/>
      <c r="BD112" s="46"/>
      <c r="BE112" s="46"/>
      <c r="BF112" s="12"/>
      <c r="BG112" s="12"/>
      <c r="BH112" s="12"/>
      <c r="BI112" s="46"/>
      <c r="BJ112" s="46"/>
      <c r="BK112" s="46"/>
      <c r="BL112" s="46"/>
      <c r="BM112" s="46"/>
      <c r="BN112" s="46"/>
      <c r="BO112" s="46"/>
      <c r="BP112" s="46"/>
      <c r="BQ112" s="157"/>
      <c r="BR112" s="156"/>
      <c r="BS112" s="46"/>
      <c r="BT112" s="46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2"/>
      <c r="CM112" s="12"/>
      <c r="CN112" s="12"/>
      <c r="CO112" s="12"/>
      <c r="CP112" s="12"/>
      <c r="CQ112" s="12"/>
      <c r="CR112" s="46"/>
      <c r="CS112" s="46"/>
      <c r="CT112" s="2"/>
      <c r="CU112" s="2"/>
      <c r="CV112" s="49"/>
      <c r="CW112" s="49"/>
      <c r="CX112" s="2"/>
      <c r="CY112" s="2"/>
      <c r="CZ112" s="160"/>
      <c r="DA112" s="12"/>
      <c r="DB112" s="12"/>
      <c r="DC112" s="12"/>
      <c r="DD112" s="12"/>
      <c r="DE112" s="12"/>
      <c r="DF112" s="12"/>
      <c r="DG112" s="12"/>
      <c r="DH112" s="12"/>
      <c r="DI112" s="46"/>
      <c r="DJ112" s="48"/>
      <c r="DK112" s="48"/>
      <c r="DL112" s="48"/>
      <c r="DM112" s="13"/>
      <c r="DN112" s="13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</row>
    <row r="113" spans="1:134" ht="12.5" x14ac:dyDescent="0.25">
      <c r="A113" s="46"/>
      <c r="B113" s="46"/>
      <c r="C113" s="46"/>
      <c r="D113" s="46"/>
      <c r="E113" s="15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46"/>
      <c r="BA113" s="46"/>
      <c r="BB113" s="46"/>
      <c r="BC113" s="46"/>
      <c r="BD113" s="46"/>
      <c r="BE113" s="46"/>
      <c r="BF113" s="12"/>
      <c r="BG113" s="12"/>
      <c r="BH113" s="12"/>
      <c r="BI113" s="46"/>
      <c r="BJ113" s="46"/>
      <c r="BK113" s="46"/>
      <c r="BL113" s="46"/>
      <c r="BM113" s="46"/>
      <c r="BN113" s="46"/>
      <c r="BO113" s="46"/>
      <c r="BP113" s="46"/>
      <c r="BQ113" s="157"/>
      <c r="BR113" s="156"/>
      <c r="BS113" s="46"/>
      <c r="BT113" s="46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2"/>
      <c r="CM113" s="12"/>
      <c r="CN113" s="12"/>
      <c r="CO113" s="12"/>
      <c r="CP113" s="12"/>
      <c r="CQ113" s="12"/>
      <c r="CR113" s="46"/>
      <c r="CS113" s="46"/>
      <c r="CT113" s="2"/>
      <c r="CU113" s="2"/>
      <c r="CV113" s="49"/>
      <c r="CW113" s="49"/>
      <c r="CX113" s="2"/>
      <c r="CY113" s="2"/>
      <c r="CZ113" s="160"/>
      <c r="DA113" s="12"/>
      <c r="DB113" s="12"/>
      <c r="DC113" s="12"/>
      <c r="DD113" s="12"/>
      <c r="DE113" s="12"/>
      <c r="DF113" s="12"/>
      <c r="DG113" s="12"/>
      <c r="DH113" s="12"/>
      <c r="DI113" s="46"/>
      <c r="DJ113" s="48"/>
      <c r="DK113" s="48"/>
      <c r="DL113" s="48"/>
      <c r="DM113" s="13"/>
      <c r="DN113" s="13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</row>
    <row r="114" spans="1:134" ht="12.5" x14ac:dyDescent="0.25">
      <c r="A114" s="46"/>
      <c r="B114" s="46"/>
      <c r="C114" s="46"/>
      <c r="D114" s="46"/>
      <c r="E114" s="15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46"/>
      <c r="BA114" s="46"/>
      <c r="BB114" s="46"/>
      <c r="BC114" s="46"/>
      <c r="BD114" s="46"/>
      <c r="BE114" s="46"/>
      <c r="BF114" s="12"/>
      <c r="BG114" s="12"/>
      <c r="BH114" s="12"/>
      <c r="BI114" s="46"/>
      <c r="BJ114" s="46"/>
      <c r="BK114" s="46"/>
      <c r="BL114" s="46"/>
      <c r="BM114" s="46"/>
      <c r="BN114" s="46"/>
      <c r="BO114" s="46"/>
      <c r="BP114" s="46"/>
      <c r="BQ114" s="157"/>
      <c r="BR114" s="156"/>
      <c r="BS114" s="46"/>
      <c r="BT114" s="46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2"/>
      <c r="CM114" s="12"/>
      <c r="CN114" s="12"/>
      <c r="CO114" s="12"/>
      <c r="CP114" s="12"/>
      <c r="CQ114" s="12"/>
      <c r="CR114" s="46"/>
      <c r="CS114" s="46"/>
      <c r="CT114" s="2"/>
      <c r="CU114" s="2"/>
      <c r="CV114" s="49"/>
      <c r="CW114" s="49"/>
      <c r="CX114" s="2"/>
      <c r="CY114" s="2"/>
      <c r="CZ114" s="160"/>
      <c r="DA114" s="12"/>
      <c r="DB114" s="12"/>
      <c r="DC114" s="12"/>
      <c r="DD114" s="12"/>
      <c r="DE114" s="12"/>
      <c r="DF114" s="12"/>
      <c r="DG114" s="12"/>
      <c r="DH114" s="12"/>
      <c r="DI114" s="46"/>
      <c r="DJ114" s="48"/>
      <c r="DK114" s="48"/>
      <c r="DL114" s="48"/>
      <c r="DM114" s="13"/>
      <c r="DN114" s="13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</row>
    <row r="115" spans="1:134" ht="12.5" x14ac:dyDescent="0.25">
      <c r="A115" s="46"/>
      <c r="B115" s="46"/>
      <c r="C115" s="46"/>
      <c r="D115" s="46"/>
      <c r="E115" s="15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46"/>
      <c r="BA115" s="46"/>
      <c r="BB115" s="46"/>
      <c r="BC115" s="46"/>
      <c r="BD115" s="46"/>
      <c r="BE115" s="46"/>
      <c r="BF115" s="12"/>
      <c r="BG115" s="12"/>
      <c r="BH115" s="12"/>
      <c r="BI115" s="46"/>
      <c r="BJ115" s="46"/>
      <c r="BK115" s="46"/>
      <c r="BL115" s="46"/>
      <c r="BM115" s="46"/>
      <c r="BN115" s="46"/>
      <c r="BO115" s="46"/>
      <c r="BP115" s="46"/>
      <c r="BQ115" s="157"/>
      <c r="BR115" s="156"/>
      <c r="BS115" s="46"/>
      <c r="BT115" s="46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2"/>
      <c r="CM115" s="12"/>
      <c r="CN115" s="12"/>
      <c r="CO115" s="12"/>
      <c r="CP115" s="12"/>
      <c r="CQ115" s="12"/>
      <c r="CR115" s="46"/>
      <c r="CS115" s="46"/>
      <c r="CT115" s="2"/>
      <c r="CU115" s="2"/>
      <c r="CV115" s="49"/>
      <c r="CW115" s="49"/>
      <c r="CX115" s="2"/>
      <c r="CY115" s="2"/>
      <c r="CZ115" s="160"/>
      <c r="DA115" s="12"/>
      <c r="DB115" s="12"/>
      <c r="DC115" s="12"/>
      <c r="DD115" s="12"/>
      <c r="DE115" s="12"/>
      <c r="DF115" s="12"/>
      <c r="DG115" s="12"/>
      <c r="DH115" s="12"/>
      <c r="DI115" s="46"/>
      <c r="DJ115" s="48"/>
      <c r="DK115" s="48"/>
      <c r="DL115" s="48"/>
      <c r="DM115" s="13"/>
      <c r="DN115" s="13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</row>
    <row r="116" spans="1:134" ht="12.5" x14ac:dyDescent="0.25">
      <c r="A116" s="46"/>
      <c r="B116" s="46"/>
      <c r="C116" s="46"/>
      <c r="D116" s="46"/>
      <c r="E116" s="15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46"/>
      <c r="BA116" s="46"/>
      <c r="BB116" s="46"/>
      <c r="BC116" s="46"/>
      <c r="BD116" s="46"/>
      <c r="BE116" s="46"/>
      <c r="BF116" s="12"/>
      <c r="BG116" s="12"/>
      <c r="BH116" s="12"/>
      <c r="BI116" s="46"/>
      <c r="BJ116" s="46"/>
      <c r="BK116" s="46"/>
      <c r="BL116" s="46"/>
      <c r="BM116" s="46"/>
      <c r="BN116" s="46"/>
      <c r="BO116" s="46"/>
      <c r="BP116" s="46"/>
      <c r="BQ116" s="157"/>
      <c r="BR116" s="156"/>
      <c r="BS116" s="46"/>
      <c r="BT116" s="46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2"/>
      <c r="CM116" s="12"/>
      <c r="CN116" s="12"/>
      <c r="CO116" s="12"/>
      <c r="CP116" s="12"/>
      <c r="CQ116" s="12"/>
      <c r="CR116" s="46"/>
      <c r="CS116" s="46"/>
      <c r="CT116" s="2"/>
      <c r="CU116" s="2"/>
      <c r="CV116" s="49"/>
      <c r="CW116" s="49"/>
      <c r="CX116" s="2"/>
      <c r="CY116" s="2"/>
      <c r="CZ116" s="160"/>
      <c r="DA116" s="12"/>
      <c r="DB116" s="12"/>
      <c r="DC116" s="12"/>
      <c r="DD116" s="12"/>
      <c r="DE116" s="12"/>
      <c r="DF116" s="12"/>
      <c r="DG116" s="12"/>
      <c r="DH116" s="12"/>
      <c r="DI116" s="46"/>
      <c r="DJ116" s="48"/>
      <c r="DK116" s="48"/>
      <c r="DL116" s="48"/>
      <c r="DM116" s="13"/>
      <c r="DN116" s="13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</row>
    <row r="117" spans="1:134" ht="12.5" x14ac:dyDescent="0.25">
      <c r="A117" s="46"/>
      <c r="B117" s="46"/>
      <c r="C117" s="46"/>
      <c r="D117" s="46"/>
      <c r="E117" s="15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46"/>
      <c r="BA117" s="46"/>
      <c r="BB117" s="46"/>
      <c r="BC117" s="46"/>
      <c r="BD117" s="46"/>
      <c r="BE117" s="46"/>
      <c r="BF117" s="12"/>
      <c r="BG117" s="12"/>
      <c r="BH117" s="12"/>
      <c r="BI117" s="46"/>
      <c r="BJ117" s="46"/>
      <c r="BK117" s="46"/>
      <c r="BL117" s="46"/>
      <c r="BM117" s="46"/>
      <c r="BN117" s="46"/>
      <c r="BO117" s="46"/>
      <c r="BP117" s="46"/>
      <c r="BQ117" s="157"/>
      <c r="BR117" s="156"/>
      <c r="BS117" s="46"/>
      <c r="BT117" s="46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2"/>
      <c r="CM117" s="12"/>
      <c r="CN117" s="12"/>
      <c r="CO117" s="12"/>
      <c r="CP117" s="12"/>
      <c r="CQ117" s="12"/>
      <c r="CR117" s="46"/>
      <c r="CS117" s="46"/>
      <c r="CT117" s="2"/>
      <c r="CU117" s="2"/>
      <c r="CV117" s="49"/>
      <c r="CW117" s="49"/>
      <c r="CX117" s="2"/>
      <c r="CY117" s="2"/>
      <c r="CZ117" s="160"/>
      <c r="DA117" s="12"/>
      <c r="DB117" s="12"/>
      <c r="DC117" s="12"/>
      <c r="DD117" s="12"/>
      <c r="DE117" s="12"/>
      <c r="DF117" s="12"/>
      <c r="DG117" s="12"/>
      <c r="DH117" s="12"/>
      <c r="DI117" s="46"/>
      <c r="DJ117" s="48"/>
      <c r="DK117" s="48"/>
      <c r="DL117" s="48"/>
      <c r="DM117" s="13"/>
      <c r="DN117" s="13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</row>
    <row r="118" spans="1:134" ht="12.5" x14ac:dyDescent="0.25">
      <c r="A118" s="46"/>
      <c r="B118" s="46"/>
      <c r="C118" s="46"/>
      <c r="D118" s="46"/>
      <c r="E118" s="15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46"/>
      <c r="BA118" s="46"/>
      <c r="BB118" s="46"/>
      <c r="BC118" s="46"/>
      <c r="BD118" s="46"/>
      <c r="BE118" s="46"/>
      <c r="BF118" s="12"/>
      <c r="BG118" s="12"/>
      <c r="BH118" s="12"/>
      <c r="BI118" s="46"/>
      <c r="BJ118" s="46"/>
      <c r="BK118" s="46"/>
      <c r="BL118" s="46"/>
      <c r="BM118" s="46"/>
      <c r="BN118" s="46"/>
      <c r="BO118" s="46"/>
      <c r="BP118" s="46"/>
      <c r="BQ118" s="157"/>
      <c r="BR118" s="156"/>
      <c r="BS118" s="46"/>
      <c r="BT118" s="46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2"/>
      <c r="CM118" s="12"/>
      <c r="CN118" s="12"/>
      <c r="CO118" s="12"/>
      <c r="CP118" s="12"/>
      <c r="CQ118" s="12"/>
      <c r="CR118" s="46"/>
      <c r="CS118" s="46"/>
      <c r="CT118" s="2"/>
      <c r="CU118" s="2"/>
      <c r="CV118" s="49"/>
      <c r="CW118" s="49"/>
      <c r="CX118" s="2"/>
      <c r="CY118" s="2"/>
      <c r="CZ118" s="160"/>
      <c r="DA118" s="12"/>
      <c r="DB118" s="12"/>
      <c r="DC118" s="12"/>
      <c r="DD118" s="12"/>
      <c r="DE118" s="12"/>
      <c r="DF118" s="12"/>
      <c r="DG118" s="12"/>
      <c r="DH118" s="12"/>
      <c r="DI118" s="46"/>
      <c r="DJ118" s="48"/>
      <c r="DK118" s="48"/>
      <c r="DL118" s="48"/>
      <c r="DM118" s="13"/>
      <c r="DN118" s="13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</row>
    <row r="119" spans="1:134" ht="12.5" x14ac:dyDescent="0.25">
      <c r="A119" s="46"/>
      <c r="B119" s="46"/>
      <c r="C119" s="46"/>
      <c r="D119" s="46"/>
      <c r="E119" s="15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46"/>
      <c r="BA119" s="46"/>
      <c r="BB119" s="46"/>
      <c r="BC119" s="46"/>
      <c r="BD119" s="46"/>
      <c r="BE119" s="46"/>
      <c r="BF119" s="12"/>
      <c r="BG119" s="12"/>
      <c r="BH119" s="12"/>
      <c r="BI119" s="46"/>
      <c r="BJ119" s="46"/>
      <c r="BK119" s="46"/>
      <c r="BL119" s="46"/>
      <c r="BM119" s="46"/>
      <c r="BN119" s="46"/>
      <c r="BO119" s="46"/>
      <c r="BP119" s="46"/>
      <c r="BQ119" s="157"/>
      <c r="BR119" s="156"/>
      <c r="BS119" s="46"/>
      <c r="BT119" s="46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2"/>
      <c r="CM119" s="12"/>
      <c r="CN119" s="12"/>
      <c r="CO119" s="12"/>
      <c r="CP119" s="12"/>
      <c r="CQ119" s="12"/>
      <c r="CR119" s="46"/>
      <c r="CS119" s="46"/>
      <c r="CT119" s="2"/>
      <c r="CU119" s="2"/>
      <c r="CV119" s="49"/>
      <c r="CW119" s="49"/>
      <c r="CX119" s="2"/>
      <c r="CY119" s="2"/>
      <c r="CZ119" s="160"/>
      <c r="DA119" s="12"/>
      <c r="DB119" s="12"/>
      <c r="DC119" s="12"/>
      <c r="DD119" s="12"/>
      <c r="DE119" s="12"/>
      <c r="DF119" s="12"/>
      <c r="DG119" s="12"/>
      <c r="DH119" s="12"/>
      <c r="DI119" s="46"/>
      <c r="DJ119" s="48"/>
      <c r="DK119" s="48"/>
      <c r="DL119" s="48"/>
      <c r="DM119" s="13"/>
      <c r="DN119" s="13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</row>
    <row r="120" spans="1:134" ht="12.5" x14ac:dyDescent="0.25">
      <c r="A120" s="46"/>
      <c r="B120" s="46"/>
      <c r="C120" s="46"/>
      <c r="D120" s="46"/>
      <c r="E120" s="15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46"/>
      <c r="BA120" s="46"/>
      <c r="BB120" s="46"/>
      <c r="BC120" s="46"/>
      <c r="BD120" s="46"/>
      <c r="BE120" s="46"/>
      <c r="BF120" s="12"/>
      <c r="BG120" s="12"/>
      <c r="BH120" s="12"/>
      <c r="BI120" s="46"/>
      <c r="BJ120" s="46"/>
      <c r="BK120" s="46"/>
      <c r="BL120" s="46"/>
      <c r="BM120" s="46"/>
      <c r="BN120" s="46"/>
      <c r="BO120" s="46"/>
      <c r="BP120" s="46"/>
      <c r="BQ120" s="157"/>
      <c r="BR120" s="156"/>
      <c r="BS120" s="46"/>
      <c r="BT120" s="46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2"/>
      <c r="CM120" s="12"/>
      <c r="CN120" s="12"/>
      <c r="CO120" s="12"/>
      <c r="CP120" s="12"/>
      <c r="CQ120" s="12"/>
      <c r="CR120" s="46"/>
      <c r="CS120" s="46"/>
      <c r="CT120" s="2"/>
      <c r="CU120" s="2"/>
      <c r="CV120" s="49"/>
      <c r="CW120" s="49"/>
      <c r="CX120" s="2"/>
      <c r="CY120" s="2"/>
      <c r="CZ120" s="160"/>
      <c r="DA120" s="12"/>
      <c r="DB120" s="12"/>
      <c r="DC120" s="12"/>
      <c r="DD120" s="12"/>
      <c r="DE120" s="12"/>
      <c r="DF120" s="12"/>
      <c r="DG120" s="12"/>
      <c r="DH120" s="12"/>
      <c r="DI120" s="46"/>
      <c r="DJ120" s="48"/>
      <c r="DK120" s="48"/>
      <c r="DL120" s="48"/>
      <c r="DM120" s="13"/>
      <c r="DN120" s="13"/>
      <c r="DO120" s="12"/>
      <c r="DP120" s="12"/>
      <c r="DQ120" s="12"/>
      <c r="DR120" s="12"/>
      <c r="DS120" s="12"/>
      <c r="DT120" s="12"/>
      <c r="DU120" s="12"/>
      <c r="DV120" s="12"/>
      <c r="DW120" s="12"/>
      <c r="DX120" s="12"/>
      <c r="DY120" s="12"/>
      <c r="DZ120" s="12"/>
      <c r="EA120" s="12"/>
      <c r="EB120" s="12"/>
      <c r="EC120" s="12"/>
      <c r="ED120" s="12"/>
    </row>
    <row r="121" spans="1:134" ht="12.5" x14ac:dyDescent="0.25">
      <c r="A121" s="46"/>
      <c r="B121" s="46"/>
      <c r="C121" s="46"/>
      <c r="D121" s="46"/>
      <c r="E121" s="15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46"/>
      <c r="BA121" s="46"/>
      <c r="BB121" s="46"/>
      <c r="BC121" s="46"/>
      <c r="BD121" s="46"/>
      <c r="BE121" s="46"/>
      <c r="BF121" s="12"/>
      <c r="BG121" s="12"/>
      <c r="BH121" s="12"/>
      <c r="BI121" s="46"/>
      <c r="BJ121" s="46"/>
      <c r="BK121" s="46"/>
      <c r="BL121" s="46"/>
      <c r="BM121" s="46"/>
      <c r="BN121" s="46"/>
      <c r="BO121" s="46"/>
      <c r="BP121" s="46"/>
      <c r="BQ121" s="157"/>
      <c r="BR121" s="156"/>
      <c r="BS121" s="46"/>
      <c r="BT121" s="46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2"/>
      <c r="CM121" s="12"/>
      <c r="CN121" s="12"/>
      <c r="CO121" s="12"/>
      <c r="CP121" s="12"/>
      <c r="CQ121" s="12"/>
      <c r="CR121" s="46"/>
      <c r="CS121" s="46"/>
      <c r="CT121" s="2"/>
      <c r="CU121" s="2"/>
      <c r="CV121" s="49"/>
      <c r="CW121" s="49"/>
      <c r="CX121" s="2"/>
      <c r="CY121" s="2"/>
      <c r="CZ121" s="160"/>
      <c r="DA121" s="12"/>
      <c r="DB121" s="12"/>
      <c r="DC121" s="12"/>
      <c r="DD121" s="12"/>
      <c r="DE121" s="12"/>
      <c r="DF121" s="12"/>
      <c r="DG121" s="12"/>
      <c r="DH121" s="12"/>
      <c r="DI121" s="46"/>
      <c r="DJ121" s="48"/>
      <c r="DK121" s="48"/>
      <c r="DL121" s="48"/>
      <c r="DM121" s="13"/>
      <c r="DN121" s="13"/>
      <c r="DO121" s="12"/>
      <c r="DP121" s="12"/>
      <c r="DQ121" s="12"/>
      <c r="DR121" s="12"/>
      <c r="DS121" s="12"/>
      <c r="DT121" s="12"/>
      <c r="DU121" s="12"/>
      <c r="DV121" s="12"/>
      <c r="DW121" s="12"/>
      <c r="DX121" s="12"/>
      <c r="DY121" s="12"/>
      <c r="DZ121" s="12"/>
      <c r="EA121" s="12"/>
      <c r="EB121" s="12"/>
      <c r="EC121" s="12"/>
      <c r="ED121" s="12"/>
    </row>
    <row r="122" spans="1:134" ht="12.5" x14ac:dyDescent="0.25">
      <c r="A122" s="46"/>
      <c r="B122" s="46"/>
      <c r="C122" s="46"/>
      <c r="D122" s="46"/>
      <c r="E122" s="15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46"/>
      <c r="BA122" s="46"/>
      <c r="BB122" s="46"/>
      <c r="BC122" s="46"/>
      <c r="BD122" s="46"/>
      <c r="BE122" s="46"/>
      <c r="BF122" s="12"/>
      <c r="BG122" s="12"/>
      <c r="BH122" s="12"/>
      <c r="BI122" s="46"/>
      <c r="BJ122" s="46"/>
      <c r="BK122" s="46"/>
      <c r="BL122" s="46"/>
      <c r="BM122" s="46"/>
      <c r="BN122" s="46"/>
      <c r="BO122" s="46"/>
      <c r="BP122" s="46"/>
      <c r="BQ122" s="157"/>
      <c r="BR122" s="156"/>
      <c r="BS122" s="46"/>
      <c r="BT122" s="46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2"/>
      <c r="CM122" s="12"/>
      <c r="CN122" s="12"/>
      <c r="CO122" s="12"/>
      <c r="CP122" s="12"/>
      <c r="CQ122" s="12"/>
      <c r="CR122" s="46"/>
      <c r="CS122" s="46"/>
      <c r="CT122" s="2"/>
      <c r="CU122" s="2"/>
      <c r="CV122" s="49"/>
      <c r="CW122" s="49"/>
      <c r="CX122" s="2"/>
      <c r="CY122" s="2"/>
      <c r="CZ122" s="160"/>
      <c r="DA122" s="12"/>
      <c r="DB122" s="12"/>
      <c r="DC122" s="12"/>
      <c r="DD122" s="12"/>
      <c r="DE122" s="12"/>
      <c r="DF122" s="12"/>
      <c r="DG122" s="12"/>
      <c r="DH122" s="12"/>
      <c r="DI122" s="46"/>
      <c r="DJ122" s="48"/>
      <c r="DK122" s="48"/>
      <c r="DL122" s="48"/>
      <c r="DM122" s="13"/>
      <c r="DN122" s="13"/>
      <c r="DO122" s="12"/>
      <c r="DP122" s="12"/>
      <c r="DQ122" s="12"/>
      <c r="DR122" s="12"/>
      <c r="DS122" s="12"/>
      <c r="DT122" s="12"/>
      <c r="DU122" s="12"/>
      <c r="DV122" s="12"/>
      <c r="DW122" s="12"/>
      <c r="DX122" s="12"/>
      <c r="DY122" s="12"/>
      <c r="DZ122" s="12"/>
      <c r="EA122" s="12"/>
      <c r="EB122" s="12"/>
      <c r="EC122" s="12"/>
      <c r="ED122" s="12"/>
    </row>
    <row r="123" spans="1:134" ht="12.5" x14ac:dyDescent="0.25">
      <c r="A123" s="46"/>
      <c r="B123" s="46"/>
      <c r="C123" s="46"/>
      <c r="D123" s="46"/>
      <c r="E123" s="15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46"/>
      <c r="BA123" s="46"/>
      <c r="BB123" s="46"/>
      <c r="BC123" s="46"/>
      <c r="BD123" s="46"/>
      <c r="BE123" s="46"/>
      <c r="BF123" s="12"/>
      <c r="BG123" s="12"/>
      <c r="BH123" s="12"/>
      <c r="BI123" s="46"/>
      <c r="BJ123" s="46"/>
      <c r="BK123" s="46"/>
      <c r="BL123" s="46"/>
      <c r="BM123" s="46"/>
      <c r="BN123" s="46"/>
      <c r="BO123" s="46"/>
      <c r="BP123" s="46"/>
      <c r="BQ123" s="157"/>
      <c r="BR123" s="156"/>
      <c r="BS123" s="46"/>
      <c r="BT123" s="46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2"/>
      <c r="CM123" s="12"/>
      <c r="CN123" s="12"/>
      <c r="CO123" s="12"/>
      <c r="CP123" s="12"/>
      <c r="CQ123" s="12"/>
      <c r="CR123" s="46"/>
      <c r="CS123" s="46"/>
      <c r="CT123" s="2"/>
      <c r="CU123" s="2"/>
      <c r="CV123" s="49"/>
      <c r="CW123" s="49"/>
      <c r="CX123" s="2"/>
      <c r="CY123" s="2"/>
      <c r="CZ123" s="160"/>
      <c r="DA123" s="12"/>
      <c r="DB123" s="12"/>
      <c r="DC123" s="12"/>
      <c r="DD123" s="12"/>
      <c r="DE123" s="12"/>
      <c r="DF123" s="12"/>
      <c r="DG123" s="12"/>
      <c r="DH123" s="12"/>
      <c r="DI123" s="46"/>
      <c r="DJ123" s="48"/>
      <c r="DK123" s="48"/>
      <c r="DL123" s="48"/>
      <c r="DM123" s="13"/>
      <c r="DN123" s="13"/>
      <c r="DO123" s="12"/>
      <c r="DP123" s="12"/>
      <c r="DQ123" s="12"/>
      <c r="DR123" s="12"/>
      <c r="DS123" s="12"/>
      <c r="DT123" s="12"/>
      <c r="DU123" s="12"/>
      <c r="DV123" s="12"/>
      <c r="DW123" s="12"/>
      <c r="DX123" s="12"/>
      <c r="DY123" s="12"/>
      <c r="DZ123" s="12"/>
      <c r="EA123" s="12"/>
      <c r="EB123" s="12"/>
      <c r="EC123" s="12"/>
      <c r="ED123" s="12"/>
    </row>
    <row r="124" spans="1:134" ht="12.5" x14ac:dyDescent="0.25">
      <c r="A124" s="46"/>
      <c r="B124" s="46"/>
      <c r="C124" s="46"/>
      <c r="D124" s="46"/>
      <c r="E124" s="15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46"/>
      <c r="BA124" s="46"/>
      <c r="BB124" s="46"/>
      <c r="BC124" s="46"/>
      <c r="BD124" s="46"/>
      <c r="BE124" s="46"/>
      <c r="BF124" s="12"/>
      <c r="BG124" s="12"/>
      <c r="BH124" s="12"/>
      <c r="BI124" s="46"/>
      <c r="BJ124" s="46"/>
      <c r="BK124" s="46"/>
      <c r="BL124" s="46"/>
      <c r="BM124" s="46"/>
      <c r="BN124" s="46"/>
      <c r="BO124" s="46"/>
      <c r="BP124" s="46"/>
      <c r="BQ124" s="157"/>
      <c r="BR124" s="156"/>
      <c r="BS124" s="46"/>
      <c r="BT124" s="46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  <c r="CH124" s="12"/>
      <c r="CI124" s="12"/>
      <c r="CJ124" s="12"/>
      <c r="CK124" s="12"/>
      <c r="CL124" s="2"/>
      <c r="CM124" s="12"/>
      <c r="CN124" s="12"/>
      <c r="CO124" s="12"/>
      <c r="CP124" s="12"/>
      <c r="CQ124" s="12"/>
      <c r="CR124" s="46"/>
      <c r="CS124" s="46"/>
      <c r="CT124" s="2"/>
      <c r="CU124" s="2"/>
      <c r="CV124" s="49"/>
      <c r="CW124" s="49"/>
      <c r="CX124" s="2"/>
      <c r="CY124" s="2"/>
      <c r="CZ124" s="160"/>
      <c r="DA124" s="12"/>
      <c r="DB124" s="12"/>
      <c r="DC124" s="12"/>
      <c r="DD124" s="12"/>
      <c r="DE124" s="12"/>
      <c r="DF124" s="12"/>
      <c r="DG124" s="12"/>
      <c r="DH124" s="12"/>
      <c r="DI124" s="46"/>
      <c r="DJ124" s="48"/>
      <c r="DK124" s="48"/>
      <c r="DL124" s="48"/>
      <c r="DM124" s="13"/>
      <c r="DN124" s="13"/>
      <c r="DO124" s="12"/>
      <c r="DP124" s="12"/>
      <c r="DQ124" s="12"/>
      <c r="DR124" s="12"/>
      <c r="DS124" s="12"/>
      <c r="DT124" s="12"/>
      <c r="DU124" s="12"/>
      <c r="DV124" s="12"/>
      <c r="DW124" s="12"/>
      <c r="DX124" s="12"/>
      <c r="DY124" s="12"/>
      <c r="DZ124" s="12"/>
      <c r="EA124" s="12"/>
      <c r="EB124" s="12"/>
      <c r="EC124" s="12"/>
      <c r="ED124" s="12"/>
    </row>
    <row r="125" spans="1:134" ht="12.5" x14ac:dyDescent="0.25">
      <c r="A125" s="46"/>
      <c r="B125" s="46"/>
      <c r="C125" s="46"/>
      <c r="D125" s="46"/>
      <c r="E125" s="15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46"/>
      <c r="BA125" s="46"/>
      <c r="BB125" s="46"/>
      <c r="BC125" s="46"/>
      <c r="BD125" s="46"/>
      <c r="BE125" s="46"/>
      <c r="BF125" s="12"/>
      <c r="BG125" s="12"/>
      <c r="BH125" s="12"/>
      <c r="BI125" s="46"/>
      <c r="BJ125" s="46"/>
      <c r="BK125" s="46"/>
      <c r="BL125" s="46"/>
      <c r="BM125" s="46"/>
      <c r="BN125" s="46"/>
      <c r="BO125" s="46"/>
      <c r="BP125" s="46"/>
      <c r="BQ125" s="157"/>
      <c r="BR125" s="156"/>
      <c r="BS125" s="46"/>
      <c r="BT125" s="46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/>
      <c r="CH125" s="12"/>
      <c r="CI125" s="12"/>
      <c r="CJ125" s="12"/>
      <c r="CK125" s="12"/>
      <c r="CL125" s="2"/>
      <c r="CM125" s="12"/>
      <c r="CN125" s="12"/>
      <c r="CO125" s="12"/>
      <c r="CP125" s="12"/>
      <c r="CQ125" s="12"/>
      <c r="CR125" s="46"/>
      <c r="CS125" s="46"/>
      <c r="CT125" s="2"/>
      <c r="CU125" s="2"/>
      <c r="CV125" s="49"/>
      <c r="CW125" s="49"/>
      <c r="CX125" s="2"/>
      <c r="CY125" s="2"/>
      <c r="CZ125" s="160"/>
      <c r="DA125" s="12"/>
      <c r="DB125" s="12"/>
      <c r="DC125" s="12"/>
      <c r="DD125" s="12"/>
      <c r="DE125" s="12"/>
      <c r="DF125" s="12"/>
      <c r="DG125" s="12"/>
      <c r="DH125" s="12"/>
      <c r="DI125" s="46"/>
      <c r="DJ125" s="48"/>
      <c r="DK125" s="48"/>
      <c r="DL125" s="48"/>
      <c r="DM125" s="13"/>
      <c r="DN125" s="13"/>
      <c r="DO125" s="12"/>
      <c r="DP125" s="12"/>
      <c r="DQ125" s="12"/>
      <c r="DR125" s="12"/>
      <c r="DS125" s="12"/>
      <c r="DT125" s="12"/>
      <c r="DU125" s="12"/>
      <c r="DV125" s="12"/>
      <c r="DW125" s="12"/>
      <c r="DX125" s="12"/>
      <c r="DY125" s="12"/>
      <c r="DZ125" s="12"/>
      <c r="EA125" s="12"/>
      <c r="EB125" s="12"/>
      <c r="EC125" s="12"/>
      <c r="ED125" s="12"/>
    </row>
    <row r="126" spans="1:134" ht="12.5" x14ac:dyDescent="0.25">
      <c r="A126" s="46"/>
      <c r="B126" s="46"/>
      <c r="C126" s="46"/>
      <c r="D126" s="46"/>
      <c r="E126" s="15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46"/>
      <c r="BA126" s="46"/>
      <c r="BB126" s="46"/>
      <c r="BC126" s="46"/>
      <c r="BD126" s="46"/>
      <c r="BE126" s="46"/>
      <c r="BF126" s="12"/>
      <c r="BG126" s="12"/>
      <c r="BH126" s="12"/>
      <c r="BI126" s="46"/>
      <c r="BJ126" s="46"/>
      <c r="BK126" s="46"/>
      <c r="BL126" s="46"/>
      <c r="BM126" s="46"/>
      <c r="BN126" s="46"/>
      <c r="BO126" s="46"/>
      <c r="BP126" s="46"/>
      <c r="BQ126" s="157"/>
      <c r="BR126" s="156"/>
      <c r="BS126" s="46"/>
      <c r="BT126" s="46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2"/>
      <c r="CM126" s="12"/>
      <c r="CN126" s="12"/>
      <c r="CO126" s="12"/>
      <c r="CP126" s="12"/>
      <c r="CQ126" s="12"/>
      <c r="CR126" s="46"/>
      <c r="CS126" s="46"/>
      <c r="CT126" s="2"/>
      <c r="CU126" s="2"/>
      <c r="CV126" s="49"/>
      <c r="CW126" s="49"/>
      <c r="CX126" s="2"/>
      <c r="CY126" s="2"/>
      <c r="CZ126" s="160"/>
      <c r="DA126" s="12"/>
      <c r="DB126" s="12"/>
      <c r="DC126" s="12"/>
      <c r="DD126" s="12"/>
      <c r="DE126" s="12"/>
      <c r="DF126" s="12"/>
      <c r="DG126" s="12"/>
      <c r="DH126" s="12"/>
      <c r="DI126" s="46"/>
      <c r="DJ126" s="48"/>
      <c r="DK126" s="48"/>
      <c r="DL126" s="48"/>
      <c r="DM126" s="13"/>
      <c r="DN126" s="13"/>
      <c r="DO126" s="12"/>
      <c r="DP126" s="12"/>
      <c r="DQ126" s="12"/>
      <c r="DR126" s="12"/>
      <c r="DS126" s="12"/>
      <c r="DT126" s="12"/>
      <c r="DU126" s="12"/>
      <c r="DV126" s="12"/>
      <c r="DW126" s="12"/>
      <c r="DX126" s="12"/>
      <c r="DY126" s="12"/>
      <c r="DZ126" s="12"/>
      <c r="EA126" s="12"/>
      <c r="EB126" s="12"/>
      <c r="EC126" s="12"/>
      <c r="ED126" s="12"/>
    </row>
    <row r="127" spans="1:134" ht="12.5" x14ac:dyDescent="0.25">
      <c r="A127" s="46"/>
      <c r="B127" s="46"/>
      <c r="C127" s="46"/>
      <c r="D127" s="46"/>
      <c r="E127" s="15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46"/>
      <c r="BA127" s="46"/>
      <c r="BB127" s="46"/>
      <c r="BC127" s="46"/>
      <c r="BD127" s="46"/>
      <c r="BE127" s="46"/>
      <c r="BF127" s="12"/>
      <c r="BG127" s="12"/>
      <c r="BH127" s="12"/>
      <c r="BI127" s="46"/>
      <c r="BJ127" s="46"/>
      <c r="BK127" s="46"/>
      <c r="BL127" s="46"/>
      <c r="BM127" s="46"/>
      <c r="BN127" s="46"/>
      <c r="BO127" s="46"/>
      <c r="BP127" s="46"/>
      <c r="BQ127" s="157"/>
      <c r="BR127" s="156"/>
      <c r="BS127" s="46"/>
      <c r="BT127" s="46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2"/>
      <c r="CM127" s="12"/>
      <c r="CN127" s="12"/>
      <c r="CO127" s="12"/>
      <c r="CP127" s="12"/>
      <c r="CQ127" s="12"/>
      <c r="CR127" s="46"/>
      <c r="CS127" s="46"/>
      <c r="CT127" s="2"/>
      <c r="CU127" s="2"/>
      <c r="CV127" s="49"/>
      <c r="CW127" s="49"/>
      <c r="CX127" s="2"/>
      <c r="CY127" s="2"/>
      <c r="CZ127" s="160"/>
      <c r="DA127" s="12"/>
      <c r="DB127" s="12"/>
      <c r="DC127" s="12"/>
      <c r="DD127" s="12"/>
      <c r="DE127" s="12"/>
      <c r="DF127" s="12"/>
      <c r="DG127" s="12"/>
      <c r="DH127" s="12"/>
      <c r="DI127" s="46"/>
      <c r="DJ127" s="48"/>
      <c r="DK127" s="48"/>
      <c r="DL127" s="48"/>
      <c r="DM127" s="13"/>
      <c r="DN127" s="13"/>
      <c r="DO127" s="12"/>
      <c r="DP127" s="12"/>
      <c r="DQ127" s="12"/>
      <c r="DR127" s="12"/>
      <c r="DS127" s="12"/>
      <c r="DT127" s="12"/>
      <c r="DU127" s="12"/>
      <c r="DV127" s="12"/>
      <c r="DW127" s="12"/>
      <c r="DX127" s="12"/>
      <c r="DY127" s="12"/>
      <c r="DZ127" s="12"/>
      <c r="EA127" s="12"/>
      <c r="EB127" s="12"/>
      <c r="EC127" s="12"/>
      <c r="ED127" s="12"/>
    </row>
    <row r="128" spans="1:134" ht="12.5" x14ac:dyDescent="0.25">
      <c r="A128" s="46"/>
      <c r="B128" s="46"/>
      <c r="C128" s="46"/>
      <c r="D128" s="46"/>
      <c r="E128" s="15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46"/>
      <c r="BA128" s="46"/>
      <c r="BB128" s="46"/>
      <c r="BC128" s="46"/>
      <c r="BD128" s="46"/>
      <c r="BE128" s="46"/>
      <c r="BF128" s="12"/>
      <c r="BG128" s="12"/>
      <c r="BH128" s="12"/>
      <c r="BI128" s="46"/>
      <c r="BJ128" s="46"/>
      <c r="BK128" s="46"/>
      <c r="BL128" s="46"/>
      <c r="BM128" s="46"/>
      <c r="BN128" s="46"/>
      <c r="BO128" s="46"/>
      <c r="BP128" s="46"/>
      <c r="BQ128" s="157"/>
      <c r="BR128" s="156"/>
      <c r="BS128" s="46"/>
      <c r="BT128" s="46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2"/>
      <c r="CM128" s="12"/>
      <c r="CN128" s="12"/>
      <c r="CO128" s="12"/>
      <c r="CP128" s="12"/>
      <c r="CQ128" s="12"/>
      <c r="CR128" s="46"/>
      <c r="CS128" s="46"/>
      <c r="CT128" s="2"/>
      <c r="CU128" s="2"/>
      <c r="CV128" s="49"/>
      <c r="CW128" s="49"/>
      <c r="CX128" s="2"/>
      <c r="CY128" s="2"/>
      <c r="CZ128" s="160"/>
      <c r="DA128" s="12"/>
      <c r="DB128" s="12"/>
      <c r="DC128" s="12"/>
      <c r="DD128" s="12"/>
      <c r="DE128" s="12"/>
      <c r="DF128" s="12"/>
      <c r="DG128" s="12"/>
      <c r="DH128" s="12"/>
      <c r="DI128" s="46"/>
      <c r="DJ128" s="48"/>
      <c r="DK128" s="48"/>
      <c r="DL128" s="48"/>
      <c r="DM128" s="13"/>
      <c r="DN128" s="13"/>
      <c r="DO128" s="12"/>
      <c r="DP128" s="12"/>
      <c r="DQ128" s="12"/>
      <c r="DR128" s="12"/>
      <c r="DS128" s="12"/>
      <c r="DT128" s="12"/>
      <c r="DU128" s="12"/>
      <c r="DV128" s="12"/>
      <c r="DW128" s="12"/>
      <c r="DX128" s="12"/>
      <c r="DY128" s="12"/>
      <c r="DZ128" s="12"/>
      <c r="EA128" s="12"/>
      <c r="EB128" s="12"/>
      <c r="EC128" s="12"/>
      <c r="ED128" s="12"/>
    </row>
    <row r="129" spans="1:134" ht="12.5" x14ac:dyDescent="0.25">
      <c r="A129" s="46"/>
      <c r="B129" s="46"/>
      <c r="C129" s="46"/>
      <c r="D129" s="46"/>
      <c r="E129" s="15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46"/>
      <c r="BA129" s="46"/>
      <c r="BB129" s="46"/>
      <c r="BC129" s="46"/>
      <c r="BD129" s="46"/>
      <c r="BE129" s="46"/>
      <c r="BF129" s="12"/>
      <c r="BG129" s="12"/>
      <c r="BH129" s="12"/>
      <c r="BI129" s="46"/>
      <c r="BJ129" s="46"/>
      <c r="BK129" s="46"/>
      <c r="BL129" s="46"/>
      <c r="BM129" s="46"/>
      <c r="BN129" s="46"/>
      <c r="BO129" s="46"/>
      <c r="BP129" s="46"/>
      <c r="BQ129" s="157"/>
      <c r="BR129" s="156"/>
      <c r="BS129" s="46"/>
      <c r="BT129" s="46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2"/>
      <c r="CM129" s="12"/>
      <c r="CN129" s="12"/>
      <c r="CO129" s="12"/>
      <c r="CP129" s="12"/>
      <c r="CQ129" s="12"/>
      <c r="CR129" s="46"/>
      <c r="CS129" s="46"/>
      <c r="CT129" s="2"/>
      <c r="CU129" s="2"/>
      <c r="CV129" s="49"/>
      <c r="CW129" s="49"/>
      <c r="CX129" s="2"/>
      <c r="CY129" s="2"/>
      <c r="CZ129" s="160"/>
      <c r="DA129" s="12"/>
      <c r="DB129" s="12"/>
      <c r="DC129" s="12"/>
      <c r="DD129" s="12"/>
      <c r="DE129" s="12"/>
      <c r="DF129" s="12"/>
      <c r="DG129" s="12"/>
      <c r="DH129" s="12"/>
      <c r="DI129" s="46"/>
      <c r="DJ129" s="48"/>
      <c r="DK129" s="48"/>
      <c r="DL129" s="48"/>
      <c r="DM129" s="13"/>
      <c r="DN129" s="13"/>
      <c r="DO129" s="12"/>
      <c r="DP129" s="12"/>
      <c r="DQ129" s="12"/>
      <c r="DR129" s="12"/>
      <c r="DS129" s="12"/>
      <c r="DT129" s="12"/>
      <c r="DU129" s="12"/>
      <c r="DV129" s="12"/>
      <c r="DW129" s="12"/>
      <c r="DX129" s="12"/>
      <c r="DY129" s="12"/>
      <c r="DZ129" s="12"/>
      <c r="EA129" s="12"/>
      <c r="EB129" s="12"/>
      <c r="EC129" s="12"/>
      <c r="ED129" s="12"/>
    </row>
    <row r="130" spans="1:134" ht="12.5" x14ac:dyDescent="0.25">
      <c r="A130" s="46"/>
      <c r="B130" s="46"/>
      <c r="C130" s="46"/>
      <c r="D130" s="46"/>
      <c r="E130" s="15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46"/>
      <c r="BA130" s="46"/>
      <c r="BB130" s="46"/>
      <c r="BC130" s="46"/>
      <c r="BD130" s="46"/>
      <c r="BE130" s="46"/>
      <c r="BF130" s="12"/>
      <c r="BG130" s="12"/>
      <c r="BH130" s="12"/>
      <c r="BI130" s="46"/>
      <c r="BJ130" s="46"/>
      <c r="BK130" s="46"/>
      <c r="BL130" s="46"/>
      <c r="BM130" s="46"/>
      <c r="BN130" s="46"/>
      <c r="BO130" s="46"/>
      <c r="BP130" s="46"/>
      <c r="BQ130" s="157"/>
      <c r="BR130" s="156"/>
      <c r="BS130" s="46"/>
      <c r="BT130" s="46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2"/>
      <c r="CM130" s="12"/>
      <c r="CN130" s="12"/>
      <c r="CO130" s="12"/>
      <c r="CP130" s="12"/>
      <c r="CQ130" s="12"/>
      <c r="CR130" s="46"/>
      <c r="CS130" s="46"/>
      <c r="CT130" s="2"/>
      <c r="CU130" s="2"/>
      <c r="CV130" s="49"/>
      <c r="CW130" s="49"/>
      <c r="CX130" s="2"/>
      <c r="CY130" s="2"/>
      <c r="CZ130" s="160"/>
      <c r="DA130" s="12"/>
      <c r="DB130" s="12"/>
      <c r="DC130" s="12"/>
      <c r="DD130" s="12"/>
      <c r="DE130" s="12"/>
      <c r="DF130" s="12"/>
      <c r="DG130" s="12"/>
      <c r="DH130" s="12"/>
      <c r="DI130" s="46"/>
      <c r="DJ130" s="48"/>
      <c r="DK130" s="48"/>
      <c r="DL130" s="48"/>
      <c r="DM130" s="13"/>
      <c r="DN130" s="13"/>
      <c r="DO130" s="12"/>
      <c r="DP130" s="12"/>
      <c r="DQ130" s="12"/>
      <c r="DR130" s="12"/>
      <c r="DS130" s="12"/>
      <c r="DT130" s="12"/>
      <c r="DU130" s="12"/>
      <c r="DV130" s="12"/>
      <c r="DW130" s="12"/>
      <c r="DX130" s="12"/>
      <c r="DY130" s="12"/>
      <c r="DZ130" s="12"/>
      <c r="EA130" s="12"/>
      <c r="EB130" s="12"/>
      <c r="EC130" s="12"/>
      <c r="ED130" s="12"/>
    </row>
    <row r="131" spans="1:134" ht="12.5" x14ac:dyDescent="0.25">
      <c r="A131" s="46"/>
      <c r="B131" s="46"/>
      <c r="C131" s="46"/>
      <c r="D131" s="46"/>
      <c r="E131" s="15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46"/>
      <c r="BA131" s="46"/>
      <c r="BB131" s="46"/>
      <c r="BC131" s="46"/>
      <c r="BD131" s="46"/>
      <c r="BE131" s="46"/>
      <c r="BF131" s="12"/>
      <c r="BG131" s="12"/>
      <c r="BH131" s="12"/>
      <c r="BI131" s="46"/>
      <c r="BJ131" s="46"/>
      <c r="BK131" s="46"/>
      <c r="BL131" s="46"/>
      <c r="BM131" s="46"/>
      <c r="BN131" s="46"/>
      <c r="BO131" s="46"/>
      <c r="BP131" s="46"/>
      <c r="BQ131" s="157"/>
      <c r="BR131" s="156"/>
      <c r="BS131" s="46"/>
      <c r="BT131" s="46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2"/>
      <c r="CM131" s="12"/>
      <c r="CN131" s="12"/>
      <c r="CO131" s="12"/>
      <c r="CP131" s="12"/>
      <c r="CQ131" s="12"/>
      <c r="CR131" s="46"/>
      <c r="CS131" s="46"/>
      <c r="CT131" s="2"/>
      <c r="CU131" s="2"/>
      <c r="CV131" s="49"/>
      <c r="CW131" s="49"/>
      <c r="CX131" s="2"/>
      <c r="CY131" s="2"/>
      <c r="CZ131" s="160"/>
      <c r="DA131" s="12"/>
      <c r="DB131" s="12"/>
      <c r="DC131" s="12"/>
      <c r="DD131" s="12"/>
      <c r="DE131" s="12"/>
      <c r="DF131" s="12"/>
      <c r="DG131" s="12"/>
      <c r="DH131" s="12"/>
      <c r="DI131" s="46"/>
      <c r="DJ131" s="48"/>
      <c r="DK131" s="48"/>
      <c r="DL131" s="48"/>
      <c r="DM131" s="13"/>
      <c r="DN131" s="13"/>
      <c r="DO131" s="12"/>
      <c r="DP131" s="12"/>
      <c r="DQ131" s="12"/>
      <c r="DR131" s="12"/>
      <c r="DS131" s="12"/>
      <c r="DT131" s="12"/>
      <c r="DU131" s="12"/>
      <c r="DV131" s="12"/>
      <c r="DW131" s="12"/>
      <c r="DX131" s="12"/>
      <c r="DY131" s="12"/>
      <c r="DZ131" s="12"/>
      <c r="EA131" s="12"/>
      <c r="EB131" s="12"/>
      <c r="EC131" s="12"/>
      <c r="ED131" s="12"/>
    </row>
    <row r="132" spans="1:134" ht="12.5" x14ac:dyDescent="0.25">
      <c r="A132" s="46"/>
      <c r="B132" s="46"/>
      <c r="C132" s="46"/>
      <c r="D132" s="46"/>
      <c r="E132" s="15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46"/>
      <c r="BA132" s="46"/>
      <c r="BB132" s="46"/>
      <c r="BC132" s="46"/>
      <c r="BD132" s="46"/>
      <c r="BE132" s="46"/>
      <c r="BF132" s="12"/>
      <c r="BG132" s="12"/>
      <c r="BH132" s="12"/>
      <c r="BI132" s="46"/>
      <c r="BJ132" s="46"/>
      <c r="BK132" s="46"/>
      <c r="BL132" s="46"/>
      <c r="BM132" s="46"/>
      <c r="BN132" s="46"/>
      <c r="BO132" s="46"/>
      <c r="BP132" s="46"/>
      <c r="BQ132" s="157"/>
      <c r="BR132" s="156"/>
      <c r="BS132" s="46"/>
      <c r="BT132" s="46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2"/>
      <c r="CM132" s="12"/>
      <c r="CN132" s="12"/>
      <c r="CO132" s="12"/>
      <c r="CP132" s="12"/>
      <c r="CQ132" s="12"/>
      <c r="CR132" s="46"/>
      <c r="CS132" s="46"/>
      <c r="CT132" s="2"/>
      <c r="CU132" s="2"/>
      <c r="CV132" s="49"/>
      <c r="CW132" s="49"/>
      <c r="CX132" s="2"/>
      <c r="CY132" s="2"/>
      <c r="CZ132" s="160"/>
      <c r="DA132" s="12"/>
      <c r="DB132" s="12"/>
      <c r="DC132" s="12"/>
      <c r="DD132" s="12"/>
      <c r="DE132" s="12"/>
      <c r="DF132" s="12"/>
      <c r="DG132" s="12"/>
      <c r="DH132" s="12"/>
      <c r="DI132" s="46"/>
      <c r="DJ132" s="48"/>
      <c r="DK132" s="48"/>
      <c r="DL132" s="48"/>
      <c r="DM132" s="13"/>
      <c r="DN132" s="13"/>
      <c r="DO132" s="12"/>
      <c r="DP132" s="12"/>
      <c r="DQ132" s="12"/>
      <c r="DR132" s="12"/>
      <c r="DS132" s="12"/>
      <c r="DT132" s="12"/>
      <c r="DU132" s="12"/>
      <c r="DV132" s="12"/>
      <c r="DW132" s="12"/>
      <c r="DX132" s="12"/>
      <c r="DY132" s="12"/>
      <c r="DZ132" s="12"/>
      <c r="EA132" s="12"/>
      <c r="EB132" s="12"/>
      <c r="EC132" s="12"/>
      <c r="ED132" s="12"/>
    </row>
    <row r="133" spans="1:134" ht="12.5" x14ac:dyDescent="0.25">
      <c r="A133" s="46"/>
      <c r="B133" s="46"/>
      <c r="C133" s="46"/>
      <c r="D133" s="46"/>
      <c r="E133" s="15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46"/>
      <c r="BA133" s="46"/>
      <c r="BB133" s="46"/>
      <c r="BC133" s="46"/>
      <c r="BD133" s="46"/>
      <c r="BE133" s="46"/>
      <c r="BF133" s="12"/>
      <c r="BG133" s="12"/>
      <c r="BH133" s="12"/>
      <c r="BI133" s="46"/>
      <c r="BJ133" s="46"/>
      <c r="BK133" s="46"/>
      <c r="BL133" s="46"/>
      <c r="BM133" s="46"/>
      <c r="BN133" s="46"/>
      <c r="BO133" s="46"/>
      <c r="BP133" s="46"/>
      <c r="BQ133" s="157"/>
      <c r="BR133" s="156"/>
      <c r="BS133" s="46"/>
      <c r="BT133" s="46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2"/>
      <c r="CM133" s="12"/>
      <c r="CN133" s="12"/>
      <c r="CO133" s="12"/>
      <c r="CP133" s="12"/>
      <c r="CQ133" s="12"/>
      <c r="CR133" s="46"/>
      <c r="CS133" s="46"/>
      <c r="CT133" s="2"/>
      <c r="CU133" s="2"/>
      <c r="CV133" s="49"/>
      <c r="CW133" s="49"/>
      <c r="CX133" s="2"/>
      <c r="CY133" s="2"/>
      <c r="CZ133" s="160"/>
      <c r="DA133" s="12"/>
      <c r="DB133" s="12"/>
      <c r="DC133" s="12"/>
      <c r="DD133" s="12"/>
      <c r="DE133" s="12"/>
      <c r="DF133" s="12"/>
      <c r="DG133" s="12"/>
      <c r="DH133" s="12"/>
      <c r="DI133" s="46"/>
      <c r="DJ133" s="48"/>
      <c r="DK133" s="48"/>
      <c r="DL133" s="48"/>
      <c r="DM133" s="13"/>
      <c r="DN133" s="13"/>
      <c r="DO133" s="12"/>
      <c r="DP133" s="12"/>
      <c r="DQ133" s="12"/>
      <c r="DR133" s="12"/>
      <c r="DS133" s="12"/>
      <c r="DT133" s="12"/>
      <c r="DU133" s="12"/>
      <c r="DV133" s="12"/>
      <c r="DW133" s="12"/>
      <c r="DX133" s="12"/>
      <c r="DY133" s="12"/>
      <c r="DZ133" s="12"/>
      <c r="EA133" s="12"/>
      <c r="EB133" s="12"/>
      <c r="EC133" s="12"/>
      <c r="ED133" s="12"/>
    </row>
    <row r="134" spans="1:134" ht="12.5" x14ac:dyDescent="0.25">
      <c r="A134" s="46"/>
      <c r="B134" s="46"/>
      <c r="C134" s="46"/>
      <c r="D134" s="46"/>
      <c r="E134" s="15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46"/>
      <c r="BA134" s="46"/>
      <c r="BB134" s="46"/>
      <c r="BC134" s="46"/>
      <c r="BD134" s="46"/>
      <c r="BE134" s="46"/>
      <c r="BF134" s="12"/>
      <c r="BG134" s="12"/>
      <c r="BH134" s="12"/>
      <c r="BI134" s="46"/>
      <c r="BJ134" s="46"/>
      <c r="BK134" s="46"/>
      <c r="BL134" s="46"/>
      <c r="BM134" s="46"/>
      <c r="BN134" s="46"/>
      <c r="BO134" s="46"/>
      <c r="BP134" s="46"/>
      <c r="BQ134" s="157"/>
      <c r="BR134" s="156"/>
      <c r="BS134" s="46"/>
      <c r="BT134" s="46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2"/>
      <c r="CM134" s="12"/>
      <c r="CN134" s="12"/>
      <c r="CO134" s="12"/>
      <c r="CP134" s="12"/>
      <c r="CQ134" s="12"/>
      <c r="CR134" s="46"/>
      <c r="CS134" s="46"/>
      <c r="CT134" s="2"/>
      <c r="CU134" s="2"/>
      <c r="CV134" s="49"/>
      <c r="CW134" s="49"/>
      <c r="CX134" s="2"/>
      <c r="CY134" s="2"/>
      <c r="CZ134" s="160"/>
      <c r="DA134" s="12"/>
      <c r="DB134" s="12"/>
      <c r="DC134" s="12"/>
      <c r="DD134" s="12"/>
      <c r="DE134" s="12"/>
      <c r="DF134" s="12"/>
      <c r="DG134" s="12"/>
      <c r="DH134" s="12"/>
      <c r="DI134" s="46"/>
      <c r="DJ134" s="48"/>
      <c r="DK134" s="48"/>
      <c r="DL134" s="48"/>
      <c r="DM134" s="13"/>
      <c r="DN134" s="13"/>
      <c r="DO134" s="12"/>
      <c r="DP134" s="12"/>
      <c r="DQ134" s="12"/>
      <c r="DR134" s="12"/>
      <c r="DS134" s="12"/>
      <c r="DT134" s="12"/>
      <c r="DU134" s="12"/>
      <c r="DV134" s="12"/>
      <c r="DW134" s="12"/>
      <c r="DX134" s="12"/>
      <c r="DY134" s="12"/>
      <c r="DZ134" s="12"/>
      <c r="EA134" s="12"/>
      <c r="EB134" s="12"/>
      <c r="EC134" s="12"/>
      <c r="ED134" s="12"/>
    </row>
    <row r="135" spans="1:134" ht="12.5" x14ac:dyDescent="0.25">
      <c r="A135" s="46"/>
      <c r="B135" s="46"/>
      <c r="C135" s="46"/>
      <c r="D135" s="46"/>
      <c r="E135" s="15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46"/>
      <c r="BA135" s="46"/>
      <c r="BB135" s="46"/>
      <c r="BC135" s="46"/>
      <c r="BD135" s="46"/>
      <c r="BE135" s="46"/>
      <c r="BF135" s="12"/>
      <c r="BG135" s="12"/>
      <c r="BH135" s="12"/>
      <c r="BI135" s="46"/>
      <c r="BJ135" s="46"/>
      <c r="BK135" s="46"/>
      <c r="BL135" s="46"/>
      <c r="BM135" s="46"/>
      <c r="BN135" s="46"/>
      <c r="BO135" s="46"/>
      <c r="BP135" s="46"/>
      <c r="BQ135" s="157"/>
      <c r="BR135" s="156"/>
      <c r="BS135" s="46"/>
      <c r="BT135" s="46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  <c r="CF135" s="12"/>
      <c r="CG135" s="12"/>
      <c r="CH135" s="12"/>
      <c r="CI135" s="12"/>
      <c r="CJ135" s="12"/>
      <c r="CK135" s="12"/>
      <c r="CL135" s="2"/>
      <c r="CM135" s="12"/>
      <c r="CN135" s="12"/>
      <c r="CO135" s="12"/>
      <c r="CP135" s="12"/>
      <c r="CQ135" s="12"/>
      <c r="CR135" s="46"/>
      <c r="CS135" s="46"/>
      <c r="CT135" s="2"/>
      <c r="CU135" s="2"/>
      <c r="CV135" s="49"/>
      <c r="CW135" s="49"/>
      <c r="CX135" s="2"/>
      <c r="CY135" s="2"/>
      <c r="CZ135" s="160"/>
      <c r="DA135" s="12"/>
      <c r="DB135" s="12"/>
      <c r="DC135" s="12"/>
      <c r="DD135" s="12"/>
      <c r="DE135" s="12"/>
      <c r="DF135" s="12"/>
      <c r="DG135" s="12"/>
      <c r="DH135" s="12"/>
      <c r="DI135" s="46"/>
      <c r="DJ135" s="48"/>
      <c r="DK135" s="48"/>
      <c r="DL135" s="48"/>
      <c r="DM135" s="13"/>
      <c r="DN135" s="13"/>
      <c r="DO135" s="12"/>
      <c r="DP135" s="12"/>
      <c r="DQ135" s="12"/>
      <c r="DR135" s="12"/>
      <c r="DS135" s="12"/>
      <c r="DT135" s="12"/>
      <c r="DU135" s="12"/>
      <c r="DV135" s="12"/>
      <c r="DW135" s="12"/>
      <c r="DX135" s="12"/>
      <c r="DY135" s="12"/>
      <c r="DZ135" s="12"/>
      <c r="EA135" s="12"/>
      <c r="EB135" s="12"/>
      <c r="EC135" s="12"/>
      <c r="ED135" s="12"/>
    </row>
    <row r="136" spans="1:134" ht="12.5" x14ac:dyDescent="0.25">
      <c r="A136" s="46"/>
      <c r="B136" s="46"/>
      <c r="C136" s="46"/>
      <c r="D136" s="46"/>
      <c r="E136" s="15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46"/>
      <c r="BA136" s="46"/>
      <c r="BB136" s="46"/>
      <c r="BC136" s="46"/>
      <c r="BD136" s="46"/>
      <c r="BE136" s="46"/>
      <c r="BF136" s="12"/>
      <c r="BG136" s="12"/>
      <c r="BH136" s="12"/>
      <c r="BI136" s="46"/>
      <c r="BJ136" s="46"/>
      <c r="BK136" s="46"/>
      <c r="BL136" s="46"/>
      <c r="BM136" s="46"/>
      <c r="BN136" s="46"/>
      <c r="BO136" s="46"/>
      <c r="BP136" s="46"/>
      <c r="BQ136" s="157"/>
      <c r="BR136" s="156"/>
      <c r="BS136" s="46"/>
      <c r="BT136" s="46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2"/>
      <c r="CM136" s="12"/>
      <c r="CN136" s="12"/>
      <c r="CO136" s="12"/>
      <c r="CP136" s="12"/>
      <c r="CQ136" s="12"/>
      <c r="CR136" s="46"/>
      <c r="CS136" s="46"/>
      <c r="CT136" s="2"/>
      <c r="CU136" s="2"/>
      <c r="CV136" s="49"/>
      <c r="CW136" s="49"/>
      <c r="CX136" s="2"/>
      <c r="CY136" s="2"/>
      <c r="CZ136" s="160"/>
      <c r="DA136" s="12"/>
      <c r="DB136" s="12"/>
      <c r="DC136" s="12"/>
      <c r="DD136" s="12"/>
      <c r="DE136" s="12"/>
      <c r="DF136" s="12"/>
      <c r="DG136" s="12"/>
      <c r="DH136" s="12"/>
      <c r="DI136" s="46"/>
      <c r="DJ136" s="48"/>
      <c r="DK136" s="48"/>
      <c r="DL136" s="48"/>
      <c r="DM136" s="13"/>
      <c r="DN136" s="13"/>
      <c r="DO136" s="12"/>
      <c r="DP136" s="12"/>
      <c r="DQ136" s="12"/>
      <c r="DR136" s="12"/>
      <c r="DS136" s="12"/>
      <c r="DT136" s="12"/>
      <c r="DU136" s="12"/>
      <c r="DV136" s="12"/>
      <c r="DW136" s="12"/>
      <c r="DX136" s="12"/>
      <c r="DY136" s="12"/>
      <c r="DZ136" s="12"/>
      <c r="EA136" s="12"/>
      <c r="EB136" s="12"/>
      <c r="EC136" s="12"/>
      <c r="ED136" s="12"/>
    </row>
    <row r="137" spans="1:134" ht="12.5" x14ac:dyDescent="0.25">
      <c r="A137" s="46"/>
      <c r="B137" s="46"/>
      <c r="C137" s="46"/>
      <c r="D137" s="46"/>
      <c r="E137" s="15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46"/>
      <c r="BA137" s="46"/>
      <c r="BB137" s="46"/>
      <c r="BC137" s="46"/>
      <c r="BD137" s="46"/>
      <c r="BE137" s="46"/>
      <c r="BF137" s="12"/>
      <c r="BG137" s="12"/>
      <c r="BH137" s="12"/>
      <c r="BI137" s="46"/>
      <c r="BJ137" s="46"/>
      <c r="BK137" s="46"/>
      <c r="BL137" s="46"/>
      <c r="BM137" s="46"/>
      <c r="BN137" s="46"/>
      <c r="BO137" s="46"/>
      <c r="BP137" s="46"/>
      <c r="BQ137" s="157"/>
      <c r="BR137" s="156"/>
      <c r="BS137" s="46"/>
      <c r="BT137" s="46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2"/>
      <c r="CM137" s="12"/>
      <c r="CN137" s="12"/>
      <c r="CO137" s="12"/>
      <c r="CP137" s="12"/>
      <c r="CQ137" s="12"/>
      <c r="CR137" s="46"/>
      <c r="CS137" s="46"/>
      <c r="CT137" s="2"/>
      <c r="CU137" s="2"/>
      <c r="CV137" s="49"/>
      <c r="CW137" s="49"/>
      <c r="CX137" s="2"/>
      <c r="CY137" s="2"/>
      <c r="CZ137" s="160"/>
      <c r="DA137" s="12"/>
      <c r="DB137" s="12"/>
      <c r="DC137" s="12"/>
      <c r="DD137" s="12"/>
      <c r="DE137" s="12"/>
      <c r="DF137" s="12"/>
      <c r="DG137" s="12"/>
      <c r="DH137" s="12"/>
      <c r="DI137" s="46"/>
      <c r="DJ137" s="48"/>
      <c r="DK137" s="48"/>
      <c r="DL137" s="48"/>
      <c r="DM137" s="13"/>
      <c r="DN137" s="13"/>
      <c r="DO137" s="12"/>
      <c r="DP137" s="12"/>
      <c r="DQ137" s="12"/>
      <c r="DR137" s="12"/>
      <c r="DS137" s="12"/>
      <c r="DT137" s="12"/>
      <c r="DU137" s="12"/>
      <c r="DV137" s="12"/>
      <c r="DW137" s="12"/>
      <c r="DX137" s="12"/>
      <c r="DY137" s="12"/>
      <c r="DZ137" s="12"/>
      <c r="EA137" s="12"/>
      <c r="EB137" s="12"/>
      <c r="EC137" s="12"/>
      <c r="ED137" s="12"/>
    </row>
    <row r="138" spans="1:134" ht="12.5" x14ac:dyDescent="0.25">
      <c r="A138" s="46"/>
      <c r="B138" s="46"/>
      <c r="C138" s="46"/>
      <c r="D138" s="46"/>
      <c r="E138" s="15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46"/>
      <c r="BA138" s="46"/>
      <c r="BB138" s="46"/>
      <c r="BC138" s="46"/>
      <c r="BD138" s="46"/>
      <c r="BE138" s="46"/>
      <c r="BF138" s="12"/>
      <c r="BG138" s="12"/>
      <c r="BH138" s="12"/>
      <c r="BI138" s="46"/>
      <c r="BJ138" s="46"/>
      <c r="BK138" s="46"/>
      <c r="BL138" s="46"/>
      <c r="BM138" s="46"/>
      <c r="BN138" s="46"/>
      <c r="BO138" s="46"/>
      <c r="BP138" s="46"/>
      <c r="BQ138" s="157"/>
      <c r="BR138" s="156"/>
      <c r="BS138" s="46"/>
      <c r="BT138" s="46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2"/>
      <c r="CM138" s="12"/>
      <c r="CN138" s="12"/>
      <c r="CO138" s="12"/>
      <c r="CP138" s="12"/>
      <c r="CQ138" s="12"/>
      <c r="CR138" s="46"/>
      <c r="CS138" s="46"/>
      <c r="CT138" s="2"/>
      <c r="CU138" s="2"/>
      <c r="CV138" s="49"/>
      <c r="CW138" s="49"/>
      <c r="CX138" s="2"/>
      <c r="CY138" s="2"/>
      <c r="CZ138" s="160"/>
      <c r="DA138" s="12"/>
      <c r="DB138" s="12"/>
      <c r="DC138" s="12"/>
      <c r="DD138" s="12"/>
      <c r="DE138" s="12"/>
      <c r="DF138" s="12"/>
      <c r="DG138" s="12"/>
      <c r="DH138" s="12"/>
      <c r="DI138" s="46"/>
      <c r="DJ138" s="48"/>
      <c r="DK138" s="48"/>
      <c r="DL138" s="48"/>
      <c r="DM138" s="13"/>
      <c r="DN138" s="13"/>
      <c r="DO138" s="12"/>
      <c r="DP138" s="12"/>
      <c r="DQ138" s="12"/>
      <c r="DR138" s="12"/>
      <c r="DS138" s="12"/>
      <c r="DT138" s="12"/>
      <c r="DU138" s="12"/>
      <c r="DV138" s="12"/>
      <c r="DW138" s="12"/>
      <c r="DX138" s="12"/>
      <c r="DY138" s="12"/>
      <c r="DZ138" s="12"/>
      <c r="EA138" s="12"/>
      <c r="EB138" s="12"/>
      <c r="EC138" s="12"/>
      <c r="ED138" s="12"/>
    </row>
    <row r="139" spans="1:134" ht="12.5" x14ac:dyDescent="0.25">
      <c r="A139" s="46"/>
      <c r="B139" s="46"/>
      <c r="C139" s="46"/>
      <c r="D139" s="46"/>
      <c r="E139" s="15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46"/>
      <c r="BA139" s="46"/>
      <c r="BB139" s="46"/>
      <c r="BC139" s="46"/>
      <c r="BD139" s="46"/>
      <c r="BE139" s="46"/>
      <c r="BF139" s="12"/>
      <c r="BG139" s="12"/>
      <c r="BH139" s="12"/>
      <c r="BI139" s="46"/>
      <c r="BJ139" s="46"/>
      <c r="BK139" s="46"/>
      <c r="BL139" s="46"/>
      <c r="BM139" s="46"/>
      <c r="BN139" s="46"/>
      <c r="BO139" s="46"/>
      <c r="BP139" s="46"/>
      <c r="BQ139" s="157"/>
      <c r="BR139" s="156"/>
      <c r="BS139" s="46"/>
      <c r="BT139" s="46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2"/>
      <c r="CM139" s="12"/>
      <c r="CN139" s="12"/>
      <c r="CO139" s="12"/>
      <c r="CP139" s="12"/>
      <c r="CQ139" s="12"/>
      <c r="CR139" s="46"/>
      <c r="CS139" s="46"/>
      <c r="CT139" s="2"/>
      <c r="CU139" s="2"/>
      <c r="CV139" s="49"/>
      <c r="CW139" s="49"/>
      <c r="CX139" s="2"/>
      <c r="CY139" s="2"/>
      <c r="CZ139" s="160"/>
      <c r="DA139" s="12"/>
      <c r="DB139" s="12"/>
      <c r="DC139" s="12"/>
      <c r="DD139" s="12"/>
      <c r="DE139" s="12"/>
      <c r="DF139" s="12"/>
      <c r="DG139" s="12"/>
      <c r="DH139" s="12"/>
      <c r="DI139" s="46"/>
      <c r="DJ139" s="48"/>
      <c r="DK139" s="48"/>
      <c r="DL139" s="48"/>
      <c r="DM139" s="13"/>
      <c r="DN139" s="13"/>
      <c r="DO139" s="12"/>
      <c r="DP139" s="12"/>
      <c r="DQ139" s="12"/>
      <c r="DR139" s="12"/>
      <c r="DS139" s="12"/>
      <c r="DT139" s="12"/>
      <c r="DU139" s="12"/>
      <c r="DV139" s="12"/>
      <c r="DW139" s="12"/>
      <c r="DX139" s="12"/>
      <c r="DY139" s="12"/>
      <c r="DZ139" s="12"/>
      <c r="EA139" s="12"/>
      <c r="EB139" s="12"/>
      <c r="EC139" s="12"/>
      <c r="ED139" s="12"/>
    </row>
    <row r="140" spans="1:134" ht="12.5" x14ac:dyDescent="0.25">
      <c r="A140" s="46"/>
      <c r="B140" s="46"/>
      <c r="C140" s="46"/>
      <c r="D140" s="46"/>
      <c r="E140" s="15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46"/>
      <c r="BA140" s="46"/>
      <c r="BB140" s="46"/>
      <c r="BC140" s="46"/>
      <c r="BD140" s="46"/>
      <c r="BE140" s="46"/>
      <c r="BF140" s="12"/>
      <c r="BG140" s="12"/>
      <c r="BH140" s="12"/>
      <c r="BI140" s="46"/>
      <c r="BJ140" s="46"/>
      <c r="BK140" s="46"/>
      <c r="BL140" s="46"/>
      <c r="BM140" s="46"/>
      <c r="BN140" s="46"/>
      <c r="BO140" s="46"/>
      <c r="BP140" s="46"/>
      <c r="BQ140" s="157"/>
      <c r="BR140" s="156"/>
      <c r="BS140" s="46"/>
      <c r="BT140" s="46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2"/>
      <c r="CM140" s="12"/>
      <c r="CN140" s="12"/>
      <c r="CO140" s="12"/>
      <c r="CP140" s="12"/>
      <c r="CQ140" s="12"/>
      <c r="CR140" s="46"/>
      <c r="CS140" s="46"/>
      <c r="CT140" s="2"/>
      <c r="CU140" s="2"/>
      <c r="CV140" s="49"/>
      <c r="CW140" s="49"/>
      <c r="CX140" s="2"/>
      <c r="CY140" s="2"/>
      <c r="CZ140" s="160"/>
      <c r="DA140" s="12"/>
      <c r="DB140" s="12"/>
      <c r="DC140" s="12"/>
      <c r="DD140" s="12"/>
      <c r="DE140" s="12"/>
      <c r="DF140" s="12"/>
      <c r="DG140" s="12"/>
      <c r="DH140" s="12"/>
      <c r="DI140" s="46"/>
      <c r="DJ140" s="48"/>
      <c r="DK140" s="48"/>
      <c r="DL140" s="48"/>
      <c r="DM140" s="13"/>
      <c r="DN140" s="13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</row>
    <row r="141" spans="1:134" ht="12.5" x14ac:dyDescent="0.25">
      <c r="A141" s="46"/>
      <c r="B141" s="46"/>
      <c r="C141" s="46"/>
      <c r="D141" s="46"/>
      <c r="E141" s="15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46"/>
      <c r="BA141" s="46"/>
      <c r="BB141" s="46"/>
      <c r="BC141" s="46"/>
      <c r="BD141" s="46"/>
      <c r="BE141" s="46"/>
      <c r="BF141" s="12"/>
      <c r="BG141" s="12"/>
      <c r="BH141" s="12"/>
      <c r="BI141" s="46"/>
      <c r="BJ141" s="46"/>
      <c r="BK141" s="46"/>
      <c r="BL141" s="46"/>
      <c r="BM141" s="46"/>
      <c r="BN141" s="46"/>
      <c r="BO141" s="46"/>
      <c r="BP141" s="46"/>
      <c r="BQ141" s="157"/>
      <c r="BR141" s="156"/>
      <c r="BS141" s="46"/>
      <c r="BT141" s="46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2"/>
      <c r="CM141" s="12"/>
      <c r="CN141" s="12"/>
      <c r="CO141" s="12"/>
      <c r="CP141" s="12"/>
      <c r="CQ141" s="12"/>
      <c r="CR141" s="46"/>
      <c r="CS141" s="46"/>
      <c r="CT141" s="2"/>
      <c r="CU141" s="2"/>
      <c r="CV141" s="49"/>
      <c r="CW141" s="49"/>
      <c r="CX141" s="2"/>
      <c r="CY141" s="2"/>
      <c r="CZ141" s="160"/>
      <c r="DA141" s="12"/>
      <c r="DB141" s="12"/>
      <c r="DC141" s="12"/>
      <c r="DD141" s="12"/>
      <c r="DE141" s="12"/>
      <c r="DF141" s="12"/>
      <c r="DG141" s="12"/>
      <c r="DH141" s="12"/>
      <c r="DI141" s="46"/>
      <c r="DJ141" s="48"/>
      <c r="DK141" s="48"/>
      <c r="DL141" s="48"/>
      <c r="DM141" s="13"/>
      <c r="DN141" s="13"/>
      <c r="DO141" s="12"/>
      <c r="DP141" s="12"/>
      <c r="DQ141" s="12"/>
      <c r="DR141" s="12"/>
      <c r="DS141" s="12"/>
      <c r="DT141" s="12"/>
      <c r="DU141" s="12"/>
      <c r="DV141" s="12"/>
      <c r="DW141" s="12"/>
      <c r="DX141" s="12"/>
      <c r="DY141" s="12"/>
      <c r="DZ141" s="12"/>
      <c r="EA141" s="12"/>
      <c r="EB141" s="12"/>
      <c r="EC141" s="12"/>
      <c r="ED141" s="12"/>
    </row>
    <row r="142" spans="1:134" ht="12.5" x14ac:dyDescent="0.25">
      <c r="A142" s="46"/>
      <c r="B142" s="46"/>
      <c r="C142" s="46"/>
      <c r="D142" s="46"/>
      <c r="E142" s="15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46"/>
      <c r="BA142" s="46"/>
      <c r="BB142" s="46"/>
      <c r="BC142" s="46"/>
      <c r="BD142" s="46"/>
      <c r="BE142" s="46"/>
      <c r="BF142" s="12"/>
      <c r="BG142" s="12"/>
      <c r="BH142" s="12"/>
      <c r="BI142" s="46"/>
      <c r="BJ142" s="46"/>
      <c r="BK142" s="46"/>
      <c r="BL142" s="46"/>
      <c r="BM142" s="46"/>
      <c r="BN142" s="46"/>
      <c r="BO142" s="46"/>
      <c r="BP142" s="46"/>
      <c r="BQ142" s="157"/>
      <c r="BR142" s="156"/>
      <c r="BS142" s="46"/>
      <c r="BT142" s="46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2"/>
      <c r="CM142" s="12"/>
      <c r="CN142" s="12"/>
      <c r="CO142" s="12"/>
      <c r="CP142" s="12"/>
      <c r="CQ142" s="12"/>
      <c r="CR142" s="46"/>
      <c r="CS142" s="46"/>
      <c r="CT142" s="2"/>
      <c r="CU142" s="2"/>
      <c r="CV142" s="49"/>
      <c r="CW142" s="49"/>
      <c r="CX142" s="2"/>
      <c r="CY142" s="2"/>
      <c r="CZ142" s="160"/>
      <c r="DA142" s="12"/>
      <c r="DB142" s="12"/>
      <c r="DC142" s="12"/>
      <c r="DD142" s="12"/>
      <c r="DE142" s="12"/>
      <c r="DF142" s="12"/>
      <c r="DG142" s="12"/>
      <c r="DH142" s="12"/>
      <c r="DI142" s="46"/>
      <c r="DJ142" s="48"/>
      <c r="DK142" s="48"/>
      <c r="DL142" s="48"/>
      <c r="DM142" s="13"/>
      <c r="DN142" s="13"/>
      <c r="DO142" s="12"/>
      <c r="DP142" s="12"/>
      <c r="DQ142" s="12"/>
      <c r="DR142" s="12"/>
      <c r="DS142" s="12"/>
      <c r="DT142" s="12"/>
      <c r="DU142" s="12"/>
      <c r="DV142" s="12"/>
      <c r="DW142" s="12"/>
      <c r="DX142" s="12"/>
      <c r="DY142" s="12"/>
      <c r="DZ142" s="12"/>
      <c r="EA142" s="12"/>
      <c r="EB142" s="12"/>
      <c r="EC142" s="12"/>
      <c r="ED142" s="12"/>
    </row>
    <row r="143" spans="1:134" ht="12.5" x14ac:dyDescent="0.25">
      <c r="A143" s="46"/>
      <c r="B143" s="46"/>
      <c r="C143" s="46"/>
      <c r="D143" s="46"/>
      <c r="E143" s="15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46"/>
      <c r="BA143" s="46"/>
      <c r="BB143" s="46"/>
      <c r="BC143" s="46"/>
      <c r="BD143" s="46"/>
      <c r="BE143" s="46"/>
      <c r="BF143" s="12"/>
      <c r="BG143" s="12"/>
      <c r="BH143" s="12"/>
      <c r="BI143" s="46"/>
      <c r="BJ143" s="46"/>
      <c r="BK143" s="46"/>
      <c r="BL143" s="46"/>
      <c r="BM143" s="46"/>
      <c r="BN143" s="46"/>
      <c r="BO143" s="46"/>
      <c r="BP143" s="46"/>
      <c r="BQ143" s="157"/>
      <c r="BR143" s="156"/>
      <c r="BS143" s="46"/>
      <c r="BT143" s="46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2"/>
      <c r="CM143" s="12"/>
      <c r="CN143" s="12"/>
      <c r="CO143" s="12"/>
      <c r="CP143" s="12"/>
      <c r="CQ143" s="12"/>
      <c r="CR143" s="46"/>
      <c r="CS143" s="46"/>
      <c r="CT143" s="2"/>
      <c r="CU143" s="2"/>
      <c r="CV143" s="49"/>
      <c r="CW143" s="49"/>
      <c r="CX143" s="2"/>
      <c r="CY143" s="2"/>
      <c r="CZ143" s="160"/>
      <c r="DA143" s="12"/>
      <c r="DB143" s="12"/>
      <c r="DC143" s="12"/>
      <c r="DD143" s="12"/>
      <c r="DE143" s="12"/>
      <c r="DF143" s="12"/>
      <c r="DG143" s="12"/>
      <c r="DH143" s="12"/>
      <c r="DI143" s="46"/>
      <c r="DJ143" s="48"/>
      <c r="DK143" s="48"/>
      <c r="DL143" s="48"/>
      <c r="DM143" s="13"/>
      <c r="DN143" s="13"/>
      <c r="DO143" s="12"/>
      <c r="DP143" s="12"/>
      <c r="DQ143" s="12"/>
      <c r="DR143" s="12"/>
      <c r="DS143" s="12"/>
      <c r="DT143" s="12"/>
      <c r="DU143" s="12"/>
      <c r="DV143" s="12"/>
      <c r="DW143" s="12"/>
      <c r="DX143" s="12"/>
      <c r="DY143" s="12"/>
      <c r="DZ143" s="12"/>
      <c r="EA143" s="12"/>
      <c r="EB143" s="12"/>
      <c r="EC143" s="12"/>
      <c r="ED143" s="12"/>
    </row>
    <row r="144" spans="1:134" ht="12.5" x14ac:dyDescent="0.25">
      <c r="A144" s="46"/>
      <c r="B144" s="46"/>
      <c r="C144" s="46"/>
      <c r="D144" s="46"/>
      <c r="E144" s="15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46"/>
      <c r="BA144" s="46"/>
      <c r="BB144" s="46"/>
      <c r="BC144" s="46"/>
      <c r="BD144" s="46"/>
      <c r="BE144" s="46"/>
      <c r="BF144" s="12"/>
      <c r="BG144" s="12"/>
      <c r="BH144" s="12"/>
      <c r="BI144" s="46"/>
      <c r="BJ144" s="46"/>
      <c r="BK144" s="46"/>
      <c r="BL144" s="46"/>
      <c r="BM144" s="46"/>
      <c r="BN144" s="46"/>
      <c r="BO144" s="46"/>
      <c r="BP144" s="46"/>
      <c r="BQ144" s="157"/>
      <c r="BR144" s="156"/>
      <c r="BS144" s="46"/>
      <c r="BT144" s="46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2"/>
      <c r="CM144" s="12"/>
      <c r="CN144" s="12"/>
      <c r="CO144" s="12"/>
      <c r="CP144" s="12"/>
      <c r="CQ144" s="12"/>
      <c r="CR144" s="46"/>
      <c r="CS144" s="46"/>
      <c r="CT144" s="2"/>
      <c r="CU144" s="2"/>
      <c r="CV144" s="49"/>
      <c r="CW144" s="49"/>
      <c r="CX144" s="2"/>
      <c r="CY144" s="2"/>
      <c r="CZ144" s="160"/>
      <c r="DA144" s="12"/>
      <c r="DB144" s="12"/>
      <c r="DC144" s="12"/>
      <c r="DD144" s="12"/>
      <c r="DE144" s="12"/>
      <c r="DF144" s="12"/>
      <c r="DG144" s="12"/>
      <c r="DH144" s="12"/>
      <c r="DI144" s="46"/>
      <c r="DJ144" s="48"/>
      <c r="DK144" s="48"/>
      <c r="DL144" s="48"/>
      <c r="DM144" s="13"/>
      <c r="DN144" s="13"/>
      <c r="DO144" s="12"/>
      <c r="DP144" s="12"/>
      <c r="DQ144" s="12"/>
      <c r="DR144" s="12"/>
      <c r="DS144" s="12"/>
      <c r="DT144" s="12"/>
      <c r="DU144" s="12"/>
      <c r="DV144" s="12"/>
      <c r="DW144" s="12"/>
      <c r="DX144" s="12"/>
      <c r="DY144" s="12"/>
      <c r="DZ144" s="12"/>
      <c r="EA144" s="12"/>
      <c r="EB144" s="12"/>
      <c r="EC144" s="12"/>
      <c r="ED144" s="12"/>
    </row>
    <row r="145" spans="1:134" ht="12.5" x14ac:dyDescent="0.25">
      <c r="A145" s="46"/>
      <c r="B145" s="46"/>
      <c r="C145" s="46"/>
      <c r="D145" s="46"/>
      <c r="E145" s="15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46"/>
      <c r="BA145" s="46"/>
      <c r="BB145" s="46"/>
      <c r="BC145" s="46"/>
      <c r="BD145" s="46"/>
      <c r="BE145" s="46"/>
      <c r="BF145" s="12"/>
      <c r="BG145" s="12"/>
      <c r="BH145" s="12"/>
      <c r="BI145" s="46"/>
      <c r="BJ145" s="46"/>
      <c r="BK145" s="46"/>
      <c r="BL145" s="46"/>
      <c r="BM145" s="46"/>
      <c r="BN145" s="46"/>
      <c r="BO145" s="46"/>
      <c r="BP145" s="46"/>
      <c r="BQ145" s="157"/>
      <c r="BR145" s="156"/>
      <c r="BS145" s="46"/>
      <c r="BT145" s="46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2"/>
      <c r="CM145" s="12"/>
      <c r="CN145" s="12"/>
      <c r="CO145" s="12"/>
      <c r="CP145" s="12"/>
      <c r="CQ145" s="12"/>
      <c r="CR145" s="46"/>
      <c r="CS145" s="46"/>
      <c r="CT145" s="2"/>
      <c r="CU145" s="2"/>
      <c r="CV145" s="49"/>
      <c r="CW145" s="49"/>
      <c r="CX145" s="2"/>
      <c r="CY145" s="2"/>
      <c r="CZ145" s="160"/>
      <c r="DA145" s="12"/>
      <c r="DB145" s="12"/>
      <c r="DC145" s="12"/>
      <c r="DD145" s="12"/>
      <c r="DE145" s="12"/>
      <c r="DF145" s="12"/>
      <c r="DG145" s="12"/>
      <c r="DH145" s="12"/>
      <c r="DI145" s="46"/>
      <c r="DJ145" s="48"/>
      <c r="DK145" s="48"/>
      <c r="DL145" s="48"/>
      <c r="DM145" s="13"/>
      <c r="DN145" s="13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</row>
    <row r="146" spans="1:134" ht="12.5" x14ac:dyDescent="0.25">
      <c r="A146" s="46"/>
      <c r="B146" s="46"/>
      <c r="C146" s="46"/>
      <c r="D146" s="46"/>
      <c r="E146" s="15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46"/>
      <c r="BA146" s="46"/>
      <c r="BB146" s="46"/>
      <c r="BC146" s="46"/>
      <c r="BD146" s="46"/>
      <c r="BE146" s="46"/>
      <c r="BF146" s="12"/>
      <c r="BG146" s="12"/>
      <c r="BH146" s="12"/>
      <c r="BI146" s="46"/>
      <c r="BJ146" s="46"/>
      <c r="BK146" s="46"/>
      <c r="BL146" s="46"/>
      <c r="BM146" s="46"/>
      <c r="BN146" s="46"/>
      <c r="BO146" s="46"/>
      <c r="BP146" s="46"/>
      <c r="BQ146" s="157"/>
      <c r="BR146" s="156"/>
      <c r="BS146" s="46"/>
      <c r="BT146" s="46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2"/>
      <c r="CM146" s="12"/>
      <c r="CN146" s="12"/>
      <c r="CO146" s="12"/>
      <c r="CP146" s="12"/>
      <c r="CQ146" s="12"/>
      <c r="CR146" s="46"/>
      <c r="CS146" s="46"/>
      <c r="CT146" s="2"/>
      <c r="CU146" s="2"/>
      <c r="CV146" s="49"/>
      <c r="CW146" s="49"/>
      <c r="CX146" s="2"/>
      <c r="CY146" s="2"/>
      <c r="CZ146" s="160"/>
      <c r="DA146" s="12"/>
      <c r="DB146" s="12"/>
      <c r="DC146" s="12"/>
      <c r="DD146" s="12"/>
      <c r="DE146" s="12"/>
      <c r="DF146" s="12"/>
      <c r="DG146" s="12"/>
      <c r="DH146" s="12"/>
      <c r="DI146" s="46"/>
      <c r="DJ146" s="48"/>
      <c r="DK146" s="48"/>
      <c r="DL146" s="48"/>
      <c r="DM146" s="13"/>
      <c r="DN146" s="13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</row>
    <row r="147" spans="1:134" ht="12.5" x14ac:dyDescent="0.25">
      <c r="A147" s="46"/>
      <c r="B147" s="46"/>
      <c r="C147" s="46"/>
      <c r="D147" s="46"/>
      <c r="E147" s="15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46"/>
      <c r="BA147" s="46"/>
      <c r="BB147" s="46"/>
      <c r="BC147" s="46"/>
      <c r="BD147" s="46"/>
      <c r="BE147" s="46"/>
      <c r="BF147" s="12"/>
      <c r="BG147" s="12"/>
      <c r="BH147" s="12"/>
      <c r="BI147" s="46"/>
      <c r="BJ147" s="46"/>
      <c r="BK147" s="46"/>
      <c r="BL147" s="46"/>
      <c r="BM147" s="46"/>
      <c r="BN147" s="46"/>
      <c r="BO147" s="46"/>
      <c r="BP147" s="46"/>
      <c r="BQ147" s="157"/>
      <c r="BR147" s="156"/>
      <c r="BS147" s="46"/>
      <c r="BT147" s="46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2"/>
      <c r="CM147" s="12"/>
      <c r="CN147" s="12"/>
      <c r="CO147" s="12"/>
      <c r="CP147" s="12"/>
      <c r="CQ147" s="12"/>
      <c r="CR147" s="46"/>
      <c r="CS147" s="46"/>
      <c r="CT147" s="2"/>
      <c r="CU147" s="2"/>
      <c r="CV147" s="49"/>
      <c r="CW147" s="49"/>
      <c r="CX147" s="2"/>
      <c r="CY147" s="2"/>
      <c r="CZ147" s="160"/>
      <c r="DA147" s="12"/>
      <c r="DB147" s="12"/>
      <c r="DC147" s="12"/>
      <c r="DD147" s="12"/>
      <c r="DE147" s="12"/>
      <c r="DF147" s="12"/>
      <c r="DG147" s="12"/>
      <c r="DH147" s="12"/>
      <c r="DI147" s="46"/>
      <c r="DJ147" s="48"/>
      <c r="DK147" s="48"/>
      <c r="DL147" s="48"/>
      <c r="DM147" s="13"/>
      <c r="DN147" s="13"/>
      <c r="DO147" s="12"/>
      <c r="DP147" s="12"/>
      <c r="DQ147" s="12"/>
      <c r="DR147" s="12"/>
      <c r="DS147" s="12"/>
      <c r="DT147" s="12"/>
      <c r="DU147" s="12"/>
      <c r="DV147" s="12"/>
      <c r="DW147" s="12"/>
      <c r="DX147" s="12"/>
      <c r="DY147" s="12"/>
      <c r="DZ147" s="12"/>
      <c r="EA147" s="12"/>
      <c r="EB147" s="12"/>
      <c r="EC147" s="12"/>
      <c r="ED147" s="12"/>
    </row>
    <row r="148" spans="1:134" ht="12.5" x14ac:dyDescent="0.25">
      <c r="A148" s="46"/>
      <c r="B148" s="46"/>
      <c r="C148" s="46"/>
      <c r="D148" s="46"/>
      <c r="E148" s="15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46"/>
      <c r="BA148" s="46"/>
      <c r="BB148" s="46"/>
      <c r="BC148" s="46"/>
      <c r="BD148" s="46"/>
      <c r="BE148" s="46"/>
      <c r="BF148" s="12"/>
      <c r="BG148" s="12"/>
      <c r="BH148" s="12"/>
      <c r="BI148" s="46"/>
      <c r="BJ148" s="46"/>
      <c r="BK148" s="46"/>
      <c r="BL148" s="46"/>
      <c r="BM148" s="46"/>
      <c r="BN148" s="46"/>
      <c r="BO148" s="46"/>
      <c r="BP148" s="46"/>
      <c r="BQ148" s="157"/>
      <c r="BR148" s="156"/>
      <c r="BS148" s="46"/>
      <c r="BT148" s="46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2"/>
      <c r="CM148" s="12"/>
      <c r="CN148" s="12"/>
      <c r="CO148" s="12"/>
      <c r="CP148" s="12"/>
      <c r="CQ148" s="12"/>
      <c r="CR148" s="46"/>
      <c r="CS148" s="46"/>
      <c r="CT148" s="2"/>
      <c r="CU148" s="2"/>
      <c r="CV148" s="49"/>
      <c r="CW148" s="49"/>
      <c r="CX148" s="2"/>
      <c r="CY148" s="2"/>
      <c r="CZ148" s="160"/>
      <c r="DA148" s="12"/>
      <c r="DB148" s="12"/>
      <c r="DC148" s="12"/>
      <c r="DD148" s="12"/>
      <c r="DE148" s="12"/>
      <c r="DF148" s="12"/>
      <c r="DG148" s="12"/>
      <c r="DH148" s="12"/>
      <c r="DI148" s="46"/>
      <c r="DJ148" s="48"/>
      <c r="DK148" s="48"/>
      <c r="DL148" s="48"/>
      <c r="DM148" s="13"/>
      <c r="DN148" s="13"/>
      <c r="DO148" s="12"/>
      <c r="DP148" s="12"/>
      <c r="DQ148" s="12"/>
      <c r="DR148" s="12"/>
      <c r="DS148" s="12"/>
      <c r="DT148" s="12"/>
      <c r="DU148" s="12"/>
      <c r="DV148" s="12"/>
      <c r="DW148" s="12"/>
      <c r="DX148" s="12"/>
      <c r="DY148" s="12"/>
      <c r="DZ148" s="12"/>
      <c r="EA148" s="12"/>
      <c r="EB148" s="12"/>
      <c r="EC148" s="12"/>
      <c r="ED148" s="12"/>
    </row>
    <row r="149" spans="1:134" ht="12.5" x14ac:dyDescent="0.25">
      <c r="A149" s="46"/>
      <c r="B149" s="46"/>
      <c r="C149" s="46"/>
      <c r="D149" s="46"/>
      <c r="E149" s="15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46"/>
      <c r="BA149" s="46"/>
      <c r="BB149" s="46"/>
      <c r="BC149" s="46"/>
      <c r="BD149" s="46"/>
      <c r="BE149" s="46"/>
      <c r="BF149" s="12"/>
      <c r="BG149" s="12"/>
      <c r="BH149" s="12"/>
      <c r="BI149" s="46"/>
      <c r="BJ149" s="46"/>
      <c r="BK149" s="46"/>
      <c r="BL149" s="46"/>
      <c r="BM149" s="46"/>
      <c r="BN149" s="46"/>
      <c r="BO149" s="46"/>
      <c r="BP149" s="46"/>
      <c r="BQ149" s="157"/>
      <c r="BR149" s="156"/>
      <c r="BS149" s="46"/>
      <c r="BT149" s="46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2"/>
      <c r="CM149" s="12"/>
      <c r="CN149" s="12"/>
      <c r="CO149" s="12"/>
      <c r="CP149" s="12"/>
      <c r="CQ149" s="12"/>
      <c r="CR149" s="46"/>
      <c r="CS149" s="46"/>
      <c r="CT149" s="2"/>
      <c r="CU149" s="2"/>
      <c r="CV149" s="49"/>
      <c r="CW149" s="49"/>
      <c r="CX149" s="2"/>
      <c r="CY149" s="2"/>
      <c r="CZ149" s="160"/>
      <c r="DA149" s="12"/>
      <c r="DB149" s="12"/>
      <c r="DC149" s="12"/>
      <c r="DD149" s="12"/>
      <c r="DE149" s="12"/>
      <c r="DF149" s="12"/>
      <c r="DG149" s="12"/>
      <c r="DH149" s="12"/>
      <c r="DI149" s="46"/>
      <c r="DJ149" s="48"/>
      <c r="DK149" s="48"/>
      <c r="DL149" s="48"/>
      <c r="DM149" s="13"/>
      <c r="DN149" s="13"/>
      <c r="DO149" s="12"/>
      <c r="DP149" s="12"/>
      <c r="DQ149" s="12"/>
      <c r="DR149" s="12"/>
      <c r="DS149" s="12"/>
      <c r="DT149" s="12"/>
      <c r="DU149" s="12"/>
      <c r="DV149" s="12"/>
      <c r="DW149" s="12"/>
      <c r="DX149" s="12"/>
      <c r="DY149" s="12"/>
      <c r="DZ149" s="12"/>
      <c r="EA149" s="12"/>
      <c r="EB149" s="12"/>
      <c r="EC149" s="12"/>
      <c r="ED149" s="12"/>
    </row>
    <row r="150" spans="1:134" ht="12.5" x14ac:dyDescent="0.25">
      <c r="A150" s="46"/>
      <c r="B150" s="46"/>
      <c r="C150" s="46"/>
      <c r="D150" s="46"/>
      <c r="E150" s="15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46"/>
      <c r="BA150" s="46"/>
      <c r="BB150" s="46"/>
      <c r="BC150" s="46"/>
      <c r="BD150" s="46"/>
      <c r="BE150" s="46"/>
      <c r="BF150" s="12"/>
      <c r="BG150" s="12"/>
      <c r="BH150" s="12"/>
      <c r="BI150" s="46"/>
      <c r="BJ150" s="46"/>
      <c r="BK150" s="46"/>
      <c r="BL150" s="46"/>
      <c r="BM150" s="46"/>
      <c r="BN150" s="46"/>
      <c r="BO150" s="46"/>
      <c r="BP150" s="46"/>
      <c r="BQ150" s="157"/>
      <c r="BR150" s="156"/>
      <c r="BS150" s="46"/>
      <c r="BT150" s="46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2"/>
      <c r="CM150" s="12"/>
      <c r="CN150" s="12"/>
      <c r="CO150" s="12"/>
      <c r="CP150" s="12"/>
      <c r="CQ150" s="12"/>
      <c r="CR150" s="46"/>
      <c r="CS150" s="46"/>
      <c r="CT150" s="2"/>
      <c r="CU150" s="2"/>
      <c r="CV150" s="49"/>
      <c r="CW150" s="49"/>
      <c r="CX150" s="2"/>
      <c r="CY150" s="2"/>
      <c r="CZ150" s="160"/>
      <c r="DA150" s="12"/>
      <c r="DB150" s="12"/>
      <c r="DC150" s="12"/>
      <c r="DD150" s="12"/>
      <c r="DE150" s="12"/>
      <c r="DF150" s="12"/>
      <c r="DG150" s="12"/>
      <c r="DH150" s="12"/>
      <c r="DI150" s="46"/>
      <c r="DJ150" s="48"/>
      <c r="DK150" s="48"/>
      <c r="DL150" s="48"/>
      <c r="DM150" s="13"/>
      <c r="DN150" s="13"/>
      <c r="DO150" s="12"/>
      <c r="DP150" s="12"/>
      <c r="DQ150" s="12"/>
      <c r="DR150" s="12"/>
      <c r="DS150" s="12"/>
      <c r="DT150" s="12"/>
      <c r="DU150" s="12"/>
      <c r="DV150" s="12"/>
      <c r="DW150" s="12"/>
      <c r="DX150" s="12"/>
      <c r="DY150" s="12"/>
      <c r="DZ150" s="12"/>
      <c r="EA150" s="12"/>
      <c r="EB150" s="12"/>
      <c r="EC150" s="12"/>
      <c r="ED150" s="12"/>
    </row>
    <row r="151" spans="1:134" ht="12.5" x14ac:dyDescent="0.25">
      <c r="A151" s="46"/>
      <c r="B151" s="46"/>
      <c r="C151" s="46"/>
      <c r="D151" s="46"/>
      <c r="E151" s="15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46"/>
      <c r="BA151" s="46"/>
      <c r="BB151" s="46"/>
      <c r="BC151" s="46"/>
      <c r="BD151" s="46"/>
      <c r="BE151" s="46"/>
      <c r="BF151" s="12"/>
      <c r="BG151" s="12"/>
      <c r="BH151" s="12"/>
      <c r="BI151" s="46"/>
      <c r="BJ151" s="46"/>
      <c r="BK151" s="46"/>
      <c r="BL151" s="46"/>
      <c r="BM151" s="46"/>
      <c r="BN151" s="46"/>
      <c r="BO151" s="46"/>
      <c r="BP151" s="46"/>
      <c r="BQ151" s="157"/>
      <c r="BR151" s="156"/>
      <c r="BS151" s="46"/>
      <c r="BT151" s="46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2"/>
      <c r="CM151" s="12"/>
      <c r="CN151" s="12"/>
      <c r="CO151" s="12"/>
      <c r="CP151" s="12"/>
      <c r="CQ151" s="12"/>
      <c r="CR151" s="46"/>
      <c r="CS151" s="46"/>
      <c r="CT151" s="2"/>
      <c r="CU151" s="2"/>
      <c r="CV151" s="49"/>
      <c r="CW151" s="49"/>
      <c r="CX151" s="2"/>
      <c r="CY151" s="2"/>
      <c r="CZ151" s="160"/>
      <c r="DA151" s="12"/>
      <c r="DB151" s="12"/>
      <c r="DC151" s="12"/>
      <c r="DD151" s="12"/>
      <c r="DE151" s="12"/>
      <c r="DF151" s="12"/>
      <c r="DG151" s="12"/>
      <c r="DH151" s="12"/>
      <c r="DI151" s="46"/>
      <c r="DJ151" s="48"/>
      <c r="DK151" s="48"/>
      <c r="DL151" s="48"/>
      <c r="DM151" s="13"/>
      <c r="DN151" s="13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</row>
    <row r="152" spans="1:134" ht="12.5" x14ac:dyDescent="0.25">
      <c r="A152" s="46"/>
      <c r="B152" s="46"/>
      <c r="C152" s="46"/>
      <c r="D152" s="46"/>
      <c r="E152" s="15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46"/>
      <c r="BA152" s="46"/>
      <c r="BB152" s="46"/>
      <c r="BC152" s="46"/>
      <c r="BD152" s="46"/>
      <c r="BE152" s="46"/>
      <c r="BF152" s="12"/>
      <c r="BG152" s="12"/>
      <c r="BH152" s="12"/>
      <c r="BI152" s="46"/>
      <c r="BJ152" s="46"/>
      <c r="BK152" s="46"/>
      <c r="BL152" s="46"/>
      <c r="BM152" s="46"/>
      <c r="BN152" s="46"/>
      <c r="BO152" s="46"/>
      <c r="BP152" s="46"/>
      <c r="BQ152" s="157"/>
      <c r="BR152" s="156"/>
      <c r="BS152" s="46"/>
      <c r="BT152" s="46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2"/>
      <c r="CM152" s="12"/>
      <c r="CN152" s="12"/>
      <c r="CO152" s="12"/>
      <c r="CP152" s="12"/>
      <c r="CQ152" s="12"/>
      <c r="CR152" s="46"/>
      <c r="CS152" s="46"/>
      <c r="CT152" s="2"/>
      <c r="CU152" s="2"/>
      <c r="CV152" s="49"/>
      <c r="CW152" s="49"/>
      <c r="CX152" s="2"/>
      <c r="CY152" s="2"/>
      <c r="CZ152" s="160"/>
      <c r="DA152" s="12"/>
      <c r="DB152" s="12"/>
      <c r="DC152" s="12"/>
      <c r="DD152" s="12"/>
      <c r="DE152" s="12"/>
      <c r="DF152" s="12"/>
      <c r="DG152" s="12"/>
      <c r="DH152" s="12"/>
      <c r="DI152" s="46"/>
      <c r="DJ152" s="48"/>
      <c r="DK152" s="48"/>
      <c r="DL152" s="48"/>
      <c r="DM152" s="13"/>
      <c r="DN152" s="13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</row>
    <row r="153" spans="1:134" ht="12.5" x14ac:dyDescent="0.25">
      <c r="A153" s="46"/>
      <c r="B153" s="46"/>
      <c r="C153" s="46"/>
      <c r="D153" s="46"/>
      <c r="E153" s="15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46"/>
      <c r="BA153" s="46"/>
      <c r="BB153" s="46"/>
      <c r="BC153" s="46"/>
      <c r="BD153" s="46"/>
      <c r="BE153" s="46"/>
      <c r="BF153" s="12"/>
      <c r="BG153" s="12"/>
      <c r="BH153" s="12"/>
      <c r="BI153" s="46"/>
      <c r="BJ153" s="46"/>
      <c r="BK153" s="46"/>
      <c r="BL153" s="46"/>
      <c r="BM153" s="46"/>
      <c r="BN153" s="46"/>
      <c r="BO153" s="46"/>
      <c r="BP153" s="46"/>
      <c r="BQ153" s="157"/>
      <c r="BR153" s="156"/>
      <c r="BS153" s="46"/>
      <c r="BT153" s="46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2"/>
      <c r="CM153" s="12"/>
      <c r="CN153" s="12"/>
      <c r="CO153" s="12"/>
      <c r="CP153" s="12"/>
      <c r="CQ153" s="12"/>
      <c r="CR153" s="46"/>
      <c r="CS153" s="46"/>
      <c r="CT153" s="2"/>
      <c r="CU153" s="2"/>
      <c r="CV153" s="49"/>
      <c r="CW153" s="49"/>
      <c r="CX153" s="2"/>
      <c r="CY153" s="2"/>
      <c r="CZ153" s="160"/>
      <c r="DA153" s="12"/>
      <c r="DB153" s="12"/>
      <c r="DC153" s="12"/>
      <c r="DD153" s="12"/>
      <c r="DE153" s="12"/>
      <c r="DF153" s="12"/>
      <c r="DG153" s="12"/>
      <c r="DH153" s="12"/>
      <c r="DI153" s="46"/>
      <c r="DJ153" s="48"/>
      <c r="DK153" s="48"/>
      <c r="DL153" s="48"/>
      <c r="DM153" s="13"/>
      <c r="DN153" s="13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</row>
    <row r="154" spans="1:134" ht="12.5" x14ac:dyDescent="0.25">
      <c r="A154" s="46"/>
      <c r="B154" s="46"/>
      <c r="C154" s="46"/>
      <c r="D154" s="46"/>
      <c r="E154" s="15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46"/>
      <c r="BA154" s="46"/>
      <c r="BB154" s="46"/>
      <c r="BC154" s="46"/>
      <c r="BD154" s="46"/>
      <c r="BE154" s="46"/>
      <c r="BF154" s="12"/>
      <c r="BG154" s="12"/>
      <c r="BH154" s="12"/>
      <c r="BI154" s="46"/>
      <c r="BJ154" s="46"/>
      <c r="BK154" s="46"/>
      <c r="BL154" s="46"/>
      <c r="BM154" s="46"/>
      <c r="BN154" s="46"/>
      <c r="BO154" s="46"/>
      <c r="BP154" s="46"/>
      <c r="BQ154" s="157"/>
      <c r="BR154" s="156"/>
      <c r="BS154" s="46"/>
      <c r="BT154" s="46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2"/>
      <c r="CM154" s="12"/>
      <c r="CN154" s="12"/>
      <c r="CO154" s="12"/>
      <c r="CP154" s="12"/>
      <c r="CQ154" s="12"/>
      <c r="CR154" s="46"/>
      <c r="CS154" s="46"/>
      <c r="CT154" s="2"/>
      <c r="CU154" s="2"/>
      <c r="CV154" s="49"/>
      <c r="CW154" s="49"/>
      <c r="CX154" s="2"/>
      <c r="CY154" s="2"/>
      <c r="CZ154" s="160"/>
      <c r="DA154" s="12"/>
      <c r="DB154" s="12"/>
      <c r="DC154" s="12"/>
      <c r="DD154" s="12"/>
      <c r="DE154" s="12"/>
      <c r="DF154" s="12"/>
      <c r="DG154" s="12"/>
      <c r="DH154" s="12"/>
      <c r="DI154" s="46"/>
      <c r="DJ154" s="48"/>
      <c r="DK154" s="48"/>
      <c r="DL154" s="48"/>
      <c r="DM154" s="13"/>
      <c r="DN154" s="13"/>
      <c r="DO154" s="12"/>
      <c r="DP154" s="12"/>
      <c r="DQ154" s="12"/>
      <c r="DR154" s="12"/>
      <c r="DS154" s="12"/>
      <c r="DT154" s="12"/>
      <c r="DU154" s="12"/>
      <c r="DV154" s="12"/>
      <c r="DW154" s="12"/>
      <c r="DX154" s="12"/>
      <c r="DY154" s="12"/>
      <c r="DZ154" s="12"/>
      <c r="EA154" s="12"/>
      <c r="EB154" s="12"/>
      <c r="EC154" s="12"/>
      <c r="ED154" s="12"/>
    </row>
    <row r="155" spans="1:134" ht="12.5" x14ac:dyDescent="0.25">
      <c r="A155" s="46"/>
      <c r="B155" s="46"/>
      <c r="C155" s="46"/>
      <c r="D155" s="46"/>
      <c r="E155" s="15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46"/>
      <c r="BA155" s="46"/>
      <c r="BB155" s="46"/>
      <c r="BC155" s="46"/>
      <c r="BD155" s="46"/>
      <c r="BE155" s="46"/>
      <c r="BF155" s="12"/>
      <c r="BG155" s="12"/>
      <c r="BH155" s="12"/>
      <c r="BI155" s="46"/>
      <c r="BJ155" s="46"/>
      <c r="BK155" s="46"/>
      <c r="BL155" s="46"/>
      <c r="BM155" s="46"/>
      <c r="BN155" s="46"/>
      <c r="BO155" s="46"/>
      <c r="BP155" s="46"/>
      <c r="BQ155" s="157"/>
      <c r="BR155" s="156"/>
      <c r="BS155" s="46"/>
      <c r="BT155" s="46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  <c r="CI155" s="12"/>
      <c r="CJ155" s="12"/>
      <c r="CK155" s="12"/>
      <c r="CL155" s="2"/>
      <c r="CM155" s="12"/>
      <c r="CN155" s="12"/>
      <c r="CO155" s="12"/>
      <c r="CP155" s="12"/>
      <c r="CQ155" s="12"/>
      <c r="CR155" s="46"/>
      <c r="CS155" s="46"/>
      <c r="CT155" s="2"/>
      <c r="CU155" s="2"/>
      <c r="CV155" s="49"/>
      <c r="CW155" s="49"/>
      <c r="CX155" s="2"/>
      <c r="CY155" s="2"/>
      <c r="CZ155" s="160"/>
      <c r="DA155" s="12"/>
      <c r="DB155" s="12"/>
      <c r="DC155" s="12"/>
      <c r="DD155" s="12"/>
      <c r="DE155" s="12"/>
      <c r="DF155" s="12"/>
      <c r="DG155" s="12"/>
      <c r="DH155" s="12"/>
      <c r="DI155" s="46"/>
      <c r="DJ155" s="48"/>
      <c r="DK155" s="48"/>
      <c r="DL155" s="48"/>
      <c r="DM155" s="13"/>
      <c r="DN155" s="13"/>
      <c r="DO155" s="12"/>
      <c r="DP155" s="12"/>
      <c r="DQ155" s="12"/>
      <c r="DR155" s="12"/>
      <c r="DS155" s="12"/>
      <c r="DT155" s="12"/>
      <c r="DU155" s="12"/>
      <c r="DV155" s="12"/>
      <c r="DW155" s="12"/>
      <c r="DX155" s="12"/>
      <c r="DY155" s="12"/>
      <c r="DZ155" s="12"/>
      <c r="EA155" s="12"/>
      <c r="EB155" s="12"/>
      <c r="EC155" s="12"/>
      <c r="ED155" s="12"/>
    </row>
    <row r="156" spans="1:134" ht="12.5" x14ac:dyDescent="0.25">
      <c r="A156" s="46"/>
      <c r="B156" s="46"/>
      <c r="C156" s="46"/>
      <c r="D156" s="46"/>
      <c r="E156" s="15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46"/>
      <c r="BA156" s="46"/>
      <c r="BB156" s="46"/>
      <c r="BC156" s="46"/>
      <c r="BD156" s="46"/>
      <c r="BE156" s="46"/>
      <c r="BF156" s="12"/>
      <c r="BG156" s="12"/>
      <c r="BH156" s="12"/>
      <c r="BI156" s="46"/>
      <c r="BJ156" s="46"/>
      <c r="BK156" s="46"/>
      <c r="BL156" s="46"/>
      <c r="BM156" s="46"/>
      <c r="BN156" s="46"/>
      <c r="BO156" s="46"/>
      <c r="BP156" s="46"/>
      <c r="BQ156" s="157"/>
      <c r="BR156" s="156"/>
      <c r="BS156" s="46"/>
      <c r="BT156" s="46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2"/>
      <c r="CM156" s="12"/>
      <c r="CN156" s="12"/>
      <c r="CO156" s="12"/>
      <c r="CP156" s="12"/>
      <c r="CQ156" s="12"/>
      <c r="CR156" s="46"/>
      <c r="CS156" s="46"/>
      <c r="CT156" s="2"/>
      <c r="CU156" s="2"/>
      <c r="CV156" s="49"/>
      <c r="CW156" s="49"/>
      <c r="CX156" s="2"/>
      <c r="CY156" s="2"/>
      <c r="CZ156" s="160"/>
      <c r="DA156" s="12"/>
      <c r="DB156" s="12"/>
      <c r="DC156" s="12"/>
      <c r="DD156" s="12"/>
      <c r="DE156" s="12"/>
      <c r="DF156" s="12"/>
      <c r="DG156" s="12"/>
      <c r="DH156" s="12"/>
      <c r="DI156" s="46"/>
      <c r="DJ156" s="48"/>
      <c r="DK156" s="48"/>
      <c r="DL156" s="48"/>
      <c r="DM156" s="13"/>
      <c r="DN156" s="13"/>
      <c r="DO156" s="12"/>
      <c r="DP156" s="12"/>
      <c r="DQ156" s="12"/>
      <c r="DR156" s="12"/>
      <c r="DS156" s="12"/>
      <c r="DT156" s="12"/>
      <c r="DU156" s="12"/>
      <c r="DV156" s="12"/>
      <c r="DW156" s="12"/>
      <c r="DX156" s="12"/>
      <c r="DY156" s="12"/>
      <c r="DZ156" s="12"/>
      <c r="EA156" s="12"/>
      <c r="EB156" s="12"/>
      <c r="EC156" s="12"/>
      <c r="ED156" s="12"/>
    </row>
    <row r="157" spans="1:134" ht="12.5" x14ac:dyDescent="0.25">
      <c r="A157" s="46"/>
      <c r="B157" s="46"/>
      <c r="C157" s="46"/>
      <c r="D157" s="46"/>
      <c r="E157" s="15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46"/>
      <c r="BA157" s="46"/>
      <c r="BB157" s="46"/>
      <c r="BC157" s="46"/>
      <c r="BD157" s="46"/>
      <c r="BE157" s="46"/>
      <c r="BF157" s="12"/>
      <c r="BG157" s="12"/>
      <c r="BH157" s="12"/>
      <c r="BI157" s="46"/>
      <c r="BJ157" s="46"/>
      <c r="BK157" s="46"/>
      <c r="BL157" s="46"/>
      <c r="BM157" s="46"/>
      <c r="BN157" s="46"/>
      <c r="BO157" s="46"/>
      <c r="BP157" s="46"/>
      <c r="BQ157" s="157"/>
      <c r="BR157" s="156"/>
      <c r="BS157" s="46"/>
      <c r="BT157" s="46"/>
      <c r="BU157" s="12"/>
      <c r="BV157" s="12"/>
      <c r="BW157" s="12"/>
      <c r="BX157" s="12"/>
      <c r="BY157" s="12"/>
      <c r="BZ157" s="12"/>
      <c r="CA157" s="12"/>
      <c r="CB157" s="12"/>
      <c r="CC157" s="12"/>
      <c r="CD157" s="12"/>
      <c r="CE157" s="12"/>
      <c r="CF157" s="12"/>
      <c r="CG157" s="12"/>
      <c r="CH157" s="12"/>
      <c r="CI157" s="12"/>
      <c r="CJ157" s="12"/>
      <c r="CK157" s="12"/>
      <c r="CL157" s="2"/>
      <c r="CM157" s="12"/>
      <c r="CN157" s="12"/>
      <c r="CO157" s="12"/>
      <c r="CP157" s="12"/>
      <c r="CQ157" s="12"/>
      <c r="CR157" s="46"/>
      <c r="CS157" s="46"/>
      <c r="CT157" s="2"/>
      <c r="CU157" s="2"/>
      <c r="CV157" s="49"/>
      <c r="CW157" s="49"/>
      <c r="CX157" s="2"/>
      <c r="CY157" s="2"/>
      <c r="CZ157" s="160"/>
      <c r="DA157" s="12"/>
      <c r="DB157" s="12"/>
      <c r="DC157" s="12"/>
      <c r="DD157" s="12"/>
      <c r="DE157" s="12"/>
      <c r="DF157" s="12"/>
      <c r="DG157" s="12"/>
      <c r="DH157" s="12"/>
      <c r="DI157" s="46"/>
      <c r="DJ157" s="48"/>
      <c r="DK157" s="48"/>
      <c r="DL157" s="48"/>
      <c r="DM157" s="13"/>
      <c r="DN157" s="13"/>
      <c r="DO157" s="12"/>
      <c r="DP157" s="12"/>
      <c r="DQ157" s="12"/>
      <c r="DR157" s="12"/>
      <c r="DS157" s="12"/>
      <c r="DT157" s="12"/>
      <c r="DU157" s="12"/>
      <c r="DV157" s="12"/>
      <c r="DW157" s="12"/>
      <c r="DX157" s="12"/>
      <c r="DY157" s="12"/>
      <c r="DZ157" s="12"/>
      <c r="EA157" s="12"/>
      <c r="EB157" s="12"/>
      <c r="EC157" s="12"/>
      <c r="ED157" s="12"/>
    </row>
    <row r="158" spans="1:134" ht="12.5" x14ac:dyDescent="0.25">
      <c r="A158" s="46"/>
      <c r="B158" s="46"/>
      <c r="C158" s="46"/>
      <c r="D158" s="46"/>
      <c r="E158" s="15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46"/>
      <c r="BA158" s="46"/>
      <c r="BB158" s="46"/>
      <c r="BC158" s="46"/>
      <c r="BD158" s="46"/>
      <c r="BE158" s="46"/>
      <c r="BF158" s="12"/>
      <c r="BG158" s="12"/>
      <c r="BH158" s="12"/>
      <c r="BI158" s="46"/>
      <c r="BJ158" s="46"/>
      <c r="BK158" s="46"/>
      <c r="BL158" s="46"/>
      <c r="BM158" s="46"/>
      <c r="BN158" s="46"/>
      <c r="BO158" s="46"/>
      <c r="BP158" s="46"/>
      <c r="BQ158" s="157"/>
      <c r="BR158" s="156"/>
      <c r="BS158" s="46"/>
      <c r="BT158" s="46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2"/>
      <c r="CM158" s="12"/>
      <c r="CN158" s="12"/>
      <c r="CO158" s="12"/>
      <c r="CP158" s="12"/>
      <c r="CQ158" s="12"/>
      <c r="CR158" s="46"/>
      <c r="CS158" s="46"/>
      <c r="CT158" s="2"/>
      <c r="CU158" s="2"/>
      <c r="CV158" s="49"/>
      <c r="CW158" s="49"/>
      <c r="CX158" s="2"/>
      <c r="CY158" s="2"/>
      <c r="CZ158" s="160"/>
      <c r="DA158" s="12"/>
      <c r="DB158" s="12"/>
      <c r="DC158" s="12"/>
      <c r="DD158" s="12"/>
      <c r="DE158" s="12"/>
      <c r="DF158" s="12"/>
      <c r="DG158" s="12"/>
      <c r="DH158" s="12"/>
      <c r="DI158" s="46"/>
      <c r="DJ158" s="48"/>
      <c r="DK158" s="48"/>
      <c r="DL158" s="48"/>
      <c r="DM158" s="13"/>
      <c r="DN158" s="13"/>
      <c r="DO158" s="12"/>
      <c r="DP158" s="12"/>
      <c r="DQ158" s="12"/>
      <c r="DR158" s="12"/>
      <c r="DS158" s="12"/>
      <c r="DT158" s="12"/>
      <c r="DU158" s="12"/>
      <c r="DV158" s="12"/>
      <c r="DW158" s="12"/>
      <c r="DX158" s="12"/>
      <c r="DY158" s="12"/>
      <c r="DZ158" s="12"/>
      <c r="EA158" s="12"/>
      <c r="EB158" s="12"/>
      <c r="EC158" s="12"/>
      <c r="ED158" s="12"/>
    </row>
    <row r="159" spans="1:134" ht="12.5" x14ac:dyDescent="0.25">
      <c r="A159" s="46"/>
      <c r="B159" s="46"/>
      <c r="C159" s="46"/>
      <c r="D159" s="46"/>
      <c r="E159" s="15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46"/>
      <c r="BA159" s="46"/>
      <c r="BB159" s="46"/>
      <c r="BC159" s="46"/>
      <c r="BD159" s="46"/>
      <c r="BE159" s="46"/>
      <c r="BF159" s="12"/>
      <c r="BG159" s="12"/>
      <c r="BH159" s="12"/>
      <c r="BI159" s="46"/>
      <c r="BJ159" s="46"/>
      <c r="BK159" s="46"/>
      <c r="BL159" s="46"/>
      <c r="BM159" s="46"/>
      <c r="BN159" s="46"/>
      <c r="BO159" s="46"/>
      <c r="BP159" s="46"/>
      <c r="BQ159" s="157"/>
      <c r="BR159" s="156"/>
      <c r="BS159" s="46"/>
      <c r="BT159" s="46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2"/>
      <c r="CM159" s="12"/>
      <c r="CN159" s="12"/>
      <c r="CO159" s="12"/>
      <c r="CP159" s="12"/>
      <c r="CQ159" s="12"/>
      <c r="CR159" s="46"/>
      <c r="CS159" s="46"/>
      <c r="CT159" s="2"/>
      <c r="CU159" s="2"/>
      <c r="CV159" s="49"/>
      <c r="CW159" s="49"/>
      <c r="CX159" s="2"/>
      <c r="CY159" s="2"/>
      <c r="CZ159" s="160"/>
      <c r="DA159" s="12"/>
      <c r="DB159" s="12"/>
      <c r="DC159" s="12"/>
      <c r="DD159" s="12"/>
      <c r="DE159" s="12"/>
      <c r="DF159" s="12"/>
      <c r="DG159" s="12"/>
      <c r="DH159" s="12"/>
      <c r="DI159" s="46"/>
      <c r="DJ159" s="48"/>
      <c r="DK159" s="48"/>
      <c r="DL159" s="48"/>
      <c r="DM159" s="13"/>
      <c r="DN159" s="13"/>
      <c r="DO159" s="12"/>
      <c r="DP159" s="12"/>
      <c r="DQ159" s="12"/>
      <c r="DR159" s="12"/>
      <c r="DS159" s="12"/>
      <c r="DT159" s="12"/>
      <c r="DU159" s="12"/>
      <c r="DV159" s="12"/>
      <c r="DW159" s="12"/>
      <c r="DX159" s="12"/>
      <c r="DY159" s="12"/>
      <c r="DZ159" s="12"/>
      <c r="EA159" s="12"/>
      <c r="EB159" s="12"/>
      <c r="EC159" s="12"/>
      <c r="ED159" s="12"/>
    </row>
    <row r="160" spans="1:134" ht="12.5" x14ac:dyDescent="0.25">
      <c r="A160" s="46"/>
      <c r="B160" s="46"/>
      <c r="C160" s="46"/>
      <c r="D160" s="46"/>
      <c r="E160" s="15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46"/>
      <c r="BA160" s="46"/>
      <c r="BB160" s="46"/>
      <c r="BC160" s="46"/>
      <c r="BD160" s="46"/>
      <c r="BE160" s="46"/>
      <c r="BF160" s="12"/>
      <c r="BG160" s="12"/>
      <c r="BH160" s="12"/>
      <c r="BI160" s="46"/>
      <c r="BJ160" s="46"/>
      <c r="BK160" s="46"/>
      <c r="BL160" s="46"/>
      <c r="BM160" s="46"/>
      <c r="BN160" s="46"/>
      <c r="BO160" s="46"/>
      <c r="BP160" s="46"/>
      <c r="BQ160" s="157"/>
      <c r="BR160" s="156"/>
      <c r="BS160" s="46"/>
      <c r="BT160" s="46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2"/>
      <c r="CM160" s="12"/>
      <c r="CN160" s="12"/>
      <c r="CO160" s="12"/>
      <c r="CP160" s="12"/>
      <c r="CQ160" s="12"/>
      <c r="CR160" s="46"/>
      <c r="CS160" s="46"/>
      <c r="CT160" s="2"/>
      <c r="CU160" s="2"/>
      <c r="CV160" s="49"/>
      <c r="CW160" s="49"/>
      <c r="CX160" s="2"/>
      <c r="CY160" s="2"/>
      <c r="CZ160" s="160"/>
      <c r="DA160" s="12"/>
      <c r="DB160" s="12"/>
      <c r="DC160" s="12"/>
      <c r="DD160" s="12"/>
      <c r="DE160" s="12"/>
      <c r="DF160" s="12"/>
      <c r="DG160" s="12"/>
      <c r="DH160" s="12"/>
      <c r="DI160" s="46"/>
      <c r="DJ160" s="48"/>
      <c r="DK160" s="48"/>
      <c r="DL160" s="48"/>
      <c r="DM160" s="13"/>
      <c r="DN160" s="13"/>
      <c r="DO160" s="12"/>
      <c r="DP160" s="12"/>
      <c r="DQ160" s="12"/>
      <c r="DR160" s="12"/>
      <c r="DS160" s="12"/>
      <c r="DT160" s="12"/>
      <c r="DU160" s="12"/>
      <c r="DV160" s="12"/>
      <c r="DW160" s="12"/>
      <c r="DX160" s="12"/>
      <c r="DY160" s="12"/>
      <c r="DZ160" s="12"/>
      <c r="EA160" s="12"/>
      <c r="EB160" s="12"/>
      <c r="EC160" s="12"/>
      <c r="ED160" s="12"/>
    </row>
    <row r="161" spans="1:134" ht="12.5" x14ac:dyDescent="0.25">
      <c r="A161" s="46"/>
      <c r="B161" s="46"/>
      <c r="C161" s="46"/>
      <c r="D161" s="46"/>
      <c r="E161" s="15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46"/>
      <c r="BA161" s="46"/>
      <c r="BB161" s="46"/>
      <c r="BC161" s="46"/>
      <c r="BD161" s="46"/>
      <c r="BE161" s="46"/>
      <c r="BF161" s="12"/>
      <c r="BG161" s="12"/>
      <c r="BH161" s="12"/>
      <c r="BI161" s="46"/>
      <c r="BJ161" s="46"/>
      <c r="BK161" s="46"/>
      <c r="BL161" s="46"/>
      <c r="BM161" s="46"/>
      <c r="BN161" s="46"/>
      <c r="BO161" s="46"/>
      <c r="BP161" s="46"/>
      <c r="BQ161" s="157"/>
      <c r="BR161" s="156"/>
      <c r="BS161" s="46"/>
      <c r="BT161" s="46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2"/>
      <c r="CM161" s="12"/>
      <c r="CN161" s="12"/>
      <c r="CO161" s="12"/>
      <c r="CP161" s="12"/>
      <c r="CQ161" s="12"/>
      <c r="CR161" s="46"/>
      <c r="CS161" s="46"/>
      <c r="CT161" s="2"/>
      <c r="CU161" s="2"/>
      <c r="CV161" s="49"/>
      <c r="CW161" s="49"/>
      <c r="CX161" s="2"/>
      <c r="CY161" s="2"/>
      <c r="CZ161" s="160"/>
      <c r="DA161" s="12"/>
      <c r="DB161" s="12"/>
      <c r="DC161" s="12"/>
      <c r="DD161" s="12"/>
      <c r="DE161" s="12"/>
      <c r="DF161" s="12"/>
      <c r="DG161" s="12"/>
      <c r="DH161" s="12"/>
      <c r="DI161" s="46"/>
      <c r="DJ161" s="48"/>
      <c r="DK161" s="48"/>
      <c r="DL161" s="48"/>
      <c r="DM161" s="13"/>
      <c r="DN161" s="13"/>
      <c r="DO161" s="12"/>
      <c r="DP161" s="12"/>
      <c r="DQ161" s="12"/>
      <c r="DR161" s="12"/>
      <c r="DS161" s="12"/>
      <c r="DT161" s="12"/>
      <c r="DU161" s="12"/>
      <c r="DV161" s="12"/>
      <c r="DW161" s="12"/>
      <c r="DX161" s="12"/>
      <c r="DY161" s="12"/>
      <c r="DZ161" s="12"/>
      <c r="EA161" s="12"/>
      <c r="EB161" s="12"/>
      <c r="EC161" s="12"/>
      <c r="ED161" s="12"/>
    </row>
    <row r="162" spans="1:134" ht="12.5" x14ac:dyDescent="0.25">
      <c r="A162" s="46"/>
      <c r="B162" s="46"/>
      <c r="C162" s="46"/>
      <c r="D162" s="46"/>
      <c r="E162" s="15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46"/>
      <c r="BA162" s="46"/>
      <c r="BB162" s="46"/>
      <c r="BC162" s="46"/>
      <c r="BD162" s="46"/>
      <c r="BE162" s="46"/>
      <c r="BF162" s="12"/>
      <c r="BG162" s="12"/>
      <c r="BH162" s="12"/>
      <c r="BI162" s="46"/>
      <c r="BJ162" s="46"/>
      <c r="BK162" s="46"/>
      <c r="BL162" s="46"/>
      <c r="BM162" s="46"/>
      <c r="BN162" s="46"/>
      <c r="BO162" s="46"/>
      <c r="BP162" s="46"/>
      <c r="BQ162" s="157"/>
      <c r="BR162" s="156"/>
      <c r="BS162" s="46"/>
      <c r="BT162" s="46"/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2"/>
      <c r="CM162" s="12"/>
      <c r="CN162" s="12"/>
      <c r="CO162" s="12"/>
      <c r="CP162" s="12"/>
      <c r="CQ162" s="12"/>
      <c r="CR162" s="46"/>
      <c r="CS162" s="46"/>
      <c r="CT162" s="2"/>
      <c r="CU162" s="2"/>
      <c r="CV162" s="49"/>
      <c r="CW162" s="49"/>
      <c r="CX162" s="2"/>
      <c r="CY162" s="2"/>
      <c r="CZ162" s="160"/>
      <c r="DA162" s="12"/>
      <c r="DB162" s="12"/>
      <c r="DC162" s="12"/>
      <c r="DD162" s="12"/>
      <c r="DE162" s="12"/>
      <c r="DF162" s="12"/>
      <c r="DG162" s="12"/>
      <c r="DH162" s="12"/>
      <c r="DI162" s="46"/>
      <c r="DJ162" s="48"/>
      <c r="DK162" s="48"/>
      <c r="DL162" s="48"/>
      <c r="DM162" s="13"/>
      <c r="DN162" s="13"/>
      <c r="DO162" s="12"/>
      <c r="DP162" s="12"/>
      <c r="DQ162" s="12"/>
      <c r="DR162" s="12"/>
      <c r="DS162" s="12"/>
      <c r="DT162" s="12"/>
      <c r="DU162" s="12"/>
      <c r="DV162" s="12"/>
      <c r="DW162" s="12"/>
      <c r="DX162" s="12"/>
      <c r="DY162" s="12"/>
      <c r="DZ162" s="12"/>
      <c r="EA162" s="12"/>
      <c r="EB162" s="12"/>
      <c r="EC162" s="12"/>
      <c r="ED162" s="12"/>
    </row>
    <row r="163" spans="1:134" ht="12.5" x14ac:dyDescent="0.25">
      <c r="A163" s="46"/>
      <c r="B163" s="46"/>
      <c r="C163" s="46"/>
      <c r="D163" s="46"/>
      <c r="E163" s="15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46"/>
      <c r="BA163" s="46"/>
      <c r="BB163" s="46"/>
      <c r="BC163" s="46"/>
      <c r="BD163" s="46"/>
      <c r="BE163" s="46"/>
      <c r="BF163" s="12"/>
      <c r="BG163" s="12"/>
      <c r="BH163" s="12"/>
      <c r="BI163" s="46"/>
      <c r="BJ163" s="46"/>
      <c r="BK163" s="46"/>
      <c r="BL163" s="46"/>
      <c r="BM163" s="46"/>
      <c r="BN163" s="46"/>
      <c r="BO163" s="46"/>
      <c r="BP163" s="46"/>
      <c r="BQ163" s="157"/>
      <c r="BR163" s="156"/>
      <c r="BS163" s="46"/>
      <c r="BT163" s="46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2"/>
      <c r="CM163" s="12"/>
      <c r="CN163" s="12"/>
      <c r="CO163" s="12"/>
      <c r="CP163" s="12"/>
      <c r="CQ163" s="12"/>
      <c r="CR163" s="46"/>
      <c r="CS163" s="46"/>
      <c r="CT163" s="2"/>
      <c r="CU163" s="2"/>
      <c r="CV163" s="49"/>
      <c r="CW163" s="49"/>
      <c r="CX163" s="2"/>
      <c r="CY163" s="2"/>
      <c r="CZ163" s="160"/>
      <c r="DA163" s="12"/>
      <c r="DB163" s="12"/>
      <c r="DC163" s="12"/>
      <c r="DD163" s="12"/>
      <c r="DE163" s="12"/>
      <c r="DF163" s="12"/>
      <c r="DG163" s="12"/>
      <c r="DH163" s="12"/>
      <c r="DI163" s="46"/>
      <c r="DJ163" s="48"/>
      <c r="DK163" s="48"/>
      <c r="DL163" s="48"/>
      <c r="DM163" s="13"/>
      <c r="DN163" s="13"/>
      <c r="DO163" s="12"/>
      <c r="DP163" s="12"/>
      <c r="DQ163" s="12"/>
      <c r="DR163" s="12"/>
      <c r="DS163" s="12"/>
      <c r="DT163" s="12"/>
      <c r="DU163" s="12"/>
      <c r="DV163" s="12"/>
      <c r="DW163" s="12"/>
      <c r="DX163" s="12"/>
      <c r="DY163" s="12"/>
      <c r="DZ163" s="12"/>
      <c r="EA163" s="12"/>
      <c r="EB163" s="12"/>
      <c r="EC163" s="12"/>
      <c r="ED163" s="12"/>
    </row>
    <row r="164" spans="1:134" ht="12.5" x14ac:dyDescent="0.25">
      <c r="A164" s="46"/>
      <c r="B164" s="46"/>
      <c r="C164" s="46"/>
      <c r="D164" s="46"/>
      <c r="E164" s="15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46"/>
      <c r="BA164" s="46"/>
      <c r="BB164" s="46"/>
      <c r="BC164" s="46"/>
      <c r="BD164" s="46"/>
      <c r="BE164" s="46"/>
      <c r="BF164" s="12"/>
      <c r="BG164" s="12"/>
      <c r="BH164" s="12"/>
      <c r="BI164" s="46"/>
      <c r="BJ164" s="46"/>
      <c r="BK164" s="46"/>
      <c r="BL164" s="46"/>
      <c r="BM164" s="46"/>
      <c r="BN164" s="46"/>
      <c r="BO164" s="46"/>
      <c r="BP164" s="46"/>
      <c r="BQ164" s="157"/>
      <c r="BR164" s="156"/>
      <c r="BS164" s="46"/>
      <c r="BT164" s="46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2"/>
      <c r="CM164" s="12"/>
      <c r="CN164" s="12"/>
      <c r="CO164" s="12"/>
      <c r="CP164" s="12"/>
      <c r="CQ164" s="12"/>
      <c r="CR164" s="46"/>
      <c r="CS164" s="46"/>
      <c r="CT164" s="2"/>
      <c r="CU164" s="2"/>
      <c r="CV164" s="49"/>
      <c r="CW164" s="49"/>
      <c r="CX164" s="2"/>
      <c r="CY164" s="2"/>
      <c r="CZ164" s="160"/>
      <c r="DA164" s="12"/>
      <c r="DB164" s="12"/>
      <c r="DC164" s="12"/>
      <c r="DD164" s="12"/>
      <c r="DE164" s="12"/>
      <c r="DF164" s="12"/>
      <c r="DG164" s="12"/>
      <c r="DH164" s="12"/>
      <c r="DI164" s="46"/>
      <c r="DJ164" s="48"/>
      <c r="DK164" s="48"/>
      <c r="DL164" s="48"/>
      <c r="DM164" s="13"/>
      <c r="DN164" s="13"/>
      <c r="DO164" s="12"/>
      <c r="DP164" s="12"/>
      <c r="DQ164" s="12"/>
      <c r="DR164" s="12"/>
      <c r="DS164" s="12"/>
      <c r="DT164" s="12"/>
      <c r="DU164" s="12"/>
      <c r="DV164" s="12"/>
      <c r="DW164" s="12"/>
      <c r="DX164" s="12"/>
      <c r="DY164" s="12"/>
      <c r="DZ164" s="12"/>
      <c r="EA164" s="12"/>
      <c r="EB164" s="12"/>
      <c r="EC164" s="12"/>
      <c r="ED164" s="12"/>
    </row>
    <row r="165" spans="1:134" ht="12.5" x14ac:dyDescent="0.25">
      <c r="A165" s="46"/>
      <c r="B165" s="46"/>
      <c r="C165" s="46"/>
      <c r="D165" s="46"/>
      <c r="E165" s="15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46"/>
      <c r="BA165" s="46"/>
      <c r="BB165" s="46"/>
      <c r="BC165" s="46"/>
      <c r="BD165" s="46"/>
      <c r="BE165" s="46"/>
      <c r="BF165" s="12"/>
      <c r="BG165" s="12"/>
      <c r="BH165" s="12"/>
      <c r="BI165" s="46"/>
      <c r="BJ165" s="46"/>
      <c r="BK165" s="46"/>
      <c r="BL165" s="46"/>
      <c r="BM165" s="46"/>
      <c r="BN165" s="46"/>
      <c r="BO165" s="46"/>
      <c r="BP165" s="46"/>
      <c r="BQ165" s="157"/>
      <c r="BR165" s="156"/>
      <c r="BS165" s="46"/>
      <c r="BT165" s="46"/>
      <c r="BU165" s="12"/>
      <c r="BV165" s="12"/>
      <c r="BW165" s="12"/>
      <c r="BX165" s="12"/>
      <c r="BY165" s="12"/>
      <c r="BZ165" s="12"/>
      <c r="CA165" s="12"/>
      <c r="CB165" s="12"/>
      <c r="CC165" s="12"/>
      <c r="CD165" s="12"/>
      <c r="CE165" s="12"/>
      <c r="CF165" s="12"/>
      <c r="CG165" s="12"/>
      <c r="CH165" s="12"/>
      <c r="CI165" s="12"/>
      <c r="CJ165" s="12"/>
      <c r="CK165" s="12"/>
      <c r="CL165" s="2"/>
      <c r="CM165" s="12"/>
      <c r="CN165" s="12"/>
      <c r="CO165" s="12"/>
      <c r="CP165" s="12"/>
      <c r="CQ165" s="12"/>
      <c r="CR165" s="46"/>
      <c r="CS165" s="46"/>
      <c r="CT165" s="2"/>
      <c r="CU165" s="2"/>
      <c r="CV165" s="49"/>
      <c r="CW165" s="49"/>
      <c r="CX165" s="2"/>
      <c r="CY165" s="2"/>
      <c r="CZ165" s="160"/>
      <c r="DA165" s="12"/>
      <c r="DB165" s="12"/>
      <c r="DC165" s="12"/>
      <c r="DD165" s="12"/>
      <c r="DE165" s="12"/>
      <c r="DF165" s="12"/>
      <c r="DG165" s="12"/>
      <c r="DH165" s="12"/>
      <c r="DI165" s="46"/>
      <c r="DJ165" s="48"/>
      <c r="DK165" s="48"/>
      <c r="DL165" s="48"/>
      <c r="DM165" s="13"/>
      <c r="DN165" s="13"/>
      <c r="DO165" s="12"/>
      <c r="DP165" s="12"/>
      <c r="DQ165" s="12"/>
      <c r="DR165" s="12"/>
      <c r="DS165" s="12"/>
      <c r="DT165" s="12"/>
      <c r="DU165" s="12"/>
      <c r="DV165" s="12"/>
      <c r="DW165" s="12"/>
      <c r="DX165" s="12"/>
      <c r="DY165" s="12"/>
      <c r="DZ165" s="12"/>
      <c r="EA165" s="12"/>
      <c r="EB165" s="12"/>
      <c r="EC165" s="12"/>
      <c r="ED165" s="12"/>
    </row>
    <row r="166" spans="1:134" ht="12.5" x14ac:dyDescent="0.25">
      <c r="A166" s="46"/>
      <c r="B166" s="46"/>
      <c r="C166" s="46"/>
      <c r="D166" s="46"/>
      <c r="E166" s="15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46"/>
      <c r="BA166" s="46"/>
      <c r="BB166" s="46"/>
      <c r="BC166" s="46"/>
      <c r="BD166" s="46"/>
      <c r="BE166" s="46"/>
      <c r="BF166" s="12"/>
      <c r="BG166" s="12"/>
      <c r="BH166" s="12"/>
      <c r="BI166" s="46"/>
      <c r="BJ166" s="46"/>
      <c r="BK166" s="46"/>
      <c r="BL166" s="46"/>
      <c r="BM166" s="46"/>
      <c r="BN166" s="46"/>
      <c r="BO166" s="46"/>
      <c r="BP166" s="46"/>
      <c r="BQ166" s="157"/>
      <c r="BR166" s="156"/>
      <c r="BS166" s="46"/>
      <c r="BT166" s="46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2"/>
      <c r="CM166" s="12"/>
      <c r="CN166" s="12"/>
      <c r="CO166" s="12"/>
      <c r="CP166" s="12"/>
      <c r="CQ166" s="12"/>
      <c r="CR166" s="46"/>
      <c r="CS166" s="46"/>
      <c r="CT166" s="2"/>
      <c r="CU166" s="2"/>
      <c r="CV166" s="49"/>
      <c r="CW166" s="49"/>
      <c r="CX166" s="2"/>
      <c r="CY166" s="2"/>
      <c r="CZ166" s="160"/>
      <c r="DA166" s="12"/>
      <c r="DB166" s="12"/>
      <c r="DC166" s="12"/>
      <c r="DD166" s="12"/>
      <c r="DE166" s="12"/>
      <c r="DF166" s="12"/>
      <c r="DG166" s="12"/>
      <c r="DH166" s="12"/>
      <c r="DI166" s="46"/>
      <c r="DJ166" s="48"/>
      <c r="DK166" s="48"/>
      <c r="DL166" s="48"/>
      <c r="DM166" s="13"/>
      <c r="DN166" s="13"/>
      <c r="DO166" s="12"/>
      <c r="DP166" s="12"/>
      <c r="DQ166" s="12"/>
      <c r="DR166" s="12"/>
      <c r="DS166" s="12"/>
      <c r="DT166" s="12"/>
      <c r="DU166" s="12"/>
      <c r="DV166" s="12"/>
      <c r="DW166" s="12"/>
      <c r="DX166" s="12"/>
      <c r="DY166" s="12"/>
      <c r="DZ166" s="12"/>
      <c r="EA166" s="12"/>
      <c r="EB166" s="12"/>
      <c r="EC166" s="12"/>
      <c r="ED166" s="12"/>
    </row>
    <row r="167" spans="1:134" ht="12.5" x14ac:dyDescent="0.25">
      <c r="A167" s="46"/>
      <c r="B167" s="46"/>
      <c r="C167" s="46"/>
      <c r="D167" s="46"/>
      <c r="E167" s="15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46"/>
      <c r="BA167" s="46"/>
      <c r="BB167" s="46"/>
      <c r="BC167" s="46"/>
      <c r="BD167" s="46"/>
      <c r="BE167" s="46"/>
      <c r="BF167" s="12"/>
      <c r="BG167" s="12"/>
      <c r="BH167" s="12"/>
      <c r="BI167" s="46"/>
      <c r="BJ167" s="46"/>
      <c r="BK167" s="46"/>
      <c r="BL167" s="46"/>
      <c r="BM167" s="46"/>
      <c r="BN167" s="46"/>
      <c r="BO167" s="46"/>
      <c r="BP167" s="46"/>
      <c r="BQ167" s="157"/>
      <c r="BR167" s="156"/>
      <c r="BS167" s="46"/>
      <c r="BT167" s="46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2"/>
      <c r="CM167" s="12"/>
      <c r="CN167" s="12"/>
      <c r="CO167" s="12"/>
      <c r="CP167" s="12"/>
      <c r="CQ167" s="12"/>
      <c r="CR167" s="46"/>
      <c r="CS167" s="46"/>
      <c r="CT167" s="2"/>
      <c r="CU167" s="2"/>
      <c r="CV167" s="49"/>
      <c r="CW167" s="49"/>
      <c r="CX167" s="2"/>
      <c r="CY167" s="2"/>
      <c r="CZ167" s="160"/>
      <c r="DA167" s="12"/>
      <c r="DB167" s="12"/>
      <c r="DC167" s="12"/>
      <c r="DD167" s="12"/>
      <c r="DE167" s="12"/>
      <c r="DF167" s="12"/>
      <c r="DG167" s="12"/>
      <c r="DH167" s="12"/>
      <c r="DI167" s="46"/>
      <c r="DJ167" s="48"/>
      <c r="DK167" s="48"/>
      <c r="DL167" s="48"/>
      <c r="DM167" s="13"/>
      <c r="DN167" s="13"/>
      <c r="DO167" s="12"/>
      <c r="DP167" s="12"/>
      <c r="DQ167" s="12"/>
      <c r="DR167" s="12"/>
      <c r="DS167" s="12"/>
      <c r="DT167" s="12"/>
      <c r="DU167" s="12"/>
      <c r="DV167" s="12"/>
      <c r="DW167" s="12"/>
      <c r="DX167" s="12"/>
      <c r="DY167" s="12"/>
      <c r="DZ167" s="12"/>
      <c r="EA167" s="12"/>
      <c r="EB167" s="12"/>
      <c r="EC167" s="12"/>
      <c r="ED167" s="12"/>
    </row>
    <row r="168" spans="1:134" ht="12.5" x14ac:dyDescent="0.25">
      <c r="A168" s="46"/>
      <c r="B168" s="46"/>
      <c r="C168" s="46"/>
      <c r="D168" s="46"/>
      <c r="E168" s="15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46"/>
      <c r="BA168" s="46"/>
      <c r="BB168" s="46"/>
      <c r="BC168" s="46"/>
      <c r="BD168" s="46"/>
      <c r="BE168" s="46"/>
      <c r="BF168" s="12"/>
      <c r="BG168" s="12"/>
      <c r="BH168" s="12"/>
      <c r="BI168" s="46"/>
      <c r="BJ168" s="46"/>
      <c r="BK168" s="46"/>
      <c r="BL168" s="46"/>
      <c r="BM168" s="46"/>
      <c r="BN168" s="46"/>
      <c r="BO168" s="46"/>
      <c r="BP168" s="46"/>
      <c r="BQ168" s="157"/>
      <c r="BR168" s="156"/>
      <c r="BS168" s="46"/>
      <c r="BT168" s="46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2"/>
      <c r="CM168" s="12"/>
      <c r="CN168" s="12"/>
      <c r="CO168" s="12"/>
      <c r="CP168" s="12"/>
      <c r="CQ168" s="12"/>
      <c r="CR168" s="46"/>
      <c r="CS168" s="46"/>
      <c r="CT168" s="2"/>
      <c r="CU168" s="2"/>
      <c r="CV168" s="49"/>
      <c r="CW168" s="49"/>
      <c r="CX168" s="2"/>
      <c r="CY168" s="2"/>
      <c r="CZ168" s="160"/>
      <c r="DA168" s="12"/>
      <c r="DB168" s="12"/>
      <c r="DC168" s="12"/>
      <c r="DD168" s="12"/>
      <c r="DE168" s="12"/>
      <c r="DF168" s="12"/>
      <c r="DG168" s="12"/>
      <c r="DH168" s="12"/>
      <c r="DI168" s="46"/>
      <c r="DJ168" s="48"/>
      <c r="DK168" s="48"/>
      <c r="DL168" s="48"/>
      <c r="DM168" s="13"/>
      <c r="DN168" s="13"/>
      <c r="DO168" s="12"/>
      <c r="DP168" s="12"/>
      <c r="DQ168" s="12"/>
      <c r="DR168" s="12"/>
      <c r="DS168" s="12"/>
      <c r="DT168" s="12"/>
      <c r="DU168" s="12"/>
      <c r="DV168" s="12"/>
      <c r="DW168" s="12"/>
      <c r="DX168" s="12"/>
      <c r="DY168" s="12"/>
      <c r="DZ168" s="12"/>
      <c r="EA168" s="12"/>
      <c r="EB168" s="12"/>
      <c r="EC168" s="12"/>
      <c r="ED168" s="12"/>
    </row>
    <row r="169" spans="1:134" ht="12.5" x14ac:dyDescent="0.25">
      <c r="A169" s="46"/>
      <c r="B169" s="46"/>
      <c r="C169" s="46"/>
      <c r="D169" s="46"/>
      <c r="E169" s="15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46"/>
      <c r="BA169" s="46"/>
      <c r="BB169" s="46"/>
      <c r="BC169" s="46"/>
      <c r="BD169" s="46"/>
      <c r="BE169" s="46"/>
      <c r="BF169" s="12"/>
      <c r="BG169" s="12"/>
      <c r="BH169" s="12"/>
      <c r="BI169" s="46"/>
      <c r="BJ169" s="46"/>
      <c r="BK169" s="46"/>
      <c r="BL169" s="46"/>
      <c r="BM169" s="46"/>
      <c r="BN169" s="46"/>
      <c r="BO169" s="46"/>
      <c r="BP169" s="46"/>
      <c r="BQ169" s="157"/>
      <c r="BR169" s="156"/>
      <c r="BS169" s="46"/>
      <c r="BT169" s="46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2"/>
      <c r="CM169" s="12"/>
      <c r="CN169" s="12"/>
      <c r="CO169" s="12"/>
      <c r="CP169" s="12"/>
      <c r="CQ169" s="12"/>
      <c r="CR169" s="46"/>
      <c r="CS169" s="46"/>
      <c r="CT169" s="2"/>
      <c r="CU169" s="2"/>
      <c r="CV169" s="49"/>
      <c r="CW169" s="49"/>
      <c r="CX169" s="2"/>
      <c r="CY169" s="2"/>
      <c r="CZ169" s="160"/>
      <c r="DA169" s="12"/>
      <c r="DB169" s="12"/>
      <c r="DC169" s="12"/>
      <c r="DD169" s="12"/>
      <c r="DE169" s="12"/>
      <c r="DF169" s="12"/>
      <c r="DG169" s="12"/>
      <c r="DH169" s="12"/>
      <c r="DI169" s="46"/>
      <c r="DJ169" s="48"/>
      <c r="DK169" s="48"/>
      <c r="DL169" s="48"/>
      <c r="DM169" s="13"/>
      <c r="DN169" s="13"/>
      <c r="DO169" s="12"/>
      <c r="DP169" s="12"/>
      <c r="DQ169" s="12"/>
      <c r="DR169" s="12"/>
      <c r="DS169" s="12"/>
      <c r="DT169" s="12"/>
      <c r="DU169" s="12"/>
      <c r="DV169" s="12"/>
      <c r="DW169" s="12"/>
      <c r="DX169" s="12"/>
      <c r="DY169" s="12"/>
      <c r="DZ169" s="12"/>
      <c r="EA169" s="12"/>
      <c r="EB169" s="12"/>
      <c r="EC169" s="12"/>
      <c r="ED169" s="12"/>
    </row>
    <row r="170" spans="1:134" ht="12.5" x14ac:dyDescent="0.25">
      <c r="A170" s="46"/>
      <c r="B170" s="46"/>
      <c r="C170" s="46"/>
      <c r="D170" s="46"/>
      <c r="E170" s="15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46"/>
      <c r="BA170" s="46"/>
      <c r="BB170" s="46"/>
      <c r="BC170" s="46"/>
      <c r="BD170" s="46"/>
      <c r="BE170" s="46"/>
      <c r="BF170" s="12"/>
      <c r="BG170" s="12"/>
      <c r="BH170" s="12"/>
      <c r="BI170" s="46"/>
      <c r="BJ170" s="46"/>
      <c r="BK170" s="46"/>
      <c r="BL170" s="46"/>
      <c r="BM170" s="46"/>
      <c r="BN170" s="46"/>
      <c r="BO170" s="46"/>
      <c r="BP170" s="46"/>
      <c r="BQ170" s="157"/>
      <c r="BR170" s="156"/>
      <c r="BS170" s="46"/>
      <c r="BT170" s="46"/>
      <c r="BU170" s="12"/>
      <c r="BV170" s="12"/>
      <c r="BW170" s="12"/>
      <c r="BX170" s="12"/>
      <c r="BY170" s="12"/>
      <c r="BZ170" s="12"/>
      <c r="CA170" s="12"/>
      <c r="CB170" s="12"/>
      <c r="CC170" s="12"/>
      <c r="CD170" s="12"/>
      <c r="CE170" s="12"/>
      <c r="CF170" s="12"/>
      <c r="CG170" s="12"/>
      <c r="CH170" s="12"/>
      <c r="CI170" s="12"/>
      <c r="CJ170" s="12"/>
      <c r="CK170" s="12"/>
      <c r="CL170" s="2"/>
      <c r="CM170" s="12"/>
      <c r="CN170" s="12"/>
      <c r="CO170" s="12"/>
      <c r="CP170" s="12"/>
      <c r="CQ170" s="12"/>
      <c r="CR170" s="46"/>
      <c r="CS170" s="46"/>
      <c r="CT170" s="2"/>
      <c r="CU170" s="2"/>
      <c r="CV170" s="49"/>
      <c r="CW170" s="49"/>
      <c r="CX170" s="2"/>
      <c r="CY170" s="2"/>
      <c r="CZ170" s="160"/>
      <c r="DA170" s="12"/>
      <c r="DB170" s="12"/>
      <c r="DC170" s="12"/>
      <c r="DD170" s="12"/>
      <c r="DE170" s="12"/>
      <c r="DF170" s="12"/>
      <c r="DG170" s="12"/>
      <c r="DH170" s="12"/>
      <c r="DI170" s="46"/>
      <c r="DJ170" s="48"/>
      <c r="DK170" s="48"/>
      <c r="DL170" s="48"/>
      <c r="DM170" s="13"/>
      <c r="DN170" s="13"/>
      <c r="DO170" s="12"/>
      <c r="DP170" s="12"/>
      <c r="DQ170" s="12"/>
      <c r="DR170" s="12"/>
      <c r="DS170" s="12"/>
      <c r="DT170" s="12"/>
      <c r="DU170" s="12"/>
      <c r="DV170" s="12"/>
      <c r="DW170" s="12"/>
      <c r="DX170" s="12"/>
      <c r="DY170" s="12"/>
      <c r="DZ170" s="12"/>
      <c r="EA170" s="12"/>
      <c r="EB170" s="12"/>
      <c r="EC170" s="12"/>
      <c r="ED170" s="12"/>
    </row>
    <row r="171" spans="1:134" ht="12.5" x14ac:dyDescent="0.25">
      <c r="A171" s="46"/>
      <c r="B171" s="46"/>
      <c r="C171" s="46"/>
      <c r="D171" s="46"/>
      <c r="E171" s="15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46"/>
      <c r="BA171" s="46"/>
      <c r="BB171" s="46"/>
      <c r="BC171" s="46"/>
      <c r="BD171" s="46"/>
      <c r="BE171" s="46"/>
      <c r="BF171" s="12"/>
      <c r="BG171" s="12"/>
      <c r="BH171" s="12"/>
      <c r="BI171" s="46"/>
      <c r="BJ171" s="46"/>
      <c r="BK171" s="46"/>
      <c r="BL171" s="46"/>
      <c r="BM171" s="46"/>
      <c r="BN171" s="46"/>
      <c r="BO171" s="46"/>
      <c r="BP171" s="46"/>
      <c r="BQ171" s="157"/>
      <c r="BR171" s="156"/>
      <c r="BS171" s="46"/>
      <c r="BT171" s="46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2"/>
      <c r="CM171" s="12"/>
      <c r="CN171" s="12"/>
      <c r="CO171" s="12"/>
      <c r="CP171" s="12"/>
      <c r="CQ171" s="12"/>
      <c r="CR171" s="46"/>
      <c r="CS171" s="46"/>
      <c r="CT171" s="2"/>
      <c r="CU171" s="2"/>
      <c r="CV171" s="49"/>
      <c r="CW171" s="49"/>
      <c r="CX171" s="2"/>
      <c r="CY171" s="2"/>
      <c r="CZ171" s="160"/>
      <c r="DA171" s="12"/>
      <c r="DB171" s="12"/>
      <c r="DC171" s="12"/>
      <c r="DD171" s="12"/>
      <c r="DE171" s="12"/>
      <c r="DF171" s="12"/>
      <c r="DG171" s="12"/>
      <c r="DH171" s="12"/>
      <c r="DI171" s="46"/>
      <c r="DJ171" s="48"/>
      <c r="DK171" s="48"/>
      <c r="DL171" s="48"/>
      <c r="DM171" s="13"/>
      <c r="DN171" s="13"/>
      <c r="DO171" s="12"/>
      <c r="DP171" s="12"/>
      <c r="DQ171" s="12"/>
      <c r="DR171" s="12"/>
      <c r="DS171" s="12"/>
      <c r="DT171" s="12"/>
      <c r="DU171" s="12"/>
      <c r="DV171" s="12"/>
      <c r="DW171" s="12"/>
      <c r="DX171" s="12"/>
      <c r="DY171" s="12"/>
      <c r="DZ171" s="12"/>
      <c r="EA171" s="12"/>
      <c r="EB171" s="12"/>
      <c r="EC171" s="12"/>
      <c r="ED171" s="12"/>
    </row>
    <row r="172" spans="1:134" ht="12.5" x14ac:dyDescent="0.25">
      <c r="A172" s="46"/>
      <c r="B172" s="46"/>
      <c r="C172" s="46"/>
      <c r="D172" s="46"/>
      <c r="E172" s="15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46"/>
      <c r="BA172" s="46"/>
      <c r="BB172" s="46"/>
      <c r="BC172" s="46"/>
      <c r="BD172" s="46"/>
      <c r="BE172" s="46"/>
      <c r="BF172" s="12"/>
      <c r="BG172" s="12"/>
      <c r="BH172" s="12"/>
      <c r="BI172" s="46"/>
      <c r="BJ172" s="46"/>
      <c r="BK172" s="46"/>
      <c r="BL172" s="46"/>
      <c r="BM172" s="46"/>
      <c r="BN172" s="46"/>
      <c r="BO172" s="46"/>
      <c r="BP172" s="46"/>
      <c r="BQ172" s="157"/>
      <c r="BR172" s="156"/>
      <c r="BS172" s="46"/>
      <c r="BT172" s="46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2"/>
      <c r="CM172" s="12"/>
      <c r="CN172" s="12"/>
      <c r="CO172" s="12"/>
      <c r="CP172" s="12"/>
      <c r="CQ172" s="12"/>
      <c r="CR172" s="46"/>
      <c r="CS172" s="46"/>
      <c r="CT172" s="2"/>
      <c r="CU172" s="2"/>
      <c r="CV172" s="49"/>
      <c r="CW172" s="49"/>
      <c r="CX172" s="2"/>
      <c r="CY172" s="2"/>
      <c r="CZ172" s="160"/>
      <c r="DA172" s="12"/>
      <c r="DB172" s="12"/>
      <c r="DC172" s="12"/>
      <c r="DD172" s="12"/>
      <c r="DE172" s="12"/>
      <c r="DF172" s="12"/>
      <c r="DG172" s="12"/>
      <c r="DH172" s="12"/>
      <c r="DI172" s="46"/>
      <c r="DJ172" s="48"/>
      <c r="DK172" s="48"/>
      <c r="DL172" s="48"/>
      <c r="DM172" s="13"/>
      <c r="DN172" s="13"/>
      <c r="DO172" s="12"/>
      <c r="DP172" s="12"/>
      <c r="DQ172" s="12"/>
      <c r="DR172" s="12"/>
      <c r="DS172" s="12"/>
      <c r="DT172" s="12"/>
      <c r="DU172" s="12"/>
      <c r="DV172" s="12"/>
      <c r="DW172" s="12"/>
      <c r="DX172" s="12"/>
      <c r="DY172" s="12"/>
      <c r="DZ172" s="12"/>
      <c r="EA172" s="12"/>
      <c r="EB172" s="12"/>
      <c r="EC172" s="12"/>
      <c r="ED172" s="12"/>
    </row>
    <row r="173" spans="1:134" ht="12.5" x14ac:dyDescent="0.25">
      <c r="A173" s="46"/>
      <c r="B173" s="46"/>
      <c r="C173" s="46"/>
      <c r="D173" s="46"/>
      <c r="E173" s="15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46"/>
      <c r="BA173" s="46"/>
      <c r="BB173" s="46"/>
      <c r="BC173" s="46"/>
      <c r="BD173" s="46"/>
      <c r="BE173" s="46"/>
      <c r="BF173" s="12"/>
      <c r="BG173" s="12"/>
      <c r="BH173" s="12"/>
      <c r="BI173" s="46"/>
      <c r="BJ173" s="46"/>
      <c r="BK173" s="46"/>
      <c r="BL173" s="46"/>
      <c r="BM173" s="46"/>
      <c r="BN173" s="46"/>
      <c r="BO173" s="46"/>
      <c r="BP173" s="46"/>
      <c r="BQ173" s="157"/>
      <c r="BR173" s="156"/>
      <c r="BS173" s="46"/>
      <c r="BT173" s="46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2"/>
      <c r="CM173" s="12"/>
      <c r="CN173" s="12"/>
      <c r="CO173" s="12"/>
      <c r="CP173" s="12"/>
      <c r="CQ173" s="12"/>
      <c r="CR173" s="46"/>
      <c r="CS173" s="46"/>
      <c r="CT173" s="2"/>
      <c r="CU173" s="2"/>
      <c r="CV173" s="49"/>
      <c r="CW173" s="49"/>
      <c r="CX173" s="2"/>
      <c r="CY173" s="2"/>
      <c r="CZ173" s="160"/>
      <c r="DA173" s="12"/>
      <c r="DB173" s="12"/>
      <c r="DC173" s="12"/>
      <c r="DD173" s="12"/>
      <c r="DE173" s="12"/>
      <c r="DF173" s="12"/>
      <c r="DG173" s="12"/>
      <c r="DH173" s="12"/>
      <c r="DI173" s="46"/>
      <c r="DJ173" s="48"/>
      <c r="DK173" s="48"/>
      <c r="DL173" s="48"/>
      <c r="DM173" s="13"/>
      <c r="DN173" s="13"/>
      <c r="DO173" s="12"/>
      <c r="DP173" s="12"/>
      <c r="DQ173" s="12"/>
      <c r="DR173" s="12"/>
      <c r="DS173" s="12"/>
      <c r="DT173" s="12"/>
      <c r="DU173" s="12"/>
      <c r="DV173" s="12"/>
      <c r="DW173" s="12"/>
      <c r="DX173" s="12"/>
      <c r="DY173" s="12"/>
      <c r="DZ173" s="12"/>
      <c r="EA173" s="12"/>
      <c r="EB173" s="12"/>
      <c r="EC173" s="12"/>
      <c r="ED173" s="12"/>
    </row>
    <row r="174" spans="1:134" ht="12.5" x14ac:dyDescent="0.25">
      <c r="A174" s="46"/>
      <c r="B174" s="46"/>
      <c r="C174" s="46"/>
      <c r="D174" s="46"/>
      <c r="E174" s="15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46"/>
      <c r="BA174" s="46"/>
      <c r="BB174" s="46"/>
      <c r="BC174" s="46"/>
      <c r="BD174" s="46"/>
      <c r="BE174" s="46"/>
      <c r="BF174" s="12"/>
      <c r="BG174" s="12"/>
      <c r="BH174" s="12"/>
      <c r="BI174" s="46"/>
      <c r="BJ174" s="46"/>
      <c r="BK174" s="46"/>
      <c r="BL174" s="46"/>
      <c r="BM174" s="46"/>
      <c r="BN174" s="46"/>
      <c r="BO174" s="46"/>
      <c r="BP174" s="46"/>
      <c r="BQ174" s="157"/>
      <c r="BR174" s="156"/>
      <c r="BS174" s="46"/>
      <c r="BT174" s="46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2"/>
      <c r="CM174" s="12"/>
      <c r="CN174" s="12"/>
      <c r="CO174" s="12"/>
      <c r="CP174" s="12"/>
      <c r="CQ174" s="12"/>
      <c r="CR174" s="46"/>
      <c r="CS174" s="46"/>
      <c r="CT174" s="2"/>
      <c r="CU174" s="2"/>
      <c r="CV174" s="49"/>
      <c r="CW174" s="49"/>
      <c r="CX174" s="2"/>
      <c r="CY174" s="2"/>
      <c r="CZ174" s="160"/>
      <c r="DA174" s="12"/>
      <c r="DB174" s="12"/>
      <c r="DC174" s="12"/>
      <c r="DD174" s="12"/>
      <c r="DE174" s="12"/>
      <c r="DF174" s="12"/>
      <c r="DG174" s="12"/>
      <c r="DH174" s="12"/>
      <c r="DI174" s="46"/>
      <c r="DJ174" s="48"/>
      <c r="DK174" s="48"/>
      <c r="DL174" s="48"/>
      <c r="DM174" s="13"/>
      <c r="DN174" s="13"/>
      <c r="DO174" s="12"/>
      <c r="DP174" s="12"/>
      <c r="DQ174" s="12"/>
      <c r="DR174" s="12"/>
      <c r="DS174" s="12"/>
      <c r="DT174" s="12"/>
      <c r="DU174" s="12"/>
      <c r="DV174" s="12"/>
      <c r="DW174" s="12"/>
      <c r="DX174" s="12"/>
      <c r="DY174" s="12"/>
      <c r="DZ174" s="12"/>
      <c r="EA174" s="12"/>
      <c r="EB174" s="12"/>
      <c r="EC174" s="12"/>
      <c r="ED174" s="12"/>
    </row>
    <row r="175" spans="1:134" ht="12.5" x14ac:dyDescent="0.25">
      <c r="A175" s="46"/>
      <c r="B175" s="46"/>
      <c r="C175" s="46"/>
      <c r="D175" s="46"/>
      <c r="E175" s="15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46"/>
      <c r="BA175" s="46"/>
      <c r="BB175" s="46"/>
      <c r="BC175" s="46"/>
      <c r="BD175" s="46"/>
      <c r="BE175" s="46"/>
      <c r="BF175" s="12"/>
      <c r="BG175" s="12"/>
      <c r="BH175" s="12"/>
      <c r="BI175" s="46"/>
      <c r="BJ175" s="46"/>
      <c r="BK175" s="46"/>
      <c r="BL175" s="46"/>
      <c r="BM175" s="46"/>
      <c r="BN175" s="46"/>
      <c r="BO175" s="46"/>
      <c r="BP175" s="46"/>
      <c r="BQ175" s="157"/>
      <c r="BR175" s="156"/>
      <c r="BS175" s="46"/>
      <c r="BT175" s="46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2"/>
      <c r="CM175" s="12"/>
      <c r="CN175" s="12"/>
      <c r="CO175" s="12"/>
      <c r="CP175" s="12"/>
      <c r="CQ175" s="12"/>
      <c r="CR175" s="46"/>
      <c r="CS175" s="46"/>
      <c r="CT175" s="2"/>
      <c r="CU175" s="2"/>
      <c r="CV175" s="49"/>
      <c r="CW175" s="49"/>
      <c r="CX175" s="2"/>
      <c r="CY175" s="2"/>
      <c r="CZ175" s="160"/>
      <c r="DA175" s="12"/>
      <c r="DB175" s="12"/>
      <c r="DC175" s="12"/>
      <c r="DD175" s="12"/>
      <c r="DE175" s="12"/>
      <c r="DF175" s="12"/>
      <c r="DG175" s="12"/>
      <c r="DH175" s="12"/>
      <c r="DI175" s="46"/>
      <c r="DJ175" s="48"/>
      <c r="DK175" s="48"/>
      <c r="DL175" s="48"/>
      <c r="DM175" s="13"/>
      <c r="DN175" s="13"/>
      <c r="DO175" s="12"/>
      <c r="DP175" s="12"/>
      <c r="DQ175" s="12"/>
      <c r="DR175" s="12"/>
      <c r="DS175" s="12"/>
      <c r="DT175" s="12"/>
      <c r="DU175" s="12"/>
      <c r="DV175" s="12"/>
      <c r="DW175" s="12"/>
      <c r="DX175" s="12"/>
      <c r="DY175" s="12"/>
      <c r="DZ175" s="12"/>
      <c r="EA175" s="12"/>
      <c r="EB175" s="12"/>
      <c r="EC175" s="12"/>
      <c r="ED175" s="12"/>
    </row>
    <row r="176" spans="1:134" ht="12.5" x14ac:dyDescent="0.25">
      <c r="A176" s="46"/>
      <c r="B176" s="46"/>
      <c r="C176" s="46"/>
      <c r="D176" s="46"/>
      <c r="E176" s="15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46"/>
      <c r="BA176" s="46"/>
      <c r="BB176" s="46"/>
      <c r="BC176" s="46"/>
      <c r="BD176" s="46"/>
      <c r="BE176" s="46"/>
      <c r="BF176" s="12"/>
      <c r="BG176" s="12"/>
      <c r="BH176" s="12"/>
      <c r="BI176" s="46"/>
      <c r="BJ176" s="46"/>
      <c r="BK176" s="46"/>
      <c r="BL176" s="46"/>
      <c r="BM176" s="46"/>
      <c r="BN176" s="46"/>
      <c r="BO176" s="46"/>
      <c r="BP176" s="46"/>
      <c r="BQ176" s="157"/>
      <c r="BR176" s="156"/>
      <c r="BS176" s="46"/>
      <c r="BT176" s="46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/>
      <c r="CH176" s="12"/>
      <c r="CI176" s="12"/>
      <c r="CJ176" s="12"/>
      <c r="CK176" s="12"/>
      <c r="CL176" s="2"/>
      <c r="CM176" s="12"/>
      <c r="CN176" s="12"/>
      <c r="CO176" s="12"/>
      <c r="CP176" s="12"/>
      <c r="CQ176" s="12"/>
      <c r="CR176" s="46"/>
      <c r="CS176" s="46"/>
      <c r="CT176" s="2"/>
      <c r="CU176" s="2"/>
      <c r="CV176" s="49"/>
      <c r="CW176" s="49"/>
      <c r="CX176" s="2"/>
      <c r="CY176" s="2"/>
      <c r="CZ176" s="160"/>
      <c r="DA176" s="12"/>
      <c r="DB176" s="12"/>
      <c r="DC176" s="12"/>
      <c r="DD176" s="12"/>
      <c r="DE176" s="12"/>
      <c r="DF176" s="12"/>
      <c r="DG176" s="12"/>
      <c r="DH176" s="12"/>
      <c r="DI176" s="46"/>
      <c r="DJ176" s="48"/>
      <c r="DK176" s="48"/>
      <c r="DL176" s="48"/>
      <c r="DM176" s="13"/>
      <c r="DN176" s="13"/>
      <c r="DO176" s="12"/>
      <c r="DP176" s="12"/>
      <c r="DQ176" s="12"/>
      <c r="DR176" s="12"/>
      <c r="DS176" s="12"/>
      <c r="DT176" s="12"/>
      <c r="DU176" s="12"/>
      <c r="DV176" s="12"/>
      <c r="DW176" s="12"/>
      <c r="DX176" s="12"/>
      <c r="DY176" s="12"/>
      <c r="DZ176" s="12"/>
      <c r="EA176" s="12"/>
      <c r="EB176" s="12"/>
      <c r="EC176" s="12"/>
      <c r="ED176" s="12"/>
    </row>
    <row r="177" spans="1:134" ht="12.5" x14ac:dyDescent="0.25">
      <c r="A177" s="46"/>
      <c r="B177" s="46"/>
      <c r="C177" s="46"/>
      <c r="D177" s="46"/>
      <c r="E177" s="15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46"/>
      <c r="BA177" s="46"/>
      <c r="BB177" s="46"/>
      <c r="BC177" s="46"/>
      <c r="BD177" s="46"/>
      <c r="BE177" s="46"/>
      <c r="BF177" s="12"/>
      <c r="BG177" s="12"/>
      <c r="BH177" s="12"/>
      <c r="BI177" s="46"/>
      <c r="BJ177" s="46"/>
      <c r="BK177" s="46"/>
      <c r="BL177" s="46"/>
      <c r="BM177" s="46"/>
      <c r="BN177" s="46"/>
      <c r="BO177" s="46"/>
      <c r="BP177" s="46"/>
      <c r="BQ177" s="157"/>
      <c r="BR177" s="156"/>
      <c r="BS177" s="46"/>
      <c r="BT177" s="46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/>
      <c r="CH177" s="12"/>
      <c r="CI177" s="12"/>
      <c r="CJ177" s="12"/>
      <c r="CK177" s="12"/>
      <c r="CL177" s="2"/>
      <c r="CM177" s="12"/>
      <c r="CN177" s="12"/>
      <c r="CO177" s="12"/>
      <c r="CP177" s="12"/>
      <c r="CQ177" s="12"/>
      <c r="CR177" s="46"/>
      <c r="CS177" s="46"/>
      <c r="CT177" s="2"/>
      <c r="CU177" s="2"/>
      <c r="CV177" s="49"/>
      <c r="CW177" s="49"/>
      <c r="CX177" s="2"/>
      <c r="CY177" s="2"/>
      <c r="CZ177" s="160"/>
      <c r="DA177" s="12"/>
      <c r="DB177" s="12"/>
      <c r="DC177" s="12"/>
      <c r="DD177" s="12"/>
      <c r="DE177" s="12"/>
      <c r="DF177" s="12"/>
      <c r="DG177" s="12"/>
      <c r="DH177" s="12"/>
      <c r="DI177" s="46"/>
      <c r="DJ177" s="48"/>
      <c r="DK177" s="48"/>
      <c r="DL177" s="48"/>
      <c r="DM177" s="13"/>
      <c r="DN177" s="13"/>
      <c r="DO177" s="12"/>
      <c r="DP177" s="12"/>
      <c r="DQ177" s="12"/>
      <c r="DR177" s="12"/>
      <c r="DS177" s="12"/>
      <c r="DT177" s="12"/>
      <c r="DU177" s="12"/>
      <c r="DV177" s="12"/>
      <c r="DW177" s="12"/>
      <c r="DX177" s="12"/>
      <c r="DY177" s="12"/>
      <c r="DZ177" s="12"/>
      <c r="EA177" s="12"/>
      <c r="EB177" s="12"/>
      <c r="EC177" s="12"/>
      <c r="ED177" s="12"/>
    </row>
    <row r="178" spans="1:134" ht="12.5" x14ac:dyDescent="0.25">
      <c r="A178" s="46"/>
      <c r="B178" s="46"/>
      <c r="C178" s="46"/>
      <c r="D178" s="46"/>
      <c r="E178" s="15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46"/>
      <c r="BA178" s="46"/>
      <c r="BB178" s="46"/>
      <c r="BC178" s="46"/>
      <c r="BD178" s="46"/>
      <c r="BE178" s="46"/>
      <c r="BF178" s="12"/>
      <c r="BG178" s="12"/>
      <c r="BH178" s="12"/>
      <c r="BI178" s="46"/>
      <c r="BJ178" s="46"/>
      <c r="BK178" s="46"/>
      <c r="BL178" s="46"/>
      <c r="BM178" s="46"/>
      <c r="BN178" s="46"/>
      <c r="BO178" s="46"/>
      <c r="BP178" s="46"/>
      <c r="BQ178" s="157"/>
      <c r="BR178" s="156"/>
      <c r="BS178" s="46"/>
      <c r="BT178" s="46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2"/>
      <c r="CM178" s="12"/>
      <c r="CN178" s="12"/>
      <c r="CO178" s="12"/>
      <c r="CP178" s="12"/>
      <c r="CQ178" s="12"/>
      <c r="CR178" s="46"/>
      <c r="CS178" s="46"/>
      <c r="CT178" s="2"/>
      <c r="CU178" s="2"/>
      <c r="CV178" s="49"/>
      <c r="CW178" s="49"/>
      <c r="CX178" s="2"/>
      <c r="CY178" s="2"/>
      <c r="CZ178" s="160"/>
      <c r="DA178" s="12"/>
      <c r="DB178" s="12"/>
      <c r="DC178" s="12"/>
      <c r="DD178" s="12"/>
      <c r="DE178" s="12"/>
      <c r="DF178" s="12"/>
      <c r="DG178" s="12"/>
      <c r="DH178" s="12"/>
      <c r="DI178" s="46"/>
      <c r="DJ178" s="48"/>
      <c r="DK178" s="48"/>
      <c r="DL178" s="48"/>
      <c r="DM178" s="13"/>
      <c r="DN178" s="13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</row>
    <row r="179" spans="1:134" ht="12.5" x14ac:dyDescent="0.25">
      <c r="A179" s="46"/>
      <c r="B179" s="46"/>
      <c r="C179" s="46"/>
      <c r="D179" s="46"/>
      <c r="E179" s="15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46"/>
      <c r="BA179" s="46"/>
      <c r="BB179" s="46"/>
      <c r="BC179" s="46"/>
      <c r="BD179" s="46"/>
      <c r="BE179" s="46"/>
      <c r="BF179" s="12"/>
      <c r="BG179" s="12"/>
      <c r="BH179" s="12"/>
      <c r="BI179" s="46"/>
      <c r="BJ179" s="46"/>
      <c r="BK179" s="46"/>
      <c r="BL179" s="46"/>
      <c r="BM179" s="46"/>
      <c r="BN179" s="46"/>
      <c r="BO179" s="46"/>
      <c r="BP179" s="46"/>
      <c r="BQ179" s="157"/>
      <c r="BR179" s="156"/>
      <c r="BS179" s="46"/>
      <c r="BT179" s="46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2"/>
      <c r="CM179" s="12"/>
      <c r="CN179" s="12"/>
      <c r="CO179" s="12"/>
      <c r="CP179" s="12"/>
      <c r="CQ179" s="12"/>
      <c r="CR179" s="46"/>
      <c r="CS179" s="46"/>
      <c r="CT179" s="2"/>
      <c r="CU179" s="2"/>
      <c r="CV179" s="49"/>
      <c r="CW179" s="49"/>
      <c r="CX179" s="2"/>
      <c r="CY179" s="2"/>
      <c r="CZ179" s="160"/>
      <c r="DA179" s="12"/>
      <c r="DB179" s="12"/>
      <c r="DC179" s="12"/>
      <c r="DD179" s="12"/>
      <c r="DE179" s="12"/>
      <c r="DF179" s="12"/>
      <c r="DG179" s="12"/>
      <c r="DH179" s="12"/>
      <c r="DI179" s="46"/>
      <c r="DJ179" s="48"/>
      <c r="DK179" s="48"/>
      <c r="DL179" s="48"/>
      <c r="DM179" s="13"/>
      <c r="DN179" s="13"/>
      <c r="DO179" s="12"/>
      <c r="DP179" s="12"/>
      <c r="DQ179" s="12"/>
      <c r="DR179" s="12"/>
      <c r="DS179" s="12"/>
      <c r="DT179" s="12"/>
      <c r="DU179" s="12"/>
      <c r="DV179" s="12"/>
      <c r="DW179" s="12"/>
      <c r="DX179" s="12"/>
      <c r="DY179" s="12"/>
      <c r="DZ179" s="12"/>
      <c r="EA179" s="12"/>
      <c r="EB179" s="12"/>
      <c r="EC179" s="12"/>
      <c r="ED179" s="12"/>
    </row>
    <row r="180" spans="1:134" ht="12.5" x14ac:dyDescent="0.25">
      <c r="A180" s="46"/>
      <c r="B180" s="46"/>
      <c r="C180" s="46"/>
      <c r="D180" s="46"/>
      <c r="E180" s="15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46"/>
      <c r="BA180" s="46"/>
      <c r="BB180" s="46"/>
      <c r="BC180" s="46"/>
      <c r="BD180" s="46"/>
      <c r="BE180" s="46"/>
      <c r="BF180" s="12"/>
      <c r="BG180" s="12"/>
      <c r="BH180" s="12"/>
      <c r="BI180" s="46"/>
      <c r="BJ180" s="46"/>
      <c r="BK180" s="46"/>
      <c r="BL180" s="46"/>
      <c r="BM180" s="46"/>
      <c r="BN180" s="46"/>
      <c r="BO180" s="46"/>
      <c r="BP180" s="46"/>
      <c r="BQ180" s="157"/>
      <c r="BR180" s="156"/>
      <c r="BS180" s="46"/>
      <c r="BT180" s="46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/>
      <c r="CL180" s="2"/>
      <c r="CM180" s="12"/>
      <c r="CN180" s="12"/>
      <c r="CO180" s="12"/>
      <c r="CP180" s="12"/>
      <c r="CQ180" s="12"/>
      <c r="CR180" s="46"/>
      <c r="CS180" s="46"/>
      <c r="CT180" s="2"/>
      <c r="CU180" s="2"/>
      <c r="CV180" s="49"/>
      <c r="CW180" s="49"/>
      <c r="CX180" s="2"/>
      <c r="CY180" s="2"/>
      <c r="CZ180" s="160"/>
      <c r="DA180" s="12"/>
      <c r="DB180" s="12"/>
      <c r="DC180" s="12"/>
      <c r="DD180" s="12"/>
      <c r="DE180" s="12"/>
      <c r="DF180" s="12"/>
      <c r="DG180" s="12"/>
      <c r="DH180" s="12"/>
      <c r="DI180" s="46"/>
      <c r="DJ180" s="48"/>
      <c r="DK180" s="48"/>
      <c r="DL180" s="48"/>
      <c r="DM180" s="13"/>
      <c r="DN180" s="13"/>
      <c r="DO180" s="12"/>
      <c r="DP180" s="12"/>
      <c r="DQ180" s="12"/>
      <c r="DR180" s="12"/>
      <c r="DS180" s="12"/>
      <c r="DT180" s="12"/>
      <c r="DU180" s="12"/>
      <c r="DV180" s="12"/>
      <c r="DW180" s="12"/>
      <c r="DX180" s="12"/>
      <c r="DY180" s="12"/>
      <c r="DZ180" s="12"/>
      <c r="EA180" s="12"/>
      <c r="EB180" s="12"/>
      <c r="EC180" s="12"/>
      <c r="ED180" s="12"/>
    </row>
    <row r="181" spans="1:134" ht="12.5" x14ac:dyDescent="0.25">
      <c r="A181" s="46"/>
      <c r="B181" s="46"/>
      <c r="C181" s="46"/>
      <c r="D181" s="46"/>
      <c r="E181" s="15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46"/>
      <c r="BA181" s="46"/>
      <c r="BB181" s="46"/>
      <c r="BC181" s="46"/>
      <c r="BD181" s="46"/>
      <c r="BE181" s="46"/>
      <c r="BF181" s="12"/>
      <c r="BG181" s="12"/>
      <c r="BH181" s="12"/>
      <c r="BI181" s="46"/>
      <c r="BJ181" s="46"/>
      <c r="BK181" s="46"/>
      <c r="BL181" s="46"/>
      <c r="BM181" s="46"/>
      <c r="BN181" s="46"/>
      <c r="BO181" s="46"/>
      <c r="BP181" s="46"/>
      <c r="BQ181" s="157"/>
      <c r="BR181" s="156"/>
      <c r="BS181" s="46"/>
      <c r="BT181" s="46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/>
      <c r="CH181" s="12"/>
      <c r="CI181" s="12"/>
      <c r="CJ181" s="12"/>
      <c r="CK181" s="12"/>
      <c r="CL181" s="2"/>
      <c r="CM181" s="12"/>
      <c r="CN181" s="12"/>
      <c r="CO181" s="12"/>
      <c r="CP181" s="12"/>
      <c r="CQ181" s="12"/>
      <c r="CR181" s="46"/>
      <c r="CS181" s="46"/>
      <c r="CT181" s="2"/>
      <c r="CU181" s="2"/>
      <c r="CV181" s="49"/>
      <c r="CW181" s="49"/>
      <c r="CX181" s="2"/>
      <c r="CY181" s="2"/>
      <c r="CZ181" s="160"/>
      <c r="DA181" s="12"/>
      <c r="DB181" s="12"/>
      <c r="DC181" s="12"/>
      <c r="DD181" s="12"/>
      <c r="DE181" s="12"/>
      <c r="DF181" s="12"/>
      <c r="DG181" s="12"/>
      <c r="DH181" s="12"/>
      <c r="DI181" s="46"/>
      <c r="DJ181" s="48"/>
      <c r="DK181" s="48"/>
      <c r="DL181" s="48"/>
      <c r="DM181" s="13"/>
      <c r="DN181" s="13"/>
      <c r="DO181" s="12"/>
      <c r="DP181" s="12"/>
      <c r="DQ181" s="12"/>
      <c r="DR181" s="12"/>
      <c r="DS181" s="12"/>
      <c r="DT181" s="12"/>
      <c r="DU181" s="12"/>
      <c r="DV181" s="12"/>
      <c r="DW181" s="12"/>
      <c r="DX181" s="12"/>
      <c r="DY181" s="12"/>
      <c r="DZ181" s="12"/>
      <c r="EA181" s="12"/>
      <c r="EB181" s="12"/>
      <c r="EC181" s="12"/>
      <c r="ED181" s="12"/>
    </row>
    <row r="182" spans="1:134" ht="12.5" x14ac:dyDescent="0.25">
      <c r="A182" s="46"/>
      <c r="B182" s="46"/>
      <c r="C182" s="46"/>
      <c r="D182" s="46"/>
      <c r="E182" s="15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46"/>
      <c r="BA182" s="46"/>
      <c r="BB182" s="46"/>
      <c r="BC182" s="46"/>
      <c r="BD182" s="46"/>
      <c r="BE182" s="46"/>
      <c r="BF182" s="12"/>
      <c r="BG182" s="12"/>
      <c r="BH182" s="12"/>
      <c r="BI182" s="46"/>
      <c r="BJ182" s="46"/>
      <c r="BK182" s="46"/>
      <c r="BL182" s="46"/>
      <c r="BM182" s="46"/>
      <c r="BN182" s="46"/>
      <c r="BO182" s="46"/>
      <c r="BP182" s="46"/>
      <c r="BQ182" s="157"/>
      <c r="BR182" s="156"/>
      <c r="BS182" s="46"/>
      <c r="BT182" s="46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2"/>
      <c r="CM182" s="12"/>
      <c r="CN182" s="12"/>
      <c r="CO182" s="12"/>
      <c r="CP182" s="12"/>
      <c r="CQ182" s="12"/>
      <c r="CR182" s="46"/>
      <c r="CS182" s="46"/>
      <c r="CT182" s="2"/>
      <c r="CU182" s="2"/>
      <c r="CV182" s="49"/>
      <c r="CW182" s="49"/>
      <c r="CX182" s="2"/>
      <c r="CY182" s="2"/>
      <c r="CZ182" s="160"/>
      <c r="DA182" s="12"/>
      <c r="DB182" s="12"/>
      <c r="DC182" s="12"/>
      <c r="DD182" s="12"/>
      <c r="DE182" s="12"/>
      <c r="DF182" s="12"/>
      <c r="DG182" s="12"/>
      <c r="DH182" s="12"/>
      <c r="DI182" s="46"/>
      <c r="DJ182" s="48"/>
      <c r="DK182" s="48"/>
      <c r="DL182" s="48"/>
      <c r="DM182" s="13"/>
      <c r="DN182" s="13"/>
      <c r="DO182" s="12"/>
      <c r="DP182" s="12"/>
      <c r="DQ182" s="12"/>
      <c r="DR182" s="12"/>
      <c r="DS182" s="12"/>
      <c r="DT182" s="12"/>
      <c r="DU182" s="12"/>
      <c r="DV182" s="12"/>
      <c r="DW182" s="12"/>
      <c r="DX182" s="12"/>
      <c r="DY182" s="12"/>
      <c r="DZ182" s="12"/>
      <c r="EA182" s="12"/>
      <c r="EB182" s="12"/>
      <c r="EC182" s="12"/>
      <c r="ED182" s="12"/>
    </row>
    <row r="183" spans="1:134" ht="12.5" x14ac:dyDescent="0.25">
      <c r="A183" s="46"/>
      <c r="B183" s="46"/>
      <c r="C183" s="46"/>
      <c r="D183" s="46"/>
      <c r="E183" s="15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46"/>
      <c r="BA183" s="46"/>
      <c r="BB183" s="46"/>
      <c r="BC183" s="46"/>
      <c r="BD183" s="46"/>
      <c r="BE183" s="46"/>
      <c r="BF183" s="12"/>
      <c r="BG183" s="12"/>
      <c r="BH183" s="12"/>
      <c r="BI183" s="46"/>
      <c r="BJ183" s="46"/>
      <c r="BK183" s="46"/>
      <c r="BL183" s="46"/>
      <c r="BM183" s="46"/>
      <c r="BN183" s="46"/>
      <c r="BO183" s="46"/>
      <c r="BP183" s="46"/>
      <c r="BQ183" s="157"/>
      <c r="BR183" s="156"/>
      <c r="BS183" s="46"/>
      <c r="BT183" s="46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/>
      <c r="CH183" s="12"/>
      <c r="CI183" s="12"/>
      <c r="CJ183" s="12"/>
      <c r="CK183" s="12"/>
      <c r="CL183" s="2"/>
      <c r="CM183" s="12"/>
      <c r="CN183" s="12"/>
      <c r="CO183" s="12"/>
      <c r="CP183" s="12"/>
      <c r="CQ183" s="12"/>
      <c r="CR183" s="46"/>
      <c r="CS183" s="46"/>
      <c r="CT183" s="2"/>
      <c r="CU183" s="2"/>
      <c r="CV183" s="49"/>
      <c r="CW183" s="49"/>
      <c r="CX183" s="2"/>
      <c r="CY183" s="2"/>
      <c r="CZ183" s="160"/>
      <c r="DA183" s="12"/>
      <c r="DB183" s="12"/>
      <c r="DC183" s="12"/>
      <c r="DD183" s="12"/>
      <c r="DE183" s="12"/>
      <c r="DF183" s="12"/>
      <c r="DG183" s="12"/>
      <c r="DH183" s="12"/>
      <c r="DI183" s="46"/>
      <c r="DJ183" s="48"/>
      <c r="DK183" s="48"/>
      <c r="DL183" s="48"/>
      <c r="DM183" s="13"/>
      <c r="DN183" s="13"/>
      <c r="DO183" s="12"/>
      <c r="DP183" s="12"/>
      <c r="DQ183" s="12"/>
      <c r="DR183" s="12"/>
      <c r="DS183" s="12"/>
      <c r="DT183" s="12"/>
      <c r="DU183" s="12"/>
      <c r="DV183" s="12"/>
      <c r="DW183" s="12"/>
      <c r="DX183" s="12"/>
      <c r="DY183" s="12"/>
      <c r="DZ183" s="12"/>
      <c r="EA183" s="12"/>
      <c r="EB183" s="12"/>
      <c r="EC183" s="12"/>
      <c r="ED183" s="12"/>
    </row>
    <row r="184" spans="1:134" ht="12.5" x14ac:dyDescent="0.25">
      <c r="A184" s="46"/>
      <c r="B184" s="46"/>
      <c r="C184" s="46"/>
      <c r="D184" s="46"/>
      <c r="E184" s="15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46"/>
      <c r="BA184" s="46"/>
      <c r="BB184" s="46"/>
      <c r="BC184" s="46"/>
      <c r="BD184" s="46"/>
      <c r="BE184" s="46"/>
      <c r="BF184" s="12"/>
      <c r="BG184" s="12"/>
      <c r="BH184" s="12"/>
      <c r="BI184" s="46"/>
      <c r="BJ184" s="46"/>
      <c r="BK184" s="46"/>
      <c r="BL184" s="46"/>
      <c r="BM184" s="46"/>
      <c r="BN184" s="46"/>
      <c r="BO184" s="46"/>
      <c r="BP184" s="46"/>
      <c r="BQ184" s="157"/>
      <c r="BR184" s="156"/>
      <c r="BS184" s="46"/>
      <c r="BT184" s="46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2"/>
      <c r="CM184" s="2"/>
      <c r="CN184" s="12"/>
      <c r="CO184" s="12"/>
      <c r="CP184" s="12"/>
      <c r="CQ184" s="12"/>
      <c r="CR184" s="46"/>
      <c r="CS184" s="46"/>
      <c r="CT184" s="2"/>
      <c r="CU184" s="2"/>
      <c r="CV184" s="49"/>
      <c r="CW184" s="49"/>
      <c r="CX184" s="2"/>
      <c r="CY184" s="2"/>
      <c r="CZ184" s="160"/>
      <c r="DA184" s="12"/>
      <c r="DB184" s="12"/>
      <c r="DC184" s="12"/>
      <c r="DD184" s="12"/>
      <c r="DE184" s="12"/>
      <c r="DF184" s="12"/>
      <c r="DG184" s="12"/>
      <c r="DH184" s="12"/>
      <c r="DI184" s="46"/>
      <c r="DJ184" s="48"/>
      <c r="DK184" s="48"/>
      <c r="DL184" s="48"/>
      <c r="DM184" s="13"/>
      <c r="DN184" s="13"/>
      <c r="DO184" s="12"/>
      <c r="DP184" s="12"/>
      <c r="DQ184" s="12"/>
      <c r="DR184" s="12"/>
      <c r="DS184" s="12"/>
      <c r="DT184" s="12"/>
      <c r="DU184" s="12"/>
      <c r="DV184" s="12"/>
      <c r="DW184" s="12"/>
      <c r="DX184" s="12"/>
      <c r="DY184" s="12"/>
      <c r="DZ184" s="12"/>
      <c r="EA184" s="12"/>
      <c r="EB184" s="12"/>
      <c r="EC184" s="12"/>
      <c r="ED184" s="12"/>
    </row>
    <row r="185" spans="1:134" ht="12.5" x14ac:dyDescent="0.25">
      <c r="A185" s="46"/>
      <c r="B185" s="46"/>
      <c r="C185" s="46"/>
      <c r="D185" s="46"/>
      <c r="E185" s="15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46"/>
      <c r="BA185" s="46"/>
      <c r="BB185" s="46"/>
      <c r="BC185" s="46"/>
      <c r="BD185" s="46"/>
      <c r="BE185" s="46"/>
      <c r="BF185" s="12"/>
      <c r="BG185" s="12"/>
      <c r="BH185" s="12"/>
      <c r="BI185" s="46"/>
      <c r="BJ185" s="46"/>
      <c r="BK185" s="46"/>
      <c r="BL185" s="46"/>
      <c r="BM185" s="46"/>
      <c r="BN185" s="46"/>
      <c r="BO185" s="46"/>
      <c r="BP185" s="46"/>
      <c r="BQ185" s="157"/>
      <c r="BR185" s="156"/>
      <c r="BS185" s="46"/>
      <c r="BT185" s="46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2"/>
      <c r="CM185" s="2"/>
      <c r="CN185" s="12"/>
      <c r="CO185" s="12"/>
      <c r="CP185" s="12"/>
      <c r="CQ185" s="12"/>
      <c r="CR185" s="46"/>
      <c r="CS185" s="46"/>
      <c r="CT185" s="2"/>
      <c r="CU185" s="2"/>
      <c r="CV185" s="49"/>
      <c r="CW185" s="49"/>
      <c r="CX185" s="2"/>
      <c r="CY185" s="2"/>
      <c r="CZ185" s="160"/>
      <c r="DA185" s="12"/>
      <c r="DB185" s="12"/>
      <c r="DC185" s="12"/>
      <c r="DD185" s="12"/>
      <c r="DE185" s="12"/>
      <c r="DF185" s="12"/>
      <c r="DG185" s="12"/>
      <c r="DH185" s="12"/>
      <c r="DI185" s="46"/>
      <c r="DJ185" s="48"/>
      <c r="DK185" s="48"/>
      <c r="DL185" s="48"/>
      <c r="DM185" s="13"/>
      <c r="DN185" s="13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</row>
    <row r="186" spans="1:134" ht="12.5" x14ac:dyDescent="0.25">
      <c r="A186" s="46"/>
      <c r="B186" s="46"/>
      <c r="C186" s="46"/>
      <c r="D186" s="46"/>
      <c r="E186" s="15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46"/>
      <c r="BA186" s="46"/>
      <c r="BB186" s="46"/>
      <c r="BC186" s="46"/>
      <c r="BD186" s="46"/>
      <c r="BE186" s="46"/>
      <c r="BF186" s="12"/>
      <c r="BG186" s="12"/>
      <c r="BH186" s="12"/>
      <c r="BI186" s="46"/>
      <c r="BJ186" s="46"/>
      <c r="BK186" s="46"/>
      <c r="BL186" s="46"/>
      <c r="BM186" s="46"/>
      <c r="BN186" s="46"/>
      <c r="BO186" s="46"/>
      <c r="BP186" s="46"/>
      <c r="BQ186" s="157"/>
      <c r="BR186" s="156"/>
      <c r="BS186" s="46"/>
      <c r="BT186" s="46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2"/>
      <c r="CM186" s="2"/>
      <c r="CN186" s="12"/>
      <c r="CO186" s="12"/>
      <c r="CP186" s="12"/>
      <c r="CQ186" s="12"/>
      <c r="CR186" s="46"/>
      <c r="CS186" s="46"/>
      <c r="CT186" s="2"/>
      <c r="CU186" s="2"/>
      <c r="CV186" s="49"/>
      <c r="CW186" s="49"/>
      <c r="CX186" s="2"/>
      <c r="CY186" s="2"/>
      <c r="CZ186" s="160"/>
      <c r="DA186" s="12"/>
      <c r="DB186" s="12"/>
      <c r="DC186" s="12"/>
      <c r="DD186" s="12"/>
      <c r="DE186" s="12"/>
      <c r="DF186" s="12"/>
      <c r="DG186" s="12"/>
      <c r="DH186" s="12"/>
      <c r="DI186" s="46"/>
      <c r="DJ186" s="48"/>
      <c r="DK186" s="48"/>
      <c r="DL186" s="48"/>
      <c r="DM186" s="13"/>
      <c r="DN186" s="13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</row>
    <row r="187" spans="1:134" ht="12.5" x14ac:dyDescent="0.25">
      <c r="A187" s="46"/>
      <c r="B187" s="46"/>
      <c r="C187" s="46"/>
      <c r="D187" s="46"/>
      <c r="E187" s="15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46"/>
      <c r="BA187" s="46"/>
      <c r="BB187" s="46"/>
      <c r="BC187" s="46"/>
      <c r="BD187" s="46"/>
      <c r="BE187" s="46"/>
      <c r="BF187" s="12"/>
      <c r="BG187" s="12"/>
      <c r="BH187" s="12"/>
      <c r="BI187" s="46"/>
      <c r="BJ187" s="46"/>
      <c r="BK187" s="46"/>
      <c r="BL187" s="46"/>
      <c r="BM187" s="46"/>
      <c r="BN187" s="46"/>
      <c r="BO187" s="46"/>
      <c r="BP187" s="46"/>
      <c r="BQ187" s="157"/>
      <c r="BR187" s="156"/>
      <c r="BS187" s="46"/>
      <c r="BT187" s="46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2"/>
      <c r="CM187" s="12"/>
      <c r="CN187" s="12"/>
      <c r="CO187" s="12"/>
      <c r="CP187" s="12"/>
      <c r="CQ187" s="12"/>
      <c r="CR187" s="46"/>
      <c r="CS187" s="46"/>
      <c r="CT187" s="2"/>
      <c r="CU187" s="2"/>
      <c r="CV187" s="49"/>
      <c r="CW187" s="49"/>
      <c r="CX187" s="2"/>
      <c r="CY187" s="2"/>
      <c r="CZ187" s="160"/>
      <c r="DA187" s="12"/>
      <c r="DB187" s="12"/>
      <c r="DC187" s="12"/>
      <c r="DD187" s="12"/>
      <c r="DE187" s="12"/>
      <c r="DF187" s="12"/>
      <c r="DG187" s="12"/>
      <c r="DH187" s="12"/>
      <c r="DI187" s="46"/>
      <c r="DJ187" s="48"/>
      <c r="DK187" s="48"/>
      <c r="DL187" s="48"/>
      <c r="DM187" s="13"/>
      <c r="DN187" s="13"/>
      <c r="DO187" s="12"/>
      <c r="DP187" s="12"/>
      <c r="DQ187" s="12"/>
      <c r="DR187" s="12"/>
      <c r="DS187" s="12"/>
      <c r="DT187" s="12"/>
      <c r="DU187" s="12"/>
      <c r="DV187" s="12"/>
      <c r="DW187" s="12"/>
      <c r="DX187" s="12"/>
      <c r="DY187" s="12"/>
      <c r="DZ187" s="12"/>
      <c r="EA187" s="12"/>
      <c r="EB187" s="12"/>
      <c r="EC187" s="12"/>
      <c r="ED187" s="12"/>
    </row>
    <row r="188" spans="1:134" ht="12.5" x14ac:dyDescent="0.25">
      <c r="A188" s="46"/>
      <c r="B188" s="46"/>
      <c r="C188" s="46"/>
      <c r="D188" s="46"/>
      <c r="E188" s="15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46"/>
      <c r="BA188" s="46"/>
      <c r="BB188" s="46"/>
      <c r="BC188" s="46"/>
      <c r="BD188" s="46"/>
      <c r="BE188" s="46"/>
      <c r="BF188" s="12"/>
      <c r="BG188" s="12"/>
      <c r="BH188" s="12"/>
      <c r="BI188" s="46"/>
      <c r="BJ188" s="46"/>
      <c r="BK188" s="46"/>
      <c r="BL188" s="46"/>
      <c r="BM188" s="46"/>
      <c r="BN188" s="46"/>
      <c r="BO188" s="46"/>
      <c r="BP188" s="46"/>
      <c r="BQ188" s="157"/>
      <c r="BR188" s="156"/>
      <c r="BS188" s="46"/>
      <c r="BT188" s="46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/>
      <c r="CH188" s="12"/>
      <c r="CI188" s="12"/>
      <c r="CJ188" s="12"/>
      <c r="CK188" s="12"/>
      <c r="CL188" s="2"/>
      <c r="CM188" s="12"/>
      <c r="CN188" s="12"/>
      <c r="CO188" s="12"/>
      <c r="CP188" s="12"/>
      <c r="CQ188" s="12"/>
      <c r="CR188" s="46"/>
      <c r="CS188" s="46"/>
      <c r="CT188" s="2"/>
      <c r="CU188" s="2"/>
      <c r="CV188" s="49"/>
      <c r="CW188" s="49"/>
      <c r="CX188" s="2"/>
      <c r="CY188" s="2"/>
      <c r="CZ188" s="160"/>
      <c r="DA188" s="12"/>
      <c r="DB188" s="12"/>
      <c r="DC188" s="12"/>
      <c r="DD188" s="12"/>
      <c r="DE188" s="12"/>
      <c r="DF188" s="12"/>
      <c r="DG188" s="12"/>
      <c r="DH188" s="12"/>
      <c r="DI188" s="46"/>
      <c r="DJ188" s="48"/>
      <c r="DK188" s="48"/>
      <c r="DL188" s="48"/>
      <c r="DM188" s="13"/>
      <c r="DN188" s="13"/>
      <c r="DO188" s="12"/>
      <c r="DP188" s="12"/>
      <c r="DQ188" s="12"/>
      <c r="DR188" s="12"/>
      <c r="DS188" s="12"/>
      <c r="DT188" s="12"/>
      <c r="DU188" s="12"/>
      <c r="DV188" s="12"/>
      <c r="DW188" s="12"/>
      <c r="DX188" s="12"/>
      <c r="DY188" s="12"/>
      <c r="DZ188" s="12"/>
      <c r="EA188" s="12"/>
      <c r="EB188" s="12"/>
      <c r="EC188" s="12"/>
      <c r="ED188" s="12"/>
    </row>
    <row r="189" spans="1:134" ht="12.5" x14ac:dyDescent="0.25">
      <c r="A189" s="46"/>
      <c r="B189" s="46"/>
      <c r="C189" s="46"/>
      <c r="D189" s="46"/>
      <c r="E189" s="15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46"/>
      <c r="BA189" s="46"/>
      <c r="BB189" s="46"/>
      <c r="BC189" s="46"/>
      <c r="BD189" s="46"/>
      <c r="BE189" s="46"/>
      <c r="BF189" s="12"/>
      <c r="BG189" s="12"/>
      <c r="BH189" s="12"/>
      <c r="BI189" s="46"/>
      <c r="BJ189" s="46"/>
      <c r="BK189" s="46"/>
      <c r="BL189" s="46"/>
      <c r="BM189" s="46"/>
      <c r="BN189" s="46"/>
      <c r="BO189" s="46"/>
      <c r="BP189" s="46"/>
      <c r="BQ189" s="157"/>
      <c r="BR189" s="156"/>
      <c r="BS189" s="46"/>
      <c r="BT189" s="46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2"/>
      <c r="CM189" s="12"/>
      <c r="CN189" s="12"/>
      <c r="CO189" s="12"/>
      <c r="CP189" s="12"/>
      <c r="CQ189" s="12"/>
      <c r="CR189" s="46"/>
      <c r="CS189" s="46"/>
      <c r="CT189" s="2"/>
      <c r="CU189" s="2"/>
      <c r="CV189" s="49"/>
      <c r="CW189" s="49"/>
      <c r="CX189" s="2"/>
      <c r="CY189" s="2"/>
      <c r="CZ189" s="160"/>
      <c r="DA189" s="12"/>
      <c r="DB189" s="12"/>
      <c r="DC189" s="12"/>
      <c r="DD189" s="12"/>
      <c r="DE189" s="12"/>
      <c r="DF189" s="12"/>
      <c r="DG189" s="12"/>
      <c r="DH189" s="12"/>
      <c r="DI189" s="46"/>
      <c r="DJ189" s="48"/>
      <c r="DK189" s="48"/>
      <c r="DL189" s="48"/>
      <c r="DM189" s="13"/>
      <c r="DN189" s="13"/>
      <c r="DO189" s="12"/>
      <c r="DP189" s="12"/>
      <c r="DQ189" s="12"/>
      <c r="DR189" s="12"/>
      <c r="DS189" s="12"/>
      <c r="DT189" s="12"/>
      <c r="DU189" s="12"/>
      <c r="DV189" s="12"/>
      <c r="DW189" s="12"/>
      <c r="DX189" s="12"/>
      <c r="DY189" s="12"/>
      <c r="DZ189" s="12"/>
      <c r="EA189" s="12"/>
      <c r="EB189" s="12"/>
      <c r="EC189" s="12"/>
      <c r="ED189" s="12"/>
    </row>
    <row r="190" spans="1:134" ht="12.5" x14ac:dyDescent="0.25">
      <c r="A190" s="46"/>
      <c r="B190" s="46"/>
      <c r="C190" s="46"/>
      <c r="D190" s="46"/>
      <c r="E190" s="15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46"/>
      <c r="BA190" s="46"/>
      <c r="BB190" s="46"/>
      <c r="BC190" s="46"/>
      <c r="BD190" s="46"/>
      <c r="BE190" s="46"/>
      <c r="BF190" s="12"/>
      <c r="BG190" s="12"/>
      <c r="BH190" s="12"/>
      <c r="BI190" s="46"/>
      <c r="BJ190" s="46"/>
      <c r="BK190" s="46"/>
      <c r="BL190" s="46"/>
      <c r="BM190" s="46"/>
      <c r="BN190" s="46"/>
      <c r="BO190" s="46"/>
      <c r="BP190" s="46"/>
      <c r="BQ190" s="157"/>
      <c r="BR190" s="156"/>
      <c r="BS190" s="46"/>
      <c r="BT190" s="46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/>
      <c r="CH190" s="12"/>
      <c r="CI190" s="12"/>
      <c r="CJ190" s="12"/>
      <c r="CK190" s="12"/>
      <c r="CL190" s="2"/>
      <c r="CM190" s="12"/>
      <c r="CN190" s="12"/>
      <c r="CO190" s="12"/>
      <c r="CP190" s="12"/>
      <c r="CQ190" s="12"/>
      <c r="CR190" s="46"/>
      <c r="CS190" s="46"/>
      <c r="CT190" s="2"/>
      <c r="CU190" s="2"/>
      <c r="CV190" s="49"/>
      <c r="CW190" s="49"/>
      <c r="CX190" s="2"/>
      <c r="CY190" s="2"/>
      <c r="CZ190" s="160"/>
      <c r="DA190" s="12"/>
      <c r="DB190" s="12"/>
      <c r="DC190" s="12"/>
      <c r="DD190" s="12"/>
      <c r="DE190" s="12"/>
      <c r="DF190" s="12"/>
      <c r="DG190" s="12"/>
      <c r="DH190" s="12"/>
      <c r="DI190" s="46"/>
      <c r="DJ190" s="48"/>
      <c r="DK190" s="48"/>
      <c r="DL190" s="48"/>
      <c r="DM190" s="13"/>
      <c r="DN190" s="13"/>
      <c r="DO190" s="12"/>
      <c r="DP190" s="12"/>
      <c r="DQ190" s="12"/>
      <c r="DR190" s="12"/>
      <c r="DS190" s="12"/>
      <c r="DT190" s="12"/>
      <c r="DU190" s="12"/>
      <c r="DV190" s="12"/>
      <c r="DW190" s="12"/>
      <c r="DX190" s="12"/>
      <c r="DY190" s="12"/>
      <c r="DZ190" s="12"/>
      <c r="EA190" s="12"/>
      <c r="EB190" s="12"/>
      <c r="EC190" s="12"/>
      <c r="ED190" s="12"/>
    </row>
    <row r="191" spans="1:134" ht="12.5" x14ac:dyDescent="0.25">
      <c r="A191" s="46"/>
      <c r="B191" s="46"/>
      <c r="C191" s="46"/>
      <c r="D191" s="46"/>
      <c r="E191" s="15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46"/>
      <c r="BA191" s="46"/>
      <c r="BB191" s="46"/>
      <c r="BC191" s="46"/>
      <c r="BD191" s="46"/>
      <c r="BE191" s="46"/>
      <c r="BF191" s="12"/>
      <c r="BG191" s="12"/>
      <c r="BH191" s="12"/>
      <c r="BI191" s="46"/>
      <c r="BJ191" s="46"/>
      <c r="BK191" s="46"/>
      <c r="BL191" s="46"/>
      <c r="BM191" s="46"/>
      <c r="BN191" s="46"/>
      <c r="BO191" s="46"/>
      <c r="BP191" s="46"/>
      <c r="BQ191" s="157"/>
      <c r="BR191" s="156"/>
      <c r="BS191" s="46"/>
      <c r="BT191" s="46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2"/>
      <c r="CM191" s="12"/>
      <c r="CN191" s="12"/>
      <c r="CO191" s="12"/>
      <c r="CP191" s="12"/>
      <c r="CQ191" s="12"/>
      <c r="CR191" s="46"/>
      <c r="CS191" s="46"/>
      <c r="CT191" s="2"/>
      <c r="CU191" s="2"/>
      <c r="CV191" s="49"/>
      <c r="CW191" s="49"/>
      <c r="CX191" s="2"/>
      <c r="CY191" s="2"/>
      <c r="CZ191" s="160"/>
      <c r="DA191" s="12"/>
      <c r="DB191" s="12"/>
      <c r="DC191" s="12"/>
      <c r="DD191" s="12"/>
      <c r="DE191" s="12"/>
      <c r="DF191" s="12"/>
      <c r="DG191" s="12"/>
      <c r="DH191" s="12"/>
      <c r="DI191" s="46"/>
      <c r="DJ191" s="48"/>
      <c r="DK191" s="48"/>
      <c r="DL191" s="48"/>
      <c r="DM191" s="13"/>
      <c r="DN191" s="13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</row>
    <row r="192" spans="1:134" ht="12.5" x14ac:dyDescent="0.25">
      <c r="A192" s="46"/>
      <c r="B192" s="46"/>
      <c r="C192" s="46"/>
      <c r="D192" s="46"/>
      <c r="E192" s="15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46"/>
      <c r="BA192" s="46"/>
      <c r="BB192" s="46"/>
      <c r="BC192" s="46"/>
      <c r="BD192" s="46"/>
      <c r="BE192" s="46"/>
      <c r="BF192" s="12"/>
      <c r="BG192" s="12"/>
      <c r="BH192" s="12"/>
      <c r="BI192" s="46"/>
      <c r="BJ192" s="46"/>
      <c r="BK192" s="46"/>
      <c r="BL192" s="46"/>
      <c r="BM192" s="46"/>
      <c r="BN192" s="46"/>
      <c r="BO192" s="46"/>
      <c r="BP192" s="46"/>
      <c r="BQ192" s="157"/>
      <c r="BR192" s="156"/>
      <c r="BS192" s="46"/>
      <c r="BT192" s="46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2"/>
      <c r="CM192" s="2"/>
      <c r="CN192" s="12"/>
      <c r="CO192" s="12"/>
      <c r="CP192" s="12"/>
      <c r="CQ192" s="12"/>
      <c r="CR192" s="46"/>
      <c r="CS192" s="46"/>
      <c r="CT192" s="2"/>
      <c r="CU192" s="2"/>
      <c r="CV192" s="49"/>
      <c r="CW192" s="49"/>
      <c r="CX192" s="2"/>
      <c r="CY192" s="2"/>
      <c r="CZ192" s="51"/>
      <c r="DA192" s="12"/>
      <c r="DB192" s="12"/>
      <c r="DC192" s="12"/>
      <c r="DD192" s="12"/>
      <c r="DE192" s="12"/>
      <c r="DF192" s="12"/>
      <c r="DG192" s="12"/>
      <c r="DH192" s="12"/>
      <c r="DI192" s="46"/>
      <c r="DJ192" s="48"/>
      <c r="DK192" s="48"/>
      <c r="DL192" s="48"/>
      <c r="DM192" s="13"/>
      <c r="DN192" s="13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</row>
    <row r="193" spans="1:134" ht="12.5" x14ac:dyDescent="0.25">
      <c r="A193" s="46"/>
      <c r="B193" s="46"/>
      <c r="C193" s="46"/>
      <c r="D193" s="46"/>
      <c r="E193" s="15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46"/>
      <c r="BA193" s="46"/>
      <c r="BB193" s="46"/>
      <c r="BC193" s="46"/>
      <c r="BD193" s="46"/>
      <c r="BE193" s="46"/>
      <c r="BF193" s="12"/>
      <c r="BG193" s="12"/>
      <c r="BH193" s="12"/>
      <c r="BI193" s="46"/>
      <c r="BJ193" s="46"/>
      <c r="BK193" s="46"/>
      <c r="BL193" s="46"/>
      <c r="BM193" s="46"/>
      <c r="BN193" s="46"/>
      <c r="BO193" s="46"/>
      <c r="BP193" s="46"/>
      <c r="BQ193" s="157"/>
      <c r="BR193" s="156"/>
      <c r="BS193" s="46"/>
      <c r="BT193" s="46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2"/>
      <c r="CM193" s="12"/>
      <c r="CN193" s="12"/>
      <c r="CO193" s="12"/>
      <c r="CP193" s="12"/>
      <c r="CQ193" s="12"/>
      <c r="CR193" s="46"/>
      <c r="CS193" s="46"/>
      <c r="CT193" s="2"/>
      <c r="CU193" s="2"/>
      <c r="CV193" s="49"/>
      <c r="CW193" s="49"/>
      <c r="CX193" s="2"/>
      <c r="CY193" s="2"/>
      <c r="CZ193" s="160"/>
      <c r="DA193" s="12"/>
      <c r="DB193" s="12"/>
      <c r="DC193" s="12"/>
      <c r="DD193" s="12"/>
      <c r="DE193" s="12"/>
      <c r="DF193" s="12"/>
      <c r="DG193" s="12"/>
      <c r="DH193" s="12"/>
      <c r="DI193" s="46"/>
      <c r="DJ193" s="48"/>
      <c r="DK193" s="48"/>
      <c r="DL193" s="48"/>
      <c r="DM193" s="13"/>
      <c r="DN193" s="13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</row>
    <row r="194" spans="1:134" ht="12.5" x14ac:dyDescent="0.25">
      <c r="A194" s="46"/>
      <c r="B194" s="46"/>
      <c r="C194" s="46"/>
      <c r="D194" s="46"/>
      <c r="E194" s="15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46"/>
      <c r="BA194" s="46"/>
      <c r="BB194" s="46"/>
      <c r="BC194" s="46"/>
      <c r="BD194" s="46"/>
      <c r="BE194" s="46"/>
      <c r="BF194" s="12"/>
      <c r="BG194" s="12"/>
      <c r="BH194" s="12"/>
      <c r="BI194" s="46"/>
      <c r="BJ194" s="46"/>
      <c r="BK194" s="46"/>
      <c r="BL194" s="46"/>
      <c r="BM194" s="46"/>
      <c r="BN194" s="46"/>
      <c r="BO194" s="46"/>
      <c r="BP194" s="46"/>
      <c r="BQ194" s="157"/>
      <c r="BR194" s="156"/>
      <c r="BS194" s="46"/>
      <c r="BT194" s="46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  <c r="CJ194" s="12"/>
      <c r="CK194" s="12"/>
      <c r="CL194" s="2"/>
      <c r="CM194" s="2"/>
      <c r="CN194" s="12"/>
      <c r="CO194" s="12"/>
      <c r="CP194" s="12"/>
      <c r="CQ194" s="12"/>
      <c r="CR194" s="46"/>
      <c r="CS194" s="46"/>
      <c r="CT194" s="2"/>
      <c r="CU194" s="2"/>
      <c r="CV194" s="49"/>
      <c r="CW194" s="49"/>
      <c r="CX194" s="2"/>
      <c r="CY194" s="2"/>
      <c r="CZ194" s="160"/>
      <c r="DA194" s="12"/>
      <c r="DB194" s="12"/>
      <c r="DC194" s="12"/>
      <c r="DD194" s="12"/>
      <c r="DE194" s="12"/>
      <c r="DF194" s="12"/>
      <c r="DG194" s="12"/>
      <c r="DH194" s="12"/>
      <c r="DI194" s="46"/>
      <c r="DJ194" s="48"/>
      <c r="DK194" s="48"/>
      <c r="DL194" s="48"/>
      <c r="DM194" s="13"/>
      <c r="DN194" s="13"/>
      <c r="DO194" s="12"/>
      <c r="DP194" s="12"/>
      <c r="DQ194" s="12"/>
      <c r="DR194" s="12"/>
      <c r="DS194" s="12"/>
      <c r="DT194" s="12"/>
      <c r="DU194" s="12"/>
      <c r="DV194" s="12"/>
      <c r="DW194" s="12"/>
      <c r="DX194" s="12"/>
      <c r="DY194" s="12"/>
      <c r="DZ194" s="12"/>
      <c r="EA194" s="12"/>
      <c r="EB194" s="12"/>
      <c r="EC194" s="12"/>
      <c r="ED194" s="12"/>
    </row>
    <row r="195" spans="1:134" ht="12.5" x14ac:dyDescent="0.25">
      <c r="A195" s="46"/>
      <c r="B195" s="46"/>
      <c r="C195" s="46"/>
      <c r="D195" s="46"/>
      <c r="E195" s="15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46"/>
      <c r="BA195" s="46"/>
      <c r="BB195" s="46"/>
      <c r="BC195" s="46"/>
      <c r="BD195" s="46"/>
      <c r="BE195" s="46"/>
      <c r="BF195" s="12"/>
      <c r="BG195" s="12"/>
      <c r="BH195" s="12"/>
      <c r="BI195" s="46"/>
      <c r="BJ195" s="46"/>
      <c r="BK195" s="46"/>
      <c r="BL195" s="46"/>
      <c r="BM195" s="46"/>
      <c r="BN195" s="46"/>
      <c r="BO195" s="46"/>
      <c r="BP195" s="46"/>
      <c r="BQ195" s="157"/>
      <c r="BR195" s="156"/>
      <c r="BS195" s="46"/>
      <c r="BT195" s="46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/>
      <c r="CH195" s="12"/>
      <c r="CI195" s="12"/>
      <c r="CJ195" s="12"/>
      <c r="CK195" s="12"/>
      <c r="CL195" s="2"/>
      <c r="CM195" s="2"/>
      <c r="CN195" s="12"/>
      <c r="CO195" s="12"/>
      <c r="CP195" s="12"/>
      <c r="CQ195" s="12"/>
      <c r="CR195" s="46"/>
      <c r="CS195" s="46"/>
      <c r="CT195" s="2"/>
      <c r="CU195" s="2"/>
      <c r="CV195" s="49"/>
      <c r="CW195" s="49"/>
      <c r="CX195" s="2"/>
      <c r="CY195" s="2"/>
      <c r="CZ195" s="160"/>
      <c r="DA195" s="12"/>
      <c r="DB195" s="12"/>
      <c r="DC195" s="12"/>
      <c r="DD195" s="12"/>
      <c r="DE195" s="12"/>
      <c r="DF195" s="12"/>
      <c r="DG195" s="12"/>
      <c r="DH195" s="12"/>
      <c r="DI195" s="46"/>
      <c r="DJ195" s="48"/>
      <c r="DK195" s="48"/>
      <c r="DL195" s="48"/>
      <c r="DM195" s="13"/>
      <c r="DN195" s="13"/>
      <c r="DO195" s="12"/>
      <c r="DP195" s="12"/>
      <c r="DQ195" s="12"/>
      <c r="DR195" s="12"/>
      <c r="DS195" s="12"/>
      <c r="DT195" s="12"/>
      <c r="DU195" s="12"/>
      <c r="DV195" s="12"/>
      <c r="DW195" s="12"/>
      <c r="DX195" s="12"/>
      <c r="DY195" s="12"/>
      <c r="DZ195" s="12"/>
      <c r="EA195" s="12"/>
      <c r="EB195" s="12"/>
      <c r="EC195" s="12"/>
      <c r="ED195" s="12"/>
    </row>
    <row r="196" spans="1:134" ht="12.5" x14ac:dyDescent="0.25">
      <c r="A196" s="46"/>
      <c r="B196" s="46"/>
      <c r="C196" s="46"/>
      <c r="D196" s="46"/>
      <c r="E196" s="15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46"/>
      <c r="BA196" s="46"/>
      <c r="BB196" s="46"/>
      <c r="BC196" s="46"/>
      <c r="BD196" s="46"/>
      <c r="BE196" s="46"/>
      <c r="BF196" s="12"/>
      <c r="BG196" s="12"/>
      <c r="BH196" s="12"/>
      <c r="BI196" s="46"/>
      <c r="BJ196" s="46"/>
      <c r="BK196" s="46"/>
      <c r="BL196" s="46"/>
      <c r="BM196" s="46"/>
      <c r="BN196" s="46"/>
      <c r="BO196" s="46"/>
      <c r="BP196" s="46"/>
      <c r="BQ196" s="157"/>
      <c r="BR196" s="156"/>
      <c r="BS196" s="46"/>
      <c r="BT196" s="46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/>
      <c r="CH196" s="12"/>
      <c r="CI196" s="12"/>
      <c r="CJ196" s="12"/>
      <c r="CK196" s="12"/>
      <c r="CL196" s="2"/>
      <c r="CM196" s="2"/>
      <c r="CN196" s="12"/>
      <c r="CO196" s="12"/>
      <c r="CP196" s="12"/>
      <c r="CQ196" s="12"/>
      <c r="CR196" s="46"/>
      <c r="CS196" s="46"/>
      <c r="CT196" s="2"/>
      <c r="CU196" s="2"/>
      <c r="CV196" s="49"/>
      <c r="CW196" s="49"/>
      <c r="CX196" s="2"/>
      <c r="CY196" s="2"/>
      <c r="CZ196" s="160"/>
      <c r="DA196" s="12"/>
      <c r="DB196" s="12"/>
      <c r="DC196" s="12"/>
      <c r="DD196" s="12"/>
      <c r="DE196" s="12"/>
      <c r="DF196" s="12"/>
      <c r="DG196" s="12"/>
      <c r="DH196" s="12"/>
      <c r="DI196" s="46"/>
      <c r="DJ196" s="48"/>
      <c r="DK196" s="48"/>
      <c r="DL196" s="48"/>
      <c r="DM196" s="13"/>
      <c r="DN196" s="13"/>
      <c r="DO196" s="12"/>
      <c r="DP196" s="12"/>
      <c r="DQ196" s="12"/>
      <c r="DR196" s="12"/>
      <c r="DS196" s="12"/>
      <c r="DT196" s="12"/>
      <c r="DU196" s="12"/>
      <c r="DV196" s="12"/>
      <c r="DW196" s="12"/>
      <c r="DX196" s="12"/>
      <c r="DY196" s="12"/>
      <c r="DZ196" s="12"/>
      <c r="EA196" s="12"/>
      <c r="EB196" s="12"/>
      <c r="EC196" s="12"/>
      <c r="ED196" s="12"/>
    </row>
    <row r="197" spans="1:134" ht="12.5" x14ac:dyDescent="0.25">
      <c r="A197" s="46"/>
      <c r="B197" s="46"/>
      <c r="C197" s="46"/>
      <c r="D197" s="46"/>
      <c r="E197" s="15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46"/>
      <c r="BA197" s="46"/>
      <c r="BB197" s="46"/>
      <c r="BC197" s="46"/>
      <c r="BD197" s="46"/>
      <c r="BE197" s="46"/>
      <c r="BF197" s="12"/>
      <c r="BG197" s="12"/>
      <c r="BH197" s="12"/>
      <c r="BI197" s="46"/>
      <c r="BJ197" s="46"/>
      <c r="BK197" s="46"/>
      <c r="BL197" s="46"/>
      <c r="BM197" s="46"/>
      <c r="BN197" s="46"/>
      <c r="BO197" s="46"/>
      <c r="BP197" s="46"/>
      <c r="BQ197" s="157"/>
      <c r="BR197" s="156"/>
      <c r="BS197" s="46"/>
      <c r="BT197" s="46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/>
      <c r="CH197" s="12"/>
      <c r="CI197" s="12"/>
      <c r="CJ197" s="12"/>
      <c r="CK197" s="12"/>
      <c r="CL197" s="2"/>
      <c r="CM197" s="2"/>
      <c r="CN197" s="12"/>
      <c r="CO197" s="12"/>
      <c r="CP197" s="12"/>
      <c r="CQ197" s="12"/>
      <c r="CR197" s="46"/>
      <c r="CS197" s="46"/>
      <c r="CT197" s="2"/>
      <c r="CU197" s="2"/>
      <c r="CV197" s="49"/>
      <c r="CW197" s="49"/>
      <c r="CX197" s="2"/>
      <c r="CY197" s="2"/>
      <c r="CZ197" s="160"/>
      <c r="DA197" s="12"/>
      <c r="DB197" s="12"/>
      <c r="DC197" s="12"/>
      <c r="DD197" s="12"/>
      <c r="DE197" s="12"/>
      <c r="DF197" s="12"/>
      <c r="DG197" s="12"/>
      <c r="DH197" s="12"/>
      <c r="DI197" s="46"/>
      <c r="DJ197" s="48"/>
      <c r="DK197" s="48"/>
      <c r="DL197" s="48"/>
      <c r="DM197" s="13"/>
      <c r="DN197" s="13"/>
      <c r="DO197" s="12"/>
      <c r="DP197" s="12"/>
      <c r="DQ197" s="12"/>
      <c r="DR197" s="12"/>
      <c r="DS197" s="12"/>
      <c r="DT197" s="12"/>
      <c r="DU197" s="12"/>
      <c r="DV197" s="12"/>
      <c r="DW197" s="12"/>
      <c r="DX197" s="12"/>
      <c r="DY197" s="12"/>
      <c r="DZ197" s="12"/>
      <c r="EA197" s="12"/>
      <c r="EB197" s="12"/>
      <c r="EC197" s="12"/>
      <c r="ED197" s="12"/>
    </row>
    <row r="198" spans="1:134" ht="12.5" x14ac:dyDescent="0.25">
      <c r="A198" s="46"/>
      <c r="B198" s="46"/>
      <c r="C198" s="46"/>
      <c r="D198" s="46"/>
      <c r="E198" s="15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46"/>
      <c r="BA198" s="46"/>
      <c r="BB198" s="46"/>
      <c r="BC198" s="46"/>
      <c r="BD198" s="46"/>
      <c r="BE198" s="46"/>
      <c r="BF198" s="12"/>
      <c r="BG198" s="12"/>
      <c r="BH198" s="12"/>
      <c r="BI198" s="46"/>
      <c r="BJ198" s="46"/>
      <c r="BK198" s="46"/>
      <c r="BL198" s="46"/>
      <c r="BM198" s="46"/>
      <c r="BN198" s="46"/>
      <c r="BO198" s="46"/>
      <c r="BP198" s="46"/>
      <c r="BQ198" s="157"/>
      <c r="BR198" s="156"/>
      <c r="BS198" s="46"/>
      <c r="BT198" s="46"/>
      <c r="BU198" s="12"/>
      <c r="BV198" s="12"/>
      <c r="BW198" s="12"/>
      <c r="BX198" s="12"/>
      <c r="BY198" s="12"/>
      <c r="BZ198" s="12"/>
      <c r="CA198" s="12"/>
      <c r="CB198" s="12"/>
      <c r="CC198" s="12"/>
      <c r="CD198" s="12"/>
      <c r="CE198" s="12"/>
      <c r="CF198" s="12"/>
      <c r="CG198" s="12"/>
      <c r="CH198" s="12"/>
      <c r="CI198" s="12"/>
      <c r="CJ198" s="12"/>
      <c r="CK198" s="12"/>
      <c r="CL198" s="2"/>
      <c r="CM198" s="12"/>
      <c r="CN198" s="12"/>
      <c r="CO198" s="12"/>
      <c r="CP198" s="12"/>
      <c r="CQ198" s="12"/>
      <c r="CR198" s="46"/>
      <c r="CS198" s="46"/>
      <c r="CT198" s="2"/>
      <c r="CU198" s="2"/>
      <c r="CV198" s="49"/>
      <c r="CW198" s="49"/>
      <c r="CX198" s="2"/>
      <c r="CY198" s="2"/>
      <c r="CZ198" s="160"/>
      <c r="DA198" s="12"/>
      <c r="DB198" s="12"/>
      <c r="DC198" s="12"/>
      <c r="DD198" s="12"/>
      <c r="DE198" s="12"/>
      <c r="DF198" s="12"/>
      <c r="DG198" s="12"/>
      <c r="DH198" s="12"/>
      <c r="DI198" s="46"/>
      <c r="DJ198" s="48"/>
      <c r="DK198" s="48"/>
      <c r="DL198" s="48"/>
      <c r="DM198" s="13"/>
      <c r="DN198" s="13"/>
      <c r="DO198" s="12"/>
      <c r="DP198" s="12"/>
      <c r="DQ198" s="12"/>
      <c r="DR198" s="12"/>
      <c r="DS198" s="12"/>
      <c r="DT198" s="12"/>
      <c r="DU198" s="12"/>
      <c r="DV198" s="12"/>
      <c r="DW198" s="12"/>
      <c r="DX198" s="12"/>
      <c r="DY198" s="12"/>
      <c r="DZ198" s="12"/>
      <c r="EA198" s="12"/>
      <c r="EB198" s="12"/>
      <c r="EC198" s="12"/>
      <c r="ED198" s="12"/>
    </row>
    <row r="199" spans="1:134" ht="12.5" x14ac:dyDescent="0.25">
      <c r="A199" s="46"/>
      <c r="B199" s="46"/>
      <c r="C199" s="46"/>
      <c r="D199" s="46"/>
      <c r="E199" s="15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46"/>
      <c r="BA199" s="46"/>
      <c r="BB199" s="46"/>
      <c r="BC199" s="46"/>
      <c r="BD199" s="46"/>
      <c r="BE199" s="46"/>
      <c r="BF199" s="12"/>
      <c r="BG199" s="12"/>
      <c r="BH199" s="12"/>
      <c r="BI199" s="46"/>
      <c r="BJ199" s="46"/>
      <c r="BK199" s="46"/>
      <c r="BL199" s="46"/>
      <c r="BM199" s="46"/>
      <c r="BN199" s="46"/>
      <c r="BO199" s="46"/>
      <c r="BP199" s="46"/>
      <c r="BQ199" s="157"/>
      <c r="BR199" s="156"/>
      <c r="BS199" s="46"/>
      <c r="BT199" s="46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  <c r="CJ199" s="12"/>
      <c r="CK199" s="12"/>
      <c r="CL199" s="2"/>
      <c r="CM199" s="12"/>
      <c r="CN199" s="12"/>
      <c r="CO199" s="12"/>
      <c r="CP199" s="12"/>
      <c r="CQ199" s="12"/>
      <c r="CR199" s="46"/>
      <c r="CS199" s="46"/>
      <c r="CT199" s="2"/>
      <c r="CU199" s="2"/>
      <c r="CV199" s="49"/>
      <c r="CW199" s="49"/>
      <c r="CX199" s="2"/>
      <c r="CY199" s="2"/>
      <c r="CZ199" s="160"/>
      <c r="DA199" s="12"/>
      <c r="DB199" s="12"/>
      <c r="DC199" s="12"/>
      <c r="DD199" s="12"/>
      <c r="DE199" s="12"/>
      <c r="DF199" s="12"/>
      <c r="DG199" s="12"/>
      <c r="DH199" s="12"/>
      <c r="DI199" s="46"/>
      <c r="DJ199" s="48"/>
      <c r="DK199" s="48"/>
      <c r="DL199" s="48"/>
      <c r="DM199" s="13"/>
      <c r="DN199" s="13"/>
      <c r="DO199" s="12"/>
      <c r="DP199" s="12"/>
      <c r="DQ199" s="12"/>
      <c r="DR199" s="12"/>
      <c r="DS199" s="12"/>
      <c r="DT199" s="12"/>
      <c r="DU199" s="12"/>
      <c r="DV199" s="12"/>
      <c r="DW199" s="12"/>
      <c r="DX199" s="12"/>
      <c r="DY199" s="12"/>
      <c r="DZ199" s="12"/>
      <c r="EA199" s="12"/>
      <c r="EB199" s="12"/>
      <c r="EC199" s="12"/>
      <c r="ED199" s="12"/>
    </row>
    <row r="200" spans="1:134" ht="12.5" x14ac:dyDescent="0.25">
      <c r="A200" s="46"/>
      <c r="B200" s="46"/>
      <c r="C200" s="46"/>
      <c r="D200" s="46"/>
      <c r="E200" s="15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46"/>
      <c r="BA200" s="46"/>
      <c r="BB200" s="46"/>
      <c r="BC200" s="46"/>
      <c r="BD200" s="46"/>
      <c r="BE200" s="46"/>
      <c r="BF200" s="12"/>
      <c r="BG200" s="12"/>
      <c r="BH200" s="12"/>
      <c r="BI200" s="46"/>
      <c r="BJ200" s="46"/>
      <c r="BK200" s="46"/>
      <c r="BL200" s="46"/>
      <c r="BM200" s="46"/>
      <c r="BN200" s="46"/>
      <c r="BO200" s="46"/>
      <c r="BP200" s="46"/>
      <c r="BQ200" s="157"/>
      <c r="BR200" s="156"/>
      <c r="BS200" s="46"/>
      <c r="BT200" s="46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/>
      <c r="CH200" s="12"/>
      <c r="CI200" s="12"/>
      <c r="CJ200" s="12"/>
      <c r="CK200" s="12"/>
      <c r="CL200" s="2"/>
      <c r="CM200" s="12"/>
      <c r="CN200" s="12"/>
      <c r="CO200" s="12"/>
      <c r="CP200" s="12"/>
      <c r="CQ200" s="12"/>
      <c r="CR200" s="46"/>
      <c r="CS200" s="46"/>
      <c r="CT200" s="2"/>
      <c r="CU200" s="2"/>
      <c r="CV200" s="49"/>
      <c r="CW200" s="49"/>
      <c r="CX200" s="2"/>
      <c r="CY200" s="2"/>
      <c r="CZ200" s="160"/>
      <c r="DA200" s="12"/>
      <c r="DB200" s="12"/>
      <c r="DC200" s="12"/>
      <c r="DD200" s="12"/>
      <c r="DE200" s="12"/>
      <c r="DF200" s="12"/>
      <c r="DG200" s="12"/>
      <c r="DH200" s="12"/>
      <c r="DI200" s="46"/>
      <c r="DJ200" s="48"/>
      <c r="DK200" s="48"/>
      <c r="DL200" s="48"/>
      <c r="DM200" s="13"/>
      <c r="DN200" s="13"/>
      <c r="DO200" s="12"/>
      <c r="DP200" s="12"/>
      <c r="DQ200" s="12"/>
      <c r="DR200" s="12"/>
      <c r="DS200" s="12"/>
      <c r="DT200" s="12"/>
      <c r="DU200" s="12"/>
      <c r="DV200" s="12"/>
      <c r="DW200" s="12"/>
      <c r="DX200" s="12"/>
      <c r="DY200" s="12"/>
      <c r="DZ200" s="12"/>
      <c r="EA200" s="12"/>
      <c r="EB200" s="12"/>
      <c r="EC200" s="12"/>
      <c r="ED200" s="12"/>
    </row>
    <row r="201" spans="1:134" ht="12.5" x14ac:dyDescent="0.25">
      <c r="A201" s="46"/>
      <c r="B201" s="46"/>
      <c r="C201" s="46"/>
      <c r="D201" s="46"/>
      <c r="E201" s="15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46"/>
      <c r="BA201" s="46"/>
      <c r="BB201" s="46"/>
      <c r="BC201" s="46"/>
      <c r="BD201" s="46"/>
      <c r="BE201" s="46"/>
      <c r="BF201" s="12"/>
      <c r="BG201" s="12"/>
      <c r="BH201" s="12"/>
      <c r="BI201" s="46"/>
      <c r="BJ201" s="46"/>
      <c r="BK201" s="46"/>
      <c r="BL201" s="46"/>
      <c r="BM201" s="46"/>
      <c r="BN201" s="46"/>
      <c r="BO201" s="46"/>
      <c r="BP201" s="46"/>
      <c r="BQ201" s="157"/>
      <c r="BR201" s="156"/>
      <c r="BS201" s="46"/>
      <c r="BT201" s="46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/>
      <c r="CH201" s="12"/>
      <c r="CI201" s="12"/>
      <c r="CJ201" s="12"/>
      <c r="CK201" s="12"/>
      <c r="CL201" s="2"/>
      <c r="CM201" s="12"/>
      <c r="CN201" s="12"/>
      <c r="CO201" s="12"/>
      <c r="CP201" s="12"/>
      <c r="CQ201" s="12"/>
      <c r="CR201" s="46"/>
      <c r="CS201" s="46"/>
      <c r="CT201" s="2"/>
      <c r="CU201" s="2"/>
      <c r="CV201" s="49"/>
      <c r="CW201" s="49"/>
      <c r="CX201" s="2"/>
      <c r="CY201" s="2"/>
      <c r="CZ201" s="160"/>
      <c r="DA201" s="12"/>
      <c r="DB201" s="12"/>
      <c r="DC201" s="12"/>
      <c r="DD201" s="12"/>
      <c r="DE201" s="12"/>
      <c r="DF201" s="12"/>
      <c r="DG201" s="12"/>
      <c r="DH201" s="12"/>
      <c r="DI201" s="46"/>
      <c r="DJ201" s="48"/>
      <c r="DK201" s="48"/>
      <c r="DL201" s="48"/>
      <c r="DM201" s="13"/>
      <c r="DN201" s="13"/>
      <c r="DO201" s="12"/>
      <c r="DP201" s="12"/>
      <c r="DQ201" s="12"/>
      <c r="DR201" s="12"/>
      <c r="DS201" s="12"/>
      <c r="DT201" s="12"/>
      <c r="DU201" s="12"/>
      <c r="DV201" s="12"/>
      <c r="DW201" s="12"/>
      <c r="DX201" s="12"/>
      <c r="DY201" s="12"/>
      <c r="DZ201" s="12"/>
      <c r="EA201" s="12"/>
      <c r="EB201" s="12"/>
      <c r="EC201" s="12"/>
      <c r="ED201" s="12"/>
    </row>
    <row r="202" spans="1:134" ht="12.5" x14ac:dyDescent="0.25">
      <c r="A202" s="46"/>
      <c r="B202" s="46"/>
      <c r="C202" s="46"/>
      <c r="D202" s="46"/>
      <c r="E202" s="15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46"/>
      <c r="BA202" s="46"/>
      <c r="BB202" s="46"/>
      <c r="BC202" s="46"/>
      <c r="BD202" s="46"/>
      <c r="BE202" s="46"/>
      <c r="BF202" s="12"/>
      <c r="BG202" s="12"/>
      <c r="BH202" s="12"/>
      <c r="BI202" s="46"/>
      <c r="BJ202" s="46"/>
      <c r="BK202" s="46"/>
      <c r="BL202" s="46"/>
      <c r="BM202" s="46"/>
      <c r="BN202" s="46"/>
      <c r="BO202" s="46"/>
      <c r="BP202" s="46"/>
      <c r="BQ202" s="157"/>
      <c r="BR202" s="156"/>
      <c r="BS202" s="46"/>
      <c r="BT202" s="46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  <c r="CF202" s="12"/>
      <c r="CG202" s="12"/>
      <c r="CH202" s="12"/>
      <c r="CI202" s="12"/>
      <c r="CJ202" s="12"/>
      <c r="CK202" s="12"/>
      <c r="CL202" s="2"/>
      <c r="CM202" s="12"/>
      <c r="CN202" s="12"/>
      <c r="CO202" s="12"/>
      <c r="CP202" s="12"/>
      <c r="CQ202" s="12"/>
      <c r="CR202" s="46"/>
      <c r="CS202" s="46"/>
      <c r="CT202" s="2"/>
      <c r="CU202" s="2"/>
      <c r="CV202" s="49"/>
      <c r="CW202" s="49"/>
      <c r="CX202" s="2"/>
      <c r="CY202" s="2"/>
      <c r="CZ202" s="160"/>
      <c r="DA202" s="12"/>
      <c r="DB202" s="12"/>
      <c r="DC202" s="12"/>
      <c r="DD202" s="12"/>
      <c r="DE202" s="12"/>
      <c r="DF202" s="12"/>
      <c r="DG202" s="12"/>
      <c r="DH202" s="12"/>
      <c r="DI202" s="46"/>
      <c r="DJ202" s="48"/>
      <c r="DK202" s="48"/>
      <c r="DL202" s="48"/>
      <c r="DM202" s="13"/>
      <c r="DN202" s="13"/>
      <c r="DO202" s="12"/>
      <c r="DP202" s="12"/>
      <c r="DQ202" s="12"/>
      <c r="DR202" s="12"/>
      <c r="DS202" s="12"/>
      <c r="DT202" s="12"/>
      <c r="DU202" s="12"/>
      <c r="DV202" s="12"/>
      <c r="DW202" s="12"/>
      <c r="DX202" s="12"/>
      <c r="DY202" s="12"/>
      <c r="DZ202" s="12"/>
      <c r="EA202" s="12"/>
      <c r="EB202" s="12"/>
      <c r="EC202" s="12"/>
      <c r="ED202" s="12"/>
    </row>
    <row r="203" spans="1:134" ht="12.5" x14ac:dyDescent="0.25">
      <c r="A203" s="46"/>
      <c r="B203" s="46"/>
      <c r="C203" s="46"/>
      <c r="D203" s="46"/>
      <c r="E203" s="15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46"/>
      <c r="BA203" s="46"/>
      <c r="BB203" s="46"/>
      <c r="BC203" s="46"/>
      <c r="BD203" s="46"/>
      <c r="BE203" s="46"/>
      <c r="BF203" s="12"/>
      <c r="BG203" s="12"/>
      <c r="BH203" s="12"/>
      <c r="BI203" s="46"/>
      <c r="BJ203" s="46"/>
      <c r="BK203" s="46"/>
      <c r="BL203" s="46"/>
      <c r="BM203" s="46"/>
      <c r="BN203" s="46"/>
      <c r="BO203" s="46"/>
      <c r="BP203" s="46"/>
      <c r="BQ203" s="157"/>
      <c r="BR203" s="156"/>
      <c r="BS203" s="46"/>
      <c r="BT203" s="46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/>
      <c r="CH203" s="12"/>
      <c r="CI203" s="12"/>
      <c r="CJ203" s="12"/>
      <c r="CK203" s="12"/>
      <c r="CL203" s="2"/>
      <c r="CM203" s="12"/>
      <c r="CN203" s="12"/>
      <c r="CO203" s="12"/>
      <c r="CP203" s="12"/>
      <c r="CQ203" s="12"/>
      <c r="CR203" s="46"/>
      <c r="CS203" s="46"/>
      <c r="CT203" s="2"/>
      <c r="CU203" s="2"/>
      <c r="CV203" s="49"/>
      <c r="CW203" s="49"/>
      <c r="CX203" s="2"/>
      <c r="CY203" s="2"/>
      <c r="CZ203" s="160"/>
      <c r="DA203" s="12"/>
      <c r="DB203" s="12"/>
      <c r="DC203" s="12"/>
      <c r="DD203" s="12"/>
      <c r="DE203" s="12"/>
      <c r="DF203" s="12"/>
      <c r="DG203" s="12"/>
      <c r="DH203" s="12"/>
      <c r="DI203" s="46"/>
      <c r="DJ203" s="48"/>
      <c r="DK203" s="48"/>
      <c r="DL203" s="48"/>
      <c r="DM203" s="13"/>
      <c r="DN203" s="13"/>
      <c r="DO203" s="12"/>
      <c r="DP203" s="12"/>
      <c r="DQ203" s="12"/>
      <c r="DR203" s="12"/>
      <c r="DS203" s="12"/>
      <c r="DT203" s="12"/>
      <c r="DU203" s="12"/>
      <c r="DV203" s="12"/>
      <c r="DW203" s="12"/>
      <c r="DX203" s="12"/>
      <c r="DY203" s="12"/>
      <c r="DZ203" s="12"/>
      <c r="EA203" s="12"/>
      <c r="EB203" s="12"/>
      <c r="EC203" s="12"/>
      <c r="ED203" s="12"/>
    </row>
    <row r="204" spans="1:134" ht="12.5" x14ac:dyDescent="0.25">
      <c r="A204" s="46"/>
      <c r="B204" s="46"/>
      <c r="C204" s="46"/>
      <c r="D204" s="46"/>
      <c r="E204" s="15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46"/>
      <c r="BA204" s="46"/>
      <c r="BB204" s="46"/>
      <c r="BC204" s="46"/>
      <c r="BD204" s="46"/>
      <c r="BE204" s="46"/>
      <c r="BF204" s="12"/>
      <c r="BG204" s="12"/>
      <c r="BH204" s="12"/>
      <c r="BI204" s="46"/>
      <c r="BJ204" s="46"/>
      <c r="BK204" s="46"/>
      <c r="BL204" s="46"/>
      <c r="BM204" s="46"/>
      <c r="BN204" s="46"/>
      <c r="BO204" s="46"/>
      <c r="BP204" s="46"/>
      <c r="BQ204" s="157"/>
      <c r="BR204" s="156"/>
      <c r="BS204" s="46"/>
      <c r="BT204" s="46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/>
      <c r="CH204" s="12"/>
      <c r="CI204" s="12"/>
      <c r="CJ204" s="12"/>
      <c r="CK204" s="12"/>
      <c r="CL204" s="2"/>
      <c r="CM204" s="2"/>
      <c r="CN204" s="12"/>
      <c r="CO204" s="12"/>
      <c r="CP204" s="12"/>
      <c r="CQ204" s="12"/>
      <c r="CR204" s="46"/>
      <c r="CS204" s="46"/>
      <c r="CT204" s="2"/>
      <c r="CU204" s="2"/>
      <c r="CV204" s="49"/>
      <c r="CW204" s="49"/>
      <c r="CX204" s="2"/>
      <c r="CY204" s="2"/>
      <c r="CZ204" s="160"/>
      <c r="DA204" s="12"/>
      <c r="DB204" s="12"/>
      <c r="DC204" s="12"/>
      <c r="DD204" s="12"/>
      <c r="DE204" s="12"/>
      <c r="DF204" s="12"/>
      <c r="DG204" s="12"/>
      <c r="DH204" s="12"/>
      <c r="DI204" s="46"/>
      <c r="DJ204" s="48"/>
      <c r="DK204" s="48"/>
      <c r="DL204" s="48"/>
      <c r="DM204" s="13"/>
      <c r="DN204" s="13"/>
      <c r="DO204" s="12"/>
      <c r="DP204" s="12"/>
      <c r="DQ204" s="12"/>
      <c r="DR204" s="12"/>
      <c r="DS204" s="12"/>
      <c r="DT204" s="12"/>
      <c r="DU204" s="12"/>
      <c r="DV204" s="12"/>
      <c r="DW204" s="12"/>
      <c r="DX204" s="12"/>
      <c r="DY204" s="12"/>
      <c r="DZ204" s="12"/>
      <c r="EA204" s="12"/>
      <c r="EB204" s="12"/>
      <c r="EC204" s="12"/>
      <c r="ED204" s="12"/>
    </row>
    <row r="205" spans="1:134" ht="12.5" x14ac:dyDescent="0.25">
      <c r="A205" s="46"/>
      <c r="B205" s="46"/>
      <c r="C205" s="46"/>
      <c r="D205" s="46"/>
      <c r="E205" s="15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46"/>
      <c r="BA205" s="46"/>
      <c r="BB205" s="46"/>
      <c r="BC205" s="46"/>
      <c r="BD205" s="46"/>
      <c r="BE205" s="46"/>
      <c r="BF205" s="12"/>
      <c r="BG205" s="12"/>
      <c r="BH205" s="12"/>
      <c r="BI205" s="46"/>
      <c r="BJ205" s="46"/>
      <c r="BK205" s="46"/>
      <c r="BL205" s="46"/>
      <c r="BM205" s="46"/>
      <c r="BN205" s="46"/>
      <c r="BO205" s="46"/>
      <c r="BP205" s="46"/>
      <c r="BQ205" s="157"/>
      <c r="BR205" s="156"/>
      <c r="BS205" s="46"/>
      <c r="BT205" s="46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  <c r="CF205" s="12"/>
      <c r="CG205" s="12"/>
      <c r="CH205" s="12"/>
      <c r="CI205" s="12"/>
      <c r="CJ205" s="12"/>
      <c r="CK205" s="12"/>
      <c r="CL205" s="2"/>
      <c r="CM205" s="12"/>
      <c r="CN205" s="12"/>
      <c r="CO205" s="12"/>
      <c r="CP205" s="12"/>
      <c r="CQ205" s="12"/>
      <c r="CR205" s="46"/>
      <c r="CS205" s="46"/>
      <c r="CT205" s="2"/>
      <c r="CU205" s="2"/>
      <c r="CV205" s="49"/>
      <c r="CW205" s="49"/>
      <c r="CX205" s="2"/>
      <c r="CY205" s="2"/>
      <c r="CZ205" s="160"/>
      <c r="DA205" s="12"/>
      <c r="DB205" s="12"/>
      <c r="DC205" s="12"/>
      <c r="DD205" s="12"/>
      <c r="DE205" s="12"/>
      <c r="DF205" s="12"/>
      <c r="DG205" s="12"/>
      <c r="DH205" s="12"/>
      <c r="DI205" s="46"/>
      <c r="DJ205" s="48"/>
      <c r="DK205" s="48"/>
      <c r="DL205" s="48"/>
      <c r="DM205" s="13"/>
      <c r="DN205" s="13"/>
      <c r="DO205" s="12"/>
      <c r="DP205" s="12"/>
      <c r="DQ205" s="12"/>
      <c r="DR205" s="12"/>
      <c r="DS205" s="12"/>
      <c r="DT205" s="12"/>
      <c r="DU205" s="12"/>
      <c r="DV205" s="12"/>
      <c r="DW205" s="12"/>
      <c r="DX205" s="12"/>
      <c r="DY205" s="12"/>
      <c r="DZ205" s="12"/>
      <c r="EA205" s="12"/>
      <c r="EB205" s="12"/>
      <c r="EC205" s="12"/>
      <c r="ED205" s="12"/>
    </row>
    <row r="206" spans="1:134" ht="12.5" x14ac:dyDescent="0.25">
      <c r="A206" s="46"/>
      <c r="B206" s="46"/>
      <c r="C206" s="46"/>
      <c r="D206" s="46"/>
      <c r="E206" s="15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46"/>
      <c r="BA206" s="46"/>
      <c r="BB206" s="46"/>
      <c r="BC206" s="46"/>
      <c r="BD206" s="46"/>
      <c r="BE206" s="46"/>
      <c r="BF206" s="12"/>
      <c r="BG206" s="12"/>
      <c r="BH206" s="12"/>
      <c r="BI206" s="46"/>
      <c r="BJ206" s="46"/>
      <c r="BK206" s="46"/>
      <c r="BL206" s="46"/>
      <c r="BM206" s="46"/>
      <c r="BN206" s="46"/>
      <c r="BO206" s="46"/>
      <c r="BP206" s="46"/>
      <c r="BQ206" s="157"/>
      <c r="BR206" s="156"/>
      <c r="BS206" s="46"/>
      <c r="BT206" s="46"/>
      <c r="BU206" s="12"/>
      <c r="BV206" s="12"/>
      <c r="BW206" s="12"/>
      <c r="BX206" s="12"/>
      <c r="BY206" s="12"/>
      <c r="BZ206" s="12"/>
      <c r="CA206" s="12"/>
      <c r="CB206" s="12"/>
      <c r="CC206" s="12"/>
      <c r="CD206" s="12"/>
      <c r="CE206" s="12"/>
      <c r="CF206" s="12"/>
      <c r="CG206" s="12"/>
      <c r="CH206" s="12"/>
      <c r="CI206" s="12"/>
      <c r="CJ206" s="12"/>
      <c r="CK206" s="12"/>
      <c r="CL206" s="2"/>
      <c r="CM206" s="12"/>
      <c r="CN206" s="12"/>
      <c r="CO206" s="12"/>
      <c r="CP206" s="12"/>
      <c r="CQ206" s="12"/>
      <c r="CR206" s="46"/>
      <c r="CS206" s="46"/>
      <c r="CT206" s="2"/>
      <c r="CU206" s="2"/>
      <c r="CV206" s="49"/>
      <c r="CW206" s="49"/>
      <c r="CX206" s="2"/>
      <c r="CY206" s="2"/>
      <c r="CZ206" s="160"/>
      <c r="DA206" s="12"/>
      <c r="DB206" s="12"/>
      <c r="DC206" s="12"/>
      <c r="DD206" s="12"/>
      <c r="DE206" s="12"/>
      <c r="DF206" s="12"/>
      <c r="DG206" s="12"/>
      <c r="DH206" s="12"/>
      <c r="DI206" s="46"/>
      <c r="DJ206" s="48"/>
      <c r="DK206" s="48"/>
      <c r="DL206" s="48"/>
      <c r="DM206" s="13"/>
      <c r="DN206" s="13"/>
      <c r="DO206" s="12"/>
      <c r="DP206" s="12"/>
      <c r="DQ206" s="12"/>
      <c r="DR206" s="12"/>
      <c r="DS206" s="12"/>
      <c r="DT206" s="12"/>
      <c r="DU206" s="12"/>
      <c r="DV206" s="12"/>
      <c r="DW206" s="12"/>
      <c r="DX206" s="12"/>
      <c r="DY206" s="12"/>
      <c r="DZ206" s="12"/>
      <c r="EA206" s="12"/>
      <c r="EB206" s="12"/>
      <c r="EC206" s="12"/>
      <c r="ED206" s="12"/>
    </row>
    <row r="207" spans="1:134" ht="12.5" x14ac:dyDescent="0.25">
      <c r="A207" s="46"/>
      <c r="B207" s="46"/>
      <c r="C207" s="46"/>
      <c r="D207" s="46"/>
      <c r="E207" s="15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46"/>
      <c r="BA207" s="46"/>
      <c r="BB207" s="46"/>
      <c r="BC207" s="46"/>
      <c r="BD207" s="46"/>
      <c r="BE207" s="46"/>
      <c r="BF207" s="12"/>
      <c r="BG207" s="12"/>
      <c r="BH207" s="12"/>
      <c r="BI207" s="46"/>
      <c r="BJ207" s="46"/>
      <c r="BK207" s="46"/>
      <c r="BL207" s="46"/>
      <c r="BM207" s="46"/>
      <c r="BN207" s="46"/>
      <c r="BO207" s="46"/>
      <c r="BP207" s="46"/>
      <c r="BQ207" s="157"/>
      <c r="BR207" s="156"/>
      <c r="BS207" s="46"/>
      <c r="BT207" s="46"/>
      <c r="BU207" s="12"/>
      <c r="BV207" s="12"/>
      <c r="BW207" s="12"/>
      <c r="BX207" s="12"/>
      <c r="BY207" s="12"/>
      <c r="BZ207" s="12"/>
      <c r="CA207" s="12"/>
      <c r="CB207" s="12"/>
      <c r="CC207" s="12"/>
      <c r="CD207" s="12"/>
      <c r="CE207" s="12"/>
      <c r="CF207" s="12"/>
      <c r="CG207" s="12"/>
      <c r="CH207" s="12"/>
      <c r="CI207" s="12"/>
      <c r="CJ207" s="12"/>
      <c r="CK207" s="12"/>
      <c r="CL207" s="2"/>
      <c r="CM207" s="12"/>
      <c r="CN207" s="12"/>
      <c r="CO207" s="12"/>
      <c r="CP207" s="12"/>
      <c r="CQ207" s="12"/>
      <c r="CR207" s="46"/>
      <c r="CS207" s="46"/>
      <c r="CT207" s="2"/>
      <c r="CU207" s="2"/>
      <c r="CV207" s="49"/>
      <c r="CW207" s="49"/>
      <c r="CX207" s="2"/>
      <c r="CY207" s="2"/>
      <c r="CZ207" s="160"/>
      <c r="DA207" s="12"/>
      <c r="DB207" s="12"/>
      <c r="DC207" s="12"/>
      <c r="DD207" s="12"/>
      <c r="DE207" s="12"/>
      <c r="DF207" s="12"/>
      <c r="DG207" s="12"/>
      <c r="DH207" s="12"/>
      <c r="DI207" s="46"/>
      <c r="DJ207" s="48"/>
      <c r="DK207" s="48"/>
      <c r="DL207" s="48"/>
      <c r="DM207" s="13"/>
      <c r="DN207" s="13"/>
      <c r="DO207" s="12"/>
      <c r="DP207" s="12"/>
      <c r="DQ207" s="12"/>
      <c r="DR207" s="12"/>
      <c r="DS207" s="12"/>
      <c r="DT207" s="12"/>
      <c r="DU207" s="12"/>
      <c r="DV207" s="12"/>
      <c r="DW207" s="12"/>
      <c r="DX207" s="12"/>
      <c r="DY207" s="12"/>
      <c r="DZ207" s="12"/>
      <c r="EA207" s="12"/>
      <c r="EB207" s="12"/>
      <c r="EC207" s="12"/>
      <c r="ED207" s="12"/>
    </row>
    <row r="208" spans="1:134" ht="12.5" x14ac:dyDescent="0.25">
      <c r="A208" s="46"/>
      <c r="B208" s="46"/>
      <c r="C208" s="46"/>
      <c r="D208" s="46"/>
      <c r="E208" s="15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46"/>
      <c r="BA208" s="46"/>
      <c r="BB208" s="46"/>
      <c r="BC208" s="46"/>
      <c r="BD208" s="46"/>
      <c r="BE208" s="46"/>
      <c r="BF208" s="12"/>
      <c r="BG208" s="12"/>
      <c r="BH208" s="12"/>
      <c r="BI208" s="46"/>
      <c r="BJ208" s="46"/>
      <c r="BK208" s="46"/>
      <c r="BL208" s="46"/>
      <c r="BM208" s="46"/>
      <c r="BN208" s="46"/>
      <c r="BO208" s="46"/>
      <c r="BP208" s="46"/>
      <c r="BQ208" s="157"/>
      <c r="BR208" s="156"/>
      <c r="BS208" s="46"/>
      <c r="BT208" s="46"/>
      <c r="BU208" s="12"/>
      <c r="BV208" s="12"/>
      <c r="BW208" s="12"/>
      <c r="BX208" s="12"/>
      <c r="BY208" s="12"/>
      <c r="BZ208" s="12"/>
      <c r="CA208" s="12"/>
      <c r="CB208" s="12"/>
      <c r="CC208" s="12"/>
      <c r="CD208" s="12"/>
      <c r="CE208" s="12"/>
      <c r="CF208" s="12"/>
      <c r="CG208" s="12"/>
      <c r="CH208" s="12"/>
      <c r="CI208" s="12"/>
      <c r="CJ208" s="12"/>
      <c r="CK208" s="12"/>
      <c r="CL208" s="2"/>
      <c r="CM208" s="12"/>
      <c r="CN208" s="12"/>
      <c r="CO208" s="12"/>
      <c r="CP208" s="12"/>
      <c r="CQ208" s="12"/>
      <c r="CR208" s="46"/>
      <c r="CS208" s="46"/>
      <c r="CT208" s="2"/>
      <c r="CU208" s="2"/>
      <c r="CV208" s="49"/>
      <c r="CW208" s="49"/>
      <c r="CX208" s="2"/>
      <c r="CY208" s="2"/>
      <c r="CZ208" s="160"/>
      <c r="DA208" s="12"/>
      <c r="DB208" s="12"/>
      <c r="DC208" s="12"/>
      <c r="DD208" s="12"/>
      <c r="DE208" s="12"/>
      <c r="DF208" s="12"/>
      <c r="DG208" s="12"/>
      <c r="DH208" s="12"/>
      <c r="DI208" s="46"/>
      <c r="DJ208" s="48"/>
      <c r="DK208" s="48"/>
      <c r="DL208" s="48"/>
      <c r="DM208" s="13"/>
      <c r="DN208" s="13"/>
      <c r="DO208" s="12"/>
      <c r="DP208" s="12"/>
      <c r="DQ208" s="12"/>
      <c r="DR208" s="12"/>
      <c r="DS208" s="12"/>
      <c r="DT208" s="12"/>
      <c r="DU208" s="12"/>
      <c r="DV208" s="12"/>
      <c r="DW208" s="12"/>
      <c r="DX208" s="12"/>
      <c r="DY208" s="12"/>
      <c r="DZ208" s="12"/>
      <c r="EA208" s="12"/>
      <c r="EB208" s="12"/>
      <c r="EC208" s="12"/>
      <c r="ED208" s="12"/>
    </row>
    <row r="209" spans="1:134" ht="12.5" x14ac:dyDescent="0.25">
      <c r="A209" s="46"/>
      <c r="B209" s="46"/>
      <c r="C209" s="46"/>
      <c r="D209" s="46"/>
      <c r="E209" s="15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46"/>
      <c r="BA209" s="46"/>
      <c r="BB209" s="46"/>
      <c r="BC209" s="46"/>
      <c r="BD209" s="46"/>
      <c r="BE209" s="46"/>
      <c r="BF209" s="12"/>
      <c r="BG209" s="12"/>
      <c r="BH209" s="12"/>
      <c r="BI209" s="46"/>
      <c r="BJ209" s="46"/>
      <c r="BK209" s="46"/>
      <c r="BL209" s="46"/>
      <c r="BM209" s="46"/>
      <c r="BN209" s="46"/>
      <c r="BO209" s="46"/>
      <c r="BP209" s="46"/>
      <c r="BQ209" s="157"/>
      <c r="BR209" s="156"/>
      <c r="BS209" s="46"/>
      <c r="BT209" s="46"/>
      <c r="BU209" s="12"/>
      <c r="BV209" s="12"/>
      <c r="BW209" s="12"/>
      <c r="BX209" s="12"/>
      <c r="BY209" s="12"/>
      <c r="BZ209" s="12"/>
      <c r="CA209" s="12"/>
      <c r="CB209" s="12"/>
      <c r="CC209" s="12"/>
      <c r="CD209" s="12"/>
      <c r="CE209" s="12"/>
      <c r="CF209" s="12"/>
      <c r="CG209" s="12"/>
      <c r="CH209" s="12"/>
      <c r="CI209" s="12"/>
      <c r="CJ209" s="12"/>
      <c r="CK209" s="12"/>
      <c r="CL209" s="2"/>
      <c r="CM209" s="12"/>
      <c r="CN209" s="12"/>
      <c r="CO209" s="12"/>
      <c r="CP209" s="12"/>
      <c r="CQ209" s="12"/>
      <c r="CR209" s="46"/>
      <c r="CS209" s="46"/>
      <c r="CT209" s="2"/>
      <c r="CU209" s="2"/>
      <c r="CV209" s="49"/>
      <c r="CW209" s="49"/>
      <c r="CX209" s="2"/>
      <c r="CY209" s="2"/>
      <c r="CZ209" s="160"/>
      <c r="DA209" s="12"/>
      <c r="DB209" s="12"/>
      <c r="DC209" s="12"/>
      <c r="DD209" s="12"/>
      <c r="DE209" s="12"/>
      <c r="DF209" s="12"/>
      <c r="DG209" s="12"/>
      <c r="DH209" s="12"/>
      <c r="DI209" s="46"/>
      <c r="DJ209" s="48"/>
      <c r="DK209" s="48"/>
      <c r="DL209" s="48"/>
      <c r="DM209" s="13"/>
      <c r="DN209" s="13"/>
      <c r="DO209" s="12"/>
      <c r="DP209" s="12"/>
      <c r="DQ209" s="12"/>
      <c r="DR209" s="12"/>
      <c r="DS209" s="12"/>
      <c r="DT209" s="12"/>
      <c r="DU209" s="12"/>
      <c r="DV209" s="12"/>
      <c r="DW209" s="12"/>
      <c r="DX209" s="12"/>
      <c r="DY209" s="12"/>
      <c r="DZ209" s="12"/>
      <c r="EA209" s="12"/>
      <c r="EB209" s="12"/>
      <c r="EC209" s="12"/>
      <c r="ED209" s="12"/>
    </row>
    <row r="210" spans="1:134" ht="12.5" x14ac:dyDescent="0.25">
      <c r="A210" s="46"/>
      <c r="B210" s="46"/>
      <c r="C210" s="46"/>
      <c r="D210" s="46"/>
      <c r="E210" s="15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46"/>
      <c r="BA210" s="46"/>
      <c r="BB210" s="46"/>
      <c r="BC210" s="46"/>
      <c r="BD210" s="46"/>
      <c r="BE210" s="46"/>
      <c r="BF210" s="12"/>
      <c r="BG210" s="12"/>
      <c r="BH210" s="12"/>
      <c r="BI210" s="46"/>
      <c r="BJ210" s="46"/>
      <c r="BK210" s="46"/>
      <c r="BL210" s="46"/>
      <c r="BM210" s="46"/>
      <c r="BN210" s="46"/>
      <c r="BO210" s="46"/>
      <c r="BP210" s="46"/>
      <c r="BQ210" s="157"/>
      <c r="BR210" s="156"/>
      <c r="BS210" s="46"/>
      <c r="BT210" s="46"/>
      <c r="BU210" s="12"/>
      <c r="BV210" s="12"/>
      <c r="BW210" s="12"/>
      <c r="BX210" s="12"/>
      <c r="BY210" s="12"/>
      <c r="BZ210" s="12"/>
      <c r="CA210" s="12"/>
      <c r="CB210" s="12"/>
      <c r="CC210" s="12"/>
      <c r="CD210" s="12"/>
      <c r="CE210" s="12"/>
      <c r="CF210" s="12"/>
      <c r="CG210" s="12"/>
      <c r="CH210" s="12"/>
      <c r="CI210" s="12"/>
      <c r="CJ210" s="12"/>
      <c r="CK210" s="12"/>
      <c r="CL210" s="2"/>
      <c r="CM210" s="2"/>
      <c r="CN210" s="12"/>
      <c r="CO210" s="12"/>
      <c r="CP210" s="12"/>
      <c r="CQ210" s="12"/>
      <c r="CR210" s="46"/>
      <c r="CS210" s="46"/>
      <c r="CT210" s="2"/>
      <c r="CU210" s="2"/>
      <c r="CV210" s="49"/>
      <c r="CW210" s="49"/>
      <c r="CX210" s="2"/>
      <c r="CY210" s="2"/>
      <c r="CZ210" s="160"/>
      <c r="DA210" s="12"/>
      <c r="DB210" s="12"/>
      <c r="DC210" s="12"/>
      <c r="DD210" s="12"/>
      <c r="DE210" s="12"/>
      <c r="DF210" s="12"/>
      <c r="DG210" s="12"/>
      <c r="DH210" s="12"/>
      <c r="DI210" s="46"/>
      <c r="DJ210" s="48"/>
      <c r="DK210" s="48"/>
      <c r="DL210" s="48"/>
      <c r="DM210" s="13"/>
      <c r="DN210" s="13"/>
      <c r="DO210" s="12"/>
      <c r="DP210" s="12"/>
      <c r="DQ210" s="12"/>
      <c r="DR210" s="12"/>
      <c r="DS210" s="12"/>
      <c r="DT210" s="12"/>
      <c r="DU210" s="12"/>
      <c r="DV210" s="12"/>
      <c r="DW210" s="12"/>
      <c r="DX210" s="12"/>
      <c r="DY210" s="12"/>
      <c r="DZ210" s="12"/>
      <c r="EA210" s="12"/>
      <c r="EB210" s="12"/>
      <c r="EC210" s="12"/>
      <c r="ED210" s="12"/>
    </row>
    <row r="211" spans="1:134" ht="12.5" x14ac:dyDescent="0.25">
      <c r="A211" s="46"/>
      <c r="B211" s="46"/>
      <c r="C211" s="46"/>
      <c r="D211" s="46"/>
      <c r="E211" s="15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46"/>
      <c r="BA211" s="46"/>
      <c r="BB211" s="46"/>
      <c r="BC211" s="46"/>
      <c r="BD211" s="46"/>
      <c r="BE211" s="46"/>
      <c r="BF211" s="12"/>
      <c r="BG211" s="12"/>
      <c r="BH211" s="12"/>
      <c r="BI211" s="46"/>
      <c r="BJ211" s="46"/>
      <c r="BK211" s="46"/>
      <c r="BL211" s="46"/>
      <c r="BM211" s="46"/>
      <c r="BN211" s="46"/>
      <c r="BO211" s="46"/>
      <c r="BP211" s="46"/>
      <c r="BQ211" s="157"/>
      <c r="BR211" s="156"/>
      <c r="BS211" s="46"/>
      <c r="BT211" s="46"/>
      <c r="BU211" s="12"/>
      <c r="BV211" s="12"/>
      <c r="BW211" s="12"/>
      <c r="BX211" s="12"/>
      <c r="BY211" s="12"/>
      <c r="BZ211" s="12"/>
      <c r="CA211" s="12"/>
      <c r="CB211" s="12"/>
      <c r="CC211" s="12"/>
      <c r="CD211" s="12"/>
      <c r="CE211" s="12"/>
      <c r="CF211" s="12"/>
      <c r="CG211" s="12"/>
      <c r="CH211" s="12"/>
      <c r="CI211" s="12"/>
      <c r="CJ211" s="12"/>
      <c r="CK211" s="12"/>
      <c r="CL211" s="2"/>
      <c r="CM211" s="12"/>
      <c r="CN211" s="12"/>
      <c r="CO211" s="12"/>
      <c r="CP211" s="12"/>
      <c r="CQ211" s="12"/>
      <c r="CR211" s="46"/>
      <c r="CS211" s="46"/>
      <c r="CT211" s="2"/>
      <c r="CU211" s="2"/>
      <c r="CV211" s="49"/>
      <c r="CW211" s="49"/>
      <c r="CX211" s="2"/>
      <c r="CY211" s="2"/>
      <c r="CZ211" s="160"/>
      <c r="DA211" s="12"/>
      <c r="DB211" s="12"/>
      <c r="DC211" s="12"/>
      <c r="DD211" s="12"/>
      <c r="DE211" s="12"/>
      <c r="DF211" s="12"/>
      <c r="DG211" s="12"/>
      <c r="DH211" s="12"/>
      <c r="DI211" s="46"/>
      <c r="DJ211" s="48"/>
      <c r="DK211" s="48"/>
      <c r="DL211" s="48"/>
      <c r="DM211" s="13"/>
      <c r="DN211" s="13"/>
      <c r="DO211" s="12"/>
      <c r="DP211" s="12"/>
      <c r="DQ211" s="12"/>
      <c r="DR211" s="12"/>
      <c r="DS211" s="12"/>
      <c r="DT211" s="12"/>
      <c r="DU211" s="12"/>
      <c r="DV211" s="12"/>
      <c r="DW211" s="12"/>
      <c r="DX211" s="12"/>
      <c r="DY211" s="12"/>
      <c r="DZ211" s="12"/>
      <c r="EA211" s="12"/>
      <c r="EB211" s="12"/>
      <c r="EC211" s="12"/>
      <c r="ED211" s="12"/>
    </row>
    <row r="212" spans="1:134" ht="12.5" x14ac:dyDescent="0.25">
      <c r="A212" s="46"/>
      <c r="B212" s="46"/>
      <c r="C212" s="46"/>
      <c r="D212" s="46"/>
      <c r="E212" s="15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46"/>
      <c r="BA212" s="46"/>
      <c r="BB212" s="46"/>
      <c r="BC212" s="46"/>
      <c r="BD212" s="46"/>
      <c r="BE212" s="46"/>
      <c r="BF212" s="12"/>
      <c r="BG212" s="12"/>
      <c r="BH212" s="12"/>
      <c r="BI212" s="46"/>
      <c r="BJ212" s="46"/>
      <c r="BK212" s="46"/>
      <c r="BL212" s="46"/>
      <c r="BM212" s="46"/>
      <c r="BN212" s="46"/>
      <c r="BO212" s="46"/>
      <c r="BP212" s="46"/>
      <c r="BQ212" s="157"/>
      <c r="BR212" s="156"/>
      <c r="BS212" s="46"/>
      <c r="BT212" s="46"/>
      <c r="BU212" s="12"/>
      <c r="BV212" s="12"/>
      <c r="BW212" s="12"/>
      <c r="BX212" s="12"/>
      <c r="BY212" s="12"/>
      <c r="BZ212" s="12"/>
      <c r="CA212" s="12"/>
      <c r="CB212" s="12"/>
      <c r="CC212" s="12"/>
      <c r="CD212" s="12"/>
      <c r="CE212" s="12"/>
      <c r="CF212" s="12"/>
      <c r="CG212" s="12"/>
      <c r="CH212" s="12"/>
      <c r="CI212" s="12"/>
      <c r="CJ212" s="12"/>
      <c r="CK212" s="12"/>
      <c r="CL212" s="2"/>
      <c r="CM212" s="12"/>
      <c r="CN212" s="12"/>
      <c r="CO212" s="12"/>
      <c r="CP212" s="12"/>
      <c r="CQ212" s="12"/>
      <c r="CR212" s="46"/>
      <c r="CS212" s="46"/>
      <c r="CT212" s="2"/>
      <c r="CU212" s="2"/>
      <c r="CV212" s="49"/>
      <c r="CW212" s="49"/>
      <c r="CX212" s="2"/>
      <c r="CY212" s="2"/>
      <c r="CZ212" s="160"/>
      <c r="DA212" s="12"/>
      <c r="DB212" s="12"/>
      <c r="DC212" s="12"/>
      <c r="DD212" s="12"/>
      <c r="DE212" s="12"/>
      <c r="DF212" s="12"/>
      <c r="DG212" s="12"/>
      <c r="DH212" s="12"/>
      <c r="DI212" s="46"/>
      <c r="DJ212" s="48"/>
      <c r="DK212" s="48"/>
      <c r="DL212" s="48"/>
      <c r="DM212" s="13"/>
      <c r="DN212" s="13"/>
      <c r="DO212" s="12"/>
      <c r="DP212" s="12"/>
      <c r="DQ212" s="12"/>
      <c r="DR212" s="12"/>
      <c r="DS212" s="12"/>
      <c r="DT212" s="12"/>
      <c r="DU212" s="12"/>
      <c r="DV212" s="12"/>
      <c r="DW212" s="12"/>
      <c r="DX212" s="12"/>
      <c r="DY212" s="12"/>
      <c r="DZ212" s="12"/>
      <c r="EA212" s="12"/>
      <c r="EB212" s="12"/>
      <c r="EC212" s="12"/>
      <c r="ED212" s="12"/>
    </row>
    <row r="213" spans="1:134" ht="12.5" x14ac:dyDescent="0.25">
      <c r="A213" s="46"/>
      <c r="B213" s="46"/>
      <c r="C213" s="46"/>
      <c r="D213" s="46"/>
      <c r="E213" s="15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46"/>
      <c r="BA213" s="46"/>
      <c r="BB213" s="46"/>
      <c r="BC213" s="46"/>
      <c r="BD213" s="46"/>
      <c r="BE213" s="46"/>
      <c r="BF213" s="12"/>
      <c r="BG213" s="12"/>
      <c r="BH213" s="12"/>
      <c r="BI213" s="46"/>
      <c r="BJ213" s="46"/>
      <c r="BK213" s="46"/>
      <c r="BL213" s="46"/>
      <c r="BM213" s="46"/>
      <c r="BN213" s="46"/>
      <c r="BO213" s="46"/>
      <c r="BP213" s="46"/>
      <c r="BQ213" s="157"/>
      <c r="BR213" s="156"/>
      <c r="BS213" s="46"/>
      <c r="BT213" s="46"/>
      <c r="BU213" s="12"/>
      <c r="BV213" s="12"/>
      <c r="BW213" s="12"/>
      <c r="BX213" s="12"/>
      <c r="BY213" s="12"/>
      <c r="BZ213" s="12"/>
      <c r="CA213" s="12"/>
      <c r="CB213" s="12"/>
      <c r="CC213" s="12"/>
      <c r="CD213" s="12"/>
      <c r="CE213" s="12"/>
      <c r="CF213" s="12"/>
      <c r="CG213" s="12"/>
      <c r="CH213" s="12"/>
      <c r="CI213" s="12"/>
      <c r="CJ213" s="12"/>
      <c r="CK213" s="12"/>
      <c r="CL213" s="2"/>
      <c r="CM213" s="2"/>
      <c r="CN213" s="12"/>
      <c r="CO213" s="12"/>
      <c r="CP213" s="12"/>
      <c r="CQ213" s="12"/>
      <c r="CR213" s="46"/>
      <c r="CS213" s="46"/>
      <c r="CT213" s="2"/>
      <c r="CU213" s="2"/>
      <c r="CV213" s="49"/>
      <c r="CW213" s="49"/>
      <c r="CX213" s="2"/>
      <c r="CY213" s="2"/>
      <c r="CZ213" s="160"/>
      <c r="DA213" s="12"/>
      <c r="DB213" s="12"/>
      <c r="DC213" s="12"/>
      <c r="DD213" s="12"/>
      <c r="DE213" s="12"/>
      <c r="DF213" s="12"/>
      <c r="DG213" s="12"/>
      <c r="DH213" s="12"/>
      <c r="DI213" s="46"/>
      <c r="DJ213" s="48"/>
      <c r="DK213" s="48"/>
      <c r="DL213" s="48"/>
      <c r="DM213" s="13"/>
      <c r="DN213" s="13"/>
      <c r="DO213" s="12"/>
      <c r="DP213" s="12"/>
      <c r="DQ213" s="12"/>
      <c r="DR213" s="12"/>
      <c r="DS213" s="12"/>
      <c r="DT213" s="12"/>
      <c r="DU213" s="12"/>
      <c r="DV213" s="12"/>
      <c r="DW213" s="12"/>
      <c r="DX213" s="12"/>
      <c r="DY213" s="12"/>
      <c r="DZ213" s="12"/>
      <c r="EA213" s="12"/>
      <c r="EB213" s="12"/>
      <c r="EC213" s="12"/>
      <c r="ED213" s="12"/>
    </row>
    <row r="214" spans="1:134" ht="12.5" x14ac:dyDescent="0.25">
      <c r="A214" s="46"/>
      <c r="B214" s="46"/>
      <c r="C214" s="46"/>
      <c r="D214" s="46"/>
      <c r="E214" s="15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46"/>
      <c r="BA214" s="46"/>
      <c r="BB214" s="46"/>
      <c r="BC214" s="46"/>
      <c r="BD214" s="46"/>
      <c r="BE214" s="46"/>
      <c r="BF214" s="12"/>
      <c r="BG214" s="12"/>
      <c r="BH214" s="12"/>
      <c r="BI214" s="46"/>
      <c r="BJ214" s="46"/>
      <c r="BK214" s="46"/>
      <c r="BL214" s="46"/>
      <c r="BM214" s="46"/>
      <c r="BN214" s="46"/>
      <c r="BO214" s="46"/>
      <c r="BP214" s="46"/>
      <c r="BQ214" s="157"/>
      <c r="BR214" s="156"/>
      <c r="BS214" s="46"/>
      <c r="BT214" s="46"/>
      <c r="BU214" s="12"/>
      <c r="BV214" s="12"/>
      <c r="BW214" s="12"/>
      <c r="BX214" s="12"/>
      <c r="BY214" s="12"/>
      <c r="BZ214" s="12"/>
      <c r="CA214" s="12"/>
      <c r="CB214" s="12"/>
      <c r="CC214" s="12"/>
      <c r="CD214" s="12"/>
      <c r="CE214" s="12"/>
      <c r="CF214" s="12"/>
      <c r="CG214" s="12"/>
      <c r="CH214" s="12"/>
      <c r="CI214" s="12"/>
      <c r="CJ214" s="12"/>
      <c r="CK214" s="12"/>
      <c r="CL214" s="2"/>
      <c r="CM214" s="12"/>
      <c r="CN214" s="12"/>
      <c r="CO214" s="12"/>
      <c r="CP214" s="12"/>
      <c r="CQ214" s="12"/>
      <c r="CR214" s="46"/>
      <c r="CS214" s="46"/>
      <c r="CT214" s="2"/>
      <c r="CU214" s="2"/>
      <c r="CV214" s="49"/>
      <c r="CW214" s="49"/>
      <c r="CX214" s="2"/>
      <c r="CY214" s="2"/>
      <c r="CZ214" s="160"/>
      <c r="DA214" s="12"/>
      <c r="DB214" s="12"/>
      <c r="DC214" s="12"/>
      <c r="DD214" s="12"/>
      <c r="DE214" s="12"/>
      <c r="DF214" s="12"/>
      <c r="DG214" s="12"/>
      <c r="DH214" s="12"/>
      <c r="DI214" s="46"/>
      <c r="DJ214" s="48"/>
      <c r="DK214" s="48"/>
      <c r="DL214" s="48"/>
      <c r="DM214" s="13"/>
      <c r="DN214" s="13"/>
      <c r="DO214" s="12"/>
      <c r="DP214" s="12"/>
      <c r="DQ214" s="12"/>
      <c r="DR214" s="12"/>
      <c r="DS214" s="12"/>
      <c r="DT214" s="12"/>
      <c r="DU214" s="12"/>
      <c r="DV214" s="12"/>
      <c r="DW214" s="12"/>
      <c r="DX214" s="12"/>
      <c r="DY214" s="12"/>
      <c r="DZ214" s="12"/>
      <c r="EA214" s="12"/>
      <c r="EB214" s="12"/>
      <c r="EC214" s="12"/>
      <c r="ED214" s="12"/>
    </row>
    <row r="215" spans="1:134" ht="12.5" x14ac:dyDescent="0.25">
      <c r="A215" s="46"/>
      <c r="B215" s="46"/>
      <c r="C215" s="46"/>
      <c r="D215" s="46"/>
      <c r="E215" s="15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46"/>
      <c r="BA215" s="46"/>
      <c r="BB215" s="46"/>
      <c r="BC215" s="46"/>
      <c r="BD215" s="46"/>
      <c r="BE215" s="46"/>
      <c r="BF215" s="12"/>
      <c r="BG215" s="12"/>
      <c r="BH215" s="12"/>
      <c r="BI215" s="46"/>
      <c r="BJ215" s="46"/>
      <c r="BK215" s="46"/>
      <c r="BL215" s="46"/>
      <c r="BM215" s="46"/>
      <c r="BN215" s="46"/>
      <c r="BO215" s="46"/>
      <c r="BP215" s="46"/>
      <c r="BQ215" s="157"/>
      <c r="BR215" s="156"/>
      <c r="BS215" s="46"/>
      <c r="BT215" s="46"/>
      <c r="BU215" s="12"/>
      <c r="BV215" s="12"/>
      <c r="BW215" s="12"/>
      <c r="BX215" s="12"/>
      <c r="BY215" s="12"/>
      <c r="BZ215" s="12"/>
      <c r="CA215" s="12"/>
      <c r="CB215" s="12"/>
      <c r="CC215" s="12"/>
      <c r="CD215" s="12"/>
      <c r="CE215" s="12"/>
      <c r="CF215" s="12"/>
      <c r="CG215" s="12"/>
      <c r="CH215" s="12"/>
      <c r="CI215" s="12"/>
      <c r="CJ215" s="12"/>
      <c r="CK215" s="12"/>
      <c r="CL215" s="2"/>
      <c r="CM215" s="12"/>
      <c r="CN215" s="12"/>
      <c r="CO215" s="12"/>
      <c r="CP215" s="12"/>
      <c r="CQ215" s="12"/>
      <c r="CR215" s="46"/>
      <c r="CS215" s="46"/>
      <c r="CT215" s="2"/>
      <c r="CU215" s="2"/>
      <c r="CV215" s="49"/>
      <c r="CW215" s="49"/>
      <c r="CX215" s="2"/>
      <c r="CY215" s="2"/>
      <c r="CZ215" s="160"/>
      <c r="DA215" s="12"/>
      <c r="DB215" s="12"/>
      <c r="DC215" s="12"/>
      <c r="DD215" s="12"/>
      <c r="DE215" s="12"/>
      <c r="DF215" s="12"/>
      <c r="DG215" s="12"/>
      <c r="DH215" s="12"/>
      <c r="DI215" s="46"/>
      <c r="DJ215" s="48"/>
      <c r="DK215" s="48"/>
      <c r="DL215" s="48"/>
      <c r="DM215" s="13"/>
      <c r="DN215" s="13"/>
      <c r="DO215" s="12"/>
      <c r="DP215" s="12"/>
      <c r="DQ215" s="12"/>
      <c r="DR215" s="12"/>
      <c r="DS215" s="12"/>
      <c r="DT215" s="12"/>
      <c r="DU215" s="12"/>
      <c r="DV215" s="12"/>
      <c r="DW215" s="12"/>
      <c r="DX215" s="12"/>
      <c r="DY215" s="12"/>
      <c r="DZ215" s="12"/>
      <c r="EA215" s="12"/>
      <c r="EB215" s="12"/>
      <c r="EC215" s="12"/>
      <c r="ED215" s="12"/>
    </row>
    <row r="216" spans="1:134" ht="12.5" x14ac:dyDescent="0.25">
      <c r="A216" s="46"/>
      <c r="B216" s="46"/>
      <c r="C216" s="46"/>
      <c r="D216" s="46"/>
      <c r="E216" s="15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46"/>
      <c r="BA216" s="46"/>
      <c r="BB216" s="46"/>
      <c r="BC216" s="46"/>
      <c r="BD216" s="46"/>
      <c r="BE216" s="46"/>
      <c r="BF216" s="12"/>
      <c r="BG216" s="12"/>
      <c r="BH216" s="12"/>
      <c r="BI216" s="46"/>
      <c r="BJ216" s="46"/>
      <c r="BK216" s="46"/>
      <c r="BL216" s="46"/>
      <c r="BM216" s="46"/>
      <c r="BN216" s="46"/>
      <c r="BO216" s="46"/>
      <c r="BP216" s="46"/>
      <c r="BQ216" s="157"/>
      <c r="BR216" s="156"/>
      <c r="BS216" s="46"/>
      <c r="BT216" s="46"/>
      <c r="BU216" s="12"/>
      <c r="BV216" s="12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2"/>
      <c r="CM216" s="2"/>
      <c r="CN216" s="12"/>
      <c r="CO216" s="12"/>
      <c r="CP216" s="12"/>
      <c r="CQ216" s="12"/>
      <c r="CR216" s="46"/>
      <c r="CS216" s="46"/>
      <c r="CT216" s="2"/>
      <c r="CU216" s="2"/>
      <c r="CV216" s="49"/>
      <c r="CW216" s="49"/>
      <c r="CX216" s="2"/>
      <c r="CY216" s="2"/>
      <c r="CZ216" s="160"/>
      <c r="DA216" s="12"/>
      <c r="DB216" s="12"/>
      <c r="DC216" s="12"/>
      <c r="DD216" s="12"/>
      <c r="DE216" s="12"/>
      <c r="DF216" s="12"/>
      <c r="DG216" s="12"/>
      <c r="DH216" s="12"/>
      <c r="DI216" s="46"/>
      <c r="DJ216" s="48"/>
      <c r="DK216" s="48"/>
      <c r="DL216" s="48"/>
      <c r="DM216" s="13"/>
      <c r="DN216" s="13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</row>
    <row r="217" spans="1:134" ht="12.5" x14ac:dyDescent="0.25">
      <c r="A217" s="46"/>
      <c r="B217" s="46"/>
      <c r="C217" s="46"/>
      <c r="D217" s="46"/>
      <c r="E217" s="15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46"/>
      <c r="BA217" s="46"/>
      <c r="BB217" s="46"/>
      <c r="BC217" s="46"/>
      <c r="BD217" s="46"/>
      <c r="BE217" s="46"/>
      <c r="BF217" s="12"/>
      <c r="BG217" s="12"/>
      <c r="BH217" s="12"/>
      <c r="BI217" s="46"/>
      <c r="BJ217" s="46"/>
      <c r="BK217" s="46"/>
      <c r="BL217" s="46"/>
      <c r="BM217" s="46"/>
      <c r="BN217" s="46"/>
      <c r="BO217" s="46"/>
      <c r="BP217" s="46"/>
      <c r="BQ217" s="157"/>
      <c r="BR217" s="156"/>
      <c r="BS217" s="46"/>
      <c r="BT217" s="46"/>
      <c r="BU217" s="12"/>
      <c r="BV217" s="12"/>
      <c r="BW217" s="12"/>
      <c r="BX217" s="12"/>
      <c r="BY217" s="12"/>
      <c r="BZ217" s="12"/>
      <c r="CA217" s="12"/>
      <c r="CB217" s="12"/>
      <c r="CC217" s="12"/>
      <c r="CD217" s="12"/>
      <c r="CE217" s="12"/>
      <c r="CF217" s="12"/>
      <c r="CG217" s="12"/>
      <c r="CH217" s="12"/>
      <c r="CI217" s="12"/>
      <c r="CJ217" s="12"/>
      <c r="CK217" s="12"/>
      <c r="CL217" s="2"/>
      <c r="CM217" s="2"/>
      <c r="CN217" s="12"/>
      <c r="CO217" s="12"/>
      <c r="CP217" s="12"/>
      <c r="CQ217" s="12"/>
      <c r="CR217" s="46"/>
      <c r="CS217" s="46"/>
      <c r="CT217" s="2"/>
      <c r="CU217" s="2"/>
      <c r="CV217" s="49"/>
      <c r="CW217" s="49"/>
      <c r="CX217" s="2"/>
      <c r="CY217" s="2"/>
      <c r="CZ217" s="160"/>
      <c r="DA217" s="12"/>
      <c r="DB217" s="12"/>
      <c r="DC217" s="12"/>
      <c r="DD217" s="12"/>
      <c r="DE217" s="12"/>
      <c r="DF217" s="12"/>
      <c r="DG217" s="12"/>
      <c r="DH217" s="12"/>
      <c r="DI217" s="46"/>
      <c r="DJ217" s="48"/>
      <c r="DK217" s="48"/>
      <c r="DL217" s="48"/>
      <c r="DM217" s="13"/>
      <c r="DN217" s="13"/>
      <c r="DO217" s="12"/>
      <c r="DP217" s="12"/>
      <c r="DQ217" s="12"/>
      <c r="DR217" s="12"/>
      <c r="DS217" s="12"/>
      <c r="DT217" s="12"/>
      <c r="DU217" s="12"/>
      <c r="DV217" s="12"/>
      <c r="DW217" s="12"/>
      <c r="DX217" s="12"/>
      <c r="DY217" s="12"/>
      <c r="DZ217" s="12"/>
      <c r="EA217" s="12"/>
      <c r="EB217" s="12"/>
      <c r="EC217" s="12"/>
      <c r="ED217" s="12"/>
    </row>
    <row r="218" spans="1:134" ht="12.5" x14ac:dyDescent="0.25">
      <c r="A218" s="46"/>
      <c r="B218" s="46"/>
      <c r="C218" s="46"/>
      <c r="D218" s="46"/>
      <c r="E218" s="15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46"/>
      <c r="BA218" s="46"/>
      <c r="BB218" s="46"/>
      <c r="BC218" s="46"/>
      <c r="BD218" s="46"/>
      <c r="BE218" s="46"/>
      <c r="BF218" s="12"/>
      <c r="BG218" s="12"/>
      <c r="BH218" s="12"/>
      <c r="BI218" s="46"/>
      <c r="BJ218" s="46"/>
      <c r="BK218" s="46"/>
      <c r="BL218" s="46"/>
      <c r="BM218" s="46"/>
      <c r="BN218" s="46"/>
      <c r="BO218" s="46"/>
      <c r="BP218" s="46"/>
      <c r="BQ218" s="157"/>
      <c r="BR218" s="156"/>
      <c r="BS218" s="46"/>
      <c r="BT218" s="46"/>
      <c r="BU218" s="12"/>
      <c r="BV218" s="12"/>
      <c r="BW218" s="12"/>
      <c r="BX218" s="12"/>
      <c r="BY218" s="12"/>
      <c r="BZ218" s="12"/>
      <c r="CA218" s="12"/>
      <c r="CB218" s="12"/>
      <c r="CC218" s="12"/>
      <c r="CD218" s="12"/>
      <c r="CE218" s="12"/>
      <c r="CF218" s="12"/>
      <c r="CG218" s="12"/>
      <c r="CH218" s="12"/>
      <c r="CI218" s="12"/>
      <c r="CJ218" s="12"/>
      <c r="CK218" s="12"/>
      <c r="CL218" s="2"/>
      <c r="CM218" s="12"/>
      <c r="CN218" s="12"/>
      <c r="CO218" s="12"/>
      <c r="CP218" s="12"/>
      <c r="CQ218" s="12"/>
      <c r="CR218" s="46"/>
      <c r="CS218" s="46"/>
      <c r="CT218" s="2"/>
      <c r="CU218" s="2"/>
      <c r="CV218" s="49"/>
      <c r="CW218" s="49"/>
      <c r="CX218" s="2"/>
      <c r="CY218" s="2"/>
      <c r="CZ218" s="160"/>
      <c r="DA218" s="12"/>
      <c r="DB218" s="12"/>
      <c r="DC218" s="12"/>
      <c r="DD218" s="12"/>
      <c r="DE218" s="12"/>
      <c r="DF218" s="12"/>
      <c r="DG218" s="12"/>
      <c r="DH218" s="12"/>
      <c r="DI218" s="46"/>
      <c r="DJ218" s="48"/>
      <c r="DK218" s="48"/>
      <c r="DL218" s="48"/>
      <c r="DM218" s="13"/>
      <c r="DN218" s="13"/>
      <c r="DO218" s="12"/>
      <c r="DP218" s="12"/>
      <c r="DQ218" s="12"/>
      <c r="DR218" s="12"/>
      <c r="DS218" s="12"/>
      <c r="DT218" s="12"/>
      <c r="DU218" s="12"/>
      <c r="DV218" s="12"/>
      <c r="DW218" s="12"/>
      <c r="DX218" s="12"/>
      <c r="DY218" s="12"/>
      <c r="DZ218" s="12"/>
      <c r="EA218" s="12"/>
      <c r="EB218" s="12"/>
      <c r="EC218" s="12"/>
      <c r="ED218" s="12"/>
    </row>
    <row r="219" spans="1:134" ht="12.5" x14ac:dyDescent="0.25">
      <c r="A219" s="46"/>
      <c r="B219" s="46"/>
      <c r="C219" s="46"/>
      <c r="D219" s="46"/>
      <c r="E219" s="15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46"/>
      <c r="BA219" s="46"/>
      <c r="BB219" s="46"/>
      <c r="BC219" s="46"/>
      <c r="BD219" s="46"/>
      <c r="BE219" s="46"/>
      <c r="BF219" s="12"/>
      <c r="BG219" s="12"/>
      <c r="BH219" s="12"/>
      <c r="BI219" s="46"/>
      <c r="BJ219" s="46"/>
      <c r="BK219" s="46"/>
      <c r="BL219" s="46"/>
      <c r="BM219" s="46"/>
      <c r="BN219" s="46"/>
      <c r="BO219" s="46"/>
      <c r="BP219" s="46"/>
      <c r="BQ219" s="157"/>
      <c r="BR219" s="156"/>
      <c r="BS219" s="46"/>
      <c r="BT219" s="46"/>
      <c r="BU219" s="12"/>
      <c r="BV219" s="12"/>
      <c r="BW219" s="12"/>
      <c r="BX219" s="12"/>
      <c r="BY219" s="12"/>
      <c r="BZ219" s="12"/>
      <c r="CA219" s="12"/>
      <c r="CB219" s="12"/>
      <c r="CC219" s="12"/>
      <c r="CD219" s="12"/>
      <c r="CE219" s="12"/>
      <c r="CF219" s="12"/>
      <c r="CG219" s="12"/>
      <c r="CH219" s="12"/>
      <c r="CI219" s="12"/>
      <c r="CJ219" s="12"/>
      <c r="CK219" s="12"/>
      <c r="CL219" s="2"/>
      <c r="CM219" s="2"/>
      <c r="CN219" s="12"/>
      <c r="CO219" s="12"/>
      <c r="CP219" s="12"/>
      <c r="CQ219" s="12"/>
      <c r="CR219" s="46"/>
      <c r="CS219" s="46"/>
      <c r="CT219" s="2"/>
      <c r="CU219" s="2"/>
      <c r="CV219" s="49"/>
      <c r="CW219" s="49"/>
      <c r="CX219" s="2"/>
      <c r="CY219" s="2"/>
      <c r="CZ219" s="160"/>
      <c r="DA219" s="12"/>
      <c r="DB219" s="12"/>
      <c r="DC219" s="12"/>
      <c r="DD219" s="12"/>
      <c r="DE219" s="12"/>
      <c r="DF219" s="12"/>
      <c r="DG219" s="12"/>
      <c r="DH219" s="12"/>
      <c r="DI219" s="46"/>
      <c r="DJ219" s="48"/>
      <c r="DK219" s="48"/>
      <c r="DL219" s="48"/>
      <c r="DM219" s="13"/>
      <c r="DN219" s="13"/>
      <c r="DO219" s="12"/>
      <c r="DP219" s="12"/>
      <c r="DQ219" s="12"/>
      <c r="DR219" s="12"/>
      <c r="DS219" s="12"/>
      <c r="DT219" s="12"/>
      <c r="DU219" s="12"/>
      <c r="DV219" s="12"/>
      <c r="DW219" s="12"/>
      <c r="DX219" s="12"/>
      <c r="DY219" s="12"/>
      <c r="DZ219" s="12"/>
      <c r="EA219" s="12"/>
      <c r="EB219" s="12"/>
      <c r="EC219" s="12"/>
      <c r="ED219" s="12"/>
    </row>
    <row r="220" spans="1:134" ht="12.5" x14ac:dyDescent="0.25">
      <c r="A220" s="46"/>
      <c r="B220" s="46"/>
      <c r="C220" s="46"/>
      <c r="D220" s="46"/>
      <c r="E220" s="15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46"/>
      <c r="BA220" s="46"/>
      <c r="BB220" s="46"/>
      <c r="BC220" s="46"/>
      <c r="BD220" s="46"/>
      <c r="BE220" s="46"/>
      <c r="BF220" s="12"/>
      <c r="BG220" s="12"/>
      <c r="BH220" s="12"/>
      <c r="BI220" s="46"/>
      <c r="BJ220" s="46"/>
      <c r="BK220" s="46"/>
      <c r="BL220" s="46"/>
      <c r="BM220" s="46"/>
      <c r="BN220" s="46"/>
      <c r="BO220" s="46"/>
      <c r="BP220" s="46"/>
      <c r="BQ220" s="157"/>
      <c r="BR220" s="156"/>
      <c r="BS220" s="46"/>
      <c r="BT220" s="46"/>
      <c r="BU220" s="12"/>
      <c r="BV220" s="12"/>
      <c r="BW220" s="12"/>
      <c r="BX220" s="12"/>
      <c r="BY220" s="12"/>
      <c r="BZ220" s="12"/>
      <c r="CA220" s="12"/>
      <c r="CB220" s="12"/>
      <c r="CC220" s="12"/>
      <c r="CD220" s="12"/>
      <c r="CE220" s="12"/>
      <c r="CF220" s="12"/>
      <c r="CG220" s="12"/>
      <c r="CH220" s="12"/>
      <c r="CI220" s="12"/>
      <c r="CJ220" s="12"/>
      <c r="CK220" s="12"/>
      <c r="CL220" s="2"/>
      <c r="CM220" s="162"/>
      <c r="CN220" s="12"/>
      <c r="CO220" s="12"/>
      <c r="CP220" s="12"/>
      <c r="CQ220" s="12"/>
      <c r="CR220" s="46"/>
      <c r="CS220" s="46"/>
      <c r="CT220" s="2"/>
      <c r="CU220" s="2"/>
      <c r="CV220" s="49"/>
      <c r="CW220" s="49"/>
      <c r="CX220" s="2"/>
      <c r="CY220" s="2"/>
      <c r="CZ220" s="160"/>
      <c r="DA220" s="12"/>
      <c r="DB220" s="12"/>
      <c r="DC220" s="12"/>
      <c r="DD220" s="12"/>
      <c r="DE220" s="12"/>
      <c r="DF220" s="12"/>
      <c r="DG220" s="12"/>
      <c r="DH220" s="12"/>
      <c r="DI220" s="46"/>
      <c r="DJ220" s="48"/>
      <c r="DK220" s="48"/>
      <c r="DL220" s="48"/>
      <c r="DM220" s="13"/>
      <c r="DN220" s="13"/>
      <c r="DO220" s="12"/>
      <c r="DP220" s="12"/>
      <c r="DQ220" s="12"/>
      <c r="DR220" s="12"/>
      <c r="DS220" s="12"/>
      <c r="DT220" s="12"/>
      <c r="DU220" s="12"/>
      <c r="DV220" s="12"/>
      <c r="DW220" s="12"/>
      <c r="DX220" s="12"/>
      <c r="DY220" s="12"/>
      <c r="DZ220" s="12"/>
      <c r="EA220" s="12"/>
      <c r="EB220" s="12"/>
      <c r="EC220" s="12"/>
      <c r="ED220" s="12"/>
    </row>
    <row r="221" spans="1:134" ht="12.5" x14ac:dyDescent="0.25">
      <c r="A221" s="46"/>
      <c r="B221" s="46"/>
      <c r="C221" s="46"/>
      <c r="D221" s="46"/>
      <c r="E221" s="15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46"/>
      <c r="BA221" s="46"/>
      <c r="BB221" s="46"/>
      <c r="BC221" s="46"/>
      <c r="BD221" s="46"/>
      <c r="BE221" s="46"/>
      <c r="BF221" s="12"/>
      <c r="BG221" s="12"/>
      <c r="BH221" s="12"/>
      <c r="BI221" s="46"/>
      <c r="BJ221" s="46"/>
      <c r="BK221" s="46"/>
      <c r="BL221" s="46"/>
      <c r="BM221" s="46"/>
      <c r="BN221" s="46"/>
      <c r="BO221" s="46"/>
      <c r="BP221" s="46"/>
      <c r="BQ221" s="157"/>
      <c r="BR221" s="156"/>
      <c r="BS221" s="46"/>
      <c r="BT221" s="46"/>
      <c r="BU221" s="12"/>
      <c r="BV221" s="12"/>
      <c r="BW221" s="12"/>
      <c r="BX221" s="12"/>
      <c r="BY221" s="12"/>
      <c r="BZ221" s="12"/>
      <c r="CA221" s="12"/>
      <c r="CB221" s="12"/>
      <c r="CC221" s="12"/>
      <c r="CD221" s="12"/>
      <c r="CE221" s="12"/>
      <c r="CF221" s="12"/>
      <c r="CG221" s="12"/>
      <c r="CH221" s="12"/>
      <c r="CI221" s="12"/>
      <c r="CJ221" s="12"/>
      <c r="CK221" s="12"/>
      <c r="CL221" s="2"/>
      <c r="CM221" s="12"/>
      <c r="CN221" s="12"/>
      <c r="CO221" s="12"/>
      <c r="CP221" s="12"/>
      <c r="CQ221" s="12"/>
      <c r="CR221" s="46"/>
      <c r="CS221" s="46"/>
      <c r="CT221" s="2"/>
      <c r="CU221" s="2"/>
      <c r="CV221" s="49"/>
      <c r="CW221" s="49"/>
      <c r="CX221" s="2"/>
      <c r="CY221" s="2"/>
      <c r="CZ221" s="160"/>
      <c r="DA221" s="12"/>
      <c r="DB221" s="12"/>
      <c r="DC221" s="12"/>
      <c r="DD221" s="12"/>
      <c r="DE221" s="12"/>
      <c r="DF221" s="12"/>
      <c r="DG221" s="12"/>
      <c r="DH221" s="12"/>
      <c r="DI221" s="46"/>
      <c r="DJ221" s="48"/>
      <c r="DK221" s="48"/>
      <c r="DL221" s="48"/>
      <c r="DM221" s="13"/>
      <c r="DN221" s="13"/>
      <c r="DO221" s="12"/>
      <c r="DP221" s="12"/>
      <c r="DQ221" s="12"/>
      <c r="DR221" s="12"/>
      <c r="DS221" s="12"/>
      <c r="DT221" s="12"/>
      <c r="DU221" s="12"/>
      <c r="DV221" s="12"/>
      <c r="DW221" s="12"/>
      <c r="DX221" s="12"/>
      <c r="DY221" s="12"/>
      <c r="DZ221" s="12"/>
      <c r="EA221" s="12"/>
      <c r="EB221" s="12"/>
      <c r="EC221" s="12"/>
      <c r="ED221" s="12"/>
    </row>
    <row r="222" spans="1:134" ht="12.5" x14ac:dyDescent="0.25">
      <c r="A222" s="46"/>
      <c r="B222" s="46"/>
      <c r="C222" s="46"/>
      <c r="D222" s="46"/>
      <c r="E222" s="15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46"/>
      <c r="BA222" s="46"/>
      <c r="BB222" s="46"/>
      <c r="BC222" s="46"/>
      <c r="BD222" s="46"/>
      <c r="BE222" s="46"/>
      <c r="BF222" s="12"/>
      <c r="BG222" s="12"/>
      <c r="BH222" s="12"/>
      <c r="BI222" s="46"/>
      <c r="BJ222" s="46"/>
      <c r="BK222" s="46"/>
      <c r="BL222" s="46"/>
      <c r="BM222" s="46"/>
      <c r="BN222" s="46"/>
      <c r="BO222" s="46"/>
      <c r="BP222" s="46"/>
      <c r="BQ222" s="157"/>
      <c r="BR222" s="156"/>
      <c r="BS222" s="46"/>
      <c r="BT222" s="46"/>
      <c r="BU222" s="12"/>
      <c r="BV222" s="12"/>
      <c r="BW222" s="12"/>
      <c r="BX222" s="12"/>
      <c r="BY222" s="12"/>
      <c r="BZ222" s="12"/>
      <c r="CA222" s="12"/>
      <c r="CB222" s="12"/>
      <c r="CC222" s="12"/>
      <c r="CD222" s="12"/>
      <c r="CE222" s="12"/>
      <c r="CF222" s="12"/>
      <c r="CG222" s="12"/>
      <c r="CH222" s="12"/>
      <c r="CI222" s="12"/>
      <c r="CJ222" s="12"/>
      <c r="CK222" s="12"/>
      <c r="CL222" s="2"/>
      <c r="CM222" s="162"/>
      <c r="CN222" s="12"/>
      <c r="CO222" s="12"/>
      <c r="CP222" s="12"/>
      <c r="CQ222" s="12"/>
      <c r="CR222" s="46"/>
      <c r="CS222" s="46"/>
      <c r="CT222" s="2"/>
      <c r="CU222" s="2"/>
      <c r="CV222" s="49"/>
      <c r="CW222" s="49"/>
      <c r="CX222" s="2"/>
      <c r="CY222" s="2"/>
      <c r="CZ222" s="160"/>
      <c r="DA222" s="12"/>
      <c r="DB222" s="12"/>
      <c r="DC222" s="12"/>
      <c r="DD222" s="12"/>
      <c r="DE222" s="12"/>
      <c r="DF222" s="12"/>
      <c r="DG222" s="12"/>
      <c r="DH222" s="12"/>
      <c r="DI222" s="46"/>
      <c r="DJ222" s="48"/>
      <c r="DK222" s="48"/>
      <c r="DL222" s="48"/>
      <c r="DM222" s="13"/>
      <c r="DN222" s="13"/>
      <c r="DO222" s="12"/>
      <c r="DP222" s="12"/>
      <c r="DQ222" s="12"/>
      <c r="DR222" s="12"/>
      <c r="DS222" s="12"/>
      <c r="DT222" s="12"/>
      <c r="DU222" s="12"/>
      <c r="DV222" s="12"/>
      <c r="DW222" s="12"/>
      <c r="DX222" s="12"/>
      <c r="DY222" s="12"/>
      <c r="DZ222" s="12"/>
      <c r="EA222" s="12"/>
      <c r="EB222" s="12"/>
      <c r="EC222" s="12"/>
      <c r="ED222" s="12"/>
    </row>
    <row r="223" spans="1:134" ht="12.5" x14ac:dyDescent="0.25">
      <c r="A223" s="46"/>
      <c r="B223" s="46"/>
      <c r="C223" s="46"/>
      <c r="D223" s="46"/>
      <c r="E223" s="15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46"/>
      <c r="BA223" s="46"/>
      <c r="BB223" s="46"/>
      <c r="BC223" s="46"/>
      <c r="BD223" s="46"/>
      <c r="BE223" s="46"/>
      <c r="BF223" s="12"/>
      <c r="BG223" s="12"/>
      <c r="BH223" s="12"/>
      <c r="BI223" s="46"/>
      <c r="BJ223" s="46"/>
      <c r="BK223" s="46"/>
      <c r="BL223" s="46"/>
      <c r="BM223" s="46"/>
      <c r="BN223" s="46"/>
      <c r="BO223" s="46"/>
      <c r="BP223" s="46"/>
      <c r="BQ223" s="157"/>
      <c r="BR223" s="156"/>
      <c r="BS223" s="46"/>
      <c r="BT223" s="46"/>
      <c r="BU223" s="12"/>
      <c r="BV223" s="12"/>
      <c r="BW223" s="12"/>
      <c r="BX223" s="12"/>
      <c r="BY223" s="12"/>
      <c r="BZ223" s="12"/>
      <c r="CA223" s="12"/>
      <c r="CB223" s="12"/>
      <c r="CC223" s="12"/>
      <c r="CD223" s="12"/>
      <c r="CE223" s="12"/>
      <c r="CF223" s="12"/>
      <c r="CG223" s="12"/>
      <c r="CH223" s="12"/>
      <c r="CI223" s="12"/>
      <c r="CJ223" s="12"/>
      <c r="CK223" s="12"/>
      <c r="CL223" s="2"/>
      <c r="CM223" s="12"/>
      <c r="CN223" s="12"/>
      <c r="CO223" s="12"/>
      <c r="CP223" s="12"/>
      <c r="CQ223" s="12"/>
      <c r="CR223" s="46"/>
      <c r="CS223" s="46"/>
      <c r="CT223" s="2"/>
      <c r="CU223" s="2"/>
      <c r="CV223" s="49"/>
      <c r="CW223" s="49"/>
      <c r="CX223" s="2"/>
      <c r="CY223" s="2"/>
      <c r="CZ223" s="160"/>
      <c r="DA223" s="12"/>
      <c r="DB223" s="12"/>
      <c r="DC223" s="12"/>
      <c r="DD223" s="12"/>
      <c r="DE223" s="12"/>
      <c r="DF223" s="12"/>
      <c r="DG223" s="12"/>
      <c r="DH223" s="12"/>
      <c r="DI223" s="46"/>
      <c r="DJ223" s="48"/>
      <c r="DK223" s="48"/>
      <c r="DL223" s="48"/>
      <c r="DM223" s="13"/>
      <c r="DN223" s="13"/>
      <c r="DO223" s="12"/>
      <c r="DP223" s="12"/>
      <c r="DQ223" s="12"/>
      <c r="DR223" s="12"/>
      <c r="DS223" s="12"/>
      <c r="DT223" s="12"/>
      <c r="DU223" s="12"/>
      <c r="DV223" s="12"/>
      <c r="DW223" s="12"/>
      <c r="DX223" s="12"/>
      <c r="DY223" s="12"/>
      <c r="DZ223" s="12"/>
      <c r="EA223" s="12"/>
      <c r="EB223" s="12"/>
      <c r="EC223" s="12"/>
      <c r="ED223" s="12"/>
    </row>
    <row r="224" spans="1:134" ht="12.5" x14ac:dyDescent="0.25">
      <c r="A224" s="46"/>
      <c r="B224" s="46"/>
      <c r="C224" s="46"/>
      <c r="D224" s="46"/>
      <c r="E224" s="15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46"/>
      <c r="BA224" s="46"/>
      <c r="BB224" s="46"/>
      <c r="BC224" s="46"/>
      <c r="BD224" s="46"/>
      <c r="BE224" s="46"/>
      <c r="BF224" s="12"/>
      <c r="BG224" s="12"/>
      <c r="BH224" s="12"/>
      <c r="BI224" s="46"/>
      <c r="BJ224" s="46"/>
      <c r="BK224" s="46"/>
      <c r="BL224" s="46"/>
      <c r="BM224" s="46"/>
      <c r="BN224" s="46"/>
      <c r="BO224" s="46"/>
      <c r="BP224" s="46"/>
      <c r="BQ224" s="157"/>
      <c r="BR224" s="156"/>
      <c r="BS224" s="46"/>
      <c r="BT224" s="46"/>
      <c r="BU224" s="12"/>
      <c r="BV224" s="12"/>
      <c r="BW224" s="12"/>
      <c r="BX224" s="12"/>
      <c r="BY224" s="12"/>
      <c r="BZ224" s="12"/>
      <c r="CA224" s="12"/>
      <c r="CB224" s="12"/>
      <c r="CC224" s="12"/>
      <c r="CD224" s="12"/>
      <c r="CE224" s="12"/>
      <c r="CF224" s="12"/>
      <c r="CG224" s="12"/>
      <c r="CH224" s="12"/>
      <c r="CI224" s="12"/>
      <c r="CJ224" s="12"/>
      <c r="CK224" s="12"/>
      <c r="CL224" s="2"/>
      <c r="CM224" s="12"/>
      <c r="CN224" s="12"/>
      <c r="CO224" s="12"/>
      <c r="CP224" s="12"/>
      <c r="CQ224" s="12"/>
      <c r="CR224" s="46"/>
      <c r="CS224" s="46"/>
      <c r="CT224" s="2"/>
      <c r="CU224" s="2"/>
      <c r="CV224" s="49"/>
      <c r="CW224" s="49"/>
      <c r="CX224" s="2"/>
      <c r="CY224" s="2"/>
      <c r="CZ224" s="160"/>
      <c r="DA224" s="12"/>
      <c r="DB224" s="12"/>
      <c r="DC224" s="12"/>
      <c r="DD224" s="12"/>
      <c r="DE224" s="12"/>
      <c r="DF224" s="12"/>
      <c r="DG224" s="12"/>
      <c r="DH224" s="12"/>
      <c r="DI224" s="46"/>
      <c r="DJ224" s="48"/>
      <c r="DK224" s="48"/>
      <c r="DL224" s="48"/>
      <c r="DM224" s="13"/>
      <c r="DN224" s="13"/>
      <c r="DO224" s="12"/>
      <c r="DP224" s="12"/>
      <c r="DQ224" s="12"/>
      <c r="DR224" s="12"/>
      <c r="DS224" s="12"/>
      <c r="DT224" s="12"/>
      <c r="DU224" s="12"/>
      <c r="DV224" s="12"/>
      <c r="DW224" s="12"/>
      <c r="DX224" s="12"/>
      <c r="DY224" s="12"/>
      <c r="DZ224" s="12"/>
      <c r="EA224" s="12"/>
      <c r="EB224" s="12"/>
      <c r="EC224" s="12"/>
      <c r="ED224" s="12"/>
    </row>
    <row r="225" spans="1:134" ht="12.5" x14ac:dyDescent="0.25">
      <c r="A225" s="46"/>
      <c r="B225" s="46"/>
      <c r="C225" s="46"/>
      <c r="D225" s="46"/>
      <c r="E225" s="15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46"/>
      <c r="BA225" s="46"/>
      <c r="BB225" s="46"/>
      <c r="BC225" s="46"/>
      <c r="BD225" s="46"/>
      <c r="BE225" s="46"/>
      <c r="BF225" s="12"/>
      <c r="BG225" s="12"/>
      <c r="BH225" s="12"/>
      <c r="BI225" s="46"/>
      <c r="BJ225" s="46"/>
      <c r="BK225" s="46"/>
      <c r="BL225" s="46"/>
      <c r="BM225" s="46"/>
      <c r="BN225" s="46"/>
      <c r="BO225" s="46"/>
      <c r="BP225" s="46"/>
      <c r="BQ225" s="157"/>
      <c r="BR225" s="156"/>
      <c r="BS225" s="46"/>
      <c r="BT225" s="46"/>
      <c r="BU225" s="12"/>
      <c r="BV225" s="12"/>
      <c r="BW225" s="12"/>
      <c r="BX225" s="12"/>
      <c r="BY225" s="12"/>
      <c r="BZ225" s="12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2"/>
      <c r="CM225" s="12"/>
      <c r="CN225" s="12"/>
      <c r="CO225" s="12"/>
      <c r="CP225" s="12"/>
      <c r="CQ225" s="12"/>
      <c r="CR225" s="46"/>
      <c r="CS225" s="46"/>
      <c r="CT225" s="2"/>
      <c r="CU225" s="2"/>
      <c r="CV225" s="49"/>
      <c r="CW225" s="49"/>
      <c r="CX225" s="2"/>
      <c r="CY225" s="2"/>
      <c r="CZ225" s="160"/>
      <c r="DA225" s="12"/>
      <c r="DB225" s="12"/>
      <c r="DC225" s="12"/>
      <c r="DD225" s="12"/>
      <c r="DE225" s="12"/>
      <c r="DF225" s="12"/>
      <c r="DG225" s="12"/>
      <c r="DH225" s="12"/>
      <c r="DI225" s="46"/>
      <c r="DJ225" s="48"/>
      <c r="DK225" s="48"/>
      <c r="DL225" s="48"/>
      <c r="DM225" s="13"/>
      <c r="DN225" s="13"/>
      <c r="DO225" s="12"/>
      <c r="DP225" s="12"/>
      <c r="DQ225" s="12"/>
      <c r="DR225" s="12"/>
      <c r="DS225" s="12"/>
      <c r="DT225" s="12"/>
      <c r="DU225" s="12"/>
      <c r="DV225" s="12"/>
      <c r="DW225" s="12"/>
      <c r="DX225" s="12"/>
      <c r="DY225" s="12"/>
      <c r="DZ225" s="12"/>
      <c r="EA225" s="12"/>
      <c r="EB225" s="12"/>
      <c r="EC225" s="12"/>
      <c r="ED225" s="12"/>
    </row>
    <row r="226" spans="1:134" ht="12.5" x14ac:dyDescent="0.25">
      <c r="A226" s="46"/>
      <c r="B226" s="46"/>
      <c r="C226" s="46"/>
      <c r="D226" s="46"/>
      <c r="E226" s="15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46"/>
      <c r="BA226" s="46"/>
      <c r="BB226" s="46"/>
      <c r="BC226" s="46"/>
      <c r="BD226" s="46"/>
      <c r="BE226" s="46"/>
      <c r="BF226" s="12"/>
      <c r="BG226" s="12"/>
      <c r="BH226" s="12"/>
      <c r="BI226" s="46"/>
      <c r="BJ226" s="46"/>
      <c r="BK226" s="46"/>
      <c r="BL226" s="46"/>
      <c r="BM226" s="46"/>
      <c r="BN226" s="46"/>
      <c r="BO226" s="46"/>
      <c r="BP226" s="46"/>
      <c r="BQ226" s="157"/>
      <c r="BR226" s="156"/>
      <c r="BS226" s="46"/>
      <c r="BT226" s="46"/>
      <c r="BU226" s="12"/>
      <c r="BV226" s="12"/>
      <c r="BW226" s="12"/>
      <c r="BX226" s="12"/>
      <c r="BY226" s="12"/>
      <c r="BZ226" s="12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2"/>
      <c r="CM226" s="12"/>
      <c r="CN226" s="12"/>
      <c r="CO226" s="12"/>
      <c r="CP226" s="12"/>
      <c r="CQ226" s="12"/>
      <c r="CR226" s="46"/>
      <c r="CS226" s="46"/>
      <c r="CT226" s="2"/>
      <c r="CU226" s="2"/>
      <c r="CV226" s="49"/>
      <c r="CW226" s="49"/>
      <c r="CX226" s="2"/>
      <c r="CY226" s="2"/>
      <c r="CZ226" s="160"/>
      <c r="DA226" s="12"/>
      <c r="DB226" s="12"/>
      <c r="DC226" s="12"/>
      <c r="DD226" s="12"/>
      <c r="DE226" s="12"/>
      <c r="DF226" s="12"/>
      <c r="DG226" s="12"/>
      <c r="DH226" s="12"/>
      <c r="DI226" s="46"/>
      <c r="DJ226" s="48"/>
      <c r="DK226" s="48"/>
      <c r="DL226" s="48"/>
      <c r="DM226" s="13"/>
      <c r="DN226" s="13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</row>
    <row r="227" spans="1:134" ht="12.5" x14ac:dyDescent="0.25">
      <c r="A227" s="46"/>
      <c r="B227" s="46"/>
      <c r="C227" s="46"/>
      <c r="D227" s="46"/>
      <c r="E227" s="15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46"/>
      <c r="BA227" s="46"/>
      <c r="BB227" s="46"/>
      <c r="BC227" s="46"/>
      <c r="BD227" s="46"/>
      <c r="BE227" s="46"/>
      <c r="BF227" s="12"/>
      <c r="BG227" s="12"/>
      <c r="BH227" s="12"/>
      <c r="BI227" s="46"/>
      <c r="BJ227" s="46"/>
      <c r="BK227" s="46"/>
      <c r="BL227" s="46"/>
      <c r="BM227" s="46"/>
      <c r="BN227" s="46"/>
      <c r="BO227" s="46"/>
      <c r="BP227" s="46"/>
      <c r="BQ227" s="157"/>
      <c r="BR227" s="156"/>
      <c r="BS227" s="46"/>
      <c r="BT227" s="46"/>
      <c r="BU227" s="12"/>
      <c r="BV227" s="12"/>
      <c r="BW227" s="12"/>
      <c r="BX227" s="12"/>
      <c r="BY227" s="12"/>
      <c r="BZ227" s="12"/>
      <c r="CA227" s="12"/>
      <c r="CB227" s="12"/>
      <c r="CC227" s="12"/>
      <c r="CD227" s="12"/>
      <c r="CE227" s="12"/>
      <c r="CF227" s="12"/>
      <c r="CG227" s="12"/>
      <c r="CH227" s="12"/>
      <c r="CI227" s="12"/>
      <c r="CJ227" s="12"/>
      <c r="CK227" s="12"/>
      <c r="CL227" s="2"/>
      <c r="CM227" s="12"/>
      <c r="CN227" s="12"/>
      <c r="CO227" s="12"/>
      <c r="CP227" s="12"/>
      <c r="CQ227" s="12"/>
      <c r="CR227" s="46"/>
      <c r="CS227" s="46"/>
      <c r="CT227" s="2"/>
      <c r="CU227" s="2"/>
      <c r="CV227" s="49"/>
      <c r="CW227" s="49"/>
      <c r="CX227" s="2"/>
      <c r="CY227" s="2"/>
      <c r="CZ227" s="160"/>
      <c r="DA227" s="12"/>
      <c r="DB227" s="12"/>
      <c r="DC227" s="12"/>
      <c r="DD227" s="12"/>
      <c r="DE227" s="12"/>
      <c r="DF227" s="12"/>
      <c r="DG227" s="12"/>
      <c r="DH227" s="12"/>
      <c r="DI227" s="46"/>
      <c r="DJ227" s="48"/>
      <c r="DK227" s="48"/>
      <c r="DL227" s="48"/>
      <c r="DM227" s="13"/>
      <c r="DN227" s="13"/>
      <c r="DO227" s="12"/>
      <c r="DP227" s="12"/>
      <c r="DQ227" s="12"/>
      <c r="DR227" s="12"/>
      <c r="DS227" s="12"/>
      <c r="DT227" s="12"/>
      <c r="DU227" s="12"/>
      <c r="DV227" s="12"/>
      <c r="DW227" s="12"/>
      <c r="DX227" s="12"/>
      <c r="DY227" s="12"/>
      <c r="DZ227" s="12"/>
      <c r="EA227" s="12"/>
      <c r="EB227" s="12"/>
      <c r="EC227" s="12"/>
      <c r="ED227" s="12"/>
    </row>
    <row r="228" spans="1:134" ht="12.5" x14ac:dyDescent="0.25">
      <c r="A228" s="46"/>
      <c r="B228" s="46"/>
      <c r="C228" s="46"/>
      <c r="D228" s="46"/>
      <c r="E228" s="15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46"/>
      <c r="BA228" s="46"/>
      <c r="BB228" s="46"/>
      <c r="BC228" s="46"/>
      <c r="BD228" s="46"/>
      <c r="BE228" s="46"/>
      <c r="BF228" s="12"/>
      <c r="BG228" s="12"/>
      <c r="BH228" s="12"/>
      <c r="BI228" s="46"/>
      <c r="BJ228" s="46"/>
      <c r="BK228" s="46"/>
      <c r="BL228" s="46"/>
      <c r="BM228" s="46"/>
      <c r="BN228" s="46"/>
      <c r="BO228" s="46"/>
      <c r="BP228" s="46"/>
      <c r="BQ228" s="157"/>
      <c r="BR228" s="156"/>
      <c r="BS228" s="46"/>
      <c r="BT228" s="46"/>
      <c r="BU228" s="12"/>
      <c r="BV228" s="12"/>
      <c r="BW228" s="12"/>
      <c r="BX228" s="12"/>
      <c r="BY228" s="12"/>
      <c r="BZ228" s="12"/>
      <c r="CA228" s="12"/>
      <c r="CB228" s="12"/>
      <c r="CC228" s="12"/>
      <c r="CD228" s="12"/>
      <c r="CE228" s="12"/>
      <c r="CF228" s="12"/>
      <c r="CG228" s="12"/>
      <c r="CH228" s="12"/>
      <c r="CI228" s="12"/>
      <c r="CJ228" s="12"/>
      <c r="CK228" s="12"/>
      <c r="CL228" s="2"/>
      <c r="CM228" s="12"/>
      <c r="CN228" s="12"/>
      <c r="CO228" s="12"/>
      <c r="CP228" s="12"/>
      <c r="CQ228" s="12"/>
      <c r="CR228" s="46"/>
      <c r="CS228" s="46"/>
      <c r="CT228" s="2"/>
      <c r="CU228" s="2"/>
      <c r="CV228" s="49"/>
      <c r="CW228" s="49"/>
      <c r="CX228" s="2"/>
      <c r="CY228" s="2"/>
      <c r="CZ228" s="160"/>
      <c r="DA228" s="12"/>
      <c r="DB228" s="12"/>
      <c r="DC228" s="12"/>
      <c r="DD228" s="12"/>
      <c r="DE228" s="12"/>
      <c r="DF228" s="12"/>
      <c r="DG228" s="12"/>
      <c r="DH228" s="12"/>
      <c r="DI228" s="46"/>
      <c r="DJ228" s="48"/>
      <c r="DK228" s="48"/>
      <c r="DL228" s="48"/>
      <c r="DM228" s="13"/>
      <c r="DN228" s="13"/>
      <c r="DO228" s="12"/>
      <c r="DP228" s="12"/>
      <c r="DQ228" s="12"/>
      <c r="DR228" s="12"/>
      <c r="DS228" s="12"/>
      <c r="DT228" s="12"/>
      <c r="DU228" s="12"/>
      <c r="DV228" s="12"/>
      <c r="DW228" s="12"/>
      <c r="DX228" s="12"/>
      <c r="DY228" s="12"/>
      <c r="DZ228" s="12"/>
      <c r="EA228" s="12"/>
      <c r="EB228" s="12"/>
      <c r="EC228" s="12"/>
      <c r="ED228" s="12"/>
    </row>
    <row r="229" spans="1:134" ht="12.5" x14ac:dyDescent="0.25">
      <c r="A229" s="46"/>
      <c r="B229" s="46"/>
      <c r="C229" s="46"/>
      <c r="D229" s="46"/>
      <c r="E229" s="15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46"/>
      <c r="BA229" s="46"/>
      <c r="BB229" s="46"/>
      <c r="BC229" s="46"/>
      <c r="BD229" s="46"/>
      <c r="BE229" s="46"/>
      <c r="BF229" s="12"/>
      <c r="BG229" s="12"/>
      <c r="BH229" s="12"/>
      <c r="BI229" s="46"/>
      <c r="BJ229" s="46"/>
      <c r="BK229" s="46"/>
      <c r="BL229" s="46"/>
      <c r="BM229" s="46"/>
      <c r="BN229" s="46"/>
      <c r="BO229" s="46"/>
      <c r="BP229" s="46"/>
      <c r="BQ229" s="157"/>
      <c r="BR229" s="156"/>
      <c r="BS229" s="46"/>
      <c r="BT229" s="46"/>
      <c r="BU229" s="12"/>
      <c r="BV229" s="12"/>
      <c r="BW229" s="12"/>
      <c r="BX229" s="12"/>
      <c r="BY229" s="12"/>
      <c r="BZ229" s="12"/>
      <c r="CA229" s="12"/>
      <c r="CB229" s="12"/>
      <c r="CC229" s="12"/>
      <c r="CD229" s="12"/>
      <c r="CE229" s="12"/>
      <c r="CF229" s="12"/>
      <c r="CG229" s="12"/>
      <c r="CH229" s="12"/>
      <c r="CI229" s="12"/>
      <c r="CJ229" s="12"/>
      <c r="CK229" s="12"/>
      <c r="CL229" s="2"/>
      <c r="CM229" s="12"/>
      <c r="CN229" s="12"/>
      <c r="CO229" s="12"/>
      <c r="CP229" s="12"/>
      <c r="CQ229" s="12"/>
      <c r="CR229" s="46"/>
      <c r="CS229" s="46"/>
      <c r="CT229" s="2"/>
      <c r="CU229" s="2"/>
      <c r="CV229" s="49"/>
      <c r="CW229" s="49"/>
      <c r="CX229" s="2"/>
      <c r="CY229" s="2"/>
      <c r="CZ229" s="160"/>
      <c r="DA229" s="12"/>
      <c r="DB229" s="12"/>
      <c r="DC229" s="12"/>
      <c r="DD229" s="12"/>
      <c r="DE229" s="12"/>
      <c r="DF229" s="12"/>
      <c r="DG229" s="12"/>
      <c r="DH229" s="12"/>
      <c r="DI229" s="46"/>
      <c r="DJ229" s="48"/>
      <c r="DK229" s="48"/>
      <c r="DL229" s="48"/>
      <c r="DM229" s="13"/>
      <c r="DN229" s="13"/>
      <c r="DO229" s="12"/>
      <c r="DP229" s="12"/>
      <c r="DQ229" s="12"/>
      <c r="DR229" s="12"/>
      <c r="DS229" s="12"/>
      <c r="DT229" s="12"/>
      <c r="DU229" s="12"/>
      <c r="DV229" s="12"/>
      <c r="DW229" s="12"/>
      <c r="DX229" s="12"/>
      <c r="DY229" s="12"/>
      <c r="DZ229" s="12"/>
      <c r="EA229" s="12"/>
      <c r="EB229" s="12"/>
      <c r="EC229" s="12"/>
      <c r="ED229" s="12"/>
    </row>
    <row r="230" spans="1:134" ht="12.5" x14ac:dyDescent="0.25">
      <c r="A230" s="46"/>
      <c r="B230" s="46"/>
      <c r="C230" s="46"/>
      <c r="D230" s="46"/>
      <c r="E230" s="15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46"/>
      <c r="BA230" s="46"/>
      <c r="BB230" s="46"/>
      <c r="BC230" s="46"/>
      <c r="BD230" s="46"/>
      <c r="BE230" s="46"/>
      <c r="BF230" s="12"/>
      <c r="BG230" s="12"/>
      <c r="BH230" s="12"/>
      <c r="BI230" s="46"/>
      <c r="BJ230" s="46"/>
      <c r="BK230" s="46"/>
      <c r="BL230" s="46"/>
      <c r="BM230" s="46"/>
      <c r="BN230" s="46"/>
      <c r="BO230" s="46"/>
      <c r="BP230" s="46"/>
      <c r="BQ230" s="157"/>
      <c r="BR230" s="156"/>
      <c r="BS230" s="46"/>
      <c r="BT230" s="46"/>
      <c r="BU230" s="12"/>
      <c r="BV230" s="12"/>
      <c r="BW230" s="12"/>
      <c r="BX230" s="12"/>
      <c r="BY230" s="12"/>
      <c r="BZ230" s="12"/>
      <c r="CA230" s="12"/>
      <c r="CB230" s="12"/>
      <c r="CC230" s="12"/>
      <c r="CD230" s="12"/>
      <c r="CE230" s="12"/>
      <c r="CF230" s="12"/>
      <c r="CG230" s="12"/>
      <c r="CH230" s="12"/>
      <c r="CI230" s="12"/>
      <c r="CJ230" s="12"/>
      <c r="CK230" s="12"/>
      <c r="CL230" s="2"/>
      <c r="CM230" s="12"/>
      <c r="CN230" s="12"/>
      <c r="CO230" s="12"/>
      <c r="CP230" s="12"/>
      <c r="CQ230" s="12"/>
      <c r="CR230" s="46"/>
      <c r="CS230" s="46"/>
      <c r="CT230" s="2"/>
      <c r="CU230" s="2"/>
      <c r="CV230" s="49"/>
      <c r="CW230" s="49"/>
      <c r="CX230" s="2"/>
      <c r="CY230" s="2"/>
      <c r="CZ230" s="160"/>
      <c r="DA230" s="12"/>
      <c r="DB230" s="12"/>
      <c r="DC230" s="12"/>
      <c r="DD230" s="12"/>
      <c r="DE230" s="12"/>
      <c r="DF230" s="12"/>
      <c r="DG230" s="12"/>
      <c r="DH230" s="12"/>
      <c r="DI230" s="46"/>
      <c r="DJ230" s="48"/>
      <c r="DK230" s="48"/>
      <c r="DL230" s="48"/>
      <c r="DM230" s="13"/>
      <c r="DN230" s="13"/>
      <c r="DO230" s="12"/>
      <c r="DP230" s="12"/>
      <c r="DQ230" s="12"/>
      <c r="DR230" s="12"/>
      <c r="DS230" s="12"/>
      <c r="DT230" s="12"/>
      <c r="DU230" s="12"/>
      <c r="DV230" s="12"/>
      <c r="DW230" s="12"/>
      <c r="DX230" s="12"/>
      <c r="DY230" s="12"/>
      <c r="DZ230" s="12"/>
      <c r="EA230" s="12"/>
      <c r="EB230" s="12"/>
      <c r="EC230" s="12"/>
      <c r="ED230" s="12"/>
    </row>
    <row r="231" spans="1:134" ht="12.5" x14ac:dyDescent="0.25">
      <c r="A231" s="46"/>
      <c r="B231" s="46"/>
      <c r="C231" s="46"/>
      <c r="D231" s="46"/>
      <c r="E231" s="15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46"/>
      <c r="BA231" s="46"/>
      <c r="BB231" s="46"/>
      <c r="BC231" s="46"/>
      <c r="BD231" s="46"/>
      <c r="BE231" s="46"/>
      <c r="BF231" s="12"/>
      <c r="BG231" s="12"/>
      <c r="BH231" s="12"/>
      <c r="BI231" s="46"/>
      <c r="BJ231" s="46"/>
      <c r="BK231" s="46"/>
      <c r="BL231" s="46"/>
      <c r="BM231" s="46"/>
      <c r="BN231" s="46"/>
      <c r="BO231" s="46"/>
      <c r="BP231" s="46"/>
      <c r="BQ231" s="157"/>
      <c r="BR231" s="156"/>
      <c r="BS231" s="46"/>
      <c r="BT231" s="46"/>
      <c r="BU231" s="12"/>
      <c r="BV231" s="12"/>
      <c r="BW231" s="12"/>
      <c r="BX231" s="12"/>
      <c r="BY231" s="12"/>
      <c r="BZ231" s="12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2"/>
      <c r="CM231" s="12"/>
      <c r="CN231" s="12"/>
      <c r="CO231" s="12"/>
      <c r="CP231" s="12"/>
      <c r="CQ231" s="12"/>
      <c r="CR231" s="46"/>
      <c r="CS231" s="46"/>
      <c r="CT231" s="2"/>
      <c r="CU231" s="2"/>
      <c r="CV231" s="49"/>
      <c r="CW231" s="49"/>
      <c r="CX231" s="2"/>
      <c r="CY231" s="2"/>
      <c r="CZ231" s="160"/>
      <c r="DA231" s="12"/>
      <c r="DB231" s="12"/>
      <c r="DC231" s="12"/>
      <c r="DD231" s="12"/>
      <c r="DE231" s="12"/>
      <c r="DF231" s="12"/>
      <c r="DG231" s="12"/>
      <c r="DH231" s="12"/>
      <c r="DI231" s="46"/>
      <c r="DJ231" s="48"/>
      <c r="DK231" s="48"/>
      <c r="DL231" s="48"/>
      <c r="DM231" s="13"/>
      <c r="DN231" s="13"/>
      <c r="DO231" s="12"/>
      <c r="DP231" s="12"/>
      <c r="DQ231" s="12"/>
      <c r="DR231" s="12"/>
      <c r="DS231" s="12"/>
      <c r="DT231" s="12"/>
      <c r="DU231" s="12"/>
      <c r="DV231" s="12"/>
      <c r="DW231" s="12"/>
      <c r="DX231" s="12"/>
      <c r="DY231" s="12"/>
      <c r="DZ231" s="12"/>
      <c r="EA231" s="12"/>
      <c r="EB231" s="12"/>
      <c r="EC231" s="12"/>
      <c r="ED231" s="12"/>
    </row>
    <row r="232" spans="1:134" ht="12.5" x14ac:dyDescent="0.25">
      <c r="A232" s="46"/>
      <c r="B232" s="46"/>
      <c r="C232" s="46"/>
      <c r="D232" s="46"/>
      <c r="E232" s="15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46"/>
      <c r="BA232" s="46"/>
      <c r="BB232" s="46"/>
      <c r="BC232" s="46"/>
      <c r="BD232" s="46"/>
      <c r="BE232" s="46"/>
      <c r="BF232" s="12"/>
      <c r="BG232" s="12"/>
      <c r="BH232" s="12"/>
      <c r="BI232" s="46"/>
      <c r="BJ232" s="46"/>
      <c r="BK232" s="46"/>
      <c r="BL232" s="46"/>
      <c r="BM232" s="46"/>
      <c r="BN232" s="46"/>
      <c r="BO232" s="46"/>
      <c r="BP232" s="46"/>
      <c r="BQ232" s="157"/>
      <c r="BR232" s="156"/>
      <c r="BS232" s="46"/>
      <c r="BT232" s="46"/>
      <c r="BU232" s="12"/>
      <c r="BV232" s="12"/>
      <c r="BW232" s="12"/>
      <c r="BX232" s="12"/>
      <c r="BY232" s="12"/>
      <c r="BZ232" s="12"/>
      <c r="CA232" s="12"/>
      <c r="CB232" s="12"/>
      <c r="CC232" s="12"/>
      <c r="CD232" s="12"/>
      <c r="CE232" s="12"/>
      <c r="CF232" s="12"/>
      <c r="CG232" s="12"/>
      <c r="CH232" s="12"/>
      <c r="CI232" s="12"/>
      <c r="CJ232" s="12"/>
      <c r="CK232" s="12"/>
      <c r="CL232" s="2"/>
      <c r="CM232" s="12"/>
      <c r="CN232" s="12"/>
      <c r="CO232" s="12"/>
      <c r="CP232" s="12"/>
      <c r="CQ232" s="12"/>
      <c r="CR232" s="46"/>
      <c r="CS232" s="46"/>
      <c r="CT232" s="2"/>
      <c r="CU232" s="2"/>
      <c r="CV232" s="49"/>
      <c r="CW232" s="49"/>
      <c r="CX232" s="2"/>
      <c r="CY232" s="2"/>
      <c r="CZ232" s="160"/>
      <c r="DA232" s="12"/>
      <c r="DB232" s="12"/>
      <c r="DC232" s="12"/>
      <c r="DD232" s="12"/>
      <c r="DE232" s="12"/>
      <c r="DF232" s="12"/>
      <c r="DG232" s="12"/>
      <c r="DH232" s="12"/>
      <c r="DI232" s="46"/>
      <c r="DJ232" s="48"/>
      <c r="DK232" s="48"/>
      <c r="DL232" s="48"/>
      <c r="DM232" s="13"/>
      <c r="DN232" s="13"/>
      <c r="DO232" s="12"/>
      <c r="DP232" s="12"/>
      <c r="DQ232" s="12"/>
      <c r="DR232" s="12"/>
      <c r="DS232" s="12"/>
      <c r="DT232" s="12"/>
      <c r="DU232" s="12"/>
      <c r="DV232" s="12"/>
      <c r="DW232" s="12"/>
      <c r="DX232" s="12"/>
      <c r="DY232" s="12"/>
      <c r="DZ232" s="12"/>
      <c r="EA232" s="12"/>
      <c r="EB232" s="12"/>
      <c r="EC232" s="12"/>
      <c r="ED232" s="12"/>
    </row>
    <row r="233" spans="1:134" ht="12.5" x14ac:dyDescent="0.25">
      <c r="A233" s="46"/>
      <c r="B233" s="46"/>
      <c r="C233" s="46"/>
      <c r="D233" s="46"/>
      <c r="E233" s="15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46"/>
      <c r="BA233" s="46"/>
      <c r="BB233" s="46"/>
      <c r="BC233" s="46"/>
      <c r="BD233" s="46"/>
      <c r="BE233" s="46"/>
      <c r="BF233" s="12"/>
      <c r="BG233" s="12"/>
      <c r="BH233" s="12"/>
      <c r="BI233" s="46"/>
      <c r="BJ233" s="46"/>
      <c r="BK233" s="46"/>
      <c r="BL233" s="46"/>
      <c r="BM233" s="46"/>
      <c r="BN233" s="46"/>
      <c r="BO233" s="46"/>
      <c r="BP233" s="46"/>
      <c r="BQ233" s="157"/>
      <c r="BR233" s="156"/>
      <c r="BS233" s="46"/>
      <c r="BT233" s="46"/>
      <c r="BU233" s="12"/>
      <c r="BV233" s="12"/>
      <c r="BW233" s="12"/>
      <c r="BX233" s="12"/>
      <c r="BY233" s="12"/>
      <c r="BZ233" s="12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2"/>
      <c r="CM233" s="12"/>
      <c r="CN233" s="12"/>
      <c r="CO233" s="12"/>
      <c r="CP233" s="12"/>
      <c r="CQ233" s="12"/>
      <c r="CR233" s="46"/>
      <c r="CS233" s="46"/>
      <c r="CT233" s="2"/>
      <c r="CU233" s="2"/>
      <c r="CV233" s="49"/>
      <c r="CW233" s="49"/>
      <c r="CX233" s="2"/>
      <c r="CY233" s="2"/>
      <c r="CZ233" s="160"/>
      <c r="DA233" s="12"/>
      <c r="DB233" s="12"/>
      <c r="DC233" s="12"/>
      <c r="DD233" s="12"/>
      <c r="DE233" s="12"/>
      <c r="DF233" s="12"/>
      <c r="DG233" s="12"/>
      <c r="DH233" s="12"/>
      <c r="DI233" s="46"/>
      <c r="DJ233" s="48"/>
      <c r="DK233" s="48"/>
      <c r="DL233" s="48"/>
      <c r="DM233" s="13"/>
      <c r="DN233" s="13"/>
      <c r="DO233" s="12"/>
      <c r="DP233" s="12"/>
      <c r="DQ233" s="12"/>
      <c r="DR233" s="12"/>
      <c r="DS233" s="12"/>
      <c r="DT233" s="12"/>
      <c r="DU233" s="12"/>
      <c r="DV233" s="12"/>
      <c r="DW233" s="12"/>
      <c r="DX233" s="12"/>
      <c r="DY233" s="12"/>
      <c r="DZ233" s="12"/>
      <c r="EA233" s="12"/>
      <c r="EB233" s="12"/>
      <c r="EC233" s="12"/>
      <c r="ED233" s="12"/>
    </row>
    <row r="234" spans="1:134" ht="12.5" x14ac:dyDescent="0.25">
      <c r="A234" s="46"/>
      <c r="B234" s="46"/>
      <c r="C234" s="46"/>
      <c r="D234" s="46"/>
      <c r="E234" s="15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46"/>
      <c r="BA234" s="46"/>
      <c r="BB234" s="46"/>
      <c r="BC234" s="46"/>
      <c r="BD234" s="46"/>
      <c r="BE234" s="46"/>
      <c r="BF234" s="12"/>
      <c r="BG234" s="12"/>
      <c r="BH234" s="12"/>
      <c r="BI234" s="46"/>
      <c r="BJ234" s="46"/>
      <c r="BK234" s="46"/>
      <c r="BL234" s="46"/>
      <c r="BM234" s="46"/>
      <c r="BN234" s="46"/>
      <c r="BO234" s="46"/>
      <c r="BP234" s="46"/>
      <c r="BQ234" s="157"/>
      <c r="BR234" s="156"/>
      <c r="BS234" s="46"/>
      <c r="BT234" s="46"/>
      <c r="BU234" s="12"/>
      <c r="BV234" s="12"/>
      <c r="BW234" s="12"/>
      <c r="BX234" s="12"/>
      <c r="BY234" s="12"/>
      <c r="BZ234" s="12"/>
      <c r="CA234" s="12"/>
      <c r="CB234" s="12"/>
      <c r="CC234" s="12"/>
      <c r="CD234" s="12"/>
      <c r="CE234" s="12"/>
      <c r="CF234" s="12"/>
      <c r="CG234" s="12"/>
      <c r="CH234" s="12"/>
      <c r="CI234" s="12"/>
      <c r="CJ234" s="12"/>
      <c r="CK234" s="12"/>
      <c r="CL234" s="2"/>
      <c r="CM234" s="12"/>
      <c r="CN234" s="12"/>
      <c r="CO234" s="12"/>
      <c r="CP234" s="12"/>
      <c r="CQ234" s="12"/>
      <c r="CR234" s="46"/>
      <c r="CS234" s="46"/>
      <c r="CT234" s="2"/>
      <c r="CU234" s="2"/>
      <c r="CV234" s="49"/>
      <c r="CW234" s="49"/>
      <c r="CX234" s="2"/>
      <c r="CY234" s="2"/>
      <c r="CZ234" s="160"/>
      <c r="DA234" s="12"/>
      <c r="DB234" s="12"/>
      <c r="DC234" s="12"/>
      <c r="DD234" s="12"/>
      <c r="DE234" s="12"/>
      <c r="DF234" s="12"/>
      <c r="DG234" s="12"/>
      <c r="DH234" s="12"/>
      <c r="DI234" s="46"/>
      <c r="DJ234" s="48"/>
      <c r="DK234" s="48"/>
      <c r="DL234" s="48"/>
      <c r="DM234" s="13"/>
      <c r="DN234" s="13"/>
      <c r="DO234" s="12"/>
      <c r="DP234" s="12"/>
      <c r="DQ234" s="12"/>
      <c r="DR234" s="12"/>
      <c r="DS234" s="12"/>
      <c r="DT234" s="12"/>
      <c r="DU234" s="12"/>
      <c r="DV234" s="12"/>
      <c r="DW234" s="12"/>
      <c r="DX234" s="12"/>
      <c r="DY234" s="12"/>
      <c r="DZ234" s="12"/>
      <c r="EA234" s="12"/>
      <c r="EB234" s="12"/>
      <c r="EC234" s="12"/>
      <c r="ED234" s="12"/>
    </row>
    <row r="235" spans="1:134" ht="12.5" x14ac:dyDescent="0.25">
      <c r="A235" s="46"/>
      <c r="B235" s="46"/>
      <c r="C235" s="46"/>
      <c r="D235" s="46"/>
      <c r="E235" s="15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46"/>
      <c r="BA235" s="46"/>
      <c r="BB235" s="46"/>
      <c r="BC235" s="46"/>
      <c r="BD235" s="46"/>
      <c r="BE235" s="46"/>
      <c r="BF235" s="12"/>
      <c r="BG235" s="12"/>
      <c r="BH235" s="12"/>
      <c r="BI235" s="46"/>
      <c r="BJ235" s="46"/>
      <c r="BK235" s="46"/>
      <c r="BL235" s="46"/>
      <c r="BM235" s="46"/>
      <c r="BN235" s="46"/>
      <c r="BO235" s="46"/>
      <c r="BP235" s="46"/>
      <c r="BQ235" s="157"/>
      <c r="BR235" s="156"/>
      <c r="BS235" s="46"/>
      <c r="BT235" s="46"/>
      <c r="BU235" s="12"/>
      <c r="BV235" s="12"/>
      <c r="BW235" s="12"/>
      <c r="BX235" s="12"/>
      <c r="BY235" s="12"/>
      <c r="BZ235" s="12"/>
      <c r="CA235" s="12"/>
      <c r="CB235" s="12"/>
      <c r="CC235" s="12"/>
      <c r="CD235" s="12"/>
      <c r="CE235" s="12"/>
      <c r="CF235" s="12"/>
      <c r="CG235" s="12"/>
      <c r="CH235" s="12"/>
      <c r="CI235" s="12"/>
      <c r="CJ235" s="12"/>
      <c r="CK235" s="12"/>
      <c r="CL235" s="2"/>
      <c r="CM235" s="12"/>
      <c r="CN235" s="12"/>
      <c r="CO235" s="12"/>
      <c r="CP235" s="12"/>
      <c r="CQ235" s="12"/>
      <c r="CR235" s="46"/>
      <c r="CS235" s="46"/>
      <c r="CT235" s="2"/>
      <c r="CU235" s="2"/>
      <c r="CV235" s="49"/>
      <c r="CW235" s="49"/>
      <c r="CX235" s="2"/>
      <c r="CY235" s="2"/>
      <c r="CZ235" s="160"/>
      <c r="DA235" s="12"/>
      <c r="DB235" s="12"/>
      <c r="DC235" s="12"/>
      <c r="DD235" s="12"/>
      <c r="DE235" s="12"/>
      <c r="DF235" s="12"/>
      <c r="DG235" s="12"/>
      <c r="DH235" s="12"/>
      <c r="DI235" s="46"/>
      <c r="DJ235" s="48"/>
      <c r="DK235" s="48"/>
      <c r="DL235" s="48"/>
      <c r="DM235" s="13"/>
      <c r="DN235" s="13"/>
      <c r="DO235" s="12"/>
      <c r="DP235" s="12"/>
      <c r="DQ235" s="12"/>
      <c r="DR235" s="12"/>
      <c r="DS235" s="12"/>
      <c r="DT235" s="12"/>
      <c r="DU235" s="12"/>
      <c r="DV235" s="12"/>
      <c r="DW235" s="12"/>
      <c r="DX235" s="12"/>
      <c r="DY235" s="12"/>
      <c r="DZ235" s="12"/>
      <c r="EA235" s="12"/>
      <c r="EB235" s="12"/>
      <c r="EC235" s="12"/>
      <c r="ED235" s="12"/>
    </row>
    <row r="236" spans="1:134" ht="12.5" x14ac:dyDescent="0.25">
      <c r="A236" s="46"/>
      <c r="B236" s="46"/>
      <c r="C236" s="46"/>
      <c r="D236" s="46"/>
      <c r="E236" s="15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46"/>
      <c r="BA236" s="46"/>
      <c r="BB236" s="46"/>
      <c r="BC236" s="46"/>
      <c r="BD236" s="46"/>
      <c r="BE236" s="46"/>
      <c r="BF236" s="12"/>
      <c r="BG236" s="12"/>
      <c r="BH236" s="12"/>
      <c r="BI236" s="46"/>
      <c r="BJ236" s="46"/>
      <c r="BK236" s="46"/>
      <c r="BL236" s="46"/>
      <c r="BM236" s="46"/>
      <c r="BN236" s="46"/>
      <c r="BO236" s="46"/>
      <c r="BP236" s="46"/>
      <c r="BQ236" s="157"/>
      <c r="BR236" s="156"/>
      <c r="BS236" s="46"/>
      <c r="BT236" s="46"/>
      <c r="BU236" s="12"/>
      <c r="BV236" s="12"/>
      <c r="BW236" s="12"/>
      <c r="BX236" s="12"/>
      <c r="BY236" s="12"/>
      <c r="BZ236" s="12"/>
      <c r="CA236" s="12"/>
      <c r="CB236" s="12"/>
      <c r="CC236" s="12"/>
      <c r="CD236" s="12"/>
      <c r="CE236" s="12"/>
      <c r="CF236" s="12"/>
      <c r="CG236" s="12"/>
      <c r="CH236" s="12"/>
      <c r="CI236" s="12"/>
      <c r="CJ236" s="12"/>
      <c r="CK236" s="12"/>
      <c r="CL236" s="2"/>
      <c r="CM236" s="12"/>
      <c r="CN236" s="12"/>
      <c r="CO236" s="12"/>
      <c r="CP236" s="12"/>
      <c r="CQ236" s="12"/>
      <c r="CR236" s="46"/>
      <c r="CS236" s="46"/>
      <c r="CT236" s="2"/>
      <c r="CU236" s="2"/>
      <c r="CV236" s="49"/>
      <c r="CW236" s="49"/>
      <c r="CX236" s="2"/>
      <c r="CY236" s="2"/>
      <c r="CZ236" s="160"/>
      <c r="DA236" s="12"/>
      <c r="DB236" s="12"/>
      <c r="DC236" s="12"/>
      <c r="DD236" s="12"/>
      <c r="DE236" s="12"/>
      <c r="DF236" s="12"/>
      <c r="DG236" s="12"/>
      <c r="DH236" s="12"/>
      <c r="DI236" s="46"/>
      <c r="DJ236" s="48"/>
      <c r="DK236" s="48"/>
      <c r="DL236" s="48"/>
      <c r="DM236" s="13"/>
      <c r="DN236" s="13"/>
      <c r="DO236" s="12"/>
      <c r="DP236" s="12"/>
      <c r="DQ236" s="12"/>
      <c r="DR236" s="12"/>
      <c r="DS236" s="12"/>
      <c r="DT236" s="12"/>
      <c r="DU236" s="12"/>
      <c r="DV236" s="12"/>
      <c r="DW236" s="12"/>
      <c r="DX236" s="12"/>
      <c r="DY236" s="12"/>
      <c r="DZ236" s="12"/>
      <c r="EA236" s="12"/>
      <c r="EB236" s="12"/>
      <c r="EC236" s="12"/>
      <c r="ED236" s="12"/>
    </row>
    <row r="237" spans="1:134" ht="12.5" x14ac:dyDescent="0.25">
      <c r="A237" s="46"/>
      <c r="B237" s="46"/>
      <c r="C237" s="46"/>
      <c r="D237" s="46"/>
      <c r="E237" s="15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46"/>
      <c r="BA237" s="46"/>
      <c r="BB237" s="46"/>
      <c r="BC237" s="46"/>
      <c r="BD237" s="46"/>
      <c r="BE237" s="46"/>
      <c r="BF237" s="12"/>
      <c r="BG237" s="12"/>
      <c r="BH237" s="12"/>
      <c r="BI237" s="46"/>
      <c r="BJ237" s="46"/>
      <c r="BK237" s="46"/>
      <c r="BL237" s="46"/>
      <c r="BM237" s="46"/>
      <c r="BN237" s="46"/>
      <c r="BO237" s="46"/>
      <c r="BP237" s="46"/>
      <c r="BQ237" s="157"/>
      <c r="BR237" s="156"/>
      <c r="BS237" s="46"/>
      <c r="BT237" s="46"/>
      <c r="BU237" s="12"/>
      <c r="BV237" s="12"/>
      <c r="BW237" s="12"/>
      <c r="BX237" s="12"/>
      <c r="BY237" s="12"/>
      <c r="BZ237" s="12"/>
      <c r="CA237" s="12"/>
      <c r="CB237" s="12"/>
      <c r="CC237" s="12"/>
      <c r="CD237" s="12"/>
      <c r="CE237" s="12"/>
      <c r="CF237" s="12"/>
      <c r="CG237" s="12"/>
      <c r="CH237" s="12"/>
      <c r="CI237" s="12"/>
      <c r="CJ237" s="12"/>
      <c r="CK237" s="12"/>
      <c r="CL237" s="2"/>
      <c r="CM237" s="12"/>
      <c r="CN237" s="12"/>
      <c r="CO237" s="12"/>
      <c r="CP237" s="12"/>
      <c r="CQ237" s="12"/>
      <c r="CR237" s="46"/>
      <c r="CS237" s="46"/>
      <c r="CT237" s="2"/>
      <c r="CU237" s="2"/>
      <c r="CV237" s="49"/>
      <c r="CW237" s="49"/>
      <c r="CX237" s="2"/>
      <c r="CY237" s="2"/>
      <c r="CZ237" s="160"/>
      <c r="DA237" s="12"/>
      <c r="DB237" s="12"/>
      <c r="DC237" s="12"/>
      <c r="DD237" s="12"/>
      <c r="DE237" s="12"/>
      <c r="DF237" s="12"/>
      <c r="DG237" s="12"/>
      <c r="DH237" s="12"/>
      <c r="DI237" s="46"/>
      <c r="DJ237" s="48"/>
      <c r="DK237" s="48"/>
      <c r="DL237" s="48"/>
      <c r="DM237" s="13"/>
      <c r="DN237" s="13"/>
      <c r="DO237" s="12"/>
      <c r="DP237" s="12"/>
      <c r="DQ237" s="12"/>
      <c r="DR237" s="12"/>
      <c r="DS237" s="12"/>
      <c r="DT237" s="12"/>
      <c r="DU237" s="12"/>
      <c r="DV237" s="12"/>
      <c r="DW237" s="12"/>
      <c r="DX237" s="12"/>
      <c r="DY237" s="12"/>
      <c r="DZ237" s="12"/>
      <c r="EA237" s="12"/>
      <c r="EB237" s="12"/>
      <c r="EC237" s="12"/>
      <c r="ED237" s="12"/>
    </row>
    <row r="238" spans="1:134" ht="12.5" x14ac:dyDescent="0.25">
      <c r="A238" s="46"/>
      <c r="B238" s="46"/>
      <c r="C238" s="46"/>
      <c r="D238" s="46"/>
      <c r="E238" s="15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46"/>
      <c r="BA238" s="46"/>
      <c r="BB238" s="46"/>
      <c r="BC238" s="46"/>
      <c r="BD238" s="46"/>
      <c r="BE238" s="46"/>
      <c r="BF238" s="12"/>
      <c r="BG238" s="12"/>
      <c r="BH238" s="12"/>
      <c r="BI238" s="46"/>
      <c r="BJ238" s="46"/>
      <c r="BK238" s="46"/>
      <c r="BL238" s="46"/>
      <c r="BM238" s="46"/>
      <c r="BN238" s="46"/>
      <c r="BO238" s="46"/>
      <c r="BP238" s="46"/>
      <c r="BQ238" s="157"/>
      <c r="BR238" s="156"/>
      <c r="BS238" s="46"/>
      <c r="BT238" s="46"/>
      <c r="BU238" s="12"/>
      <c r="BV238" s="12"/>
      <c r="BW238" s="12"/>
      <c r="BX238" s="12"/>
      <c r="BY238" s="12"/>
      <c r="BZ238" s="12"/>
      <c r="CA238" s="12"/>
      <c r="CB238" s="12"/>
      <c r="CC238" s="12"/>
      <c r="CD238" s="12"/>
      <c r="CE238" s="12"/>
      <c r="CF238" s="12"/>
      <c r="CG238" s="12"/>
      <c r="CH238" s="12"/>
      <c r="CI238" s="12"/>
      <c r="CJ238" s="12"/>
      <c r="CK238" s="12"/>
      <c r="CL238" s="2"/>
      <c r="CM238" s="12"/>
      <c r="CN238" s="12"/>
      <c r="CO238" s="12"/>
      <c r="CP238" s="12"/>
      <c r="CQ238" s="12"/>
      <c r="CR238" s="46"/>
      <c r="CS238" s="46"/>
      <c r="CT238" s="2"/>
      <c r="CU238" s="2"/>
      <c r="CV238" s="49"/>
      <c r="CW238" s="49"/>
      <c r="CX238" s="2"/>
      <c r="CY238" s="2"/>
      <c r="CZ238" s="160"/>
      <c r="DA238" s="12"/>
      <c r="DB238" s="12"/>
      <c r="DC238" s="12"/>
      <c r="DD238" s="12"/>
      <c r="DE238" s="12"/>
      <c r="DF238" s="12"/>
      <c r="DG238" s="12"/>
      <c r="DH238" s="12"/>
      <c r="DI238" s="46"/>
      <c r="DJ238" s="48"/>
      <c r="DK238" s="48"/>
      <c r="DL238" s="48"/>
      <c r="DM238" s="13"/>
      <c r="DN238" s="13"/>
      <c r="DO238" s="12"/>
      <c r="DP238" s="12"/>
      <c r="DQ238" s="12"/>
      <c r="DR238" s="12"/>
      <c r="DS238" s="12"/>
      <c r="DT238" s="12"/>
      <c r="DU238" s="12"/>
      <c r="DV238" s="12"/>
      <c r="DW238" s="12"/>
      <c r="DX238" s="12"/>
      <c r="DY238" s="12"/>
      <c r="DZ238" s="12"/>
      <c r="EA238" s="12"/>
      <c r="EB238" s="12"/>
      <c r="EC238" s="12"/>
      <c r="ED238" s="12"/>
    </row>
    <row r="239" spans="1:134" ht="12.5" x14ac:dyDescent="0.25">
      <c r="A239" s="46"/>
      <c r="B239" s="46"/>
      <c r="C239" s="46"/>
      <c r="D239" s="46"/>
      <c r="E239" s="15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46"/>
      <c r="BA239" s="46"/>
      <c r="BB239" s="46"/>
      <c r="BC239" s="46"/>
      <c r="BD239" s="46"/>
      <c r="BE239" s="46"/>
      <c r="BF239" s="12"/>
      <c r="BG239" s="12"/>
      <c r="BH239" s="12"/>
      <c r="BI239" s="46"/>
      <c r="BJ239" s="46"/>
      <c r="BK239" s="46"/>
      <c r="BL239" s="46"/>
      <c r="BM239" s="46"/>
      <c r="BN239" s="46"/>
      <c r="BO239" s="46"/>
      <c r="BP239" s="46"/>
      <c r="BQ239" s="157"/>
      <c r="BR239" s="156"/>
      <c r="BS239" s="46"/>
      <c r="BT239" s="46"/>
      <c r="BU239" s="12"/>
      <c r="BV239" s="12"/>
      <c r="BW239" s="12"/>
      <c r="BX239" s="12"/>
      <c r="BY239" s="12"/>
      <c r="BZ239" s="12"/>
      <c r="CA239" s="12"/>
      <c r="CB239" s="12"/>
      <c r="CC239" s="12"/>
      <c r="CD239" s="12"/>
      <c r="CE239" s="12"/>
      <c r="CF239" s="12"/>
      <c r="CG239" s="12"/>
      <c r="CH239" s="12"/>
      <c r="CI239" s="12"/>
      <c r="CJ239" s="12"/>
      <c r="CK239" s="12"/>
      <c r="CL239" s="2"/>
      <c r="CM239" s="12"/>
      <c r="CN239" s="12"/>
      <c r="CO239" s="12"/>
      <c r="CP239" s="12"/>
      <c r="CQ239" s="12"/>
      <c r="CR239" s="46"/>
      <c r="CS239" s="46"/>
      <c r="CT239" s="2"/>
      <c r="CU239" s="2"/>
      <c r="CV239" s="49"/>
      <c r="CW239" s="49"/>
      <c r="CX239" s="2"/>
      <c r="CY239" s="2"/>
      <c r="CZ239" s="160"/>
      <c r="DA239" s="12"/>
      <c r="DB239" s="12"/>
      <c r="DC239" s="12"/>
      <c r="DD239" s="12"/>
      <c r="DE239" s="12"/>
      <c r="DF239" s="12"/>
      <c r="DG239" s="12"/>
      <c r="DH239" s="12"/>
      <c r="DI239" s="46"/>
      <c r="DJ239" s="48"/>
      <c r="DK239" s="48"/>
      <c r="DL239" s="48"/>
      <c r="DM239" s="13"/>
      <c r="DN239" s="13"/>
      <c r="DO239" s="12"/>
      <c r="DP239" s="12"/>
      <c r="DQ239" s="12"/>
      <c r="DR239" s="12"/>
      <c r="DS239" s="12"/>
      <c r="DT239" s="12"/>
      <c r="DU239" s="12"/>
      <c r="DV239" s="12"/>
      <c r="DW239" s="12"/>
      <c r="DX239" s="12"/>
      <c r="DY239" s="12"/>
      <c r="DZ239" s="12"/>
      <c r="EA239" s="12"/>
      <c r="EB239" s="12"/>
      <c r="EC239" s="12"/>
      <c r="ED239" s="12"/>
    </row>
    <row r="240" spans="1:134" ht="12.5" x14ac:dyDescent="0.25">
      <c r="A240" s="46"/>
      <c r="B240" s="46"/>
      <c r="C240" s="46"/>
      <c r="D240" s="46"/>
      <c r="E240" s="15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46"/>
      <c r="BA240" s="46"/>
      <c r="BB240" s="46"/>
      <c r="BC240" s="46"/>
      <c r="BD240" s="46"/>
      <c r="BE240" s="46"/>
      <c r="BF240" s="12"/>
      <c r="BG240" s="12"/>
      <c r="BH240" s="12"/>
      <c r="BI240" s="46"/>
      <c r="BJ240" s="46"/>
      <c r="BK240" s="46"/>
      <c r="BL240" s="46"/>
      <c r="BM240" s="46"/>
      <c r="BN240" s="46"/>
      <c r="BO240" s="46"/>
      <c r="BP240" s="46"/>
      <c r="BQ240" s="157"/>
      <c r="BR240" s="156"/>
      <c r="BS240" s="46"/>
      <c r="BT240" s="46"/>
      <c r="BU240" s="12"/>
      <c r="BV240" s="12"/>
      <c r="BW240" s="12"/>
      <c r="BX240" s="12"/>
      <c r="BY240" s="12"/>
      <c r="BZ240" s="12"/>
      <c r="CA240" s="12"/>
      <c r="CB240" s="12"/>
      <c r="CC240" s="12"/>
      <c r="CD240" s="12"/>
      <c r="CE240" s="12"/>
      <c r="CF240" s="12"/>
      <c r="CG240" s="12"/>
      <c r="CH240" s="12"/>
      <c r="CI240" s="12"/>
      <c r="CJ240" s="12"/>
      <c r="CK240" s="12"/>
      <c r="CL240" s="2"/>
      <c r="CM240" s="12"/>
      <c r="CN240" s="12"/>
      <c r="CO240" s="12"/>
      <c r="CP240" s="12"/>
      <c r="CQ240" s="12"/>
      <c r="CR240" s="46"/>
      <c r="CS240" s="46"/>
      <c r="CT240" s="2"/>
      <c r="CU240" s="2"/>
      <c r="CV240" s="49"/>
      <c r="CW240" s="49"/>
      <c r="CX240" s="2"/>
      <c r="CY240" s="2"/>
      <c r="CZ240" s="160"/>
      <c r="DA240" s="12"/>
      <c r="DB240" s="12"/>
      <c r="DC240" s="12"/>
      <c r="DD240" s="12"/>
      <c r="DE240" s="12"/>
      <c r="DF240" s="12"/>
      <c r="DG240" s="12"/>
      <c r="DH240" s="12"/>
      <c r="DI240" s="46"/>
      <c r="DJ240" s="48"/>
      <c r="DK240" s="48"/>
      <c r="DL240" s="48"/>
      <c r="DM240" s="13"/>
      <c r="DN240" s="13"/>
      <c r="DO240" s="12"/>
      <c r="DP240" s="12"/>
      <c r="DQ240" s="12"/>
      <c r="DR240" s="12"/>
      <c r="DS240" s="12"/>
      <c r="DT240" s="12"/>
      <c r="DU240" s="12"/>
      <c r="DV240" s="12"/>
      <c r="DW240" s="12"/>
      <c r="DX240" s="12"/>
      <c r="DY240" s="12"/>
      <c r="DZ240" s="12"/>
      <c r="EA240" s="12"/>
      <c r="EB240" s="12"/>
      <c r="EC240" s="12"/>
      <c r="ED240" s="12"/>
    </row>
    <row r="241" spans="1:134" ht="12.5" x14ac:dyDescent="0.25">
      <c r="A241" s="46"/>
      <c r="B241" s="46"/>
      <c r="C241" s="46"/>
      <c r="D241" s="46"/>
      <c r="E241" s="15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46"/>
      <c r="BA241" s="46"/>
      <c r="BB241" s="46"/>
      <c r="BC241" s="46"/>
      <c r="BD241" s="46"/>
      <c r="BE241" s="46"/>
      <c r="BF241" s="12"/>
      <c r="BG241" s="12"/>
      <c r="BH241" s="12"/>
      <c r="BI241" s="46"/>
      <c r="BJ241" s="46"/>
      <c r="BK241" s="46"/>
      <c r="BL241" s="46"/>
      <c r="BM241" s="46"/>
      <c r="BN241" s="46"/>
      <c r="BO241" s="46"/>
      <c r="BP241" s="46"/>
      <c r="BQ241" s="157"/>
      <c r="BR241" s="156"/>
      <c r="BS241" s="46"/>
      <c r="BT241" s="46"/>
      <c r="BU241" s="12"/>
      <c r="BV241" s="12"/>
      <c r="BW241" s="12"/>
      <c r="BX241" s="12"/>
      <c r="BY241" s="12"/>
      <c r="BZ241" s="12"/>
      <c r="CA241" s="12"/>
      <c r="CB241" s="12"/>
      <c r="CC241" s="12"/>
      <c r="CD241" s="12"/>
      <c r="CE241" s="12"/>
      <c r="CF241" s="12"/>
      <c r="CG241" s="12"/>
      <c r="CH241" s="12"/>
      <c r="CI241" s="12"/>
      <c r="CJ241" s="12"/>
      <c r="CK241" s="12"/>
      <c r="CL241" s="2"/>
      <c r="CM241" s="12"/>
      <c r="CN241" s="12"/>
      <c r="CO241" s="12"/>
      <c r="CP241" s="12"/>
      <c r="CQ241" s="12"/>
      <c r="CR241" s="46"/>
      <c r="CS241" s="46"/>
      <c r="CT241" s="2"/>
      <c r="CU241" s="2"/>
      <c r="CV241" s="49"/>
      <c r="CW241" s="49"/>
      <c r="CX241" s="2"/>
      <c r="CY241" s="2"/>
      <c r="CZ241" s="160"/>
      <c r="DA241" s="12"/>
      <c r="DB241" s="12"/>
      <c r="DC241" s="12"/>
      <c r="DD241" s="12"/>
      <c r="DE241" s="12"/>
      <c r="DF241" s="12"/>
      <c r="DG241" s="12"/>
      <c r="DH241" s="12"/>
      <c r="DI241" s="46"/>
      <c r="DJ241" s="48"/>
      <c r="DK241" s="48"/>
      <c r="DL241" s="48"/>
      <c r="DM241" s="13"/>
      <c r="DN241" s="13"/>
      <c r="DO241" s="12"/>
      <c r="DP241" s="12"/>
      <c r="DQ241" s="12"/>
      <c r="DR241" s="12"/>
      <c r="DS241" s="12"/>
      <c r="DT241" s="12"/>
      <c r="DU241" s="12"/>
      <c r="DV241" s="12"/>
      <c r="DW241" s="12"/>
      <c r="DX241" s="12"/>
      <c r="DY241" s="12"/>
      <c r="DZ241" s="12"/>
      <c r="EA241" s="12"/>
      <c r="EB241" s="12"/>
      <c r="EC241" s="12"/>
      <c r="ED241" s="12"/>
    </row>
    <row r="242" spans="1:134" ht="12.5" x14ac:dyDescent="0.25">
      <c r="A242" s="46"/>
      <c r="B242" s="46"/>
      <c r="C242" s="46"/>
      <c r="D242" s="46"/>
      <c r="E242" s="15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46"/>
      <c r="BA242" s="46"/>
      <c r="BB242" s="46"/>
      <c r="BC242" s="46"/>
      <c r="BD242" s="46"/>
      <c r="BE242" s="46"/>
      <c r="BF242" s="12"/>
      <c r="BG242" s="12"/>
      <c r="BH242" s="12"/>
      <c r="BI242" s="46"/>
      <c r="BJ242" s="46"/>
      <c r="BK242" s="46"/>
      <c r="BL242" s="46"/>
      <c r="BM242" s="46"/>
      <c r="BN242" s="46"/>
      <c r="BO242" s="46"/>
      <c r="BP242" s="46"/>
      <c r="BQ242" s="157"/>
      <c r="BR242" s="156"/>
      <c r="BS242" s="46"/>
      <c r="BT242" s="46"/>
      <c r="BU242" s="12"/>
      <c r="BV242" s="12"/>
      <c r="BW242" s="12"/>
      <c r="BX242" s="12"/>
      <c r="BY242" s="12"/>
      <c r="BZ242" s="12"/>
      <c r="CA242" s="12"/>
      <c r="CB242" s="12"/>
      <c r="CC242" s="12"/>
      <c r="CD242" s="12"/>
      <c r="CE242" s="12"/>
      <c r="CF242" s="12"/>
      <c r="CG242" s="12"/>
      <c r="CH242" s="12"/>
      <c r="CI242" s="12"/>
      <c r="CJ242" s="12"/>
      <c r="CK242" s="12"/>
      <c r="CL242" s="2"/>
      <c r="CM242" s="12"/>
      <c r="CN242" s="12"/>
      <c r="CO242" s="12"/>
      <c r="CP242" s="12"/>
      <c r="CQ242" s="12"/>
      <c r="CR242" s="46"/>
      <c r="CS242" s="46"/>
      <c r="CT242" s="2"/>
      <c r="CU242" s="2"/>
      <c r="CV242" s="49"/>
      <c r="CW242" s="49"/>
      <c r="CX242" s="2"/>
      <c r="CY242" s="2"/>
      <c r="CZ242" s="160"/>
      <c r="DA242" s="12"/>
      <c r="DB242" s="12"/>
      <c r="DC242" s="12"/>
      <c r="DD242" s="12"/>
      <c r="DE242" s="12"/>
      <c r="DF242" s="12"/>
      <c r="DG242" s="12"/>
      <c r="DH242" s="12"/>
      <c r="DI242" s="46"/>
      <c r="DJ242" s="48"/>
      <c r="DK242" s="48"/>
      <c r="DL242" s="48"/>
      <c r="DM242" s="13"/>
      <c r="DN242" s="13"/>
      <c r="DO242" s="12"/>
      <c r="DP242" s="12"/>
      <c r="DQ242" s="12"/>
      <c r="DR242" s="12"/>
      <c r="DS242" s="12"/>
      <c r="DT242" s="12"/>
      <c r="DU242" s="12"/>
      <c r="DV242" s="12"/>
      <c r="DW242" s="12"/>
      <c r="DX242" s="12"/>
      <c r="DY242" s="12"/>
      <c r="DZ242" s="12"/>
      <c r="EA242" s="12"/>
      <c r="EB242" s="12"/>
      <c r="EC242" s="12"/>
      <c r="ED242" s="12"/>
    </row>
    <row r="243" spans="1:134" ht="12.5" x14ac:dyDescent="0.25">
      <c r="A243" s="46"/>
      <c r="B243" s="46"/>
      <c r="C243" s="46"/>
      <c r="D243" s="46"/>
      <c r="E243" s="15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46"/>
      <c r="BA243" s="46"/>
      <c r="BB243" s="46"/>
      <c r="BC243" s="46"/>
      <c r="BD243" s="46"/>
      <c r="BE243" s="46"/>
      <c r="BF243" s="12"/>
      <c r="BG243" s="12"/>
      <c r="BH243" s="12"/>
      <c r="BI243" s="46"/>
      <c r="BJ243" s="46"/>
      <c r="BK243" s="46"/>
      <c r="BL243" s="46"/>
      <c r="BM243" s="46"/>
      <c r="BN243" s="46"/>
      <c r="BO243" s="46"/>
      <c r="BP243" s="46"/>
      <c r="BQ243" s="157"/>
      <c r="BR243" s="156"/>
      <c r="BS243" s="46"/>
      <c r="BT243" s="46"/>
      <c r="BU243" s="12"/>
      <c r="BV243" s="12"/>
      <c r="BW243" s="12"/>
      <c r="BX243" s="12"/>
      <c r="BY243" s="12"/>
      <c r="BZ243" s="12"/>
      <c r="CA243" s="12"/>
      <c r="CB243" s="12"/>
      <c r="CC243" s="12"/>
      <c r="CD243" s="12"/>
      <c r="CE243" s="12"/>
      <c r="CF243" s="12"/>
      <c r="CG243" s="12"/>
      <c r="CH243" s="12"/>
      <c r="CI243" s="12"/>
      <c r="CJ243" s="12"/>
      <c r="CK243" s="12"/>
      <c r="CL243" s="2"/>
      <c r="CM243" s="12"/>
      <c r="CN243" s="12"/>
      <c r="CO243" s="12"/>
      <c r="CP243" s="12"/>
      <c r="CQ243" s="12"/>
      <c r="CR243" s="46"/>
      <c r="CS243" s="46"/>
      <c r="CT243" s="2"/>
      <c r="CU243" s="2"/>
      <c r="CV243" s="49"/>
      <c r="CW243" s="49"/>
      <c r="CX243" s="2"/>
      <c r="CY243" s="2"/>
      <c r="CZ243" s="160"/>
      <c r="DA243" s="12"/>
      <c r="DB243" s="12"/>
      <c r="DC243" s="12"/>
      <c r="DD243" s="12"/>
      <c r="DE243" s="12"/>
      <c r="DF243" s="12"/>
      <c r="DG243" s="12"/>
      <c r="DH243" s="12"/>
      <c r="DI243" s="46"/>
      <c r="DJ243" s="48"/>
      <c r="DK243" s="48"/>
      <c r="DL243" s="48"/>
      <c r="DM243" s="13"/>
      <c r="DN243" s="13"/>
      <c r="DO243" s="12"/>
      <c r="DP243" s="12"/>
      <c r="DQ243" s="12"/>
      <c r="DR243" s="12"/>
      <c r="DS243" s="12"/>
      <c r="DT243" s="12"/>
      <c r="DU243" s="12"/>
      <c r="DV243" s="12"/>
      <c r="DW243" s="12"/>
      <c r="DX243" s="12"/>
      <c r="DY243" s="12"/>
      <c r="DZ243" s="12"/>
      <c r="EA243" s="12"/>
      <c r="EB243" s="12"/>
      <c r="EC243" s="12"/>
      <c r="ED243" s="12"/>
    </row>
    <row r="244" spans="1:134" ht="12.5" x14ac:dyDescent="0.25">
      <c r="A244" s="46"/>
      <c r="B244" s="46"/>
      <c r="C244" s="46"/>
      <c r="D244" s="46"/>
      <c r="E244" s="15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46"/>
      <c r="BA244" s="46"/>
      <c r="BB244" s="46"/>
      <c r="BC244" s="46"/>
      <c r="BD244" s="46"/>
      <c r="BE244" s="46"/>
      <c r="BF244" s="12"/>
      <c r="BG244" s="12"/>
      <c r="BH244" s="12"/>
      <c r="BI244" s="46"/>
      <c r="BJ244" s="46"/>
      <c r="BK244" s="46"/>
      <c r="BL244" s="46"/>
      <c r="BM244" s="46"/>
      <c r="BN244" s="46"/>
      <c r="BO244" s="46"/>
      <c r="BP244" s="46"/>
      <c r="BQ244" s="157"/>
      <c r="BR244" s="156"/>
      <c r="BS244" s="46"/>
      <c r="BT244" s="46"/>
      <c r="BU244" s="12"/>
      <c r="BV244" s="12"/>
      <c r="BW244" s="12"/>
      <c r="BX244" s="12"/>
      <c r="BY244" s="12"/>
      <c r="BZ244" s="12"/>
      <c r="CA244" s="12"/>
      <c r="CB244" s="12"/>
      <c r="CC244" s="12"/>
      <c r="CD244" s="12"/>
      <c r="CE244" s="12"/>
      <c r="CF244" s="12"/>
      <c r="CG244" s="12"/>
      <c r="CH244" s="12"/>
      <c r="CI244" s="12"/>
      <c r="CJ244" s="12"/>
      <c r="CK244" s="12"/>
      <c r="CL244" s="2"/>
      <c r="CM244" s="12"/>
      <c r="CN244" s="12"/>
      <c r="CO244" s="12"/>
      <c r="CP244" s="12"/>
      <c r="CQ244" s="12"/>
      <c r="CR244" s="46"/>
      <c r="CS244" s="46"/>
      <c r="CT244" s="2"/>
      <c r="CU244" s="2"/>
      <c r="CV244" s="49"/>
      <c r="CW244" s="49"/>
      <c r="CX244" s="2"/>
      <c r="CY244" s="2"/>
      <c r="CZ244" s="160"/>
      <c r="DA244" s="12"/>
      <c r="DB244" s="12"/>
      <c r="DC244" s="12"/>
      <c r="DD244" s="12"/>
      <c r="DE244" s="12"/>
      <c r="DF244" s="12"/>
      <c r="DG244" s="12"/>
      <c r="DH244" s="12"/>
      <c r="DI244" s="46"/>
      <c r="DJ244" s="48"/>
      <c r="DK244" s="48"/>
      <c r="DL244" s="48"/>
      <c r="DM244" s="13"/>
      <c r="DN244" s="13"/>
      <c r="DO244" s="12"/>
      <c r="DP244" s="12"/>
      <c r="DQ244" s="12"/>
      <c r="DR244" s="12"/>
      <c r="DS244" s="12"/>
      <c r="DT244" s="12"/>
      <c r="DU244" s="12"/>
      <c r="DV244" s="12"/>
      <c r="DW244" s="12"/>
      <c r="DX244" s="12"/>
      <c r="DY244" s="12"/>
      <c r="DZ244" s="12"/>
      <c r="EA244" s="12"/>
      <c r="EB244" s="12"/>
      <c r="EC244" s="12"/>
      <c r="ED244" s="12"/>
    </row>
    <row r="245" spans="1:134" ht="12.5" x14ac:dyDescent="0.25">
      <c r="A245" s="46"/>
      <c r="B245" s="46"/>
      <c r="C245" s="46"/>
      <c r="D245" s="46"/>
      <c r="E245" s="15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46"/>
      <c r="BA245" s="46"/>
      <c r="BB245" s="46"/>
      <c r="BC245" s="46"/>
      <c r="BD245" s="46"/>
      <c r="BE245" s="46"/>
      <c r="BF245" s="12"/>
      <c r="BG245" s="12"/>
      <c r="BH245" s="12"/>
      <c r="BI245" s="46"/>
      <c r="BJ245" s="46"/>
      <c r="BK245" s="46"/>
      <c r="BL245" s="46"/>
      <c r="BM245" s="46"/>
      <c r="BN245" s="46"/>
      <c r="BO245" s="46"/>
      <c r="BP245" s="46"/>
      <c r="BQ245" s="157"/>
      <c r="BR245" s="156"/>
      <c r="BS245" s="46"/>
      <c r="BT245" s="46"/>
      <c r="BU245" s="12"/>
      <c r="BV245" s="12"/>
      <c r="BW245" s="12"/>
      <c r="BX245" s="12"/>
      <c r="BY245" s="12"/>
      <c r="BZ245" s="12"/>
      <c r="CA245" s="12"/>
      <c r="CB245" s="12"/>
      <c r="CC245" s="12"/>
      <c r="CD245" s="12"/>
      <c r="CE245" s="12"/>
      <c r="CF245" s="12"/>
      <c r="CG245" s="12"/>
      <c r="CH245" s="12"/>
      <c r="CI245" s="12"/>
      <c r="CJ245" s="12"/>
      <c r="CK245" s="12"/>
      <c r="CL245" s="2"/>
      <c r="CM245" s="12"/>
      <c r="CN245" s="12"/>
      <c r="CO245" s="12"/>
      <c r="CP245" s="12"/>
      <c r="CQ245" s="12"/>
      <c r="CR245" s="46"/>
      <c r="CS245" s="46"/>
      <c r="CT245" s="2"/>
      <c r="CU245" s="2"/>
      <c r="CV245" s="49"/>
      <c r="CW245" s="49"/>
      <c r="CX245" s="2"/>
      <c r="CY245" s="2"/>
      <c r="CZ245" s="160"/>
      <c r="DA245" s="12"/>
      <c r="DB245" s="12"/>
      <c r="DC245" s="12"/>
      <c r="DD245" s="12"/>
      <c r="DE245" s="12"/>
      <c r="DF245" s="12"/>
      <c r="DG245" s="12"/>
      <c r="DH245" s="12"/>
      <c r="DI245" s="46"/>
      <c r="DJ245" s="48"/>
      <c r="DK245" s="48"/>
      <c r="DL245" s="48"/>
      <c r="DM245" s="13"/>
      <c r="DN245" s="13"/>
      <c r="DO245" s="12"/>
      <c r="DP245" s="12"/>
      <c r="DQ245" s="12"/>
      <c r="DR245" s="12"/>
      <c r="DS245" s="12"/>
      <c r="DT245" s="12"/>
      <c r="DU245" s="12"/>
      <c r="DV245" s="12"/>
      <c r="DW245" s="12"/>
      <c r="DX245" s="12"/>
      <c r="DY245" s="12"/>
      <c r="DZ245" s="12"/>
      <c r="EA245" s="12"/>
      <c r="EB245" s="12"/>
      <c r="EC245" s="12"/>
      <c r="ED245" s="12"/>
    </row>
    <row r="246" spans="1:134" ht="12.5" x14ac:dyDescent="0.25">
      <c r="A246" s="46"/>
      <c r="B246" s="46"/>
      <c r="C246" s="46"/>
      <c r="D246" s="46"/>
      <c r="E246" s="15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46"/>
      <c r="BA246" s="46"/>
      <c r="BB246" s="46"/>
      <c r="BC246" s="46"/>
      <c r="BD246" s="46"/>
      <c r="BE246" s="46"/>
      <c r="BF246" s="12"/>
      <c r="BG246" s="12"/>
      <c r="BH246" s="12"/>
      <c r="BI246" s="46"/>
      <c r="BJ246" s="46"/>
      <c r="BK246" s="46"/>
      <c r="BL246" s="46"/>
      <c r="BM246" s="46"/>
      <c r="BN246" s="46"/>
      <c r="BO246" s="46"/>
      <c r="BP246" s="46"/>
      <c r="BQ246" s="157"/>
      <c r="BR246" s="156"/>
      <c r="BS246" s="46"/>
      <c r="BT246" s="46"/>
      <c r="BU246" s="12"/>
      <c r="BV246" s="12"/>
      <c r="BW246" s="12"/>
      <c r="BX246" s="12"/>
      <c r="BY246" s="12"/>
      <c r="BZ246" s="12"/>
      <c r="CA246" s="12"/>
      <c r="CB246" s="12"/>
      <c r="CC246" s="12"/>
      <c r="CD246" s="12"/>
      <c r="CE246" s="12"/>
      <c r="CF246" s="12"/>
      <c r="CG246" s="12"/>
      <c r="CH246" s="12"/>
      <c r="CI246" s="12"/>
      <c r="CJ246" s="12"/>
      <c r="CK246" s="12"/>
      <c r="CL246" s="2"/>
      <c r="CM246" s="12"/>
      <c r="CN246" s="12"/>
      <c r="CO246" s="12"/>
      <c r="CP246" s="12"/>
      <c r="CQ246" s="12"/>
      <c r="CR246" s="46"/>
      <c r="CS246" s="46"/>
      <c r="CT246" s="2"/>
      <c r="CU246" s="2"/>
      <c r="CV246" s="49"/>
      <c r="CW246" s="49"/>
      <c r="CX246" s="2"/>
      <c r="CY246" s="2"/>
      <c r="CZ246" s="160"/>
      <c r="DA246" s="12"/>
      <c r="DB246" s="12"/>
      <c r="DC246" s="12"/>
      <c r="DD246" s="12"/>
      <c r="DE246" s="12"/>
      <c r="DF246" s="12"/>
      <c r="DG246" s="12"/>
      <c r="DH246" s="12"/>
      <c r="DI246" s="46"/>
      <c r="DJ246" s="48"/>
      <c r="DK246" s="48"/>
      <c r="DL246" s="48"/>
      <c r="DM246" s="13"/>
      <c r="DN246" s="13"/>
      <c r="DO246" s="12"/>
      <c r="DP246" s="12"/>
      <c r="DQ246" s="12"/>
      <c r="DR246" s="12"/>
      <c r="DS246" s="12"/>
      <c r="DT246" s="12"/>
      <c r="DU246" s="12"/>
      <c r="DV246" s="12"/>
      <c r="DW246" s="12"/>
      <c r="DX246" s="12"/>
      <c r="DY246" s="12"/>
      <c r="DZ246" s="12"/>
      <c r="EA246" s="12"/>
      <c r="EB246" s="12"/>
      <c r="EC246" s="12"/>
      <c r="ED246" s="12"/>
    </row>
    <row r="247" spans="1:134" ht="12.5" x14ac:dyDescent="0.25">
      <c r="A247" s="46"/>
      <c r="B247" s="46"/>
      <c r="C247" s="46"/>
      <c r="D247" s="46"/>
      <c r="E247" s="15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46"/>
      <c r="BA247" s="46"/>
      <c r="BB247" s="46"/>
      <c r="BC247" s="46"/>
      <c r="BD247" s="46"/>
      <c r="BE247" s="46"/>
      <c r="BF247" s="12"/>
      <c r="BG247" s="12"/>
      <c r="BH247" s="12"/>
      <c r="BI247" s="46"/>
      <c r="BJ247" s="46"/>
      <c r="BK247" s="46"/>
      <c r="BL247" s="46"/>
      <c r="BM247" s="46"/>
      <c r="BN247" s="46"/>
      <c r="BO247" s="46"/>
      <c r="BP247" s="46"/>
      <c r="BQ247" s="157"/>
      <c r="BR247" s="156"/>
      <c r="BS247" s="46"/>
      <c r="BT247" s="46"/>
      <c r="BU247" s="12"/>
      <c r="BV247" s="12"/>
      <c r="BW247" s="12"/>
      <c r="BX247" s="12"/>
      <c r="BY247" s="12"/>
      <c r="BZ247" s="12"/>
      <c r="CA247" s="12"/>
      <c r="CB247" s="12"/>
      <c r="CC247" s="12"/>
      <c r="CD247" s="12"/>
      <c r="CE247" s="12"/>
      <c r="CF247" s="12"/>
      <c r="CG247" s="12"/>
      <c r="CH247" s="12"/>
      <c r="CI247" s="12"/>
      <c r="CJ247" s="12"/>
      <c r="CK247" s="12"/>
      <c r="CL247" s="2"/>
      <c r="CM247" s="12"/>
      <c r="CN247" s="12"/>
      <c r="CO247" s="12"/>
      <c r="CP247" s="12"/>
      <c r="CQ247" s="12"/>
      <c r="CR247" s="46"/>
      <c r="CS247" s="46"/>
      <c r="CT247" s="2"/>
      <c r="CU247" s="2"/>
      <c r="CV247" s="49"/>
      <c r="CW247" s="49"/>
      <c r="CX247" s="2"/>
      <c r="CY247" s="2"/>
      <c r="CZ247" s="160"/>
      <c r="DA247" s="12"/>
      <c r="DB247" s="12"/>
      <c r="DC247" s="12"/>
      <c r="DD247" s="12"/>
      <c r="DE247" s="12"/>
      <c r="DF247" s="12"/>
      <c r="DG247" s="12"/>
      <c r="DH247" s="12"/>
      <c r="DI247" s="46"/>
      <c r="DJ247" s="48"/>
      <c r="DK247" s="48"/>
      <c r="DL247" s="48"/>
      <c r="DM247" s="13"/>
      <c r="DN247" s="13"/>
      <c r="DO247" s="12"/>
      <c r="DP247" s="12"/>
      <c r="DQ247" s="12"/>
      <c r="DR247" s="12"/>
      <c r="DS247" s="12"/>
      <c r="DT247" s="12"/>
      <c r="DU247" s="12"/>
      <c r="DV247" s="12"/>
      <c r="DW247" s="12"/>
      <c r="DX247" s="12"/>
      <c r="DY247" s="12"/>
      <c r="DZ247" s="12"/>
      <c r="EA247" s="12"/>
      <c r="EB247" s="12"/>
      <c r="EC247" s="12"/>
      <c r="ED247" s="12"/>
    </row>
    <row r="248" spans="1:134" ht="12.5" x14ac:dyDescent="0.25">
      <c r="A248" s="46"/>
      <c r="B248" s="46"/>
      <c r="C248" s="46"/>
      <c r="D248" s="46"/>
      <c r="E248" s="15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46"/>
      <c r="BA248" s="46"/>
      <c r="BB248" s="46"/>
      <c r="BC248" s="46"/>
      <c r="BD248" s="46"/>
      <c r="BE248" s="46"/>
      <c r="BF248" s="12"/>
      <c r="BG248" s="12"/>
      <c r="BH248" s="12"/>
      <c r="BI248" s="46"/>
      <c r="BJ248" s="46"/>
      <c r="BK248" s="46"/>
      <c r="BL248" s="46"/>
      <c r="BM248" s="46"/>
      <c r="BN248" s="46"/>
      <c r="BO248" s="46"/>
      <c r="BP248" s="46"/>
      <c r="BQ248" s="157"/>
      <c r="BR248" s="156"/>
      <c r="BS248" s="46"/>
      <c r="BT248" s="46"/>
      <c r="BU248" s="12"/>
      <c r="BV248" s="12"/>
      <c r="BW248" s="12"/>
      <c r="BX248" s="12"/>
      <c r="BY248" s="12"/>
      <c r="BZ248" s="12"/>
      <c r="CA248" s="12"/>
      <c r="CB248" s="12"/>
      <c r="CC248" s="12"/>
      <c r="CD248" s="12"/>
      <c r="CE248" s="12"/>
      <c r="CF248" s="12"/>
      <c r="CG248" s="12"/>
      <c r="CH248" s="12"/>
      <c r="CI248" s="12"/>
      <c r="CJ248" s="12"/>
      <c r="CK248" s="12"/>
      <c r="CL248" s="2"/>
      <c r="CM248" s="12"/>
      <c r="CN248" s="12"/>
      <c r="CO248" s="12"/>
      <c r="CP248" s="12"/>
      <c r="CQ248" s="12"/>
      <c r="CR248" s="46"/>
      <c r="CS248" s="46"/>
      <c r="CT248" s="2"/>
      <c r="CU248" s="2"/>
      <c r="CV248" s="49"/>
      <c r="CW248" s="49"/>
      <c r="CX248" s="2"/>
      <c r="CY248" s="2"/>
      <c r="CZ248" s="160"/>
      <c r="DA248" s="12"/>
      <c r="DB248" s="12"/>
      <c r="DC248" s="12"/>
      <c r="DD248" s="12"/>
      <c r="DE248" s="12"/>
      <c r="DF248" s="12"/>
      <c r="DG248" s="12"/>
      <c r="DH248" s="12"/>
      <c r="DI248" s="46"/>
      <c r="DJ248" s="48"/>
      <c r="DK248" s="48"/>
      <c r="DL248" s="48"/>
      <c r="DM248" s="13"/>
      <c r="DN248" s="13"/>
      <c r="DO248" s="12"/>
      <c r="DP248" s="12"/>
      <c r="DQ248" s="12"/>
      <c r="DR248" s="12"/>
      <c r="DS248" s="12"/>
      <c r="DT248" s="12"/>
      <c r="DU248" s="12"/>
      <c r="DV248" s="12"/>
      <c r="DW248" s="12"/>
      <c r="DX248" s="12"/>
      <c r="DY248" s="12"/>
      <c r="DZ248" s="12"/>
      <c r="EA248" s="12"/>
      <c r="EB248" s="12"/>
      <c r="EC248" s="12"/>
      <c r="ED248" s="12"/>
    </row>
    <row r="249" spans="1:134" ht="12.5" x14ac:dyDescent="0.25">
      <c r="A249" s="46"/>
      <c r="B249" s="46"/>
      <c r="C249" s="46"/>
      <c r="D249" s="46"/>
      <c r="E249" s="15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46"/>
      <c r="BA249" s="46"/>
      <c r="BB249" s="46"/>
      <c r="BC249" s="46"/>
      <c r="BD249" s="46"/>
      <c r="BE249" s="46"/>
      <c r="BF249" s="12"/>
      <c r="BG249" s="12"/>
      <c r="BH249" s="12"/>
      <c r="BI249" s="46"/>
      <c r="BJ249" s="46"/>
      <c r="BK249" s="46"/>
      <c r="BL249" s="46"/>
      <c r="BM249" s="46"/>
      <c r="BN249" s="46"/>
      <c r="BO249" s="46"/>
      <c r="BP249" s="46"/>
      <c r="BQ249" s="157"/>
      <c r="BR249" s="156"/>
      <c r="BS249" s="46"/>
      <c r="BT249" s="46"/>
      <c r="BU249" s="12"/>
      <c r="BV249" s="12"/>
      <c r="BW249" s="12"/>
      <c r="BX249" s="12"/>
      <c r="BY249" s="12"/>
      <c r="BZ249" s="12"/>
      <c r="CA249" s="12"/>
      <c r="CB249" s="12"/>
      <c r="CC249" s="12"/>
      <c r="CD249" s="12"/>
      <c r="CE249" s="12"/>
      <c r="CF249" s="12"/>
      <c r="CG249" s="12"/>
      <c r="CH249" s="12"/>
      <c r="CI249" s="12"/>
      <c r="CJ249" s="12"/>
      <c r="CK249" s="12"/>
      <c r="CL249" s="2"/>
      <c r="CM249" s="12"/>
      <c r="CN249" s="12"/>
      <c r="CO249" s="12"/>
      <c r="CP249" s="12"/>
      <c r="CQ249" s="12"/>
      <c r="CR249" s="46"/>
      <c r="CS249" s="46"/>
      <c r="CT249" s="2"/>
      <c r="CU249" s="2"/>
      <c r="CV249" s="49"/>
      <c r="CW249" s="49"/>
      <c r="CX249" s="2"/>
      <c r="CY249" s="2"/>
      <c r="CZ249" s="160"/>
      <c r="DA249" s="12"/>
      <c r="DB249" s="12"/>
      <c r="DC249" s="12"/>
      <c r="DD249" s="12"/>
      <c r="DE249" s="12"/>
      <c r="DF249" s="12"/>
      <c r="DG249" s="12"/>
      <c r="DH249" s="12"/>
      <c r="DI249" s="46"/>
      <c r="DJ249" s="48"/>
      <c r="DK249" s="48"/>
      <c r="DL249" s="48"/>
      <c r="DM249" s="13"/>
      <c r="DN249" s="13"/>
      <c r="DO249" s="12"/>
      <c r="DP249" s="12"/>
      <c r="DQ249" s="12"/>
      <c r="DR249" s="12"/>
      <c r="DS249" s="12"/>
      <c r="DT249" s="12"/>
      <c r="DU249" s="12"/>
      <c r="DV249" s="12"/>
      <c r="DW249" s="12"/>
      <c r="DX249" s="12"/>
      <c r="DY249" s="12"/>
      <c r="DZ249" s="12"/>
      <c r="EA249" s="12"/>
      <c r="EB249" s="12"/>
      <c r="EC249" s="12"/>
      <c r="ED249" s="12"/>
    </row>
    <row r="250" spans="1:134" ht="12.5" x14ac:dyDescent="0.25">
      <c r="A250" s="46"/>
      <c r="B250" s="46"/>
      <c r="C250" s="46"/>
      <c r="D250" s="46"/>
      <c r="E250" s="15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46"/>
      <c r="BA250" s="46"/>
      <c r="BB250" s="46"/>
      <c r="BC250" s="46"/>
      <c r="BD250" s="46"/>
      <c r="BE250" s="46"/>
      <c r="BF250" s="12"/>
      <c r="BG250" s="12"/>
      <c r="BH250" s="12"/>
      <c r="BI250" s="46"/>
      <c r="BJ250" s="46"/>
      <c r="BK250" s="46"/>
      <c r="BL250" s="46"/>
      <c r="BM250" s="46"/>
      <c r="BN250" s="46"/>
      <c r="BO250" s="46"/>
      <c r="BP250" s="46"/>
      <c r="BQ250" s="157"/>
      <c r="BR250" s="156"/>
      <c r="BS250" s="46"/>
      <c r="BT250" s="46"/>
      <c r="BU250" s="12"/>
      <c r="BV250" s="12"/>
      <c r="BW250" s="12"/>
      <c r="BX250" s="12"/>
      <c r="BY250" s="12"/>
      <c r="BZ250" s="12"/>
      <c r="CA250" s="12"/>
      <c r="CB250" s="12"/>
      <c r="CC250" s="12"/>
      <c r="CD250" s="12"/>
      <c r="CE250" s="12"/>
      <c r="CF250" s="12"/>
      <c r="CG250" s="12"/>
      <c r="CH250" s="12"/>
      <c r="CI250" s="12"/>
      <c r="CJ250" s="12"/>
      <c r="CK250" s="12"/>
      <c r="CL250" s="2"/>
      <c r="CM250" s="12"/>
      <c r="CN250" s="12"/>
      <c r="CO250" s="12"/>
      <c r="CP250" s="12"/>
      <c r="CQ250" s="12"/>
      <c r="CR250" s="46"/>
      <c r="CS250" s="46"/>
      <c r="CT250" s="2"/>
      <c r="CU250" s="2"/>
      <c r="CV250" s="49"/>
      <c r="CW250" s="49"/>
      <c r="CX250" s="2"/>
      <c r="CY250" s="2"/>
      <c r="CZ250" s="160"/>
      <c r="DA250" s="12"/>
      <c r="DB250" s="12"/>
      <c r="DC250" s="12"/>
      <c r="DD250" s="12"/>
      <c r="DE250" s="12"/>
      <c r="DF250" s="12"/>
      <c r="DG250" s="12"/>
      <c r="DH250" s="12"/>
      <c r="DI250" s="46"/>
      <c r="DJ250" s="48"/>
      <c r="DK250" s="48"/>
      <c r="DL250" s="48"/>
      <c r="DM250" s="13"/>
      <c r="DN250" s="13"/>
      <c r="DO250" s="12"/>
      <c r="DP250" s="12"/>
      <c r="DQ250" s="12"/>
      <c r="DR250" s="12"/>
      <c r="DS250" s="12"/>
      <c r="DT250" s="12"/>
      <c r="DU250" s="12"/>
      <c r="DV250" s="12"/>
      <c r="DW250" s="12"/>
      <c r="DX250" s="12"/>
      <c r="DY250" s="12"/>
      <c r="DZ250" s="12"/>
      <c r="EA250" s="12"/>
      <c r="EB250" s="12"/>
      <c r="EC250" s="12"/>
      <c r="ED250" s="12"/>
    </row>
    <row r="251" spans="1:134" ht="12.5" x14ac:dyDescent="0.25">
      <c r="A251" s="46"/>
      <c r="B251" s="46"/>
      <c r="C251" s="46"/>
      <c r="D251" s="46"/>
      <c r="E251" s="15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46"/>
      <c r="BA251" s="46"/>
      <c r="BB251" s="46"/>
      <c r="BC251" s="46"/>
      <c r="BD251" s="46"/>
      <c r="BE251" s="46"/>
      <c r="BF251" s="12"/>
      <c r="BG251" s="12"/>
      <c r="BH251" s="12"/>
      <c r="BI251" s="46"/>
      <c r="BJ251" s="46"/>
      <c r="BK251" s="46"/>
      <c r="BL251" s="46"/>
      <c r="BM251" s="46"/>
      <c r="BN251" s="46"/>
      <c r="BO251" s="46"/>
      <c r="BP251" s="46"/>
      <c r="BQ251" s="157"/>
      <c r="BR251" s="156"/>
      <c r="BS251" s="46"/>
      <c r="BT251" s="46"/>
      <c r="BU251" s="12"/>
      <c r="BV251" s="12"/>
      <c r="BW251" s="12"/>
      <c r="BX251" s="12"/>
      <c r="BY251" s="12"/>
      <c r="BZ251" s="12"/>
      <c r="CA251" s="12"/>
      <c r="CB251" s="12"/>
      <c r="CC251" s="12"/>
      <c r="CD251" s="12"/>
      <c r="CE251" s="12"/>
      <c r="CF251" s="12"/>
      <c r="CG251" s="12"/>
      <c r="CH251" s="12"/>
      <c r="CI251" s="12"/>
      <c r="CJ251" s="12"/>
      <c r="CK251" s="12"/>
      <c r="CL251" s="2"/>
      <c r="CM251" s="12"/>
      <c r="CN251" s="12"/>
      <c r="CO251" s="12"/>
      <c r="CP251" s="12"/>
      <c r="CQ251" s="12"/>
      <c r="CR251" s="46"/>
      <c r="CS251" s="46"/>
      <c r="CT251" s="2"/>
      <c r="CU251" s="2"/>
      <c r="CV251" s="49"/>
      <c r="CW251" s="49"/>
      <c r="CX251" s="2"/>
      <c r="CY251" s="2"/>
      <c r="CZ251" s="160"/>
      <c r="DA251" s="12"/>
      <c r="DB251" s="12"/>
      <c r="DC251" s="12"/>
      <c r="DD251" s="12"/>
      <c r="DE251" s="12"/>
      <c r="DF251" s="12"/>
      <c r="DG251" s="12"/>
      <c r="DH251" s="12"/>
      <c r="DI251" s="46"/>
      <c r="DJ251" s="48"/>
      <c r="DK251" s="48"/>
      <c r="DL251" s="48"/>
      <c r="DM251" s="13"/>
      <c r="DN251" s="13"/>
      <c r="DO251" s="12"/>
      <c r="DP251" s="12"/>
      <c r="DQ251" s="12"/>
      <c r="DR251" s="12"/>
      <c r="DS251" s="12"/>
      <c r="DT251" s="12"/>
      <c r="DU251" s="12"/>
      <c r="DV251" s="12"/>
      <c r="DW251" s="12"/>
      <c r="DX251" s="12"/>
      <c r="DY251" s="12"/>
      <c r="DZ251" s="12"/>
      <c r="EA251" s="12"/>
      <c r="EB251" s="12"/>
      <c r="EC251" s="12"/>
      <c r="ED251" s="12"/>
    </row>
    <row r="252" spans="1:134" ht="12.5" x14ac:dyDescent="0.25">
      <c r="A252" s="46"/>
      <c r="B252" s="46"/>
      <c r="C252" s="46"/>
      <c r="D252" s="46"/>
      <c r="E252" s="15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46"/>
      <c r="BA252" s="46"/>
      <c r="BB252" s="46"/>
      <c r="BC252" s="46"/>
      <c r="BD252" s="46"/>
      <c r="BE252" s="46"/>
      <c r="BF252" s="12"/>
      <c r="BG252" s="12"/>
      <c r="BH252" s="12"/>
      <c r="BI252" s="46"/>
      <c r="BJ252" s="46"/>
      <c r="BK252" s="46"/>
      <c r="BL252" s="46"/>
      <c r="BM252" s="46"/>
      <c r="BN252" s="46"/>
      <c r="BO252" s="46"/>
      <c r="BP252" s="46"/>
      <c r="BQ252" s="157"/>
      <c r="BR252" s="156"/>
      <c r="BS252" s="46"/>
      <c r="BT252" s="46"/>
      <c r="BU252" s="12"/>
      <c r="BV252" s="12"/>
      <c r="BW252" s="12"/>
      <c r="BX252" s="12"/>
      <c r="BY252" s="12"/>
      <c r="BZ252" s="12"/>
      <c r="CA252" s="12"/>
      <c r="CB252" s="12"/>
      <c r="CC252" s="12"/>
      <c r="CD252" s="12"/>
      <c r="CE252" s="12"/>
      <c r="CF252" s="12"/>
      <c r="CG252" s="12"/>
      <c r="CH252" s="12"/>
      <c r="CI252" s="12"/>
      <c r="CJ252" s="12"/>
      <c r="CK252" s="12"/>
      <c r="CL252" s="2"/>
      <c r="CM252" s="12"/>
      <c r="CN252" s="12"/>
      <c r="CO252" s="12"/>
      <c r="CP252" s="12"/>
      <c r="CQ252" s="12"/>
      <c r="CR252" s="46"/>
      <c r="CS252" s="46"/>
      <c r="CT252" s="2"/>
      <c r="CU252" s="2"/>
      <c r="CV252" s="49"/>
      <c r="CW252" s="49"/>
      <c r="CX252" s="2"/>
      <c r="CY252" s="2"/>
      <c r="CZ252" s="160"/>
      <c r="DA252" s="12"/>
      <c r="DB252" s="12"/>
      <c r="DC252" s="12"/>
      <c r="DD252" s="12"/>
      <c r="DE252" s="12"/>
      <c r="DF252" s="12"/>
      <c r="DG252" s="12"/>
      <c r="DH252" s="12"/>
      <c r="DI252" s="46"/>
      <c r="DJ252" s="48"/>
      <c r="DK252" s="48"/>
      <c r="DL252" s="48"/>
      <c r="DM252" s="13"/>
      <c r="DN252" s="13"/>
      <c r="DO252" s="12"/>
      <c r="DP252" s="12"/>
      <c r="DQ252" s="12"/>
      <c r="DR252" s="12"/>
      <c r="DS252" s="12"/>
      <c r="DT252" s="12"/>
      <c r="DU252" s="12"/>
      <c r="DV252" s="12"/>
      <c r="DW252" s="12"/>
      <c r="DX252" s="12"/>
      <c r="DY252" s="12"/>
      <c r="DZ252" s="12"/>
      <c r="EA252" s="12"/>
      <c r="EB252" s="12"/>
      <c r="EC252" s="12"/>
      <c r="ED252" s="12"/>
    </row>
    <row r="253" spans="1:134" ht="12.5" x14ac:dyDescent="0.25">
      <c r="A253" s="46"/>
      <c r="B253" s="46"/>
      <c r="C253" s="46"/>
      <c r="D253" s="46"/>
      <c r="E253" s="15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46"/>
      <c r="BA253" s="46"/>
      <c r="BB253" s="46"/>
      <c r="BC253" s="46"/>
      <c r="BD253" s="46"/>
      <c r="BE253" s="46"/>
      <c r="BF253" s="12"/>
      <c r="BG253" s="12"/>
      <c r="BH253" s="12"/>
      <c r="BI253" s="46"/>
      <c r="BJ253" s="46"/>
      <c r="BK253" s="46"/>
      <c r="BL253" s="46"/>
      <c r="BM253" s="46"/>
      <c r="BN253" s="46"/>
      <c r="BO253" s="46"/>
      <c r="BP253" s="46"/>
      <c r="BQ253" s="157"/>
      <c r="BR253" s="156"/>
      <c r="BS253" s="46"/>
      <c r="BT253" s="46"/>
      <c r="BU253" s="12"/>
      <c r="BV253" s="12"/>
      <c r="BW253" s="12"/>
      <c r="BX253" s="12"/>
      <c r="BY253" s="12"/>
      <c r="BZ253" s="12"/>
      <c r="CA253" s="12"/>
      <c r="CB253" s="12"/>
      <c r="CC253" s="12"/>
      <c r="CD253" s="12"/>
      <c r="CE253" s="12"/>
      <c r="CF253" s="12"/>
      <c r="CG253" s="12"/>
      <c r="CH253" s="12"/>
      <c r="CI253" s="12"/>
      <c r="CJ253" s="12"/>
      <c r="CK253" s="12"/>
      <c r="CL253" s="2"/>
      <c r="CM253" s="2"/>
      <c r="CN253" s="12"/>
      <c r="CO253" s="12"/>
      <c r="CP253" s="12"/>
      <c r="CQ253" s="12"/>
      <c r="CR253" s="46"/>
      <c r="CS253" s="46"/>
      <c r="CT253" s="2"/>
      <c r="CU253" s="2"/>
      <c r="CV253" s="49"/>
      <c r="CW253" s="49"/>
      <c r="CX253" s="2"/>
      <c r="CY253" s="2"/>
      <c r="CZ253" s="160"/>
      <c r="DA253" s="12"/>
      <c r="DB253" s="12"/>
      <c r="DC253" s="12"/>
      <c r="DD253" s="12"/>
      <c r="DE253" s="12"/>
      <c r="DF253" s="12"/>
      <c r="DG253" s="12"/>
      <c r="DH253" s="12"/>
      <c r="DI253" s="46"/>
      <c r="DJ253" s="48"/>
      <c r="DK253" s="48"/>
      <c r="DL253" s="48"/>
      <c r="DM253" s="13"/>
      <c r="DN253" s="13"/>
      <c r="DO253" s="12"/>
      <c r="DP253" s="12"/>
      <c r="DQ253" s="12"/>
      <c r="DR253" s="12"/>
      <c r="DS253" s="12"/>
      <c r="DT253" s="12"/>
      <c r="DU253" s="12"/>
      <c r="DV253" s="12"/>
      <c r="DW253" s="12"/>
      <c r="DX253" s="12"/>
      <c r="DY253" s="12"/>
      <c r="DZ253" s="12"/>
      <c r="EA253" s="12"/>
      <c r="EB253" s="12"/>
      <c r="EC253" s="12"/>
      <c r="ED253" s="12"/>
    </row>
    <row r="254" spans="1:134" ht="12.5" x14ac:dyDescent="0.25">
      <c r="A254" s="46"/>
      <c r="B254" s="46"/>
      <c r="C254" s="46"/>
      <c r="D254" s="46"/>
      <c r="E254" s="15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46"/>
      <c r="BA254" s="46"/>
      <c r="BB254" s="46"/>
      <c r="BC254" s="46"/>
      <c r="BD254" s="46"/>
      <c r="BE254" s="46"/>
      <c r="BF254" s="12"/>
      <c r="BG254" s="12"/>
      <c r="BH254" s="12"/>
      <c r="BI254" s="46"/>
      <c r="BJ254" s="46"/>
      <c r="BK254" s="46"/>
      <c r="BL254" s="46"/>
      <c r="BM254" s="46"/>
      <c r="BN254" s="46"/>
      <c r="BO254" s="46"/>
      <c r="BP254" s="46"/>
      <c r="BQ254" s="157"/>
      <c r="BR254" s="156"/>
      <c r="BS254" s="46"/>
      <c r="BT254" s="46"/>
      <c r="BU254" s="12"/>
      <c r="BV254" s="12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2"/>
      <c r="CM254" s="2"/>
      <c r="CN254" s="12"/>
      <c r="CO254" s="12"/>
      <c r="CP254" s="12"/>
      <c r="CQ254" s="12"/>
      <c r="CR254" s="46"/>
      <c r="CS254" s="46"/>
      <c r="CT254" s="2"/>
      <c r="CU254" s="2"/>
      <c r="CV254" s="49"/>
      <c r="CW254" s="49"/>
      <c r="CX254" s="2"/>
      <c r="CY254" s="2"/>
      <c r="CZ254" s="160"/>
      <c r="DA254" s="12"/>
      <c r="DB254" s="12"/>
      <c r="DC254" s="12"/>
      <c r="DD254" s="12"/>
      <c r="DE254" s="12"/>
      <c r="DF254" s="12"/>
      <c r="DG254" s="12"/>
      <c r="DH254" s="12"/>
      <c r="DI254" s="46"/>
      <c r="DJ254" s="48"/>
      <c r="DK254" s="48"/>
      <c r="DL254" s="48"/>
      <c r="DM254" s="13"/>
      <c r="DN254" s="13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</row>
    <row r="255" spans="1:134" ht="12.5" x14ac:dyDescent="0.25">
      <c r="A255" s="46"/>
      <c r="B255" s="46"/>
      <c r="C255" s="46"/>
      <c r="D255" s="46"/>
      <c r="E255" s="15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46"/>
      <c r="BA255" s="46"/>
      <c r="BB255" s="46"/>
      <c r="BC255" s="46"/>
      <c r="BD255" s="46"/>
      <c r="BE255" s="46"/>
      <c r="BF255" s="12"/>
      <c r="BG255" s="12"/>
      <c r="BH255" s="12"/>
      <c r="BI255" s="46"/>
      <c r="BJ255" s="46"/>
      <c r="BK255" s="46"/>
      <c r="BL255" s="46"/>
      <c r="BM255" s="46"/>
      <c r="BN255" s="46"/>
      <c r="BO255" s="46"/>
      <c r="BP255" s="46"/>
      <c r="BQ255" s="157"/>
      <c r="BR255" s="156"/>
      <c r="BS255" s="46"/>
      <c r="BT255" s="46"/>
      <c r="BU255" s="12"/>
      <c r="BV255" s="12"/>
      <c r="BW255" s="12"/>
      <c r="BX255" s="12"/>
      <c r="BY255" s="12"/>
      <c r="BZ255" s="12"/>
      <c r="CA255" s="12"/>
      <c r="CB255" s="12"/>
      <c r="CC255" s="12"/>
      <c r="CD255" s="12"/>
      <c r="CE255" s="12"/>
      <c r="CF255" s="12"/>
      <c r="CG255" s="12"/>
      <c r="CH255" s="12"/>
      <c r="CI255" s="12"/>
      <c r="CJ255" s="12"/>
      <c r="CK255" s="12"/>
      <c r="CL255" s="2"/>
      <c r="CM255" s="2"/>
      <c r="CN255" s="12"/>
      <c r="CO255" s="12"/>
      <c r="CP255" s="12"/>
      <c r="CQ255" s="12"/>
      <c r="CR255" s="46"/>
      <c r="CS255" s="46"/>
      <c r="CT255" s="2"/>
      <c r="CU255" s="2"/>
      <c r="CV255" s="49"/>
      <c r="CW255" s="49"/>
      <c r="CX255" s="2"/>
      <c r="CY255" s="2"/>
      <c r="CZ255" s="160"/>
      <c r="DA255" s="12"/>
      <c r="DB255" s="12"/>
      <c r="DC255" s="12"/>
      <c r="DD255" s="12"/>
      <c r="DE255" s="12"/>
      <c r="DF255" s="12"/>
      <c r="DG255" s="12"/>
      <c r="DH255" s="12"/>
      <c r="DI255" s="46"/>
      <c r="DJ255" s="48"/>
      <c r="DK255" s="48"/>
      <c r="DL255" s="48"/>
      <c r="DM255" s="13"/>
      <c r="DN255" s="13"/>
      <c r="DO255" s="12"/>
      <c r="DP255" s="12"/>
      <c r="DQ255" s="12"/>
      <c r="DR255" s="12"/>
      <c r="DS255" s="12"/>
      <c r="DT255" s="12"/>
      <c r="DU255" s="12"/>
      <c r="DV255" s="12"/>
      <c r="DW255" s="12"/>
      <c r="DX255" s="12"/>
      <c r="DY255" s="12"/>
      <c r="DZ255" s="12"/>
      <c r="EA255" s="12"/>
      <c r="EB255" s="12"/>
      <c r="EC255" s="12"/>
      <c r="ED255" s="12"/>
    </row>
    <row r="256" spans="1:134" ht="12.5" x14ac:dyDescent="0.25">
      <c r="A256" s="46"/>
      <c r="B256" s="46"/>
      <c r="C256" s="46"/>
      <c r="D256" s="46"/>
      <c r="E256" s="15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46"/>
      <c r="BA256" s="46"/>
      <c r="BB256" s="46"/>
      <c r="BC256" s="46"/>
      <c r="BD256" s="46"/>
      <c r="BE256" s="46"/>
      <c r="BF256" s="12"/>
      <c r="BG256" s="12"/>
      <c r="BH256" s="12"/>
      <c r="BI256" s="46"/>
      <c r="BJ256" s="46"/>
      <c r="BK256" s="46"/>
      <c r="BL256" s="46"/>
      <c r="BM256" s="46"/>
      <c r="BN256" s="46"/>
      <c r="BO256" s="46"/>
      <c r="BP256" s="46"/>
      <c r="BQ256" s="157"/>
      <c r="BR256" s="156"/>
      <c r="BS256" s="46"/>
      <c r="BT256" s="46"/>
      <c r="BU256" s="12"/>
      <c r="BV256" s="12"/>
      <c r="BW256" s="12"/>
      <c r="BX256" s="12"/>
      <c r="BY256" s="12"/>
      <c r="BZ256" s="12"/>
      <c r="CA256" s="12"/>
      <c r="CB256" s="12"/>
      <c r="CC256" s="12"/>
      <c r="CD256" s="12"/>
      <c r="CE256" s="12"/>
      <c r="CF256" s="12"/>
      <c r="CG256" s="12"/>
      <c r="CH256" s="12"/>
      <c r="CI256" s="12"/>
      <c r="CJ256" s="12"/>
      <c r="CK256" s="12"/>
      <c r="CL256" s="2"/>
      <c r="CM256" s="2"/>
      <c r="CN256" s="12"/>
      <c r="CO256" s="12"/>
      <c r="CP256" s="12"/>
      <c r="CQ256" s="12"/>
      <c r="CR256" s="46"/>
      <c r="CS256" s="46"/>
      <c r="CT256" s="2"/>
      <c r="CU256" s="2"/>
      <c r="CV256" s="49"/>
      <c r="CW256" s="49"/>
      <c r="CX256" s="2"/>
      <c r="CY256" s="2"/>
      <c r="CZ256" s="160"/>
      <c r="DA256" s="12"/>
      <c r="DB256" s="12"/>
      <c r="DC256" s="12"/>
      <c r="DD256" s="12"/>
      <c r="DE256" s="12"/>
      <c r="DF256" s="12"/>
      <c r="DG256" s="12"/>
      <c r="DH256" s="12"/>
      <c r="DI256" s="46"/>
      <c r="DJ256" s="48"/>
      <c r="DK256" s="48"/>
      <c r="DL256" s="48"/>
      <c r="DM256" s="13"/>
      <c r="DN256" s="13"/>
      <c r="DO256" s="12"/>
      <c r="DP256" s="12"/>
      <c r="DQ256" s="12"/>
      <c r="DR256" s="12"/>
      <c r="DS256" s="12"/>
      <c r="DT256" s="12"/>
      <c r="DU256" s="12"/>
      <c r="DV256" s="12"/>
      <c r="DW256" s="12"/>
      <c r="DX256" s="12"/>
      <c r="DY256" s="12"/>
      <c r="DZ256" s="12"/>
      <c r="EA256" s="12"/>
      <c r="EB256" s="12"/>
      <c r="EC256" s="12"/>
      <c r="ED256" s="12"/>
    </row>
    <row r="257" spans="1:134" ht="12.5" x14ac:dyDescent="0.25">
      <c r="A257" s="46"/>
      <c r="B257" s="46"/>
      <c r="C257" s="46"/>
      <c r="D257" s="46"/>
      <c r="E257" s="15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46"/>
      <c r="BA257" s="46"/>
      <c r="BB257" s="46"/>
      <c r="BC257" s="46"/>
      <c r="BD257" s="46"/>
      <c r="BE257" s="46"/>
      <c r="BF257" s="12"/>
      <c r="BG257" s="12"/>
      <c r="BH257" s="12"/>
      <c r="BI257" s="46"/>
      <c r="BJ257" s="46"/>
      <c r="BK257" s="46"/>
      <c r="BL257" s="46"/>
      <c r="BM257" s="46"/>
      <c r="BN257" s="46"/>
      <c r="BO257" s="46"/>
      <c r="BP257" s="46"/>
      <c r="BQ257" s="157"/>
      <c r="BR257" s="156"/>
      <c r="BS257" s="46"/>
      <c r="BT257" s="46"/>
      <c r="BU257" s="12"/>
      <c r="BV257" s="12"/>
      <c r="BW257" s="12"/>
      <c r="BX257" s="12"/>
      <c r="BY257" s="12"/>
      <c r="BZ257" s="12"/>
      <c r="CA257" s="12"/>
      <c r="CB257" s="12"/>
      <c r="CC257" s="12"/>
      <c r="CD257" s="12"/>
      <c r="CE257" s="12"/>
      <c r="CF257" s="12"/>
      <c r="CG257" s="12"/>
      <c r="CH257" s="12"/>
      <c r="CI257" s="12"/>
      <c r="CJ257" s="12"/>
      <c r="CK257" s="12"/>
      <c r="CL257" s="2"/>
      <c r="CM257" s="12"/>
      <c r="CN257" s="12"/>
      <c r="CO257" s="12"/>
      <c r="CP257" s="12"/>
      <c r="CQ257" s="12"/>
      <c r="CR257" s="46"/>
      <c r="CS257" s="46"/>
      <c r="CT257" s="2"/>
      <c r="CU257" s="2"/>
      <c r="CV257" s="49"/>
      <c r="CW257" s="49"/>
      <c r="CX257" s="2"/>
      <c r="CY257" s="2"/>
      <c r="CZ257" s="160"/>
      <c r="DA257" s="12"/>
      <c r="DB257" s="12"/>
      <c r="DC257" s="12"/>
      <c r="DD257" s="12"/>
      <c r="DE257" s="12"/>
      <c r="DF257" s="12"/>
      <c r="DG257" s="12"/>
      <c r="DH257" s="12"/>
      <c r="DI257" s="46"/>
      <c r="DJ257" s="48"/>
      <c r="DK257" s="48"/>
      <c r="DL257" s="48"/>
      <c r="DM257" s="13"/>
      <c r="DN257" s="13"/>
      <c r="DO257" s="12"/>
      <c r="DP257" s="12"/>
      <c r="DQ257" s="12"/>
      <c r="DR257" s="12"/>
      <c r="DS257" s="12"/>
      <c r="DT257" s="12"/>
      <c r="DU257" s="12"/>
      <c r="DV257" s="12"/>
      <c r="DW257" s="12"/>
      <c r="DX257" s="12"/>
      <c r="DY257" s="12"/>
      <c r="DZ257" s="12"/>
      <c r="EA257" s="12"/>
      <c r="EB257" s="12"/>
      <c r="EC257" s="12"/>
      <c r="ED257" s="12"/>
    </row>
    <row r="258" spans="1:134" ht="12.5" x14ac:dyDescent="0.25">
      <c r="A258" s="46"/>
      <c r="B258" s="46"/>
      <c r="C258" s="46"/>
      <c r="D258" s="46"/>
      <c r="E258" s="15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46"/>
      <c r="BA258" s="46"/>
      <c r="BB258" s="46"/>
      <c r="BC258" s="46"/>
      <c r="BD258" s="46"/>
      <c r="BE258" s="46"/>
      <c r="BF258" s="12"/>
      <c r="BG258" s="12"/>
      <c r="BH258" s="12"/>
      <c r="BI258" s="46"/>
      <c r="BJ258" s="46"/>
      <c r="BK258" s="46"/>
      <c r="BL258" s="46"/>
      <c r="BM258" s="46"/>
      <c r="BN258" s="46"/>
      <c r="BO258" s="46"/>
      <c r="BP258" s="46"/>
      <c r="BQ258" s="157"/>
      <c r="BR258" s="156"/>
      <c r="BS258" s="46"/>
      <c r="BT258" s="46"/>
      <c r="BU258" s="12"/>
      <c r="BV258" s="12"/>
      <c r="BW258" s="12"/>
      <c r="BX258" s="12"/>
      <c r="BY258" s="12"/>
      <c r="BZ258" s="12"/>
      <c r="CA258" s="12"/>
      <c r="CB258" s="12"/>
      <c r="CC258" s="12"/>
      <c r="CD258" s="12"/>
      <c r="CE258" s="12"/>
      <c r="CF258" s="12"/>
      <c r="CG258" s="12"/>
      <c r="CH258" s="12"/>
      <c r="CI258" s="12"/>
      <c r="CJ258" s="12"/>
      <c r="CK258" s="12"/>
      <c r="CL258" s="2"/>
      <c r="CM258" s="12"/>
      <c r="CN258" s="12"/>
      <c r="CO258" s="12"/>
      <c r="CP258" s="12"/>
      <c r="CQ258" s="12"/>
      <c r="CR258" s="46"/>
      <c r="CS258" s="46"/>
      <c r="CT258" s="2"/>
      <c r="CU258" s="2"/>
      <c r="CV258" s="49"/>
      <c r="CW258" s="49"/>
      <c r="CX258" s="2"/>
      <c r="CY258" s="2"/>
      <c r="CZ258" s="160"/>
      <c r="DA258" s="12"/>
      <c r="DB258" s="12"/>
      <c r="DC258" s="12"/>
      <c r="DD258" s="12"/>
      <c r="DE258" s="12"/>
      <c r="DF258" s="12"/>
      <c r="DG258" s="12"/>
      <c r="DH258" s="12"/>
      <c r="DI258" s="46"/>
      <c r="DJ258" s="48"/>
      <c r="DK258" s="48"/>
      <c r="DL258" s="48"/>
      <c r="DM258" s="13"/>
      <c r="DN258" s="13"/>
      <c r="DO258" s="12"/>
      <c r="DP258" s="12"/>
      <c r="DQ258" s="12"/>
      <c r="DR258" s="12"/>
      <c r="DS258" s="12"/>
      <c r="DT258" s="12"/>
      <c r="DU258" s="12"/>
      <c r="DV258" s="12"/>
      <c r="DW258" s="12"/>
      <c r="DX258" s="12"/>
      <c r="DY258" s="12"/>
      <c r="DZ258" s="12"/>
      <c r="EA258" s="12"/>
      <c r="EB258" s="12"/>
      <c r="EC258" s="12"/>
      <c r="ED258" s="12"/>
    </row>
    <row r="259" spans="1:134" ht="12.5" x14ac:dyDescent="0.25">
      <c r="A259" s="46"/>
      <c r="B259" s="46"/>
      <c r="C259" s="46"/>
      <c r="D259" s="46"/>
      <c r="E259" s="15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46"/>
      <c r="BA259" s="46"/>
      <c r="BB259" s="46"/>
      <c r="BC259" s="46"/>
      <c r="BD259" s="46"/>
      <c r="BE259" s="46"/>
      <c r="BF259" s="12"/>
      <c r="BG259" s="12"/>
      <c r="BH259" s="12"/>
      <c r="BI259" s="46"/>
      <c r="BJ259" s="46"/>
      <c r="BK259" s="46"/>
      <c r="BL259" s="46"/>
      <c r="BM259" s="46"/>
      <c r="BN259" s="46"/>
      <c r="BO259" s="46"/>
      <c r="BP259" s="46"/>
      <c r="BQ259" s="157"/>
      <c r="BR259" s="156"/>
      <c r="BS259" s="46"/>
      <c r="BT259" s="46"/>
      <c r="BU259" s="12"/>
      <c r="BV259" s="12"/>
      <c r="BW259" s="12"/>
      <c r="BX259" s="12"/>
      <c r="BY259" s="12"/>
      <c r="BZ259" s="12"/>
      <c r="CA259" s="12"/>
      <c r="CB259" s="12"/>
      <c r="CC259" s="12"/>
      <c r="CD259" s="12"/>
      <c r="CE259" s="12"/>
      <c r="CF259" s="12"/>
      <c r="CG259" s="12"/>
      <c r="CH259" s="12"/>
      <c r="CI259" s="12"/>
      <c r="CJ259" s="12"/>
      <c r="CK259" s="12"/>
      <c r="CL259" s="2"/>
      <c r="CM259" s="12"/>
      <c r="CN259" s="12"/>
      <c r="CO259" s="12"/>
      <c r="CP259" s="12"/>
      <c r="CQ259" s="12"/>
      <c r="CR259" s="46"/>
      <c r="CS259" s="46"/>
      <c r="CT259" s="2"/>
      <c r="CU259" s="2"/>
      <c r="CV259" s="49"/>
      <c r="CW259" s="49"/>
      <c r="CX259" s="2"/>
      <c r="CY259" s="2"/>
      <c r="CZ259" s="160"/>
      <c r="DA259" s="12"/>
      <c r="DB259" s="12"/>
      <c r="DC259" s="12"/>
      <c r="DD259" s="12"/>
      <c r="DE259" s="12"/>
      <c r="DF259" s="12"/>
      <c r="DG259" s="12"/>
      <c r="DH259" s="12"/>
      <c r="DI259" s="46"/>
      <c r="DJ259" s="48"/>
      <c r="DK259" s="48"/>
      <c r="DL259" s="48"/>
      <c r="DM259" s="13"/>
      <c r="DN259" s="13"/>
      <c r="DO259" s="12"/>
      <c r="DP259" s="12"/>
      <c r="DQ259" s="12"/>
      <c r="DR259" s="12"/>
      <c r="DS259" s="12"/>
      <c r="DT259" s="12"/>
      <c r="DU259" s="12"/>
      <c r="DV259" s="12"/>
      <c r="DW259" s="12"/>
      <c r="DX259" s="12"/>
      <c r="DY259" s="12"/>
      <c r="DZ259" s="12"/>
      <c r="EA259" s="12"/>
      <c r="EB259" s="12"/>
      <c r="EC259" s="12"/>
      <c r="ED259" s="12"/>
    </row>
    <row r="260" spans="1:134" ht="12.5" x14ac:dyDescent="0.25">
      <c r="A260" s="46"/>
      <c r="B260" s="46"/>
      <c r="C260" s="46"/>
      <c r="D260" s="46"/>
      <c r="E260" s="15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46"/>
      <c r="BA260" s="46"/>
      <c r="BB260" s="46"/>
      <c r="BC260" s="46"/>
      <c r="BD260" s="46"/>
      <c r="BE260" s="46"/>
      <c r="BF260" s="12"/>
      <c r="BG260" s="12"/>
      <c r="BH260" s="12"/>
      <c r="BI260" s="46"/>
      <c r="BJ260" s="46"/>
      <c r="BK260" s="46"/>
      <c r="BL260" s="46"/>
      <c r="BM260" s="46"/>
      <c r="BN260" s="46"/>
      <c r="BO260" s="46"/>
      <c r="BP260" s="46"/>
      <c r="BQ260" s="157"/>
      <c r="BR260" s="156"/>
      <c r="BS260" s="46"/>
      <c r="BT260" s="46"/>
      <c r="BU260" s="12"/>
      <c r="BV260" s="12"/>
      <c r="BW260" s="12"/>
      <c r="BX260" s="12"/>
      <c r="BY260" s="12"/>
      <c r="BZ260" s="12"/>
      <c r="CA260" s="12"/>
      <c r="CB260" s="12"/>
      <c r="CC260" s="12"/>
      <c r="CD260" s="12"/>
      <c r="CE260" s="12"/>
      <c r="CF260" s="12"/>
      <c r="CG260" s="12"/>
      <c r="CH260" s="12"/>
      <c r="CI260" s="12"/>
      <c r="CJ260" s="12"/>
      <c r="CK260" s="12"/>
      <c r="CL260" s="2"/>
      <c r="CM260" s="12"/>
      <c r="CN260" s="12"/>
      <c r="CO260" s="12"/>
      <c r="CP260" s="12"/>
      <c r="CQ260" s="12"/>
      <c r="CR260" s="46"/>
      <c r="CS260" s="46"/>
      <c r="CT260" s="2"/>
      <c r="CU260" s="2"/>
      <c r="CV260" s="49"/>
      <c r="CW260" s="49"/>
      <c r="CX260" s="2"/>
      <c r="CY260" s="2"/>
      <c r="CZ260" s="160"/>
      <c r="DA260" s="12"/>
      <c r="DB260" s="12"/>
      <c r="DC260" s="12"/>
      <c r="DD260" s="12"/>
      <c r="DE260" s="12"/>
      <c r="DF260" s="12"/>
      <c r="DG260" s="12"/>
      <c r="DH260" s="12"/>
      <c r="DI260" s="46"/>
      <c r="DJ260" s="48"/>
      <c r="DK260" s="48"/>
      <c r="DL260" s="48"/>
      <c r="DM260" s="13"/>
      <c r="DN260" s="13"/>
      <c r="DO260" s="12"/>
      <c r="DP260" s="12"/>
      <c r="DQ260" s="12"/>
      <c r="DR260" s="12"/>
      <c r="DS260" s="12"/>
      <c r="DT260" s="12"/>
      <c r="DU260" s="12"/>
      <c r="DV260" s="12"/>
      <c r="DW260" s="12"/>
      <c r="DX260" s="12"/>
      <c r="DY260" s="12"/>
      <c r="DZ260" s="12"/>
      <c r="EA260" s="12"/>
      <c r="EB260" s="12"/>
      <c r="EC260" s="12"/>
      <c r="ED260" s="12"/>
    </row>
    <row r="261" spans="1:134" ht="12.5" x14ac:dyDescent="0.25">
      <c r="A261" s="46"/>
      <c r="B261" s="46"/>
      <c r="C261" s="46"/>
      <c r="D261" s="46"/>
      <c r="E261" s="15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46"/>
      <c r="BA261" s="46"/>
      <c r="BB261" s="46"/>
      <c r="BC261" s="46"/>
      <c r="BD261" s="46"/>
      <c r="BE261" s="46"/>
      <c r="BF261" s="12"/>
      <c r="BG261" s="12"/>
      <c r="BH261" s="12"/>
      <c r="BI261" s="46"/>
      <c r="BJ261" s="46"/>
      <c r="BK261" s="46"/>
      <c r="BL261" s="46"/>
      <c r="BM261" s="46"/>
      <c r="BN261" s="46"/>
      <c r="BO261" s="46"/>
      <c r="BP261" s="46"/>
      <c r="BQ261" s="157"/>
      <c r="BR261" s="156"/>
      <c r="BS261" s="46"/>
      <c r="BT261" s="46"/>
      <c r="BU261" s="12"/>
      <c r="BV261" s="12"/>
      <c r="BW261" s="12"/>
      <c r="BX261" s="12"/>
      <c r="BY261" s="12"/>
      <c r="BZ261" s="12"/>
      <c r="CA261" s="12"/>
      <c r="CB261" s="12"/>
      <c r="CC261" s="12"/>
      <c r="CD261" s="12"/>
      <c r="CE261" s="12"/>
      <c r="CF261" s="12"/>
      <c r="CG261" s="12"/>
      <c r="CH261" s="12"/>
      <c r="CI261" s="12"/>
      <c r="CJ261" s="12"/>
      <c r="CK261" s="12"/>
      <c r="CL261" s="2"/>
      <c r="CM261" s="2"/>
      <c r="CN261" s="12"/>
      <c r="CO261" s="12"/>
      <c r="CP261" s="12"/>
      <c r="CQ261" s="12"/>
      <c r="CR261" s="46"/>
      <c r="CS261" s="46"/>
      <c r="CT261" s="2"/>
      <c r="CU261" s="2"/>
      <c r="CV261" s="49"/>
      <c r="CW261" s="49"/>
      <c r="CX261" s="2"/>
      <c r="CY261" s="2"/>
      <c r="CZ261" s="160"/>
      <c r="DA261" s="12"/>
      <c r="DB261" s="12"/>
      <c r="DC261" s="12"/>
      <c r="DD261" s="12"/>
      <c r="DE261" s="12"/>
      <c r="DF261" s="12"/>
      <c r="DG261" s="12"/>
      <c r="DH261" s="12"/>
      <c r="DI261" s="46"/>
      <c r="DJ261" s="48"/>
      <c r="DK261" s="48"/>
      <c r="DL261" s="48"/>
      <c r="DM261" s="13"/>
      <c r="DN261" s="13"/>
      <c r="DO261" s="12"/>
      <c r="DP261" s="12"/>
      <c r="DQ261" s="12"/>
      <c r="DR261" s="12"/>
      <c r="DS261" s="12"/>
      <c r="DT261" s="12"/>
      <c r="DU261" s="12"/>
      <c r="DV261" s="12"/>
      <c r="DW261" s="12"/>
      <c r="DX261" s="12"/>
      <c r="DY261" s="12"/>
      <c r="DZ261" s="12"/>
      <c r="EA261" s="12"/>
      <c r="EB261" s="12"/>
      <c r="EC261" s="12"/>
      <c r="ED261" s="12"/>
    </row>
    <row r="262" spans="1:134" ht="12.5" x14ac:dyDescent="0.25">
      <c r="A262" s="46"/>
      <c r="B262" s="46"/>
      <c r="C262" s="46"/>
      <c r="D262" s="46"/>
      <c r="E262" s="15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46"/>
      <c r="BA262" s="46"/>
      <c r="BB262" s="46"/>
      <c r="BC262" s="46"/>
      <c r="BD262" s="46"/>
      <c r="BE262" s="46"/>
      <c r="BF262" s="12"/>
      <c r="BG262" s="12"/>
      <c r="BH262" s="12"/>
      <c r="BI262" s="46"/>
      <c r="BJ262" s="46"/>
      <c r="BK262" s="46"/>
      <c r="BL262" s="46"/>
      <c r="BM262" s="46"/>
      <c r="BN262" s="46"/>
      <c r="BO262" s="46"/>
      <c r="BP262" s="46"/>
      <c r="BQ262" s="157"/>
      <c r="BR262" s="156"/>
      <c r="BS262" s="46"/>
      <c r="BT262" s="46"/>
      <c r="BU262" s="12"/>
      <c r="BV262" s="12"/>
      <c r="BW262" s="12"/>
      <c r="BX262" s="12"/>
      <c r="BY262" s="12"/>
      <c r="BZ262" s="12"/>
      <c r="CA262" s="12"/>
      <c r="CB262" s="12"/>
      <c r="CC262" s="12"/>
      <c r="CD262" s="12"/>
      <c r="CE262" s="12"/>
      <c r="CF262" s="12"/>
      <c r="CG262" s="12"/>
      <c r="CH262" s="12"/>
      <c r="CI262" s="12"/>
      <c r="CJ262" s="12"/>
      <c r="CK262" s="12"/>
      <c r="CL262" s="2"/>
      <c r="CM262" s="2"/>
      <c r="CN262" s="12"/>
      <c r="CO262" s="12"/>
      <c r="CP262" s="12"/>
      <c r="CQ262" s="12"/>
      <c r="CR262" s="46"/>
      <c r="CS262" s="46"/>
      <c r="CT262" s="2"/>
      <c r="CU262" s="2"/>
      <c r="CV262" s="49"/>
      <c r="CW262" s="49"/>
      <c r="CX262" s="2"/>
      <c r="CY262" s="2"/>
      <c r="CZ262" s="160"/>
      <c r="DA262" s="12"/>
      <c r="DB262" s="12"/>
      <c r="DC262" s="12"/>
      <c r="DD262" s="12"/>
      <c r="DE262" s="12"/>
      <c r="DF262" s="12"/>
      <c r="DG262" s="12"/>
      <c r="DH262" s="12"/>
      <c r="DI262" s="46"/>
      <c r="DJ262" s="48"/>
      <c r="DK262" s="48"/>
      <c r="DL262" s="48"/>
      <c r="DM262" s="13"/>
      <c r="DN262" s="13"/>
      <c r="DO262" s="12"/>
      <c r="DP262" s="12"/>
      <c r="DQ262" s="12"/>
      <c r="DR262" s="12"/>
      <c r="DS262" s="12"/>
      <c r="DT262" s="12"/>
      <c r="DU262" s="12"/>
      <c r="DV262" s="12"/>
      <c r="DW262" s="12"/>
      <c r="DX262" s="12"/>
      <c r="DY262" s="12"/>
      <c r="DZ262" s="12"/>
      <c r="EA262" s="12"/>
      <c r="EB262" s="12"/>
      <c r="EC262" s="12"/>
      <c r="ED262" s="12"/>
    </row>
    <row r="263" spans="1:134" ht="12.5" x14ac:dyDescent="0.25">
      <c r="A263" s="46"/>
      <c r="B263" s="46"/>
      <c r="C263" s="46"/>
      <c r="D263" s="46"/>
      <c r="E263" s="15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46"/>
      <c r="BA263" s="46"/>
      <c r="BB263" s="46"/>
      <c r="BC263" s="46"/>
      <c r="BD263" s="46"/>
      <c r="BE263" s="46"/>
      <c r="BF263" s="12"/>
      <c r="BG263" s="12"/>
      <c r="BH263" s="12"/>
      <c r="BI263" s="46"/>
      <c r="BJ263" s="46"/>
      <c r="BK263" s="46"/>
      <c r="BL263" s="46"/>
      <c r="BM263" s="46"/>
      <c r="BN263" s="46"/>
      <c r="BO263" s="46"/>
      <c r="BP263" s="46"/>
      <c r="BQ263" s="157"/>
      <c r="BR263" s="156"/>
      <c r="BS263" s="46"/>
      <c r="BT263" s="46"/>
      <c r="BU263" s="12"/>
      <c r="BV263" s="12"/>
      <c r="BW263" s="12"/>
      <c r="BX263" s="12"/>
      <c r="BY263" s="12"/>
      <c r="BZ263" s="12"/>
      <c r="CA263" s="12"/>
      <c r="CB263" s="12"/>
      <c r="CC263" s="12"/>
      <c r="CD263" s="12"/>
      <c r="CE263" s="12"/>
      <c r="CF263" s="12"/>
      <c r="CG263" s="12"/>
      <c r="CH263" s="12"/>
      <c r="CI263" s="12"/>
      <c r="CJ263" s="12"/>
      <c r="CK263" s="12"/>
      <c r="CL263" s="2"/>
      <c r="CM263" s="2"/>
      <c r="CN263" s="12"/>
      <c r="CO263" s="12"/>
      <c r="CP263" s="12"/>
      <c r="CQ263" s="12"/>
      <c r="CR263" s="46"/>
      <c r="CS263" s="46"/>
      <c r="CT263" s="2"/>
      <c r="CU263" s="2"/>
      <c r="CV263" s="49"/>
      <c r="CW263" s="49"/>
      <c r="CX263" s="2"/>
      <c r="CY263" s="2"/>
      <c r="CZ263" s="160"/>
      <c r="DA263" s="12"/>
      <c r="DB263" s="12"/>
      <c r="DC263" s="12"/>
      <c r="DD263" s="12"/>
      <c r="DE263" s="12"/>
      <c r="DF263" s="12"/>
      <c r="DG263" s="12"/>
      <c r="DH263" s="12"/>
      <c r="DI263" s="46"/>
      <c r="DJ263" s="48"/>
      <c r="DK263" s="48"/>
      <c r="DL263" s="48"/>
      <c r="DM263" s="13"/>
      <c r="DN263" s="13"/>
      <c r="DO263" s="12"/>
      <c r="DP263" s="12"/>
      <c r="DQ263" s="12"/>
      <c r="DR263" s="12"/>
      <c r="DS263" s="12"/>
      <c r="DT263" s="12"/>
      <c r="DU263" s="12"/>
      <c r="DV263" s="12"/>
      <c r="DW263" s="12"/>
      <c r="DX263" s="12"/>
      <c r="DY263" s="12"/>
      <c r="DZ263" s="12"/>
      <c r="EA263" s="12"/>
      <c r="EB263" s="12"/>
      <c r="EC263" s="12"/>
      <c r="ED263" s="12"/>
    </row>
    <row r="264" spans="1:134" ht="12.5" x14ac:dyDescent="0.25">
      <c r="A264" s="46"/>
      <c r="B264" s="46"/>
      <c r="C264" s="46"/>
      <c r="D264" s="46"/>
      <c r="E264" s="15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46"/>
      <c r="BA264" s="46"/>
      <c r="BB264" s="46"/>
      <c r="BC264" s="46"/>
      <c r="BD264" s="46"/>
      <c r="BE264" s="46"/>
      <c r="BF264" s="12"/>
      <c r="BG264" s="12"/>
      <c r="BH264" s="12"/>
      <c r="BI264" s="46"/>
      <c r="BJ264" s="46"/>
      <c r="BK264" s="46"/>
      <c r="BL264" s="46"/>
      <c r="BM264" s="46"/>
      <c r="BN264" s="46"/>
      <c r="BO264" s="46"/>
      <c r="BP264" s="46"/>
      <c r="BQ264" s="157"/>
      <c r="BR264" s="156"/>
      <c r="BS264" s="46"/>
      <c r="BT264" s="46"/>
      <c r="BU264" s="12"/>
      <c r="BV264" s="12"/>
      <c r="BW264" s="12"/>
      <c r="BX264" s="12"/>
      <c r="BY264" s="12"/>
      <c r="BZ264" s="12"/>
      <c r="CA264" s="12"/>
      <c r="CB264" s="12"/>
      <c r="CC264" s="12"/>
      <c r="CD264" s="12"/>
      <c r="CE264" s="12"/>
      <c r="CF264" s="12"/>
      <c r="CG264" s="12"/>
      <c r="CH264" s="12"/>
      <c r="CI264" s="12"/>
      <c r="CJ264" s="12"/>
      <c r="CK264" s="12"/>
      <c r="CL264" s="2"/>
      <c r="CM264" s="2"/>
      <c r="CN264" s="12"/>
      <c r="CO264" s="12"/>
      <c r="CP264" s="12"/>
      <c r="CQ264" s="12"/>
      <c r="CR264" s="46"/>
      <c r="CS264" s="46"/>
      <c r="CT264" s="2"/>
      <c r="CU264" s="2"/>
      <c r="CV264" s="49"/>
      <c r="CW264" s="49"/>
      <c r="CX264" s="2"/>
      <c r="CY264" s="2"/>
      <c r="CZ264" s="160"/>
      <c r="DA264" s="12"/>
      <c r="DB264" s="12"/>
      <c r="DC264" s="12"/>
      <c r="DD264" s="12"/>
      <c r="DE264" s="12"/>
      <c r="DF264" s="12"/>
      <c r="DG264" s="12"/>
      <c r="DH264" s="12"/>
      <c r="DI264" s="46"/>
      <c r="DJ264" s="48"/>
      <c r="DK264" s="48"/>
      <c r="DL264" s="48"/>
      <c r="DM264" s="13"/>
      <c r="DN264" s="13"/>
      <c r="DO264" s="12"/>
      <c r="DP264" s="12"/>
      <c r="DQ264" s="12"/>
      <c r="DR264" s="12"/>
      <c r="DS264" s="12"/>
      <c r="DT264" s="12"/>
      <c r="DU264" s="12"/>
      <c r="DV264" s="12"/>
      <c r="DW264" s="12"/>
      <c r="DX264" s="12"/>
      <c r="DY264" s="12"/>
      <c r="DZ264" s="12"/>
      <c r="EA264" s="12"/>
      <c r="EB264" s="12"/>
      <c r="EC264" s="12"/>
      <c r="ED264" s="12"/>
    </row>
    <row r="265" spans="1:134" ht="12.5" x14ac:dyDescent="0.25">
      <c r="A265" s="46"/>
      <c r="B265" s="46"/>
      <c r="C265" s="46"/>
      <c r="D265" s="46"/>
      <c r="E265" s="15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46"/>
      <c r="BA265" s="46"/>
      <c r="BB265" s="46"/>
      <c r="BC265" s="46"/>
      <c r="BD265" s="46"/>
      <c r="BE265" s="46"/>
      <c r="BF265" s="12"/>
      <c r="BG265" s="12"/>
      <c r="BH265" s="12"/>
      <c r="BI265" s="46"/>
      <c r="BJ265" s="46"/>
      <c r="BK265" s="46"/>
      <c r="BL265" s="46"/>
      <c r="BM265" s="46"/>
      <c r="BN265" s="46"/>
      <c r="BO265" s="46"/>
      <c r="BP265" s="46"/>
      <c r="BQ265" s="157"/>
      <c r="BR265" s="156"/>
      <c r="BS265" s="46"/>
      <c r="BT265" s="46"/>
      <c r="BU265" s="12"/>
      <c r="BV265" s="12"/>
      <c r="BW265" s="12"/>
      <c r="BX265" s="12"/>
      <c r="BY265" s="12"/>
      <c r="BZ265" s="12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2"/>
      <c r="CM265" s="2"/>
      <c r="CN265" s="12"/>
      <c r="CO265" s="12"/>
      <c r="CP265" s="12"/>
      <c r="CQ265" s="12"/>
      <c r="CR265" s="46"/>
      <c r="CS265" s="46"/>
      <c r="CT265" s="2"/>
      <c r="CU265" s="2"/>
      <c r="CV265" s="49"/>
      <c r="CW265" s="49"/>
      <c r="CX265" s="2"/>
      <c r="CY265" s="2"/>
      <c r="CZ265" s="160"/>
      <c r="DA265" s="12"/>
      <c r="DB265" s="12"/>
      <c r="DC265" s="12"/>
      <c r="DD265" s="12"/>
      <c r="DE265" s="12"/>
      <c r="DF265" s="12"/>
      <c r="DG265" s="12"/>
      <c r="DH265" s="12"/>
      <c r="DI265" s="46"/>
      <c r="DJ265" s="48"/>
      <c r="DK265" s="48"/>
      <c r="DL265" s="48"/>
      <c r="DM265" s="13"/>
      <c r="DN265" s="13"/>
      <c r="DO265" s="12"/>
      <c r="DP265" s="12"/>
      <c r="DQ265" s="12"/>
      <c r="DR265" s="12"/>
      <c r="DS265" s="12"/>
      <c r="DT265" s="12"/>
      <c r="DU265" s="12"/>
      <c r="DV265" s="12"/>
      <c r="DW265" s="12"/>
      <c r="DX265" s="12"/>
      <c r="DY265" s="12"/>
      <c r="DZ265" s="12"/>
      <c r="EA265" s="12"/>
      <c r="EB265" s="12"/>
      <c r="EC265" s="12"/>
      <c r="ED265" s="12"/>
    </row>
    <row r="266" spans="1:134" ht="12.5" x14ac:dyDescent="0.25">
      <c r="A266" s="46"/>
      <c r="B266" s="46"/>
      <c r="C266" s="46"/>
      <c r="D266" s="46"/>
      <c r="E266" s="15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46"/>
      <c r="BA266" s="46"/>
      <c r="BB266" s="46"/>
      <c r="BC266" s="46"/>
      <c r="BD266" s="46"/>
      <c r="BE266" s="46"/>
      <c r="BF266" s="12"/>
      <c r="BG266" s="12"/>
      <c r="BH266" s="12"/>
      <c r="BI266" s="46"/>
      <c r="BJ266" s="46"/>
      <c r="BK266" s="46"/>
      <c r="BL266" s="46"/>
      <c r="BM266" s="46"/>
      <c r="BN266" s="46"/>
      <c r="BO266" s="46"/>
      <c r="BP266" s="46"/>
      <c r="BQ266" s="157"/>
      <c r="BR266" s="156"/>
      <c r="BS266" s="46"/>
      <c r="BT266" s="46"/>
      <c r="BU266" s="12"/>
      <c r="BV266" s="12"/>
      <c r="BW266" s="12"/>
      <c r="BX266" s="12"/>
      <c r="BY266" s="12"/>
      <c r="BZ266" s="12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2"/>
      <c r="CM266" s="2"/>
      <c r="CN266" s="12"/>
      <c r="CO266" s="12"/>
      <c r="CP266" s="12"/>
      <c r="CQ266" s="12"/>
      <c r="CR266" s="46"/>
      <c r="CS266" s="46"/>
      <c r="CT266" s="2"/>
      <c r="CU266" s="2"/>
      <c r="CV266" s="49"/>
      <c r="CW266" s="49"/>
      <c r="CX266" s="2"/>
      <c r="CY266" s="2"/>
      <c r="CZ266" s="160"/>
      <c r="DA266" s="12"/>
      <c r="DB266" s="12"/>
      <c r="DC266" s="12"/>
      <c r="DD266" s="12"/>
      <c r="DE266" s="12"/>
      <c r="DF266" s="12"/>
      <c r="DG266" s="12"/>
      <c r="DH266" s="12"/>
      <c r="DI266" s="46"/>
      <c r="DJ266" s="48"/>
      <c r="DK266" s="48"/>
      <c r="DL266" s="48"/>
      <c r="DM266" s="13"/>
      <c r="DN266" s="13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</row>
    <row r="267" spans="1:134" ht="12.5" x14ac:dyDescent="0.25">
      <c r="A267" s="46"/>
      <c r="B267" s="46"/>
      <c r="C267" s="46"/>
      <c r="D267" s="46"/>
      <c r="E267" s="15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46"/>
      <c r="BA267" s="46"/>
      <c r="BB267" s="46"/>
      <c r="BC267" s="46"/>
      <c r="BD267" s="46"/>
      <c r="BE267" s="46"/>
      <c r="BF267" s="12"/>
      <c r="BG267" s="12"/>
      <c r="BH267" s="12"/>
      <c r="BI267" s="46"/>
      <c r="BJ267" s="46"/>
      <c r="BK267" s="46"/>
      <c r="BL267" s="46"/>
      <c r="BM267" s="46"/>
      <c r="BN267" s="46"/>
      <c r="BO267" s="46"/>
      <c r="BP267" s="46"/>
      <c r="BQ267" s="157"/>
      <c r="BR267" s="156"/>
      <c r="BS267" s="46"/>
      <c r="BT267" s="46"/>
      <c r="BU267" s="12"/>
      <c r="BV267" s="12"/>
      <c r="BW267" s="12"/>
      <c r="BX267" s="12"/>
      <c r="BY267" s="12"/>
      <c r="BZ267" s="12"/>
      <c r="CA267" s="12"/>
      <c r="CB267" s="12"/>
      <c r="CC267" s="12"/>
      <c r="CD267" s="12"/>
      <c r="CE267" s="12"/>
      <c r="CF267" s="12"/>
      <c r="CG267" s="12"/>
      <c r="CH267" s="12"/>
      <c r="CI267" s="12"/>
      <c r="CJ267" s="12"/>
      <c r="CK267" s="12"/>
      <c r="CL267" s="2"/>
      <c r="CM267" s="2"/>
      <c r="CN267" s="12"/>
      <c r="CO267" s="12"/>
      <c r="CP267" s="12"/>
      <c r="CQ267" s="12"/>
      <c r="CR267" s="46"/>
      <c r="CS267" s="46"/>
      <c r="CT267" s="2"/>
      <c r="CU267" s="2"/>
      <c r="CV267" s="49"/>
      <c r="CW267" s="49"/>
      <c r="CX267" s="2"/>
      <c r="CY267" s="2"/>
      <c r="CZ267" s="160"/>
      <c r="DA267" s="12"/>
      <c r="DB267" s="12"/>
      <c r="DC267" s="12"/>
      <c r="DD267" s="12"/>
      <c r="DE267" s="12"/>
      <c r="DF267" s="12"/>
      <c r="DG267" s="12"/>
      <c r="DH267" s="12"/>
      <c r="DI267" s="46"/>
      <c r="DJ267" s="48"/>
      <c r="DK267" s="48"/>
      <c r="DL267" s="48"/>
      <c r="DM267" s="13"/>
      <c r="DN267" s="13"/>
      <c r="DO267" s="12"/>
      <c r="DP267" s="12"/>
      <c r="DQ267" s="12"/>
      <c r="DR267" s="12"/>
      <c r="DS267" s="12"/>
      <c r="DT267" s="12"/>
      <c r="DU267" s="12"/>
      <c r="DV267" s="12"/>
      <c r="DW267" s="12"/>
      <c r="DX267" s="12"/>
      <c r="DY267" s="12"/>
      <c r="DZ267" s="12"/>
      <c r="EA267" s="12"/>
      <c r="EB267" s="12"/>
      <c r="EC267" s="12"/>
      <c r="ED267" s="12"/>
    </row>
    <row r="268" spans="1:134" ht="12.5" x14ac:dyDescent="0.25">
      <c r="A268" s="46"/>
      <c r="B268" s="46"/>
      <c r="C268" s="46"/>
      <c r="D268" s="46"/>
      <c r="E268" s="15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46"/>
      <c r="BA268" s="46"/>
      <c r="BB268" s="46"/>
      <c r="BC268" s="46"/>
      <c r="BD268" s="46"/>
      <c r="BE268" s="46"/>
      <c r="BF268" s="12"/>
      <c r="BG268" s="12"/>
      <c r="BH268" s="12"/>
      <c r="BI268" s="46"/>
      <c r="BJ268" s="46"/>
      <c r="BK268" s="46"/>
      <c r="BL268" s="46"/>
      <c r="BM268" s="46"/>
      <c r="BN268" s="46"/>
      <c r="BO268" s="46"/>
      <c r="BP268" s="46"/>
      <c r="BQ268" s="157"/>
      <c r="BR268" s="156"/>
      <c r="BS268" s="46"/>
      <c r="BT268" s="46"/>
      <c r="BU268" s="12"/>
      <c r="BV268" s="12"/>
      <c r="BW268" s="12"/>
      <c r="BX268" s="12"/>
      <c r="BY268" s="12"/>
      <c r="BZ268" s="12"/>
      <c r="CA268" s="12"/>
      <c r="CB268" s="12"/>
      <c r="CC268" s="12"/>
      <c r="CD268" s="12"/>
      <c r="CE268" s="12"/>
      <c r="CF268" s="12"/>
      <c r="CG268" s="12"/>
      <c r="CH268" s="12"/>
      <c r="CI268" s="12"/>
      <c r="CJ268" s="12"/>
      <c r="CK268" s="12"/>
      <c r="CL268" s="2"/>
      <c r="CM268" s="12"/>
      <c r="CN268" s="12"/>
      <c r="CO268" s="12"/>
      <c r="CP268" s="12"/>
      <c r="CQ268" s="12"/>
      <c r="CR268" s="46"/>
      <c r="CS268" s="46"/>
      <c r="CT268" s="2"/>
      <c r="CU268" s="2"/>
      <c r="CV268" s="49"/>
      <c r="CW268" s="49"/>
      <c r="CX268" s="2"/>
      <c r="CY268" s="2"/>
      <c r="CZ268" s="160"/>
      <c r="DA268" s="12"/>
      <c r="DB268" s="12"/>
      <c r="DC268" s="12"/>
      <c r="DD268" s="12"/>
      <c r="DE268" s="12"/>
      <c r="DF268" s="12"/>
      <c r="DG268" s="12"/>
      <c r="DH268" s="12"/>
      <c r="DI268" s="46"/>
      <c r="DJ268" s="48"/>
      <c r="DK268" s="48"/>
      <c r="DL268" s="48"/>
      <c r="DM268" s="13"/>
      <c r="DN268" s="13"/>
      <c r="DO268" s="12"/>
      <c r="DP268" s="12"/>
      <c r="DQ268" s="12"/>
      <c r="DR268" s="12"/>
      <c r="DS268" s="12"/>
      <c r="DT268" s="12"/>
      <c r="DU268" s="12"/>
      <c r="DV268" s="12"/>
      <c r="DW268" s="12"/>
      <c r="DX268" s="12"/>
      <c r="DY268" s="12"/>
      <c r="DZ268" s="12"/>
      <c r="EA268" s="12"/>
      <c r="EB268" s="12"/>
      <c r="EC268" s="12"/>
      <c r="ED268" s="12"/>
    </row>
    <row r="269" spans="1:134" ht="12.5" x14ac:dyDescent="0.25">
      <c r="A269" s="46"/>
      <c r="B269" s="46"/>
      <c r="C269" s="46"/>
      <c r="D269" s="46"/>
      <c r="E269" s="15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46"/>
      <c r="BA269" s="46"/>
      <c r="BB269" s="46"/>
      <c r="BC269" s="46"/>
      <c r="BD269" s="46"/>
      <c r="BE269" s="46"/>
      <c r="BF269" s="12"/>
      <c r="BG269" s="12"/>
      <c r="BH269" s="12"/>
      <c r="BI269" s="46"/>
      <c r="BJ269" s="46"/>
      <c r="BK269" s="46"/>
      <c r="BL269" s="46"/>
      <c r="BM269" s="46"/>
      <c r="BN269" s="46"/>
      <c r="BO269" s="46"/>
      <c r="BP269" s="46"/>
      <c r="BQ269" s="157"/>
      <c r="BR269" s="156"/>
      <c r="BS269" s="46"/>
      <c r="BT269" s="46"/>
      <c r="BU269" s="12"/>
      <c r="BV269" s="12"/>
      <c r="BW269" s="12"/>
      <c r="BX269" s="12"/>
      <c r="BY269" s="12"/>
      <c r="BZ269" s="12"/>
      <c r="CA269" s="12"/>
      <c r="CB269" s="12"/>
      <c r="CC269" s="12"/>
      <c r="CD269" s="12"/>
      <c r="CE269" s="12"/>
      <c r="CF269" s="12"/>
      <c r="CG269" s="12"/>
      <c r="CH269" s="12"/>
      <c r="CI269" s="12"/>
      <c r="CJ269" s="12"/>
      <c r="CK269" s="12"/>
      <c r="CL269" s="2"/>
      <c r="CM269" s="12"/>
      <c r="CN269" s="12"/>
      <c r="CO269" s="12"/>
      <c r="CP269" s="12"/>
      <c r="CQ269" s="12"/>
      <c r="CR269" s="46"/>
      <c r="CS269" s="46"/>
      <c r="CT269" s="2"/>
      <c r="CU269" s="2"/>
      <c r="CV269" s="49"/>
      <c r="CW269" s="49"/>
      <c r="CX269" s="2"/>
      <c r="CY269" s="2"/>
      <c r="CZ269" s="160"/>
      <c r="DA269" s="12"/>
      <c r="DB269" s="12"/>
      <c r="DC269" s="12"/>
      <c r="DD269" s="12"/>
      <c r="DE269" s="12"/>
      <c r="DF269" s="12"/>
      <c r="DG269" s="12"/>
      <c r="DH269" s="12"/>
      <c r="DI269" s="46"/>
      <c r="DJ269" s="48"/>
      <c r="DK269" s="48"/>
      <c r="DL269" s="48"/>
      <c r="DM269" s="13"/>
      <c r="DN269" s="13"/>
      <c r="DO269" s="12"/>
      <c r="DP269" s="12"/>
      <c r="DQ269" s="12"/>
      <c r="DR269" s="12"/>
      <c r="DS269" s="12"/>
      <c r="DT269" s="12"/>
      <c r="DU269" s="12"/>
      <c r="DV269" s="12"/>
      <c r="DW269" s="12"/>
      <c r="DX269" s="12"/>
      <c r="DY269" s="12"/>
      <c r="DZ269" s="12"/>
      <c r="EA269" s="12"/>
      <c r="EB269" s="12"/>
      <c r="EC269" s="12"/>
      <c r="ED269" s="12"/>
    </row>
    <row r="270" spans="1:134" ht="12.5" x14ac:dyDescent="0.25">
      <c r="A270" s="46"/>
      <c r="B270" s="46"/>
      <c r="C270" s="46"/>
      <c r="D270" s="46"/>
      <c r="E270" s="15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46"/>
      <c r="BA270" s="46"/>
      <c r="BB270" s="46"/>
      <c r="BC270" s="46"/>
      <c r="BD270" s="46"/>
      <c r="BE270" s="46"/>
      <c r="BF270" s="12"/>
      <c r="BG270" s="12"/>
      <c r="BH270" s="12"/>
      <c r="BI270" s="46"/>
      <c r="BJ270" s="46"/>
      <c r="BK270" s="46"/>
      <c r="BL270" s="46"/>
      <c r="BM270" s="46"/>
      <c r="BN270" s="46"/>
      <c r="BO270" s="46"/>
      <c r="BP270" s="46"/>
      <c r="BQ270" s="157"/>
      <c r="BR270" s="156"/>
      <c r="BS270" s="46"/>
      <c r="BT270" s="46"/>
      <c r="BU270" s="12"/>
      <c r="BV270" s="12"/>
      <c r="BW270" s="12"/>
      <c r="BX270" s="12"/>
      <c r="BY270" s="12"/>
      <c r="BZ270" s="12"/>
      <c r="CA270" s="12"/>
      <c r="CB270" s="12"/>
      <c r="CC270" s="12"/>
      <c r="CD270" s="12"/>
      <c r="CE270" s="12"/>
      <c r="CF270" s="12"/>
      <c r="CG270" s="12"/>
      <c r="CH270" s="12"/>
      <c r="CI270" s="12"/>
      <c r="CJ270" s="12"/>
      <c r="CK270" s="12"/>
      <c r="CL270" s="2"/>
      <c r="CM270" s="2"/>
      <c r="CN270" s="12"/>
      <c r="CO270" s="12"/>
      <c r="CP270" s="12"/>
      <c r="CQ270" s="12"/>
      <c r="CR270" s="46"/>
      <c r="CS270" s="46"/>
      <c r="CT270" s="2"/>
      <c r="CU270" s="2"/>
      <c r="CV270" s="49"/>
      <c r="CW270" s="49"/>
      <c r="CX270" s="2"/>
      <c r="CY270" s="2"/>
      <c r="CZ270" s="160"/>
      <c r="DA270" s="12"/>
      <c r="DB270" s="12"/>
      <c r="DC270" s="12"/>
      <c r="DD270" s="12"/>
      <c r="DE270" s="12"/>
      <c r="DF270" s="12"/>
      <c r="DG270" s="12"/>
      <c r="DH270" s="12"/>
      <c r="DI270" s="46"/>
      <c r="DJ270" s="48"/>
      <c r="DK270" s="48"/>
      <c r="DL270" s="48"/>
      <c r="DM270" s="13"/>
      <c r="DN270" s="13"/>
      <c r="DO270" s="12"/>
      <c r="DP270" s="12"/>
      <c r="DQ270" s="12"/>
      <c r="DR270" s="12"/>
      <c r="DS270" s="12"/>
      <c r="DT270" s="12"/>
      <c r="DU270" s="12"/>
      <c r="DV270" s="12"/>
      <c r="DW270" s="12"/>
      <c r="DX270" s="12"/>
      <c r="DY270" s="12"/>
      <c r="DZ270" s="12"/>
      <c r="EA270" s="12"/>
      <c r="EB270" s="12"/>
      <c r="EC270" s="12"/>
      <c r="ED270" s="12"/>
    </row>
    <row r="271" spans="1:134" ht="12.5" x14ac:dyDescent="0.25">
      <c r="A271" s="46"/>
      <c r="B271" s="46"/>
      <c r="C271" s="46"/>
      <c r="D271" s="46"/>
      <c r="E271" s="15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46"/>
      <c r="BA271" s="46"/>
      <c r="BB271" s="46"/>
      <c r="BC271" s="46"/>
      <c r="BD271" s="46"/>
      <c r="BE271" s="46"/>
      <c r="BF271" s="12"/>
      <c r="BG271" s="12"/>
      <c r="BH271" s="12"/>
      <c r="BI271" s="46"/>
      <c r="BJ271" s="46"/>
      <c r="BK271" s="46"/>
      <c r="BL271" s="46"/>
      <c r="BM271" s="46"/>
      <c r="BN271" s="46"/>
      <c r="BO271" s="46"/>
      <c r="BP271" s="46"/>
      <c r="BQ271" s="157"/>
      <c r="BR271" s="156"/>
      <c r="BS271" s="46"/>
      <c r="BT271" s="46"/>
      <c r="BU271" s="12"/>
      <c r="BV271" s="12"/>
      <c r="BW271" s="12"/>
      <c r="BX271" s="12"/>
      <c r="BY271" s="12"/>
      <c r="BZ271" s="12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2"/>
      <c r="CM271" s="12"/>
      <c r="CN271" s="12"/>
      <c r="CO271" s="12"/>
      <c r="CP271" s="12"/>
      <c r="CQ271" s="12"/>
      <c r="CR271" s="46"/>
      <c r="CS271" s="46"/>
      <c r="CT271" s="2"/>
      <c r="CU271" s="2"/>
      <c r="CV271" s="49"/>
      <c r="CW271" s="49"/>
      <c r="CX271" s="2"/>
      <c r="CY271" s="2"/>
      <c r="CZ271" s="160"/>
      <c r="DA271" s="12"/>
      <c r="DB271" s="12"/>
      <c r="DC271" s="12"/>
      <c r="DD271" s="12"/>
      <c r="DE271" s="12"/>
      <c r="DF271" s="12"/>
      <c r="DG271" s="12"/>
      <c r="DH271" s="12"/>
      <c r="DI271" s="46"/>
      <c r="DJ271" s="48"/>
      <c r="DK271" s="48"/>
      <c r="DL271" s="48"/>
      <c r="DM271" s="13"/>
      <c r="DN271" s="13"/>
      <c r="DO271" s="12"/>
      <c r="DP271" s="12"/>
      <c r="DQ271" s="12"/>
      <c r="DR271" s="12"/>
      <c r="DS271" s="12"/>
      <c r="DT271" s="12"/>
      <c r="DU271" s="12"/>
      <c r="DV271" s="12"/>
      <c r="DW271" s="12"/>
      <c r="DX271" s="12"/>
      <c r="DY271" s="12"/>
      <c r="DZ271" s="12"/>
      <c r="EA271" s="12"/>
      <c r="EB271" s="12"/>
      <c r="EC271" s="12"/>
      <c r="ED271" s="12"/>
    </row>
    <row r="272" spans="1:134" ht="12.5" x14ac:dyDescent="0.25">
      <c r="A272" s="46"/>
      <c r="B272" s="46"/>
      <c r="C272" s="46"/>
      <c r="D272" s="46"/>
      <c r="E272" s="15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46"/>
      <c r="BA272" s="46"/>
      <c r="BB272" s="46"/>
      <c r="BC272" s="46"/>
      <c r="BD272" s="46"/>
      <c r="BE272" s="46"/>
      <c r="BF272" s="12"/>
      <c r="BG272" s="12"/>
      <c r="BH272" s="12"/>
      <c r="BI272" s="46"/>
      <c r="BJ272" s="46"/>
      <c r="BK272" s="46"/>
      <c r="BL272" s="46"/>
      <c r="BM272" s="46"/>
      <c r="BN272" s="46"/>
      <c r="BO272" s="46"/>
      <c r="BP272" s="46"/>
      <c r="BQ272" s="157"/>
      <c r="BR272" s="156"/>
      <c r="BS272" s="46"/>
      <c r="BT272" s="46"/>
      <c r="BU272" s="12"/>
      <c r="BV272" s="12"/>
      <c r="BW272" s="12"/>
      <c r="BX272" s="12"/>
      <c r="BY272" s="12"/>
      <c r="BZ272" s="12"/>
      <c r="CA272" s="12"/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2"/>
      <c r="CM272" s="2"/>
      <c r="CN272" s="12"/>
      <c r="CO272" s="12"/>
      <c r="CP272" s="12"/>
      <c r="CQ272" s="12"/>
      <c r="CR272" s="46"/>
      <c r="CS272" s="46"/>
      <c r="CT272" s="2"/>
      <c r="CU272" s="2"/>
      <c r="CV272" s="49"/>
      <c r="CW272" s="49"/>
      <c r="CX272" s="2"/>
      <c r="CY272" s="2"/>
      <c r="CZ272" s="160"/>
      <c r="DA272" s="12"/>
      <c r="DB272" s="12"/>
      <c r="DC272" s="12"/>
      <c r="DD272" s="12"/>
      <c r="DE272" s="12"/>
      <c r="DF272" s="12"/>
      <c r="DG272" s="12"/>
      <c r="DH272" s="12"/>
      <c r="DI272" s="46"/>
      <c r="DJ272" s="48"/>
      <c r="DK272" s="48"/>
      <c r="DL272" s="48"/>
      <c r="DM272" s="13"/>
      <c r="DN272" s="13"/>
      <c r="DO272" s="12"/>
      <c r="DP272" s="12"/>
      <c r="DQ272" s="12"/>
      <c r="DR272" s="12"/>
      <c r="DS272" s="12"/>
      <c r="DT272" s="12"/>
      <c r="DU272" s="12"/>
      <c r="DV272" s="12"/>
      <c r="DW272" s="12"/>
      <c r="DX272" s="12"/>
      <c r="DY272" s="12"/>
      <c r="DZ272" s="12"/>
      <c r="EA272" s="12"/>
      <c r="EB272" s="12"/>
      <c r="EC272" s="12"/>
      <c r="ED272" s="12"/>
    </row>
    <row r="273" spans="1:134" ht="12.5" x14ac:dyDescent="0.25">
      <c r="A273" s="46"/>
      <c r="B273" s="46"/>
      <c r="C273" s="46"/>
      <c r="D273" s="46"/>
      <c r="E273" s="15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46"/>
      <c r="BA273" s="46"/>
      <c r="BB273" s="46"/>
      <c r="BC273" s="46"/>
      <c r="BD273" s="46"/>
      <c r="BE273" s="46"/>
      <c r="BF273" s="12"/>
      <c r="BG273" s="12"/>
      <c r="BH273" s="12"/>
      <c r="BI273" s="46"/>
      <c r="BJ273" s="46"/>
      <c r="BK273" s="46"/>
      <c r="BL273" s="46"/>
      <c r="BM273" s="46"/>
      <c r="BN273" s="46"/>
      <c r="BO273" s="46"/>
      <c r="BP273" s="46"/>
      <c r="BQ273" s="157"/>
      <c r="BR273" s="156"/>
      <c r="BS273" s="46"/>
      <c r="BT273" s="46"/>
      <c r="BU273" s="12"/>
      <c r="BV273" s="12"/>
      <c r="BW273" s="12"/>
      <c r="BX273" s="12"/>
      <c r="BY273" s="12"/>
      <c r="BZ273" s="12"/>
      <c r="CA273" s="12"/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2"/>
      <c r="CM273" s="2"/>
      <c r="CN273" s="12"/>
      <c r="CO273" s="12"/>
      <c r="CP273" s="12"/>
      <c r="CQ273" s="12"/>
      <c r="CR273" s="46"/>
      <c r="CS273" s="46"/>
      <c r="CT273" s="2"/>
      <c r="CU273" s="2"/>
      <c r="CV273" s="49"/>
      <c r="CW273" s="49"/>
      <c r="CX273" s="2"/>
      <c r="CY273" s="2"/>
      <c r="CZ273" s="160"/>
      <c r="DA273" s="12"/>
      <c r="DB273" s="12"/>
      <c r="DC273" s="12"/>
      <c r="DD273" s="12"/>
      <c r="DE273" s="12"/>
      <c r="DF273" s="12"/>
      <c r="DG273" s="12"/>
      <c r="DH273" s="12"/>
      <c r="DI273" s="46"/>
      <c r="DJ273" s="48"/>
      <c r="DK273" s="48"/>
      <c r="DL273" s="48"/>
      <c r="DM273" s="13"/>
      <c r="DN273" s="13"/>
      <c r="DO273" s="12"/>
      <c r="DP273" s="12"/>
      <c r="DQ273" s="12"/>
      <c r="DR273" s="12"/>
      <c r="DS273" s="12"/>
      <c r="DT273" s="12"/>
      <c r="DU273" s="12"/>
      <c r="DV273" s="12"/>
      <c r="DW273" s="12"/>
      <c r="DX273" s="12"/>
      <c r="DY273" s="12"/>
      <c r="DZ273" s="12"/>
      <c r="EA273" s="12"/>
      <c r="EB273" s="12"/>
      <c r="EC273" s="12"/>
      <c r="ED273" s="12"/>
    </row>
    <row r="274" spans="1:134" ht="12.5" x14ac:dyDescent="0.25">
      <c r="A274" s="46"/>
      <c r="B274" s="46"/>
      <c r="C274" s="46"/>
      <c r="D274" s="46"/>
      <c r="E274" s="15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46"/>
      <c r="BA274" s="46"/>
      <c r="BB274" s="46"/>
      <c r="BC274" s="46"/>
      <c r="BD274" s="46"/>
      <c r="BE274" s="46"/>
      <c r="BF274" s="12"/>
      <c r="BG274" s="12"/>
      <c r="BH274" s="12"/>
      <c r="BI274" s="46"/>
      <c r="BJ274" s="46"/>
      <c r="BK274" s="46"/>
      <c r="BL274" s="46"/>
      <c r="BM274" s="46"/>
      <c r="BN274" s="46"/>
      <c r="BO274" s="46"/>
      <c r="BP274" s="46"/>
      <c r="BQ274" s="157"/>
      <c r="BR274" s="156"/>
      <c r="BS274" s="46"/>
      <c r="BT274" s="46"/>
      <c r="BU274" s="12"/>
      <c r="BV274" s="12"/>
      <c r="BW274" s="12"/>
      <c r="BX274" s="12"/>
      <c r="BY274" s="12"/>
      <c r="BZ274" s="12"/>
      <c r="CA274" s="12"/>
      <c r="CB274" s="12"/>
      <c r="CC274" s="12"/>
      <c r="CD274" s="12"/>
      <c r="CE274" s="12"/>
      <c r="CF274" s="12"/>
      <c r="CG274" s="12"/>
      <c r="CH274" s="12"/>
      <c r="CI274" s="12"/>
      <c r="CJ274" s="12"/>
      <c r="CK274" s="12"/>
      <c r="CL274" s="2"/>
      <c r="CM274" s="2"/>
      <c r="CN274" s="12"/>
      <c r="CO274" s="12"/>
      <c r="CP274" s="12"/>
      <c r="CQ274" s="12"/>
      <c r="CR274" s="46"/>
      <c r="CS274" s="46"/>
      <c r="CT274" s="2"/>
      <c r="CU274" s="2"/>
      <c r="CV274" s="49"/>
      <c r="CW274" s="49"/>
      <c r="CX274" s="2"/>
      <c r="CY274" s="2"/>
      <c r="CZ274" s="160"/>
      <c r="DA274" s="12"/>
      <c r="DB274" s="12"/>
      <c r="DC274" s="12"/>
      <c r="DD274" s="12"/>
      <c r="DE274" s="12"/>
      <c r="DF274" s="12"/>
      <c r="DG274" s="12"/>
      <c r="DH274" s="12"/>
      <c r="DI274" s="46"/>
      <c r="DJ274" s="48"/>
      <c r="DK274" s="48"/>
      <c r="DL274" s="48"/>
      <c r="DM274" s="13"/>
      <c r="DN274" s="13"/>
      <c r="DO274" s="12"/>
      <c r="DP274" s="12"/>
      <c r="DQ274" s="12"/>
      <c r="DR274" s="12"/>
      <c r="DS274" s="12"/>
      <c r="DT274" s="12"/>
      <c r="DU274" s="12"/>
      <c r="DV274" s="12"/>
      <c r="DW274" s="12"/>
      <c r="DX274" s="12"/>
      <c r="DY274" s="12"/>
      <c r="DZ274" s="12"/>
      <c r="EA274" s="12"/>
      <c r="EB274" s="12"/>
      <c r="EC274" s="12"/>
      <c r="ED274" s="12"/>
    </row>
    <row r="275" spans="1:134" ht="12.5" x14ac:dyDescent="0.25">
      <c r="A275" s="46"/>
      <c r="B275" s="46"/>
      <c r="C275" s="46"/>
      <c r="D275" s="46"/>
      <c r="E275" s="15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46"/>
      <c r="BA275" s="46"/>
      <c r="BB275" s="46"/>
      <c r="BC275" s="46"/>
      <c r="BD275" s="46"/>
      <c r="BE275" s="46"/>
      <c r="BF275" s="12"/>
      <c r="BG275" s="12"/>
      <c r="BH275" s="12"/>
      <c r="BI275" s="46"/>
      <c r="BJ275" s="46"/>
      <c r="BK275" s="46"/>
      <c r="BL275" s="46"/>
      <c r="BM275" s="46"/>
      <c r="BN275" s="46"/>
      <c r="BO275" s="46"/>
      <c r="BP275" s="46"/>
      <c r="BQ275" s="157"/>
      <c r="BR275" s="156"/>
      <c r="BS275" s="46"/>
      <c r="BT275" s="46"/>
      <c r="BU275" s="12"/>
      <c r="BV275" s="12"/>
      <c r="BW275" s="12"/>
      <c r="BX275" s="12"/>
      <c r="BY275" s="12"/>
      <c r="BZ275" s="12"/>
      <c r="CA275" s="12"/>
      <c r="CB275" s="12"/>
      <c r="CC275" s="12"/>
      <c r="CD275" s="12"/>
      <c r="CE275" s="12"/>
      <c r="CF275" s="12"/>
      <c r="CG275" s="12"/>
      <c r="CH275" s="12"/>
      <c r="CI275" s="12"/>
      <c r="CJ275" s="12"/>
      <c r="CK275" s="12"/>
      <c r="CL275" s="2"/>
      <c r="CM275" s="2"/>
      <c r="CN275" s="12"/>
      <c r="CO275" s="12"/>
      <c r="CP275" s="12"/>
      <c r="CQ275" s="12"/>
      <c r="CR275" s="46"/>
      <c r="CS275" s="46"/>
      <c r="CT275" s="2"/>
      <c r="CU275" s="2"/>
      <c r="CV275" s="49"/>
      <c r="CW275" s="49"/>
      <c r="CX275" s="2"/>
      <c r="CY275" s="2"/>
      <c r="CZ275" s="160"/>
      <c r="DA275" s="12"/>
      <c r="DB275" s="12"/>
      <c r="DC275" s="12"/>
      <c r="DD275" s="12"/>
      <c r="DE275" s="12"/>
      <c r="DF275" s="12"/>
      <c r="DG275" s="12"/>
      <c r="DH275" s="12"/>
      <c r="DI275" s="46"/>
      <c r="DJ275" s="48"/>
      <c r="DK275" s="48"/>
      <c r="DL275" s="48"/>
      <c r="DM275" s="13"/>
      <c r="DN275" s="13"/>
      <c r="DO275" s="12"/>
      <c r="DP275" s="12"/>
      <c r="DQ275" s="12"/>
      <c r="DR275" s="12"/>
      <c r="DS275" s="12"/>
      <c r="DT275" s="12"/>
      <c r="DU275" s="12"/>
      <c r="DV275" s="12"/>
      <c r="DW275" s="12"/>
      <c r="DX275" s="12"/>
      <c r="DY275" s="12"/>
      <c r="DZ275" s="12"/>
      <c r="EA275" s="12"/>
      <c r="EB275" s="12"/>
      <c r="EC275" s="12"/>
      <c r="ED275" s="12"/>
    </row>
    <row r="276" spans="1:134" ht="12.5" x14ac:dyDescent="0.25">
      <c r="A276" s="46"/>
      <c r="B276" s="46"/>
      <c r="C276" s="46"/>
      <c r="D276" s="46"/>
      <c r="E276" s="15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46"/>
      <c r="BA276" s="46"/>
      <c r="BB276" s="46"/>
      <c r="BC276" s="46"/>
      <c r="BD276" s="46"/>
      <c r="BE276" s="46"/>
      <c r="BF276" s="12"/>
      <c r="BG276" s="12"/>
      <c r="BH276" s="12"/>
      <c r="BI276" s="46"/>
      <c r="BJ276" s="46"/>
      <c r="BK276" s="46"/>
      <c r="BL276" s="46"/>
      <c r="BM276" s="46"/>
      <c r="BN276" s="46"/>
      <c r="BO276" s="46"/>
      <c r="BP276" s="46"/>
      <c r="BQ276" s="157"/>
      <c r="BR276" s="156"/>
      <c r="BS276" s="46"/>
      <c r="BT276" s="46"/>
      <c r="BU276" s="12"/>
      <c r="BV276" s="12"/>
      <c r="BW276" s="12"/>
      <c r="BX276" s="12"/>
      <c r="BY276" s="12"/>
      <c r="BZ276" s="12"/>
      <c r="CA276" s="12"/>
      <c r="CB276" s="12"/>
      <c r="CC276" s="12"/>
      <c r="CD276" s="12"/>
      <c r="CE276" s="12"/>
      <c r="CF276" s="12"/>
      <c r="CG276" s="12"/>
      <c r="CH276" s="12"/>
      <c r="CI276" s="12"/>
      <c r="CJ276" s="12"/>
      <c r="CK276" s="12"/>
      <c r="CL276" s="2"/>
      <c r="CM276" s="12"/>
      <c r="CN276" s="12"/>
      <c r="CO276" s="12"/>
      <c r="CP276" s="12"/>
      <c r="CQ276" s="12"/>
      <c r="CR276" s="46"/>
      <c r="CS276" s="46"/>
      <c r="CT276" s="2"/>
      <c r="CU276" s="2"/>
      <c r="CV276" s="49"/>
      <c r="CW276" s="49"/>
      <c r="CX276" s="2"/>
      <c r="CY276" s="2"/>
      <c r="CZ276" s="160"/>
      <c r="DA276" s="12"/>
      <c r="DB276" s="12"/>
      <c r="DC276" s="12"/>
      <c r="DD276" s="12"/>
      <c r="DE276" s="12"/>
      <c r="DF276" s="12"/>
      <c r="DG276" s="12"/>
      <c r="DH276" s="12"/>
      <c r="DI276" s="46"/>
      <c r="DJ276" s="48"/>
      <c r="DK276" s="48"/>
      <c r="DL276" s="48"/>
      <c r="DM276" s="13"/>
      <c r="DN276" s="13"/>
      <c r="DO276" s="12"/>
      <c r="DP276" s="12"/>
      <c r="DQ276" s="12"/>
      <c r="DR276" s="12"/>
      <c r="DS276" s="12"/>
      <c r="DT276" s="12"/>
      <c r="DU276" s="12"/>
      <c r="DV276" s="12"/>
      <c r="DW276" s="12"/>
      <c r="DX276" s="12"/>
      <c r="DY276" s="12"/>
      <c r="DZ276" s="12"/>
      <c r="EA276" s="12"/>
      <c r="EB276" s="12"/>
      <c r="EC276" s="12"/>
      <c r="ED276" s="12"/>
    </row>
    <row r="277" spans="1:134" ht="12.5" x14ac:dyDescent="0.25">
      <c r="A277" s="46"/>
      <c r="B277" s="46"/>
      <c r="C277" s="46"/>
      <c r="D277" s="46"/>
      <c r="E277" s="15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46"/>
      <c r="BA277" s="46"/>
      <c r="BB277" s="46"/>
      <c r="BC277" s="46"/>
      <c r="BD277" s="46"/>
      <c r="BE277" s="46"/>
      <c r="BF277" s="12"/>
      <c r="BG277" s="12"/>
      <c r="BH277" s="12"/>
      <c r="BI277" s="46"/>
      <c r="BJ277" s="46"/>
      <c r="BK277" s="46"/>
      <c r="BL277" s="46"/>
      <c r="BM277" s="46"/>
      <c r="BN277" s="46"/>
      <c r="BO277" s="46"/>
      <c r="BP277" s="46"/>
      <c r="BQ277" s="157"/>
      <c r="BR277" s="156"/>
      <c r="BS277" s="46"/>
      <c r="BT277" s="46"/>
      <c r="BU277" s="12"/>
      <c r="BV277" s="12"/>
      <c r="BW277" s="12"/>
      <c r="BX277" s="12"/>
      <c r="BY277" s="12"/>
      <c r="BZ277" s="12"/>
      <c r="CA277" s="12"/>
      <c r="CB277" s="12"/>
      <c r="CC277" s="12"/>
      <c r="CD277" s="12"/>
      <c r="CE277" s="12"/>
      <c r="CF277" s="12"/>
      <c r="CG277" s="12"/>
      <c r="CH277" s="12"/>
      <c r="CI277" s="12"/>
      <c r="CJ277" s="12"/>
      <c r="CK277" s="12"/>
      <c r="CL277" s="2"/>
      <c r="CM277" s="12"/>
      <c r="CN277" s="12"/>
      <c r="CO277" s="12"/>
      <c r="CP277" s="12"/>
      <c r="CQ277" s="12"/>
      <c r="CR277" s="46"/>
      <c r="CS277" s="46"/>
      <c r="CT277" s="2"/>
      <c r="CU277" s="2"/>
      <c r="CV277" s="49"/>
      <c r="CW277" s="49"/>
      <c r="CX277" s="2"/>
      <c r="CY277" s="2"/>
      <c r="CZ277" s="51"/>
      <c r="DA277" s="12"/>
      <c r="DB277" s="12"/>
      <c r="DC277" s="12"/>
      <c r="DD277" s="12"/>
      <c r="DE277" s="12"/>
      <c r="DF277" s="12"/>
      <c r="DG277" s="12"/>
      <c r="DH277" s="12"/>
      <c r="DI277" s="46"/>
      <c r="DJ277" s="48"/>
      <c r="DK277" s="48"/>
      <c r="DL277" s="48"/>
      <c r="DM277" s="13"/>
      <c r="DN277" s="13"/>
      <c r="DO277" s="12"/>
      <c r="DP277" s="12"/>
      <c r="DQ277" s="12"/>
      <c r="DR277" s="12"/>
      <c r="DS277" s="12"/>
      <c r="DT277" s="12"/>
      <c r="DU277" s="12"/>
      <c r="DV277" s="12"/>
      <c r="DW277" s="12"/>
      <c r="DX277" s="12"/>
      <c r="DY277" s="12"/>
      <c r="DZ277" s="12"/>
      <c r="EA277" s="12"/>
      <c r="EB277" s="12"/>
      <c r="EC277" s="12"/>
      <c r="ED277" s="12"/>
    </row>
    <row r="278" spans="1:134" ht="12.5" x14ac:dyDescent="0.25">
      <c r="A278" s="46"/>
      <c r="B278" s="46"/>
      <c r="C278" s="46"/>
      <c r="D278" s="46"/>
      <c r="E278" s="15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46"/>
      <c r="BA278" s="46"/>
      <c r="BB278" s="46"/>
      <c r="BC278" s="46"/>
      <c r="BD278" s="46"/>
      <c r="BE278" s="46"/>
      <c r="BF278" s="12"/>
      <c r="BG278" s="12"/>
      <c r="BH278" s="12"/>
      <c r="BI278" s="46"/>
      <c r="BJ278" s="46"/>
      <c r="BK278" s="46"/>
      <c r="BL278" s="46"/>
      <c r="BM278" s="46"/>
      <c r="BN278" s="46"/>
      <c r="BO278" s="46"/>
      <c r="BP278" s="46"/>
      <c r="BQ278" s="157"/>
      <c r="BR278" s="156"/>
      <c r="BS278" s="46"/>
      <c r="BT278" s="46"/>
      <c r="BU278" s="12"/>
      <c r="BV278" s="12"/>
      <c r="BW278" s="12"/>
      <c r="BX278" s="12"/>
      <c r="BY278" s="12"/>
      <c r="BZ278" s="12"/>
      <c r="CA278" s="12"/>
      <c r="CB278" s="12"/>
      <c r="CC278" s="12"/>
      <c r="CD278" s="12"/>
      <c r="CE278" s="12"/>
      <c r="CF278" s="12"/>
      <c r="CG278" s="12"/>
      <c r="CH278" s="12"/>
      <c r="CI278" s="12"/>
      <c r="CJ278" s="12"/>
      <c r="CK278" s="12"/>
      <c r="CL278" s="2"/>
      <c r="CM278" s="12"/>
      <c r="CN278" s="12"/>
      <c r="CO278" s="12"/>
      <c r="CP278" s="12"/>
      <c r="CQ278" s="12"/>
      <c r="CR278" s="46"/>
      <c r="CS278" s="46"/>
      <c r="CT278" s="2"/>
      <c r="CU278" s="2"/>
      <c r="CV278" s="49"/>
      <c r="CW278" s="49"/>
      <c r="CX278" s="2"/>
      <c r="CY278" s="2"/>
      <c r="CZ278" s="51"/>
      <c r="DA278" s="12"/>
      <c r="DB278" s="12"/>
      <c r="DC278" s="12"/>
      <c r="DD278" s="12"/>
      <c r="DE278" s="12"/>
      <c r="DF278" s="12"/>
      <c r="DG278" s="12"/>
      <c r="DH278" s="12"/>
      <c r="DI278" s="46"/>
      <c r="DJ278" s="48"/>
      <c r="DK278" s="48"/>
      <c r="DL278" s="48"/>
      <c r="DM278" s="13"/>
      <c r="DN278" s="13"/>
      <c r="DO278" s="12"/>
      <c r="DP278" s="12"/>
      <c r="DQ278" s="12"/>
      <c r="DR278" s="12"/>
      <c r="DS278" s="12"/>
      <c r="DT278" s="12"/>
      <c r="DU278" s="12"/>
      <c r="DV278" s="12"/>
      <c r="DW278" s="12"/>
      <c r="DX278" s="12"/>
      <c r="DY278" s="12"/>
      <c r="DZ278" s="12"/>
      <c r="EA278" s="12"/>
      <c r="EB278" s="12"/>
      <c r="EC278" s="12"/>
      <c r="ED278" s="12"/>
    </row>
    <row r="279" spans="1:134" ht="12.5" x14ac:dyDescent="0.25">
      <c r="A279" s="46"/>
      <c r="B279" s="46"/>
      <c r="C279" s="46"/>
      <c r="D279" s="46"/>
      <c r="E279" s="15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46"/>
      <c r="BA279" s="46"/>
      <c r="BB279" s="46"/>
      <c r="BC279" s="46"/>
      <c r="BD279" s="46"/>
      <c r="BE279" s="46"/>
      <c r="BF279" s="12"/>
      <c r="BG279" s="12"/>
      <c r="BH279" s="12"/>
      <c r="BI279" s="46"/>
      <c r="BJ279" s="46"/>
      <c r="BK279" s="46"/>
      <c r="BL279" s="46"/>
      <c r="BM279" s="46"/>
      <c r="BN279" s="46"/>
      <c r="BO279" s="46"/>
      <c r="BP279" s="46"/>
      <c r="BQ279" s="157"/>
      <c r="BR279" s="156"/>
      <c r="BS279" s="46"/>
      <c r="BT279" s="46"/>
      <c r="BU279" s="12"/>
      <c r="BV279" s="12"/>
      <c r="BW279" s="12"/>
      <c r="BX279" s="12"/>
      <c r="BY279" s="12"/>
      <c r="BZ279" s="12"/>
      <c r="CA279" s="12"/>
      <c r="CB279" s="12"/>
      <c r="CC279" s="12"/>
      <c r="CD279" s="12"/>
      <c r="CE279" s="12"/>
      <c r="CF279" s="12"/>
      <c r="CG279" s="12"/>
      <c r="CH279" s="12"/>
      <c r="CI279" s="12"/>
      <c r="CJ279" s="12"/>
      <c r="CK279" s="12"/>
      <c r="CL279" s="2"/>
      <c r="CM279" s="2"/>
      <c r="CN279" s="12"/>
      <c r="CO279" s="12"/>
      <c r="CP279" s="12"/>
      <c r="CQ279" s="12"/>
      <c r="CR279" s="46"/>
      <c r="CS279" s="46"/>
      <c r="CT279" s="2"/>
      <c r="CU279" s="2"/>
      <c r="CV279" s="49"/>
      <c r="CW279" s="49"/>
      <c r="CX279" s="2"/>
      <c r="CY279" s="2"/>
      <c r="CZ279" s="160"/>
      <c r="DA279" s="12"/>
      <c r="DB279" s="12"/>
      <c r="DC279" s="12"/>
      <c r="DD279" s="12"/>
      <c r="DE279" s="12"/>
      <c r="DF279" s="12"/>
      <c r="DG279" s="12"/>
      <c r="DH279" s="12"/>
      <c r="DI279" s="46"/>
      <c r="DJ279" s="48"/>
      <c r="DK279" s="48"/>
      <c r="DL279" s="48"/>
      <c r="DM279" s="13"/>
      <c r="DN279" s="13"/>
      <c r="DO279" s="12"/>
      <c r="DP279" s="12"/>
      <c r="DQ279" s="12"/>
      <c r="DR279" s="12"/>
      <c r="DS279" s="12"/>
      <c r="DT279" s="12"/>
      <c r="DU279" s="12"/>
      <c r="DV279" s="12"/>
      <c r="DW279" s="12"/>
      <c r="DX279" s="12"/>
      <c r="DY279" s="12"/>
      <c r="DZ279" s="12"/>
      <c r="EA279" s="12"/>
      <c r="EB279" s="12"/>
      <c r="EC279" s="12"/>
      <c r="ED279" s="12"/>
    </row>
    <row r="280" spans="1:134" ht="12.5" x14ac:dyDescent="0.25">
      <c r="A280" s="46"/>
      <c r="B280" s="46"/>
      <c r="C280" s="46"/>
      <c r="D280" s="46"/>
      <c r="E280" s="15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46"/>
      <c r="BA280" s="46"/>
      <c r="BB280" s="46"/>
      <c r="BC280" s="46"/>
      <c r="BD280" s="46"/>
      <c r="BE280" s="46"/>
      <c r="BF280" s="12"/>
      <c r="BG280" s="12"/>
      <c r="BH280" s="12"/>
      <c r="BI280" s="46"/>
      <c r="BJ280" s="46"/>
      <c r="BK280" s="46"/>
      <c r="BL280" s="46"/>
      <c r="BM280" s="46"/>
      <c r="BN280" s="46"/>
      <c r="BO280" s="46"/>
      <c r="BP280" s="46"/>
      <c r="BQ280" s="157"/>
      <c r="BR280" s="156"/>
      <c r="BS280" s="46"/>
      <c r="BT280" s="46"/>
      <c r="BU280" s="12"/>
      <c r="BV280" s="12"/>
      <c r="BW280" s="12"/>
      <c r="BX280" s="12"/>
      <c r="BY280" s="12"/>
      <c r="BZ280" s="12"/>
      <c r="CA280" s="12"/>
      <c r="CB280" s="12"/>
      <c r="CC280" s="12"/>
      <c r="CD280" s="12"/>
      <c r="CE280" s="12"/>
      <c r="CF280" s="12"/>
      <c r="CG280" s="12"/>
      <c r="CH280" s="12"/>
      <c r="CI280" s="12"/>
      <c r="CJ280" s="12"/>
      <c r="CK280" s="12"/>
      <c r="CL280" s="2"/>
      <c r="CM280" s="2"/>
      <c r="CN280" s="12"/>
      <c r="CO280" s="12"/>
      <c r="CP280" s="12"/>
      <c r="CQ280" s="12"/>
      <c r="CR280" s="46"/>
      <c r="CS280" s="46"/>
      <c r="CT280" s="2"/>
      <c r="CU280" s="2"/>
      <c r="CV280" s="49"/>
      <c r="CW280" s="49"/>
      <c r="CX280" s="2"/>
      <c r="CY280" s="2"/>
      <c r="CZ280" s="160"/>
      <c r="DA280" s="12"/>
      <c r="DB280" s="12"/>
      <c r="DC280" s="12"/>
      <c r="DD280" s="12"/>
      <c r="DE280" s="12"/>
      <c r="DF280" s="12"/>
      <c r="DG280" s="12"/>
      <c r="DH280" s="12"/>
      <c r="DI280" s="46"/>
      <c r="DJ280" s="48"/>
      <c r="DK280" s="48"/>
      <c r="DL280" s="48"/>
      <c r="DM280" s="13"/>
      <c r="DN280" s="13"/>
      <c r="DO280" s="12"/>
      <c r="DP280" s="12"/>
      <c r="DQ280" s="12"/>
      <c r="DR280" s="12"/>
      <c r="DS280" s="12"/>
      <c r="DT280" s="12"/>
      <c r="DU280" s="12"/>
      <c r="DV280" s="12"/>
      <c r="DW280" s="12"/>
      <c r="DX280" s="12"/>
      <c r="DY280" s="12"/>
      <c r="DZ280" s="12"/>
      <c r="EA280" s="12"/>
      <c r="EB280" s="12"/>
      <c r="EC280" s="12"/>
      <c r="ED280" s="12"/>
    </row>
    <row r="281" spans="1:134" ht="12.5" x14ac:dyDescent="0.25">
      <c r="A281" s="46"/>
      <c r="B281" s="46"/>
      <c r="C281" s="46"/>
      <c r="D281" s="46"/>
      <c r="E281" s="15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46"/>
      <c r="BA281" s="46"/>
      <c r="BB281" s="46"/>
      <c r="BC281" s="46"/>
      <c r="BD281" s="46"/>
      <c r="BE281" s="46"/>
      <c r="BF281" s="12"/>
      <c r="BG281" s="12"/>
      <c r="BH281" s="12"/>
      <c r="BI281" s="46"/>
      <c r="BJ281" s="46"/>
      <c r="BK281" s="46"/>
      <c r="BL281" s="46"/>
      <c r="BM281" s="46"/>
      <c r="BN281" s="46"/>
      <c r="BO281" s="46"/>
      <c r="BP281" s="46"/>
      <c r="BQ281" s="157"/>
      <c r="BR281" s="156"/>
      <c r="BS281" s="46"/>
      <c r="BT281" s="46"/>
      <c r="BU281" s="12"/>
      <c r="BV281" s="12"/>
      <c r="BW281" s="12"/>
      <c r="BX281" s="12"/>
      <c r="BY281" s="12"/>
      <c r="BZ281" s="12"/>
      <c r="CA281" s="12"/>
      <c r="CB281" s="12"/>
      <c r="CC281" s="12"/>
      <c r="CD281" s="12"/>
      <c r="CE281" s="12"/>
      <c r="CF281" s="12"/>
      <c r="CG281" s="12"/>
      <c r="CH281" s="12"/>
      <c r="CI281" s="12"/>
      <c r="CJ281" s="12"/>
      <c r="CK281" s="12"/>
      <c r="CL281" s="2"/>
      <c r="CM281" s="12"/>
      <c r="CN281" s="12"/>
      <c r="CO281" s="12"/>
      <c r="CP281" s="12"/>
      <c r="CQ281" s="12"/>
      <c r="CR281" s="46"/>
      <c r="CS281" s="46"/>
      <c r="CT281" s="2"/>
      <c r="CU281" s="2"/>
      <c r="CV281" s="49"/>
      <c r="CW281" s="49"/>
      <c r="CX281" s="2"/>
      <c r="CY281" s="2"/>
      <c r="CZ281" s="160"/>
      <c r="DA281" s="12"/>
      <c r="DB281" s="12"/>
      <c r="DC281" s="12"/>
      <c r="DD281" s="12"/>
      <c r="DE281" s="12"/>
      <c r="DF281" s="12"/>
      <c r="DG281" s="12"/>
      <c r="DH281" s="12"/>
      <c r="DI281" s="46"/>
      <c r="DJ281" s="48"/>
      <c r="DK281" s="48"/>
      <c r="DL281" s="48"/>
      <c r="DM281" s="13"/>
      <c r="DN281" s="13"/>
      <c r="DO281" s="12"/>
      <c r="DP281" s="12"/>
      <c r="DQ281" s="12"/>
      <c r="DR281" s="12"/>
      <c r="DS281" s="12"/>
      <c r="DT281" s="12"/>
      <c r="DU281" s="12"/>
      <c r="DV281" s="12"/>
      <c r="DW281" s="12"/>
      <c r="DX281" s="12"/>
      <c r="DY281" s="12"/>
      <c r="DZ281" s="12"/>
      <c r="EA281" s="12"/>
      <c r="EB281" s="12"/>
      <c r="EC281" s="12"/>
      <c r="ED281" s="12"/>
    </row>
    <row r="282" spans="1:134" ht="12.5" x14ac:dyDescent="0.25">
      <c r="A282" s="46"/>
      <c r="B282" s="46"/>
      <c r="C282" s="46"/>
      <c r="D282" s="46"/>
      <c r="E282" s="15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46"/>
      <c r="BA282" s="46"/>
      <c r="BB282" s="46"/>
      <c r="BC282" s="46"/>
      <c r="BD282" s="46"/>
      <c r="BE282" s="46"/>
      <c r="BF282" s="12"/>
      <c r="BG282" s="12"/>
      <c r="BH282" s="12"/>
      <c r="BI282" s="46"/>
      <c r="BJ282" s="46"/>
      <c r="BK282" s="46"/>
      <c r="BL282" s="46"/>
      <c r="BM282" s="46"/>
      <c r="BN282" s="46"/>
      <c r="BO282" s="46"/>
      <c r="BP282" s="46"/>
      <c r="BQ282" s="157"/>
      <c r="BR282" s="156"/>
      <c r="BS282" s="46"/>
      <c r="BT282" s="46"/>
      <c r="BU282" s="12"/>
      <c r="BV282" s="12"/>
      <c r="BW282" s="12"/>
      <c r="BX282" s="12"/>
      <c r="BY282" s="12"/>
      <c r="BZ282" s="12"/>
      <c r="CA282" s="12"/>
      <c r="CB282" s="12"/>
      <c r="CC282" s="12"/>
      <c r="CD282" s="12"/>
      <c r="CE282" s="12"/>
      <c r="CF282" s="12"/>
      <c r="CG282" s="12"/>
      <c r="CH282" s="12"/>
      <c r="CI282" s="12"/>
      <c r="CJ282" s="12"/>
      <c r="CK282" s="12"/>
      <c r="CL282" s="2"/>
      <c r="CM282" s="2"/>
      <c r="CN282" s="12"/>
      <c r="CO282" s="12"/>
      <c r="CP282" s="12"/>
      <c r="CQ282" s="12"/>
      <c r="CR282" s="46"/>
      <c r="CS282" s="46"/>
      <c r="CT282" s="2"/>
      <c r="CU282" s="2"/>
      <c r="CV282" s="49"/>
      <c r="CW282" s="49"/>
      <c r="CX282" s="2"/>
      <c r="CY282" s="2"/>
      <c r="CZ282" s="160"/>
      <c r="DA282" s="12"/>
      <c r="DB282" s="12"/>
      <c r="DC282" s="12"/>
      <c r="DD282" s="12"/>
      <c r="DE282" s="12"/>
      <c r="DF282" s="12"/>
      <c r="DG282" s="12"/>
      <c r="DH282" s="12"/>
      <c r="DI282" s="46"/>
      <c r="DJ282" s="48"/>
      <c r="DK282" s="48"/>
      <c r="DL282" s="48"/>
      <c r="DM282" s="13"/>
      <c r="DN282" s="13"/>
      <c r="DO282" s="12"/>
      <c r="DP282" s="12"/>
      <c r="DQ282" s="12"/>
      <c r="DR282" s="12"/>
      <c r="DS282" s="12"/>
      <c r="DT282" s="12"/>
      <c r="DU282" s="12"/>
      <c r="DV282" s="12"/>
      <c r="DW282" s="12"/>
      <c r="DX282" s="12"/>
      <c r="DY282" s="12"/>
      <c r="DZ282" s="12"/>
      <c r="EA282" s="12"/>
      <c r="EB282" s="12"/>
      <c r="EC282" s="12"/>
      <c r="ED282" s="12"/>
    </row>
    <row r="283" spans="1:134" ht="12.5" x14ac:dyDescent="0.25">
      <c r="A283" s="46"/>
      <c r="B283" s="46"/>
      <c r="C283" s="46"/>
      <c r="D283" s="46"/>
      <c r="E283" s="15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46"/>
      <c r="BA283" s="46"/>
      <c r="BB283" s="46"/>
      <c r="BC283" s="46"/>
      <c r="BD283" s="46"/>
      <c r="BE283" s="46"/>
      <c r="BF283" s="12"/>
      <c r="BG283" s="12"/>
      <c r="BH283" s="12"/>
      <c r="BI283" s="46"/>
      <c r="BJ283" s="46"/>
      <c r="BK283" s="46"/>
      <c r="BL283" s="46"/>
      <c r="BM283" s="46"/>
      <c r="BN283" s="46"/>
      <c r="BO283" s="46"/>
      <c r="BP283" s="46"/>
      <c r="BQ283" s="157"/>
      <c r="BR283" s="156"/>
      <c r="BS283" s="46"/>
      <c r="BT283" s="46"/>
      <c r="BU283" s="12"/>
      <c r="BV283" s="12"/>
      <c r="BW283" s="12"/>
      <c r="BX283" s="12"/>
      <c r="BY283" s="12"/>
      <c r="BZ283" s="12"/>
      <c r="CA283" s="12"/>
      <c r="CB283" s="12"/>
      <c r="CC283" s="12"/>
      <c r="CD283" s="12"/>
      <c r="CE283" s="12"/>
      <c r="CF283" s="12"/>
      <c r="CG283" s="12"/>
      <c r="CH283" s="12"/>
      <c r="CI283" s="12"/>
      <c r="CJ283" s="12"/>
      <c r="CK283" s="12"/>
      <c r="CL283" s="2"/>
      <c r="CM283" s="2"/>
      <c r="CN283" s="12"/>
      <c r="CO283" s="12"/>
      <c r="CP283" s="12"/>
      <c r="CQ283" s="12"/>
      <c r="CR283" s="46"/>
      <c r="CS283" s="46"/>
      <c r="CT283" s="2"/>
      <c r="CU283" s="2"/>
      <c r="CV283" s="49"/>
      <c r="CW283" s="49"/>
      <c r="CX283" s="2"/>
      <c r="CY283" s="2"/>
      <c r="CZ283" s="160"/>
      <c r="DA283" s="12"/>
      <c r="DB283" s="12"/>
      <c r="DC283" s="12"/>
      <c r="DD283" s="12"/>
      <c r="DE283" s="12"/>
      <c r="DF283" s="12"/>
      <c r="DG283" s="12"/>
      <c r="DH283" s="12"/>
      <c r="DI283" s="46"/>
      <c r="DJ283" s="48"/>
      <c r="DK283" s="48"/>
      <c r="DL283" s="48"/>
      <c r="DM283" s="13"/>
      <c r="DN283" s="13"/>
      <c r="DO283" s="12"/>
      <c r="DP283" s="12"/>
      <c r="DQ283" s="12"/>
      <c r="DR283" s="12"/>
      <c r="DS283" s="12"/>
      <c r="DT283" s="12"/>
      <c r="DU283" s="12"/>
      <c r="DV283" s="12"/>
      <c r="DW283" s="12"/>
      <c r="DX283" s="12"/>
      <c r="DY283" s="12"/>
      <c r="DZ283" s="12"/>
      <c r="EA283" s="12"/>
      <c r="EB283" s="12"/>
      <c r="EC283" s="12"/>
      <c r="ED283" s="12"/>
    </row>
    <row r="284" spans="1:134" ht="12.5" x14ac:dyDescent="0.25">
      <c r="A284" s="46"/>
      <c r="B284" s="46"/>
      <c r="C284" s="46"/>
      <c r="D284" s="46"/>
      <c r="E284" s="15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46"/>
      <c r="BA284" s="46"/>
      <c r="BB284" s="46"/>
      <c r="BC284" s="46"/>
      <c r="BD284" s="46"/>
      <c r="BE284" s="46"/>
      <c r="BF284" s="12"/>
      <c r="BG284" s="12"/>
      <c r="BH284" s="12"/>
      <c r="BI284" s="46"/>
      <c r="BJ284" s="46"/>
      <c r="BK284" s="46"/>
      <c r="BL284" s="46"/>
      <c r="BM284" s="46"/>
      <c r="BN284" s="46"/>
      <c r="BO284" s="46"/>
      <c r="BP284" s="46"/>
      <c r="BQ284" s="157"/>
      <c r="BR284" s="156"/>
      <c r="BS284" s="46"/>
      <c r="BT284" s="46"/>
      <c r="BU284" s="12"/>
      <c r="BV284" s="12"/>
      <c r="BW284" s="12"/>
      <c r="BX284" s="12"/>
      <c r="BY284" s="12"/>
      <c r="BZ284" s="12"/>
      <c r="CA284" s="12"/>
      <c r="CB284" s="12"/>
      <c r="CC284" s="12"/>
      <c r="CD284" s="12"/>
      <c r="CE284" s="12"/>
      <c r="CF284" s="12"/>
      <c r="CG284" s="12"/>
      <c r="CH284" s="12"/>
      <c r="CI284" s="12"/>
      <c r="CJ284" s="12"/>
      <c r="CK284" s="12"/>
      <c r="CL284" s="2"/>
      <c r="CM284" s="12"/>
      <c r="CN284" s="12"/>
      <c r="CO284" s="12"/>
      <c r="CP284" s="12"/>
      <c r="CQ284" s="12"/>
      <c r="CR284" s="46"/>
      <c r="CS284" s="46"/>
      <c r="CT284" s="2"/>
      <c r="CU284" s="2"/>
      <c r="CV284" s="49"/>
      <c r="CW284" s="49"/>
      <c r="CX284" s="2"/>
      <c r="CY284" s="2"/>
      <c r="CZ284" s="160"/>
      <c r="DA284" s="12"/>
      <c r="DB284" s="12"/>
      <c r="DC284" s="12"/>
      <c r="DD284" s="12"/>
      <c r="DE284" s="12"/>
      <c r="DF284" s="12"/>
      <c r="DG284" s="12"/>
      <c r="DH284" s="12"/>
      <c r="DI284" s="46"/>
      <c r="DJ284" s="48"/>
      <c r="DK284" s="48"/>
      <c r="DL284" s="48"/>
      <c r="DM284" s="13"/>
      <c r="DN284" s="13"/>
      <c r="DO284" s="12"/>
      <c r="DP284" s="12"/>
      <c r="DQ284" s="12"/>
      <c r="DR284" s="12"/>
      <c r="DS284" s="12"/>
      <c r="DT284" s="12"/>
      <c r="DU284" s="12"/>
      <c r="DV284" s="12"/>
      <c r="DW284" s="12"/>
      <c r="DX284" s="12"/>
      <c r="DY284" s="12"/>
      <c r="DZ284" s="12"/>
      <c r="EA284" s="12"/>
      <c r="EB284" s="12"/>
      <c r="EC284" s="12"/>
      <c r="ED284" s="12"/>
    </row>
    <row r="285" spans="1:134" ht="12.5" x14ac:dyDescent="0.25">
      <c r="A285" s="46"/>
      <c r="B285" s="46"/>
      <c r="C285" s="46"/>
      <c r="D285" s="46"/>
      <c r="E285" s="15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46"/>
      <c r="BA285" s="46"/>
      <c r="BB285" s="46"/>
      <c r="BC285" s="46"/>
      <c r="BD285" s="46"/>
      <c r="BE285" s="46"/>
      <c r="BF285" s="12"/>
      <c r="BG285" s="12"/>
      <c r="BH285" s="12"/>
      <c r="BI285" s="46"/>
      <c r="BJ285" s="46"/>
      <c r="BK285" s="46"/>
      <c r="BL285" s="46"/>
      <c r="BM285" s="46"/>
      <c r="BN285" s="46"/>
      <c r="BO285" s="46"/>
      <c r="BP285" s="46"/>
      <c r="BQ285" s="157"/>
      <c r="BR285" s="156"/>
      <c r="BS285" s="46"/>
      <c r="BT285" s="46"/>
      <c r="BU285" s="12"/>
      <c r="BV285" s="12"/>
      <c r="BW285" s="12"/>
      <c r="BX285" s="12"/>
      <c r="BY285" s="12"/>
      <c r="BZ285" s="12"/>
      <c r="CA285" s="12"/>
      <c r="CB285" s="12"/>
      <c r="CC285" s="12"/>
      <c r="CD285" s="12"/>
      <c r="CE285" s="12"/>
      <c r="CF285" s="12"/>
      <c r="CG285" s="12"/>
      <c r="CH285" s="12"/>
      <c r="CI285" s="12"/>
      <c r="CJ285" s="12"/>
      <c r="CK285" s="12"/>
      <c r="CL285" s="2"/>
      <c r="CM285" s="2"/>
      <c r="CN285" s="12"/>
      <c r="CO285" s="12"/>
      <c r="CP285" s="12"/>
      <c r="CQ285" s="12"/>
      <c r="CR285" s="46"/>
      <c r="CS285" s="46"/>
      <c r="CT285" s="2"/>
      <c r="CU285" s="2"/>
      <c r="CV285" s="49"/>
      <c r="CW285" s="49"/>
      <c r="CX285" s="2"/>
      <c r="CY285" s="2"/>
      <c r="CZ285" s="160"/>
      <c r="DA285" s="12"/>
      <c r="DB285" s="12"/>
      <c r="DC285" s="12"/>
      <c r="DD285" s="12"/>
      <c r="DE285" s="12"/>
      <c r="DF285" s="12"/>
      <c r="DG285" s="12"/>
      <c r="DH285" s="12"/>
      <c r="DI285" s="46"/>
      <c r="DJ285" s="48"/>
      <c r="DK285" s="48"/>
      <c r="DL285" s="48"/>
      <c r="DM285" s="13"/>
      <c r="DN285" s="13"/>
      <c r="DO285" s="12"/>
      <c r="DP285" s="12"/>
      <c r="DQ285" s="12"/>
      <c r="DR285" s="12"/>
      <c r="DS285" s="12"/>
      <c r="DT285" s="12"/>
      <c r="DU285" s="12"/>
      <c r="DV285" s="12"/>
      <c r="DW285" s="12"/>
      <c r="DX285" s="12"/>
      <c r="DY285" s="12"/>
      <c r="DZ285" s="12"/>
      <c r="EA285" s="12"/>
      <c r="EB285" s="12"/>
      <c r="EC285" s="12"/>
      <c r="ED285" s="12"/>
    </row>
    <row r="286" spans="1:134" ht="12.5" x14ac:dyDescent="0.25">
      <c r="A286" s="46"/>
      <c r="B286" s="46"/>
      <c r="C286" s="46"/>
      <c r="D286" s="46"/>
      <c r="E286" s="15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46"/>
      <c r="BA286" s="46"/>
      <c r="BB286" s="46"/>
      <c r="BC286" s="46"/>
      <c r="BD286" s="46"/>
      <c r="BE286" s="46"/>
      <c r="BF286" s="12"/>
      <c r="BG286" s="12"/>
      <c r="BH286" s="12"/>
      <c r="BI286" s="46"/>
      <c r="BJ286" s="46"/>
      <c r="BK286" s="46"/>
      <c r="BL286" s="46"/>
      <c r="BM286" s="46"/>
      <c r="BN286" s="46"/>
      <c r="BO286" s="46"/>
      <c r="BP286" s="46"/>
      <c r="BQ286" s="157"/>
      <c r="BR286" s="156"/>
      <c r="BS286" s="46"/>
      <c r="BT286" s="46"/>
      <c r="BU286" s="12"/>
      <c r="BV286" s="12"/>
      <c r="BW286" s="12"/>
      <c r="BX286" s="12"/>
      <c r="BY286" s="12"/>
      <c r="BZ286" s="12"/>
      <c r="CA286" s="12"/>
      <c r="CB286" s="12"/>
      <c r="CC286" s="12"/>
      <c r="CD286" s="12"/>
      <c r="CE286" s="12"/>
      <c r="CF286" s="12"/>
      <c r="CG286" s="12"/>
      <c r="CH286" s="12"/>
      <c r="CI286" s="12"/>
      <c r="CJ286" s="12"/>
      <c r="CK286" s="12"/>
      <c r="CL286" s="2"/>
      <c r="CM286" s="2"/>
      <c r="CN286" s="12"/>
      <c r="CO286" s="12"/>
      <c r="CP286" s="12"/>
      <c r="CQ286" s="12"/>
      <c r="CR286" s="46"/>
      <c r="CS286" s="46"/>
      <c r="CT286" s="2"/>
      <c r="CU286" s="2"/>
      <c r="CV286" s="49"/>
      <c r="CW286" s="49"/>
      <c r="CX286" s="2"/>
      <c r="CY286" s="2"/>
      <c r="CZ286" s="160"/>
      <c r="DA286" s="12"/>
      <c r="DB286" s="12"/>
      <c r="DC286" s="12"/>
      <c r="DD286" s="12"/>
      <c r="DE286" s="12"/>
      <c r="DF286" s="12"/>
      <c r="DG286" s="12"/>
      <c r="DH286" s="12"/>
      <c r="DI286" s="46"/>
      <c r="DJ286" s="48"/>
      <c r="DK286" s="48"/>
      <c r="DL286" s="48"/>
      <c r="DM286" s="13"/>
      <c r="DN286" s="13"/>
      <c r="DO286" s="12"/>
      <c r="DP286" s="12"/>
      <c r="DQ286" s="12"/>
      <c r="DR286" s="12"/>
      <c r="DS286" s="12"/>
      <c r="DT286" s="12"/>
      <c r="DU286" s="12"/>
      <c r="DV286" s="12"/>
      <c r="DW286" s="12"/>
      <c r="DX286" s="12"/>
      <c r="DY286" s="12"/>
      <c r="DZ286" s="12"/>
      <c r="EA286" s="12"/>
      <c r="EB286" s="12"/>
      <c r="EC286" s="12"/>
      <c r="ED286" s="12"/>
    </row>
    <row r="287" spans="1:134" ht="12.5" x14ac:dyDescent="0.25">
      <c r="A287" s="46"/>
      <c r="B287" s="46"/>
      <c r="C287" s="46"/>
      <c r="D287" s="46"/>
      <c r="E287" s="15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46"/>
      <c r="BA287" s="46"/>
      <c r="BB287" s="46"/>
      <c r="BC287" s="46"/>
      <c r="BD287" s="46"/>
      <c r="BE287" s="46"/>
      <c r="BF287" s="12"/>
      <c r="BG287" s="12"/>
      <c r="BH287" s="12"/>
      <c r="BI287" s="46"/>
      <c r="BJ287" s="46"/>
      <c r="BK287" s="46"/>
      <c r="BL287" s="46"/>
      <c r="BM287" s="46"/>
      <c r="BN287" s="46"/>
      <c r="BO287" s="46"/>
      <c r="BP287" s="46"/>
      <c r="BQ287" s="157"/>
      <c r="BR287" s="156"/>
      <c r="BS287" s="46"/>
      <c r="BT287" s="46"/>
      <c r="BU287" s="12"/>
      <c r="BV287" s="12"/>
      <c r="BW287" s="12"/>
      <c r="BX287" s="12"/>
      <c r="BY287" s="12"/>
      <c r="BZ287" s="12"/>
      <c r="CA287" s="12"/>
      <c r="CB287" s="12"/>
      <c r="CC287" s="12"/>
      <c r="CD287" s="12"/>
      <c r="CE287" s="12"/>
      <c r="CF287" s="12"/>
      <c r="CG287" s="12"/>
      <c r="CH287" s="12"/>
      <c r="CI287" s="12"/>
      <c r="CJ287" s="12"/>
      <c r="CK287" s="12"/>
      <c r="CL287" s="2"/>
      <c r="CM287" s="2"/>
      <c r="CN287" s="12"/>
      <c r="CO287" s="12"/>
      <c r="CP287" s="12"/>
      <c r="CQ287" s="12"/>
      <c r="CR287" s="46"/>
      <c r="CS287" s="46"/>
      <c r="CT287" s="2"/>
      <c r="CU287" s="2"/>
      <c r="CV287" s="49"/>
      <c r="CW287" s="49"/>
      <c r="CX287" s="2"/>
      <c r="CY287" s="2"/>
      <c r="CZ287" s="160"/>
      <c r="DA287" s="12"/>
      <c r="DB287" s="12"/>
      <c r="DC287" s="12"/>
      <c r="DD287" s="12"/>
      <c r="DE287" s="12"/>
      <c r="DF287" s="12"/>
      <c r="DG287" s="12"/>
      <c r="DH287" s="12"/>
      <c r="DI287" s="46"/>
      <c r="DJ287" s="48"/>
      <c r="DK287" s="48"/>
      <c r="DL287" s="48"/>
      <c r="DM287" s="13"/>
      <c r="DN287" s="13"/>
      <c r="DO287" s="12"/>
      <c r="DP287" s="12"/>
      <c r="DQ287" s="12"/>
      <c r="DR287" s="12"/>
      <c r="DS287" s="12"/>
      <c r="DT287" s="12"/>
      <c r="DU287" s="12"/>
      <c r="DV287" s="12"/>
      <c r="DW287" s="12"/>
      <c r="DX287" s="12"/>
      <c r="DY287" s="12"/>
      <c r="DZ287" s="12"/>
      <c r="EA287" s="12"/>
      <c r="EB287" s="12"/>
      <c r="EC287" s="12"/>
      <c r="ED287" s="12"/>
    </row>
    <row r="288" spans="1:134" ht="12.5" x14ac:dyDescent="0.25">
      <c r="A288" s="46"/>
      <c r="B288" s="46"/>
      <c r="C288" s="46"/>
      <c r="D288" s="46"/>
      <c r="E288" s="15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46"/>
      <c r="BA288" s="46"/>
      <c r="BB288" s="46"/>
      <c r="BC288" s="46"/>
      <c r="BD288" s="46"/>
      <c r="BE288" s="46"/>
      <c r="BF288" s="12"/>
      <c r="BG288" s="12"/>
      <c r="BH288" s="12"/>
      <c r="BI288" s="46"/>
      <c r="BJ288" s="46"/>
      <c r="BK288" s="46"/>
      <c r="BL288" s="46"/>
      <c r="BM288" s="46"/>
      <c r="BN288" s="46"/>
      <c r="BO288" s="46"/>
      <c r="BP288" s="46"/>
      <c r="BQ288" s="157"/>
      <c r="BR288" s="156"/>
      <c r="BS288" s="46"/>
      <c r="BT288" s="46"/>
      <c r="BU288" s="12"/>
      <c r="BV288" s="12"/>
      <c r="BW288" s="12"/>
      <c r="BX288" s="12"/>
      <c r="BY288" s="12"/>
      <c r="BZ288" s="12"/>
      <c r="CA288" s="12"/>
      <c r="CB288" s="12"/>
      <c r="CC288" s="12"/>
      <c r="CD288" s="12"/>
      <c r="CE288" s="12"/>
      <c r="CF288" s="12"/>
      <c r="CG288" s="12"/>
      <c r="CH288" s="12"/>
      <c r="CI288" s="12"/>
      <c r="CJ288" s="12"/>
      <c r="CK288" s="12"/>
      <c r="CL288" s="2"/>
      <c r="CM288" s="2"/>
      <c r="CN288" s="12"/>
      <c r="CO288" s="12"/>
      <c r="CP288" s="12"/>
      <c r="CQ288" s="12"/>
      <c r="CR288" s="46"/>
      <c r="CS288" s="46"/>
      <c r="CT288" s="2"/>
      <c r="CU288" s="2"/>
      <c r="CV288" s="49"/>
      <c r="CW288" s="49"/>
      <c r="CX288" s="2"/>
      <c r="CY288" s="2"/>
      <c r="CZ288" s="160"/>
      <c r="DA288" s="12"/>
      <c r="DB288" s="12"/>
      <c r="DC288" s="12"/>
      <c r="DD288" s="12"/>
      <c r="DE288" s="12"/>
      <c r="DF288" s="12"/>
      <c r="DG288" s="12"/>
      <c r="DH288" s="12"/>
      <c r="DI288" s="46"/>
      <c r="DJ288" s="48"/>
      <c r="DK288" s="48"/>
      <c r="DL288" s="48"/>
      <c r="DM288" s="13"/>
      <c r="DN288" s="13"/>
      <c r="DO288" s="12"/>
      <c r="DP288" s="12"/>
      <c r="DQ288" s="12"/>
      <c r="DR288" s="12"/>
      <c r="DS288" s="12"/>
      <c r="DT288" s="12"/>
      <c r="DU288" s="12"/>
      <c r="DV288" s="12"/>
      <c r="DW288" s="12"/>
      <c r="DX288" s="12"/>
      <c r="DY288" s="12"/>
      <c r="DZ288" s="12"/>
      <c r="EA288" s="12"/>
      <c r="EB288" s="12"/>
      <c r="EC288" s="12"/>
      <c r="ED288" s="12"/>
    </row>
    <row r="289" spans="1:134" ht="12.5" x14ac:dyDescent="0.25">
      <c r="A289" s="46"/>
      <c r="B289" s="46"/>
      <c r="C289" s="46"/>
      <c r="D289" s="46"/>
      <c r="E289" s="15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46"/>
      <c r="BA289" s="46"/>
      <c r="BB289" s="46"/>
      <c r="BC289" s="46"/>
      <c r="BD289" s="46"/>
      <c r="BE289" s="46"/>
      <c r="BF289" s="12"/>
      <c r="BG289" s="12"/>
      <c r="BH289" s="12"/>
      <c r="BI289" s="46"/>
      <c r="BJ289" s="46"/>
      <c r="BK289" s="46"/>
      <c r="BL289" s="46"/>
      <c r="BM289" s="46"/>
      <c r="BN289" s="46"/>
      <c r="BO289" s="46"/>
      <c r="BP289" s="46"/>
      <c r="BQ289" s="157"/>
      <c r="BR289" s="156"/>
      <c r="BS289" s="46"/>
      <c r="BT289" s="46"/>
      <c r="BU289" s="12"/>
      <c r="BV289" s="12"/>
      <c r="BW289" s="12"/>
      <c r="BX289" s="12"/>
      <c r="BY289" s="12"/>
      <c r="BZ289" s="12"/>
      <c r="CA289" s="12"/>
      <c r="CB289" s="12"/>
      <c r="CC289" s="12"/>
      <c r="CD289" s="12"/>
      <c r="CE289" s="12"/>
      <c r="CF289" s="12"/>
      <c r="CG289" s="12"/>
      <c r="CH289" s="12"/>
      <c r="CI289" s="12"/>
      <c r="CJ289" s="12"/>
      <c r="CK289" s="12"/>
      <c r="CL289" s="2"/>
      <c r="CM289" s="156"/>
      <c r="CN289" s="12"/>
      <c r="CO289" s="12"/>
      <c r="CP289" s="12"/>
      <c r="CQ289" s="12"/>
      <c r="CR289" s="46"/>
      <c r="CS289" s="46"/>
      <c r="CT289" s="2"/>
      <c r="CU289" s="2"/>
      <c r="CV289" s="49"/>
      <c r="CW289" s="49"/>
      <c r="CX289" s="2"/>
      <c r="CY289" s="2"/>
      <c r="CZ289" s="160"/>
      <c r="DA289" s="12"/>
      <c r="DB289" s="12"/>
      <c r="DC289" s="12"/>
      <c r="DD289" s="12"/>
      <c r="DE289" s="12"/>
      <c r="DF289" s="12"/>
      <c r="DG289" s="12"/>
      <c r="DH289" s="12"/>
      <c r="DI289" s="46"/>
      <c r="DJ289" s="48"/>
      <c r="DK289" s="48"/>
      <c r="DL289" s="48"/>
      <c r="DM289" s="13"/>
      <c r="DN289" s="13"/>
      <c r="DO289" s="12"/>
      <c r="DP289" s="12"/>
      <c r="DQ289" s="12"/>
      <c r="DR289" s="12"/>
      <c r="DS289" s="12"/>
      <c r="DT289" s="12"/>
      <c r="DU289" s="12"/>
      <c r="DV289" s="12"/>
      <c r="DW289" s="12"/>
      <c r="DX289" s="12"/>
      <c r="DY289" s="12"/>
      <c r="DZ289" s="12"/>
      <c r="EA289" s="12"/>
      <c r="EB289" s="12"/>
      <c r="EC289" s="12"/>
      <c r="ED289" s="12"/>
    </row>
    <row r="290" spans="1:134" ht="12.5" x14ac:dyDescent="0.25">
      <c r="A290" s="46"/>
      <c r="B290" s="46"/>
      <c r="C290" s="46"/>
      <c r="D290" s="46"/>
      <c r="E290" s="15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46"/>
      <c r="BA290" s="46"/>
      <c r="BB290" s="46"/>
      <c r="BC290" s="46"/>
      <c r="BD290" s="46"/>
      <c r="BE290" s="46"/>
      <c r="BF290" s="12"/>
      <c r="BG290" s="12"/>
      <c r="BH290" s="12"/>
      <c r="BI290" s="46"/>
      <c r="BJ290" s="46"/>
      <c r="BK290" s="46"/>
      <c r="BL290" s="46"/>
      <c r="BM290" s="46"/>
      <c r="BN290" s="46"/>
      <c r="BO290" s="46"/>
      <c r="BP290" s="46"/>
      <c r="BQ290" s="157"/>
      <c r="BR290" s="156"/>
      <c r="BS290" s="46"/>
      <c r="BT290" s="46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/>
      <c r="CH290" s="12"/>
      <c r="CI290" s="12"/>
      <c r="CJ290" s="12"/>
      <c r="CK290" s="12"/>
      <c r="CL290" s="2"/>
      <c r="CM290" s="2"/>
      <c r="CN290" s="12"/>
      <c r="CO290" s="12"/>
      <c r="CP290" s="12"/>
      <c r="CQ290" s="12"/>
      <c r="CR290" s="46"/>
      <c r="CS290" s="46"/>
      <c r="CT290" s="2"/>
      <c r="CU290" s="2"/>
      <c r="CV290" s="49"/>
      <c r="CW290" s="49"/>
      <c r="CX290" s="2"/>
      <c r="CY290" s="2"/>
      <c r="CZ290" s="160"/>
      <c r="DA290" s="12"/>
      <c r="DB290" s="12"/>
      <c r="DC290" s="12"/>
      <c r="DD290" s="12"/>
      <c r="DE290" s="12"/>
      <c r="DF290" s="12"/>
      <c r="DG290" s="12"/>
      <c r="DH290" s="12"/>
      <c r="DI290" s="46"/>
      <c r="DJ290" s="48"/>
      <c r="DK290" s="48"/>
      <c r="DL290" s="48"/>
      <c r="DM290" s="13"/>
      <c r="DN290" s="13"/>
      <c r="DO290" s="12"/>
      <c r="DP290" s="12"/>
      <c r="DQ290" s="12"/>
      <c r="DR290" s="12"/>
      <c r="DS290" s="12"/>
      <c r="DT290" s="12"/>
      <c r="DU290" s="12"/>
      <c r="DV290" s="12"/>
      <c r="DW290" s="12"/>
      <c r="DX290" s="12"/>
      <c r="DY290" s="12"/>
      <c r="DZ290" s="12"/>
      <c r="EA290" s="12"/>
      <c r="EB290" s="12"/>
      <c r="EC290" s="12"/>
      <c r="ED290" s="12"/>
    </row>
    <row r="291" spans="1:134" ht="12.5" x14ac:dyDescent="0.25">
      <c r="A291" s="46"/>
      <c r="B291" s="46"/>
      <c r="C291" s="46"/>
      <c r="D291" s="46"/>
      <c r="E291" s="15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46"/>
      <c r="BA291" s="46"/>
      <c r="BB291" s="46"/>
      <c r="BC291" s="46"/>
      <c r="BD291" s="46"/>
      <c r="BE291" s="46"/>
      <c r="BF291" s="12"/>
      <c r="BG291" s="12"/>
      <c r="BH291" s="12"/>
      <c r="BI291" s="46"/>
      <c r="BJ291" s="46"/>
      <c r="BK291" s="46"/>
      <c r="BL291" s="46"/>
      <c r="BM291" s="46"/>
      <c r="BN291" s="46"/>
      <c r="BO291" s="46"/>
      <c r="BP291" s="46"/>
      <c r="BQ291" s="157"/>
      <c r="BR291" s="156"/>
      <c r="BS291" s="46"/>
      <c r="BT291" s="46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2"/>
      <c r="CM291" s="156"/>
      <c r="CN291" s="12"/>
      <c r="CO291" s="12"/>
      <c r="CP291" s="12"/>
      <c r="CQ291" s="12"/>
      <c r="CR291" s="46"/>
      <c r="CS291" s="46"/>
      <c r="CT291" s="2"/>
      <c r="CU291" s="2"/>
      <c r="CV291" s="49"/>
      <c r="CW291" s="49"/>
      <c r="CX291" s="2"/>
      <c r="CY291" s="2"/>
      <c r="CZ291" s="160"/>
      <c r="DA291" s="12"/>
      <c r="DB291" s="12"/>
      <c r="DC291" s="12"/>
      <c r="DD291" s="12"/>
      <c r="DE291" s="12"/>
      <c r="DF291" s="12"/>
      <c r="DG291" s="12"/>
      <c r="DH291" s="12"/>
      <c r="DI291" s="46"/>
      <c r="DJ291" s="48"/>
      <c r="DK291" s="48"/>
      <c r="DL291" s="48"/>
      <c r="DM291" s="13"/>
      <c r="DN291" s="13"/>
      <c r="DO291" s="12"/>
      <c r="DP291" s="12"/>
      <c r="DQ291" s="12"/>
      <c r="DR291" s="12"/>
      <c r="DS291" s="12"/>
      <c r="DT291" s="12"/>
      <c r="DU291" s="12"/>
      <c r="DV291" s="12"/>
      <c r="DW291" s="12"/>
      <c r="DX291" s="12"/>
      <c r="DY291" s="12"/>
      <c r="DZ291" s="12"/>
      <c r="EA291" s="12"/>
      <c r="EB291" s="12"/>
      <c r="EC291" s="12"/>
      <c r="ED291" s="12"/>
    </row>
    <row r="292" spans="1:134" ht="12.5" x14ac:dyDescent="0.25">
      <c r="A292" s="46"/>
      <c r="B292" s="46"/>
      <c r="C292" s="46"/>
      <c r="D292" s="46"/>
      <c r="E292" s="15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46"/>
      <c r="BA292" s="46"/>
      <c r="BB292" s="46"/>
      <c r="BC292" s="46"/>
      <c r="BD292" s="46"/>
      <c r="BE292" s="46"/>
      <c r="BF292" s="12"/>
      <c r="BG292" s="12"/>
      <c r="BH292" s="12"/>
      <c r="BI292" s="46"/>
      <c r="BJ292" s="46"/>
      <c r="BK292" s="46"/>
      <c r="BL292" s="46"/>
      <c r="BM292" s="46"/>
      <c r="BN292" s="46"/>
      <c r="BO292" s="46"/>
      <c r="BP292" s="46"/>
      <c r="BQ292" s="157"/>
      <c r="BR292" s="156"/>
      <c r="BS292" s="46"/>
      <c r="BT292" s="46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2"/>
      <c r="CM292" s="156"/>
      <c r="CN292" s="12"/>
      <c r="CO292" s="12"/>
      <c r="CP292" s="12"/>
      <c r="CQ292" s="12"/>
      <c r="CR292" s="46"/>
      <c r="CS292" s="46"/>
      <c r="CT292" s="2"/>
      <c r="CU292" s="2"/>
      <c r="CV292" s="49"/>
      <c r="CW292" s="49"/>
      <c r="CX292" s="2"/>
      <c r="CY292" s="2"/>
      <c r="CZ292" s="160"/>
      <c r="DA292" s="12"/>
      <c r="DB292" s="12"/>
      <c r="DC292" s="12"/>
      <c r="DD292" s="12"/>
      <c r="DE292" s="12"/>
      <c r="DF292" s="12"/>
      <c r="DG292" s="12"/>
      <c r="DH292" s="12"/>
      <c r="DI292" s="46"/>
      <c r="DJ292" s="48"/>
      <c r="DK292" s="48"/>
      <c r="DL292" s="48"/>
      <c r="DM292" s="13"/>
      <c r="DN292" s="13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</row>
    <row r="293" spans="1:134" ht="12.5" x14ac:dyDescent="0.25">
      <c r="A293" s="46"/>
      <c r="B293" s="46"/>
      <c r="C293" s="46"/>
      <c r="D293" s="46"/>
      <c r="E293" s="15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46"/>
      <c r="BA293" s="46"/>
      <c r="BB293" s="46"/>
      <c r="BC293" s="46"/>
      <c r="BD293" s="46"/>
      <c r="BE293" s="46"/>
      <c r="BF293" s="12"/>
      <c r="BG293" s="12"/>
      <c r="BH293" s="12"/>
      <c r="BI293" s="46"/>
      <c r="BJ293" s="46"/>
      <c r="BK293" s="46"/>
      <c r="BL293" s="46"/>
      <c r="BM293" s="46"/>
      <c r="BN293" s="46"/>
      <c r="BO293" s="46"/>
      <c r="BP293" s="46"/>
      <c r="BQ293" s="157"/>
      <c r="BR293" s="156"/>
      <c r="BS293" s="46"/>
      <c r="BT293" s="46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2"/>
      <c r="CM293" s="156"/>
      <c r="CN293" s="12"/>
      <c r="CO293" s="12"/>
      <c r="CP293" s="12"/>
      <c r="CQ293" s="12"/>
      <c r="CR293" s="46"/>
      <c r="CS293" s="46"/>
      <c r="CT293" s="2"/>
      <c r="CU293" s="2"/>
      <c r="CV293" s="49"/>
      <c r="CW293" s="49"/>
      <c r="CX293" s="2"/>
      <c r="CY293" s="2"/>
      <c r="CZ293" s="160"/>
      <c r="DA293" s="12"/>
      <c r="DB293" s="12"/>
      <c r="DC293" s="12"/>
      <c r="DD293" s="12"/>
      <c r="DE293" s="12"/>
      <c r="DF293" s="12"/>
      <c r="DG293" s="12"/>
      <c r="DH293" s="12"/>
      <c r="DI293" s="46"/>
      <c r="DJ293" s="48"/>
      <c r="DK293" s="48"/>
      <c r="DL293" s="48"/>
      <c r="DM293" s="13"/>
      <c r="DN293" s="13"/>
      <c r="DO293" s="12"/>
      <c r="DP293" s="12"/>
      <c r="DQ293" s="12"/>
      <c r="DR293" s="12"/>
      <c r="DS293" s="12"/>
      <c r="DT293" s="12"/>
      <c r="DU293" s="12"/>
      <c r="DV293" s="12"/>
      <c r="DW293" s="12"/>
      <c r="DX293" s="12"/>
      <c r="DY293" s="12"/>
      <c r="DZ293" s="12"/>
      <c r="EA293" s="12"/>
      <c r="EB293" s="12"/>
      <c r="EC293" s="12"/>
      <c r="ED293" s="12"/>
    </row>
    <row r="294" spans="1:134" ht="12.5" x14ac:dyDescent="0.25">
      <c r="A294" s="46"/>
      <c r="B294" s="46"/>
      <c r="C294" s="46"/>
      <c r="D294" s="46"/>
      <c r="E294" s="15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46"/>
      <c r="BA294" s="46"/>
      <c r="BB294" s="46"/>
      <c r="BC294" s="46"/>
      <c r="BD294" s="46"/>
      <c r="BE294" s="46"/>
      <c r="BF294" s="12"/>
      <c r="BG294" s="12"/>
      <c r="BH294" s="12"/>
      <c r="BI294" s="46"/>
      <c r="BJ294" s="46"/>
      <c r="BK294" s="46"/>
      <c r="BL294" s="46"/>
      <c r="BM294" s="46"/>
      <c r="BN294" s="46"/>
      <c r="BO294" s="46"/>
      <c r="BP294" s="46"/>
      <c r="BQ294" s="157"/>
      <c r="BR294" s="156"/>
      <c r="BS294" s="46"/>
      <c r="BT294" s="46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2"/>
      <c r="CM294" s="2"/>
      <c r="CN294" s="12"/>
      <c r="CO294" s="12"/>
      <c r="CP294" s="12"/>
      <c r="CQ294" s="12"/>
      <c r="CR294" s="46"/>
      <c r="CS294" s="46"/>
      <c r="CT294" s="2"/>
      <c r="CU294" s="2"/>
      <c r="CV294" s="49"/>
      <c r="CW294" s="49"/>
      <c r="CX294" s="2"/>
      <c r="CY294" s="2"/>
      <c r="CZ294" s="160"/>
      <c r="DA294" s="12"/>
      <c r="DB294" s="12"/>
      <c r="DC294" s="12"/>
      <c r="DD294" s="12"/>
      <c r="DE294" s="12"/>
      <c r="DF294" s="12"/>
      <c r="DG294" s="12"/>
      <c r="DH294" s="12"/>
      <c r="DI294" s="46"/>
      <c r="DJ294" s="48"/>
      <c r="DK294" s="48"/>
      <c r="DL294" s="48"/>
      <c r="DM294" s="13"/>
      <c r="DN294" s="13"/>
      <c r="DO294" s="12"/>
      <c r="DP294" s="12"/>
      <c r="DQ294" s="12"/>
      <c r="DR294" s="12"/>
      <c r="DS294" s="12"/>
      <c r="DT294" s="12"/>
      <c r="DU294" s="12"/>
      <c r="DV294" s="12"/>
      <c r="DW294" s="12"/>
      <c r="DX294" s="12"/>
      <c r="DY294" s="12"/>
      <c r="DZ294" s="12"/>
      <c r="EA294" s="12"/>
      <c r="EB294" s="12"/>
      <c r="EC294" s="12"/>
      <c r="ED294" s="12"/>
    </row>
    <row r="295" spans="1:134" ht="12.5" x14ac:dyDescent="0.25">
      <c r="A295" s="46"/>
      <c r="B295" s="46"/>
      <c r="C295" s="46"/>
      <c r="D295" s="46"/>
      <c r="E295" s="15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46"/>
      <c r="BA295" s="46"/>
      <c r="BB295" s="46"/>
      <c r="BC295" s="46"/>
      <c r="BD295" s="46"/>
      <c r="BE295" s="46"/>
      <c r="BF295" s="12"/>
      <c r="BG295" s="12"/>
      <c r="BH295" s="12"/>
      <c r="BI295" s="46"/>
      <c r="BJ295" s="46"/>
      <c r="BK295" s="46"/>
      <c r="BL295" s="46"/>
      <c r="BM295" s="46"/>
      <c r="BN295" s="46"/>
      <c r="BO295" s="46"/>
      <c r="BP295" s="46"/>
      <c r="BQ295" s="157"/>
      <c r="BR295" s="156"/>
      <c r="BS295" s="46"/>
      <c r="BT295" s="46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2"/>
      <c r="CM295" s="2"/>
      <c r="CN295" s="12"/>
      <c r="CO295" s="12"/>
      <c r="CP295" s="12"/>
      <c r="CQ295" s="12"/>
      <c r="CR295" s="46"/>
      <c r="CS295" s="46"/>
      <c r="CT295" s="2"/>
      <c r="CU295" s="2"/>
      <c r="CV295" s="49"/>
      <c r="CW295" s="49"/>
      <c r="CX295" s="2"/>
      <c r="CY295" s="2"/>
      <c r="CZ295" s="160"/>
      <c r="DA295" s="12"/>
      <c r="DB295" s="12"/>
      <c r="DC295" s="12"/>
      <c r="DD295" s="12"/>
      <c r="DE295" s="12"/>
      <c r="DF295" s="12"/>
      <c r="DG295" s="12"/>
      <c r="DH295" s="12"/>
      <c r="DI295" s="46"/>
      <c r="DJ295" s="48"/>
      <c r="DK295" s="48"/>
      <c r="DL295" s="48"/>
      <c r="DM295" s="13"/>
      <c r="DN295" s="13"/>
      <c r="DO295" s="12"/>
      <c r="DP295" s="12"/>
      <c r="DQ295" s="12"/>
      <c r="DR295" s="12"/>
      <c r="DS295" s="12"/>
      <c r="DT295" s="12"/>
      <c r="DU295" s="12"/>
      <c r="DV295" s="12"/>
      <c r="DW295" s="12"/>
      <c r="DX295" s="12"/>
      <c r="DY295" s="12"/>
      <c r="DZ295" s="12"/>
      <c r="EA295" s="12"/>
      <c r="EB295" s="12"/>
      <c r="EC295" s="12"/>
      <c r="ED295" s="12"/>
    </row>
    <row r="296" spans="1:134" ht="12.5" x14ac:dyDescent="0.25">
      <c r="A296" s="46"/>
      <c r="B296" s="46"/>
      <c r="C296" s="46"/>
      <c r="D296" s="46"/>
      <c r="E296" s="15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46"/>
      <c r="BA296" s="46"/>
      <c r="BB296" s="46"/>
      <c r="BC296" s="46"/>
      <c r="BD296" s="46"/>
      <c r="BE296" s="46"/>
      <c r="BF296" s="12"/>
      <c r="BG296" s="12"/>
      <c r="BH296" s="12"/>
      <c r="BI296" s="46"/>
      <c r="BJ296" s="46"/>
      <c r="BK296" s="46"/>
      <c r="BL296" s="46"/>
      <c r="BM296" s="46"/>
      <c r="BN296" s="46"/>
      <c r="BO296" s="46"/>
      <c r="BP296" s="46"/>
      <c r="BQ296" s="157"/>
      <c r="BR296" s="156"/>
      <c r="BS296" s="46"/>
      <c r="BT296" s="46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2"/>
      <c r="CM296" s="2"/>
      <c r="CN296" s="12"/>
      <c r="CO296" s="12"/>
      <c r="CP296" s="12"/>
      <c r="CQ296" s="12"/>
      <c r="CR296" s="46"/>
      <c r="CS296" s="46"/>
      <c r="CT296" s="2"/>
      <c r="CU296" s="2"/>
      <c r="CV296" s="49"/>
      <c r="CW296" s="49"/>
      <c r="CX296" s="2"/>
      <c r="CY296" s="2"/>
      <c r="CZ296" s="160"/>
      <c r="DA296" s="12"/>
      <c r="DB296" s="12"/>
      <c r="DC296" s="12"/>
      <c r="DD296" s="12"/>
      <c r="DE296" s="12"/>
      <c r="DF296" s="12"/>
      <c r="DG296" s="12"/>
      <c r="DH296" s="12"/>
      <c r="DI296" s="46"/>
      <c r="DJ296" s="48"/>
      <c r="DK296" s="48"/>
      <c r="DL296" s="48"/>
      <c r="DM296" s="13"/>
      <c r="DN296" s="13"/>
      <c r="DO296" s="12"/>
      <c r="DP296" s="12"/>
      <c r="DQ296" s="12"/>
      <c r="DR296" s="12"/>
      <c r="DS296" s="12"/>
      <c r="DT296" s="12"/>
      <c r="DU296" s="12"/>
      <c r="DV296" s="12"/>
      <c r="DW296" s="12"/>
      <c r="DX296" s="12"/>
      <c r="DY296" s="12"/>
      <c r="DZ296" s="12"/>
      <c r="EA296" s="12"/>
      <c r="EB296" s="12"/>
      <c r="EC296" s="12"/>
      <c r="ED296" s="12"/>
    </row>
    <row r="297" spans="1:134" ht="12.5" x14ac:dyDescent="0.25">
      <c r="A297" s="46"/>
      <c r="B297" s="46"/>
      <c r="C297" s="46"/>
      <c r="D297" s="46"/>
      <c r="E297" s="15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46"/>
      <c r="BA297" s="46"/>
      <c r="BB297" s="46"/>
      <c r="BC297" s="46"/>
      <c r="BD297" s="46"/>
      <c r="BE297" s="46"/>
      <c r="BF297" s="12"/>
      <c r="BG297" s="12"/>
      <c r="BH297" s="12"/>
      <c r="BI297" s="46"/>
      <c r="BJ297" s="46"/>
      <c r="BK297" s="46"/>
      <c r="BL297" s="46"/>
      <c r="BM297" s="46"/>
      <c r="BN297" s="46"/>
      <c r="BO297" s="46"/>
      <c r="BP297" s="46"/>
      <c r="BQ297" s="157"/>
      <c r="BR297" s="156"/>
      <c r="BS297" s="46"/>
      <c r="BT297" s="46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  <c r="CJ297" s="12"/>
      <c r="CK297" s="12"/>
      <c r="CL297" s="2"/>
      <c r="CM297" s="12"/>
      <c r="CN297" s="12"/>
      <c r="CO297" s="12"/>
      <c r="CP297" s="12"/>
      <c r="CQ297" s="12"/>
      <c r="CR297" s="46"/>
      <c r="CS297" s="46"/>
      <c r="CT297" s="2"/>
      <c r="CU297" s="2"/>
      <c r="CV297" s="49"/>
      <c r="CW297" s="49"/>
      <c r="CX297" s="2"/>
      <c r="CY297" s="2"/>
      <c r="CZ297" s="160"/>
      <c r="DA297" s="12"/>
      <c r="DB297" s="12"/>
      <c r="DC297" s="12"/>
      <c r="DD297" s="12"/>
      <c r="DE297" s="12"/>
      <c r="DF297" s="12"/>
      <c r="DG297" s="12"/>
      <c r="DH297" s="12"/>
      <c r="DI297" s="46"/>
      <c r="DJ297" s="48"/>
      <c r="DK297" s="48"/>
      <c r="DL297" s="48"/>
      <c r="DM297" s="13"/>
      <c r="DN297" s="13"/>
      <c r="DO297" s="12"/>
      <c r="DP297" s="12"/>
      <c r="DQ297" s="12"/>
      <c r="DR297" s="12"/>
      <c r="DS297" s="12"/>
      <c r="DT297" s="12"/>
      <c r="DU297" s="12"/>
      <c r="DV297" s="12"/>
      <c r="DW297" s="12"/>
      <c r="DX297" s="12"/>
      <c r="DY297" s="12"/>
      <c r="DZ297" s="12"/>
      <c r="EA297" s="12"/>
      <c r="EB297" s="12"/>
      <c r="EC297" s="12"/>
      <c r="ED297" s="12"/>
    </row>
    <row r="298" spans="1:134" ht="12.5" x14ac:dyDescent="0.25">
      <c r="A298" s="46"/>
      <c r="B298" s="46"/>
      <c r="C298" s="46"/>
      <c r="D298" s="46"/>
      <c r="E298" s="15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46"/>
      <c r="BA298" s="46"/>
      <c r="BB298" s="46"/>
      <c r="BC298" s="46"/>
      <c r="BD298" s="46"/>
      <c r="BE298" s="46"/>
      <c r="BF298" s="12"/>
      <c r="BG298" s="12"/>
      <c r="BH298" s="12"/>
      <c r="BI298" s="46"/>
      <c r="BJ298" s="46"/>
      <c r="BK298" s="46"/>
      <c r="BL298" s="46"/>
      <c r="BM298" s="46"/>
      <c r="BN298" s="46"/>
      <c r="BO298" s="46"/>
      <c r="BP298" s="46"/>
      <c r="BQ298" s="157"/>
      <c r="BR298" s="156"/>
      <c r="BS298" s="46"/>
      <c r="BT298" s="46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2"/>
      <c r="CM298" s="2"/>
      <c r="CN298" s="12"/>
      <c r="CO298" s="12"/>
      <c r="CP298" s="12"/>
      <c r="CQ298" s="12"/>
      <c r="CR298" s="46"/>
      <c r="CS298" s="46"/>
      <c r="CT298" s="2"/>
      <c r="CU298" s="2"/>
      <c r="CV298" s="49"/>
      <c r="CW298" s="49"/>
      <c r="CX298" s="2"/>
      <c r="CY298" s="2"/>
      <c r="CZ298" s="160"/>
      <c r="DA298" s="12"/>
      <c r="DB298" s="12"/>
      <c r="DC298" s="12"/>
      <c r="DD298" s="12"/>
      <c r="DE298" s="12"/>
      <c r="DF298" s="12"/>
      <c r="DG298" s="12"/>
      <c r="DH298" s="12"/>
      <c r="DI298" s="46"/>
      <c r="DJ298" s="48"/>
      <c r="DK298" s="48"/>
      <c r="DL298" s="48"/>
      <c r="DM298" s="13"/>
      <c r="DN298" s="13"/>
      <c r="DO298" s="12"/>
      <c r="DP298" s="12"/>
      <c r="DQ298" s="12"/>
      <c r="DR298" s="12"/>
      <c r="DS298" s="12"/>
      <c r="DT298" s="12"/>
      <c r="DU298" s="12"/>
      <c r="DV298" s="12"/>
      <c r="DW298" s="12"/>
      <c r="DX298" s="12"/>
      <c r="DY298" s="12"/>
      <c r="DZ298" s="12"/>
      <c r="EA298" s="12"/>
      <c r="EB298" s="12"/>
      <c r="EC298" s="12"/>
      <c r="ED298" s="12"/>
    </row>
    <row r="299" spans="1:134" ht="12.5" x14ac:dyDescent="0.25">
      <c r="A299" s="46"/>
      <c r="B299" s="46"/>
      <c r="C299" s="46"/>
      <c r="D299" s="46"/>
      <c r="E299" s="15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46"/>
      <c r="BA299" s="46"/>
      <c r="BB299" s="46"/>
      <c r="BC299" s="46"/>
      <c r="BD299" s="46"/>
      <c r="BE299" s="46"/>
      <c r="BF299" s="12"/>
      <c r="BG299" s="12"/>
      <c r="BH299" s="12"/>
      <c r="BI299" s="46"/>
      <c r="BJ299" s="46"/>
      <c r="BK299" s="46"/>
      <c r="BL299" s="46"/>
      <c r="BM299" s="46"/>
      <c r="BN299" s="46"/>
      <c r="BO299" s="46"/>
      <c r="BP299" s="46"/>
      <c r="BQ299" s="157"/>
      <c r="BR299" s="156"/>
      <c r="BS299" s="46"/>
      <c r="BT299" s="46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  <c r="CJ299" s="12"/>
      <c r="CK299" s="12"/>
      <c r="CL299" s="2"/>
      <c r="CM299" s="162"/>
      <c r="CN299" s="12"/>
      <c r="CO299" s="12"/>
      <c r="CP299" s="12"/>
      <c r="CQ299" s="12"/>
      <c r="CR299" s="46"/>
      <c r="CS299" s="46"/>
      <c r="CT299" s="2"/>
      <c r="CU299" s="2"/>
      <c r="CV299" s="49"/>
      <c r="CW299" s="49"/>
      <c r="CX299" s="2"/>
      <c r="CY299" s="2"/>
      <c r="CZ299" s="160"/>
      <c r="DA299" s="12"/>
      <c r="DB299" s="12"/>
      <c r="DC299" s="12"/>
      <c r="DD299" s="12"/>
      <c r="DE299" s="12"/>
      <c r="DF299" s="12"/>
      <c r="DG299" s="12"/>
      <c r="DH299" s="12"/>
      <c r="DI299" s="46"/>
      <c r="DJ299" s="48"/>
      <c r="DK299" s="48"/>
      <c r="DL299" s="48"/>
      <c r="DM299" s="13"/>
      <c r="DN299" s="13"/>
      <c r="DO299" s="12"/>
      <c r="DP299" s="12"/>
      <c r="DQ299" s="12"/>
      <c r="DR299" s="12"/>
      <c r="DS299" s="12"/>
      <c r="DT299" s="12"/>
      <c r="DU299" s="12"/>
      <c r="DV299" s="12"/>
      <c r="DW299" s="12"/>
      <c r="DX299" s="12"/>
      <c r="DY299" s="12"/>
      <c r="DZ299" s="12"/>
      <c r="EA299" s="12"/>
      <c r="EB299" s="12"/>
      <c r="EC299" s="12"/>
      <c r="ED299" s="12"/>
    </row>
    <row r="300" spans="1:134" ht="12.5" x14ac:dyDescent="0.25">
      <c r="A300" s="46"/>
      <c r="B300" s="46"/>
      <c r="C300" s="46"/>
      <c r="D300" s="46"/>
      <c r="E300" s="15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46"/>
      <c r="BA300" s="46"/>
      <c r="BB300" s="46"/>
      <c r="BC300" s="46"/>
      <c r="BD300" s="46"/>
      <c r="BE300" s="46"/>
      <c r="BF300" s="12"/>
      <c r="BG300" s="12"/>
      <c r="BH300" s="12"/>
      <c r="BI300" s="46"/>
      <c r="BJ300" s="46"/>
      <c r="BK300" s="46"/>
      <c r="BL300" s="46"/>
      <c r="BM300" s="46"/>
      <c r="BN300" s="46"/>
      <c r="BO300" s="46"/>
      <c r="BP300" s="46"/>
      <c r="BQ300" s="157"/>
      <c r="BR300" s="156"/>
      <c r="BS300" s="46"/>
      <c r="BT300" s="46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2"/>
      <c r="CM300" s="12"/>
      <c r="CN300" s="12"/>
      <c r="CO300" s="12"/>
      <c r="CP300" s="12"/>
      <c r="CQ300" s="12"/>
      <c r="CR300" s="46"/>
      <c r="CS300" s="46"/>
      <c r="CT300" s="2"/>
      <c r="CU300" s="2"/>
      <c r="CV300" s="49"/>
      <c r="CW300" s="49"/>
      <c r="CX300" s="2"/>
      <c r="CY300" s="2"/>
      <c r="CZ300" s="160"/>
      <c r="DA300" s="12"/>
      <c r="DB300" s="12"/>
      <c r="DC300" s="12"/>
      <c r="DD300" s="12"/>
      <c r="DE300" s="12"/>
      <c r="DF300" s="12"/>
      <c r="DG300" s="12"/>
      <c r="DH300" s="12"/>
      <c r="DI300" s="46"/>
      <c r="DJ300" s="48"/>
      <c r="DK300" s="48"/>
      <c r="DL300" s="48"/>
      <c r="DM300" s="13"/>
      <c r="DN300" s="13"/>
      <c r="DO300" s="12"/>
      <c r="DP300" s="12"/>
      <c r="DQ300" s="12"/>
      <c r="DR300" s="12"/>
      <c r="DS300" s="12"/>
      <c r="DT300" s="12"/>
      <c r="DU300" s="12"/>
      <c r="DV300" s="12"/>
      <c r="DW300" s="12"/>
      <c r="DX300" s="12"/>
      <c r="DY300" s="12"/>
      <c r="DZ300" s="12"/>
      <c r="EA300" s="12"/>
      <c r="EB300" s="12"/>
      <c r="EC300" s="12"/>
      <c r="ED300" s="12"/>
    </row>
    <row r="301" spans="1:134" ht="12.5" x14ac:dyDescent="0.25">
      <c r="A301" s="46"/>
      <c r="B301" s="46"/>
      <c r="C301" s="46"/>
      <c r="D301" s="46"/>
      <c r="E301" s="15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46"/>
      <c r="BA301" s="46"/>
      <c r="BB301" s="46"/>
      <c r="BC301" s="46"/>
      <c r="BD301" s="46"/>
      <c r="BE301" s="46"/>
      <c r="BF301" s="12"/>
      <c r="BG301" s="12"/>
      <c r="BH301" s="12"/>
      <c r="BI301" s="46"/>
      <c r="BJ301" s="46"/>
      <c r="BK301" s="46"/>
      <c r="BL301" s="46"/>
      <c r="BM301" s="46"/>
      <c r="BN301" s="46"/>
      <c r="BO301" s="46"/>
      <c r="BP301" s="46"/>
      <c r="BQ301" s="157"/>
      <c r="BR301" s="156"/>
      <c r="BS301" s="46"/>
      <c r="BT301" s="46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2"/>
      <c r="CM301" s="162"/>
      <c r="CN301" s="12"/>
      <c r="CO301" s="12"/>
      <c r="CP301" s="12"/>
      <c r="CQ301" s="12"/>
      <c r="CR301" s="46"/>
      <c r="CS301" s="46"/>
      <c r="CT301" s="2"/>
      <c r="CU301" s="2"/>
      <c r="CV301" s="49"/>
      <c r="CW301" s="49"/>
      <c r="CX301" s="2"/>
      <c r="CY301" s="2"/>
      <c r="CZ301" s="160"/>
      <c r="DA301" s="12"/>
      <c r="DB301" s="12"/>
      <c r="DC301" s="12"/>
      <c r="DD301" s="12"/>
      <c r="DE301" s="12"/>
      <c r="DF301" s="12"/>
      <c r="DG301" s="12"/>
      <c r="DH301" s="12"/>
      <c r="DI301" s="46"/>
      <c r="DJ301" s="48"/>
      <c r="DK301" s="48"/>
      <c r="DL301" s="48"/>
      <c r="DM301" s="13"/>
      <c r="DN301" s="13"/>
      <c r="DO301" s="12"/>
      <c r="DP301" s="12"/>
      <c r="DQ301" s="12"/>
      <c r="DR301" s="12"/>
      <c r="DS301" s="12"/>
      <c r="DT301" s="12"/>
      <c r="DU301" s="12"/>
      <c r="DV301" s="12"/>
      <c r="DW301" s="12"/>
      <c r="DX301" s="12"/>
      <c r="DY301" s="12"/>
      <c r="DZ301" s="12"/>
      <c r="EA301" s="12"/>
      <c r="EB301" s="12"/>
      <c r="EC301" s="12"/>
      <c r="ED301" s="12"/>
    </row>
    <row r="302" spans="1:134" ht="12.5" x14ac:dyDescent="0.25">
      <c r="A302" s="46"/>
      <c r="B302" s="46"/>
      <c r="C302" s="46"/>
      <c r="D302" s="46"/>
      <c r="E302" s="15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46"/>
      <c r="BA302" s="46"/>
      <c r="BB302" s="46"/>
      <c r="BC302" s="46"/>
      <c r="BD302" s="46"/>
      <c r="BE302" s="46"/>
      <c r="BF302" s="12"/>
      <c r="BG302" s="12"/>
      <c r="BH302" s="12"/>
      <c r="BI302" s="46"/>
      <c r="BJ302" s="46"/>
      <c r="BK302" s="46"/>
      <c r="BL302" s="46"/>
      <c r="BM302" s="46"/>
      <c r="BN302" s="46"/>
      <c r="BO302" s="46"/>
      <c r="BP302" s="46"/>
      <c r="BQ302" s="157"/>
      <c r="BR302" s="156"/>
      <c r="BS302" s="46"/>
      <c r="BT302" s="46"/>
      <c r="BU302" s="12"/>
      <c r="BV302" s="12"/>
      <c r="BW302" s="12"/>
      <c r="BX302" s="12"/>
      <c r="BY302" s="12"/>
      <c r="BZ302" s="12"/>
      <c r="CA302" s="12"/>
      <c r="CB302" s="12"/>
      <c r="CC302" s="12"/>
      <c r="CD302" s="12"/>
      <c r="CE302" s="12"/>
      <c r="CF302" s="12"/>
      <c r="CG302" s="12"/>
      <c r="CH302" s="12"/>
      <c r="CI302" s="12"/>
      <c r="CJ302" s="12"/>
      <c r="CK302" s="12"/>
      <c r="CL302" s="2"/>
      <c r="CM302" s="12"/>
      <c r="CN302" s="12"/>
      <c r="CO302" s="12"/>
      <c r="CP302" s="12"/>
      <c r="CQ302" s="12"/>
      <c r="CR302" s="46"/>
      <c r="CS302" s="46"/>
      <c r="CT302" s="2"/>
      <c r="CU302" s="2"/>
      <c r="CV302" s="49"/>
      <c r="CW302" s="49"/>
      <c r="CX302" s="2"/>
      <c r="CY302" s="2"/>
      <c r="CZ302" s="160"/>
      <c r="DA302" s="12"/>
      <c r="DB302" s="12"/>
      <c r="DC302" s="12"/>
      <c r="DD302" s="12"/>
      <c r="DE302" s="12"/>
      <c r="DF302" s="12"/>
      <c r="DG302" s="12"/>
      <c r="DH302" s="12"/>
      <c r="DI302" s="46"/>
      <c r="DJ302" s="48"/>
      <c r="DK302" s="48"/>
      <c r="DL302" s="48"/>
      <c r="DM302" s="13"/>
      <c r="DN302" s="13"/>
      <c r="DO302" s="12"/>
      <c r="DP302" s="12"/>
      <c r="DQ302" s="12"/>
      <c r="DR302" s="12"/>
      <c r="DS302" s="12"/>
      <c r="DT302" s="12"/>
      <c r="DU302" s="12"/>
      <c r="DV302" s="12"/>
      <c r="DW302" s="12"/>
      <c r="DX302" s="12"/>
      <c r="DY302" s="12"/>
      <c r="DZ302" s="12"/>
      <c r="EA302" s="12"/>
      <c r="EB302" s="12"/>
      <c r="EC302" s="12"/>
      <c r="ED302" s="12"/>
    </row>
    <row r="303" spans="1:134" ht="12.5" x14ac:dyDescent="0.25">
      <c r="A303" s="46"/>
      <c r="B303" s="46"/>
      <c r="C303" s="46"/>
      <c r="D303" s="46"/>
      <c r="E303" s="15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46"/>
      <c r="BA303" s="46"/>
      <c r="BB303" s="46"/>
      <c r="BC303" s="46"/>
      <c r="BD303" s="46"/>
      <c r="BE303" s="46"/>
      <c r="BF303" s="12"/>
      <c r="BG303" s="12"/>
      <c r="BH303" s="12"/>
      <c r="BI303" s="46"/>
      <c r="BJ303" s="46"/>
      <c r="BK303" s="46"/>
      <c r="BL303" s="46"/>
      <c r="BM303" s="46"/>
      <c r="BN303" s="46"/>
      <c r="BO303" s="46"/>
      <c r="BP303" s="46"/>
      <c r="BQ303" s="157"/>
      <c r="BR303" s="156"/>
      <c r="BS303" s="46"/>
      <c r="BT303" s="46"/>
      <c r="BU303" s="12"/>
      <c r="BV303" s="12"/>
      <c r="BW303" s="12"/>
      <c r="BX303" s="12"/>
      <c r="BY303" s="12"/>
      <c r="BZ303" s="12"/>
      <c r="CA303" s="12"/>
      <c r="CB303" s="12"/>
      <c r="CC303" s="12"/>
      <c r="CD303" s="12"/>
      <c r="CE303" s="12"/>
      <c r="CF303" s="12"/>
      <c r="CG303" s="12"/>
      <c r="CH303" s="12"/>
      <c r="CI303" s="12"/>
      <c r="CJ303" s="12"/>
      <c r="CK303" s="12"/>
      <c r="CL303" s="2"/>
      <c r="CM303" s="12"/>
      <c r="CN303" s="12"/>
      <c r="CO303" s="12"/>
      <c r="CP303" s="12"/>
      <c r="CQ303" s="12"/>
      <c r="CR303" s="46"/>
      <c r="CS303" s="46"/>
      <c r="CT303" s="2"/>
      <c r="CU303" s="2"/>
      <c r="CV303" s="49"/>
      <c r="CW303" s="49"/>
      <c r="CX303" s="2"/>
      <c r="CY303" s="2"/>
      <c r="CZ303" s="160"/>
      <c r="DA303" s="12"/>
      <c r="DB303" s="12"/>
      <c r="DC303" s="12"/>
      <c r="DD303" s="12"/>
      <c r="DE303" s="12"/>
      <c r="DF303" s="12"/>
      <c r="DG303" s="12"/>
      <c r="DH303" s="12"/>
      <c r="DI303" s="46"/>
      <c r="DJ303" s="48"/>
      <c r="DK303" s="48"/>
      <c r="DL303" s="48"/>
      <c r="DM303" s="13"/>
      <c r="DN303" s="13"/>
      <c r="DO303" s="12"/>
      <c r="DP303" s="12"/>
      <c r="DQ303" s="12"/>
      <c r="DR303" s="12"/>
      <c r="DS303" s="12"/>
      <c r="DT303" s="12"/>
      <c r="DU303" s="12"/>
      <c r="DV303" s="12"/>
      <c r="DW303" s="12"/>
      <c r="DX303" s="12"/>
      <c r="DY303" s="12"/>
      <c r="DZ303" s="12"/>
      <c r="EA303" s="12"/>
      <c r="EB303" s="12"/>
      <c r="EC303" s="12"/>
      <c r="ED303" s="12"/>
    </row>
    <row r="304" spans="1:134" ht="12.5" x14ac:dyDescent="0.25">
      <c r="A304" s="46"/>
      <c r="B304" s="46"/>
      <c r="C304" s="46"/>
      <c r="D304" s="46"/>
      <c r="E304" s="15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46"/>
      <c r="BA304" s="46"/>
      <c r="BB304" s="46"/>
      <c r="BC304" s="46"/>
      <c r="BD304" s="46"/>
      <c r="BE304" s="46"/>
      <c r="BF304" s="12"/>
      <c r="BG304" s="12"/>
      <c r="BH304" s="12"/>
      <c r="BI304" s="46"/>
      <c r="BJ304" s="46"/>
      <c r="BK304" s="46"/>
      <c r="BL304" s="46"/>
      <c r="BM304" s="46"/>
      <c r="BN304" s="46"/>
      <c r="BO304" s="46"/>
      <c r="BP304" s="46"/>
      <c r="BQ304" s="157"/>
      <c r="BR304" s="156"/>
      <c r="BS304" s="46"/>
      <c r="BT304" s="46"/>
      <c r="BU304" s="12"/>
      <c r="BV304" s="12"/>
      <c r="BW304" s="12"/>
      <c r="BX304" s="12"/>
      <c r="BY304" s="12"/>
      <c r="BZ304" s="12"/>
      <c r="CA304" s="12"/>
      <c r="CB304" s="12"/>
      <c r="CC304" s="12"/>
      <c r="CD304" s="12"/>
      <c r="CE304" s="12"/>
      <c r="CF304" s="12"/>
      <c r="CG304" s="12"/>
      <c r="CH304" s="12"/>
      <c r="CI304" s="12"/>
      <c r="CJ304" s="12"/>
      <c r="CK304" s="12"/>
      <c r="CL304" s="2"/>
      <c r="CM304" s="12"/>
      <c r="CN304" s="12"/>
      <c r="CO304" s="12"/>
      <c r="CP304" s="12"/>
      <c r="CQ304" s="12"/>
      <c r="CR304" s="46"/>
      <c r="CS304" s="46"/>
      <c r="CT304" s="2"/>
      <c r="CU304" s="2"/>
      <c r="CV304" s="49"/>
      <c r="CW304" s="49"/>
      <c r="CX304" s="2"/>
      <c r="CY304" s="2"/>
      <c r="CZ304" s="160"/>
      <c r="DA304" s="12"/>
      <c r="DB304" s="12"/>
      <c r="DC304" s="12"/>
      <c r="DD304" s="12"/>
      <c r="DE304" s="12"/>
      <c r="DF304" s="12"/>
      <c r="DG304" s="12"/>
      <c r="DH304" s="12"/>
      <c r="DI304" s="46"/>
      <c r="DJ304" s="48"/>
      <c r="DK304" s="48"/>
      <c r="DL304" s="48"/>
      <c r="DM304" s="13"/>
      <c r="DN304" s="13"/>
      <c r="DO304" s="12"/>
      <c r="DP304" s="12"/>
      <c r="DQ304" s="12"/>
      <c r="DR304" s="12"/>
      <c r="DS304" s="12"/>
      <c r="DT304" s="12"/>
      <c r="DU304" s="12"/>
      <c r="DV304" s="12"/>
      <c r="DW304" s="12"/>
      <c r="DX304" s="12"/>
      <c r="DY304" s="12"/>
      <c r="DZ304" s="12"/>
      <c r="EA304" s="12"/>
      <c r="EB304" s="12"/>
      <c r="EC304" s="12"/>
      <c r="ED304" s="12"/>
    </row>
    <row r="305" spans="1:134" ht="12.5" x14ac:dyDescent="0.25">
      <c r="A305" s="46"/>
      <c r="B305" s="46"/>
      <c r="C305" s="46"/>
      <c r="D305" s="46"/>
      <c r="E305" s="15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46"/>
      <c r="BA305" s="46"/>
      <c r="BB305" s="46"/>
      <c r="BC305" s="46"/>
      <c r="BD305" s="46"/>
      <c r="BE305" s="46"/>
      <c r="BF305" s="12"/>
      <c r="BG305" s="12"/>
      <c r="BH305" s="12"/>
      <c r="BI305" s="46"/>
      <c r="BJ305" s="46"/>
      <c r="BK305" s="46"/>
      <c r="BL305" s="46"/>
      <c r="BM305" s="46"/>
      <c r="BN305" s="46"/>
      <c r="BO305" s="46"/>
      <c r="BP305" s="46"/>
      <c r="BQ305" s="157"/>
      <c r="BR305" s="156"/>
      <c r="BS305" s="46"/>
      <c r="BT305" s="46"/>
      <c r="BU305" s="12"/>
      <c r="BV305" s="12"/>
      <c r="BW305" s="12"/>
      <c r="BX305" s="12"/>
      <c r="BY305" s="12"/>
      <c r="BZ305" s="12"/>
      <c r="CA305" s="12"/>
      <c r="CB305" s="12"/>
      <c r="CC305" s="12"/>
      <c r="CD305" s="12"/>
      <c r="CE305" s="12"/>
      <c r="CF305" s="12"/>
      <c r="CG305" s="12"/>
      <c r="CH305" s="12"/>
      <c r="CI305" s="12"/>
      <c r="CJ305" s="12"/>
      <c r="CK305" s="12"/>
      <c r="CL305" s="2"/>
      <c r="CM305" s="12"/>
      <c r="CN305" s="12"/>
      <c r="CO305" s="12"/>
      <c r="CP305" s="12"/>
      <c r="CQ305" s="12"/>
      <c r="CR305" s="46"/>
      <c r="CS305" s="46"/>
      <c r="CT305" s="2"/>
      <c r="CU305" s="2"/>
      <c r="CV305" s="49"/>
      <c r="CW305" s="49"/>
      <c r="CX305" s="2"/>
      <c r="CY305" s="2"/>
      <c r="CZ305" s="160"/>
      <c r="DA305" s="12"/>
      <c r="DB305" s="12"/>
      <c r="DC305" s="12"/>
      <c r="DD305" s="12"/>
      <c r="DE305" s="12"/>
      <c r="DF305" s="12"/>
      <c r="DG305" s="12"/>
      <c r="DH305" s="12"/>
      <c r="DI305" s="46"/>
      <c r="DJ305" s="48"/>
      <c r="DK305" s="48"/>
      <c r="DL305" s="48"/>
      <c r="DM305" s="13"/>
      <c r="DN305" s="13"/>
      <c r="DO305" s="12"/>
      <c r="DP305" s="12"/>
      <c r="DQ305" s="12"/>
      <c r="DR305" s="12"/>
      <c r="DS305" s="12"/>
      <c r="DT305" s="12"/>
      <c r="DU305" s="12"/>
      <c r="DV305" s="12"/>
      <c r="DW305" s="12"/>
      <c r="DX305" s="12"/>
      <c r="DY305" s="12"/>
      <c r="DZ305" s="12"/>
      <c r="EA305" s="12"/>
      <c r="EB305" s="12"/>
      <c r="EC305" s="12"/>
      <c r="ED305" s="12"/>
    </row>
    <row r="306" spans="1:134" ht="12.5" x14ac:dyDescent="0.25">
      <c r="A306" s="46"/>
      <c r="B306" s="46"/>
      <c r="C306" s="46"/>
      <c r="D306" s="46"/>
      <c r="E306" s="15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46"/>
      <c r="BA306" s="46"/>
      <c r="BB306" s="46"/>
      <c r="BC306" s="46"/>
      <c r="BD306" s="46"/>
      <c r="BE306" s="46"/>
      <c r="BF306" s="12"/>
      <c r="BG306" s="12"/>
      <c r="BH306" s="12"/>
      <c r="BI306" s="46"/>
      <c r="BJ306" s="46"/>
      <c r="BK306" s="46"/>
      <c r="BL306" s="46"/>
      <c r="BM306" s="46"/>
      <c r="BN306" s="46"/>
      <c r="BO306" s="46"/>
      <c r="BP306" s="46"/>
      <c r="BQ306" s="157"/>
      <c r="BR306" s="156"/>
      <c r="BS306" s="46"/>
      <c r="BT306" s="46"/>
      <c r="BU306" s="12"/>
      <c r="BV306" s="12"/>
      <c r="BW306" s="12"/>
      <c r="BX306" s="12"/>
      <c r="BY306" s="12"/>
      <c r="BZ306" s="12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2"/>
      <c r="CM306" s="12"/>
      <c r="CN306" s="12"/>
      <c r="CO306" s="12"/>
      <c r="CP306" s="12"/>
      <c r="CQ306" s="12"/>
      <c r="CR306" s="46"/>
      <c r="CS306" s="46"/>
      <c r="CT306" s="2"/>
      <c r="CU306" s="2"/>
      <c r="CV306" s="49"/>
      <c r="CW306" s="49"/>
      <c r="CX306" s="2"/>
      <c r="CY306" s="2"/>
      <c r="CZ306" s="160"/>
      <c r="DA306" s="12"/>
      <c r="DB306" s="12"/>
      <c r="DC306" s="12"/>
      <c r="DD306" s="12"/>
      <c r="DE306" s="12"/>
      <c r="DF306" s="12"/>
      <c r="DG306" s="12"/>
      <c r="DH306" s="12"/>
      <c r="DI306" s="46"/>
      <c r="DJ306" s="48"/>
      <c r="DK306" s="48"/>
      <c r="DL306" s="48"/>
      <c r="DM306" s="13"/>
      <c r="DN306" s="13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</row>
    <row r="307" spans="1:134" ht="12.5" x14ac:dyDescent="0.25">
      <c r="A307" s="46"/>
      <c r="B307" s="46"/>
      <c r="C307" s="46"/>
      <c r="D307" s="46"/>
      <c r="E307" s="15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46"/>
      <c r="BA307" s="46"/>
      <c r="BB307" s="46"/>
      <c r="BC307" s="46"/>
      <c r="BD307" s="46"/>
      <c r="BE307" s="46"/>
      <c r="BF307" s="12"/>
      <c r="BG307" s="12"/>
      <c r="BH307" s="12"/>
      <c r="BI307" s="46"/>
      <c r="BJ307" s="46"/>
      <c r="BK307" s="46"/>
      <c r="BL307" s="46"/>
      <c r="BM307" s="46"/>
      <c r="BN307" s="46"/>
      <c r="BO307" s="46"/>
      <c r="BP307" s="46"/>
      <c r="BQ307" s="157"/>
      <c r="BR307" s="156"/>
      <c r="BS307" s="46"/>
      <c r="BT307" s="46"/>
      <c r="BU307" s="12"/>
      <c r="BV307" s="12"/>
      <c r="BW307" s="12"/>
      <c r="BX307" s="12"/>
      <c r="BY307" s="12"/>
      <c r="BZ307" s="12"/>
      <c r="CA307" s="12"/>
      <c r="CB307" s="12"/>
      <c r="CC307" s="12"/>
      <c r="CD307" s="12"/>
      <c r="CE307" s="12"/>
      <c r="CF307" s="12"/>
      <c r="CG307" s="12"/>
      <c r="CH307" s="12"/>
      <c r="CI307" s="12"/>
      <c r="CJ307" s="12"/>
      <c r="CK307" s="12"/>
      <c r="CL307" s="2"/>
      <c r="CM307" s="12"/>
      <c r="CN307" s="12"/>
      <c r="CO307" s="12"/>
      <c r="CP307" s="12"/>
      <c r="CQ307" s="12"/>
      <c r="CR307" s="46"/>
      <c r="CS307" s="46"/>
      <c r="CT307" s="2"/>
      <c r="CU307" s="2"/>
      <c r="CV307" s="49"/>
      <c r="CW307" s="49"/>
      <c r="CX307" s="2"/>
      <c r="CY307" s="2"/>
      <c r="CZ307" s="160"/>
      <c r="DA307" s="12"/>
      <c r="DB307" s="12"/>
      <c r="DC307" s="12"/>
      <c r="DD307" s="12"/>
      <c r="DE307" s="12"/>
      <c r="DF307" s="12"/>
      <c r="DG307" s="12"/>
      <c r="DH307" s="12"/>
      <c r="DI307" s="46"/>
      <c r="DJ307" s="48"/>
      <c r="DK307" s="48"/>
      <c r="DL307" s="48"/>
      <c r="DM307" s="13"/>
      <c r="DN307" s="13"/>
      <c r="DO307" s="12"/>
      <c r="DP307" s="12"/>
      <c r="DQ307" s="12"/>
      <c r="DR307" s="12"/>
      <c r="DS307" s="12"/>
      <c r="DT307" s="12"/>
      <c r="DU307" s="12"/>
      <c r="DV307" s="12"/>
      <c r="DW307" s="12"/>
      <c r="DX307" s="12"/>
      <c r="DY307" s="12"/>
      <c r="DZ307" s="12"/>
      <c r="EA307" s="12"/>
      <c r="EB307" s="12"/>
      <c r="EC307" s="12"/>
      <c r="ED307" s="12"/>
    </row>
    <row r="308" spans="1:134" ht="12.5" x14ac:dyDescent="0.25">
      <c r="A308" s="46"/>
      <c r="B308" s="46"/>
      <c r="C308" s="46"/>
      <c r="D308" s="46"/>
      <c r="E308" s="15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46"/>
      <c r="BA308" s="46"/>
      <c r="BB308" s="46"/>
      <c r="BC308" s="46"/>
      <c r="BD308" s="46"/>
      <c r="BE308" s="46"/>
      <c r="BF308" s="12"/>
      <c r="BG308" s="12"/>
      <c r="BH308" s="12"/>
      <c r="BI308" s="46"/>
      <c r="BJ308" s="46"/>
      <c r="BK308" s="46"/>
      <c r="BL308" s="46"/>
      <c r="BM308" s="46"/>
      <c r="BN308" s="46"/>
      <c r="BO308" s="46"/>
      <c r="BP308" s="46"/>
      <c r="BQ308" s="157"/>
      <c r="BR308" s="156"/>
      <c r="BS308" s="46"/>
      <c r="BT308" s="46"/>
      <c r="BU308" s="12"/>
      <c r="BV308" s="12"/>
      <c r="BW308" s="12"/>
      <c r="BX308" s="12"/>
      <c r="BY308" s="12"/>
      <c r="BZ308" s="12"/>
      <c r="CA308" s="12"/>
      <c r="CB308" s="12"/>
      <c r="CC308" s="12"/>
      <c r="CD308" s="12"/>
      <c r="CE308" s="12"/>
      <c r="CF308" s="12"/>
      <c r="CG308" s="12"/>
      <c r="CH308" s="12"/>
      <c r="CI308" s="12"/>
      <c r="CJ308" s="12"/>
      <c r="CK308" s="12"/>
      <c r="CL308" s="2"/>
      <c r="CM308" s="12"/>
      <c r="CN308" s="12"/>
      <c r="CO308" s="12"/>
      <c r="CP308" s="12"/>
      <c r="CQ308" s="12"/>
      <c r="CR308" s="46"/>
      <c r="CS308" s="46"/>
      <c r="CT308" s="2"/>
      <c r="CU308" s="2"/>
      <c r="CV308" s="49"/>
      <c r="CW308" s="49"/>
      <c r="CX308" s="2"/>
      <c r="CY308" s="2"/>
      <c r="CZ308" s="160"/>
      <c r="DA308" s="12"/>
      <c r="DB308" s="12"/>
      <c r="DC308" s="12"/>
      <c r="DD308" s="12"/>
      <c r="DE308" s="12"/>
      <c r="DF308" s="12"/>
      <c r="DG308" s="12"/>
      <c r="DH308" s="12"/>
      <c r="DI308" s="46"/>
      <c r="DJ308" s="48"/>
      <c r="DK308" s="48"/>
      <c r="DL308" s="48"/>
      <c r="DM308" s="13"/>
      <c r="DN308" s="13"/>
      <c r="DO308" s="12"/>
      <c r="DP308" s="12"/>
      <c r="DQ308" s="12"/>
      <c r="DR308" s="12"/>
      <c r="DS308" s="12"/>
      <c r="DT308" s="12"/>
      <c r="DU308" s="12"/>
      <c r="DV308" s="12"/>
      <c r="DW308" s="12"/>
      <c r="DX308" s="12"/>
      <c r="DY308" s="12"/>
      <c r="DZ308" s="12"/>
      <c r="EA308" s="12"/>
      <c r="EB308" s="12"/>
      <c r="EC308" s="12"/>
      <c r="ED308" s="12"/>
    </row>
    <row r="309" spans="1:134" ht="12.5" x14ac:dyDescent="0.25">
      <c r="A309" s="46"/>
      <c r="B309" s="46"/>
      <c r="C309" s="46"/>
      <c r="D309" s="46"/>
      <c r="E309" s="15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46"/>
      <c r="BA309" s="46"/>
      <c r="BB309" s="46"/>
      <c r="BC309" s="46"/>
      <c r="BD309" s="46"/>
      <c r="BE309" s="46"/>
      <c r="BF309" s="12"/>
      <c r="BG309" s="12"/>
      <c r="BH309" s="12"/>
      <c r="BI309" s="46"/>
      <c r="BJ309" s="46"/>
      <c r="BK309" s="46"/>
      <c r="BL309" s="46"/>
      <c r="BM309" s="46"/>
      <c r="BN309" s="46"/>
      <c r="BO309" s="46"/>
      <c r="BP309" s="46"/>
      <c r="BQ309" s="157"/>
      <c r="BR309" s="156"/>
      <c r="BS309" s="46"/>
      <c r="BT309" s="46"/>
      <c r="BU309" s="12"/>
      <c r="BV309" s="12"/>
      <c r="BW309" s="12"/>
      <c r="BX309" s="12"/>
      <c r="BY309" s="12"/>
      <c r="BZ309" s="12"/>
      <c r="CA309" s="12"/>
      <c r="CB309" s="12"/>
      <c r="CC309" s="12"/>
      <c r="CD309" s="12"/>
      <c r="CE309" s="12"/>
      <c r="CF309" s="12"/>
      <c r="CG309" s="12"/>
      <c r="CH309" s="12"/>
      <c r="CI309" s="12"/>
      <c r="CJ309" s="12"/>
      <c r="CK309" s="12"/>
      <c r="CL309" s="2"/>
      <c r="CM309" s="12"/>
      <c r="CN309" s="12"/>
      <c r="CO309" s="12"/>
      <c r="CP309" s="12"/>
      <c r="CQ309" s="12"/>
      <c r="CR309" s="46"/>
      <c r="CS309" s="46"/>
      <c r="CT309" s="2"/>
      <c r="CU309" s="2"/>
      <c r="CV309" s="49"/>
      <c r="CW309" s="49"/>
      <c r="CX309" s="2"/>
      <c r="CY309" s="2"/>
      <c r="CZ309" s="160"/>
      <c r="DA309" s="12"/>
      <c r="DB309" s="12"/>
      <c r="DC309" s="12"/>
      <c r="DD309" s="12"/>
      <c r="DE309" s="12"/>
      <c r="DF309" s="12"/>
      <c r="DG309" s="12"/>
      <c r="DH309" s="12"/>
      <c r="DI309" s="46"/>
      <c r="DJ309" s="48"/>
      <c r="DK309" s="48"/>
      <c r="DL309" s="48"/>
      <c r="DM309" s="13"/>
      <c r="DN309" s="13"/>
      <c r="DO309" s="12"/>
      <c r="DP309" s="12"/>
      <c r="DQ309" s="12"/>
      <c r="DR309" s="12"/>
      <c r="DS309" s="12"/>
      <c r="DT309" s="12"/>
      <c r="DU309" s="12"/>
      <c r="DV309" s="12"/>
      <c r="DW309" s="12"/>
      <c r="DX309" s="12"/>
      <c r="DY309" s="12"/>
      <c r="DZ309" s="12"/>
      <c r="EA309" s="12"/>
      <c r="EB309" s="12"/>
      <c r="EC309" s="12"/>
      <c r="ED309" s="12"/>
    </row>
    <row r="310" spans="1:134" ht="12.5" x14ac:dyDescent="0.25">
      <c r="A310" s="46"/>
      <c r="B310" s="46"/>
      <c r="C310" s="46"/>
      <c r="D310" s="46"/>
      <c r="E310" s="15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46"/>
      <c r="BA310" s="46"/>
      <c r="BB310" s="46"/>
      <c r="BC310" s="46"/>
      <c r="BD310" s="46"/>
      <c r="BE310" s="46"/>
      <c r="BF310" s="12"/>
      <c r="BG310" s="12"/>
      <c r="BH310" s="12"/>
      <c r="BI310" s="46"/>
      <c r="BJ310" s="46"/>
      <c r="BK310" s="46"/>
      <c r="BL310" s="46"/>
      <c r="BM310" s="46"/>
      <c r="BN310" s="46"/>
      <c r="BO310" s="46"/>
      <c r="BP310" s="46"/>
      <c r="BQ310" s="157"/>
      <c r="BR310" s="156"/>
      <c r="BS310" s="46"/>
      <c r="BT310" s="46"/>
      <c r="BU310" s="12"/>
      <c r="BV310" s="12"/>
      <c r="BW310" s="12"/>
      <c r="BX310" s="12"/>
      <c r="BY310" s="12"/>
      <c r="BZ310" s="12"/>
      <c r="CA310" s="12"/>
      <c r="CB310" s="12"/>
      <c r="CC310" s="12"/>
      <c r="CD310" s="12"/>
      <c r="CE310" s="12"/>
      <c r="CF310" s="12"/>
      <c r="CG310" s="12"/>
      <c r="CH310" s="12"/>
      <c r="CI310" s="12"/>
      <c r="CJ310" s="12"/>
      <c r="CK310" s="12"/>
      <c r="CL310" s="2"/>
      <c r="CM310" s="12"/>
      <c r="CN310" s="12"/>
      <c r="CO310" s="12"/>
      <c r="CP310" s="12"/>
      <c r="CQ310" s="12"/>
      <c r="CR310" s="46"/>
      <c r="CS310" s="46"/>
      <c r="CT310" s="2"/>
      <c r="CU310" s="2"/>
      <c r="CV310" s="49"/>
      <c r="CW310" s="49"/>
      <c r="CX310" s="2"/>
      <c r="CY310" s="2"/>
      <c r="CZ310" s="160"/>
      <c r="DA310" s="12"/>
      <c r="DB310" s="12"/>
      <c r="DC310" s="12"/>
      <c r="DD310" s="12"/>
      <c r="DE310" s="12"/>
      <c r="DF310" s="12"/>
      <c r="DG310" s="12"/>
      <c r="DH310" s="12"/>
      <c r="DI310" s="46"/>
      <c r="DJ310" s="48"/>
      <c r="DK310" s="48"/>
      <c r="DL310" s="48"/>
      <c r="DM310" s="13"/>
      <c r="DN310" s="13"/>
      <c r="DO310" s="12"/>
      <c r="DP310" s="12"/>
      <c r="DQ310" s="12"/>
      <c r="DR310" s="12"/>
      <c r="DS310" s="12"/>
      <c r="DT310" s="12"/>
      <c r="DU310" s="12"/>
      <c r="DV310" s="12"/>
      <c r="DW310" s="12"/>
      <c r="DX310" s="12"/>
      <c r="DY310" s="12"/>
      <c r="DZ310" s="12"/>
      <c r="EA310" s="12"/>
      <c r="EB310" s="12"/>
      <c r="EC310" s="12"/>
      <c r="ED310" s="12"/>
    </row>
    <row r="311" spans="1:134" ht="12.5" x14ac:dyDescent="0.25">
      <c r="A311" s="46"/>
      <c r="B311" s="46"/>
      <c r="C311" s="46"/>
      <c r="D311" s="46"/>
      <c r="E311" s="15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46"/>
      <c r="BA311" s="46"/>
      <c r="BB311" s="46"/>
      <c r="BC311" s="46"/>
      <c r="BD311" s="46"/>
      <c r="BE311" s="46"/>
      <c r="BF311" s="12"/>
      <c r="BG311" s="12"/>
      <c r="BH311" s="12"/>
      <c r="BI311" s="46"/>
      <c r="BJ311" s="46"/>
      <c r="BK311" s="46"/>
      <c r="BL311" s="46"/>
      <c r="BM311" s="46"/>
      <c r="BN311" s="46"/>
      <c r="BO311" s="46"/>
      <c r="BP311" s="46"/>
      <c r="BQ311" s="157"/>
      <c r="BR311" s="156"/>
      <c r="BS311" s="46"/>
      <c r="BT311" s="46"/>
      <c r="BU311" s="12"/>
      <c r="BV311" s="12"/>
      <c r="BW311" s="12"/>
      <c r="BX311" s="12"/>
      <c r="BY311" s="12"/>
      <c r="BZ311" s="12"/>
      <c r="CA311" s="12"/>
      <c r="CB311" s="12"/>
      <c r="CC311" s="12"/>
      <c r="CD311" s="12"/>
      <c r="CE311" s="12"/>
      <c r="CF311" s="12"/>
      <c r="CG311" s="12"/>
      <c r="CH311" s="12"/>
      <c r="CI311" s="12"/>
      <c r="CJ311" s="12"/>
      <c r="CK311" s="12"/>
      <c r="CL311" s="2"/>
      <c r="CM311" s="12"/>
      <c r="CN311" s="12"/>
      <c r="CO311" s="12"/>
      <c r="CP311" s="12"/>
      <c r="CQ311" s="12"/>
      <c r="CR311" s="46"/>
      <c r="CS311" s="46"/>
      <c r="CT311" s="2"/>
      <c r="CU311" s="2"/>
      <c r="CV311" s="49"/>
      <c r="CW311" s="49"/>
      <c r="CX311" s="2"/>
      <c r="CY311" s="2"/>
      <c r="CZ311" s="160"/>
      <c r="DA311" s="12"/>
      <c r="DB311" s="12"/>
      <c r="DC311" s="12"/>
      <c r="DD311" s="12"/>
      <c r="DE311" s="12"/>
      <c r="DF311" s="12"/>
      <c r="DG311" s="12"/>
      <c r="DH311" s="12"/>
      <c r="DI311" s="46"/>
      <c r="DJ311" s="48"/>
      <c r="DK311" s="48"/>
      <c r="DL311" s="48"/>
      <c r="DM311" s="13"/>
      <c r="DN311" s="13"/>
      <c r="DO311" s="12"/>
      <c r="DP311" s="12"/>
      <c r="DQ311" s="12"/>
      <c r="DR311" s="12"/>
      <c r="DS311" s="12"/>
      <c r="DT311" s="12"/>
      <c r="DU311" s="12"/>
      <c r="DV311" s="12"/>
      <c r="DW311" s="12"/>
      <c r="DX311" s="12"/>
      <c r="DY311" s="12"/>
      <c r="DZ311" s="12"/>
      <c r="EA311" s="12"/>
      <c r="EB311" s="12"/>
      <c r="EC311" s="12"/>
      <c r="ED311" s="12"/>
    </row>
    <row r="312" spans="1:134" ht="12.5" x14ac:dyDescent="0.25">
      <c r="A312" s="46"/>
      <c r="B312" s="46"/>
      <c r="C312" s="46"/>
      <c r="D312" s="46"/>
      <c r="E312" s="15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46"/>
      <c r="BA312" s="46"/>
      <c r="BB312" s="46"/>
      <c r="BC312" s="46"/>
      <c r="BD312" s="46"/>
      <c r="BE312" s="46"/>
      <c r="BF312" s="12"/>
      <c r="BG312" s="12"/>
      <c r="BH312" s="12"/>
      <c r="BI312" s="46"/>
      <c r="BJ312" s="46"/>
      <c r="BK312" s="46"/>
      <c r="BL312" s="46"/>
      <c r="BM312" s="46"/>
      <c r="BN312" s="46"/>
      <c r="BO312" s="46"/>
      <c r="BP312" s="46"/>
      <c r="BQ312" s="157"/>
      <c r="BR312" s="156"/>
      <c r="BS312" s="46"/>
      <c r="BT312" s="46"/>
      <c r="BU312" s="12"/>
      <c r="BV312" s="12"/>
      <c r="BW312" s="12"/>
      <c r="BX312" s="12"/>
      <c r="BY312" s="12"/>
      <c r="BZ312" s="12"/>
      <c r="CA312" s="12"/>
      <c r="CB312" s="12"/>
      <c r="CC312" s="12"/>
      <c r="CD312" s="12"/>
      <c r="CE312" s="12"/>
      <c r="CF312" s="12"/>
      <c r="CG312" s="12"/>
      <c r="CH312" s="12"/>
      <c r="CI312" s="12"/>
      <c r="CJ312" s="12"/>
      <c r="CK312" s="12"/>
      <c r="CL312" s="2"/>
      <c r="CM312" s="12"/>
      <c r="CN312" s="12"/>
      <c r="CO312" s="12"/>
      <c r="CP312" s="12"/>
      <c r="CQ312" s="12"/>
      <c r="CR312" s="46"/>
      <c r="CS312" s="46"/>
      <c r="CT312" s="2"/>
      <c r="CU312" s="2"/>
      <c r="CV312" s="49"/>
      <c r="CW312" s="49"/>
      <c r="CX312" s="2"/>
      <c r="CY312" s="2"/>
      <c r="CZ312" s="160"/>
      <c r="DA312" s="12"/>
      <c r="DB312" s="12"/>
      <c r="DC312" s="12"/>
      <c r="DD312" s="12"/>
      <c r="DE312" s="12"/>
      <c r="DF312" s="12"/>
      <c r="DG312" s="12"/>
      <c r="DH312" s="12"/>
      <c r="DI312" s="46"/>
      <c r="DJ312" s="48"/>
      <c r="DK312" s="48"/>
      <c r="DL312" s="48"/>
      <c r="DM312" s="13"/>
      <c r="DN312" s="13"/>
      <c r="DO312" s="12"/>
      <c r="DP312" s="12"/>
      <c r="DQ312" s="12"/>
      <c r="DR312" s="12"/>
      <c r="DS312" s="12"/>
      <c r="DT312" s="12"/>
      <c r="DU312" s="12"/>
      <c r="DV312" s="12"/>
      <c r="DW312" s="12"/>
      <c r="DX312" s="12"/>
      <c r="DY312" s="12"/>
      <c r="DZ312" s="12"/>
      <c r="EA312" s="12"/>
      <c r="EB312" s="12"/>
      <c r="EC312" s="12"/>
      <c r="ED312" s="12"/>
    </row>
    <row r="313" spans="1:134" ht="12.5" x14ac:dyDescent="0.25">
      <c r="A313" s="46"/>
      <c r="B313" s="46"/>
      <c r="C313" s="46"/>
      <c r="D313" s="46"/>
      <c r="E313" s="15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46"/>
      <c r="BA313" s="46"/>
      <c r="BB313" s="46"/>
      <c r="BC313" s="46"/>
      <c r="BD313" s="46"/>
      <c r="BE313" s="46"/>
      <c r="BF313" s="12"/>
      <c r="BG313" s="12"/>
      <c r="BH313" s="12"/>
      <c r="BI313" s="46"/>
      <c r="BJ313" s="46"/>
      <c r="BK313" s="46"/>
      <c r="BL313" s="46"/>
      <c r="BM313" s="46"/>
      <c r="BN313" s="46"/>
      <c r="BO313" s="46"/>
      <c r="BP313" s="46"/>
      <c r="BQ313" s="157"/>
      <c r="BR313" s="156"/>
      <c r="BS313" s="46"/>
      <c r="BT313" s="46"/>
      <c r="BU313" s="12"/>
      <c r="BV313" s="12"/>
      <c r="BW313" s="12"/>
      <c r="BX313" s="12"/>
      <c r="BY313" s="12"/>
      <c r="BZ313" s="12"/>
      <c r="CA313" s="12"/>
      <c r="CB313" s="12"/>
      <c r="CC313" s="12"/>
      <c r="CD313" s="12"/>
      <c r="CE313" s="12"/>
      <c r="CF313" s="12"/>
      <c r="CG313" s="12"/>
      <c r="CH313" s="12"/>
      <c r="CI313" s="12"/>
      <c r="CJ313" s="12"/>
      <c r="CK313" s="12"/>
      <c r="CL313" s="2"/>
      <c r="CM313" s="12"/>
      <c r="CN313" s="12"/>
      <c r="CO313" s="12"/>
      <c r="CP313" s="12"/>
      <c r="CQ313" s="12"/>
      <c r="CR313" s="46"/>
      <c r="CS313" s="46"/>
      <c r="CT313" s="2"/>
      <c r="CU313" s="2"/>
      <c r="CV313" s="49"/>
      <c r="CW313" s="49"/>
      <c r="CX313" s="2"/>
      <c r="CY313" s="2"/>
      <c r="CZ313" s="160"/>
      <c r="DA313" s="12"/>
      <c r="DB313" s="12"/>
      <c r="DC313" s="12"/>
      <c r="DD313" s="12"/>
      <c r="DE313" s="12"/>
      <c r="DF313" s="12"/>
      <c r="DG313" s="12"/>
      <c r="DH313" s="12"/>
      <c r="DI313" s="46"/>
      <c r="DJ313" s="48"/>
      <c r="DK313" s="48"/>
      <c r="DL313" s="48"/>
      <c r="DM313" s="13"/>
      <c r="DN313" s="13"/>
      <c r="DO313" s="12"/>
      <c r="DP313" s="12"/>
      <c r="DQ313" s="12"/>
      <c r="DR313" s="12"/>
      <c r="DS313" s="12"/>
      <c r="DT313" s="12"/>
      <c r="DU313" s="12"/>
      <c r="DV313" s="12"/>
      <c r="DW313" s="12"/>
      <c r="DX313" s="12"/>
      <c r="DY313" s="12"/>
      <c r="DZ313" s="12"/>
      <c r="EA313" s="12"/>
      <c r="EB313" s="12"/>
      <c r="EC313" s="12"/>
      <c r="ED313" s="12"/>
    </row>
    <row r="314" spans="1:134" ht="12.5" x14ac:dyDescent="0.25">
      <c r="A314" s="46"/>
      <c r="B314" s="46"/>
      <c r="C314" s="46"/>
      <c r="D314" s="46"/>
      <c r="E314" s="15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46"/>
      <c r="BA314" s="46"/>
      <c r="BB314" s="46"/>
      <c r="BC314" s="46"/>
      <c r="BD314" s="46"/>
      <c r="BE314" s="46"/>
      <c r="BF314" s="12"/>
      <c r="BG314" s="12"/>
      <c r="BH314" s="12"/>
      <c r="BI314" s="46"/>
      <c r="BJ314" s="46"/>
      <c r="BK314" s="46"/>
      <c r="BL314" s="46"/>
      <c r="BM314" s="46"/>
      <c r="BN314" s="46"/>
      <c r="BO314" s="46"/>
      <c r="BP314" s="46"/>
      <c r="BQ314" s="157"/>
      <c r="BR314" s="156"/>
      <c r="BS314" s="46"/>
      <c r="BT314" s="46"/>
      <c r="BU314" s="12"/>
      <c r="BV314" s="12"/>
      <c r="BW314" s="12"/>
      <c r="BX314" s="12"/>
      <c r="BY314" s="12"/>
      <c r="BZ314" s="12"/>
      <c r="CA314" s="12"/>
      <c r="CB314" s="12"/>
      <c r="CC314" s="12"/>
      <c r="CD314" s="12"/>
      <c r="CE314" s="12"/>
      <c r="CF314" s="12"/>
      <c r="CG314" s="12"/>
      <c r="CH314" s="12"/>
      <c r="CI314" s="12"/>
      <c r="CJ314" s="12"/>
      <c r="CK314" s="12"/>
      <c r="CL314" s="2"/>
      <c r="CM314" s="12"/>
      <c r="CN314" s="12"/>
      <c r="CO314" s="12"/>
      <c r="CP314" s="12"/>
      <c r="CQ314" s="12"/>
      <c r="CR314" s="46"/>
      <c r="CS314" s="46"/>
      <c r="CT314" s="2"/>
      <c r="CU314" s="2"/>
      <c r="CV314" s="49"/>
      <c r="CW314" s="49"/>
      <c r="CX314" s="2"/>
      <c r="CY314" s="2"/>
      <c r="CZ314" s="160"/>
      <c r="DA314" s="12"/>
      <c r="DB314" s="12"/>
      <c r="DC314" s="12"/>
      <c r="DD314" s="12"/>
      <c r="DE314" s="12"/>
      <c r="DF314" s="12"/>
      <c r="DG314" s="12"/>
      <c r="DH314" s="12"/>
      <c r="DI314" s="46"/>
      <c r="DJ314" s="48"/>
      <c r="DK314" s="48"/>
      <c r="DL314" s="48"/>
      <c r="DM314" s="13"/>
      <c r="DN314" s="13"/>
      <c r="DO314" s="12"/>
      <c r="DP314" s="12"/>
      <c r="DQ314" s="12"/>
      <c r="DR314" s="12"/>
      <c r="DS314" s="12"/>
      <c r="DT314" s="12"/>
      <c r="DU314" s="12"/>
      <c r="DV314" s="12"/>
      <c r="DW314" s="12"/>
      <c r="DX314" s="12"/>
      <c r="DY314" s="12"/>
      <c r="DZ314" s="12"/>
      <c r="EA314" s="12"/>
      <c r="EB314" s="12"/>
      <c r="EC314" s="12"/>
      <c r="ED314" s="12"/>
    </row>
    <row r="315" spans="1:134" ht="12.5" x14ac:dyDescent="0.25">
      <c r="A315" s="46"/>
      <c r="B315" s="46"/>
      <c r="C315" s="46"/>
      <c r="D315" s="46"/>
      <c r="E315" s="15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46"/>
      <c r="BA315" s="46"/>
      <c r="BB315" s="46"/>
      <c r="BC315" s="46"/>
      <c r="BD315" s="46"/>
      <c r="BE315" s="46"/>
      <c r="BF315" s="12"/>
      <c r="BG315" s="12"/>
      <c r="BH315" s="12"/>
      <c r="BI315" s="46"/>
      <c r="BJ315" s="46"/>
      <c r="BK315" s="46"/>
      <c r="BL315" s="46"/>
      <c r="BM315" s="46"/>
      <c r="BN315" s="46"/>
      <c r="BO315" s="46"/>
      <c r="BP315" s="46"/>
      <c r="BQ315" s="157"/>
      <c r="BR315" s="156"/>
      <c r="BS315" s="46"/>
      <c r="BT315" s="46"/>
      <c r="BU315" s="12"/>
      <c r="BV315" s="12"/>
      <c r="BW315" s="12"/>
      <c r="BX315" s="12"/>
      <c r="BY315" s="12"/>
      <c r="BZ315" s="12"/>
      <c r="CA315" s="12"/>
      <c r="CB315" s="12"/>
      <c r="CC315" s="12"/>
      <c r="CD315" s="12"/>
      <c r="CE315" s="12"/>
      <c r="CF315" s="12"/>
      <c r="CG315" s="12"/>
      <c r="CH315" s="12"/>
      <c r="CI315" s="12"/>
      <c r="CJ315" s="12"/>
      <c r="CK315" s="12"/>
      <c r="CL315" s="2"/>
      <c r="CM315" s="12"/>
      <c r="CN315" s="12"/>
      <c r="CO315" s="12"/>
      <c r="CP315" s="12"/>
      <c r="CQ315" s="12"/>
      <c r="CR315" s="46"/>
      <c r="CS315" s="46"/>
      <c r="CT315" s="2"/>
      <c r="CU315" s="2"/>
      <c r="CV315" s="49"/>
      <c r="CW315" s="49"/>
      <c r="CX315" s="2"/>
      <c r="CY315" s="2"/>
      <c r="CZ315" s="160"/>
      <c r="DA315" s="12"/>
      <c r="DB315" s="12"/>
      <c r="DC315" s="12"/>
      <c r="DD315" s="12"/>
      <c r="DE315" s="12"/>
      <c r="DF315" s="12"/>
      <c r="DG315" s="12"/>
      <c r="DH315" s="12"/>
      <c r="DI315" s="46"/>
      <c r="DJ315" s="48"/>
      <c r="DK315" s="48"/>
      <c r="DL315" s="48"/>
      <c r="DM315" s="13"/>
      <c r="DN315" s="13"/>
      <c r="DO315" s="12"/>
      <c r="DP315" s="12"/>
      <c r="DQ315" s="12"/>
      <c r="DR315" s="12"/>
      <c r="DS315" s="12"/>
      <c r="DT315" s="12"/>
      <c r="DU315" s="12"/>
      <c r="DV315" s="12"/>
      <c r="DW315" s="12"/>
      <c r="DX315" s="12"/>
      <c r="DY315" s="12"/>
      <c r="DZ315" s="12"/>
      <c r="EA315" s="12"/>
      <c r="EB315" s="12"/>
      <c r="EC315" s="12"/>
      <c r="ED315" s="12"/>
    </row>
    <row r="316" spans="1:134" ht="12.5" x14ac:dyDescent="0.25">
      <c r="A316" s="46"/>
      <c r="B316" s="46"/>
      <c r="C316" s="46"/>
      <c r="D316" s="46"/>
      <c r="E316" s="15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46"/>
      <c r="BA316" s="46"/>
      <c r="BB316" s="46"/>
      <c r="BC316" s="46"/>
      <c r="BD316" s="46"/>
      <c r="BE316" s="46"/>
      <c r="BF316" s="12"/>
      <c r="BG316" s="12"/>
      <c r="BH316" s="12"/>
      <c r="BI316" s="46"/>
      <c r="BJ316" s="46"/>
      <c r="BK316" s="46"/>
      <c r="BL316" s="46"/>
      <c r="BM316" s="46"/>
      <c r="BN316" s="46"/>
      <c r="BO316" s="46"/>
      <c r="BP316" s="46"/>
      <c r="BQ316" s="157"/>
      <c r="BR316" s="156"/>
      <c r="BS316" s="46"/>
      <c r="BT316" s="46"/>
      <c r="BU316" s="12"/>
      <c r="BV316" s="12"/>
      <c r="BW316" s="12"/>
      <c r="BX316" s="12"/>
      <c r="BY316" s="12"/>
      <c r="BZ316" s="12"/>
      <c r="CA316" s="12"/>
      <c r="CB316" s="12"/>
      <c r="CC316" s="12"/>
      <c r="CD316" s="12"/>
      <c r="CE316" s="12"/>
      <c r="CF316" s="12"/>
      <c r="CG316" s="12"/>
      <c r="CH316" s="12"/>
      <c r="CI316" s="12"/>
      <c r="CJ316" s="12"/>
      <c r="CK316" s="12"/>
      <c r="CL316" s="2"/>
      <c r="CM316" s="12"/>
      <c r="CN316" s="12"/>
      <c r="CO316" s="12"/>
      <c r="CP316" s="12"/>
      <c r="CQ316" s="12"/>
      <c r="CR316" s="46"/>
      <c r="CS316" s="46"/>
      <c r="CT316" s="2"/>
      <c r="CU316" s="2"/>
      <c r="CV316" s="49"/>
      <c r="CW316" s="49"/>
      <c r="CX316" s="2"/>
      <c r="CY316" s="2"/>
      <c r="CZ316" s="160"/>
      <c r="DA316" s="12"/>
      <c r="DB316" s="12"/>
      <c r="DC316" s="12"/>
      <c r="DD316" s="12"/>
      <c r="DE316" s="12"/>
      <c r="DF316" s="12"/>
      <c r="DG316" s="12"/>
      <c r="DH316" s="12"/>
      <c r="DI316" s="46"/>
      <c r="DJ316" s="48"/>
      <c r="DK316" s="48"/>
      <c r="DL316" s="48"/>
      <c r="DM316" s="13"/>
      <c r="DN316" s="13"/>
      <c r="DO316" s="12"/>
      <c r="DP316" s="12"/>
      <c r="DQ316" s="12"/>
      <c r="DR316" s="12"/>
      <c r="DS316" s="12"/>
      <c r="DT316" s="12"/>
      <c r="DU316" s="12"/>
      <c r="DV316" s="12"/>
      <c r="DW316" s="12"/>
      <c r="DX316" s="12"/>
      <c r="DY316" s="12"/>
      <c r="DZ316" s="12"/>
      <c r="EA316" s="12"/>
      <c r="EB316" s="12"/>
      <c r="EC316" s="12"/>
      <c r="ED316" s="12"/>
    </row>
    <row r="317" spans="1:134" ht="12.5" x14ac:dyDescent="0.25">
      <c r="A317" s="46"/>
      <c r="B317" s="46"/>
      <c r="C317" s="46"/>
      <c r="D317" s="46"/>
      <c r="E317" s="15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46"/>
      <c r="BA317" s="46"/>
      <c r="BB317" s="46"/>
      <c r="BC317" s="46"/>
      <c r="BD317" s="46"/>
      <c r="BE317" s="46"/>
      <c r="BF317" s="12"/>
      <c r="BG317" s="12"/>
      <c r="BH317" s="12"/>
      <c r="BI317" s="46"/>
      <c r="BJ317" s="46"/>
      <c r="BK317" s="46"/>
      <c r="BL317" s="46"/>
      <c r="BM317" s="46"/>
      <c r="BN317" s="46"/>
      <c r="BO317" s="46"/>
      <c r="BP317" s="46"/>
      <c r="BQ317" s="157"/>
      <c r="BR317" s="156"/>
      <c r="BS317" s="46"/>
      <c r="BT317" s="46"/>
      <c r="BU317" s="12"/>
      <c r="BV317" s="12"/>
      <c r="BW317" s="12"/>
      <c r="BX317" s="12"/>
      <c r="BY317" s="12"/>
      <c r="BZ317" s="12"/>
      <c r="CA317" s="12"/>
      <c r="CB317" s="12"/>
      <c r="CC317" s="12"/>
      <c r="CD317" s="12"/>
      <c r="CE317" s="12"/>
      <c r="CF317" s="12"/>
      <c r="CG317" s="12"/>
      <c r="CH317" s="12"/>
      <c r="CI317" s="12"/>
      <c r="CJ317" s="12"/>
      <c r="CK317" s="12"/>
      <c r="CL317" s="2"/>
      <c r="CM317" s="12"/>
      <c r="CN317" s="12"/>
      <c r="CO317" s="12"/>
      <c r="CP317" s="12"/>
      <c r="CQ317" s="12"/>
      <c r="CR317" s="46"/>
      <c r="CS317" s="46"/>
      <c r="CT317" s="2"/>
      <c r="CU317" s="2"/>
      <c r="CV317" s="49"/>
      <c r="CW317" s="49"/>
      <c r="CX317" s="2"/>
      <c r="CY317" s="2"/>
      <c r="CZ317" s="160"/>
      <c r="DA317" s="12"/>
      <c r="DB317" s="12"/>
      <c r="DC317" s="12"/>
      <c r="DD317" s="12"/>
      <c r="DE317" s="12"/>
      <c r="DF317" s="12"/>
      <c r="DG317" s="12"/>
      <c r="DH317" s="12"/>
      <c r="DI317" s="46"/>
      <c r="DJ317" s="48"/>
      <c r="DK317" s="48"/>
      <c r="DL317" s="48"/>
      <c r="DM317" s="13"/>
      <c r="DN317" s="13"/>
      <c r="DO317" s="12"/>
      <c r="DP317" s="12"/>
      <c r="DQ317" s="12"/>
      <c r="DR317" s="12"/>
      <c r="DS317" s="12"/>
      <c r="DT317" s="12"/>
      <c r="DU317" s="12"/>
      <c r="DV317" s="12"/>
      <c r="DW317" s="12"/>
      <c r="DX317" s="12"/>
      <c r="DY317" s="12"/>
      <c r="DZ317" s="12"/>
      <c r="EA317" s="12"/>
      <c r="EB317" s="12"/>
      <c r="EC317" s="12"/>
      <c r="ED317" s="12"/>
    </row>
    <row r="318" spans="1:134" ht="12.5" x14ac:dyDescent="0.25">
      <c r="A318" s="46"/>
      <c r="B318" s="46"/>
      <c r="C318" s="46"/>
      <c r="D318" s="46"/>
      <c r="E318" s="15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46"/>
      <c r="BA318" s="46"/>
      <c r="BB318" s="46"/>
      <c r="BC318" s="46"/>
      <c r="BD318" s="46"/>
      <c r="BE318" s="46"/>
      <c r="BF318" s="12"/>
      <c r="BG318" s="12"/>
      <c r="BH318" s="12"/>
      <c r="BI318" s="46"/>
      <c r="BJ318" s="46"/>
      <c r="BK318" s="46"/>
      <c r="BL318" s="46"/>
      <c r="BM318" s="46"/>
      <c r="BN318" s="46"/>
      <c r="BO318" s="46"/>
      <c r="BP318" s="46"/>
      <c r="BQ318" s="157"/>
      <c r="BR318" s="156"/>
      <c r="BS318" s="46"/>
      <c r="BT318" s="46"/>
      <c r="BU318" s="12"/>
      <c r="BV318" s="12"/>
      <c r="BW318" s="12"/>
      <c r="BX318" s="12"/>
      <c r="BY318" s="12"/>
      <c r="BZ318" s="12"/>
      <c r="CA318" s="12"/>
      <c r="CB318" s="12"/>
      <c r="CC318" s="12"/>
      <c r="CD318" s="12"/>
      <c r="CE318" s="12"/>
      <c r="CF318" s="12"/>
      <c r="CG318" s="12"/>
      <c r="CH318" s="12"/>
      <c r="CI318" s="12"/>
      <c r="CJ318" s="12"/>
      <c r="CK318" s="12"/>
      <c r="CL318" s="2"/>
      <c r="CM318" s="12"/>
      <c r="CN318" s="12"/>
      <c r="CO318" s="12"/>
      <c r="CP318" s="12"/>
      <c r="CQ318" s="12"/>
      <c r="CR318" s="46"/>
      <c r="CS318" s="46"/>
      <c r="CT318" s="2"/>
      <c r="CU318" s="2"/>
      <c r="CV318" s="49"/>
      <c r="CW318" s="49"/>
      <c r="CX318" s="2"/>
      <c r="CY318" s="2"/>
      <c r="CZ318" s="160"/>
      <c r="DA318" s="12"/>
      <c r="DB318" s="12"/>
      <c r="DC318" s="12"/>
      <c r="DD318" s="12"/>
      <c r="DE318" s="12"/>
      <c r="DF318" s="12"/>
      <c r="DG318" s="12"/>
      <c r="DH318" s="12"/>
      <c r="DI318" s="46"/>
      <c r="DJ318" s="48"/>
      <c r="DK318" s="48"/>
      <c r="DL318" s="48"/>
      <c r="DM318" s="13"/>
      <c r="DN318" s="13"/>
      <c r="DO318" s="12"/>
      <c r="DP318" s="12"/>
      <c r="DQ318" s="12"/>
      <c r="DR318" s="12"/>
      <c r="DS318" s="12"/>
      <c r="DT318" s="12"/>
      <c r="DU318" s="12"/>
      <c r="DV318" s="12"/>
      <c r="DW318" s="12"/>
      <c r="DX318" s="12"/>
      <c r="DY318" s="12"/>
      <c r="DZ318" s="12"/>
      <c r="EA318" s="12"/>
      <c r="EB318" s="12"/>
      <c r="EC318" s="12"/>
      <c r="ED318" s="12"/>
    </row>
    <row r="319" spans="1:134" ht="12.5" x14ac:dyDescent="0.25">
      <c r="A319" s="46"/>
      <c r="B319" s="46"/>
      <c r="C319" s="46"/>
      <c r="D319" s="46"/>
      <c r="E319" s="15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46"/>
      <c r="BA319" s="46"/>
      <c r="BB319" s="46"/>
      <c r="BC319" s="46"/>
      <c r="BD319" s="46"/>
      <c r="BE319" s="46"/>
      <c r="BF319" s="12"/>
      <c r="BG319" s="12"/>
      <c r="BH319" s="12"/>
      <c r="BI319" s="46"/>
      <c r="BJ319" s="46"/>
      <c r="BK319" s="46"/>
      <c r="BL319" s="46"/>
      <c r="BM319" s="46"/>
      <c r="BN319" s="46"/>
      <c r="BO319" s="46"/>
      <c r="BP319" s="46"/>
      <c r="BQ319" s="157"/>
      <c r="BR319" s="156"/>
      <c r="BS319" s="46"/>
      <c r="BT319" s="46"/>
      <c r="BU319" s="12"/>
      <c r="BV319" s="12"/>
      <c r="BW319" s="12"/>
      <c r="BX319" s="12"/>
      <c r="BY319" s="12"/>
      <c r="BZ319" s="12"/>
      <c r="CA319" s="12"/>
      <c r="CB319" s="12"/>
      <c r="CC319" s="12"/>
      <c r="CD319" s="12"/>
      <c r="CE319" s="12"/>
      <c r="CF319" s="12"/>
      <c r="CG319" s="12"/>
      <c r="CH319" s="12"/>
      <c r="CI319" s="12"/>
      <c r="CJ319" s="12"/>
      <c r="CK319" s="12"/>
      <c r="CL319" s="2"/>
      <c r="CM319" s="12"/>
      <c r="CN319" s="12"/>
      <c r="CO319" s="12"/>
      <c r="CP319" s="12"/>
      <c r="CQ319" s="12"/>
      <c r="CR319" s="46"/>
      <c r="CS319" s="46"/>
      <c r="CT319" s="2"/>
      <c r="CU319" s="2"/>
      <c r="CV319" s="49"/>
      <c r="CW319" s="49"/>
      <c r="CX319" s="2"/>
      <c r="CY319" s="2"/>
      <c r="CZ319" s="160"/>
      <c r="DA319" s="12"/>
      <c r="DB319" s="12"/>
      <c r="DC319" s="12"/>
      <c r="DD319" s="12"/>
      <c r="DE319" s="12"/>
      <c r="DF319" s="12"/>
      <c r="DG319" s="12"/>
      <c r="DH319" s="12"/>
      <c r="DI319" s="46"/>
      <c r="DJ319" s="48"/>
      <c r="DK319" s="48"/>
      <c r="DL319" s="48"/>
      <c r="DM319" s="13"/>
      <c r="DN319" s="13"/>
      <c r="DO319" s="12"/>
      <c r="DP319" s="12"/>
      <c r="DQ319" s="12"/>
      <c r="DR319" s="12"/>
      <c r="DS319" s="12"/>
      <c r="DT319" s="12"/>
      <c r="DU319" s="12"/>
      <c r="DV319" s="12"/>
      <c r="DW319" s="12"/>
      <c r="DX319" s="12"/>
      <c r="DY319" s="12"/>
      <c r="DZ319" s="12"/>
      <c r="EA319" s="12"/>
      <c r="EB319" s="12"/>
      <c r="EC319" s="12"/>
      <c r="ED319" s="12"/>
    </row>
    <row r="320" spans="1:134" ht="12.5" x14ac:dyDescent="0.25">
      <c r="A320" s="46"/>
      <c r="B320" s="46"/>
      <c r="C320" s="46"/>
      <c r="D320" s="46"/>
      <c r="E320" s="15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46"/>
      <c r="BA320" s="46"/>
      <c r="BB320" s="46"/>
      <c r="BC320" s="46"/>
      <c r="BD320" s="46"/>
      <c r="BE320" s="46"/>
      <c r="BF320" s="12"/>
      <c r="BG320" s="12"/>
      <c r="BH320" s="12"/>
      <c r="BI320" s="46"/>
      <c r="BJ320" s="46"/>
      <c r="BK320" s="46"/>
      <c r="BL320" s="46"/>
      <c r="BM320" s="46"/>
      <c r="BN320" s="46"/>
      <c r="BO320" s="46"/>
      <c r="BP320" s="46"/>
      <c r="BQ320" s="157"/>
      <c r="BR320" s="156"/>
      <c r="BS320" s="46"/>
      <c r="BT320" s="46"/>
      <c r="BU320" s="12"/>
      <c r="BV320" s="12"/>
      <c r="BW320" s="12"/>
      <c r="BX320" s="12"/>
      <c r="BY320" s="12"/>
      <c r="BZ320" s="12"/>
      <c r="CA320" s="12"/>
      <c r="CB320" s="12"/>
      <c r="CC320" s="12"/>
      <c r="CD320" s="12"/>
      <c r="CE320" s="12"/>
      <c r="CF320" s="12"/>
      <c r="CG320" s="12"/>
      <c r="CH320" s="12"/>
      <c r="CI320" s="12"/>
      <c r="CJ320" s="12"/>
      <c r="CK320" s="12"/>
      <c r="CL320" s="2"/>
      <c r="CM320" s="12"/>
      <c r="CN320" s="12"/>
      <c r="CO320" s="12"/>
      <c r="CP320" s="12"/>
      <c r="CQ320" s="12"/>
      <c r="CR320" s="46"/>
      <c r="CS320" s="46"/>
      <c r="CT320" s="2"/>
      <c r="CU320" s="2"/>
      <c r="CV320" s="49"/>
      <c r="CW320" s="49"/>
      <c r="CX320" s="2"/>
      <c r="CY320" s="2"/>
      <c r="CZ320" s="160"/>
      <c r="DA320" s="12"/>
      <c r="DB320" s="12"/>
      <c r="DC320" s="12"/>
      <c r="DD320" s="12"/>
      <c r="DE320" s="12"/>
      <c r="DF320" s="12"/>
      <c r="DG320" s="12"/>
      <c r="DH320" s="12"/>
      <c r="DI320" s="46"/>
      <c r="DJ320" s="48"/>
      <c r="DK320" s="48"/>
      <c r="DL320" s="48"/>
      <c r="DM320" s="13"/>
      <c r="DN320" s="13"/>
      <c r="DO320" s="12"/>
      <c r="DP320" s="12"/>
      <c r="DQ320" s="12"/>
      <c r="DR320" s="12"/>
      <c r="DS320" s="12"/>
      <c r="DT320" s="12"/>
      <c r="DU320" s="12"/>
      <c r="DV320" s="12"/>
      <c r="DW320" s="12"/>
      <c r="DX320" s="12"/>
      <c r="DY320" s="12"/>
      <c r="DZ320" s="12"/>
      <c r="EA320" s="12"/>
      <c r="EB320" s="12"/>
      <c r="EC320" s="12"/>
      <c r="ED320" s="12"/>
    </row>
    <row r="321" spans="1:134" ht="12.5" x14ac:dyDescent="0.25">
      <c r="A321" s="46"/>
      <c r="B321" s="46"/>
      <c r="C321" s="46"/>
      <c r="D321" s="46"/>
      <c r="E321" s="15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46"/>
      <c r="BA321" s="46"/>
      <c r="BB321" s="46"/>
      <c r="BC321" s="46"/>
      <c r="BD321" s="46"/>
      <c r="BE321" s="46"/>
      <c r="BF321" s="12"/>
      <c r="BG321" s="12"/>
      <c r="BH321" s="12"/>
      <c r="BI321" s="46"/>
      <c r="BJ321" s="46"/>
      <c r="BK321" s="46"/>
      <c r="BL321" s="46"/>
      <c r="BM321" s="46"/>
      <c r="BN321" s="46"/>
      <c r="BO321" s="46"/>
      <c r="BP321" s="46"/>
      <c r="BQ321" s="157"/>
      <c r="BR321" s="156"/>
      <c r="BS321" s="46"/>
      <c r="BT321" s="46"/>
      <c r="BU321" s="12"/>
      <c r="BV321" s="12"/>
      <c r="BW321" s="12"/>
      <c r="BX321" s="12"/>
      <c r="BY321" s="12"/>
      <c r="BZ321" s="12"/>
      <c r="CA321" s="12"/>
      <c r="CB321" s="12"/>
      <c r="CC321" s="12"/>
      <c r="CD321" s="12"/>
      <c r="CE321" s="12"/>
      <c r="CF321" s="12"/>
      <c r="CG321" s="12"/>
      <c r="CH321" s="12"/>
      <c r="CI321" s="12"/>
      <c r="CJ321" s="12"/>
      <c r="CK321" s="12"/>
      <c r="CL321" s="2"/>
      <c r="CM321" s="12"/>
      <c r="CN321" s="12"/>
      <c r="CO321" s="12"/>
      <c r="CP321" s="12"/>
      <c r="CQ321" s="12"/>
      <c r="CR321" s="46"/>
      <c r="CS321" s="46"/>
      <c r="CT321" s="2"/>
      <c r="CU321" s="2"/>
      <c r="CV321" s="49"/>
      <c r="CW321" s="49"/>
      <c r="CX321" s="2"/>
      <c r="CY321" s="2"/>
      <c r="CZ321" s="160"/>
      <c r="DA321" s="12"/>
      <c r="DB321" s="12"/>
      <c r="DC321" s="12"/>
      <c r="DD321" s="12"/>
      <c r="DE321" s="12"/>
      <c r="DF321" s="12"/>
      <c r="DG321" s="12"/>
      <c r="DH321" s="12"/>
      <c r="DI321" s="46"/>
      <c r="DJ321" s="48"/>
      <c r="DK321" s="48"/>
      <c r="DL321" s="48"/>
      <c r="DM321" s="13"/>
      <c r="DN321" s="13"/>
      <c r="DO321" s="12"/>
      <c r="DP321" s="12"/>
      <c r="DQ321" s="12"/>
      <c r="DR321" s="12"/>
      <c r="DS321" s="12"/>
      <c r="DT321" s="12"/>
      <c r="DU321" s="12"/>
      <c r="DV321" s="12"/>
      <c r="DW321" s="12"/>
      <c r="DX321" s="12"/>
      <c r="DY321" s="12"/>
      <c r="DZ321" s="12"/>
      <c r="EA321" s="12"/>
      <c r="EB321" s="12"/>
      <c r="EC321" s="12"/>
      <c r="ED321" s="12"/>
    </row>
    <row r="322" spans="1:134" ht="12.5" x14ac:dyDescent="0.25">
      <c r="A322" s="46"/>
      <c r="B322" s="46"/>
      <c r="C322" s="46"/>
      <c r="D322" s="46"/>
      <c r="E322" s="15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46"/>
      <c r="BA322" s="46"/>
      <c r="BB322" s="46"/>
      <c r="BC322" s="46"/>
      <c r="BD322" s="46"/>
      <c r="BE322" s="46"/>
      <c r="BF322" s="12"/>
      <c r="BG322" s="12"/>
      <c r="BH322" s="12"/>
      <c r="BI322" s="46"/>
      <c r="BJ322" s="46"/>
      <c r="BK322" s="46"/>
      <c r="BL322" s="46"/>
      <c r="BM322" s="46"/>
      <c r="BN322" s="46"/>
      <c r="BO322" s="46"/>
      <c r="BP322" s="46"/>
      <c r="BQ322" s="157"/>
      <c r="BR322" s="156"/>
      <c r="BS322" s="46"/>
      <c r="BT322" s="46"/>
      <c r="BU322" s="12"/>
      <c r="BV322" s="12"/>
      <c r="BW322" s="12"/>
      <c r="BX322" s="12"/>
      <c r="BY322" s="12"/>
      <c r="BZ322" s="12"/>
      <c r="CA322" s="12"/>
      <c r="CB322" s="12"/>
      <c r="CC322" s="12"/>
      <c r="CD322" s="12"/>
      <c r="CE322" s="12"/>
      <c r="CF322" s="12"/>
      <c r="CG322" s="12"/>
      <c r="CH322" s="12"/>
      <c r="CI322" s="12"/>
      <c r="CJ322" s="12"/>
      <c r="CK322" s="12"/>
      <c r="CL322" s="2"/>
      <c r="CM322" s="12"/>
      <c r="CN322" s="12"/>
      <c r="CO322" s="12"/>
      <c r="CP322" s="12"/>
      <c r="CQ322" s="12"/>
      <c r="CR322" s="46"/>
      <c r="CS322" s="46"/>
      <c r="CT322" s="2"/>
      <c r="CU322" s="2"/>
      <c r="CV322" s="49"/>
      <c r="CW322" s="49"/>
      <c r="CX322" s="2"/>
      <c r="CY322" s="2"/>
      <c r="CZ322" s="160"/>
      <c r="DA322" s="12"/>
      <c r="DB322" s="12"/>
      <c r="DC322" s="12"/>
      <c r="DD322" s="12"/>
      <c r="DE322" s="12"/>
      <c r="DF322" s="12"/>
      <c r="DG322" s="12"/>
      <c r="DH322" s="12"/>
      <c r="DI322" s="46"/>
      <c r="DJ322" s="48"/>
      <c r="DK322" s="48"/>
      <c r="DL322" s="48"/>
      <c r="DM322" s="13"/>
      <c r="DN322" s="13"/>
      <c r="DO322" s="12"/>
      <c r="DP322" s="12"/>
      <c r="DQ322" s="12"/>
      <c r="DR322" s="12"/>
      <c r="DS322" s="12"/>
      <c r="DT322" s="12"/>
      <c r="DU322" s="12"/>
      <c r="DV322" s="12"/>
      <c r="DW322" s="12"/>
      <c r="DX322" s="12"/>
      <c r="DY322" s="12"/>
      <c r="DZ322" s="12"/>
      <c r="EA322" s="12"/>
      <c r="EB322" s="12"/>
      <c r="EC322" s="12"/>
      <c r="ED322" s="12"/>
    </row>
    <row r="323" spans="1:134" ht="12.5" x14ac:dyDescent="0.25">
      <c r="A323" s="46"/>
      <c r="B323" s="46"/>
      <c r="C323" s="46"/>
      <c r="D323" s="46"/>
      <c r="E323" s="15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46"/>
      <c r="BA323" s="46"/>
      <c r="BB323" s="46"/>
      <c r="BC323" s="46"/>
      <c r="BD323" s="46"/>
      <c r="BE323" s="46"/>
      <c r="BF323" s="12"/>
      <c r="BG323" s="12"/>
      <c r="BH323" s="12"/>
      <c r="BI323" s="46"/>
      <c r="BJ323" s="46"/>
      <c r="BK323" s="46"/>
      <c r="BL323" s="46"/>
      <c r="BM323" s="46"/>
      <c r="BN323" s="46"/>
      <c r="BO323" s="46"/>
      <c r="BP323" s="46"/>
      <c r="BQ323" s="157"/>
      <c r="BR323" s="156"/>
      <c r="BS323" s="46"/>
      <c r="BT323" s="46"/>
      <c r="BU323" s="12"/>
      <c r="BV323" s="12"/>
      <c r="BW323" s="12"/>
      <c r="BX323" s="12"/>
      <c r="BY323" s="12"/>
      <c r="BZ323" s="12"/>
      <c r="CA323" s="12"/>
      <c r="CB323" s="12"/>
      <c r="CC323" s="12"/>
      <c r="CD323" s="12"/>
      <c r="CE323" s="12"/>
      <c r="CF323" s="12"/>
      <c r="CG323" s="12"/>
      <c r="CH323" s="12"/>
      <c r="CI323" s="12"/>
      <c r="CJ323" s="12"/>
      <c r="CK323" s="12"/>
      <c r="CL323" s="2"/>
      <c r="CM323" s="12"/>
      <c r="CN323" s="12"/>
      <c r="CO323" s="12"/>
      <c r="CP323" s="12"/>
      <c r="CQ323" s="12"/>
      <c r="CR323" s="46"/>
      <c r="CS323" s="46"/>
      <c r="CT323" s="2"/>
      <c r="CU323" s="2"/>
      <c r="CV323" s="49"/>
      <c r="CW323" s="49"/>
      <c r="CX323" s="2"/>
      <c r="CY323" s="2"/>
      <c r="CZ323" s="160"/>
      <c r="DA323" s="12"/>
      <c r="DB323" s="12"/>
      <c r="DC323" s="12"/>
      <c r="DD323" s="12"/>
      <c r="DE323" s="12"/>
      <c r="DF323" s="12"/>
      <c r="DG323" s="12"/>
      <c r="DH323" s="12"/>
      <c r="DI323" s="46"/>
      <c r="DJ323" s="48"/>
      <c r="DK323" s="48"/>
      <c r="DL323" s="48"/>
      <c r="DM323" s="13"/>
      <c r="DN323" s="13"/>
      <c r="DO323" s="12"/>
      <c r="DP323" s="12"/>
      <c r="DQ323" s="12"/>
      <c r="DR323" s="12"/>
      <c r="DS323" s="12"/>
      <c r="DT323" s="12"/>
      <c r="DU323" s="12"/>
      <c r="DV323" s="12"/>
      <c r="DW323" s="12"/>
      <c r="DX323" s="12"/>
      <c r="DY323" s="12"/>
      <c r="DZ323" s="12"/>
      <c r="EA323" s="12"/>
      <c r="EB323" s="12"/>
      <c r="EC323" s="12"/>
      <c r="ED323" s="12"/>
    </row>
    <row r="324" spans="1:134" ht="12.5" x14ac:dyDescent="0.25">
      <c r="A324" s="46"/>
      <c r="B324" s="46"/>
      <c r="C324" s="46"/>
      <c r="D324" s="46"/>
      <c r="E324" s="15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46"/>
      <c r="BA324" s="46"/>
      <c r="BB324" s="46"/>
      <c r="BC324" s="46"/>
      <c r="BD324" s="46"/>
      <c r="BE324" s="46"/>
      <c r="BF324" s="12"/>
      <c r="BG324" s="12"/>
      <c r="BH324" s="12"/>
      <c r="BI324" s="46"/>
      <c r="BJ324" s="46"/>
      <c r="BK324" s="46"/>
      <c r="BL324" s="46"/>
      <c r="BM324" s="46"/>
      <c r="BN324" s="46"/>
      <c r="BO324" s="46"/>
      <c r="BP324" s="46"/>
      <c r="BQ324" s="157"/>
      <c r="BR324" s="156"/>
      <c r="BS324" s="46"/>
      <c r="BT324" s="46"/>
      <c r="BU324" s="12"/>
      <c r="BV324" s="12"/>
      <c r="BW324" s="12"/>
      <c r="BX324" s="12"/>
      <c r="BY324" s="12"/>
      <c r="BZ324" s="12"/>
      <c r="CA324" s="12"/>
      <c r="CB324" s="12"/>
      <c r="CC324" s="12"/>
      <c r="CD324" s="12"/>
      <c r="CE324" s="12"/>
      <c r="CF324" s="12"/>
      <c r="CG324" s="12"/>
      <c r="CH324" s="12"/>
      <c r="CI324" s="12"/>
      <c r="CJ324" s="12"/>
      <c r="CK324" s="12"/>
      <c r="CL324" s="2"/>
      <c r="CM324" s="12"/>
      <c r="CN324" s="12"/>
      <c r="CO324" s="12"/>
      <c r="CP324" s="12"/>
      <c r="CQ324" s="12"/>
      <c r="CR324" s="46"/>
      <c r="CS324" s="46"/>
      <c r="CT324" s="2"/>
      <c r="CU324" s="2"/>
      <c r="CV324" s="49"/>
      <c r="CW324" s="49"/>
      <c r="CX324" s="2"/>
      <c r="CY324" s="2"/>
      <c r="CZ324" s="160"/>
      <c r="DA324" s="12"/>
      <c r="DB324" s="12"/>
      <c r="DC324" s="12"/>
      <c r="DD324" s="12"/>
      <c r="DE324" s="12"/>
      <c r="DF324" s="12"/>
      <c r="DG324" s="12"/>
      <c r="DH324" s="12"/>
      <c r="DI324" s="46"/>
      <c r="DJ324" s="48"/>
      <c r="DK324" s="48"/>
      <c r="DL324" s="48"/>
      <c r="DM324" s="13"/>
      <c r="DN324" s="13"/>
      <c r="DO324" s="12"/>
      <c r="DP324" s="12"/>
      <c r="DQ324" s="12"/>
      <c r="DR324" s="12"/>
      <c r="DS324" s="12"/>
      <c r="DT324" s="12"/>
      <c r="DU324" s="12"/>
      <c r="DV324" s="12"/>
      <c r="DW324" s="12"/>
      <c r="DX324" s="12"/>
      <c r="DY324" s="12"/>
      <c r="DZ324" s="12"/>
      <c r="EA324" s="12"/>
      <c r="EB324" s="12"/>
      <c r="EC324" s="12"/>
      <c r="ED324" s="12"/>
    </row>
    <row r="325" spans="1:134" ht="12.5" x14ac:dyDescent="0.25">
      <c r="A325" s="46"/>
      <c r="B325" s="46"/>
      <c r="C325" s="46"/>
      <c r="D325" s="46"/>
      <c r="E325" s="15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46"/>
      <c r="BA325" s="46"/>
      <c r="BB325" s="46"/>
      <c r="BC325" s="46"/>
      <c r="BD325" s="46"/>
      <c r="BE325" s="46"/>
      <c r="BF325" s="12"/>
      <c r="BG325" s="12"/>
      <c r="BH325" s="12"/>
      <c r="BI325" s="46"/>
      <c r="BJ325" s="46"/>
      <c r="BK325" s="46"/>
      <c r="BL325" s="46"/>
      <c r="BM325" s="46"/>
      <c r="BN325" s="46"/>
      <c r="BO325" s="46"/>
      <c r="BP325" s="46"/>
      <c r="BQ325" s="157"/>
      <c r="BR325" s="156"/>
      <c r="BS325" s="46"/>
      <c r="BT325" s="46"/>
      <c r="BU325" s="12"/>
      <c r="BV325" s="12"/>
      <c r="BW325" s="12"/>
      <c r="BX325" s="12"/>
      <c r="BY325" s="12"/>
      <c r="BZ325" s="12"/>
      <c r="CA325" s="12"/>
      <c r="CB325" s="12"/>
      <c r="CC325" s="12"/>
      <c r="CD325" s="12"/>
      <c r="CE325" s="12"/>
      <c r="CF325" s="12"/>
      <c r="CG325" s="12"/>
      <c r="CH325" s="12"/>
      <c r="CI325" s="12"/>
      <c r="CJ325" s="12"/>
      <c r="CK325" s="12"/>
      <c r="CL325" s="2"/>
      <c r="CM325" s="12"/>
      <c r="CN325" s="12"/>
      <c r="CO325" s="12"/>
      <c r="CP325" s="12"/>
      <c r="CQ325" s="12"/>
      <c r="CR325" s="46"/>
      <c r="CS325" s="46"/>
      <c r="CT325" s="2"/>
      <c r="CU325" s="2"/>
      <c r="CV325" s="49"/>
      <c r="CW325" s="49"/>
      <c r="CX325" s="2"/>
      <c r="CY325" s="2"/>
      <c r="CZ325" s="160"/>
      <c r="DA325" s="12"/>
      <c r="DB325" s="12"/>
      <c r="DC325" s="12"/>
      <c r="DD325" s="12"/>
      <c r="DE325" s="12"/>
      <c r="DF325" s="12"/>
      <c r="DG325" s="12"/>
      <c r="DH325" s="12"/>
      <c r="DI325" s="46"/>
      <c r="DJ325" s="48"/>
      <c r="DK325" s="48"/>
      <c r="DL325" s="48"/>
      <c r="DM325" s="13"/>
      <c r="DN325" s="13"/>
      <c r="DO325" s="12"/>
      <c r="DP325" s="12"/>
      <c r="DQ325" s="12"/>
      <c r="DR325" s="12"/>
      <c r="DS325" s="12"/>
      <c r="DT325" s="12"/>
      <c r="DU325" s="12"/>
      <c r="DV325" s="12"/>
      <c r="DW325" s="12"/>
      <c r="DX325" s="12"/>
      <c r="DY325" s="12"/>
      <c r="DZ325" s="12"/>
      <c r="EA325" s="12"/>
      <c r="EB325" s="12"/>
      <c r="EC325" s="12"/>
      <c r="ED325" s="12"/>
    </row>
    <row r="326" spans="1:134" ht="12.5" x14ac:dyDescent="0.25">
      <c r="A326" s="46"/>
      <c r="B326" s="46"/>
      <c r="C326" s="46"/>
      <c r="D326" s="46"/>
      <c r="E326" s="15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46"/>
      <c r="BA326" s="46"/>
      <c r="BB326" s="46"/>
      <c r="BC326" s="46"/>
      <c r="BD326" s="46"/>
      <c r="BE326" s="46"/>
      <c r="BF326" s="12"/>
      <c r="BG326" s="12"/>
      <c r="BH326" s="12"/>
      <c r="BI326" s="46"/>
      <c r="BJ326" s="46"/>
      <c r="BK326" s="46"/>
      <c r="BL326" s="46"/>
      <c r="BM326" s="46"/>
      <c r="BN326" s="46"/>
      <c r="BO326" s="46"/>
      <c r="BP326" s="46"/>
      <c r="BQ326" s="157"/>
      <c r="BR326" s="156"/>
      <c r="BS326" s="46"/>
      <c r="BT326" s="46"/>
      <c r="BU326" s="12"/>
      <c r="BV326" s="12"/>
      <c r="BW326" s="12"/>
      <c r="BX326" s="12"/>
      <c r="BY326" s="12"/>
      <c r="BZ326" s="12"/>
      <c r="CA326" s="12"/>
      <c r="CB326" s="12"/>
      <c r="CC326" s="12"/>
      <c r="CD326" s="12"/>
      <c r="CE326" s="12"/>
      <c r="CF326" s="12"/>
      <c r="CG326" s="12"/>
      <c r="CH326" s="12"/>
      <c r="CI326" s="12"/>
      <c r="CJ326" s="12"/>
      <c r="CK326" s="12"/>
      <c r="CL326" s="2"/>
      <c r="CM326" s="12"/>
      <c r="CN326" s="12"/>
      <c r="CO326" s="12"/>
      <c r="CP326" s="12"/>
      <c r="CQ326" s="12"/>
      <c r="CR326" s="46"/>
      <c r="CS326" s="46"/>
      <c r="CT326" s="2"/>
      <c r="CU326" s="2"/>
      <c r="CV326" s="49"/>
      <c r="CW326" s="49"/>
      <c r="CX326" s="2"/>
      <c r="CY326" s="2"/>
      <c r="CZ326" s="160"/>
      <c r="DA326" s="12"/>
      <c r="DB326" s="12"/>
      <c r="DC326" s="12"/>
      <c r="DD326" s="12"/>
      <c r="DE326" s="12"/>
      <c r="DF326" s="12"/>
      <c r="DG326" s="12"/>
      <c r="DH326" s="12"/>
      <c r="DI326" s="46"/>
      <c r="DJ326" s="48"/>
      <c r="DK326" s="48"/>
      <c r="DL326" s="48"/>
      <c r="DM326" s="13"/>
      <c r="DN326" s="13"/>
      <c r="DO326" s="12"/>
      <c r="DP326" s="12"/>
      <c r="DQ326" s="12"/>
      <c r="DR326" s="12"/>
      <c r="DS326" s="12"/>
      <c r="DT326" s="12"/>
      <c r="DU326" s="12"/>
      <c r="DV326" s="12"/>
      <c r="DW326" s="12"/>
      <c r="DX326" s="12"/>
      <c r="DY326" s="12"/>
      <c r="DZ326" s="12"/>
      <c r="EA326" s="12"/>
      <c r="EB326" s="12"/>
      <c r="EC326" s="12"/>
      <c r="ED326" s="12"/>
    </row>
    <row r="327" spans="1:134" ht="12.5" x14ac:dyDescent="0.25">
      <c r="A327" s="46"/>
      <c r="B327" s="46"/>
      <c r="C327" s="46"/>
      <c r="D327" s="46"/>
      <c r="E327" s="15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46"/>
      <c r="BA327" s="46"/>
      <c r="BB327" s="46"/>
      <c r="BC327" s="46"/>
      <c r="BD327" s="46"/>
      <c r="BE327" s="46"/>
      <c r="BF327" s="12"/>
      <c r="BG327" s="12"/>
      <c r="BH327" s="12"/>
      <c r="BI327" s="46"/>
      <c r="BJ327" s="46"/>
      <c r="BK327" s="46"/>
      <c r="BL327" s="46"/>
      <c r="BM327" s="46"/>
      <c r="BN327" s="46"/>
      <c r="BO327" s="46"/>
      <c r="BP327" s="46"/>
      <c r="BQ327" s="157"/>
      <c r="BR327" s="156"/>
      <c r="BS327" s="46"/>
      <c r="BT327" s="46"/>
      <c r="BU327" s="12"/>
      <c r="BV327" s="12"/>
      <c r="BW327" s="12"/>
      <c r="BX327" s="12"/>
      <c r="BY327" s="12"/>
      <c r="BZ327" s="12"/>
      <c r="CA327" s="12"/>
      <c r="CB327" s="12"/>
      <c r="CC327" s="12"/>
      <c r="CD327" s="12"/>
      <c r="CE327" s="12"/>
      <c r="CF327" s="12"/>
      <c r="CG327" s="12"/>
      <c r="CH327" s="12"/>
      <c r="CI327" s="12"/>
      <c r="CJ327" s="12"/>
      <c r="CK327" s="12"/>
      <c r="CL327" s="2"/>
      <c r="CM327" s="12"/>
      <c r="CN327" s="12"/>
      <c r="CO327" s="12"/>
      <c r="CP327" s="12"/>
      <c r="CQ327" s="12"/>
      <c r="CR327" s="46"/>
      <c r="CS327" s="46"/>
      <c r="CT327" s="2"/>
      <c r="CU327" s="2"/>
      <c r="CV327" s="49"/>
      <c r="CW327" s="49"/>
      <c r="CX327" s="2"/>
      <c r="CY327" s="2"/>
      <c r="CZ327" s="160"/>
      <c r="DA327" s="12"/>
      <c r="DB327" s="12"/>
      <c r="DC327" s="12"/>
      <c r="DD327" s="12"/>
      <c r="DE327" s="12"/>
      <c r="DF327" s="12"/>
      <c r="DG327" s="12"/>
      <c r="DH327" s="12"/>
      <c r="DI327" s="46"/>
      <c r="DJ327" s="48"/>
      <c r="DK327" s="48"/>
      <c r="DL327" s="48"/>
      <c r="DM327" s="13"/>
      <c r="DN327" s="13"/>
      <c r="DO327" s="12"/>
      <c r="DP327" s="12"/>
      <c r="DQ327" s="12"/>
      <c r="DR327" s="12"/>
      <c r="DS327" s="12"/>
      <c r="DT327" s="12"/>
      <c r="DU327" s="12"/>
      <c r="DV327" s="12"/>
      <c r="DW327" s="12"/>
      <c r="DX327" s="12"/>
      <c r="DY327" s="12"/>
      <c r="DZ327" s="12"/>
      <c r="EA327" s="12"/>
      <c r="EB327" s="12"/>
      <c r="EC327" s="12"/>
      <c r="ED327" s="12"/>
    </row>
    <row r="328" spans="1:134" ht="12.5" x14ac:dyDescent="0.25">
      <c r="A328" s="46"/>
      <c r="B328" s="46"/>
      <c r="C328" s="46"/>
      <c r="D328" s="46"/>
      <c r="E328" s="15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46"/>
      <c r="BA328" s="46"/>
      <c r="BB328" s="46"/>
      <c r="BC328" s="46"/>
      <c r="BD328" s="46"/>
      <c r="BE328" s="46"/>
      <c r="BF328" s="12"/>
      <c r="BG328" s="12"/>
      <c r="BH328" s="12"/>
      <c r="BI328" s="46"/>
      <c r="BJ328" s="46"/>
      <c r="BK328" s="46"/>
      <c r="BL328" s="46"/>
      <c r="BM328" s="46"/>
      <c r="BN328" s="46"/>
      <c r="BO328" s="46"/>
      <c r="BP328" s="46"/>
      <c r="BQ328" s="157"/>
      <c r="BR328" s="156"/>
      <c r="BS328" s="46"/>
      <c r="BT328" s="46"/>
      <c r="BU328" s="12"/>
      <c r="BV328" s="12"/>
      <c r="BW328" s="12"/>
      <c r="BX328" s="12"/>
      <c r="BY328" s="12"/>
      <c r="BZ328" s="12"/>
      <c r="CA328" s="12"/>
      <c r="CB328" s="12"/>
      <c r="CC328" s="12"/>
      <c r="CD328" s="12"/>
      <c r="CE328" s="12"/>
      <c r="CF328" s="12"/>
      <c r="CG328" s="12"/>
      <c r="CH328" s="12"/>
      <c r="CI328" s="12"/>
      <c r="CJ328" s="12"/>
      <c r="CK328" s="12"/>
      <c r="CL328" s="2"/>
      <c r="CM328" s="12"/>
      <c r="CN328" s="12"/>
      <c r="CO328" s="12"/>
      <c r="CP328" s="12"/>
      <c r="CQ328" s="12"/>
      <c r="CR328" s="46"/>
      <c r="CS328" s="46"/>
      <c r="CT328" s="2"/>
      <c r="CU328" s="2"/>
      <c r="CV328" s="49"/>
      <c r="CW328" s="49"/>
      <c r="CX328" s="2"/>
      <c r="CY328" s="2"/>
      <c r="CZ328" s="160"/>
      <c r="DA328" s="12"/>
      <c r="DB328" s="12"/>
      <c r="DC328" s="12"/>
      <c r="DD328" s="12"/>
      <c r="DE328" s="12"/>
      <c r="DF328" s="12"/>
      <c r="DG328" s="12"/>
      <c r="DH328" s="12"/>
      <c r="DI328" s="46"/>
      <c r="DJ328" s="48"/>
      <c r="DK328" s="48"/>
      <c r="DL328" s="48"/>
      <c r="DM328" s="13"/>
      <c r="DN328" s="13"/>
      <c r="DO328" s="12"/>
      <c r="DP328" s="12"/>
      <c r="DQ328" s="12"/>
      <c r="DR328" s="12"/>
      <c r="DS328" s="12"/>
      <c r="DT328" s="12"/>
      <c r="DU328" s="12"/>
      <c r="DV328" s="12"/>
      <c r="DW328" s="12"/>
      <c r="DX328" s="12"/>
      <c r="DY328" s="12"/>
      <c r="DZ328" s="12"/>
      <c r="EA328" s="12"/>
      <c r="EB328" s="12"/>
      <c r="EC328" s="12"/>
      <c r="ED328" s="12"/>
    </row>
    <row r="329" spans="1:134" ht="12.5" x14ac:dyDescent="0.25">
      <c r="A329" s="46"/>
      <c r="B329" s="46"/>
      <c r="C329" s="46"/>
      <c r="D329" s="46"/>
      <c r="E329" s="15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46"/>
      <c r="BA329" s="46"/>
      <c r="BB329" s="46"/>
      <c r="BC329" s="46"/>
      <c r="BD329" s="46"/>
      <c r="BE329" s="46"/>
      <c r="BF329" s="12"/>
      <c r="BG329" s="12"/>
      <c r="BH329" s="12"/>
      <c r="BI329" s="46"/>
      <c r="BJ329" s="46"/>
      <c r="BK329" s="46"/>
      <c r="BL329" s="46"/>
      <c r="BM329" s="46"/>
      <c r="BN329" s="46"/>
      <c r="BO329" s="46"/>
      <c r="BP329" s="46"/>
      <c r="BQ329" s="157"/>
      <c r="BR329" s="156"/>
      <c r="BS329" s="46"/>
      <c r="BT329" s="46"/>
      <c r="BU329" s="12"/>
      <c r="BV329" s="12"/>
      <c r="BW329" s="12"/>
      <c r="BX329" s="12"/>
      <c r="BY329" s="12"/>
      <c r="BZ329" s="12"/>
      <c r="CA329" s="12"/>
      <c r="CB329" s="12"/>
      <c r="CC329" s="12"/>
      <c r="CD329" s="12"/>
      <c r="CE329" s="12"/>
      <c r="CF329" s="12"/>
      <c r="CG329" s="12"/>
      <c r="CH329" s="12"/>
      <c r="CI329" s="12"/>
      <c r="CJ329" s="12"/>
      <c r="CK329" s="12"/>
      <c r="CL329" s="2"/>
      <c r="CM329" s="12"/>
      <c r="CN329" s="12"/>
      <c r="CO329" s="12"/>
      <c r="CP329" s="12"/>
      <c r="CQ329" s="12"/>
      <c r="CR329" s="46"/>
      <c r="CS329" s="46"/>
      <c r="CT329" s="2"/>
      <c r="CU329" s="2"/>
      <c r="CV329" s="49"/>
      <c r="CW329" s="49"/>
      <c r="CX329" s="2"/>
      <c r="CY329" s="2"/>
      <c r="CZ329" s="160"/>
      <c r="DA329" s="12"/>
      <c r="DB329" s="12"/>
      <c r="DC329" s="12"/>
      <c r="DD329" s="12"/>
      <c r="DE329" s="12"/>
      <c r="DF329" s="12"/>
      <c r="DG329" s="12"/>
      <c r="DH329" s="12"/>
      <c r="DI329" s="46"/>
      <c r="DJ329" s="48"/>
      <c r="DK329" s="48"/>
      <c r="DL329" s="48"/>
      <c r="DM329" s="13"/>
      <c r="DN329" s="13"/>
      <c r="DO329" s="12"/>
      <c r="DP329" s="12"/>
      <c r="DQ329" s="12"/>
      <c r="DR329" s="12"/>
      <c r="DS329" s="12"/>
      <c r="DT329" s="12"/>
      <c r="DU329" s="12"/>
      <c r="DV329" s="12"/>
      <c r="DW329" s="12"/>
      <c r="DX329" s="12"/>
      <c r="DY329" s="12"/>
      <c r="DZ329" s="12"/>
      <c r="EA329" s="12"/>
      <c r="EB329" s="12"/>
      <c r="EC329" s="12"/>
      <c r="ED329" s="12"/>
    </row>
    <row r="330" spans="1:134" ht="12.5" x14ac:dyDescent="0.25">
      <c r="A330" s="46"/>
      <c r="B330" s="46"/>
      <c r="C330" s="46"/>
      <c r="D330" s="46"/>
      <c r="E330" s="15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46"/>
      <c r="BA330" s="46"/>
      <c r="BB330" s="46"/>
      <c r="BC330" s="46"/>
      <c r="BD330" s="46"/>
      <c r="BE330" s="46"/>
      <c r="BF330" s="12"/>
      <c r="BG330" s="12"/>
      <c r="BH330" s="12"/>
      <c r="BI330" s="46"/>
      <c r="BJ330" s="46"/>
      <c r="BK330" s="46"/>
      <c r="BL330" s="46"/>
      <c r="BM330" s="46"/>
      <c r="BN330" s="46"/>
      <c r="BO330" s="46"/>
      <c r="BP330" s="46"/>
      <c r="BQ330" s="157"/>
      <c r="BR330" s="156"/>
      <c r="BS330" s="46"/>
      <c r="BT330" s="46"/>
      <c r="BU330" s="12"/>
      <c r="BV330" s="12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2"/>
      <c r="CM330" s="12"/>
      <c r="CN330" s="12"/>
      <c r="CO330" s="12"/>
      <c r="CP330" s="12"/>
      <c r="CQ330" s="12"/>
      <c r="CR330" s="46"/>
      <c r="CS330" s="46"/>
      <c r="CT330" s="2"/>
      <c r="CU330" s="2"/>
      <c r="CV330" s="49"/>
      <c r="CW330" s="49"/>
      <c r="CX330" s="2"/>
      <c r="CY330" s="2"/>
      <c r="CZ330" s="160"/>
      <c r="DA330" s="12"/>
      <c r="DB330" s="12"/>
      <c r="DC330" s="12"/>
      <c r="DD330" s="12"/>
      <c r="DE330" s="12"/>
      <c r="DF330" s="12"/>
      <c r="DG330" s="12"/>
      <c r="DH330" s="12"/>
      <c r="DI330" s="46"/>
      <c r="DJ330" s="48"/>
      <c r="DK330" s="48"/>
      <c r="DL330" s="48"/>
      <c r="DM330" s="13"/>
      <c r="DN330" s="13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</row>
    <row r="331" spans="1:134" ht="12.5" x14ac:dyDescent="0.25">
      <c r="A331" s="46"/>
      <c r="B331" s="46"/>
      <c r="C331" s="46"/>
      <c r="D331" s="46"/>
      <c r="E331" s="15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46"/>
      <c r="BA331" s="46"/>
      <c r="BB331" s="46"/>
      <c r="BC331" s="46"/>
      <c r="BD331" s="46"/>
      <c r="BE331" s="46"/>
      <c r="BF331" s="12"/>
      <c r="BG331" s="12"/>
      <c r="BH331" s="12"/>
      <c r="BI331" s="46"/>
      <c r="BJ331" s="46"/>
      <c r="BK331" s="46"/>
      <c r="BL331" s="46"/>
      <c r="BM331" s="46"/>
      <c r="BN331" s="46"/>
      <c r="BO331" s="46"/>
      <c r="BP331" s="46"/>
      <c r="BQ331" s="157"/>
      <c r="BR331" s="156"/>
      <c r="BS331" s="46"/>
      <c r="BT331" s="46"/>
      <c r="BU331" s="12"/>
      <c r="BV331" s="12"/>
      <c r="BW331" s="12"/>
      <c r="BX331" s="12"/>
      <c r="BY331" s="12"/>
      <c r="BZ331" s="12"/>
      <c r="CA331" s="12"/>
      <c r="CB331" s="12"/>
      <c r="CC331" s="12"/>
      <c r="CD331" s="12"/>
      <c r="CE331" s="12"/>
      <c r="CF331" s="12"/>
      <c r="CG331" s="12"/>
      <c r="CH331" s="12"/>
      <c r="CI331" s="12"/>
      <c r="CJ331" s="12"/>
      <c r="CK331" s="12"/>
      <c r="CL331" s="2"/>
      <c r="CM331" s="12"/>
      <c r="CN331" s="12"/>
      <c r="CO331" s="12"/>
      <c r="CP331" s="12"/>
      <c r="CQ331" s="12"/>
      <c r="CR331" s="46"/>
      <c r="CS331" s="46"/>
      <c r="CT331" s="2"/>
      <c r="CU331" s="2"/>
      <c r="CV331" s="49"/>
      <c r="CW331" s="49"/>
      <c r="CX331" s="2"/>
      <c r="CY331" s="2"/>
      <c r="CZ331" s="160"/>
      <c r="DA331" s="12"/>
      <c r="DB331" s="12"/>
      <c r="DC331" s="12"/>
      <c r="DD331" s="12"/>
      <c r="DE331" s="12"/>
      <c r="DF331" s="12"/>
      <c r="DG331" s="12"/>
      <c r="DH331" s="12"/>
      <c r="DI331" s="46"/>
      <c r="DJ331" s="48"/>
      <c r="DK331" s="48"/>
      <c r="DL331" s="48"/>
      <c r="DM331" s="13"/>
      <c r="DN331" s="13"/>
      <c r="DO331" s="12"/>
      <c r="DP331" s="12"/>
      <c r="DQ331" s="12"/>
      <c r="DR331" s="12"/>
      <c r="DS331" s="12"/>
      <c r="DT331" s="12"/>
      <c r="DU331" s="12"/>
      <c r="DV331" s="12"/>
      <c r="DW331" s="12"/>
      <c r="DX331" s="12"/>
      <c r="DY331" s="12"/>
      <c r="DZ331" s="12"/>
      <c r="EA331" s="12"/>
      <c r="EB331" s="12"/>
      <c r="EC331" s="12"/>
      <c r="ED331" s="12"/>
    </row>
    <row r="332" spans="1:134" ht="12.5" x14ac:dyDescent="0.25">
      <c r="A332" s="46"/>
      <c r="B332" s="46"/>
      <c r="C332" s="46"/>
      <c r="D332" s="46"/>
      <c r="E332" s="15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46"/>
      <c r="BA332" s="46"/>
      <c r="BB332" s="46"/>
      <c r="BC332" s="46"/>
      <c r="BD332" s="46"/>
      <c r="BE332" s="46"/>
      <c r="BF332" s="12"/>
      <c r="BG332" s="12"/>
      <c r="BH332" s="12"/>
      <c r="BI332" s="46"/>
      <c r="BJ332" s="46"/>
      <c r="BK332" s="46"/>
      <c r="BL332" s="46"/>
      <c r="BM332" s="46"/>
      <c r="BN332" s="46"/>
      <c r="BO332" s="46"/>
      <c r="BP332" s="46"/>
      <c r="BQ332" s="157"/>
      <c r="BR332" s="156"/>
      <c r="BS332" s="46"/>
      <c r="BT332" s="46"/>
      <c r="BU332" s="12"/>
      <c r="BV332" s="12"/>
      <c r="BW332" s="12"/>
      <c r="BX332" s="12"/>
      <c r="BY332" s="12"/>
      <c r="BZ332" s="12"/>
      <c r="CA332" s="12"/>
      <c r="CB332" s="12"/>
      <c r="CC332" s="12"/>
      <c r="CD332" s="12"/>
      <c r="CE332" s="12"/>
      <c r="CF332" s="12"/>
      <c r="CG332" s="12"/>
      <c r="CH332" s="12"/>
      <c r="CI332" s="12"/>
      <c r="CJ332" s="12"/>
      <c r="CK332" s="12"/>
      <c r="CL332" s="2"/>
      <c r="CM332" s="12"/>
      <c r="CN332" s="12"/>
      <c r="CO332" s="12"/>
      <c r="CP332" s="12"/>
      <c r="CQ332" s="12"/>
      <c r="CR332" s="46"/>
      <c r="CS332" s="46"/>
      <c r="CT332" s="2"/>
      <c r="CU332" s="2"/>
      <c r="CV332" s="49"/>
      <c r="CW332" s="49"/>
      <c r="CX332" s="2"/>
      <c r="CY332" s="2"/>
      <c r="CZ332" s="160"/>
      <c r="DA332" s="12"/>
      <c r="DB332" s="12"/>
      <c r="DC332" s="12"/>
      <c r="DD332" s="12"/>
      <c r="DE332" s="12"/>
      <c r="DF332" s="12"/>
      <c r="DG332" s="12"/>
      <c r="DH332" s="12"/>
      <c r="DI332" s="46"/>
      <c r="DJ332" s="48"/>
      <c r="DK332" s="48"/>
      <c r="DL332" s="48"/>
      <c r="DM332" s="13"/>
      <c r="DN332" s="13"/>
      <c r="DO332" s="12"/>
      <c r="DP332" s="12"/>
      <c r="DQ332" s="12"/>
      <c r="DR332" s="12"/>
      <c r="DS332" s="12"/>
      <c r="DT332" s="12"/>
      <c r="DU332" s="12"/>
      <c r="DV332" s="12"/>
      <c r="DW332" s="12"/>
      <c r="DX332" s="12"/>
      <c r="DY332" s="12"/>
      <c r="DZ332" s="12"/>
      <c r="EA332" s="12"/>
      <c r="EB332" s="12"/>
      <c r="EC332" s="12"/>
      <c r="ED332" s="12"/>
    </row>
    <row r="333" spans="1:134" ht="12.5" x14ac:dyDescent="0.25">
      <c r="A333" s="46"/>
      <c r="B333" s="46"/>
      <c r="C333" s="46"/>
      <c r="D333" s="46"/>
      <c r="E333" s="15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46"/>
      <c r="BA333" s="46"/>
      <c r="BB333" s="46"/>
      <c r="BC333" s="46"/>
      <c r="BD333" s="46"/>
      <c r="BE333" s="46"/>
      <c r="BF333" s="12"/>
      <c r="BG333" s="12"/>
      <c r="BH333" s="12"/>
      <c r="BI333" s="46"/>
      <c r="BJ333" s="46"/>
      <c r="BK333" s="46"/>
      <c r="BL333" s="46"/>
      <c r="BM333" s="46"/>
      <c r="BN333" s="46"/>
      <c r="BO333" s="46"/>
      <c r="BP333" s="46"/>
      <c r="BQ333" s="157"/>
      <c r="BR333" s="156"/>
      <c r="BS333" s="46"/>
      <c r="BT333" s="46"/>
      <c r="BU333" s="12"/>
      <c r="BV333" s="12"/>
      <c r="BW333" s="12"/>
      <c r="BX333" s="12"/>
      <c r="BY333" s="12"/>
      <c r="BZ333" s="12"/>
      <c r="CA333" s="12"/>
      <c r="CB333" s="12"/>
      <c r="CC333" s="12"/>
      <c r="CD333" s="12"/>
      <c r="CE333" s="12"/>
      <c r="CF333" s="12"/>
      <c r="CG333" s="12"/>
      <c r="CH333" s="12"/>
      <c r="CI333" s="12"/>
      <c r="CJ333" s="12"/>
      <c r="CK333" s="12"/>
      <c r="CL333" s="2"/>
      <c r="CM333" s="12"/>
      <c r="CN333" s="12"/>
      <c r="CO333" s="12"/>
      <c r="CP333" s="12"/>
      <c r="CQ333" s="12"/>
      <c r="CR333" s="46"/>
      <c r="CS333" s="46"/>
      <c r="CT333" s="2"/>
      <c r="CU333" s="2"/>
      <c r="CV333" s="49"/>
      <c r="CW333" s="49"/>
      <c r="CX333" s="2"/>
      <c r="CY333" s="2"/>
      <c r="CZ333" s="160"/>
      <c r="DA333" s="12"/>
      <c r="DB333" s="12"/>
      <c r="DC333" s="12"/>
      <c r="DD333" s="12"/>
      <c r="DE333" s="12"/>
      <c r="DF333" s="12"/>
      <c r="DG333" s="12"/>
      <c r="DH333" s="12"/>
      <c r="DI333" s="46"/>
      <c r="DJ333" s="48"/>
      <c r="DK333" s="48"/>
      <c r="DL333" s="48"/>
      <c r="DM333" s="13"/>
      <c r="DN333" s="13"/>
      <c r="DO333" s="12"/>
      <c r="DP333" s="12"/>
      <c r="DQ333" s="12"/>
      <c r="DR333" s="12"/>
      <c r="DS333" s="12"/>
      <c r="DT333" s="12"/>
      <c r="DU333" s="12"/>
      <c r="DV333" s="12"/>
      <c r="DW333" s="12"/>
      <c r="DX333" s="12"/>
      <c r="DY333" s="12"/>
      <c r="DZ333" s="12"/>
      <c r="EA333" s="12"/>
      <c r="EB333" s="12"/>
      <c r="EC333" s="12"/>
      <c r="ED333" s="12"/>
    </row>
    <row r="334" spans="1:134" ht="12.5" x14ac:dyDescent="0.25">
      <c r="A334" s="46"/>
      <c r="B334" s="46"/>
      <c r="C334" s="46"/>
      <c r="D334" s="46"/>
      <c r="E334" s="15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46"/>
      <c r="BA334" s="46"/>
      <c r="BB334" s="46"/>
      <c r="BC334" s="46"/>
      <c r="BD334" s="46"/>
      <c r="BE334" s="46"/>
      <c r="BF334" s="12"/>
      <c r="BG334" s="12"/>
      <c r="BH334" s="12"/>
      <c r="BI334" s="46"/>
      <c r="BJ334" s="46"/>
      <c r="BK334" s="46"/>
      <c r="BL334" s="46"/>
      <c r="BM334" s="46"/>
      <c r="BN334" s="46"/>
      <c r="BO334" s="46"/>
      <c r="BP334" s="46"/>
      <c r="BQ334" s="157"/>
      <c r="BR334" s="156"/>
      <c r="BS334" s="46"/>
      <c r="BT334" s="46"/>
      <c r="BU334" s="12"/>
      <c r="BV334" s="12"/>
      <c r="BW334" s="12"/>
      <c r="BX334" s="12"/>
      <c r="BY334" s="12"/>
      <c r="BZ334" s="12"/>
      <c r="CA334" s="12"/>
      <c r="CB334" s="12"/>
      <c r="CC334" s="12"/>
      <c r="CD334" s="12"/>
      <c r="CE334" s="12"/>
      <c r="CF334" s="12"/>
      <c r="CG334" s="12"/>
      <c r="CH334" s="12"/>
      <c r="CI334" s="12"/>
      <c r="CJ334" s="12"/>
      <c r="CK334" s="12"/>
      <c r="CL334" s="2"/>
      <c r="CM334" s="12"/>
      <c r="CN334" s="12"/>
      <c r="CO334" s="12"/>
      <c r="CP334" s="12"/>
      <c r="CQ334" s="12"/>
      <c r="CR334" s="46"/>
      <c r="CS334" s="46"/>
      <c r="CT334" s="2"/>
      <c r="CU334" s="2"/>
      <c r="CV334" s="49"/>
      <c r="CW334" s="49"/>
      <c r="CX334" s="2"/>
      <c r="CY334" s="2"/>
      <c r="CZ334" s="160"/>
      <c r="DA334" s="12"/>
      <c r="DB334" s="12"/>
      <c r="DC334" s="12"/>
      <c r="DD334" s="12"/>
      <c r="DE334" s="12"/>
      <c r="DF334" s="12"/>
      <c r="DG334" s="12"/>
      <c r="DH334" s="12"/>
      <c r="DI334" s="46"/>
      <c r="DJ334" s="48"/>
      <c r="DK334" s="48"/>
      <c r="DL334" s="48"/>
      <c r="DM334" s="13"/>
      <c r="DN334" s="13"/>
      <c r="DO334" s="12"/>
      <c r="DP334" s="12"/>
      <c r="DQ334" s="12"/>
      <c r="DR334" s="12"/>
      <c r="DS334" s="12"/>
      <c r="DT334" s="12"/>
      <c r="DU334" s="12"/>
      <c r="DV334" s="12"/>
      <c r="DW334" s="12"/>
      <c r="DX334" s="12"/>
      <c r="DY334" s="12"/>
      <c r="DZ334" s="12"/>
      <c r="EA334" s="12"/>
      <c r="EB334" s="12"/>
      <c r="EC334" s="12"/>
      <c r="ED334" s="12"/>
    </row>
    <row r="335" spans="1:134" ht="12.5" x14ac:dyDescent="0.25">
      <c r="A335" s="46"/>
      <c r="B335" s="46"/>
      <c r="C335" s="46"/>
      <c r="D335" s="46"/>
      <c r="E335" s="15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46"/>
      <c r="BA335" s="46"/>
      <c r="BB335" s="46"/>
      <c r="BC335" s="46"/>
      <c r="BD335" s="46"/>
      <c r="BE335" s="46"/>
      <c r="BF335" s="12"/>
      <c r="BG335" s="12"/>
      <c r="BH335" s="12"/>
      <c r="BI335" s="46"/>
      <c r="BJ335" s="46"/>
      <c r="BK335" s="46"/>
      <c r="BL335" s="46"/>
      <c r="BM335" s="46"/>
      <c r="BN335" s="46"/>
      <c r="BO335" s="46"/>
      <c r="BP335" s="46"/>
      <c r="BQ335" s="157"/>
      <c r="BR335" s="156"/>
      <c r="BS335" s="46"/>
      <c r="BT335" s="46"/>
      <c r="BU335" s="12"/>
      <c r="BV335" s="12"/>
      <c r="BW335" s="12"/>
      <c r="BX335" s="12"/>
      <c r="BY335" s="12"/>
      <c r="BZ335" s="12"/>
      <c r="CA335" s="12"/>
      <c r="CB335" s="12"/>
      <c r="CC335" s="12"/>
      <c r="CD335" s="12"/>
      <c r="CE335" s="12"/>
      <c r="CF335" s="12"/>
      <c r="CG335" s="12"/>
      <c r="CH335" s="12"/>
      <c r="CI335" s="12"/>
      <c r="CJ335" s="12"/>
      <c r="CK335" s="12"/>
      <c r="CL335" s="2"/>
      <c r="CM335" s="12"/>
      <c r="CN335" s="12"/>
      <c r="CO335" s="12"/>
      <c r="CP335" s="12"/>
      <c r="CQ335" s="12"/>
      <c r="CR335" s="46"/>
      <c r="CS335" s="46"/>
      <c r="CT335" s="2"/>
      <c r="CU335" s="2"/>
      <c r="CV335" s="49"/>
      <c r="CW335" s="49"/>
      <c r="CX335" s="2"/>
      <c r="CY335" s="2"/>
      <c r="CZ335" s="160"/>
      <c r="DA335" s="12"/>
      <c r="DB335" s="12"/>
      <c r="DC335" s="12"/>
      <c r="DD335" s="12"/>
      <c r="DE335" s="12"/>
      <c r="DF335" s="12"/>
      <c r="DG335" s="12"/>
      <c r="DH335" s="12"/>
      <c r="DI335" s="46"/>
      <c r="DJ335" s="48"/>
      <c r="DK335" s="48"/>
      <c r="DL335" s="48"/>
      <c r="DM335" s="13"/>
      <c r="DN335" s="13"/>
      <c r="DO335" s="12"/>
      <c r="DP335" s="12"/>
      <c r="DQ335" s="12"/>
      <c r="DR335" s="12"/>
      <c r="DS335" s="12"/>
      <c r="DT335" s="12"/>
      <c r="DU335" s="12"/>
      <c r="DV335" s="12"/>
      <c r="DW335" s="12"/>
      <c r="DX335" s="12"/>
      <c r="DY335" s="12"/>
      <c r="DZ335" s="12"/>
      <c r="EA335" s="12"/>
      <c r="EB335" s="12"/>
      <c r="EC335" s="12"/>
      <c r="ED335" s="12"/>
    </row>
    <row r="336" spans="1:134" ht="12.5" x14ac:dyDescent="0.25">
      <c r="A336" s="46"/>
      <c r="B336" s="46"/>
      <c r="C336" s="46"/>
      <c r="D336" s="46"/>
      <c r="E336" s="15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46"/>
      <c r="BA336" s="46"/>
      <c r="BB336" s="46"/>
      <c r="BC336" s="46"/>
      <c r="BD336" s="46"/>
      <c r="BE336" s="46"/>
      <c r="BF336" s="12"/>
      <c r="BG336" s="12"/>
      <c r="BH336" s="12"/>
      <c r="BI336" s="46"/>
      <c r="BJ336" s="46"/>
      <c r="BK336" s="46"/>
      <c r="BL336" s="46"/>
      <c r="BM336" s="46"/>
      <c r="BN336" s="46"/>
      <c r="BO336" s="46"/>
      <c r="BP336" s="46"/>
      <c r="BQ336" s="157"/>
      <c r="BR336" s="156"/>
      <c r="BS336" s="46"/>
      <c r="BT336" s="46"/>
      <c r="BU336" s="12"/>
      <c r="BV336" s="12"/>
      <c r="BW336" s="12"/>
      <c r="BX336" s="12"/>
      <c r="BY336" s="12"/>
      <c r="BZ336" s="12"/>
      <c r="CA336" s="12"/>
      <c r="CB336" s="12"/>
      <c r="CC336" s="12"/>
      <c r="CD336" s="12"/>
      <c r="CE336" s="12"/>
      <c r="CF336" s="12"/>
      <c r="CG336" s="12"/>
      <c r="CH336" s="12"/>
      <c r="CI336" s="12"/>
      <c r="CJ336" s="12"/>
      <c r="CK336" s="12"/>
      <c r="CL336" s="2"/>
      <c r="CM336" s="12"/>
      <c r="CN336" s="12"/>
      <c r="CO336" s="12"/>
      <c r="CP336" s="12"/>
      <c r="CQ336" s="12"/>
      <c r="CR336" s="46"/>
      <c r="CS336" s="46"/>
      <c r="CT336" s="2"/>
      <c r="CU336" s="2"/>
      <c r="CV336" s="49"/>
      <c r="CW336" s="49"/>
      <c r="CX336" s="2"/>
      <c r="CY336" s="2"/>
      <c r="CZ336" s="160"/>
      <c r="DA336" s="12"/>
      <c r="DB336" s="12"/>
      <c r="DC336" s="12"/>
      <c r="DD336" s="12"/>
      <c r="DE336" s="12"/>
      <c r="DF336" s="12"/>
      <c r="DG336" s="12"/>
      <c r="DH336" s="12"/>
      <c r="DI336" s="46"/>
      <c r="DJ336" s="48"/>
      <c r="DK336" s="48"/>
      <c r="DL336" s="48"/>
      <c r="DM336" s="13"/>
      <c r="DN336" s="13"/>
      <c r="DO336" s="12"/>
      <c r="DP336" s="12"/>
      <c r="DQ336" s="12"/>
      <c r="DR336" s="12"/>
      <c r="DS336" s="12"/>
      <c r="DT336" s="12"/>
      <c r="DU336" s="12"/>
      <c r="DV336" s="12"/>
      <c r="DW336" s="12"/>
      <c r="DX336" s="12"/>
      <c r="DY336" s="12"/>
      <c r="DZ336" s="12"/>
      <c r="EA336" s="12"/>
      <c r="EB336" s="12"/>
      <c r="EC336" s="12"/>
      <c r="ED336" s="12"/>
    </row>
    <row r="337" spans="1:134" ht="12.5" x14ac:dyDescent="0.25">
      <c r="A337" s="46"/>
      <c r="B337" s="46"/>
      <c r="C337" s="46"/>
      <c r="D337" s="46"/>
      <c r="E337" s="15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46"/>
      <c r="BA337" s="46"/>
      <c r="BB337" s="46"/>
      <c r="BC337" s="46"/>
      <c r="BD337" s="46"/>
      <c r="BE337" s="46"/>
      <c r="BF337" s="12"/>
      <c r="BG337" s="12"/>
      <c r="BH337" s="12"/>
      <c r="BI337" s="46"/>
      <c r="BJ337" s="46"/>
      <c r="BK337" s="46"/>
      <c r="BL337" s="46"/>
      <c r="BM337" s="46"/>
      <c r="BN337" s="46"/>
      <c r="BO337" s="46"/>
      <c r="BP337" s="46"/>
      <c r="BQ337" s="157"/>
      <c r="BR337" s="156"/>
      <c r="BS337" s="46"/>
      <c r="BT337" s="46"/>
      <c r="BU337" s="12"/>
      <c r="BV337" s="12"/>
      <c r="BW337" s="12"/>
      <c r="BX337" s="12"/>
      <c r="BY337" s="12"/>
      <c r="BZ337" s="12"/>
      <c r="CA337" s="12"/>
      <c r="CB337" s="12"/>
      <c r="CC337" s="12"/>
      <c r="CD337" s="12"/>
      <c r="CE337" s="12"/>
      <c r="CF337" s="12"/>
      <c r="CG337" s="12"/>
      <c r="CH337" s="12"/>
      <c r="CI337" s="12"/>
      <c r="CJ337" s="12"/>
      <c r="CK337" s="12"/>
      <c r="CL337" s="2"/>
      <c r="CM337" s="12"/>
      <c r="CN337" s="12"/>
      <c r="CO337" s="12"/>
      <c r="CP337" s="12"/>
      <c r="CQ337" s="12"/>
      <c r="CR337" s="46"/>
      <c r="CS337" s="46"/>
      <c r="CT337" s="2"/>
      <c r="CU337" s="2"/>
      <c r="CV337" s="49"/>
      <c r="CW337" s="49"/>
      <c r="CX337" s="2"/>
      <c r="CY337" s="2"/>
      <c r="CZ337" s="160"/>
      <c r="DA337" s="12"/>
      <c r="DB337" s="12"/>
      <c r="DC337" s="12"/>
      <c r="DD337" s="12"/>
      <c r="DE337" s="12"/>
      <c r="DF337" s="12"/>
      <c r="DG337" s="12"/>
      <c r="DH337" s="12"/>
      <c r="DI337" s="46"/>
      <c r="DJ337" s="48"/>
      <c r="DK337" s="48"/>
      <c r="DL337" s="48"/>
      <c r="DM337" s="13"/>
      <c r="DN337" s="13"/>
      <c r="DO337" s="12"/>
      <c r="DP337" s="12"/>
      <c r="DQ337" s="12"/>
      <c r="DR337" s="12"/>
      <c r="DS337" s="12"/>
      <c r="DT337" s="12"/>
      <c r="DU337" s="12"/>
      <c r="DV337" s="12"/>
      <c r="DW337" s="12"/>
      <c r="DX337" s="12"/>
      <c r="DY337" s="12"/>
      <c r="DZ337" s="12"/>
      <c r="EA337" s="12"/>
      <c r="EB337" s="12"/>
      <c r="EC337" s="12"/>
      <c r="ED337" s="12"/>
    </row>
    <row r="338" spans="1:134" ht="12.5" x14ac:dyDescent="0.25">
      <c r="A338" s="46"/>
      <c r="B338" s="46"/>
      <c r="C338" s="46"/>
      <c r="D338" s="46"/>
      <c r="E338" s="15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46"/>
      <c r="BA338" s="46"/>
      <c r="BB338" s="46"/>
      <c r="BC338" s="46"/>
      <c r="BD338" s="46"/>
      <c r="BE338" s="46"/>
      <c r="BF338" s="12"/>
      <c r="BG338" s="12"/>
      <c r="BH338" s="12"/>
      <c r="BI338" s="46"/>
      <c r="BJ338" s="46"/>
      <c r="BK338" s="46"/>
      <c r="BL338" s="46"/>
      <c r="BM338" s="46"/>
      <c r="BN338" s="46"/>
      <c r="BO338" s="46"/>
      <c r="BP338" s="46"/>
      <c r="BQ338" s="157"/>
      <c r="BR338" s="156"/>
      <c r="BS338" s="46"/>
      <c r="BT338" s="46"/>
      <c r="BU338" s="12"/>
      <c r="BV338" s="12"/>
      <c r="BW338" s="12"/>
      <c r="BX338" s="12"/>
      <c r="BY338" s="12"/>
      <c r="BZ338" s="12"/>
      <c r="CA338" s="12"/>
      <c r="CB338" s="12"/>
      <c r="CC338" s="12"/>
      <c r="CD338" s="12"/>
      <c r="CE338" s="12"/>
      <c r="CF338" s="12"/>
      <c r="CG338" s="12"/>
      <c r="CH338" s="12"/>
      <c r="CI338" s="12"/>
      <c r="CJ338" s="12"/>
      <c r="CK338" s="12"/>
      <c r="CL338" s="2"/>
      <c r="CM338" s="12"/>
      <c r="CN338" s="12"/>
      <c r="CO338" s="12"/>
      <c r="CP338" s="12"/>
      <c r="CQ338" s="12"/>
      <c r="CR338" s="46"/>
      <c r="CS338" s="46"/>
      <c r="CT338" s="2"/>
      <c r="CU338" s="2"/>
      <c r="CV338" s="49"/>
      <c r="CW338" s="49"/>
      <c r="CX338" s="2"/>
      <c r="CY338" s="2"/>
      <c r="CZ338" s="160"/>
      <c r="DA338" s="12"/>
      <c r="DB338" s="12"/>
      <c r="DC338" s="12"/>
      <c r="DD338" s="12"/>
      <c r="DE338" s="12"/>
      <c r="DF338" s="12"/>
      <c r="DG338" s="12"/>
      <c r="DH338" s="12"/>
      <c r="DI338" s="46"/>
      <c r="DJ338" s="48"/>
      <c r="DK338" s="48"/>
      <c r="DL338" s="48"/>
      <c r="DM338" s="13"/>
      <c r="DN338" s="13"/>
      <c r="DO338" s="12"/>
      <c r="DP338" s="12"/>
      <c r="DQ338" s="12"/>
      <c r="DR338" s="12"/>
      <c r="DS338" s="12"/>
      <c r="DT338" s="12"/>
      <c r="DU338" s="12"/>
      <c r="DV338" s="12"/>
      <c r="DW338" s="12"/>
      <c r="DX338" s="12"/>
      <c r="DY338" s="12"/>
      <c r="DZ338" s="12"/>
      <c r="EA338" s="12"/>
      <c r="EB338" s="12"/>
      <c r="EC338" s="12"/>
      <c r="ED338" s="12"/>
    </row>
    <row r="339" spans="1:134" ht="12.5" x14ac:dyDescent="0.25">
      <c r="A339" s="46"/>
      <c r="B339" s="46"/>
      <c r="C339" s="46"/>
      <c r="D339" s="46"/>
      <c r="E339" s="15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46"/>
      <c r="BA339" s="46"/>
      <c r="BB339" s="46"/>
      <c r="BC339" s="46"/>
      <c r="BD339" s="46"/>
      <c r="BE339" s="46"/>
      <c r="BF339" s="12"/>
      <c r="BG339" s="12"/>
      <c r="BH339" s="12"/>
      <c r="BI339" s="46"/>
      <c r="BJ339" s="46"/>
      <c r="BK339" s="46"/>
      <c r="BL339" s="46"/>
      <c r="BM339" s="46"/>
      <c r="BN339" s="46"/>
      <c r="BO339" s="46"/>
      <c r="BP339" s="46"/>
      <c r="BQ339" s="157"/>
      <c r="BR339" s="156"/>
      <c r="BS339" s="46"/>
      <c r="BT339" s="46"/>
      <c r="BU339" s="12"/>
      <c r="BV339" s="12"/>
      <c r="BW339" s="12"/>
      <c r="BX339" s="12"/>
      <c r="BY339" s="12"/>
      <c r="BZ339" s="12"/>
      <c r="CA339" s="12"/>
      <c r="CB339" s="12"/>
      <c r="CC339" s="12"/>
      <c r="CD339" s="12"/>
      <c r="CE339" s="12"/>
      <c r="CF339" s="12"/>
      <c r="CG339" s="12"/>
      <c r="CH339" s="12"/>
      <c r="CI339" s="12"/>
      <c r="CJ339" s="12"/>
      <c r="CK339" s="12"/>
      <c r="CL339" s="2"/>
      <c r="CM339" s="12"/>
      <c r="CN339" s="12"/>
      <c r="CO339" s="12"/>
      <c r="CP339" s="12"/>
      <c r="CQ339" s="12"/>
      <c r="CR339" s="46"/>
      <c r="CS339" s="46"/>
      <c r="CT339" s="2"/>
      <c r="CU339" s="2"/>
      <c r="CV339" s="49"/>
      <c r="CW339" s="49"/>
      <c r="CX339" s="2"/>
      <c r="CY339" s="2"/>
      <c r="CZ339" s="160"/>
      <c r="DA339" s="12"/>
      <c r="DB339" s="12"/>
      <c r="DC339" s="12"/>
      <c r="DD339" s="12"/>
      <c r="DE339" s="12"/>
      <c r="DF339" s="12"/>
      <c r="DG339" s="12"/>
      <c r="DH339" s="12"/>
      <c r="DI339" s="46"/>
      <c r="DJ339" s="48"/>
      <c r="DK339" s="48"/>
      <c r="DL339" s="48"/>
      <c r="DM339" s="13"/>
      <c r="DN339" s="13"/>
      <c r="DO339" s="12"/>
      <c r="DP339" s="12"/>
      <c r="DQ339" s="12"/>
      <c r="DR339" s="12"/>
      <c r="DS339" s="12"/>
      <c r="DT339" s="12"/>
      <c r="DU339" s="12"/>
      <c r="DV339" s="12"/>
      <c r="DW339" s="12"/>
      <c r="DX339" s="12"/>
      <c r="DY339" s="12"/>
      <c r="DZ339" s="12"/>
      <c r="EA339" s="12"/>
      <c r="EB339" s="12"/>
      <c r="EC339" s="12"/>
      <c r="ED339" s="12"/>
    </row>
    <row r="340" spans="1:134" ht="12.5" x14ac:dyDescent="0.25">
      <c r="A340" s="46"/>
      <c r="B340" s="46"/>
      <c r="C340" s="46"/>
      <c r="D340" s="46"/>
      <c r="E340" s="15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46"/>
      <c r="BA340" s="46"/>
      <c r="BB340" s="46"/>
      <c r="BC340" s="46"/>
      <c r="BD340" s="46"/>
      <c r="BE340" s="46"/>
      <c r="BF340" s="12"/>
      <c r="BG340" s="12"/>
      <c r="BH340" s="12"/>
      <c r="BI340" s="46"/>
      <c r="BJ340" s="46"/>
      <c r="BK340" s="46"/>
      <c r="BL340" s="46"/>
      <c r="BM340" s="46"/>
      <c r="BN340" s="46"/>
      <c r="BO340" s="46"/>
      <c r="BP340" s="46"/>
      <c r="BQ340" s="157"/>
      <c r="BR340" s="156"/>
      <c r="BS340" s="46"/>
      <c r="BT340" s="46"/>
      <c r="BU340" s="12"/>
      <c r="BV340" s="12"/>
      <c r="BW340" s="12"/>
      <c r="BX340" s="12"/>
      <c r="BY340" s="12"/>
      <c r="BZ340" s="12"/>
      <c r="CA340" s="12"/>
      <c r="CB340" s="12"/>
      <c r="CC340" s="12"/>
      <c r="CD340" s="12"/>
      <c r="CE340" s="12"/>
      <c r="CF340" s="12"/>
      <c r="CG340" s="12"/>
      <c r="CH340" s="12"/>
      <c r="CI340" s="12"/>
      <c r="CJ340" s="12"/>
      <c r="CK340" s="12"/>
      <c r="CL340" s="2"/>
      <c r="CM340" s="12"/>
      <c r="CN340" s="12"/>
      <c r="CO340" s="12"/>
      <c r="CP340" s="12"/>
      <c r="CQ340" s="12"/>
      <c r="CR340" s="46"/>
      <c r="CS340" s="46"/>
      <c r="CT340" s="2"/>
      <c r="CU340" s="2"/>
      <c r="CV340" s="49"/>
      <c r="CW340" s="49"/>
      <c r="CX340" s="2"/>
      <c r="CY340" s="2"/>
      <c r="CZ340" s="160"/>
      <c r="DA340" s="12"/>
      <c r="DB340" s="12"/>
      <c r="DC340" s="12"/>
      <c r="DD340" s="12"/>
      <c r="DE340" s="12"/>
      <c r="DF340" s="12"/>
      <c r="DG340" s="12"/>
      <c r="DH340" s="12"/>
      <c r="DI340" s="46"/>
      <c r="DJ340" s="48"/>
      <c r="DK340" s="48"/>
      <c r="DL340" s="48"/>
      <c r="DM340" s="13"/>
      <c r="DN340" s="13"/>
      <c r="DO340" s="12"/>
      <c r="DP340" s="12"/>
      <c r="DQ340" s="12"/>
      <c r="DR340" s="12"/>
      <c r="DS340" s="12"/>
      <c r="DT340" s="12"/>
      <c r="DU340" s="12"/>
      <c r="DV340" s="12"/>
      <c r="DW340" s="12"/>
      <c r="DX340" s="12"/>
      <c r="DY340" s="12"/>
      <c r="DZ340" s="12"/>
      <c r="EA340" s="12"/>
      <c r="EB340" s="12"/>
      <c r="EC340" s="12"/>
      <c r="ED340" s="12"/>
    </row>
    <row r="341" spans="1:134" ht="12.5" x14ac:dyDescent="0.25">
      <c r="A341" s="46"/>
      <c r="B341" s="46"/>
      <c r="C341" s="46"/>
      <c r="D341" s="46"/>
      <c r="E341" s="15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46"/>
      <c r="BA341" s="46"/>
      <c r="BB341" s="46"/>
      <c r="BC341" s="46"/>
      <c r="BD341" s="46"/>
      <c r="BE341" s="46"/>
      <c r="BF341" s="12"/>
      <c r="BG341" s="12"/>
      <c r="BH341" s="12"/>
      <c r="BI341" s="46"/>
      <c r="BJ341" s="46"/>
      <c r="BK341" s="46"/>
      <c r="BL341" s="46"/>
      <c r="BM341" s="46"/>
      <c r="BN341" s="46"/>
      <c r="BO341" s="46"/>
      <c r="BP341" s="46"/>
      <c r="BQ341" s="157"/>
      <c r="BR341" s="156"/>
      <c r="BS341" s="46"/>
      <c r="BT341" s="46"/>
      <c r="BU341" s="12"/>
      <c r="BV341" s="12"/>
      <c r="BW341" s="12"/>
      <c r="BX341" s="12"/>
      <c r="BY341" s="12"/>
      <c r="BZ341" s="12"/>
      <c r="CA341" s="12"/>
      <c r="CB341" s="12"/>
      <c r="CC341" s="12"/>
      <c r="CD341" s="12"/>
      <c r="CE341" s="12"/>
      <c r="CF341" s="12"/>
      <c r="CG341" s="12"/>
      <c r="CH341" s="12"/>
      <c r="CI341" s="12"/>
      <c r="CJ341" s="12"/>
      <c r="CK341" s="12"/>
      <c r="CL341" s="2"/>
      <c r="CM341" s="12"/>
      <c r="CN341" s="12"/>
      <c r="CO341" s="12"/>
      <c r="CP341" s="12"/>
      <c r="CQ341" s="12"/>
      <c r="CR341" s="46"/>
      <c r="CS341" s="46"/>
      <c r="CT341" s="2"/>
      <c r="CU341" s="2"/>
      <c r="CV341" s="49"/>
      <c r="CW341" s="49"/>
      <c r="CX341" s="2"/>
      <c r="CY341" s="2"/>
      <c r="CZ341" s="160"/>
      <c r="DA341" s="12"/>
      <c r="DB341" s="12"/>
      <c r="DC341" s="12"/>
      <c r="DD341" s="12"/>
      <c r="DE341" s="12"/>
      <c r="DF341" s="12"/>
      <c r="DG341" s="12"/>
      <c r="DH341" s="12"/>
      <c r="DI341" s="46"/>
      <c r="DJ341" s="48"/>
      <c r="DK341" s="48"/>
      <c r="DL341" s="48"/>
      <c r="DM341" s="13"/>
      <c r="DN341" s="13"/>
      <c r="DO341" s="12"/>
      <c r="DP341" s="12"/>
      <c r="DQ341" s="12"/>
      <c r="DR341" s="12"/>
      <c r="DS341" s="12"/>
      <c r="DT341" s="12"/>
      <c r="DU341" s="12"/>
      <c r="DV341" s="12"/>
      <c r="DW341" s="12"/>
      <c r="DX341" s="12"/>
      <c r="DY341" s="12"/>
      <c r="DZ341" s="12"/>
      <c r="EA341" s="12"/>
      <c r="EB341" s="12"/>
      <c r="EC341" s="12"/>
      <c r="ED341" s="12"/>
    </row>
    <row r="342" spans="1:134" ht="12.5" x14ac:dyDescent="0.25">
      <c r="A342" s="46"/>
      <c r="B342" s="46"/>
      <c r="C342" s="46"/>
      <c r="D342" s="46"/>
      <c r="E342" s="15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46"/>
      <c r="BA342" s="46"/>
      <c r="BB342" s="46"/>
      <c r="BC342" s="46"/>
      <c r="BD342" s="46"/>
      <c r="BE342" s="46"/>
      <c r="BF342" s="12"/>
      <c r="BG342" s="12"/>
      <c r="BH342" s="12"/>
      <c r="BI342" s="46"/>
      <c r="BJ342" s="46"/>
      <c r="BK342" s="46"/>
      <c r="BL342" s="46"/>
      <c r="BM342" s="46"/>
      <c r="BN342" s="46"/>
      <c r="BO342" s="46"/>
      <c r="BP342" s="46"/>
      <c r="BQ342" s="157"/>
      <c r="BR342" s="156"/>
      <c r="BS342" s="46"/>
      <c r="BT342" s="46"/>
      <c r="BU342" s="12"/>
      <c r="BV342" s="12"/>
      <c r="BW342" s="12"/>
      <c r="BX342" s="12"/>
      <c r="BY342" s="12"/>
      <c r="BZ342" s="12"/>
      <c r="CA342" s="12"/>
      <c r="CB342" s="12"/>
      <c r="CC342" s="12"/>
      <c r="CD342" s="12"/>
      <c r="CE342" s="12"/>
      <c r="CF342" s="12"/>
      <c r="CG342" s="12"/>
      <c r="CH342" s="12"/>
      <c r="CI342" s="12"/>
      <c r="CJ342" s="12"/>
      <c r="CK342" s="12"/>
      <c r="CL342" s="2"/>
      <c r="CM342" s="12"/>
      <c r="CN342" s="12"/>
      <c r="CO342" s="12"/>
      <c r="CP342" s="12"/>
      <c r="CQ342" s="12"/>
      <c r="CR342" s="46"/>
      <c r="CS342" s="46"/>
      <c r="CT342" s="2"/>
      <c r="CU342" s="2"/>
      <c r="CV342" s="49"/>
      <c r="CW342" s="49"/>
      <c r="CX342" s="2"/>
      <c r="CY342" s="2"/>
      <c r="CZ342" s="160"/>
      <c r="DA342" s="12"/>
      <c r="DB342" s="12"/>
      <c r="DC342" s="12"/>
      <c r="DD342" s="12"/>
      <c r="DE342" s="12"/>
      <c r="DF342" s="12"/>
      <c r="DG342" s="12"/>
      <c r="DH342" s="12"/>
      <c r="DI342" s="46"/>
      <c r="DJ342" s="48"/>
      <c r="DK342" s="48"/>
      <c r="DL342" s="48"/>
      <c r="DM342" s="13"/>
      <c r="DN342" s="13"/>
      <c r="DO342" s="12"/>
      <c r="DP342" s="12"/>
      <c r="DQ342" s="12"/>
      <c r="DR342" s="12"/>
      <c r="DS342" s="12"/>
      <c r="DT342" s="12"/>
      <c r="DU342" s="12"/>
      <c r="DV342" s="12"/>
      <c r="DW342" s="12"/>
      <c r="DX342" s="12"/>
      <c r="DY342" s="12"/>
      <c r="DZ342" s="12"/>
      <c r="EA342" s="12"/>
      <c r="EB342" s="12"/>
      <c r="EC342" s="12"/>
      <c r="ED342" s="12"/>
    </row>
    <row r="343" spans="1:134" ht="12.5" x14ac:dyDescent="0.25">
      <c r="A343" s="46"/>
      <c r="B343" s="46"/>
      <c r="C343" s="46"/>
      <c r="D343" s="46"/>
      <c r="E343" s="15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46"/>
      <c r="BA343" s="46"/>
      <c r="BB343" s="46"/>
      <c r="BC343" s="46"/>
      <c r="BD343" s="46"/>
      <c r="BE343" s="46"/>
      <c r="BF343" s="12"/>
      <c r="BG343" s="12"/>
      <c r="BH343" s="12"/>
      <c r="BI343" s="46"/>
      <c r="BJ343" s="46"/>
      <c r="BK343" s="46"/>
      <c r="BL343" s="46"/>
      <c r="BM343" s="46"/>
      <c r="BN343" s="46"/>
      <c r="BO343" s="46"/>
      <c r="BP343" s="46"/>
      <c r="BQ343" s="157"/>
      <c r="BR343" s="156"/>
      <c r="BS343" s="46"/>
      <c r="BT343" s="46"/>
      <c r="BU343" s="12"/>
      <c r="BV343" s="12"/>
      <c r="BW343" s="12"/>
      <c r="BX343" s="12"/>
      <c r="BY343" s="12"/>
      <c r="BZ343" s="12"/>
      <c r="CA343" s="12"/>
      <c r="CB343" s="12"/>
      <c r="CC343" s="12"/>
      <c r="CD343" s="12"/>
      <c r="CE343" s="12"/>
      <c r="CF343" s="12"/>
      <c r="CG343" s="12"/>
      <c r="CH343" s="12"/>
      <c r="CI343" s="12"/>
      <c r="CJ343" s="12"/>
      <c r="CK343" s="12"/>
      <c r="CL343" s="2"/>
      <c r="CM343" s="12"/>
      <c r="CN343" s="12"/>
      <c r="CO343" s="12"/>
      <c r="CP343" s="12"/>
      <c r="CQ343" s="12"/>
      <c r="CR343" s="46"/>
      <c r="CS343" s="46"/>
      <c r="CT343" s="2"/>
      <c r="CU343" s="2"/>
      <c r="CV343" s="49"/>
      <c r="CW343" s="49"/>
      <c r="CX343" s="2"/>
      <c r="CY343" s="2"/>
      <c r="CZ343" s="160"/>
      <c r="DA343" s="12"/>
      <c r="DB343" s="12"/>
      <c r="DC343" s="12"/>
      <c r="DD343" s="12"/>
      <c r="DE343" s="12"/>
      <c r="DF343" s="12"/>
      <c r="DG343" s="12"/>
      <c r="DH343" s="12"/>
      <c r="DI343" s="46"/>
      <c r="DJ343" s="48"/>
      <c r="DK343" s="48"/>
      <c r="DL343" s="48"/>
      <c r="DM343" s="13"/>
      <c r="DN343" s="13"/>
      <c r="DO343" s="12"/>
      <c r="DP343" s="12"/>
      <c r="DQ343" s="12"/>
      <c r="DR343" s="12"/>
      <c r="DS343" s="12"/>
      <c r="DT343" s="12"/>
      <c r="DU343" s="12"/>
      <c r="DV343" s="12"/>
      <c r="DW343" s="12"/>
      <c r="DX343" s="12"/>
      <c r="DY343" s="12"/>
      <c r="DZ343" s="12"/>
      <c r="EA343" s="12"/>
      <c r="EB343" s="12"/>
      <c r="EC343" s="12"/>
      <c r="ED343" s="12"/>
    </row>
    <row r="344" spans="1:134" ht="12.5" x14ac:dyDescent="0.25">
      <c r="A344" s="46"/>
      <c r="B344" s="46"/>
      <c r="C344" s="46"/>
      <c r="D344" s="46"/>
      <c r="E344" s="15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46"/>
      <c r="BA344" s="46"/>
      <c r="BB344" s="46"/>
      <c r="BC344" s="46"/>
      <c r="BD344" s="46"/>
      <c r="BE344" s="46"/>
      <c r="BF344" s="12"/>
      <c r="BG344" s="12"/>
      <c r="BH344" s="12"/>
      <c r="BI344" s="46"/>
      <c r="BJ344" s="46"/>
      <c r="BK344" s="46"/>
      <c r="BL344" s="46"/>
      <c r="BM344" s="46"/>
      <c r="BN344" s="46"/>
      <c r="BO344" s="46"/>
      <c r="BP344" s="46"/>
      <c r="BQ344" s="157"/>
      <c r="BR344" s="156"/>
      <c r="BS344" s="46"/>
      <c r="BT344" s="46"/>
      <c r="BU344" s="12"/>
      <c r="BV344" s="12"/>
      <c r="BW344" s="12"/>
      <c r="BX344" s="12"/>
      <c r="BY344" s="12"/>
      <c r="BZ344" s="12"/>
      <c r="CA344" s="12"/>
      <c r="CB344" s="12"/>
      <c r="CC344" s="12"/>
      <c r="CD344" s="12"/>
      <c r="CE344" s="12"/>
      <c r="CF344" s="12"/>
      <c r="CG344" s="12"/>
      <c r="CH344" s="12"/>
      <c r="CI344" s="12"/>
      <c r="CJ344" s="12"/>
      <c r="CK344" s="12"/>
      <c r="CL344" s="2"/>
      <c r="CM344" s="12"/>
      <c r="CN344" s="12"/>
      <c r="CO344" s="12"/>
      <c r="CP344" s="12"/>
      <c r="CQ344" s="12"/>
      <c r="CR344" s="46"/>
      <c r="CS344" s="46"/>
      <c r="CT344" s="2"/>
      <c r="CU344" s="2"/>
      <c r="CV344" s="49"/>
      <c r="CW344" s="49"/>
      <c r="CX344" s="2"/>
      <c r="CY344" s="2"/>
      <c r="CZ344" s="160"/>
      <c r="DA344" s="12"/>
      <c r="DB344" s="12"/>
      <c r="DC344" s="12"/>
      <c r="DD344" s="12"/>
      <c r="DE344" s="12"/>
      <c r="DF344" s="12"/>
      <c r="DG344" s="12"/>
      <c r="DH344" s="12"/>
      <c r="DI344" s="46"/>
      <c r="DJ344" s="48"/>
      <c r="DK344" s="48"/>
      <c r="DL344" s="48"/>
      <c r="DM344" s="13"/>
      <c r="DN344" s="13"/>
      <c r="DO344" s="12"/>
      <c r="DP344" s="12"/>
      <c r="DQ344" s="12"/>
      <c r="DR344" s="12"/>
      <c r="DS344" s="12"/>
      <c r="DT344" s="12"/>
      <c r="DU344" s="12"/>
      <c r="DV344" s="12"/>
      <c r="DW344" s="12"/>
      <c r="DX344" s="12"/>
      <c r="DY344" s="12"/>
      <c r="DZ344" s="12"/>
      <c r="EA344" s="12"/>
      <c r="EB344" s="12"/>
      <c r="EC344" s="12"/>
      <c r="ED344" s="12"/>
    </row>
    <row r="345" spans="1:134" ht="12.5" x14ac:dyDescent="0.25">
      <c r="A345" s="46"/>
      <c r="B345" s="46"/>
      <c r="C345" s="46"/>
      <c r="D345" s="46"/>
      <c r="E345" s="15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46"/>
      <c r="BA345" s="46"/>
      <c r="BB345" s="46"/>
      <c r="BC345" s="46"/>
      <c r="BD345" s="46"/>
      <c r="BE345" s="46"/>
      <c r="BF345" s="12"/>
      <c r="BG345" s="12"/>
      <c r="BH345" s="12"/>
      <c r="BI345" s="46"/>
      <c r="BJ345" s="46"/>
      <c r="BK345" s="46"/>
      <c r="BL345" s="46"/>
      <c r="BM345" s="46"/>
      <c r="BN345" s="46"/>
      <c r="BO345" s="46"/>
      <c r="BP345" s="46"/>
      <c r="BQ345" s="157"/>
      <c r="BR345" s="156"/>
      <c r="BS345" s="46"/>
      <c r="BT345" s="46"/>
      <c r="BU345" s="12"/>
      <c r="BV345" s="12"/>
      <c r="BW345" s="12"/>
      <c r="BX345" s="12"/>
      <c r="BY345" s="12"/>
      <c r="BZ345" s="12"/>
      <c r="CA345" s="12"/>
      <c r="CB345" s="12"/>
      <c r="CC345" s="12"/>
      <c r="CD345" s="12"/>
      <c r="CE345" s="12"/>
      <c r="CF345" s="12"/>
      <c r="CG345" s="12"/>
      <c r="CH345" s="12"/>
      <c r="CI345" s="12"/>
      <c r="CJ345" s="12"/>
      <c r="CK345" s="12"/>
      <c r="CL345" s="2"/>
      <c r="CM345" s="12"/>
      <c r="CN345" s="12"/>
      <c r="CO345" s="12"/>
      <c r="CP345" s="12"/>
      <c r="CQ345" s="12"/>
      <c r="CR345" s="46"/>
      <c r="CS345" s="46"/>
      <c r="CT345" s="2"/>
      <c r="CU345" s="2"/>
      <c r="CV345" s="49"/>
      <c r="CW345" s="49"/>
      <c r="CX345" s="2"/>
      <c r="CY345" s="2"/>
      <c r="CZ345" s="160"/>
      <c r="DA345" s="12"/>
      <c r="DB345" s="12"/>
      <c r="DC345" s="12"/>
      <c r="DD345" s="12"/>
      <c r="DE345" s="12"/>
      <c r="DF345" s="12"/>
      <c r="DG345" s="12"/>
      <c r="DH345" s="12"/>
      <c r="DI345" s="46"/>
      <c r="DJ345" s="48"/>
      <c r="DK345" s="48"/>
      <c r="DL345" s="48"/>
      <c r="DM345" s="13"/>
      <c r="DN345" s="13"/>
      <c r="DO345" s="12"/>
      <c r="DP345" s="12"/>
      <c r="DQ345" s="12"/>
      <c r="DR345" s="12"/>
      <c r="DS345" s="12"/>
      <c r="DT345" s="12"/>
      <c r="DU345" s="12"/>
      <c r="DV345" s="12"/>
      <c r="DW345" s="12"/>
      <c r="DX345" s="12"/>
      <c r="DY345" s="12"/>
      <c r="DZ345" s="12"/>
      <c r="EA345" s="12"/>
      <c r="EB345" s="12"/>
      <c r="EC345" s="12"/>
      <c r="ED345" s="12"/>
    </row>
    <row r="346" spans="1:134" ht="12.5" x14ac:dyDescent="0.25">
      <c r="A346" s="46"/>
      <c r="B346" s="46"/>
      <c r="C346" s="46"/>
      <c r="D346" s="46"/>
      <c r="E346" s="15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46"/>
      <c r="BA346" s="46"/>
      <c r="BB346" s="46"/>
      <c r="BC346" s="46"/>
      <c r="BD346" s="46"/>
      <c r="BE346" s="46"/>
      <c r="BF346" s="12"/>
      <c r="BG346" s="12"/>
      <c r="BH346" s="12"/>
      <c r="BI346" s="46"/>
      <c r="BJ346" s="46"/>
      <c r="BK346" s="46"/>
      <c r="BL346" s="46"/>
      <c r="BM346" s="46"/>
      <c r="BN346" s="46"/>
      <c r="BO346" s="46"/>
      <c r="BP346" s="46"/>
      <c r="BQ346" s="157"/>
      <c r="BR346" s="156"/>
      <c r="BS346" s="46"/>
      <c r="BT346" s="46"/>
      <c r="BU346" s="12"/>
      <c r="BV346" s="12"/>
      <c r="BW346" s="12"/>
      <c r="BX346" s="12"/>
      <c r="BY346" s="12"/>
      <c r="BZ346" s="12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2"/>
      <c r="CM346" s="12"/>
      <c r="CN346" s="12"/>
      <c r="CO346" s="12"/>
      <c r="CP346" s="12"/>
      <c r="CQ346" s="12"/>
      <c r="CR346" s="46"/>
      <c r="CS346" s="46"/>
      <c r="CT346" s="2"/>
      <c r="CU346" s="49"/>
      <c r="CV346" s="49"/>
      <c r="CW346" s="2"/>
      <c r="CX346" s="2"/>
      <c r="CY346" s="51"/>
      <c r="CZ346" s="2"/>
      <c r="DA346" s="12"/>
      <c r="DB346" s="12"/>
      <c r="DC346" s="12"/>
      <c r="DD346" s="12"/>
      <c r="DE346" s="12"/>
      <c r="DF346" s="12"/>
      <c r="DG346" s="12"/>
      <c r="DH346" s="12"/>
      <c r="DI346" s="46"/>
      <c r="DJ346" s="48"/>
      <c r="DK346" s="48"/>
      <c r="DL346" s="48"/>
      <c r="DM346" s="13"/>
      <c r="DN346" s="13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</row>
    <row r="347" spans="1:134" ht="12.5" x14ac:dyDescent="0.25">
      <c r="A347" s="46"/>
      <c r="B347" s="46"/>
      <c r="C347" s="46"/>
      <c r="D347" s="46"/>
      <c r="E347" s="15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46"/>
      <c r="BA347" s="46"/>
      <c r="BB347" s="46"/>
      <c r="BC347" s="46"/>
      <c r="BD347" s="46"/>
      <c r="BE347" s="46"/>
      <c r="BF347" s="12"/>
      <c r="BG347" s="12"/>
      <c r="BH347" s="12"/>
      <c r="BI347" s="46"/>
      <c r="BJ347" s="46"/>
      <c r="BK347" s="46"/>
      <c r="BL347" s="46"/>
      <c r="BM347" s="46"/>
      <c r="BN347" s="46"/>
      <c r="BO347" s="46"/>
      <c r="BP347" s="46"/>
      <c r="BQ347" s="157"/>
      <c r="BR347" s="156"/>
      <c r="BS347" s="46"/>
      <c r="BT347" s="46"/>
      <c r="BU347" s="12"/>
      <c r="BV347" s="12"/>
      <c r="BW347" s="12"/>
      <c r="BX347" s="12"/>
      <c r="BY347" s="12"/>
      <c r="BZ347" s="12"/>
      <c r="CA347" s="12"/>
      <c r="CB347" s="12"/>
      <c r="CC347" s="12"/>
      <c r="CD347" s="12"/>
      <c r="CE347" s="12"/>
      <c r="CF347" s="12"/>
      <c r="CG347" s="12"/>
      <c r="CH347" s="12"/>
      <c r="CI347" s="12"/>
      <c r="CJ347" s="12"/>
      <c r="CK347" s="12"/>
      <c r="CL347" s="2"/>
      <c r="CM347" s="12"/>
      <c r="CN347" s="12"/>
      <c r="CO347" s="12"/>
      <c r="CP347" s="12"/>
      <c r="CQ347" s="12"/>
      <c r="CR347" s="46"/>
      <c r="CS347" s="46"/>
      <c r="CT347" s="2"/>
      <c r="CU347" s="49"/>
      <c r="CV347" s="49"/>
      <c r="CW347" s="2"/>
      <c r="CX347" s="2"/>
      <c r="CY347" s="51"/>
      <c r="CZ347" s="2"/>
      <c r="DA347" s="12"/>
      <c r="DB347" s="12"/>
      <c r="DC347" s="12"/>
      <c r="DD347" s="12"/>
      <c r="DE347" s="12"/>
      <c r="DF347" s="12"/>
      <c r="DG347" s="12"/>
      <c r="DH347" s="12"/>
      <c r="DI347" s="46"/>
      <c r="DJ347" s="48"/>
      <c r="DK347" s="48"/>
      <c r="DL347" s="48"/>
      <c r="DM347" s="13"/>
      <c r="DN347" s="13"/>
      <c r="DO347" s="12"/>
      <c r="DP347" s="12"/>
      <c r="DQ347" s="12"/>
      <c r="DR347" s="12"/>
      <c r="DS347" s="12"/>
      <c r="DT347" s="12"/>
      <c r="DU347" s="12"/>
      <c r="DV347" s="12"/>
      <c r="DW347" s="12"/>
      <c r="DX347" s="12"/>
      <c r="DY347" s="12"/>
      <c r="DZ347" s="12"/>
      <c r="EA347" s="12"/>
      <c r="EB347" s="12"/>
      <c r="EC347" s="12"/>
      <c r="ED347" s="12"/>
    </row>
    <row r="348" spans="1:134" ht="12.5" x14ac:dyDescent="0.25">
      <c r="A348" s="46"/>
      <c r="B348" s="46"/>
      <c r="C348" s="46"/>
      <c r="D348" s="46"/>
      <c r="E348" s="15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46"/>
      <c r="BA348" s="46"/>
      <c r="BB348" s="46"/>
      <c r="BC348" s="46"/>
      <c r="BD348" s="46"/>
      <c r="BE348" s="46"/>
      <c r="BF348" s="12"/>
      <c r="BG348" s="12"/>
      <c r="BH348" s="12"/>
      <c r="BI348" s="46"/>
      <c r="BJ348" s="46"/>
      <c r="BK348" s="46"/>
      <c r="BL348" s="46"/>
      <c r="BM348" s="46"/>
      <c r="BN348" s="46"/>
      <c r="BO348" s="46"/>
      <c r="BP348" s="46"/>
      <c r="BQ348" s="157"/>
      <c r="BR348" s="156"/>
      <c r="BS348" s="46"/>
      <c r="BT348" s="46"/>
      <c r="BU348" s="12"/>
      <c r="BV348" s="12"/>
      <c r="BW348" s="12"/>
      <c r="BX348" s="12"/>
      <c r="BY348" s="12"/>
      <c r="BZ348" s="12"/>
      <c r="CA348" s="12"/>
      <c r="CB348" s="12"/>
      <c r="CC348" s="12"/>
      <c r="CD348" s="12"/>
      <c r="CE348" s="12"/>
      <c r="CF348" s="12"/>
      <c r="CG348" s="12"/>
      <c r="CH348" s="12"/>
      <c r="CI348" s="12"/>
      <c r="CJ348" s="12"/>
      <c r="CK348" s="12"/>
      <c r="CL348" s="2"/>
      <c r="CM348" s="12"/>
      <c r="CN348" s="12"/>
      <c r="CO348" s="12"/>
      <c r="CP348" s="12"/>
      <c r="CQ348" s="12"/>
      <c r="CR348" s="46"/>
      <c r="CS348" s="46"/>
      <c r="CT348" s="2"/>
      <c r="CU348" s="49"/>
      <c r="CV348" s="49"/>
      <c r="CW348" s="2"/>
      <c r="CX348" s="2"/>
      <c r="CY348" s="51"/>
      <c r="CZ348" s="2"/>
      <c r="DA348" s="12"/>
      <c r="DB348" s="12"/>
      <c r="DC348" s="12"/>
      <c r="DD348" s="12"/>
      <c r="DE348" s="12"/>
      <c r="DF348" s="12"/>
      <c r="DG348" s="12"/>
      <c r="DH348" s="12"/>
      <c r="DI348" s="46"/>
      <c r="DJ348" s="48"/>
      <c r="DK348" s="48"/>
      <c r="DL348" s="48"/>
      <c r="DM348" s="13"/>
      <c r="DN348" s="13"/>
      <c r="DO348" s="12"/>
      <c r="DP348" s="12"/>
      <c r="DQ348" s="12"/>
      <c r="DR348" s="12"/>
      <c r="DS348" s="12"/>
      <c r="DT348" s="12"/>
      <c r="DU348" s="12"/>
      <c r="DV348" s="12"/>
      <c r="DW348" s="12"/>
      <c r="DX348" s="12"/>
      <c r="DY348" s="12"/>
      <c r="DZ348" s="12"/>
      <c r="EA348" s="12"/>
      <c r="EB348" s="12"/>
      <c r="EC348" s="12"/>
      <c r="ED348" s="12"/>
    </row>
    <row r="349" spans="1:134" ht="12.5" x14ac:dyDescent="0.25">
      <c r="A349" s="46"/>
      <c r="B349" s="46"/>
      <c r="C349" s="46"/>
      <c r="D349" s="46"/>
      <c r="E349" s="15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46"/>
      <c r="BA349" s="46"/>
      <c r="BB349" s="46"/>
      <c r="BC349" s="46"/>
      <c r="BD349" s="46"/>
      <c r="BE349" s="46"/>
      <c r="BF349" s="12"/>
      <c r="BG349" s="12"/>
      <c r="BH349" s="12"/>
      <c r="BI349" s="46"/>
      <c r="BJ349" s="46"/>
      <c r="BK349" s="46"/>
      <c r="BL349" s="46"/>
      <c r="BM349" s="46"/>
      <c r="BN349" s="46"/>
      <c r="BO349" s="46"/>
      <c r="BP349" s="46"/>
      <c r="BQ349" s="157"/>
      <c r="BR349" s="156"/>
      <c r="BS349" s="46"/>
      <c r="BT349" s="46"/>
      <c r="BU349" s="12"/>
      <c r="BV349" s="12"/>
      <c r="BW349" s="12"/>
      <c r="BX349" s="12"/>
      <c r="BY349" s="12"/>
      <c r="BZ349" s="12"/>
      <c r="CA349" s="12"/>
      <c r="CB349" s="12"/>
      <c r="CC349" s="12"/>
      <c r="CD349" s="12"/>
      <c r="CE349" s="12"/>
      <c r="CF349" s="12"/>
      <c r="CG349" s="12"/>
      <c r="CH349" s="12"/>
      <c r="CI349" s="12"/>
      <c r="CJ349" s="12"/>
      <c r="CK349" s="12"/>
      <c r="CL349" s="2"/>
      <c r="CM349" s="12"/>
      <c r="CN349" s="12"/>
      <c r="CO349" s="12"/>
      <c r="CP349" s="12"/>
      <c r="CQ349" s="12"/>
      <c r="CR349" s="46"/>
      <c r="CS349" s="46"/>
      <c r="CT349" s="2"/>
      <c r="CU349" s="49"/>
      <c r="CV349" s="49"/>
      <c r="CW349" s="2"/>
      <c r="CX349" s="2"/>
      <c r="CY349" s="51"/>
      <c r="CZ349" s="2"/>
      <c r="DA349" s="12"/>
      <c r="DB349" s="12"/>
      <c r="DC349" s="12"/>
      <c r="DD349" s="12"/>
      <c r="DE349" s="12"/>
      <c r="DF349" s="12"/>
      <c r="DG349" s="12"/>
      <c r="DH349" s="12"/>
      <c r="DI349" s="46"/>
      <c r="DJ349" s="48"/>
      <c r="DK349" s="48"/>
      <c r="DL349" s="48"/>
      <c r="DM349" s="13"/>
      <c r="DN349" s="13"/>
      <c r="DO349" s="12"/>
      <c r="DP349" s="12"/>
      <c r="DQ349" s="12"/>
      <c r="DR349" s="12"/>
      <c r="DS349" s="12"/>
      <c r="DT349" s="12"/>
      <c r="DU349" s="12"/>
      <c r="DV349" s="12"/>
      <c r="DW349" s="12"/>
      <c r="DX349" s="12"/>
      <c r="DY349" s="12"/>
      <c r="DZ349" s="12"/>
      <c r="EA349" s="12"/>
      <c r="EB349" s="12"/>
      <c r="EC349" s="12"/>
      <c r="ED349" s="12"/>
    </row>
    <row r="350" spans="1:134" ht="12.5" x14ac:dyDescent="0.25">
      <c r="A350" s="46"/>
      <c r="B350" s="46"/>
      <c r="C350" s="46"/>
      <c r="D350" s="46"/>
      <c r="E350" s="15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46"/>
      <c r="BA350" s="46"/>
      <c r="BB350" s="46"/>
      <c r="BC350" s="46"/>
      <c r="BD350" s="46"/>
      <c r="BE350" s="46"/>
      <c r="BF350" s="12"/>
      <c r="BG350" s="12"/>
      <c r="BH350" s="12"/>
      <c r="BI350" s="46"/>
      <c r="BJ350" s="46"/>
      <c r="BK350" s="46"/>
      <c r="BL350" s="46"/>
      <c r="BM350" s="46"/>
      <c r="BN350" s="46"/>
      <c r="BO350" s="46"/>
      <c r="BP350" s="46"/>
      <c r="BQ350" s="157"/>
      <c r="BR350" s="156"/>
      <c r="BS350" s="46"/>
      <c r="BT350" s="46"/>
      <c r="BU350" s="12"/>
      <c r="BV350" s="12"/>
      <c r="BW350" s="12"/>
      <c r="BX350" s="12"/>
      <c r="BY350" s="12"/>
      <c r="BZ350" s="12"/>
      <c r="CA350" s="12"/>
      <c r="CB350" s="12"/>
      <c r="CC350" s="12"/>
      <c r="CD350" s="12"/>
      <c r="CE350" s="12"/>
      <c r="CF350" s="12"/>
      <c r="CG350" s="12"/>
      <c r="CH350" s="12"/>
      <c r="CI350" s="12"/>
      <c r="CJ350" s="12"/>
      <c r="CK350" s="12"/>
      <c r="CL350" s="2"/>
      <c r="CM350" s="12"/>
      <c r="CN350" s="12"/>
      <c r="CO350" s="12"/>
      <c r="CP350" s="12"/>
      <c r="CQ350" s="12"/>
      <c r="CR350" s="46"/>
      <c r="CS350" s="46"/>
      <c r="CT350" s="2"/>
      <c r="CU350" s="49"/>
      <c r="CV350" s="49"/>
      <c r="CW350" s="2"/>
      <c r="CX350" s="2"/>
      <c r="CY350" s="51"/>
      <c r="CZ350" s="2"/>
      <c r="DA350" s="12"/>
      <c r="DB350" s="12"/>
      <c r="DC350" s="12"/>
      <c r="DD350" s="12"/>
      <c r="DE350" s="12"/>
      <c r="DF350" s="12"/>
      <c r="DG350" s="12"/>
      <c r="DH350" s="12"/>
      <c r="DI350" s="46"/>
      <c r="DJ350" s="48"/>
      <c r="DK350" s="48"/>
      <c r="DL350" s="48"/>
      <c r="DM350" s="13"/>
      <c r="DN350" s="13"/>
      <c r="DO350" s="12"/>
      <c r="DP350" s="12"/>
      <c r="DQ350" s="12"/>
      <c r="DR350" s="12"/>
      <c r="DS350" s="12"/>
      <c r="DT350" s="12"/>
      <c r="DU350" s="12"/>
      <c r="DV350" s="12"/>
      <c r="DW350" s="12"/>
      <c r="DX350" s="12"/>
      <c r="DY350" s="12"/>
      <c r="DZ350" s="12"/>
      <c r="EA350" s="12"/>
      <c r="EB350" s="12"/>
      <c r="EC350" s="12"/>
      <c r="ED350" s="12"/>
    </row>
    <row r="351" spans="1:134" ht="12.5" x14ac:dyDescent="0.25">
      <c r="A351" s="46"/>
      <c r="B351" s="46"/>
      <c r="C351" s="46"/>
      <c r="D351" s="46"/>
      <c r="E351" s="15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46"/>
      <c r="BA351" s="46"/>
      <c r="BB351" s="46"/>
      <c r="BC351" s="46"/>
      <c r="BD351" s="46"/>
      <c r="BE351" s="46"/>
      <c r="BF351" s="12"/>
      <c r="BG351" s="12"/>
      <c r="BH351" s="12"/>
      <c r="BI351" s="46"/>
      <c r="BJ351" s="46"/>
      <c r="BK351" s="46"/>
      <c r="BL351" s="46"/>
      <c r="BM351" s="46"/>
      <c r="BN351" s="46"/>
      <c r="BO351" s="46"/>
      <c r="BP351" s="46"/>
      <c r="BQ351" s="157"/>
      <c r="BR351" s="156"/>
      <c r="BS351" s="46"/>
      <c r="BT351" s="46"/>
      <c r="BU351" s="12"/>
      <c r="BV351" s="12"/>
      <c r="BW351" s="12"/>
      <c r="BX351" s="12"/>
      <c r="BY351" s="12"/>
      <c r="BZ351" s="12"/>
      <c r="CA351" s="12"/>
      <c r="CB351" s="12"/>
      <c r="CC351" s="12"/>
      <c r="CD351" s="12"/>
      <c r="CE351" s="12"/>
      <c r="CF351" s="12"/>
      <c r="CG351" s="12"/>
      <c r="CH351" s="12"/>
      <c r="CI351" s="12"/>
      <c r="CJ351" s="12"/>
      <c r="CK351" s="12"/>
      <c r="CL351" s="2"/>
      <c r="CM351" s="12"/>
      <c r="CN351" s="12"/>
      <c r="CO351" s="12"/>
      <c r="CP351" s="12"/>
      <c r="CQ351" s="12"/>
      <c r="CR351" s="46"/>
      <c r="CS351" s="46"/>
      <c r="CT351" s="2"/>
      <c r="CU351" s="49"/>
      <c r="CV351" s="49"/>
      <c r="CW351" s="2"/>
      <c r="CX351" s="2"/>
      <c r="CY351" s="51"/>
      <c r="CZ351" s="2"/>
      <c r="DA351" s="12"/>
      <c r="DB351" s="12"/>
      <c r="DC351" s="12"/>
      <c r="DD351" s="12"/>
      <c r="DE351" s="12"/>
      <c r="DF351" s="12"/>
      <c r="DG351" s="12"/>
      <c r="DH351" s="12"/>
      <c r="DI351" s="46"/>
      <c r="DJ351" s="48"/>
      <c r="DK351" s="48"/>
      <c r="DL351" s="48"/>
      <c r="DM351" s="13"/>
      <c r="DN351" s="13"/>
      <c r="DO351" s="12"/>
      <c r="DP351" s="12"/>
      <c r="DQ351" s="12"/>
      <c r="DR351" s="12"/>
      <c r="DS351" s="12"/>
      <c r="DT351" s="12"/>
      <c r="DU351" s="12"/>
      <c r="DV351" s="12"/>
      <c r="DW351" s="12"/>
      <c r="DX351" s="12"/>
      <c r="DY351" s="12"/>
      <c r="DZ351" s="12"/>
      <c r="EA351" s="12"/>
      <c r="EB351" s="12"/>
      <c r="EC351" s="12"/>
      <c r="ED351" s="12"/>
    </row>
    <row r="352" spans="1:134" ht="12.5" x14ac:dyDescent="0.25">
      <c r="A352" s="46"/>
      <c r="B352" s="46"/>
      <c r="C352" s="46"/>
      <c r="D352" s="46"/>
      <c r="E352" s="15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46"/>
      <c r="BA352" s="46"/>
      <c r="BB352" s="46"/>
      <c r="BC352" s="46"/>
      <c r="BD352" s="46"/>
      <c r="BE352" s="46"/>
      <c r="BF352" s="12"/>
      <c r="BG352" s="12"/>
      <c r="BH352" s="12"/>
      <c r="BI352" s="46"/>
      <c r="BJ352" s="46"/>
      <c r="BK352" s="46"/>
      <c r="BL352" s="46"/>
      <c r="BM352" s="46"/>
      <c r="BN352" s="46"/>
      <c r="BO352" s="46"/>
      <c r="BP352" s="46"/>
      <c r="BQ352" s="157"/>
      <c r="BR352" s="156"/>
      <c r="BS352" s="46"/>
      <c r="BT352" s="46"/>
      <c r="BU352" s="12"/>
      <c r="BV352" s="12"/>
      <c r="BW352" s="12"/>
      <c r="BX352" s="12"/>
      <c r="BY352" s="12"/>
      <c r="BZ352" s="12"/>
      <c r="CA352" s="12"/>
      <c r="CB352" s="12"/>
      <c r="CC352" s="12"/>
      <c r="CD352" s="12"/>
      <c r="CE352" s="12"/>
      <c r="CF352" s="12"/>
      <c r="CG352" s="12"/>
      <c r="CH352" s="12"/>
      <c r="CI352" s="12"/>
      <c r="CJ352" s="12"/>
      <c r="CK352" s="12"/>
      <c r="CL352" s="2"/>
      <c r="CM352" s="12"/>
      <c r="CN352" s="12"/>
      <c r="CO352" s="12"/>
      <c r="CP352" s="12"/>
      <c r="CQ352" s="12"/>
      <c r="CR352" s="46"/>
      <c r="CS352" s="46"/>
      <c r="CT352" s="2"/>
      <c r="CU352" s="49"/>
      <c r="CV352" s="49"/>
      <c r="CW352" s="2"/>
      <c r="CX352" s="2"/>
      <c r="CY352" s="51"/>
      <c r="CZ352" s="2"/>
      <c r="DA352" s="12"/>
      <c r="DB352" s="12"/>
      <c r="DC352" s="12"/>
      <c r="DD352" s="12"/>
      <c r="DE352" s="12"/>
      <c r="DF352" s="12"/>
      <c r="DG352" s="12"/>
      <c r="DH352" s="12"/>
      <c r="DI352" s="46"/>
      <c r="DJ352" s="48"/>
      <c r="DK352" s="48"/>
      <c r="DL352" s="48"/>
      <c r="DM352" s="13"/>
      <c r="DN352" s="13"/>
      <c r="DO352" s="12"/>
      <c r="DP352" s="12"/>
      <c r="DQ352" s="12"/>
      <c r="DR352" s="12"/>
      <c r="DS352" s="12"/>
      <c r="DT352" s="12"/>
      <c r="DU352" s="12"/>
      <c r="DV352" s="12"/>
      <c r="DW352" s="12"/>
      <c r="DX352" s="12"/>
      <c r="DY352" s="12"/>
      <c r="DZ352" s="12"/>
      <c r="EA352" s="12"/>
      <c r="EB352" s="12"/>
      <c r="EC352" s="12"/>
      <c r="ED352" s="12"/>
    </row>
    <row r="353" spans="1:134" ht="12.5" x14ac:dyDescent="0.25">
      <c r="A353" s="46"/>
      <c r="B353" s="46"/>
      <c r="C353" s="46"/>
      <c r="D353" s="46"/>
      <c r="E353" s="15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46"/>
      <c r="BA353" s="46"/>
      <c r="BB353" s="46"/>
      <c r="BC353" s="46"/>
      <c r="BD353" s="46"/>
      <c r="BE353" s="46"/>
      <c r="BF353" s="12"/>
      <c r="BG353" s="12"/>
      <c r="BH353" s="12"/>
      <c r="BI353" s="46"/>
      <c r="BJ353" s="46"/>
      <c r="BK353" s="46"/>
      <c r="BL353" s="46"/>
      <c r="BM353" s="46"/>
      <c r="BN353" s="46"/>
      <c r="BO353" s="46"/>
      <c r="BP353" s="46"/>
      <c r="BQ353" s="157"/>
      <c r="BR353" s="156"/>
      <c r="BS353" s="46"/>
      <c r="BT353" s="46"/>
      <c r="BU353" s="12"/>
      <c r="BV353" s="12"/>
      <c r="BW353" s="12"/>
      <c r="BX353" s="12"/>
      <c r="BY353" s="12"/>
      <c r="BZ353" s="12"/>
      <c r="CA353" s="12"/>
      <c r="CB353" s="12"/>
      <c r="CC353" s="12"/>
      <c r="CD353" s="12"/>
      <c r="CE353" s="12"/>
      <c r="CF353" s="12"/>
      <c r="CG353" s="12"/>
      <c r="CH353" s="12"/>
      <c r="CI353" s="12"/>
      <c r="CJ353" s="12"/>
      <c r="CK353" s="12"/>
      <c r="CL353" s="2"/>
      <c r="CM353" s="12"/>
      <c r="CN353" s="12"/>
      <c r="CO353" s="12"/>
      <c r="CP353" s="12"/>
      <c r="CQ353" s="12"/>
      <c r="CR353" s="46"/>
      <c r="CS353" s="46"/>
      <c r="CT353" s="2"/>
      <c r="CU353" s="49"/>
      <c r="CV353" s="49"/>
      <c r="CW353" s="2"/>
      <c r="CX353" s="2"/>
      <c r="CY353" s="51"/>
      <c r="CZ353" s="2"/>
      <c r="DA353" s="12"/>
      <c r="DB353" s="12"/>
      <c r="DC353" s="12"/>
      <c r="DD353" s="12"/>
      <c r="DE353" s="12"/>
      <c r="DF353" s="12"/>
      <c r="DG353" s="12"/>
      <c r="DH353" s="12"/>
      <c r="DI353" s="46"/>
      <c r="DJ353" s="48"/>
      <c r="DK353" s="48"/>
      <c r="DL353" s="48"/>
      <c r="DM353" s="13"/>
      <c r="DN353" s="13"/>
      <c r="DO353" s="12"/>
      <c r="DP353" s="12"/>
      <c r="DQ353" s="12"/>
      <c r="DR353" s="12"/>
      <c r="DS353" s="12"/>
      <c r="DT353" s="12"/>
      <c r="DU353" s="12"/>
      <c r="DV353" s="12"/>
      <c r="DW353" s="12"/>
      <c r="DX353" s="12"/>
      <c r="DY353" s="12"/>
      <c r="DZ353" s="12"/>
      <c r="EA353" s="12"/>
      <c r="EB353" s="12"/>
      <c r="EC353" s="12"/>
      <c r="ED353" s="12"/>
    </row>
    <row r="354" spans="1:134" ht="12.5" x14ac:dyDescent="0.25">
      <c r="A354" s="46"/>
      <c r="B354" s="46"/>
      <c r="C354" s="46"/>
      <c r="D354" s="46"/>
      <c r="E354" s="15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46"/>
      <c r="BA354" s="46"/>
      <c r="BB354" s="46"/>
      <c r="BC354" s="46"/>
      <c r="BD354" s="46"/>
      <c r="BE354" s="46"/>
      <c r="BF354" s="12"/>
      <c r="BG354" s="12"/>
      <c r="BH354" s="12"/>
      <c r="BI354" s="46"/>
      <c r="BJ354" s="46"/>
      <c r="BK354" s="46"/>
      <c r="BL354" s="46"/>
      <c r="BM354" s="46"/>
      <c r="BN354" s="46"/>
      <c r="BO354" s="46"/>
      <c r="BP354" s="46"/>
      <c r="BQ354" s="157"/>
      <c r="BR354" s="156"/>
      <c r="BS354" s="46"/>
      <c r="BT354" s="46"/>
      <c r="BU354" s="12"/>
      <c r="BV354" s="12"/>
      <c r="BW354" s="12"/>
      <c r="BX354" s="12"/>
      <c r="BY354" s="12"/>
      <c r="BZ354" s="12"/>
      <c r="CA354" s="12"/>
      <c r="CB354" s="12"/>
      <c r="CC354" s="12"/>
      <c r="CD354" s="12"/>
      <c r="CE354" s="12"/>
      <c r="CF354" s="12"/>
      <c r="CG354" s="12"/>
      <c r="CH354" s="12"/>
      <c r="CI354" s="12"/>
      <c r="CJ354" s="12"/>
      <c r="CK354" s="12"/>
      <c r="CL354" s="2"/>
      <c r="CM354" s="12"/>
      <c r="CN354" s="12"/>
      <c r="CO354" s="12"/>
      <c r="CP354" s="12"/>
      <c r="CQ354" s="12"/>
      <c r="CR354" s="46"/>
      <c r="CS354" s="46"/>
      <c r="CT354" s="2"/>
      <c r="CU354" s="49"/>
      <c r="CV354" s="49"/>
      <c r="CW354" s="2"/>
      <c r="CX354" s="2"/>
      <c r="CY354" s="51"/>
      <c r="CZ354" s="2"/>
      <c r="DA354" s="12"/>
      <c r="DB354" s="12"/>
      <c r="DC354" s="12"/>
      <c r="DD354" s="12"/>
      <c r="DE354" s="12"/>
      <c r="DF354" s="12"/>
      <c r="DG354" s="12"/>
      <c r="DH354" s="12"/>
      <c r="DI354" s="46"/>
      <c r="DJ354" s="48"/>
      <c r="DK354" s="48"/>
      <c r="DL354" s="48"/>
      <c r="DM354" s="13"/>
      <c r="DN354" s="13"/>
      <c r="DO354" s="12"/>
      <c r="DP354" s="12"/>
      <c r="DQ354" s="12"/>
      <c r="DR354" s="12"/>
      <c r="DS354" s="12"/>
      <c r="DT354" s="12"/>
      <c r="DU354" s="12"/>
      <c r="DV354" s="12"/>
      <c r="DW354" s="12"/>
      <c r="DX354" s="12"/>
      <c r="DY354" s="12"/>
      <c r="DZ354" s="12"/>
      <c r="EA354" s="12"/>
      <c r="EB354" s="12"/>
      <c r="EC354" s="12"/>
      <c r="ED354" s="12"/>
    </row>
    <row r="355" spans="1:134" ht="12.5" x14ac:dyDescent="0.25">
      <c r="A355" s="46"/>
      <c r="B355" s="46"/>
      <c r="C355" s="46"/>
      <c r="D355" s="46"/>
      <c r="E355" s="15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46"/>
      <c r="BA355" s="46"/>
      <c r="BB355" s="46"/>
      <c r="BC355" s="46"/>
      <c r="BD355" s="46"/>
      <c r="BE355" s="46"/>
      <c r="BF355" s="12"/>
      <c r="BG355" s="12"/>
      <c r="BH355" s="12"/>
      <c r="BI355" s="46"/>
      <c r="BJ355" s="46"/>
      <c r="BK355" s="46"/>
      <c r="BL355" s="46"/>
      <c r="BM355" s="46"/>
      <c r="BN355" s="46"/>
      <c r="BO355" s="46"/>
      <c r="BP355" s="46"/>
      <c r="BQ355" s="157"/>
      <c r="BR355" s="156"/>
      <c r="BS355" s="46"/>
      <c r="BT355" s="46"/>
      <c r="BU355" s="12"/>
      <c r="BV355" s="12"/>
      <c r="BW355" s="12"/>
      <c r="BX355" s="12"/>
      <c r="BY355" s="12"/>
      <c r="BZ355" s="12"/>
      <c r="CA355" s="12"/>
      <c r="CB355" s="12"/>
      <c r="CC355" s="12"/>
      <c r="CD355" s="12"/>
      <c r="CE355" s="12"/>
      <c r="CF355" s="12"/>
      <c r="CG355" s="12"/>
      <c r="CH355" s="12"/>
      <c r="CI355" s="12"/>
      <c r="CJ355" s="12"/>
      <c r="CK355" s="12"/>
      <c r="CL355" s="2"/>
      <c r="CM355" s="12"/>
      <c r="CN355" s="12"/>
      <c r="CO355" s="12"/>
      <c r="CP355" s="12"/>
      <c r="CQ355" s="12"/>
      <c r="CR355" s="46"/>
      <c r="CS355" s="46"/>
      <c r="CT355" s="2"/>
      <c r="CU355" s="49"/>
      <c r="CV355" s="49"/>
      <c r="CW355" s="2"/>
      <c r="CX355" s="2"/>
      <c r="CY355" s="51"/>
      <c r="CZ355" s="2"/>
      <c r="DA355" s="12"/>
      <c r="DB355" s="12"/>
      <c r="DC355" s="12"/>
      <c r="DD355" s="12"/>
      <c r="DE355" s="12"/>
      <c r="DF355" s="12"/>
      <c r="DG355" s="12"/>
      <c r="DH355" s="12"/>
      <c r="DI355" s="46"/>
      <c r="DJ355" s="48"/>
      <c r="DK355" s="48"/>
      <c r="DL355" s="48"/>
      <c r="DM355" s="13"/>
      <c r="DN355" s="13"/>
      <c r="DO355" s="12"/>
      <c r="DP355" s="12"/>
      <c r="DQ355" s="12"/>
      <c r="DR355" s="12"/>
      <c r="DS355" s="12"/>
      <c r="DT355" s="12"/>
      <c r="DU355" s="12"/>
      <c r="DV355" s="12"/>
      <c r="DW355" s="12"/>
      <c r="DX355" s="12"/>
      <c r="DY355" s="12"/>
      <c r="DZ355" s="12"/>
      <c r="EA355" s="12"/>
      <c r="EB355" s="12"/>
      <c r="EC355" s="12"/>
      <c r="ED355" s="12"/>
    </row>
    <row r="356" spans="1:134" ht="12.5" x14ac:dyDescent="0.25">
      <c r="A356" s="46"/>
      <c r="B356" s="46"/>
      <c r="C356" s="46"/>
      <c r="D356" s="46"/>
      <c r="E356" s="15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46"/>
      <c r="BA356" s="46"/>
      <c r="BB356" s="46"/>
      <c r="BC356" s="46"/>
      <c r="BD356" s="46"/>
      <c r="BE356" s="46"/>
      <c r="BF356" s="12"/>
      <c r="BG356" s="12"/>
      <c r="BH356" s="12"/>
      <c r="BI356" s="46"/>
      <c r="BJ356" s="46"/>
      <c r="BK356" s="46"/>
      <c r="BL356" s="46"/>
      <c r="BM356" s="46"/>
      <c r="BN356" s="46"/>
      <c r="BO356" s="46"/>
      <c r="BP356" s="46"/>
      <c r="BQ356" s="157"/>
      <c r="BR356" s="156"/>
      <c r="BS356" s="46"/>
      <c r="BT356" s="46"/>
      <c r="BU356" s="12"/>
      <c r="BV356" s="12"/>
      <c r="BW356" s="12"/>
      <c r="BX356" s="12"/>
      <c r="BY356" s="12"/>
      <c r="BZ356" s="12"/>
      <c r="CA356" s="12"/>
      <c r="CB356" s="12"/>
      <c r="CC356" s="12"/>
      <c r="CD356" s="12"/>
      <c r="CE356" s="12"/>
      <c r="CF356" s="12"/>
      <c r="CG356" s="12"/>
      <c r="CH356" s="12"/>
      <c r="CI356" s="12"/>
      <c r="CJ356" s="12"/>
      <c r="CK356" s="12"/>
      <c r="CL356" s="2"/>
      <c r="CM356" s="12"/>
      <c r="CN356" s="12"/>
      <c r="CO356" s="12"/>
      <c r="CP356" s="12"/>
      <c r="CQ356" s="12"/>
      <c r="CR356" s="46"/>
      <c r="CS356" s="46"/>
      <c r="CT356" s="2"/>
      <c r="CU356" s="49"/>
      <c r="CV356" s="49"/>
      <c r="CW356" s="2"/>
      <c r="CX356" s="2"/>
      <c r="CY356" s="51"/>
      <c r="CZ356" s="2"/>
      <c r="DA356" s="12"/>
      <c r="DB356" s="12"/>
      <c r="DC356" s="12"/>
      <c r="DD356" s="12"/>
      <c r="DE356" s="12"/>
      <c r="DF356" s="12"/>
      <c r="DG356" s="12"/>
      <c r="DH356" s="12"/>
      <c r="DI356" s="46"/>
      <c r="DJ356" s="48"/>
      <c r="DK356" s="48"/>
      <c r="DL356" s="48"/>
      <c r="DM356" s="13"/>
      <c r="DN356" s="13"/>
      <c r="DO356" s="12"/>
      <c r="DP356" s="12"/>
      <c r="DQ356" s="12"/>
      <c r="DR356" s="12"/>
      <c r="DS356" s="12"/>
      <c r="DT356" s="12"/>
      <c r="DU356" s="12"/>
      <c r="DV356" s="12"/>
      <c r="DW356" s="12"/>
      <c r="DX356" s="12"/>
      <c r="DY356" s="12"/>
      <c r="DZ356" s="12"/>
      <c r="EA356" s="12"/>
      <c r="EB356" s="12"/>
      <c r="EC356" s="12"/>
      <c r="ED356" s="12"/>
    </row>
    <row r="357" spans="1:134" ht="12.5" x14ac:dyDescent="0.25">
      <c r="A357" s="46"/>
      <c r="B357" s="46"/>
      <c r="C357" s="46"/>
      <c r="D357" s="46"/>
      <c r="E357" s="15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46"/>
      <c r="BA357" s="46"/>
      <c r="BB357" s="46"/>
      <c r="BC357" s="46"/>
      <c r="BD357" s="46"/>
      <c r="BE357" s="46"/>
      <c r="BF357" s="12"/>
      <c r="BG357" s="12"/>
      <c r="BH357" s="12"/>
      <c r="BI357" s="46"/>
      <c r="BJ357" s="46"/>
      <c r="BK357" s="46"/>
      <c r="BL357" s="46"/>
      <c r="BM357" s="46"/>
      <c r="BN357" s="46"/>
      <c r="BO357" s="46"/>
      <c r="BP357" s="46"/>
      <c r="BQ357" s="157"/>
      <c r="BR357" s="156"/>
      <c r="BS357" s="46"/>
      <c r="BT357" s="46"/>
      <c r="BU357" s="12"/>
      <c r="BV357" s="12"/>
      <c r="BW357" s="12"/>
      <c r="BX357" s="12"/>
      <c r="BY357" s="12"/>
      <c r="BZ357" s="12"/>
      <c r="CA357" s="12"/>
      <c r="CB357" s="12"/>
      <c r="CC357" s="12"/>
      <c r="CD357" s="12"/>
      <c r="CE357" s="12"/>
      <c r="CF357" s="12"/>
      <c r="CG357" s="12"/>
      <c r="CH357" s="12"/>
      <c r="CI357" s="12"/>
      <c r="CJ357" s="12"/>
      <c r="CK357" s="12"/>
      <c r="CL357" s="2"/>
      <c r="CM357" s="12"/>
      <c r="CN357" s="12"/>
      <c r="CO357" s="12"/>
      <c r="CP357" s="12"/>
      <c r="CQ357" s="12"/>
      <c r="CR357" s="46"/>
      <c r="CS357" s="46"/>
      <c r="CT357" s="2"/>
      <c r="CU357" s="49"/>
      <c r="CV357" s="49"/>
      <c r="CW357" s="2"/>
      <c r="CX357" s="2"/>
      <c r="CY357" s="51"/>
      <c r="CZ357" s="2"/>
      <c r="DA357" s="12"/>
      <c r="DB357" s="12"/>
      <c r="DC357" s="12"/>
      <c r="DD357" s="12"/>
      <c r="DE357" s="12"/>
      <c r="DF357" s="12"/>
      <c r="DG357" s="12"/>
      <c r="DH357" s="12"/>
      <c r="DI357" s="46"/>
      <c r="DJ357" s="48"/>
      <c r="DK357" s="48"/>
      <c r="DL357" s="48"/>
      <c r="DM357" s="13"/>
      <c r="DN357" s="13"/>
      <c r="DO357" s="12"/>
      <c r="DP357" s="12"/>
      <c r="DQ357" s="12"/>
      <c r="DR357" s="12"/>
      <c r="DS357" s="12"/>
      <c r="DT357" s="12"/>
      <c r="DU357" s="12"/>
      <c r="DV357" s="12"/>
      <c r="DW357" s="12"/>
      <c r="DX357" s="12"/>
      <c r="DY357" s="12"/>
      <c r="DZ357" s="12"/>
      <c r="EA357" s="12"/>
      <c r="EB357" s="12"/>
      <c r="EC357" s="12"/>
      <c r="ED357" s="12"/>
    </row>
    <row r="358" spans="1:134" ht="12.5" x14ac:dyDescent="0.25">
      <c r="A358" s="46"/>
      <c r="B358" s="46"/>
      <c r="C358" s="46"/>
      <c r="D358" s="46"/>
      <c r="E358" s="15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46"/>
      <c r="BA358" s="46"/>
      <c r="BB358" s="46"/>
      <c r="BC358" s="46"/>
      <c r="BD358" s="46"/>
      <c r="BE358" s="46"/>
      <c r="BF358" s="12"/>
      <c r="BG358" s="12"/>
      <c r="BH358" s="12"/>
      <c r="BI358" s="46"/>
      <c r="BJ358" s="46"/>
      <c r="BK358" s="46"/>
      <c r="BL358" s="46"/>
      <c r="BM358" s="46"/>
      <c r="BN358" s="46"/>
      <c r="BO358" s="46"/>
      <c r="BP358" s="46"/>
      <c r="BQ358" s="157"/>
      <c r="BR358" s="156"/>
      <c r="BS358" s="46"/>
      <c r="BT358" s="46"/>
      <c r="BU358" s="12"/>
      <c r="BV358" s="12"/>
      <c r="BW358" s="12"/>
      <c r="BX358" s="12"/>
      <c r="BY358" s="12"/>
      <c r="BZ358" s="12"/>
      <c r="CA358" s="12"/>
      <c r="CB358" s="12"/>
      <c r="CC358" s="12"/>
      <c r="CD358" s="12"/>
      <c r="CE358" s="12"/>
      <c r="CF358" s="12"/>
      <c r="CG358" s="12"/>
      <c r="CH358" s="12"/>
      <c r="CI358" s="12"/>
      <c r="CJ358" s="12"/>
      <c r="CK358" s="12"/>
      <c r="CL358" s="2"/>
      <c r="CM358" s="12"/>
      <c r="CN358" s="12"/>
      <c r="CO358" s="12"/>
      <c r="CP358" s="12"/>
      <c r="CQ358" s="12"/>
      <c r="CR358" s="46"/>
      <c r="CS358" s="46"/>
      <c r="CT358" s="2"/>
      <c r="CU358" s="49"/>
      <c r="CV358" s="49"/>
      <c r="CW358" s="2"/>
      <c r="CX358" s="2"/>
      <c r="CY358" s="51"/>
      <c r="CZ358" s="2"/>
      <c r="DA358" s="12"/>
      <c r="DB358" s="12"/>
      <c r="DC358" s="12"/>
      <c r="DD358" s="12"/>
      <c r="DE358" s="12"/>
      <c r="DF358" s="12"/>
      <c r="DG358" s="12"/>
      <c r="DH358" s="12"/>
      <c r="DI358" s="46"/>
      <c r="DJ358" s="48"/>
      <c r="DK358" s="48"/>
      <c r="DL358" s="48"/>
      <c r="DM358" s="13"/>
      <c r="DN358" s="13"/>
      <c r="DO358" s="12"/>
      <c r="DP358" s="12"/>
      <c r="DQ358" s="12"/>
      <c r="DR358" s="12"/>
      <c r="DS358" s="12"/>
      <c r="DT358" s="12"/>
      <c r="DU358" s="12"/>
      <c r="DV358" s="12"/>
      <c r="DW358" s="12"/>
      <c r="DX358" s="12"/>
      <c r="DY358" s="12"/>
      <c r="DZ358" s="12"/>
      <c r="EA358" s="12"/>
      <c r="EB358" s="12"/>
      <c r="EC358" s="12"/>
      <c r="ED358" s="12"/>
    </row>
    <row r="359" spans="1:134" ht="12.5" x14ac:dyDescent="0.25">
      <c r="A359" s="46"/>
      <c r="B359" s="46"/>
      <c r="C359" s="46"/>
      <c r="D359" s="46"/>
      <c r="E359" s="15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46"/>
      <c r="BA359" s="46"/>
      <c r="BB359" s="46"/>
      <c r="BC359" s="46"/>
      <c r="BD359" s="46"/>
      <c r="BE359" s="46"/>
      <c r="BF359" s="12"/>
      <c r="BG359" s="12"/>
      <c r="BH359" s="12"/>
      <c r="BI359" s="46"/>
      <c r="BJ359" s="46"/>
      <c r="BK359" s="46"/>
      <c r="BL359" s="46"/>
      <c r="BM359" s="46"/>
      <c r="BN359" s="46"/>
      <c r="BO359" s="46"/>
      <c r="BP359" s="46"/>
      <c r="BQ359" s="157"/>
      <c r="BR359" s="156"/>
      <c r="BS359" s="46"/>
      <c r="BT359" s="46"/>
      <c r="BU359" s="12"/>
      <c r="BV359" s="12"/>
      <c r="BW359" s="12"/>
      <c r="BX359" s="12"/>
      <c r="BY359" s="12"/>
      <c r="BZ359" s="12"/>
      <c r="CA359" s="12"/>
      <c r="CB359" s="12"/>
      <c r="CC359" s="12"/>
      <c r="CD359" s="12"/>
      <c r="CE359" s="12"/>
      <c r="CF359" s="12"/>
      <c r="CG359" s="12"/>
      <c r="CH359" s="12"/>
      <c r="CI359" s="12"/>
      <c r="CJ359" s="12"/>
      <c r="CK359" s="12"/>
      <c r="CL359" s="2"/>
      <c r="CM359" s="12"/>
      <c r="CN359" s="12"/>
      <c r="CO359" s="12"/>
      <c r="CP359" s="12"/>
      <c r="CQ359" s="12"/>
      <c r="CR359" s="46"/>
      <c r="CS359" s="46"/>
      <c r="CT359" s="2"/>
      <c r="CU359" s="49"/>
      <c r="CV359" s="49"/>
      <c r="CW359" s="2"/>
      <c r="CX359" s="2"/>
      <c r="CY359" s="51"/>
      <c r="CZ359" s="2"/>
      <c r="DA359" s="12"/>
      <c r="DB359" s="12"/>
      <c r="DC359" s="12"/>
      <c r="DD359" s="12"/>
      <c r="DE359" s="12"/>
      <c r="DF359" s="12"/>
      <c r="DG359" s="12"/>
      <c r="DH359" s="12"/>
      <c r="DI359" s="46"/>
      <c r="DJ359" s="48"/>
      <c r="DK359" s="48"/>
      <c r="DL359" s="48"/>
      <c r="DM359" s="13"/>
      <c r="DN359" s="13"/>
      <c r="DO359" s="12"/>
      <c r="DP359" s="12"/>
      <c r="DQ359" s="12"/>
      <c r="DR359" s="12"/>
      <c r="DS359" s="12"/>
      <c r="DT359" s="12"/>
      <c r="DU359" s="12"/>
      <c r="DV359" s="12"/>
      <c r="DW359" s="12"/>
      <c r="DX359" s="12"/>
      <c r="DY359" s="12"/>
      <c r="DZ359" s="12"/>
      <c r="EA359" s="12"/>
      <c r="EB359" s="12"/>
      <c r="EC359" s="12"/>
      <c r="ED359" s="12"/>
    </row>
    <row r="360" spans="1:134" ht="12.5" x14ac:dyDescent="0.25">
      <c r="A360" s="46"/>
      <c r="B360" s="46"/>
      <c r="C360" s="46"/>
      <c r="D360" s="46"/>
      <c r="E360" s="15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46"/>
      <c r="BA360" s="46"/>
      <c r="BB360" s="46"/>
      <c r="BC360" s="46"/>
      <c r="BD360" s="46"/>
      <c r="BE360" s="46"/>
      <c r="BF360" s="12"/>
      <c r="BG360" s="12"/>
      <c r="BH360" s="12"/>
      <c r="BI360" s="46"/>
      <c r="BJ360" s="46"/>
      <c r="BK360" s="46"/>
      <c r="BL360" s="46"/>
      <c r="BM360" s="46"/>
      <c r="BN360" s="46"/>
      <c r="BO360" s="46"/>
      <c r="BP360" s="46"/>
      <c r="BQ360" s="157"/>
      <c r="BR360" s="156"/>
      <c r="BS360" s="46"/>
      <c r="BT360" s="46"/>
      <c r="BU360" s="12"/>
      <c r="BV360" s="12"/>
      <c r="BW360" s="12"/>
      <c r="BX360" s="12"/>
      <c r="BY360" s="12"/>
      <c r="BZ360" s="12"/>
      <c r="CA360" s="12"/>
      <c r="CB360" s="12"/>
      <c r="CC360" s="12"/>
      <c r="CD360" s="12"/>
      <c r="CE360" s="12"/>
      <c r="CF360" s="12"/>
      <c r="CG360" s="12"/>
      <c r="CH360" s="12"/>
      <c r="CI360" s="12"/>
      <c r="CJ360" s="12"/>
      <c r="CK360" s="12"/>
      <c r="CL360" s="2"/>
      <c r="CM360" s="12"/>
      <c r="CN360" s="12"/>
      <c r="CO360" s="12"/>
      <c r="CP360" s="12"/>
      <c r="CQ360" s="12"/>
      <c r="CR360" s="46"/>
      <c r="CS360" s="46"/>
      <c r="CT360" s="2"/>
      <c r="CU360" s="49"/>
      <c r="CV360" s="49"/>
      <c r="CW360" s="2"/>
      <c r="CX360" s="2"/>
      <c r="CY360" s="51"/>
      <c r="CZ360" s="2"/>
      <c r="DA360" s="12"/>
      <c r="DB360" s="12"/>
      <c r="DC360" s="12"/>
      <c r="DD360" s="12"/>
      <c r="DE360" s="12"/>
      <c r="DF360" s="12"/>
      <c r="DG360" s="12"/>
      <c r="DH360" s="12"/>
      <c r="DI360" s="46"/>
      <c r="DJ360" s="48"/>
      <c r="DK360" s="48"/>
      <c r="DL360" s="48"/>
      <c r="DM360" s="13"/>
      <c r="DN360" s="13"/>
      <c r="DO360" s="12"/>
      <c r="DP360" s="12"/>
      <c r="DQ360" s="12"/>
      <c r="DR360" s="12"/>
      <c r="DS360" s="12"/>
      <c r="DT360" s="12"/>
      <c r="DU360" s="12"/>
      <c r="DV360" s="12"/>
      <c r="DW360" s="12"/>
      <c r="DX360" s="12"/>
      <c r="DY360" s="12"/>
      <c r="DZ360" s="12"/>
      <c r="EA360" s="12"/>
      <c r="EB360" s="12"/>
      <c r="EC360" s="12"/>
      <c r="ED360" s="12"/>
    </row>
    <row r="361" spans="1:134" ht="12.5" x14ac:dyDescent="0.25">
      <c r="A361" s="46"/>
      <c r="B361" s="46"/>
      <c r="C361" s="46"/>
      <c r="D361" s="46"/>
      <c r="E361" s="15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46"/>
      <c r="BA361" s="46"/>
      <c r="BB361" s="46"/>
      <c r="BC361" s="46"/>
      <c r="BD361" s="46"/>
      <c r="BE361" s="46"/>
      <c r="BF361" s="12"/>
      <c r="BG361" s="12"/>
      <c r="BH361" s="12"/>
      <c r="BI361" s="46"/>
      <c r="BJ361" s="46"/>
      <c r="BK361" s="46"/>
      <c r="BL361" s="46"/>
      <c r="BM361" s="46"/>
      <c r="BN361" s="46"/>
      <c r="BO361" s="46"/>
      <c r="BP361" s="46"/>
      <c r="BQ361" s="157"/>
      <c r="BR361" s="156"/>
      <c r="BS361" s="46"/>
      <c r="BT361" s="46"/>
      <c r="BU361" s="12"/>
      <c r="BV361" s="12"/>
      <c r="BW361" s="12"/>
      <c r="BX361" s="12"/>
      <c r="BY361" s="12"/>
      <c r="BZ361" s="12"/>
      <c r="CA361" s="12"/>
      <c r="CB361" s="12"/>
      <c r="CC361" s="12"/>
      <c r="CD361" s="12"/>
      <c r="CE361" s="12"/>
      <c r="CF361" s="12"/>
      <c r="CG361" s="12"/>
      <c r="CH361" s="12"/>
      <c r="CI361" s="12"/>
      <c r="CJ361" s="12"/>
      <c r="CK361" s="12"/>
      <c r="CL361" s="2"/>
      <c r="CM361" s="12"/>
      <c r="CN361" s="12"/>
      <c r="CO361" s="12"/>
      <c r="CP361" s="12"/>
      <c r="CQ361" s="12"/>
      <c r="CR361" s="46"/>
      <c r="CS361" s="46"/>
      <c r="CT361" s="2"/>
      <c r="CU361" s="49"/>
      <c r="CV361" s="49"/>
      <c r="CW361" s="2"/>
      <c r="CX361" s="2"/>
      <c r="CY361" s="51"/>
      <c r="CZ361" s="2"/>
      <c r="DA361" s="12"/>
      <c r="DB361" s="12"/>
      <c r="DC361" s="12"/>
      <c r="DD361" s="12"/>
      <c r="DE361" s="12"/>
      <c r="DF361" s="12"/>
      <c r="DG361" s="12"/>
      <c r="DH361" s="12"/>
      <c r="DI361" s="46"/>
      <c r="DJ361" s="48"/>
      <c r="DK361" s="48"/>
      <c r="DL361" s="48"/>
      <c r="DM361" s="13"/>
      <c r="DN361" s="13"/>
      <c r="DO361" s="12"/>
      <c r="DP361" s="12"/>
      <c r="DQ361" s="12"/>
      <c r="DR361" s="12"/>
      <c r="DS361" s="12"/>
      <c r="DT361" s="12"/>
      <c r="DU361" s="12"/>
      <c r="DV361" s="12"/>
      <c r="DW361" s="12"/>
      <c r="DX361" s="12"/>
      <c r="DY361" s="12"/>
      <c r="DZ361" s="12"/>
      <c r="EA361" s="12"/>
      <c r="EB361" s="12"/>
      <c r="EC361" s="12"/>
      <c r="ED361" s="12"/>
    </row>
    <row r="362" spans="1:134" ht="12.5" x14ac:dyDescent="0.25">
      <c r="A362" s="46"/>
      <c r="B362" s="46"/>
      <c r="C362" s="46"/>
      <c r="D362" s="46"/>
      <c r="E362" s="15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46"/>
      <c r="BA362" s="46"/>
      <c r="BB362" s="46"/>
      <c r="BC362" s="46"/>
      <c r="BD362" s="46"/>
      <c r="BE362" s="46"/>
      <c r="BF362" s="12"/>
      <c r="BG362" s="12"/>
      <c r="BH362" s="12"/>
      <c r="BI362" s="46"/>
      <c r="BJ362" s="46"/>
      <c r="BK362" s="46"/>
      <c r="BL362" s="46"/>
      <c r="BM362" s="46"/>
      <c r="BN362" s="46"/>
      <c r="BO362" s="46"/>
      <c r="BP362" s="46"/>
      <c r="BQ362" s="157"/>
      <c r="BR362" s="156"/>
      <c r="BS362" s="46"/>
      <c r="BT362" s="46"/>
      <c r="BU362" s="12"/>
      <c r="BV362" s="12"/>
      <c r="BW362" s="12"/>
      <c r="BX362" s="12"/>
      <c r="BY362" s="12"/>
      <c r="BZ362" s="12"/>
      <c r="CA362" s="12"/>
      <c r="CB362" s="12"/>
      <c r="CC362" s="12"/>
      <c r="CD362" s="12"/>
      <c r="CE362" s="12"/>
      <c r="CF362" s="12"/>
      <c r="CG362" s="12"/>
      <c r="CH362" s="12"/>
      <c r="CI362" s="12"/>
      <c r="CJ362" s="12"/>
      <c r="CK362" s="12"/>
      <c r="CL362" s="2"/>
      <c r="CM362" s="12"/>
      <c r="CN362" s="12"/>
      <c r="CO362" s="12"/>
      <c r="CP362" s="12"/>
      <c r="CQ362" s="12"/>
      <c r="CR362" s="46"/>
      <c r="CS362" s="46"/>
      <c r="CT362" s="2"/>
      <c r="CU362" s="49"/>
      <c r="CV362" s="49"/>
      <c r="CW362" s="2"/>
      <c r="CX362" s="2"/>
      <c r="CY362" s="51"/>
      <c r="CZ362" s="2"/>
      <c r="DA362" s="12"/>
      <c r="DB362" s="12"/>
      <c r="DC362" s="12"/>
      <c r="DD362" s="12"/>
      <c r="DE362" s="12"/>
      <c r="DF362" s="12"/>
      <c r="DG362" s="12"/>
      <c r="DH362" s="12"/>
      <c r="DI362" s="46"/>
      <c r="DJ362" s="48"/>
      <c r="DK362" s="48"/>
      <c r="DL362" s="48"/>
      <c r="DM362" s="13"/>
      <c r="DN362" s="13"/>
      <c r="DO362" s="12"/>
      <c r="DP362" s="12"/>
      <c r="DQ362" s="12"/>
      <c r="DR362" s="12"/>
      <c r="DS362" s="12"/>
      <c r="DT362" s="12"/>
      <c r="DU362" s="12"/>
      <c r="DV362" s="12"/>
      <c r="DW362" s="12"/>
      <c r="DX362" s="12"/>
      <c r="DY362" s="12"/>
      <c r="DZ362" s="12"/>
      <c r="EA362" s="12"/>
      <c r="EB362" s="12"/>
      <c r="EC362" s="12"/>
      <c r="ED362" s="12"/>
    </row>
    <row r="363" spans="1:134" ht="12.5" x14ac:dyDescent="0.25">
      <c r="A363" s="46"/>
      <c r="B363" s="46"/>
      <c r="C363" s="46"/>
      <c r="D363" s="46"/>
      <c r="E363" s="15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46"/>
      <c r="BA363" s="46"/>
      <c r="BB363" s="46"/>
      <c r="BC363" s="46"/>
      <c r="BD363" s="46"/>
      <c r="BE363" s="46"/>
      <c r="BF363" s="12"/>
      <c r="BG363" s="12"/>
      <c r="BH363" s="12"/>
      <c r="BI363" s="46"/>
      <c r="BJ363" s="46"/>
      <c r="BK363" s="46"/>
      <c r="BL363" s="46"/>
      <c r="BM363" s="46"/>
      <c r="BN363" s="46"/>
      <c r="BO363" s="46"/>
      <c r="BP363" s="46"/>
      <c r="BQ363" s="157"/>
      <c r="BR363" s="156"/>
      <c r="BS363" s="46"/>
      <c r="BT363" s="46"/>
      <c r="BU363" s="12"/>
      <c r="BV363" s="12"/>
      <c r="BW363" s="12"/>
      <c r="BX363" s="12"/>
      <c r="BY363" s="12"/>
      <c r="BZ363" s="12"/>
      <c r="CA363" s="12"/>
      <c r="CB363" s="12"/>
      <c r="CC363" s="12"/>
      <c r="CD363" s="12"/>
      <c r="CE363" s="12"/>
      <c r="CF363" s="12"/>
      <c r="CG363" s="12"/>
      <c r="CH363" s="12"/>
      <c r="CI363" s="12"/>
      <c r="CJ363" s="12"/>
      <c r="CK363" s="12"/>
      <c r="CL363" s="2"/>
      <c r="CM363" s="12"/>
      <c r="CN363" s="12"/>
      <c r="CO363" s="12"/>
      <c r="CP363" s="12"/>
      <c r="CQ363" s="12"/>
      <c r="CR363" s="46"/>
      <c r="CS363" s="46"/>
      <c r="CT363" s="2"/>
      <c r="CU363" s="49"/>
      <c r="CV363" s="49"/>
      <c r="CW363" s="2"/>
      <c r="CX363" s="2"/>
      <c r="CY363" s="51"/>
      <c r="CZ363" s="2"/>
      <c r="DA363" s="12"/>
      <c r="DB363" s="12"/>
      <c r="DC363" s="12"/>
      <c r="DD363" s="12"/>
      <c r="DE363" s="12"/>
      <c r="DF363" s="12"/>
      <c r="DG363" s="12"/>
      <c r="DH363" s="12"/>
      <c r="DI363" s="46"/>
      <c r="DJ363" s="48"/>
      <c r="DK363" s="48"/>
      <c r="DL363" s="48"/>
      <c r="DM363" s="13"/>
      <c r="DN363" s="13"/>
      <c r="DO363" s="12"/>
      <c r="DP363" s="12"/>
      <c r="DQ363" s="12"/>
      <c r="DR363" s="12"/>
      <c r="DS363" s="12"/>
      <c r="DT363" s="12"/>
      <c r="DU363" s="12"/>
      <c r="DV363" s="12"/>
      <c r="DW363" s="12"/>
      <c r="DX363" s="12"/>
      <c r="DY363" s="12"/>
      <c r="DZ363" s="12"/>
      <c r="EA363" s="12"/>
      <c r="EB363" s="12"/>
      <c r="EC363" s="12"/>
      <c r="ED363" s="12"/>
    </row>
    <row r="364" spans="1:134" ht="12.5" x14ac:dyDescent="0.25">
      <c r="A364" s="46"/>
      <c r="B364" s="46"/>
      <c r="C364" s="46"/>
      <c r="D364" s="46"/>
      <c r="E364" s="15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46"/>
      <c r="BA364" s="46"/>
      <c r="BB364" s="46"/>
      <c r="BC364" s="46"/>
      <c r="BD364" s="46"/>
      <c r="BE364" s="46"/>
      <c r="BF364" s="12"/>
      <c r="BG364" s="12"/>
      <c r="BH364" s="12"/>
      <c r="BI364" s="46"/>
      <c r="BJ364" s="46"/>
      <c r="BK364" s="46"/>
      <c r="BL364" s="46"/>
      <c r="BM364" s="46"/>
      <c r="BN364" s="46"/>
      <c r="BO364" s="46"/>
      <c r="BP364" s="46"/>
      <c r="BQ364" s="157"/>
      <c r="BR364" s="156"/>
      <c r="BS364" s="46"/>
      <c r="BT364" s="46"/>
      <c r="BU364" s="12"/>
      <c r="BV364" s="12"/>
      <c r="BW364" s="12"/>
      <c r="BX364" s="12"/>
      <c r="BY364" s="12"/>
      <c r="BZ364" s="12"/>
      <c r="CA364" s="12"/>
      <c r="CB364" s="12"/>
      <c r="CC364" s="12"/>
      <c r="CD364" s="12"/>
      <c r="CE364" s="12"/>
      <c r="CF364" s="12"/>
      <c r="CG364" s="12"/>
      <c r="CH364" s="12"/>
      <c r="CI364" s="12"/>
      <c r="CJ364" s="12"/>
      <c r="CK364" s="12"/>
      <c r="CL364" s="2"/>
      <c r="CM364" s="12"/>
      <c r="CN364" s="12"/>
      <c r="CO364" s="12"/>
      <c r="CP364" s="12"/>
      <c r="CQ364" s="12"/>
      <c r="CR364" s="46"/>
      <c r="CS364" s="46"/>
      <c r="CT364" s="2"/>
      <c r="CU364" s="49"/>
      <c r="CV364" s="49"/>
      <c r="CW364" s="2"/>
      <c r="CX364" s="2"/>
      <c r="CY364" s="51"/>
      <c r="CZ364" s="2"/>
      <c r="DA364" s="12"/>
      <c r="DB364" s="12"/>
      <c r="DC364" s="12"/>
      <c r="DD364" s="12"/>
      <c r="DE364" s="12"/>
      <c r="DF364" s="12"/>
      <c r="DG364" s="12"/>
      <c r="DH364" s="12"/>
      <c r="DI364" s="46"/>
      <c r="DJ364" s="48"/>
      <c r="DK364" s="48"/>
      <c r="DL364" s="48"/>
      <c r="DM364" s="13"/>
      <c r="DN364" s="13"/>
      <c r="DO364" s="12"/>
      <c r="DP364" s="12"/>
      <c r="DQ364" s="12"/>
      <c r="DR364" s="12"/>
      <c r="DS364" s="12"/>
      <c r="DT364" s="12"/>
      <c r="DU364" s="12"/>
      <c r="DV364" s="12"/>
      <c r="DW364" s="12"/>
      <c r="DX364" s="12"/>
      <c r="DY364" s="12"/>
      <c r="DZ364" s="12"/>
      <c r="EA364" s="12"/>
      <c r="EB364" s="12"/>
      <c r="EC364" s="12"/>
      <c r="ED364" s="12"/>
    </row>
    <row r="365" spans="1:134" ht="12.5" x14ac:dyDescent="0.25">
      <c r="A365" s="46"/>
      <c r="B365" s="46"/>
      <c r="C365" s="46"/>
      <c r="D365" s="46"/>
      <c r="E365" s="15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46"/>
      <c r="BA365" s="46"/>
      <c r="BB365" s="46"/>
      <c r="BC365" s="46"/>
      <c r="BD365" s="46"/>
      <c r="BE365" s="46"/>
      <c r="BF365" s="12"/>
      <c r="BG365" s="12"/>
      <c r="BH365" s="12"/>
      <c r="BI365" s="46"/>
      <c r="BJ365" s="46"/>
      <c r="BK365" s="46"/>
      <c r="BL365" s="46"/>
      <c r="BM365" s="46"/>
      <c r="BN365" s="46"/>
      <c r="BO365" s="46"/>
      <c r="BP365" s="46"/>
      <c r="BQ365" s="157"/>
      <c r="BR365" s="156"/>
      <c r="BS365" s="46"/>
      <c r="BT365" s="46"/>
      <c r="BU365" s="12"/>
      <c r="BV365" s="12"/>
      <c r="BW365" s="12"/>
      <c r="BX365" s="12"/>
      <c r="BY365" s="12"/>
      <c r="BZ365" s="12"/>
      <c r="CA365" s="12"/>
      <c r="CB365" s="12"/>
      <c r="CC365" s="12"/>
      <c r="CD365" s="12"/>
      <c r="CE365" s="12"/>
      <c r="CF365" s="12"/>
      <c r="CG365" s="12"/>
      <c r="CH365" s="12"/>
      <c r="CI365" s="12"/>
      <c r="CJ365" s="12"/>
      <c r="CK365" s="12"/>
      <c r="CL365" s="2"/>
      <c r="CM365" s="12"/>
      <c r="CN365" s="12"/>
      <c r="CO365" s="12"/>
      <c r="CP365" s="12"/>
      <c r="CQ365" s="12"/>
      <c r="CR365" s="46"/>
      <c r="CS365" s="46"/>
      <c r="CT365" s="2"/>
      <c r="CU365" s="49"/>
      <c r="CV365" s="49"/>
      <c r="CW365" s="2"/>
      <c r="CX365" s="2"/>
      <c r="CY365" s="51"/>
      <c r="CZ365" s="2"/>
      <c r="DA365" s="12"/>
      <c r="DB365" s="12"/>
      <c r="DC365" s="12"/>
      <c r="DD365" s="12"/>
      <c r="DE365" s="12"/>
      <c r="DF365" s="12"/>
      <c r="DG365" s="12"/>
      <c r="DH365" s="12"/>
      <c r="DI365" s="46"/>
      <c r="DJ365" s="48"/>
      <c r="DK365" s="48"/>
      <c r="DL365" s="48"/>
      <c r="DM365" s="13"/>
      <c r="DN365" s="13"/>
      <c r="DO365" s="12"/>
      <c r="DP365" s="12"/>
      <c r="DQ365" s="12"/>
      <c r="DR365" s="12"/>
      <c r="DS365" s="12"/>
      <c r="DT365" s="12"/>
      <c r="DU365" s="12"/>
      <c r="DV365" s="12"/>
      <c r="DW365" s="12"/>
      <c r="DX365" s="12"/>
      <c r="DY365" s="12"/>
      <c r="DZ365" s="12"/>
      <c r="EA365" s="12"/>
      <c r="EB365" s="12"/>
      <c r="EC365" s="12"/>
      <c r="ED365" s="12"/>
    </row>
    <row r="366" spans="1:134" ht="12.5" x14ac:dyDescent="0.25">
      <c r="A366" s="46"/>
      <c r="B366" s="46"/>
      <c r="C366" s="46"/>
      <c r="D366" s="46"/>
      <c r="E366" s="15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46"/>
      <c r="BA366" s="46"/>
      <c r="BB366" s="46"/>
      <c r="BC366" s="46"/>
      <c r="BD366" s="46"/>
      <c r="BE366" s="46"/>
      <c r="BF366" s="12"/>
      <c r="BG366" s="12"/>
      <c r="BH366" s="12"/>
      <c r="BI366" s="46"/>
      <c r="BJ366" s="46"/>
      <c r="BK366" s="46"/>
      <c r="BL366" s="46"/>
      <c r="BM366" s="46"/>
      <c r="BN366" s="46"/>
      <c r="BO366" s="46"/>
      <c r="BP366" s="46"/>
      <c r="BQ366" s="157"/>
      <c r="BR366" s="156"/>
      <c r="BS366" s="46"/>
      <c r="BT366" s="46"/>
      <c r="BU366" s="12"/>
      <c r="BV366" s="12"/>
      <c r="BW366" s="12"/>
      <c r="BX366" s="12"/>
      <c r="BY366" s="12"/>
      <c r="BZ366" s="12"/>
      <c r="CA366" s="12"/>
      <c r="CB366" s="12"/>
      <c r="CC366" s="12"/>
      <c r="CD366" s="12"/>
      <c r="CE366" s="12"/>
      <c r="CF366" s="12"/>
      <c r="CG366" s="12"/>
      <c r="CH366" s="12"/>
      <c r="CI366" s="12"/>
      <c r="CJ366" s="12"/>
      <c r="CK366" s="12"/>
      <c r="CL366" s="2"/>
      <c r="CM366" s="12"/>
      <c r="CN366" s="12"/>
      <c r="CO366" s="12"/>
      <c r="CP366" s="12"/>
      <c r="CQ366" s="12"/>
      <c r="CR366" s="46"/>
      <c r="CS366" s="46"/>
      <c r="CT366" s="2"/>
      <c r="CU366" s="49"/>
      <c r="CV366" s="49"/>
      <c r="CW366" s="2"/>
      <c r="CX366" s="2"/>
      <c r="CY366" s="51"/>
      <c r="CZ366" s="2"/>
      <c r="DA366" s="12"/>
      <c r="DB366" s="12"/>
      <c r="DC366" s="12"/>
      <c r="DD366" s="12"/>
      <c r="DE366" s="12"/>
      <c r="DF366" s="12"/>
      <c r="DG366" s="12"/>
      <c r="DH366" s="12"/>
      <c r="DI366" s="46"/>
      <c r="DJ366" s="48"/>
      <c r="DK366" s="48"/>
      <c r="DL366" s="48"/>
      <c r="DM366" s="13"/>
      <c r="DN366" s="13"/>
      <c r="DO366" s="12"/>
      <c r="DP366" s="12"/>
      <c r="DQ366" s="12"/>
      <c r="DR366" s="12"/>
      <c r="DS366" s="12"/>
      <c r="DT366" s="12"/>
      <c r="DU366" s="12"/>
      <c r="DV366" s="12"/>
      <c r="DW366" s="12"/>
      <c r="DX366" s="12"/>
      <c r="DY366" s="12"/>
      <c r="DZ366" s="12"/>
      <c r="EA366" s="12"/>
      <c r="EB366" s="12"/>
      <c r="EC366" s="12"/>
      <c r="ED366" s="12"/>
    </row>
    <row r="367" spans="1:134" ht="12.5" x14ac:dyDescent="0.25">
      <c r="A367" s="46"/>
      <c r="B367" s="46"/>
      <c r="C367" s="46"/>
      <c r="D367" s="46"/>
      <c r="E367" s="15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46"/>
      <c r="BA367" s="46"/>
      <c r="BB367" s="46"/>
      <c r="BC367" s="46"/>
      <c r="BD367" s="46"/>
      <c r="BE367" s="46"/>
      <c r="BF367" s="12"/>
      <c r="BG367" s="12"/>
      <c r="BH367" s="12"/>
      <c r="BI367" s="46"/>
      <c r="BJ367" s="46"/>
      <c r="BK367" s="46"/>
      <c r="BL367" s="46"/>
      <c r="BM367" s="46"/>
      <c r="BN367" s="46"/>
      <c r="BO367" s="46"/>
      <c r="BP367" s="46"/>
      <c r="BQ367" s="157"/>
      <c r="BR367" s="156"/>
      <c r="BS367" s="46"/>
      <c r="BT367" s="46"/>
      <c r="BU367" s="12"/>
      <c r="BV367" s="12"/>
      <c r="BW367" s="12"/>
      <c r="BX367" s="12"/>
      <c r="BY367" s="12"/>
      <c r="BZ367" s="12"/>
      <c r="CA367" s="12"/>
      <c r="CB367" s="12"/>
      <c r="CC367" s="12"/>
      <c r="CD367" s="12"/>
      <c r="CE367" s="12"/>
      <c r="CF367" s="12"/>
      <c r="CG367" s="12"/>
      <c r="CH367" s="12"/>
      <c r="CI367" s="12"/>
      <c r="CJ367" s="12"/>
      <c r="CK367" s="12"/>
      <c r="CL367" s="2"/>
      <c r="CM367" s="12"/>
      <c r="CN367" s="12"/>
      <c r="CO367" s="12"/>
      <c r="CP367" s="12"/>
      <c r="CQ367" s="12"/>
      <c r="CR367" s="46"/>
      <c r="CS367" s="46"/>
      <c r="CT367" s="2"/>
      <c r="CU367" s="49"/>
      <c r="CV367" s="49"/>
      <c r="CW367" s="2"/>
      <c r="CX367" s="2"/>
      <c r="CY367" s="51"/>
      <c r="CZ367" s="2"/>
      <c r="DA367" s="12"/>
      <c r="DB367" s="12"/>
      <c r="DC367" s="12"/>
      <c r="DD367" s="12"/>
      <c r="DE367" s="12"/>
      <c r="DF367" s="12"/>
      <c r="DG367" s="12"/>
      <c r="DH367" s="12"/>
      <c r="DI367" s="46"/>
      <c r="DJ367" s="48"/>
      <c r="DK367" s="48"/>
      <c r="DL367" s="48"/>
      <c r="DM367" s="13"/>
      <c r="DN367" s="13"/>
      <c r="DO367" s="12"/>
      <c r="DP367" s="12"/>
      <c r="DQ367" s="12"/>
      <c r="DR367" s="12"/>
      <c r="DS367" s="12"/>
      <c r="DT367" s="12"/>
      <c r="DU367" s="12"/>
      <c r="DV367" s="12"/>
      <c r="DW367" s="12"/>
      <c r="DX367" s="12"/>
      <c r="DY367" s="12"/>
      <c r="DZ367" s="12"/>
      <c r="EA367" s="12"/>
      <c r="EB367" s="12"/>
      <c r="EC367" s="12"/>
      <c r="ED367" s="12"/>
    </row>
    <row r="368" spans="1:134" ht="12.5" x14ac:dyDescent="0.25">
      <c r="A368" s="46"/>
      <c r="B368" s="46"/>
      <c r="C368" s="46"/>
      <c r="D368" s="46"/>
      <c r="E368" s="15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46"/>
      <c r="BA368" s="46"/>
      <c r="BB368" s="46"/>
      <c r="BC368" s="46"/>
      <c r="BD368" s="46"/>
      <c r="BE368" s="46"/>
      <c r="BF368" s="12"/>
      <c r="BG368" s="12"/>
      <c r="BH368" s="12"/>
      <c r="BI368" s="46"/>
      <c r="BJ368" s="46"/>
      <c r="BK368" s="46"/>
      <c r="BL368" s="46"/>
      <c r="BM368" s="46"/>
      <c r="BN368" s="46"/>
      <c r="BO368" s="46"/>
      <c r="BP368" s="46"/>
      <c r="BQ368" s="157"/>
      <c r="BR368" s="156"/>
      <c r="BS368" s="46"/>
      <c r="BT368" s="46"/>
      <c r="BU368" s="12"/>
      <c r="BV368" s="12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2"/>
      <c r="CM368" s="12"/>
      <c r="CN368" s="12"/>
      <c r="CO368" s="12"/>
      <c r="CP368" s="12"/>
      <c r="CQ368" s="12"/>
      <c r="CR368" s="46"/>
      <c r="CS368" s="46"/>
      <c r="CT368" s="2"/>
      <c r="CU368" s="49"/>
      <c r="CV368" s="49"/>
      <c r="CW368" s="2"/>
      <c r="CX368" s="2"/>
      <c r="CY368" s="51"/>
      <c r="CZ368" s="2"/>
      <c r="DA368" s="12"/>
      <c r="DB368" s="12"/>
      <c r="DC368" s="12"/>
      <c r="DD368" s="12"/>
      <c r="DE368" s="12"/>
      <c r="DF368" s="12"/>
      <c r="DG368" s="12"/>
      <c r="DH368" s="12"/>
      <c r="DI368" s="46"/>
      <c r="DJ368" s="48"/>
      <c r="DK368" s="48"/>
      <c r="DL368" s="48"/>
      <c r="DM368" s="13"/>
      <c r="DN368" s="13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</row>
    <row r="369" spans="1:134" ht="12.5" x14ac:dyDescent="0.25">
      <c r="A369" s="46"/>
      <c r="B369" s="46"/>
      <c r="C369" s="46"/>
      <c r="D369" s="46"/>
      <c r="E369" s="15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46"/>
      <c r="BA369" s="46"/>
      <c r="BB369" s="46"/>
      <c r="BC369" s="46"/>
      <c r="BD369" s="46"/>
      <c r="BE369" s="46"/>
      <c r="BF369" s="12"/>
      <c r="BG369" s="12"/>
      <c r="BH369" s="12"/>
      <c r="BI369" s="46"/>
      <c r="BJ369" s="46"/>
      <c r="BK369" s="46"/>
      <c r="BL369" s="46"/>
      <c r="BM369" s="46"/>
      <c r="BN369" s="46"/>
      <c r="BO369" s="46"/>
      <c r="BP369" s="46"/>
      <c r="BQ369" s="157"/>
      <c r="BR369" s="156"/>
      <c r="BS369" s="46"/>
      <c r="BT369" s="46"/>
      <c r="BU369" s="12"/>
      <c r="BV369" s="12"/>
      <c r="BW369" s="12"/>
      <c r="BX369" s="12"/>
      <c r="BY369" s="12"/>
      <c r="BZ369" s="12"/>
      <c r="CA369" s="12"/>
      <c r="CB369" s="12"/>
      <c r="CC369" s="12"/>
      <c r="CD369" s="12"/>
      <c r="CE369" s="12"/>
      <c r="CF369" s="12"/>
      <c r="CG369" s="12"/>
      <c r="CH369" s="12"/>
      <c r="CI369" s="12"/>
      <c r="CJ369" s="12"/>
      <c r="CK369" s="12"/>
      <c r="CL369" s="2"/>
      <c r="CM369" s="12"/>
      <c r="CN369" s="12"/>
      <c r="CO369" s="12"/>
      <c r="CP369" s="12"/>
      <c r="CQ369" s="12"/>
      <c r="CR369" s="46"/>
      <c r="CS369" s="46"/>
      <c r="CT369" s="2"/>
      <c r="CU369" s="49"/>
      <c r="CV369" s="49"/>
      <c r="CW369" s="2"/>
      <c r="CX369" s="2"/>
      <c r="CY369" s="51"/>
      <c r="CZ369" s="2"/>
      <c r="DA369" s="12"/>
      <c r="DB369" s="12"/>
      <c r="DC369" s="12"/>
      <c r="DD369" s="12"/>
      <c r="DE369" s="12"/>
      <c r="DF369" s="12"/>
      <c r="DG369" s="12"/>
      <c r="DH369" s="12"/>
      <c r="DI369" s="46"/>
      <c r="DJ369" s="48"/>
      <c r="DK369" s="48"/>
      <c r="DL369" s="48"/>
      <c r="DM369" s="13"/>
      <c r="DN369" s="13"/>
      <c r="DO369" s="12"/>
      <c r="DP369" s="12"/>
      <c r="DQ369" s="12"/>
      <c r="DR369" s="12"/>
      <c r="DS369" s="12"/>
      <c r="DT369" s="12"/>
      <c r="DU369" s="12"/>
      <c r="DV369" s="12"/>
      <c r="DW369" s="12"/>
      <c r="DX369" s="12"/>
      <c r="DY369" s="12"/>
      <c r="DZ369" s="12"/>
      <c r="EA369" s="12"/>
      <c r="EB369" s="12"/>
      <c r="EC369" s="12"/>
      <c r="ED369" s="12"/>
    </row>
    <row r="370" spans="1:134" ht="12.5" x14ac:dyDescent="0.25">
      <c r="A370" s="46"/>
      <c r="B370" s="46"/>
      <c r="C370" s="46"/>
      <c r="D370" s="46"/>
      <c r="E370" s="15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46"/>
      <c r="BA370" s="46"/>
      <c r="BB370" s="46"/>
      <c r="BC370" s="46"/>
      <c r="BD370" s="46"/>
      <c r="BE370" s="46"/>
      <c r="BF370" s="12"/>
      <c r="BG370" s="12"/>
      <c r="BH370" s="12"/>
      <c r="BI370" s="46"/>
      <c r="BJ370" s="46"/>
      <c r="BK370" s="46"/>
      <c r="BL370" s="46"/>
      <c r="BM370" s="46"/>
      <c r="BN370" s="46"/>
      <c r="BO370" s="46"/>
      <c r="BP370" s="46"/>
      <c r="BQ370" s="157"/>
      <c r="BR370" s="156"/>
      <c r="BS370" s="46"/>
      <c r="BT370" s="46"/>
      <c r="BU370" s="12"/>
      <c r="BV370" s="12"/>
      <c r="BW370" s="12"/>
      <c r="BX370" s="12"/>
      <c r="BY370" s="12"/>
      <c r="BZ370" s="12"/>
      <c r="CA370" s="12"/>
      <c r="CB370" s="12"/>
      <c r="CC370" s="12"/>
      <c r="CD370" s="12"/>
      <c r="CE370" s="12"/>
      <c r="CF370" s="12"/>
      <c r="CG370" s="12"/>
      <c r="CH370" s="12"/>
      <c r="CI370" s="12"/>
      <c r="CJ370" s="12"/>
      <c r="CK370" s="12"/>
      <c r="CL370" s="2"/>
      <c r="CM370" s="12"/>
      <c r="CN370" s="12"/>
      <c r="CO370" s="12"/>
      <c r="CP370" s="12"/>
      <c r="CQ370" s="12"/>
      <c r="CR370" s="46"/>
      <c r="CS370" s="46"/>
      <c r="CT370" s="2"/>
      <c r="CU370" s="49"/>
      <c r="CV370" s="49"/>
      <c r="CW370" s="2"/>
      <c r="CX370" s="2"/>
      <c r="CY370" s="51"/>
      <c r="CZ370" s="2"/>
      <c r="DA370" s="12"/>
      <c r="DB370" s="12"/>
      <c r="DC370" s="12"/>
      <c r="DD370" s="12"/>
      <c r="DE370" s="12"/>
      <c r="DF370" s="12"/>
      <c r="DG370" s="12"/>
      <c r="DH370" s="12"/>
      <c r="DI370" s="46"/>
      <c r="DJ370" s="48"/>
      <c r="DK370" s="48"/>
      <c r="DL370" s="48"/>
      <c r="DM370" s="13"/>
      <c r="DN370" s="13"/>
      <c r="DO370" s="12"/>
      <c r="DP370" s="12"/>
      <c r="DQ370" s="12"/>
      <c r="DR370" s="12"/>
      <c r="DS370" s="12"/>
      <c r="DT370" s="12"/>
      <c r="DU370" s="12"/>
      <c r="DV370" s="12"/>
      <c r="DW370" s="12"/>
      <c r="DX370" s="12"/>
      <c r="DY370" s="12"/>
      <c r="DZ370" s="12"/>
      <c r="EA370" s="12"/>
      <c r="EB370" s="12"/>
      <c r="EC370" s="12"/>
      <c r="ED370" s="12"/>
    </row>
    <row r="371" spans="1:134" ht="12.5" x14ac:dyDescent="0.25">
      <c r="A371" s="46"/>
      <c r="B371" s="46"/>
      <c r="C371" s="46"/>
      <c r="D371" s="46"/>
      <c r="E371" s="15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46"/>
      <c r="BA371" s="46"/>
      <c r="BB371" s="46"/>
      <c r="BC371" s="46"/>
      <c r="BD371" s="46"/>
      <c r="BE371" s="46"/>
      <c r="BF371" s="12"/>
      <c r="BG371" s="12"/>
      <c r="BH371" s="12"/>
      <c r="BI371" s="46"/>
      <c r="BJ371" s="46"/>
      <c r="BK371" s="46"/>
      <c r="BL371" s="46"/>
      <c r="BM371" s="46"/>
      <c r="BN371" s="46"/>
      <c r="BO371" s="46"/>
      <c r="BP371" s="46"/>
      <c r="BQ371" s="157"/>
      <c r="BR371" s="156"/>
      <c r="BS371" s="46"/>
      <c r="BT371" s="46"/>
      <c r="BU371" s="12"/>
      <c r="BV371" s="12"/>
      <c r="BW371" s="12"/>
      <c r="BX371" s="12"/>
      <c r="BY371" s="12"/>
      <c r="BZ371" s="12"/>
      <c r="CA371" s="12"/>
      <c r="CB371" s="12"/>
      <c r="CC371" s="12"/>
      <c r="CD371" s="12"/>
      <c r="CE371" s="12"/>
      <c r="CF371" s="12"/>
      <c r="CG371" s="12"/>
      <c r="CH371" s="12"/>
      <c r="CI371" s="12"/>
      <c r="CJ371" s="12"/>
      <c r="CK371" s="12"/>
      <c r="CL371" s="2"/>
      <c r="CM371" s="12"/>
      <c r="CN371" s="12"/>
      <c r="CO371" s="12"/>
      <c r="CP371" s="12"/>
      <c r="CQ371" s="12"/>
      <c r="CR371" s="46"/>
      <c r="CS371" s="46"/>
      <c r="CT371" s="2"/>
      <c r="CU371" s="49"/>
      <c r="CV371" s="49"/>
      <c r="CW371" s="2"/>
      <c r="CX371" s="2"/>
      <c r="CY371" s="51"/>
      <c r="CZ371" s="2"/>
      <c r="DA371" s="12"/>
      <c r="DB371" s="12"/>
      <c r="DC371" s="12"/>
      <c r="DD371" s="12"/>
      <c r="DE371" s="12"/>
      <c r="DF371" s="12"/>
      <c r="DG371" s="12"/>
      <c r="DH371" s="12"/>
      <c r="DI371" s="46"/>
      <c r="DJ371" s="48"/>
      <c r="DK371" s="48"/>
      <c r="DL371" s="48"/>
      <c r="DM371" s="13"/>
      <c r="DN371" s="13"/>
      <c r="DO371" s="12"/>
      <c r="DP371" s="12"/>
      <c r="DQ371" s="12"/>
      <c r="DR371" s="12"/>
      <c r="DS371" s="12"/>
      <c r="DT371" s="12"/>
      <c r="DU371" s="12"/>
      <c r="DV371" s="12"/>
      <c r="DW371" s="12"/>
      <c r="DX371" s="12"/>
      <c r="DY371" s="12"/>
      <c r="DZ371" s="12"/>
      <c r="EA371" s="12"/>
      <c r="EB371" s="12"/>
      <c r="EC371" s="12"/>
      <c r="ED371" s="12"/>
    </row>
    <row r="372" spans="1:134" ht="12.5" x14ac:dyDescent="0.25">
      <c r="A372" s="46"/>
      <c r="B372" s="46"/>
      <c r="C372" s="46"/>
      <c r="D372" s="46"/>
      <c r="E372" s="15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46"/>
      <c r="BA372" s="46"/>
      <c r="BB372" s="46"/>
      <c r="BC372" s="46"/>
      <c r="BD372" s="46"/>
      <c r="BE372" s="46"/>
      <c r="BF372" s="12"/>
      <c r="BG372" s="12"/>
      <c r="BH372" s="12"/>
      <c r="BI372" s="46"/>
      <c r="BJ372" s="46"/>
      <c r="BK372" s="46"/>
      <c r="BL372" s="46"/>
      <c r="BM372" s="46"/>
      <c r="BN372" s="46"/>
      <c r="BO372" s="46"/>
      <c r="BP372" s="46"/>
      <c r="BQ372" s="157"/>
      <c r="BR372" s="156"/>
      <c r="BS372" s="46"/>
      <c r="BT372" s="46"/>
      <c r="BU372" s="12"/>
      <c r="BV372" s="12"/>
      <c r="BW372" s="12"/>
      <c r="BX372" s="12"/>
      <c r="BY372" s="12"/>
      <c r="BZ372" s="12"/>
      <c r="CA372" s="12"/>
      <c r="CB372" s="12"/>
      <c r="CC372" s="12"/>
      <c r="CD372" s="12"/>
      <c r="CE372" s="12"/>
      <c r="CF372" s="12"/>
      <c r="CG372" s="12"/>
      <c r="CH372" s="12"/>
      <c r="CI372" s="12"/>
      <c r="CJ372" s="12"/>
      <c r="CK372" s="12"/>
      <c r="CL372" s="2"/>
      <c r="CM372" s="12"/>
      <c r="CN372" s="12"/>
      <c r="CO372" s="12"/>
      <c r="CP372" s="12"/>
      <c r="CQ372" s="12"/>
      <c r="CR372" s="46"/>
      <c r="CS372" s="46"/>
      <c r="CT372" s="2"/>
      <c r="CU372" s="49"/>
      <c r="CV372" s="49"/>
      <c r="CW372" s="2"/>
      <c r="CX372" s="2"/>
      <c r="CY372" s="51"/>
      <c r="CZ372" s="2"/>
      <c r="DA372" s="12"/>
      <c r="DB372" s="12"/>
      <c r="DC372" s="12"/>
      <c r="DD372" s="12"/>
      <c r="DE372" s="12"/>
      <c r="DF372" s="12"/>
      <c r="DG372" s="12"/>
      <c r="DH372" s="12"/>
      <c r="DI372" s="46"/>
      <c r="DJ372" s="48"/>
      <c r="DK372" s="48"/>
      <c r="DL372" s="48"/>
      <c r="DM372" s="13"/>
      <c r="DN372" s="13"/>
      <c r="DO372" s="12"/>
      <c r="DP372" s="12"/>
      <c r="DQ372" s="12"/>
      <c r="DR372" s="12"/>
      <c r="DS372" s="12"/>
      <c r="DT372" s="12"/>
      <c r="DU372" s="12"/>
      <c r="DV372" s="12"/>
      <c r="DW372" s="12"/>
      <c r="DX372" s="12"/>
      <c r="DY372" s="12"/>
      <c r="DZ372" s="12"/>
      <c r="EA372" s="12"/>
      <c r="EB372" s="12"/>
      <c r="EC372" s="12"/>
      <c r="ED372" s="12"/>
    </row>
    <row r="373" spans="1:134" ht="12.5" x14ac:dyDescent="0.25">
      <c r="A373" s="46"/>
      <c r="B373" s="46"/>
      <c r="C373" s="46"/>
      <c r="D373" s="46"/>
      <c r="E373" s="15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46"/>
      <c r="BA373" s="46"/>
      <c r="BB373" s="46"/>
      <c r="BC373" s="46"/>
      <c r="BD373" s="46"/>
      <c r="BE373" s="46"/>
      <c r="BF373" s="12"/>
      <c r="BG373" s="12"/>
      <c r="BH373" s="12"/>
      <c r="BI373" s="46"/>
      <c r="BJ373" s="46"/>
      <c r="BK373" s="46"/>
      <c r="BL373" s="46"/>
      <c r="BM373" s="46"/>
      <c r="BN373" s="46"/>
      <c r="BO373" s="46"/>
      <c r="BP373" s="46"/>
      <c r="BQ373" s="157"/>
      <c r="BR373" s="156"/>
      <c r="BS373" s="46"/>
      <c r="BT373" s="46"/>
      <c r="BU373" s="12"/>
      <c r="BV373" s="12"/>
      <c r="BW373" s="12"/>
      <c r="BX373" s="12"/>
      <c r="BY373" s="12"/>
      <c r="BZ373" s="12"/>
      <c r="CA373" s="12"/>
      <c r="CB373" s="12"/>
      <c r="CC373" s="12"/>
      <c r="CD373" s="12"/>
      <c r="CE373" s="12"/>
      <c r="CF373" s="12"/>
      <c r="CG373" s="12"/>
      <c r="CH373" s="12"/>
      <c r="CI373" s="12"/>
      <c r="CJ373" s="12"/>
      <c r="CK373" s="12"/>
      <c r="CL373" s="2"/>
      <c r="CM373" s="12"/>
      <c r="CN373" s="12"/>
      <c r="CO373" s="12"/>
      <c r="CP373" s="12"/>
      <c r="CQ373" s="12"/>
      <c r="CR373" s="46"/>
      <c r="CS373" s="46"/>
      <c r="CT373" s="2"/>
      <c r="CU373" s="49"/>
      <c r="CV373" s="49"/>
      <c r="CW373" s="2"/>
      <c r="CX373" s="2"/>
      <c r="CY373" s="51"/>
      <c r="CZ373" s="2"/>
      <c r="DA373" s="12"/>
      <c r="DB373" s="12"/>
      <c r="DC373" s="12"/>
      <c r="DD373" s="12"/>
      <c r="DE373" s="12"/>
      <c r="DF373" s="12"/>
      <c r="DG373" s="12"/>
      <c r="DH373" s="12"/>
      <c r="DI373" s="46"/>
      <c r="DJ373" s="48"/>
      <c r="DK373" s="48"/>
      <c r="DL373" s="48"/>
      <c r="DM373" s="13"/>
      <c r="DN373" s="13"/>
      <c r="DO373" s="12"/>
      <c r="DP373" s="12"/>
      <c r="DQ373" s="12"/>
      <c r="DR373" s="12"/>
      <c r="DS373" s="12"/>
      <c r="DT373" s="12"/>
      <c r="DU373" s="12"/>
      <c r="DV373" s="12"/>
      <c r="DW373" s="12"/>
      <c r="DX373" s="12"/>
      <c r="DY373" s="12"/>
      <c r="DZ373" s="12"/>
      <c r="EA373" s="12"/>
      <c r="EB373" s="12"/>
      <c r="EC373" s="12"/>
      <c r="ED373" s="12"/>
    </row>
    <row r="374" spans="1:134" ht="12.5" x14ac:dyDescent="0.25">
      <c r="A374" s="46"/>
      <c r="B374" s="46"/>
      <c r="C374" s="46"/>
      <c r="D374" s="46"/>
      <c r="E374" s="15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46"/>
      <c r="BA374" s="46"/>
      <c r="BB374" s="46"/>
      <c r="BC374" s="46"/>
      <c r="BD374" s="46"/>
      <c r="BE374" s="46"/>
      <c r="BF374" s="12"/>
      <c r="BG374" s="12"/>
      <c r="BH374" s="12"/>
      <c r="BI374" s="46"/>
      <c r="BJ374" s="46"/>
      <c r="BK374" s="46"/>
      <c r="BL374" s="46"/>
      <c r="BM374" s="46"/>
      <c r="BN374" s="46"/>
      <c r="BO374" s="46"/>
      <c r="BP374" s="46"/>
      <c r="BQ374" s="157"/>
      <c r="BR374" s="156"/>
      <c r="BS374" s="46"/>
      <c r="BT374" s="46"/>
      <c r="BU374" s="12"/>
      <c r="BV374" s="12"/>
      <c r="BW374" s="12"/>
      <c r="BX374" s="12"/>
      <c r="BY374" s="12"/>
      <c r="BZ374" s="12"/>
      <c r="CA374" s="12"/>
      <c r="CB374" s="12"/>
      <c r="CC374" s="12"/>
      <c r="CD374" s="12"/>
      <c r="CE374" s="12"/>
      <c r="CF374" s="12"/>
      <c r="CG374" s="12"/>
      <c r="CH374" s="12"/>
      <c r="CI374" s="12"/>
      <c r="CJ374" s="12"/>
      <c r="CK374" s="12"/>
      <c r="CL374" s="2"/>
      <c r="CM374" s="12"/>
      <c r="CN374" s="12"/>
      <c r="CO374" s="12"/>
      <c r="CP374" s="12"/>
      <c r="CQ374" s="12"/>
      <c r="CR374" s="46"/>
      <c r="CS374" s="46"/>
      <c r="CT374" s="2"/>
      <c r="CU374" s="49"/>
      <c r="CV374" s="49"/>
      <c r="CW374" s="2"/>
      <c r="CX374" s="2"/>
      <c r="CY374" s="51"/>
      <c r="CZ374" s="2"/>
      <c r="DA374" s="12"/>
      <c r="DB374" s="12"/>
      <c r="DC374" s="12"/>
      <c r="DD374" s="12"/>
      <c r="DE374" s="12"/>
      <c r="DF374" s="12"/>
      <c r="DG374" s="12"/>
      <c r="DH374" s="12"/>
      <c r="DI374" s="46"/>
      <c r="DJ374" s="48"/>
      <c r="DK374" s="48"/>
      <c r="DL374" s="48"/>
      <c r="DM374" s="13"/>
      <c r="DN374" s="13"/>
      <c r="DO374" s="12"/>
      <c r="DP374" s="12"/>
      <c r="DQ374" s="12"/>
      <c r="DR374" s="12"/>
      <c r="DS374" s="12"/>
      <c r="DT374" s="12"/>
      <c r="DU374" s="12"/>
      <c r="DV374" s="12"/>
      <c r="DW374" s="12"/>
      <c r="DX374" s="12"/>
      <c r="DY374" s="12"/>
      <c r="DZ374" s="12"/>
      <c r="EA374" s="12"/>
      <c r="EB374" s="12"/>
      <c r="EC374" s="12"/>
      <c r="ED374" s="12"/>
    </row>
    <row r="375" spans="1:134" ht="12.5" x14ac:dyDescent="0.25">
      <c r="A375" s="46"/>
      <c r="B375" s="46"/>
      <c r="C375" s="46"/>
      <c r="D375" s="46"/>
      <c r="E375" s="15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46"/>
      <c r="BA375" s="46"/>
      <c r="BB375" s="46"/>
      <c r="BC375" s="46"/>
      <c r="BD375" s="46"/>
      <c r="BE375" s="46"/>
      <c r="BF375" s="12"/>
      <c r="BG375" s="12"/>
      <c r="BH375" s="12"/>
      <c r="BI375" s="46"/>
      <c r="BJ375" s="46"/>
      <c r="BK375" s="46"/>
      <c r="BL375" s="46"/>
      <c r="BM375" s="46"/>
      <c r="BN375" s="46"/>
      <c r="BO375" s="46"/>
      <c r="BP375" s="46"/>
      <c r="BQ375" s="157"/>
      <c r="BR375" s="156"/>
      <c r="BS375" s="46"/>
      <c r="BT375" s="46"/>
      <c r="BU375" s="12"/>
      <c r="BV375" s="12"/>
      <c r="BW375" s="12"/>
      <c r="BX375" s="12"/>
      <c r="BY375" s="12"/>
      <c r="BZ375" s="12"/>
      <c r="CA375" s="12"/>
      <c r="CB375" s="12"/>
      <c r="CC375" s="12"/>
      <c r="CD375" s="12"/>
      <c r="CE375" s="12"/>
      <c r="CF375" s="12"/>
      <c r="CG375" s="12"/>
      <c r="CH375" s="12"/>
      <c r="CI375" s="12"/>
      <c r="CJ375" s="12"/>
      <c r="CK375" s="12"/>
      <c r="CL375" s="2"/>
      <c r="CM375" s="12"/>
      <c r="CN375" s="12"/>
      <c r="CO375" s="12"/>
      <c r="CP375" s="12"/>
      <c r="CQ375" s="12"/>
      <c r="CR375" s="46"/>
      <c r="CS375" s="46"/>
      <c r="CT375" s="2"/>
      <c r="CU375" s="49"/>
      <c r="CV375" s="49"/>
      <c r="CW375" s="2"/>
      <c r="CX375" s="2"/>
      <c r="CY375" s="51"/>
      <c r="CZ375" s="2"/>
      <c r="DA375" s="12"/>
      <c r="DB375" s="12"/>
      <c r="DC375" s="12"/>
      <c r="DD375" s="12"/>
      <c r="DE375" s="12"/>
      <c r="DF375" s="12"/>
      <c r="DG375" s="12"/>
      <c r="DH375" s="12"/>
      <c r="DI375" s="46"/>
      <c r="DJ375" s="48"/>
      <c r="DK375" s="48"/>
      <c r="DL375" s="48"/>
      <c r="DM375" s="13"/>
      <c r="DN375" s="13"/>
      <c r="DO375" s="12"/>
      <c r="DP375" s="12"/>
      <c r="DQ375" s="12"/>
      <c r="DR375" s="12"/>
      <c r="DS375" s="12"/>
      <c r="DT375" s="12"/>
      <c r="DU375" s="12"/>
      <c r="DV375" s="12"/>
      <c r="DW375" s="12"/>
      <c r="DX375" s="12"/>
      <c r="DY375" s="12"/>
      <c r="DZ375" s="12"/>
      <c r="EA375" s="12"/>
      <c r="EB375" s="12"/>
      <c r="EC375" s="12"/>
      <c r="ED375" s="12"/>
    </row>
    <row r="376" spans="1:134" ht="12.5" x14ac:dyDescent="0.25">
      <c r="A376" s="46"/>
      <c r="B376" s="46"/>
      <c r="C376" s="46"/>
      <c r="D376" s="46"/>
      <c r="E376" s="15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46"/>
      <c r="BA376" s="46"/>
      <c r="BB376" s="46"/>
      <c r="BC376" s="46"/>
      <c r="BD376" s="46"/>
      <c r="BE376" s="46"/>
      <c r="BF376" s="12"/>
      <c r="BG376" s="12"/>
      <c r="BH376" s="12"/>
      <c r="BI376" s="46"/>
      <c r="BJ376" s="46"/>
      <c r="BK376" s="46"/>
      <c r="BL376" s="46"/>
      <c r="BM376" s="46"/>
      <c r="BN376" s="46"/>
      <c r="BO376" s="46"/>
      <c r="BP376" s="46"/>
      <c r="BQ376" s="157"/>
      <c r="BR376" s="156"/>
      <c r="BS376" s="46"/>
      <c r="BT376" s="46"/>
      <c r="BU376" s="12"/>
      <c r="BV376" s="12"/>
      <c r="BW376" s="12"/>
      <c r="BX376" s="12"/>
      <c r="BY376" s="12"/>
      <c r="BZ376" s="12"/>
      <c r="CA376" s="12"/>
      <c r="CB376" s="12"/>
      <c r="CC376" s="12"/>
      <c r="CD376" s="12"/>
      <c r="CE376" s="12"/>
      <c r="CF376" s="12"/>
      <c r="CG376" s="12"/>
      <c r="CH376" s="12"/>
      <c r="CI376" s="12"/>
      <c r="CJ376" s="12"/>
      <c r="CK376" s="12"/>
      <c r="CL376" s="2"/>
      <c r="CM376" s="12"/>
      <c r="CN376" s="12"/>
      <c r="CO376" s="12"/>
      <c r="CP376" s="12"/>
      <c r="CQ376" s="12"/>
      <c r="CR376" s="46"/>
      <c r="CS376" s="46"/>
      <c r="CT376" s="2"/>
      <c r="CU376" s="49"/>
      <c r="CV376" s="49"/>
      <c r="CW376" s="2"/>
      <c r="CX376" s="2"/>
      <c r="CY376" s="51"/>
      <c r="CZ376" s="2"/>
      <c r="DA376" s="12"/>
      <c r="DB376" s="12"/>
      <c r="DC376" s="12"/>
      <c r="DD376" s="12"/>
      <c r="DE376" s="12"/>
      <c r="DF376" s="12"/>
      <c r="DG376" s="12"/>
      <c r="DH376" s="12"/>
      <c r="DI376" s="46"/>
      <c r="DJ376" s="48"/>
      <c r="DK376" s="48"/>
      <c r="DL376" s="48"/>
      <c r="DM376" s="13"/>
      <c r="DN376" s="13"/>
      <c r="DO376" s="12"/>
      <c r="DP376" s="12"/>
      <c r="DQ376" s="12"/>
      <c r="DR376" s="12"/>
      <c r="DS376" s="12"/>
      <c r="DT376" s="12"/>
      <c r="DU376" s="12"/>
      <c r="DV376" s="12"/>
      <c r="DW376" s="12"/>
      <c r="DX376" s="12"/>
      <c r="DY376" s="12"/>
      <c r="DZ376" s="12"/>
      <c r="EA376" s="12"/>
      <c r="EB376" s="12"/>
      <c r="EC376" s="12"/>
      <c r="ED376" s="12"/>
    </row>
    <row r="377" spans="1:134" ht="12.5" x14ac:dyDescent="0.25">
      <c r="A377" s="46"/>
      <c r="B377" s="46"/>
      <c r="C377" s="46"/>
      <c r="D377" s="46"/>
      <c r="E377" s="15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46"/>
      <c r="BA377" s="46"/>
      <c r="BB377" s="46"/>
      <c r="BC377" s="46"/>
      <c r="BD377" s="46"/>
      <c r="BE377" s="46"/>
      <c r="BF377" s="12"/>
      <c r="BG377" s="12"/>
      <c r="BH377" s="12"/>
      <c r="BI377" s="46"/>
      <c r="BJ377" s="46"/>
      <c r="BK377" s="46"/>
      <c r="BL377" s="46"/>
      <c r="BM377" s="46"/>
      <c r="BN377" s="46"/>
      <c r="BO377" s="46"/>
      <c r="BP377" s="46"/>
      <c r="BQ377" s="157"/>
      <c r="BR377" s="156"/>
      <c r="BS377" s="46"/>
      <c r="BT377" s="46"/>
      <c r="BU377" s="12"/>
      <c r="BV377" s="12"/>
      <c r="BW377" s="12"/>
      <c r="BX377" s="12"/>
      <c r="BY377" s="12"/>
      <c r="BZ377" s="12"/>
      <c r="CA377" s="12"/>
      <c r="CB377" s="12"/>
      <c r="CC377" s="12"/>
      <c r="CD377" s="12"/>
      <c r="CE377" s="12"/>
      <c r="CF377" s="12"/>
      <c r="CG377" s="12"/>
      <c r="CH377" s="12"/>
      <c r="CI377" s="12"/>
      <c r="CJ377" s="12"/>
      <c r="CK377" s="12"/>
      <c r="CL377" s="2"/>
      <c r="CM377" s="12"/>
      <c r="CN377" s="12"/>
      <c r="CO377" s="12"/>
      <c r="CP377" s="12"/>
      <c r="CQ377" s="12"/>
      <c r="CR377" s="46"/>
      <c r="CS377" s="46"/>
      <c r="CT377" s="2"/>
      <c r="CU377" s="49"/>
      <c r="CV377" s="49"/>
      <c r="CW377" s="2"/>
      <c r="CX377" s="2"/>
      <c r="CY377" s="51"/>
      <c r="CZ377" s="2"/>
      <c r="DA377" s="12"/>
      <c r="DB377" s="12"/>
      <c r="DC377" s="12"/>
      <c r="DD377" s="12"/>
      <c r="DE377" s="12"/>
      <c r="DF377" s="12"/>
      <c r="DG377" s="12"/>
      <c r="DH377" s="12"/>
      <c r="DI377" s="46"/>
      <c r="DJ377" s="48"/>
      <c r="DK377" s="48"/>
      <c r="DL377" s="48"/>
      <c r="DM377" s="13"/>
      <c r="DN377" s="13"/>
      <c r="DO377" s="12"/>
      <c r="DP377" s="12"/>
      <c r="DQ377" s="12"/>
      <c r="DR377" s="12"/>
      <c r="DS377" s="12"/>
      <c r="DT377" s="12"/>
      <c r="DU377" s="12"/>
      <c r="DV377" s="12"/>
      <c r="DW377" s="12"/>
      <c r="DX377" s="12"/>
      <c r="DY377" s="12"/>
      <c r="DZ377" s="12"/>
      <c r="EA377" s="12"/>
      <c r="EB377" s="12"/>
      <c r="EC377" s="12"/>
      <c r="ED377" s="12"/>
    </row>
    <row r="378" spans="1:134" ht="12.5" x14ac:dyDescent="0.25">
      <c r="A378" s="46"/>
      <c r="B378" s="46"/>
      <c r="C378" s="46"/>
      <c r="D378" s="46"/>
      <c r="E378" s="15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46"/>
      <c r="BA378" s="46"/>
      <c r="BB378" s="46"/>
      <c r="BC378" s="46"/>
      <c r="BD378" s="46"/>
      <c r="BE378" s="46"/>
      <c r="BF378" s="12"/>
      <c r="BG378" s="12"/>
      <c r="BH378" s="12"/>
      <c r="BI378" s="46"/>
      <c r="BJ378" s="46"/>
      <c r="BK378" s="46"/>
      <c r="BL378" s="46"/>
      <c r="BM378" s="46"/>
      <c r="BN378" s="46"/>
      <c r="BO378" s="46"/>
      <c r="BP378" s="46"/>
      <c r="BQ378" s="157"/>
      <c r="BR378" s="156"/>
      <c r="BS378" s="46"/>
      <c r="BT378" s="46"/>
      <c r="BU378" s="12"/>
      <c r="BV378" s="12"/>
      <c r="BW378" s="12"/>
      <c r="BX378" s="12"/>
      <c r="BY378" s="12"/>
      <c r="BZ378" s="12"/>
      <c r="CA378" s="12"/>
      <c r="CB378" s="12"/>
      <c r="CC378" s="12"/>
      <c r="CD378" s="12"/>
      <c r="CE378" s="12"/>
      <c r="CF378" s="12"/>
      <c r="CG378" s="12"/>
      <c r="CH378" s="12"/>
      <c r="CI378" s="12"/>
      <c r="CJ378" s="12"/>
      <c r="CK378" s="12"/>
      <c r="CL378" s="2"/>
      <c r="CM378" s="12"/>
      <c r="CN378" s="12"/>
      <c r="CO378" s="12"/>
      <c r="CP378" s="12"/>
      <c r="CQ378" s="12"/>
      <c r="CR378" s="46"/>
      <c r="CS378" s="46"/>
      <c r="CT378" s="2"/>
      <c r="CU378" s="49"/>
      <c r="CV378" s="49"/>
      <c r="CW378" s="2"/>
      <c r="CX378" s="2"/>
      <c r="CY378" s="51"/>
      <c r="CZ378" s="2"/>
      <c r="DA378" s="12"/>
      <c r="DB378" s="12"/>
      <c r="DC378" s="12"/>
      <c r="DD378" s="12"/>
      <c r="DE378" s="12"/>
      <c r="DF378" s="12"/>
      <c r="DG378" s="12"/>
      <c r="DH378" s="12"/>
      <c r="DI378" s="46"/>
      <c r="DJ378" s="48"/>
      <c r="DK378" s="48"/>
      <c r="DL378" s="48"/>
      <c r="DM378" s="13"/>
      <c r="DN378" s="13"/>
      <c r="DO378" s="12"/>
      <c r="DP378" s="12"/>
      <c r="DQ378" s="12"/>
      <c r="DR378" s="12"/>
      <c r="DS378" s="12"/>
      <c r="DT378" s="12"/>
      <c r="DU378" s="12"/>
      <c r="DV378" s="12"/>
      <c r="DW378" s="12"/>
      <c r="DX378" s="12"/>
      <c r="DY378" s="12"/>
      <c r="DZ378" s="12"/>
      <c r="EA378" s="12"/>
      <c r="EB378" s="12"/>
      <c r="EC378" s="12"/>
      <c r="ED378" s="12"/>
    </row>
    <row r="379" spans="1:134" ht="12.5" x14ac:dyDescent="0.25">
      <c r="A379" s="46"/>
      <c r="B379" s="46"/>
      <c r="C379" s="46"/>
      <c r="D379" s="46"/>
      <c r="E379" s="15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46"/>
      <c r="BA379" s="46"/>
      <c r="BB379" s="46"/>
      <c r="BC379" s="46"/>
      <c r="BD379" s="46"/>
      <c r="BE379" s="46"/>
      <c r="BF379" s="12"/>
      <c r="BG379" s="12"/>
      <c r="BH379" s="12"/>
      <c r="BI379" s="46"/>
      <c r="BJ379" s="46"/>
      <c r="BK379" s="46"/>
      <c r="BL379" s="46"/>
      <c r="BM379" s="46"/>
      <c r="BN379" s="46"/>
      <c r="BO379" s="46"/>
      <c r="BP379" s="46"/>
      <c r="BQ379" s="157"/>
      <c r="BR379" s="156"/>
      <c r="BS379" s="46"/>
      <c r="BT379" s="46"/>
      <c r="BU379" s="12"/>
      <c r="BV379" s="12"/>
      <c r="BW379" s="12"/>
      <c r="BX379" s="12"/>
      <c r="BY379" s="12"/>
      <c r="BZ379" s="12"/>
      <c r="CA379" s="12"/>
      <c r="CB379" s="12"/>
      <c r="CC379" s="12"/>
      <c r="CD379" s="12"/>
      <c r="CE379" s="12"/>
      <c r="CF379" s="12"/>
      <c r="CG379" s="12"/>
      <c r="CH379" s="12"/>
      <c r="CI379" s="12"/>
      <c r="CJ379" s="12"/>
      <c r="CK379" s="12"/>
      <c r="CL379" s="2"/>
      <c r="CM379" s="12"/>
      <c r="CN379" s="12"/>
      <c r="CO379" s="12"/>
      <c r="CP379" s="12"/>
      <c r="CQ379" s="12"/>
      <c r="CR379" s="46"/>
      <c r="CS379" s="46"/>
      <c r="CT379" s="2"/>
      <c r="CU379" s="49"/>
      <c r="CV379" s="49"/>
      <c r="CW379" s="2"/>
      <c r="CX379" s="2"/>
      <c r="CY379" s="51"/>
      <c r="CZ379" s="2"/>
      <c r="DA379" s="12"/>
      <c r="DB379" s="12"/>
      <c r="DC379" s="12"/>
      <c r="DD379" s="12"/>
      <c r="DE379" s="12"/>
      <c r="DF379" s="12"/>
      <c r="DG379" s="12"/>
      <c r="DH379" s="12"/>
      <c r="DI379" s="46"/>
      <c r="DJ379" s="48"/>
      <c r="DK379" s="48"/>
      <c r="DL379" s="48"/>
      <c r="DM379" s="13"/>
      <c r="DN379" s="13"/>
      <c r="DO379" s="12"/>
      <c r="DP379" s="12"/>
      <c r="DQ379" s="12"/>
      <c r="DR379" s="12"/>
      <c r="DS379" s="12"/>
      <c r="DT379" s="12"/>
      <c r="DU379" s="12"/>
      <c r="DV379" s="12"/>
      <c r="DW379" s="12"/>
      <c r="DX379" s="12"/>
      <c r="DY379" s="12"/>
      <c r="DZ379" s="12"/>
      <c r="EA379" s="12"/>
      <c r="EB379" s="12"/>
      <c r="EC379" s="12"/>
      <c r="ED379" s="12"/>
    </row>
    <row r="380" spans="1:134" ht="12.5" x14ac:dyDescent="0.25">
      <c r="A380" s="46"/>
      <c r="B380" s="46"/>
      <c r="C380" s="46"/>
      <c r="D380" s="46"/>
      <c r="E380" s="15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46"/>
      <c r="BA380" s="46"/>
      <c r="BB380" s="46"/>
      <c r="BC380" s="46"/>
      <c r="BD380" s="46"/>
      <c r="BE380" s="46"/>
      <c r="BF380" s="12"/>
      <c r="BG380" s="12"/>
      <c r="BH380" s="12"/>
      <c r="BI380" s="46"/>
      <c r="BJ380" s="46"/>
      <c r="BK380" s="46"/>
      <c r="BL380" s="46"/>
      <c r="BM380" s="46"/>
      <c r="BN380" s="46"/>
      <c r="BO380" s="46"/>
      <c r="BP380" s="46"/>
      <c r="BQ380" s="157"/>
      <c r="BR380" s="156"/>
      <c r="BS380" s="46"/>
      <c r="BT380" s="46"/>
      <c r="BU380" s="12"/>
      <c r="BV380" s="12"/>
      <c r="BW380" s="12"/>
      <c r="BX380" s="12"/>
      <c r="BY380" s="12"/>
      <c r="BZ380" s="12"/>
      <c r="CA380" s="12"/>
      <c r="CB380" s="12"/>
      <c r="CC380" s="12"/>
      <c r="CD380" s="12"/>
      <c r="CE380" s="12"/>
      <c r="CF380" s="12"/>
      <c r="CG380" s="12"/>
      <c r="CH380" s="12"/>
      <c r="CI380" s="12"/>
      <c r="CJ380" s="12"/>
      <c r="CK380" s="12"/>
      <c r="CL380" s="2"/>
      <c r="CM380" s="12"/>
      <c r="CN380" s="12"/>
      <c r="CO380" s="12"/>
      <c r="CP380" s="12"/>
      <c r="CQ380" s="12"/>
      <c r="CR380" s="46"/>
      <c r="CS380" s="46"/>
      <c r="CT380" s="2"/>
      <c r="CU380" s="49"/>
      <c r="CV380" s="49"/>
      <c r="CW380" s="2"/>
      <c r="CX380" s="2"/>
      <c r="CY380" s="51"/>
      <c r="CZ380" s="2"/>
      <c r="DA380" s="12"/>
      <c r="DB380" s="12"/>
      <c r="DC380" s="12"/>
      <c r="DD380" s="12"/>
      <c r="DE380" s="12"/>
      <c r="DF380" s="12"/>
      <c r="DG380" s="12"/>
      <c r="DH380" s="12"/>
      <c r="DI380" s="46"/>
      <c r="DJ380" s="48"/>
      <c r="DK380" s="48"/>
      <c r="DL380" s="48"/>
      <c r="DM380" s="13"/>
      <c r="DN380" s="13"/>
      <c r="DO380" s="12"/>
      <c r="DP380" s="12"/>
      <c r="DQ380" s="12"/>
      <c r="DR380" s="12"/>
      <c r="DS380" s="12"/>
      <c r="DT380" s="12"/>
      <c r="DU380" s="12"/>
      <c r="DV380" s="12"/>
      <c r="DW380" s="12"/>
      <c r="DX380" s="12"/>
      <c r="DY380" s="12"/>
      <c r="DZ380" s="12"/>
      <c r="EA380" s="12"/>
      <c r="EB380" s="12"/>
      <c r="EC380" s="12"/>
      <c r="ED380" s="12"/>
    </row>
    <row r="381" spans="1:134" ht="12.5" x14ac:dyDescent="0.25">
      <c r="A381" s="46"/>
      <c r="B381" s="46"/>
      <c r="C381" s="46"/>
      <c r="D381" s="46"/>
      <c r="E381" s="15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46"/>
      <c r="BA381" s="46"/>
      <c r="BB381" s="46"/>
      <c r="BC381" s="46"/>
      <c r="BD381" s="46"/>
      <c r="BE381" s="46"/>
      <c r="BF381" s="12"/>
      <c r="BG381" s="12"/>
      <c r="BH381" s="12"/>
      <c r="BI381" s="46"/>
      <c r="BJ381" s="46"/>
      <c r="BK381" s="46"/>
      <c r="BL381" s="46"/>
      <c r="BM381" s="46"/>
      <c r="BN381" s="46"/>
      <c r="BO381" s="46"/>
      <c r="BP381" s="46"/>
      <c r="BQ381" s="157"/>
      <c r="BR381" s="156"/>
      <c r="BS381" s="46"/>
      <c r="BT381" s="46"/>
      <c r="BU381" s="12"/>
      <c r="BV381" s="12"/>
      <c r="BW381" s="12"/>
      <c r="BX381" s="12"/>
      <c r="BY381" s="12"/>
      <c r="BZ381" s="12"/>
      <c r="CA381" s="12"/>
      <c r="CB381" s="12"/>
      <c r="CC381" s="12"/>
      <c r="CD381" s="12"/>
      <c r="CE381" s="12"/>
      <c r="CF381" s="12"/>
      <c r="CG381" s="12"/>
      <c r="CH381" s="12"/>
      <c r="CI381" s="12"/>
      <c r="CJ381" s="12"/>
      <c r="CK381" s="12"/>
      <c r="CL381" s="2"/>
      <c r="CM381" s="12"/>
      <c r="CN381" s="12"/>
      <c r="CO381" s="12"/>
      <c r="CP381" s="12"/>
      <c r="CQ381" s="12"/>
      <c r="CR381" s="46"/>
      <c r="CS381" s="46"/>
      <c r="CT381" s="2"/>
      <c r="CU381" s="49"/>
      <c r="CV381" s="49"/>
      <c r="CW381" s="2"/>
      <c r="CX381" s="2"/>
      <c r="CY381" s="51"/>
      <c r="CZ381" s="2"/>
      <c r="DA381" s="12"/>
      <c r="DB381" s="12"/>
      <c r="DC381" s="12"/>
      <c r="DD381" s="12"/>
      <c r="DE381" s="12"/>
      <c r="DF381" s="12"/>
      <c r="DG381" s="12"/>
      <c r="DH381" s="12"/>
      <c r="DI381" s="46"/>
      <c r="DJ381" s="48"/>
      <c r="DK381" s="48"/>
      <c r="DL381" s="48"/>
      <c r="DM381" s="13"/>
      <c r="DN381" s="13"/>
      <c r="DO381" s="12"/>
      <c r="DP381" s="12"/>
      <c r="DQ381" s="12"/>
      <c r="DR381" s="12"/>
      <c r="DS381" s="12"/>
      <c r="DT381" s="12"/>
      <c r="DU381" s="12"/>
      <c r="DV381" s="12"/>
      <c r="DW381" s="12"/>
      <c r="DX381" s="12"/>
      <c r="DY381" s="12"/>
      <c r="DZ381" s="12"/>
      <c r="EA381" s="12"/>
      <c r="EB381" s="12"/>
      <c r="EC381" s="12"/>
      <c r="ED381" s="12"/>
    </row>
    <row r="382" spans="1:134" ht="12.5" x14ac:dyDescent="0.25">
      <c r="A382" s="46"/>
      <c r="B382" s="46"/>
      <c r="C382" s="46"/>
      <c r="D382" s="46"/>
      <c r="E382" s="15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46"/>
      <c r="BA382" s="46"/>
      <c r="BB382" s="46"/>
      <c r="BC382" s="46"/>
      <c r="BD382" s="46"/>
      <c r="BE382" s="46"/>
      <c r="BF382" s="12"/>
      <c r="BG382" s="12"/>
      <c r="BH382" s="12"/>
      <c r="BI382" s="46"/>
      <c r="BJ382" s="46"/>
      <c r="BK382" s="46"/>
      <c r="BL382" s="46"/>
      <c r="BM382" s="46"/>
      <c r="BN382" s="46"/>
      <c r="BO382" s="46"/>
      <c r="BP382" s="46"/>
      <c r="BQ382" s="157"/>
      <c r="BR382" s="156"/>
      <c r="BS382" s="46"/>
      <c r="BT382" s="46"/>
      <c r="BU382" s="12"/>
      <c r="BV382" s="12"/>
      <c r="BW382" s="12"/>
      <c r="BX382" s="12"/>
      <c r="BY382" s="12"/>
      <c r="BZ382" s="12"/>
      <c r="CA382" s="12"/>
      <c r="CB382" s="12"/>
      <c r="CC382" s="12"/>
      <c r="CD382" s="12"/>
      <c r="CE382" s="12"/>
      <c r="CF382" s="12"/>
      <c r="CG382" s="12"/>
      <c r="CH382" s="12"/>
      <c r="CI382" s="12"/>
      <c r="CJ382" s="12"/>
      <c r="CK382" s="12"/>
      <c r="CL382" s="2"/>
      <c r="CM382" s="12"/>
      <c r="CN382" s="12"/>
      <c r="CO382" s="12"/>
      <c r="CP382" s="12"/>
      <c r="CQ382" s="12"/>
      <c r="CR382" s="46"/>
      <c r="CS382" s="46"/>
      <c r="CT382" s="2"/>
      <c r="CU382" s="49"/>
      <c r="CV382" s="49"/>
      <c r="CW382" s="2"/>
      <c r="CX382" s="2"/>
      <c r="CY382" s="51"/>
      <c r="CZ382" s="2"/>
      <c r="DA382" s="12"/>
      <c r="DB382" s="12"/>
      <c r="DC382" s="12"/>
      <c r="DD382" s="12"/>
      <c r="DE382" s="12"/>
      <c r="DF382" s="12"/>
      <c r="DG382" s="12"/>
      <c r="DH382" s="12"/>
      <c r="DI382" s="46"/>
      <c r="DJ382" s="48"/>
      <c r="DK382" s="48"/>
      <c r="DL382" s="48"/>
      <c r="DM382" s="13"/>
      <c r="DN382" s="13"/>
      <c r="DO382" s="12"/>
      <c r="DP382" s="12"/>
      <c r="DQ382" s="12"/>
      <c r="DR382" s="12"/>
      <c r="DS382" s="12"/>
      <c r="DT382" s="12"/>
      <c r="DU382" s="12"/>
      <c r="DV382" s="12"/>
      <c r="DW382" s="12"/>
      <c r="DX382" s="12"/>
      <c r="DY382" s="12"/>
      <c r="DZ382" s="12"/>
      <c r="EA382" s="12"/>
      <c r="EB382" s="12"/>
      <c r="EC382" s="12"/>
      <c r="ED382" s="12"/>
    </row>
    <row r="383" spans="1:134" ht="12.5" x14ac:dyDescent="0.25">
      <c r="A383" s="46"/>
      <c r="B383" s="46"/>
      <c r="C383" s="46"/>
      <c r="D383" s="46"/>
      <c r="E383" s="15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46"/>
      <c r="BA383" s="46"/>
      <c r="BB383" s="46"/>
      <c r="BC383" s="46"/>
      <c r="BD383" s="46"/>
      <c r="BE383" s="46"/>
      <c r="BF383" s="12"/>
      <c r="BG383" s="12"/>
      <c r="BH383" s="12"/>
      <c r="BI383" s="46"/>
      <c r="BJ383" s="46"/>
      <c r="BK383" s="46"/>
      <c r="BL383" s="46"/>
      <c r="BM383" s="46"/>
      <c r="BN383" s="46"/>
      <c r="BO383" s="46"/>
      <c r="BP383" s="46"/>
      <c r="BQ383" s="157"/>
      <c r="BR383" s="156"/>
      <c r="BS383" s="46"/>
      <c r="BT383" s="46"/>
      <c r="BU383" s="12"/>
      <c r="BV383" s="12"/>
      <c r="BW383" s="12"/>
      <c r="BX383" s="12"/>
      <c r="BY383" s="12"/>
      <c r="BZ383" s="12"/>
      <c r="CA383" s="12"/>
      <c r="CB383" s="12"/>
      <c r="CC383" s="12"/>
      <c r="CD383" s="12"/>
      <c r="CE383" s="12"/>
      <c r="CF383" s="12"/>
      <c r="CG383" s="12"/>
      <c r="CH383" s="12"/>
      <c r="CI383" s="12"/>
      <c r="CJ383" s="12"/>
      <c r="CK383" s="12"/>
      <c r="CL383" s="2"/>
      <c r="CM383" s="12"/>
      <c r="CN383" s="12"/>
      <c r="CO383" s="12"/>
      <c r="CP383" s="12"/>
      <c r="CQ383" s="12"/>
      <c r="CR383" s="46"/>
      <c r="CS383" s="46"/>
      <c r="CT383" s="2"/>
      <c r="CU383" s="49"/>
      <c r="CV383" s="49"/>
      <c r="CW383" s="2"/>
      <c r="CX383" s="2"/>
      <c r="CY383" s="51"/>
      <c r="CZ383" s="2"/>
      <c r="DA383" s="12"/>
      <c r="DB383" s="12"/>
      <c r="DC383" s="12"/>
      <c r="DD383" s="12"/>
      <c r="DE383" s="12"/>
      <c r="DF383" s="12"/>
      <c r="DG383" s="12"/>
      <c r="DH383" s="12"/>
      <c r="DI383" s="46"/>
      <c r="DJ383" s="48"/>
      <c r="DK383" s="48"/>
      <c r="DL383" s="48"/>
      <c r="DM383" s="13"/>
      <c r="DN383" s="13"/>
      <c r="DO383" s="12"/>
      <c r="DP383" s="12"/>
      <c r="DQ383" s="12"/>
      <c r="DR383" s="12"/>
      <c r="DS383" s="12"/>
      <c r="DT383" s="12"/>
      <c r="DU383" s="12"/>
      <c r="DV383" s="12"/>
      <c r="DW383" s="12"/>
      <c r="DX383" s="12"/>
      <c r="DY383" s="12"/>
      <c r="DZ383" s="12"/>
      <c r="EA383" s="12"/>
      <c r="EB383" s="12"/>
      <c r="EC383" s="12"/>
      <c r="ED383" s="12"/>
    </row>
    <row r="384" spans="1:134" ht="12.5" x14ac:dyDescent="0.25">
      <c r="A384" s="46"/>
      <c r="B384" s="46"/>
      <c r="C384" s="46"/>
      <c r="D384" s="46"/>
      <c r="E384" s="15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46"/>
      <c r="BA384" s="46"/>
      <c r="BB384" s="46"/>
      <c r="BC384" s="46"/>
      <c r="BD384" s="46"/>
      <c r="BE384" s="46"/>
      <c r="BF384" s="12"/>
      <c r="BG384" s="12"/>
      <c r="BH384" s="12"/>
      <c r="BI384" s="46"/>
      <c r="BJ384" s="46"/>
      <c r="BK384" s="46"/>
      <c r="BL384" s="46"/>
      <c r="BM384" s="46"/>
      <c r="BN384" s="46"/>
      <c r="BO384" s="46"/>
      <c r="BP384" s="46"/>
      <c r="BQ384" s="157"/>
      <c r="BR384" s="156"/>
      <c r="BS384" s="46"/>
      <c r="BT384" s="46"/>
      <c r="BU384" s="12"/>
      <c r="BV384" s="12"/>
      <c r="BW384" s="12"/>
      <c r="BX384" s="12"/>
      <c r="BY384" s="12"/>
      <c r="BZ384" s="12"/>
      <c r="CA384" s="12"/>
      <c r="CB384" s="12"/>
      <c r="CC384" s="12"/>
      <c r="CD384" s="12"/>
      <c r="CE384" s="12"/>
      <c r="CF384" s="12"/>
      <c r="CG384" s="12"/>
      <c r="CH384" s="12"/>
      <c r="CI384" s="12"/>
      <c r="CJ384" s="12"/>
      <c r="CK384" s="12"/>
      <c r="CL384" s="2"/>
      <c r="CM384" s="12"/>
      <c r="CN384" s="12"/>
      <c r="CO384" s="12"/>
      <c r="CP384" s="12"/>
      <c r="CQ384" s="12"/>
      <c r="CR384" s="46"/>
      <c r="CS384" s="46"/>
      <c r="CT384" s="2"/>
      <c r="CU384" s="49"/>
      <c r="CV384" s="49"/>
      <c r="CW384" s="2"/>
      <c r="CX384" s="2"/>
      <c r="CY384" s="51"/>
      <c r="CZ384" s="2"/>
      <c r="DA384" s="12"/>
      <c r="DB384" s="12"/>
      <c r="DC384" s="12"/>
      <c r="DD384" s="12"/>
      <c r="DE384" s="12"/>
      <c r="DF384" s="12"/>
      <c r="DG384" s="12"/>
      <c r="DH384" s="12"/>
      <c r="DI384" s="46"/>
      <c r="DJ384" s="48"/>
      <c r="DK384" s="48"/>
      <c r="DL384" s="48"/>
      <c r="DM384" s="13"/>
      <c r="DN384" s="13"/>
      <c r="DO384" s="12"/>
      <c r="DP384" s="12"/>
      <c r="DQ384" s="12"/>
      <c r="DR384" s="12"/>
      <c r="DS384" s="12"/>
      <c r="DT384" s="12"/>
      <c r="DU384" s="12"/>
      <c r="DV384" s="12"/>
      <c r="DW384" s="12"/>
      <c r="DX384" s="12"/>
      <c r="DY384" s="12"/>
      <c r="DZ384" s="12"/>
      <c r="EA384" s="12"/>
      <c r="EB384" s="12"/>
      <c r="EC384" s="12"/>
      <c r="ED384" s="12"/>
    </row>
    <row r="385" spans="1:134" ht="12.5" x14ac:dyDescent="0.25">
      <c r="A385" s="46"/>
      <c r="B385" s="46"/>
      <c r="C385" s="46"/>
      <c r="D385" s="46"/>
      <c r="E385" s="15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46"/>
      <c r="BA385" s="46"/>
      <c r="BB385" s="46"/>
      <c r="BC385" s="46"/>
      <c r="BD385" s="46"/>
      <c r="BE385" s="46"/>
      <c r="BF385" s="12"/>
      <c r="BG385" s="12"/>
      <c r="BH385" s="12"/>
      <c r="BI385" s="46"/>
      <c r="BJ385" s="46"/>
      <c r="BK385" s="46"/>
      <c r="BL385" s="46"/>
      <c r="BM385" s="46"/>
      <c r="BN385" s="46"/>
      <c r="BO385" s="46"/>
      <c r="BP385" s="46"/>
      <c r="BQ385" s="157"/>
      <c r="BR385" s="156"/>
      <c r="BS385" s="46"/>
      <c r="BT385" s="46"/>
      <c r="BU385" s="12"/>
      <c r="BV385" s="12"/>
      <c r="BW385" s="12"/>
      <c r="BX385" s="12"/>
      <c r="BY385" s="12"/>
      <c r="BZ385" s="12"/>
      <c r="CA385" s="12"/>
      <c r="CB385" s="12"/>
      <c r="CC385" s="12"/>
      <c r="CD385" s="12"/>
      <c r="CE385" s="12"/>
      <c r="CF385" s="12"/>
      <c r="CG385" s="12"/>
      <c r="CH385" s="12"/>
      <c r="CI385" s="12"/>
      <c r="CJ385" s="12"/>
      <c r="CK385" s="12"/>
      <c r="CL385" s="2"/>
      <c r="CM385" s="12"/>
      <c r="CN385" s="12"/>
      <c r="CO385" s="12"/>
      <c r="CP385" s="12"/>
      <c r="CQ385" s="12"/>
      <c r="CR385" s="46"/>
      <c r="CS385" s="46"/>
      <c r="CT385" s="2"/>
      <c r="CU385" s="49"/>
      <c r="CV385" s="49"/>
      <c r="CW385" s="2"/>
      <c r="CX385" s="2"/>
      <c r="CY385" s="51"/>
      <c r="CZ385" s="2"/>
      <c r="DA385" s="12"/>
      <c r="DB385" s="12"/>
      <c r="DC385" s="12"/>
      <c r="DD385" s="12"/>
      <c r="DE385" s="12"/>
      <c r="DF385" s="12"/>
      <c r="DG385" s="12"/>
      <c r="DH385" s="12"/>
      <c r="DI385" s="46"/>
      <c r="DJ385" s="48"/>
      <c r="DK385" s="48"/>
      <c r="DL385" s="48"/>
      <c r="DM385" s="13"/>
      <c r="DN385" s="13"/>
      <c r="DO385" s="12"/>
      <c r="DP385" s="12"/>
      <c r="DQ385" s="12"/>
      <c r="DR385" s="12"/>
      <c r="DS385" s="12"/>
      <c r="DT385" s="12"/>
      <c r="DU385" s="12"/>
      <c r="DV385" s="12"/>
      <c r="DW385" s="12"/>
      <c r="DX385" s="12"/>
      <c r="DY385" s="12"/>
      <c r="DZ385" s="12"/>
      <c r="EA385" s="12"/>
      <c r="EB385" s="12"/>
      <c r="EC385" s="12"/>
      <c r="ED385" s="12"/>
    </row>
    <row r="386" spans="1:134" ht="12.5" x14ac:dyDescent="0.25">
      <c r="A386" s="46"/>
      <c r="B386" s="46"/>
      <c r="C386" s="46"/>
      <c r="D386" s="46"/>
      <c r="E386" s="15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46"/>
      <c r="BA386" s="46"/>
      <c r="BB386" s="46"/>
      <c r="BC386" s="46"/>
      <c r="BD386" s="46"/>
      <c r="BE386" s="46"/>
      <c r="BF386" s="12"/>
      <c r="BG386" s="12"/>
      <c r="BH386" s="12"/>
      <c r="BI386" s="46"/>
      <c r="BJ386" s="46"/>
      <c r="BK386" s="46"/>
      <c r="BL386" s="46"/>
      <c r="BM386" s="46"/>
      <c r="BN386" s="46"/>
      <c r="BO386" s="46"/>
      <c r="BP386" s="46"/>
      <c r="BQ386" s="157"/>
      <c r="BR386" s="156"/>
      <c r="BS386" s="46"/>
      <c r="BT386" s="46"/>
      <c r="BU386" s="12"/>
      <c r="BV386" s="12"/>
      <c r="BW386" s="12"/>
      <c r="BX386" s="12"/>
      <c r="BY386" s="12"/>
      <c r="BZ386" s="12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2"/>
      <c r="CM386" s="12"/>
      <c r="CN386" s="12"/>
      <c r="CO386" s="12"/>
      <c r="CP386" s="12"/>
      <c r="CQ386" s="12"/>
      <c r="CR386" s="46"/>
      <c r="CS386" s="46"/>
      <c r="CT386" s="2"/>
      <c r="CU386" s="49"/>
      <c r="CV386" s="49"/>
      <c r="CW386" s="2"/>
      <c r="CX386" s="2"/>
      <c r="CY386" s="51"/>
      <c r="CZ386" s="2"/>
      <c r="DA386" s="12"/>
      <c r="DB386" s="12"/>
      <c r="DC386" s="12"/>
      <c r="DD386" s="12"/>
      <c r="DE386" s="12"/>
      <c r="DF386" s="12"/>
      <c r="DG386" s="12"/>
      <c r="DH386" s="12"/>
      <c r="DI386" s="46"/>
      <c r="DJ386" s="48"/>
      <c r="DK386" s="48"/>
      <c r="DL386" s="48"/>
      <c r="DM386" s="13"/>
      <c r="DN386" s="13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</row>
    <row r="387" spans="1:134" ht="12.5" x14ac:dyDescent="0.25">
      <c r="A387" s="46"/>
      <c r="B387" s="46"/>
      <c r="C387" s="46"/>
      <c r="D387" s="46"/>
      <c r="E387" s="15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46"/>
      <c r="BA387" s="46"/>
      <c r="BB387" s="46"/>
      <c r="BC387" s="46"/>
      <c r="BD387" s="46"/>
      <c r="BE387" s="46"/>
      <c r="BF387" s="12"/>
      <c r="BG387" s="12"/>
      <c r="BH387" s="12"/>
      <c r="BI387" s="46"/>
      <c r="BJ387" s="46"/>
      <c r="BK387" s="46"/>
      <c r="BL387" s="46"/>
      <c r="BM387" s="46"/>
      <c r="BN387" s="46"/>
      <c r="BO387" s="46"/>
      <c r="BP387" s="46"/>
      <c r="BQ387" s="157"/>
      <c r="BR387" s="156"/>
      <c r="BS387" s="46"/>
      <c r="BT387" s="46"/>
      <c r="BU387" s="12"/>
      <c r="BV387" s="12"/>
      <c r="BW387" s="12"/>
      <c r="BX387" s="12"/>
      <c r="BY387" s="12"/>
      <c r="BZ387" s="12"/>
      <c r="CA387" s="12"/>
      <c r="CB387" s="12"/>
      <c r="CC387" s="12"/>
      <c r="CD387" s="12"/>
      <c r="CE387" s="12"/>
      <c r="CF387" s="12"/>
      <c r="CG387" s="12"/>
      <c r="CH387" s="12"/>
      <c r="CI387" s="12"/>
      <c r="CJ387" s="12"/>
      <c r="CK387" s="12"/>
      <c r="CL387" s="2"/>
      <c r="CM387" s="12"/>
      <c r="CN387" s="12"/>
      <c r="CO387" s="12"/>
      <c r="CP387" s="12"/>
      <c r="CQ387" s="12"/>
      <c r="CR387" s="46"/>
      <c r="CS387" s="46"/>
      <c r="CT387" s="2"/>
      <c r="CU387" s="49"/>
      <c r="CV387" s="49"/>
      <c r="CW387" s="2"/>
      <c r="CX387" s="2"/>
      <c r="CY387" s="51"/>
      <c r="CZ387" s="2"/>
      <c r="DA387" s="12"/>
      <c r="DB387" s="12"/>
      <c r="DC387" s="12"/>
      <c r="DD387" s="12"/>
      <c r="DE387" s="12"/>
      <c r="DF387" s="12"/>
      <c r="DG387" s="12"/>
      <c r="DH387" s="12"/>
      <c r="DI387" s="46"/>
      <c r="DJ387" s="48"/>
      <c r="DK387" s="48"/>
      <c r="DL387" s="48"/>
      <c r="DM387" s="13"/>
      <c r="DN387" s="13"/>
      <c r="DO387" s="12"/>
      <c r="DP387" s="12"/>
      <c r="DQ387" s="12"/>
      <c r="DR387" s="12"/>
      <c r="DS387" s="12"/>
      <c r="DT387" s="12"/>
      <c r="DU387" s="12"/>
      <c r="DV387" s="12"/>
      <c r="DW387" s="12"/>
      <c r="DX387" s="12"/>
      <c r="DY387" s="12"/>
      <c r="DZ387" s="12"/>
      <c r="EA387" s="12"/>
      <c r="EB387" s="12"/>
      <c r="EC387" s="12"/>
      <c r="ED387" s="12"/>
    </row>
    <row r="388" spans="1:134" ht="12.5" x14ac:dyDescent="0.25">
      <c r="A388" s="46"/>
      <c r="B388" s="46"/>
      <c r="C388" s="46"/>
      <c r="D388" s="46"/>
      <c r="E388" s="15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46"/>
      <c r="BA388" s="46"/>
      <c r="BB388" s="46"/>
      <c r="BC388" s="46"/>
      <c r="BD388" s="46"/>
      <c r="BE388" s="46"/>
      <c r="BF388" s="12"/>
      <c r="BG388" s="12"/>
      <c r="BH388" s="12"/>
      <c r="BI388" s="46"/>
      <c r="BJ388" s="46"/>
      <c r="BK388" s="46"/>
      <c r="BL388" s="46"/>
      <c r="BM388" s="46"/>
      <c r="BN388" s="46"/>
      <c r="BO388" s="46"/>
      <c r="BP388" s="46"/>
      <c r="BQ388" s="157"/>
      <c r="BR388" s="156"/>
      <c r="BS388" s="46"/>
      <c r="BT388" s="46"/>
      <c r="BU388" s="12"/>
      <c r="BV388" s="12"/>
      <c r="BW388" s="12"/>
      <c r="BX388" s="12"/>
      <c r="BY388" s="12"/>
      <c r="BZ388" s="12"/>
      <c r="CA388" s="12"/>
      <c r="CB388" s="12"/>
      <c r="CC388" s="12"/>
      <c r="CD388" s="12"/>
      <c r="CE388" s="12"/>
      <c r="CF388" s="12"/>
      <c r="CG388" s="12"/>
      <c r="CH388" s="12"/>
      <c r="CI388" s="12"/>
      <c r="CJ388" s="12"/>
      <c r="CK388" s="12"/>
      <c r="CL388" s="2"/>
      <c r="CM388" s="12"/>
      <c r="CN388" s="12"/>
      <c r="CO388" s="12"/>
      <c r="CP388" s="12"/>
      <c r="CQ388" s="12"/>
      <c r="CR388" s="46"/>
      <c r="CS388" s="46"/>
      <c r="CT388" s="2"/>
      <c r="CU388" s="49"/>
      <c r="CV388" s="49"/>
      <c r="CW388" s="2"/>
      <c r="CX388" s="2"/>
      <c r="CY388" s="51"/>
      <c r="CZ388" s="2"/>
      <c r="DA388" s="12"/>
      <c r="DB388" s="12"/>
      <c r="DC388" s="12"/>
      <c r="DD388" s="12"/>
      <c r="DE388" s="12"/>
      <c r="DF388" s="12"/>
      <c r="DG388" s="12"/>
      <c r="DH388" s="12"/>
      <c r="DI388" s="46"/>
      <c r="DJ388" s="48"/>
      <c r="DK388" s="48"/>
      <c r="DL388" s="48"/>
      <c r="DM388" s="13"/>
      <c r="DN388" s="13"/>
      <c r="DO388" s="12"/>
      <c r="DP388" s="12"/>
      <c r="DQ388" s="12"/>
      <c r="DR388" s="12"/>
      <c r="DS388" s="12"/>
      <c r="DT388" s="12"/>
      <c r="DU388" s="12"/>
      <c r="DV388" s="12"/>
      <c r="DW388" s="12"/>
      <c r="DX388" s="12"/>
      <c r="DY388" s="12"/>
      <c r="DZ388" s="12"/>
      <c r="EA388" s="12"/>
      <c r="EB388" s="12"/>
      <c r="EC388" s="12"/>
      <c r="ED388" s="12"/>
    </row>
    <row r="389" spans="1:134" ht="12.5" x14ac:dyDescent="0.25">
      <c r="A389" s="46"/>
      <c r="B389" s="46"/>
      <c r="C389" s="46"/>
      <c r="D389" s="46"/>
      <c r="E389" s="15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46"/>
      <c r="BA389" s="46"/>
      <c r="BB389" s="46"/>
      <c r="BC389" s="46"/>
      <c r="BD389" s="46"/>
      <c r="BE389" s="46"/>
      <c r="BF389" s="12"/>
      <c r="BG389" s="12"/>
      <c r="BH389" s="12"/>
      <c r="BI389" s="46"/>
      <c r="BJ389" s="46"/>
      <c r="BK389" s="46"/>
      <c r="BL389" s="46"/>
      <c r="BM389" s="46"/>
      <c r="BN389" s="46"/>
      <c r="BO389" s="46"/>
      <c r="BP389" s="46"/>
      <c r="BQ389" s="157"/>
      <c r="BR389" s="156"/>
      <c r="BS389" s="46"/>
      <c r="BT389" s="46"/>
      <c r="BU389" s="12"/>
      <c r="BV389" s="12"/>
      <c r="BW389" s="12"/>
      <c r="BX389" s="12"/>
      <c r="BY389" s="12"/>
      <c r="BZ389" s="12"/>
      <c r="CA389" s="12"/>
      <c r="CB389" s="12"/>
      <c r="CC389" s="12"/>
      <c r="CD389" s="12"/>
      <c r="CE389" s="12"/>
      <c r="CF389" s="12"/>
      <c r="CG389" s="12"/>
      <c r="CH389" s="12"/>
      <c r="CI389" s="12"/>
      <c r="CJ389" s="12"/>
      <c r="CK389" s="12"/>
      <c r="CL389" s="2"/>
      <c r="CM389" s="12"/>
      <c r="CN389" s="12"/>
      <c r="CO389" s="12"/>
      <c r="CP389" s="12"/>
      <c r="CQ389" s="12"/>
      <c r="CR389" s="46"/>
      <c r="CS389" s="46"/>
      <c r="CT389" s="2"/>
      <c r="CU389" s="49"/>
      <c r="CV389" s="49"/>
      <c r="CW389" s="2"/>
      <c r="CX389" s="2"/>
      <c r="CY389" s="51"/>
      <c r="CZ389" s="2"/>
      <c r="DA389" s="12"/>
      <c r="DB389" s="12"/>
      <c r="DC389" s="12"/>
      <c r="DD389" s="12"/>
      <c r="DE389" s="12"/>
      <c r="DF389" s="12"/>
      <c r="DG389" s="12"/>
      <c r="DH389" s="12"/>
      <c r="DI389" s="46"/>
      <c r="DJ389" s="48"/>
      <c r="DK389" s="48"/>
      <c r="DL389" s="48"/>
      <c r="DM389" s="13"/>
      <c r="DN389" s="13"/>
      <c r="DO389" s="12"/>
      <c r="DP389" s="12"/>
      <c r="DQ389" s="12"/>
      <c r="DR389" s="12"/>
      <c r="DS389" s="12"/>
      <c r="DT389" s="12"/>
      <c r="DU389" s="12"/>
      <c r="DV389" s="12"/>
      <c r="DW389" s="12"/>
      <c r="DX389" s="12"/>
      <c r="DY389" s="12"/>
      <c r="DZ389" s="12"/>
      <c r="EA389" s="12"/>
      <c r="EB389" s="12"/>
      <c r="EC389" s="12"/>
      <c r="ED389" s="12"/>
    </row>
    <row r="390" spans="1:134" ht="12.5" x14ac:dyDescent="0.25">
      <c r="A390" s="46"/>
      <c r="B390" s="46"/>
      <c r="C390" s="46"/>
      <c r="D390" s="46"/>
      <c r="E390" s="15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46"/>
      <c r="BA390" s="46"/>
      <c r="BB390" s="46"/>
      <c r="BC390" s="46"/>
      <c r="BD390" s="46"/>
      <c r="BE390" s="46"/>
      <c r="BF390" s="12"/>
      <c r="BG390" s="12"/>
      <c r="BH390" s="12"/>
      <c r="BI390" s="46"/>
      <c r="BJ390" s="46"/>
      <c r="BK390" s="46"/>
      <c r="BL390" s="46"/>
      <c r="BM390" s="46"/>
      <c r="BN390" s="46"/>
      <c r="BO390" s="46"/>
      <c r="BP390" s="46"/>
      <c r="BQ390" s="157"/>
      <c r="BR390" s="156"/>
      <c r="BS390" s="46"/>
      <c r="BT390" s="46"/>
      <c r="BU390" s="12"/>
      <c r="BV390" s="12"/>
      <c r="BW390" s="12"/>
      <c r="BX390" s="12"/>
      <c r="BY390" s="12"/>
      <c r="BZ390" s="12"/>
      <c r="CA390" s="12"/>
      <c r="CB390" s="12"/>
      <c r="CC390" s="12"/>
      <c r="CD390" s="12"/>
      <c r="CE390" s="12"/>
      <c r="CF390" s="12"/>
      <c r="CG390" s="12"/>
      <c r="CH390" s="12"/>
      <c r="CI390" s="12"/>
      <c r="CJ390" s="12"/>
      <c r="CK390" s="12"/>
      <c r="CL390" s="2"/>
      <c r="CM390" s="12"/>
      <c r="CN390" s="12"/>
      <c r="CO390" s="12"/>
      <c r="CP390" s="12"/>
      <c r="CQ390" s="12"/>
      <c r="CR390" s="46"/>
      <c r="CS390" s="46"/>
      <c r="CT390" s="2"/>
      <c r="CU390" s="49"/>
      <c r="CV390" s="49"/>
      <c r="CW390" s="2"/>
      <c r="CX390" s="2"/>
      <c r="CY390" s="51"/>
      <c r="CZ390" s="2"/>
      <c r="DA390" s="12"/>
      <c r="DB390" s="12"/>
      <c r="DC390" s="12"/>
      <c r="DD390" s="12"/>
      <c r="DE390" s="12"/>
      <c r="DF390" s="12"/>
      <c r="DG390" s="12"/>
      <c r="DH390" s="12"/>
      <c r="DI390" s="46"/>
      <c r="DJ390" s="48"/>
      <c r="DK390" s="48"/>
      <c r="DL390" s="48"/>
      <c r="DM390" s="13"/>
      <c r="DN390" s="13"/>
      <c r="DO390" s="12"/>
      <c r="DP390" s="12"/>
      <c r="DQ390" s="12"/>
      <c r="DR390" s="12"/>
      <c r="DS390" s="12"/>
      <c r="DT390" s="12"/>
      <c r="DU390" s="12"/>
      <c r="DV390" s="12"/>
      <c r="DW390" s="12"/>
      <c r="DX390" s="12"/>
      <c r="DY390" s="12"/>
      <c r="DZ390" s="12"/>
      <c r="EA390" s="12"/>
      <c r="EB390" s="12"/>
      <c r="EC390" s="12"/>
      <c r="ED390" s="12"/>
    </row>
    <row r="391" spans="1:134" ht="12.5" x14ac:dyDescent="0.25">
      <c r="A391" s="46"/>
      <c r="B391" s="46"/>
      <c r="C391" s="46"/>
      <c r="D391" s="46"/>
      <c r="E391" s="15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46"/>
      <c r="BA391" s="46"/>
      <c r="BB391" s="46"/>
      <c r="BC391" s="46"/>
      <c r="BD391" s="46"/>
      <c r="BE391" s="46"/>
      <c r="BF391" s="12"/>
      <c r="BG391" s="12"/>
      <c r="BH391" s="12"/>
      <c r="BI391" s="46"/>
      <c r="BJ391" s="46"/>
      <c r="BK391" s="46"/>
      <c r="BL391" s="46"/>
      <c r="BM391" s="46"/>
      <c r="BN391" s="46"/>
      <c r="BO391" s="46"/>
      <c r="BP391" s="46"/>
      <c r="BQ391" s="157"/>
      <c r="BR391" s="156"/>
      <c r="BS391" s="46"/>
      <c r="BT391" s="46"/>
      <c r="BU391" s="12"/>
      <c r="BV391" s="12"/>
      <c r="BW391" s="12"/>
      <c r="BX391" s="12"/>
      <c r="BY391" s="12"/>
      <c r="BZ391" s="12"/>
      <c r="CA391" s="12"/>
      <c r="CB391" s="12"/>
      <c r="CC391" s="12"/>
      <c r="CD391" s="12"/>
      <c r="CE391" s="12"/>
      <c r="CF391" s="12"/>
      <c r="CG391" s="12"/>
      <c r="CH391" s="12"/>
      <c r="CI391" s="12"/>
      <c r="CJ391" s="12"/>
      <c r="CK391" s="12"/>
      <c r="CL391" s="2"/>
      <c r="CM391" s="12"/>
      <c r="CN391" s="12"/>
      <c r="CO391" s="12"/>
      <c r="CP391" s="12"/>
      <c r="CQ391" s="12"/>
      <c r="CR391" s="46"/>
      <c r="CS391" s="46"/>
      <c r="CT391" s="2"/>
      <c r="CU391" s="49"/>
      <c r="CV391" s="49"/>
      <c r="CW391" s="2"/>
      <c r="CX391" s="2"/>
      <c r="CY391" s="51"/>
      <c r="CZ391" s="2"/>
      <c r="DA391" s="12"/>
      <c r="DB391" s="12"/>
      <c r="DC391" s="12"/>
      <c r="DD391" s="12"/>
      <c r="DE391" s="12"/>
      <c r="DF391" s="12"/>
      <c r="DG391" s="12"/>
      <c r="DH391" s="12"/>
      <c r="DI391" s="46"/>
      <c r="DJ391" s="48"/>
      <c r="DK391" s="48"/>
      <c r="DL391" s="48"/>
      <c r="DM391" s="13"/>
      <c r="DN391" s="13"/>
      <c r="DO391" s="12"/>
      <c r="DP391" s="12"/>
      <c r="DQ391" s="12"/>
      <c r="DR391" s="12"/>
      <c r="DS391" s="12"/>
      <c r="DT391" s="12"/>
      <c r="DU391" s="12"/>
      <c r="DV391" s="12"/>
      <c r="DW391" s="12"/>
      <c r="DX391" s="12"/>
      <c r="DY391" s="12"/>
      <c r="DZ391" s="12"/>
      <c r="EA391" s="12"/>
      <c r="EB391" s="12"/>
      <c r="EC391" s="12"/>
      <c r="ED391" s="12"/>
    </row>
    <row r="392" spans="1:134" ht="12.5" x14ac:dyDescent="0.25">
      <c r="A392" s="46"/>
      <c r="B392" s="46"/>
      <c r="C392" s="46"/>
      <c r="D392" s="46"/>
      <c r="E392" s="15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46"/>
      <c r="BA392" s="46"/>
      <c r="BB392" s="46"/>
      <c r="BC392" s="46"/>
      <c r="BD392" s="46"/>
      <c r="BE392" s="46"/>
      <c r="BF392" s="12"/>
      <c r="BG392" s="12"/>
      <c r="BH392" s="12"/>
      <c r="BI392" s="46"/>
      <c r="BJ392" s="46"/>
      <c r="BK392" s="46"/>
      <c r="BL392" s="46"/>
      <c r="BM392" s="46"/>
      <c r="BN392" s="46"/>
      <c r="BO392" s="46"/>
      <c r="BP392" s="46"/>
      <c r="BQ392" s="157"/>
      <c r="BR392" s="156"/>
      <c r="BS392" s="46"/>
      <c r="BT392" s="46"/>
      <c r="BU392" s="12"/>
      <c r="BV392" s="12"/>
      <c r="BW392" s="12"/>
      <c r="BX392" s="12"/>
      <c r="BY392" s="12"/>
      <c r="BZ392" s="12"/>
      <c r="CA392" s="12"/>
      <c r="CB392" s="12"/>
      <c r="CC392" s="12"/>
      <c r="CD392" s="12"/>
      <c r="CE392" s="12"/>
      <c r="CF392" s="12"/>
      <c r="CG392" s="12"/>
      <c r="CH392" s="12"/>
      <c r="CI392" s="12"/>
      <c r="CJ392" s="12"/>
      <c r="CK392" s="12"/>
      <c r="CL392" s="2"/>
      <c r="CM392" s="12"/>
      <c r="CN392" s="12"/>
      <c r="CO392" s="12"/>
      <c r="CP392" s="12"/>
      <c r="CQ392" s="12"/>
      <c r="CR392" s="46"/>
      <c r="CS392" s="46"/>
      <c r="CT392" s="2"/>
      <c r="CU392" s="49"/>
      <c r="CV392" s="49"/>
      <c r="CW392" s="2"/>
      <c r="CX392" s="2"/>
      <c r="CY392" s="51"/>
      <c r="CZ392" s="2"/>
      <c r="DA392" s="12"/>
      <c r="DB392" s="12"/>
      <c r="DC392" s="12"/>
      <c r="DD392" s="12"/>
      <c r="DE392" s="12"/>
      <c r="DF392" s="12"/>
      <c r="DG392" s="12"/>
      <c r="DH392" s="12"/>
      <c r="DI392" s="46"/>
      <c r="DJ392" s="48"/>
      <c r="DK392" s="48"/>
      <c r="DL392" s="48"/>
      <c r="DM392" s="13"/>
      <c r="DN392" s="13"/>
      <c r="DO392" s="12"/>
      <c r="DP392" s="12"/>
      <c r="DQ392" s="12"/>
      <c r="DR392" s="12"/>
      <c r="DS392" s="12"/>
      <c r="DT392" s="12"/>
      <c r="DU392" s="12"/>
      <c r="DV392" s="12"/>
      <c r="DW392" s="12"/>
      <c r="DX392" s="12"/>
      <c r="DY392" s="12"/>
      <c r="DZ392" s="12"/>
      <c r="EA392" s="12"/>
      <c r="EB392" s="12"/>
      <c r="EC392" s="12"/>
      <c r="ED392" s="12"/>
    </row>
    <row r="393" spans="1:134" ht="12.5" x14ac:dyDescent="0.25">
      <c r="A393" s="46"/>
      <c r="B393" s="46"/>
      <c r="C393" s="46"/>
      <c r="D393" s="46"/>
      <c r="E393" s="15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46"/>
      <c r="BA393" s="46"/>
      <c r="BB393" s="46"/>
      <c r="BC393" s="46"/>
      <c r="BD393" s="46"/>
      <c r="BE393" s="46"/>
      <c r="BF393" s="12"/>
      <c r="BG393" s="12"/>
      <c r="BH393" s="12"/>
      <c r="BI393" s="46"/>
      <c r="BJ393" s="46"/>
      <c r="BK393" s="46"/>
      <c r="BL393" s="46"/>
      <c r="BM393" s="46"/>
      <c r="BN393" s="46"/>
      <c r="BO393" s="46"/>
      <c r="BP393" s="46"/>
      <c r="BQ393" s="157"/>
      <c r="BR393" s="156"/>
      <c r="BS393" s="46"/>
      <c r="BT393" s="46"/>
      <c r="BU393" s="12"/>
      <c r="BV393" s="12"/>
      <c r="BW393" s="12"/>
      <c r="BX393" s="12"/>
      <c r="BY393" s="12"/>
      <c r="BZ393" s="12"/>
      <c r="CA393" s="12"/>
      <c r="CB393" s="12"/>
      <c r="CC393" s="12"/>
      <c r="CD393" s="12"/>
      <c r="CE393" s="12"/>
      <c r="CF393" s="12"/>
      <c r="CG393" s="12"/>
      <c r="CH393" s="12"/>
      <c r="CI393" s="12"/>
      <c r="CJ393" s="12"/>
      <c r="CK393" s="12"/>
      <c r="CL393" s="2"/>
      <c r="CM393" s="12"/>
      <c r="CN393" s="12"/>
      <c r="CO393" s="12"/>
      <c r="CP393" s="12"/>
      <c r="CQ393" s="12"/>
      <c r="CR393" s="46"/>
      <c r="CS393" s="46"/>
      <c r="CT393" s="2"/>
      <c r="CU393" s="49"/>
      <c r="CV393" s="49"/>
      <c r="CW393" s="2"/>
      <c r="CX393" s="2"/>
      <c r="CY393" s="51"/>
      <c r="CZ393" s="2"/>
      <c r="DA393" s="12"/>
      <c r="DB393" s="12"/>
      <c r="DC393" s="12"/>
      <c r="DD393" s="12"/>
      <c r="DE393" s="12"/>
      <c r="DF393" s="12"/>
      <c r="DG393" s="12"/>
      <c r="DH393" s="12"/>
      <c r="DI393" s="46"/>
      <c r="DJ393" s="48"/>
      <c r="DK393" s="48"/>
      <c r="DL393" s="48"/>
      <c r="DM393" s="13"/>
      <c r="DN393" s="13"/>
      <c r="DO393" s="12"/>
      <c r="DP393" s="12"/>
      <c r="DQ393" s="12"/>
      <c r="DR393" s="12"/>
      <c r="DS393" s="12"/>
      <c r="DT393" s="12"/>
      <c r="DU393" s="12"/>
      <c r="DV393" s="12"/>
      <c r="DW393" s="12"/>
      <c r="DX393" s="12"/>
      <c r="DY393" s="12"/>
      <c r="DZ393" s="12"/>
      <c r="EA393" s="12"/>
      <c r="EB393" s="12"/>
      <c r="EC393" s="12"/>
      <c r="ED393" s="12"/>
    </row>
    <row r="394" spans="1:134" ht="12.5" x14ac:dyDescent="0.25">
      <c r="A394" s="46"/>
      <c r="B394" s="46"/>
      <c r="C394" s="46"/>
      <c r="D394" s="46"/>
      <c r="E394" s="15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46"/>
      <c r="BA394" s="46"/>
      <c r="BB394" s="46"/>
      <c r="BC394" s="46"/>
      <c r="BD394" s="46"/>
      <c r="BE394" s="46"/>
      <c r="BF394" s="12"/>
      <c r="BG394" s="12"/>
      <c r="BH394" s="12"/>
      <c r="BI394" s="46"/>
      <c r="BJ394" s="46"/>
      <c r="BK394" s="46"/>
      <c r="BL394" s="46"/>
      <c r="BM394" s="46"/>
      <c r="BN394" s="46"/>
      <c r="BO394" s="46"/>
      <c r="BP394" s="46"/>
      <c r="BQ394" s="157"/>
      <c r="BR394" s="156"/>
      <c r="BS394" s="46"/>
      <c r="BT394" s="46"/>
      <c r="BU394" s="12"/>
      <c r="BV394" s="12"/>
      <c r="BW394" s="12"/>
      <c r="BX394" s="12"/>
      <c r="BY394" s="12"/>
      <c r="BZ394" s="12"/>
      <c r="CA394" s="12"/>
      <c r="CB394" s="12"/>
      <c r="CC394" s="12"/>
      <c r="CD394" s="12"/>
      <c r="CE394" s="12"/>
      <c r="CF394" s="12"/>
      <c r="CG394" s="12"/>
      <c r="CH394" s="12"/>
      <c r="CI394" s="12"/>
      <c r="CJ394" s="12"/>
      <c r="CK394" s="12"/>
      <c r="CL394" s="2"/>
      <c r="CM394" s="12"/>
      <c r="CN394" s="12"/>
      <c r="CO394" s="12"/>
      <c r="CP394" s="12"/>
      <c r="CQ394" s="12"/>
      <c r="CR394" s="46"/>
      <c r="CS394" s="46"/>
      <c r="CT394" s="2"/>
      <c r="CU394" s="49"/>
      <c r="CV394" s="49"/>
      <c r="CW394" s="2"/>
      <c r="CX394" s="2"/>
      <c r="CY394" s="51"/>
      <c r="CZ394" s="2"/>
      <c r="DA394" s="12"/>
      <c r="DB394" s="12"/>
      <c r="DC394" s="12"/>
      <c r="DD394" s="12"/>
      <c r="DE394" s="12"/>
      <c r="DF394" s="12"/>
      <c r="DG394" s="12"/>
      <c r="DH394" s="12"/>
      <c r="DI394" s="46"/>
      <c r="DJ394" s="48"/>
      <c r="DK394" s="48"/>
      <c r="DL394" s="48"/>
      <c r="DM394" s="13"/>
      <c r="DN394" s="13"/>
      <c r="DO394" s="12"/>
      <c r="DP394" s="12"/>
      <c r="DQ394" s="12"/>
      <c r="DR394" s="12"/>
      <c r="DS394" s="12"/>
      <c r="DT394" s="12"/>
      <c r="DU394" s="12"/>
      <c r="DV394" s="12"/>
      <c r="DW394" s="12"/>
      <c r="DX394" s="12"/>
      <c r="DY394" s="12"/>
      <c r="DZ394" s="12"/>
      <c r="EA394" s="12"/>
      <c r="EB394" s="12"/>
      <c r="EC394" s="12"/>
      <c r="ED394" s="12"/>
    </row>
    <row r="395" spans="1:134" ht="12.5" x14ac:dyDescent="0.25">
      <c r="A395" s="46"/>
      <c r="B395" s="46"/>
      <c r="C395" s="46"/>
      <c r="D395" s="46"/>
      <c r="E395" s="15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46"/>
      <c r="BA395" s="46"/>
      <c r="BB395" s="46"/>
      <c r="BC395" s="46"/>
      <c r="BD395" s="46"/>
      <c r="BE395" s="46"/>
      <c r="BF395" s="12"/>
      <c r="BG395" s="12"/>
      <c r="BH395" s="12"/>
      <c r="BI395" s="46"/>
      <c r="BJ395" s="46"/>
      <c r="BK395" s="46"/>
      <c r="BL395" s="46"/>
      <c r="BM395" s="46"/>
      <c r="BN395" s="46"/>
      <c r="BO395" s="46"/>
      <c r="BP395" s="46"/>
      <c r="BQ395" s="157"/>
      <c r="BR395" s="156"/>
      <c r="BS395" s="46"/>
      <c r="BT395" s="46"/>
      <c r="BU395" s="12"/>
      <c r="BV395" s="12"/>
      <c r="BW395" s="12"/>
      <c r="BX395" s="12"/>
      <c r="BY395" s="12"/>
      <c r="BZ395" s="12"/>
      <c r="CA395" s="12"/>
      <c r="CB395" s="12"/>
      <c r="CC395" s="12"/>
      <c r="CD395" s="12"/>
      <c r="CE395" s="12"/>
      <c r="CF395" s="12"/>
      <c r="CG395" s="12"/>
      <c r="CH395" s="12"/>
      <c r="CI395" s="12"/>
      <c r="CJ395" s="12"/>
      <c r="CK395" s="12"/>
      <c r="CL395" s="2"/>
      <c r="CM395" s="12"/>
      <c r="CN395" s="12"/>
      <c r="CO395" s="12"/>
      <c r="CP395" s="12"/>
      <c r="CQ395" s="12"/>
      <c r="CR395" s="46"/>
      <c r="CS395" s="46"/>
      <c r="CT395" s="2"/>
      <c r="CU395" s="49"/>
      <c r="CV395" s="49"/>
      <c r="CW395" s="2"/>
      <c r="CX395" s="2"/>
      <c r="CY395" s="51"/>
      <c r="CZ395" s="2"/>
      <c r="DA395" s="12"/>
      <c r="DB395" s="12"/>
      <c r="DC395" s="12"/>
      <c r="DD395" s="12"/>
      <c r="DE395" s="12"/>
      <c r="DF395" s="12"/>
      <c r="DG395" s="12"/>
      <c r="DH395" s="12"/>
      <c r="DI395" s="46"/>
      <c r="DJ395" s="48"/>
      <c r="DK395" s="48"/>
      <c r="DL395" s="48"/>
      <c r="DM395" s="13"/>
      <c r="DN395" s="13"/>
      <c r="DO395" s="12"/>
      <c r="DP395" s="12"/>
      <c r="DQ395" s="12"/>
      <c r="DR395" s="12"/>
      <c r="DS395" s="12"/>
      <c r="DT395" s="12"/>
      <c r="DU395" s="12"/>
      <c r="DV395" s="12"/>
      <c r="DW395" s="12"/>
      <c r="DX395" s="12"/>
      <c r="DY395" s="12"/>
      <c r="DZ395" s="12"/>
      <c r="EA395" s="12"/>
      <c r="EB395" s="12"/>
      <c r="EC395" s="12"/>
      <c r="ED395" s="12"/>
    </row>
    <row r="396" spans="1:134" ht="12.5" x14ac:dyDescent="0.25">
      <c r="A396" s="46"/>
      <c r="B396" s="46"/>
      <c r="C396" s="46"/>
      <c r="D396" s="46"/>
      <c r="E396" s="15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46"/>
      <c r="BA396" s="46"/>
      <c r="BB396" s="46"/>
      <c r="BC396" s="46"/>
      <c r="BD396" s="46"/>
      <c r="BE396" s="46"/>
      <c r="BF396" s="12"/>
      <c r="BG396" s="12"/>
      <c r="BH396" s="12"/>
      <c r="BI396" s="46"/>
      <c r="BJ396" s="46"/>
      <c r="BK396" s="46"/>
      <c r="BL396" s="46"/>
      <c r="BM396" s="46"/>
      <c r="BN396" s="46"/>
      <c r="BO396" s="46"/>
      <c r="BP396" s="46"/>
      <c r="BQ396" s="157"/>
      <c r="BR396" s="156"/>
      <c r="BS396" s="46"/>
      <c r="BT396" s="46"/>
      <c r="BU396" s="12"/>
      <c r="BV396" s="12"/>
      <c r="BW396" s="12"/>
      <c r="BX396" s="12"/>
      <c r="BY396" s="12"/>
      <c r="BZ396" s="12"/>
      <c r="CA396" s="12"/>
      <c r="CB396" s="12"/>
      <c r="CC396" s="12"/>
      <c r="CD396" s="12"/>
      <c r="CE396" s="12"/>
      <c r="CF396" s="12"/>
      <c r="CG396" s="12"/>
      <c r="CH396" s="12"/>
      <c r="CI396" s="12"/>
      <c r="CJ396" s="12"/>
      <c r="CK396" s="12"/>
      <c r="CL396" s="2"/>
      <c r="CM396" s="12"/>
      <c r="CN396" s="12"/>
      <c r="CO396" s="12"/>
      <c r="CP396" s="12"/>
      <c r="CQ396" s="12"/>
      <c r="CR396" s="46"/>
      <c r="CS396" s="46"/>
      <c r="CT396" s="2"/>
      <c r="CU396" s="49"/>
      <c r="CV396" s="49"/>
      <c r="CW396" s="2"/>
      <c r="CX396" s="2"/>
      <c r="CY396" s="51"/>
      <c r="CZ396" s="2"/>
      <c r="DA396" s="12"/>
      <c r="DB396" s="12"/>
      <c r="DC396" s="12"/>
      <c r="DD396" s="12"/>
      <c r="DE396" s="12"/>
      <c r="DF396" s="12"/>
      <c r="DG396" s="12"/>
      <c r="DH396" s="12"/>
      <c r="DI396" s="46"/>
      <c r="DJ396" s="48"/>
      <c r="DK396" s="48"/>
      <c r="DL396" s="48"/>
      <c r="DM396" s="13"/>
      <c r="DN396" s="13"/>
      <c r="DO396" s="12"/>
      <c r="DP396" s="12"/>
      <c r="DQ396" s="12"/>
      <c r="DR396" s="12"/>
      <c r="DS396" s="12"/>
      <c r="DT396" s="12"/>
      <c r="DU396" s="12"/>
      <c r="DV396" s="12"/>
      <c r="DW396" s="12"/>
      <c r="DX396" s="12"/>
      <c r="DY396" s="12"/>
      <c r="DZ396" s="12"/>
      <c r="EA396" s="12"/>
      <c r="EB396" s="12"/>
      <c r="EC396" s="12"/>
      <c r="ED396" s="12"/>
    </row>
    <row r="397" spans="1:134" ht="12.5" x14ac:dyDescent="0.25">
      <c r="A397" s="46"/>
      <c r="B397" s="46"/>
      <c r="C397" s="46"/>
      <c r="D397" s="46"/>
      <c r="E397" s="15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46"/>
      <c r="BA397" s="46"/>
      <c r="BB397" s="46"/>
      <c r="BC397" s="46"/>
      <c r="BD397" s="46"/>
      <c r="BE397" s="46"/>
      <c r="BF397" s="12"/>
      <c r="BG397" s="12"/>
      <c r="BH397" s="12"/>
      <c r="BI397" s="46"/>
      <c r="BJ397" s="46"/>
      <c r="BK397" s="46"/>
      <c r="BL397" s="46"/>
      <c r="BM397" s="46"/>
      <c r="BN397" s="46"/>
      <c r="BO397" s="46"/>
      <c r="BP397" s="46"/>
      <c r="BQ397" s="157"/>
      <c r="BR397" s="156"/>
      <c r="BS397" s="46"/>
      <c r="BT397" s="46"/>
      <c r="BU397" s="12"/>
      <c r="BV397" s="12"/>
      <c r="BW397" s="12"/>
      <c r="BX397" s="12"/>
      <c r="BY397" s="12"/>
      <c r="BZ397" s="12"/>
      <c r="CA397" s="12"/>
      <c r="CB397" s="12"/>
      <c r="CC397" s="12"/>
      <c r="CD397" s="12"/>
      <c r="CE397" s="12"/>
      <c r="CF397" s="12"/>
      <c r="CG397" s="12"/>
      <c r="CH397" s="12"/>
      <c r="CI397" s="12"/>
      <c r="CJ397" s="12"/>
      <c r="CK397" s="12"/>
      <c r="CL397" s="2"/>
      <c r="CM397" s="12"/>
      <c r="CN397" s="12"/>
      <c r="CO397" s="12"/>
      <c r="CP397" s="12"/>
      <c r="CQ397" s="12"/>
      <c r="CR397" s="46"/>
      <c r="CS397" s="46"/>
      <c r="CT397" s="2"/>
      <c r="CU397" s="49"/>
      <c r="CV397" s="49"/>
      <c r="CW397" s="2"/>
      <c r="CX397" s="2"/>
      <c r="CY397" s="51"/>
      <c r="CZ397" s="2"/>
      <c r="DA397" s="12"/>
      <c r="DB397" s="12"/>
      <c r="DC397" s="12"/>
      <c r="DD397" s="12"/>
      <c r="DE397" s="12"/>
      <c r="DF397" s="12"/>
      <c r="DG397" s="12"/>
      <c r="DH397" s="12"/>
      <c r="DI397" s="46"/>
      <c r="DJ397" s="48"/>
      <c r="DK397" s="48"/>
      <c r="DL397" s="48"/>
      <c r="DM397" s="13"/>
      <c r="DN397" s="13"/>
      <c r="DO397" s="12"/>
      <c r="DP397" s="12"/>
      <c r="DQ397" s="12"/>
      <c r="DR397" s="12"/>
      <c r="DS397" s="12"/>
      <c r="DT397" s="12"/>
      <c r="DU397" s="12"/>
      <c r="DV397" s="12"/>
      <c r="DW397" s="12"/>
      <c r="DX397" s="12"/>
      <c r="DY397" s="12"/>
      <c r="DZ397" s="12"/>
      <c r="EA397" s="12"/>
      <c r="EB397" s="12"/>
      <c r="EC397" s="12"/>
      <c r="ED397" s="12"/>
    </row>
    <row r="398" spans="1:134" ht="12.5" x14ac:dyDescent="0.25">
      <c r="A398" s="46"/>
      <c r="B398" s="46"/>
      <c r="C398" s="46"/>
      <c r="D398" s="46"/>
      <c r="E398" s="15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46"/>
      <c r="BA398" s="46"/>
      <c r="BB398" s="46"/>
      <c r="BC398" s="46"/>
      <c r="BD398" s="46"/>
      <c r="BE398" s="46"/>
      <c r="BF398" s="12"/>
      <c r="BG398" s="12"/>
      <c r="BH398" s="12"/>
      <c r="BI398" s="46"/>
      <c r="BJ398" s="46"/>
      <c r="BK398" s="46"/>
      <c r="BL398" s="46"/>
      <c r="BM398" s="46"/>
      <c r="BN398" s="46"/>
      <c r="BO398" s="46"/>
      <c r="BP398" s="46"/>
      <c r="BQ398" s="157"/>
      <c r="BR398" s="156"/>
      <c r="BS398" s="46"/>
      <c r="BT398" s="46"/>
      <c r="BU398" s="12"/>
      <c r="BV398" s="12"/>
      <c r="BW398" s="12"/>
      <c r="BX398" s="12"/>
      <c r="BY398" s="12"/>
      <c r="BZ398" s="12"/>
      <c r="CA398" s="12"/>
      <c r="CB398" s="12"/>
      <c r="CC398" s="12"/>
      <c r="CD398" s="12"/>
      <c r="CE398" s="12"/>
      <c r="CF398" s="12"/>
      <c r="CG398" s="12"/>
      <c r="CH398" s="12"/>
      <c r="CI398" s="12"/>
      <c r="CJ398" s="12"/>
      <c r="CK398" s="12"/>
      <c r="CL398" s="2"/>
      <c r="CM398" s="12"/>
      <c r="CN398" s="12"/>
      <c r="CO398" s="12"/>
      <c r="CP398" s="12"/>
      <c r="CQ398" s="12"/>
      <c r="CR398" s="46"/>
      <c r="CS398" s="46"/>
      <c r="CT398" s="2"/>
      <c r="CU398" s="49"/>
      <c r="CV398" s="49"/>
      <c r="CW398" s="2"/>
      <c r="CX398" s="2"/>
      <c r="CY398" s="51"/>
      <c r="CZ398" s="2"/>
      <c r="DA398" s="12"/>
      <c r="DB398" s="12"/>
      <c r="DC398" s="12"/>
      <c r="DD398" s="12"/>
      <c r="DE398" s="12"/>
      <c r="DF398" s="12"/>
      <c r="DG398" s="12"/>
      <c r="DH398" s="12"/>
      <c r="DI398" s="46"/>
      <c r="DJ398" s="48"/>
      <c r="DK398" s="48"/>
      <c r="DL398" s="48"/>
      <c r="DM398" s="13"/>
      <c r="DN398" s="13"/>
      <c r="DO398" s="12"/>
      <c r="DP398" s="12"/>
      <c r="DQ398" s="12"/>
      <c r="DR398" s="12"/>
      <c r="DS398" s="12"/>
      <c r="DT398" s="12"/>
      <c r="DU398" s="12"/>
      <c r="DV398" s="12"/>
      <c r="DW398" s="12"/>
      <c r="DX398" s="12"/>
      <c r="DY398" s="12"/>
      <c r="DZ398" s="12"/>
      <c r="EA398" s="12"/>
      <c r="EB398" s="12"/>
      <c r="EC398" s="12"/>
      <c r="ED398" s="12"/>
    </row>
    <row r="399" spans="1:134" ht="12.5" x14ac:dyDescent="0.25">
      <c r="A399" s="46"/>
      <c r="B399" s="46"/>
      <c r="C399" s="46"/>
      <c r="D399" s="46"/>
      <c r="E399" s="15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46"/>
      <c r="BA399" s="46"/>
      <c r="BB399" s="46"/>
      <c r="BC399" s="46"/>
      <c r="BD399" s="46"/>
      <c r="BE399" s="46"/>
      <c r="BF399" s="12"/>
      <c r="BG399" s="12"/>
      <c r="BH399" s="12"/>
      <c r="BI399" s="46"/>
      <c r="BJ399" s="46"/>
      <c r="BK399" s="46"/>
      <c r="BL399" s="46"/>
      <c r="BM399" s="46"/>
      <c r="BN399" s="46"/>
      <c r="BO399" s="46"/>
      <c r="BP399" s="46"/>
      <c r="BQ399" s="157"/>
      <c r="BR399" s="156"/>
      <c r="BS399" s="46"/>
      <c r="BT399" s="46"/>
      <c r="BU399" s="12"/>
      <c r="BV399" s="12"/>
      <c r="BW399" s="12"/>
      <c r="BX399" s="12"/>
      <c r="BY399" s="12"/>
      <c r="BZ399" s="12"/>
      <c r="CA399" s="12"/>
      <c r="CB399" s="12"/>
      <c r="CC399" s="12"/>
      <c r="CD399" s="12"/>
      <c r="CE399" s="12"/>
      <c r="CF399" s="12"/>
      <c r="CG399" s="12"/>
      <c r="CH399" s="12"/>
      <c r="CI399" s="12"/>
      <c r="CJ399" s="12"/>
      <c r="CK399" s="12"/>
      <c r="CL399" s="2"/>
      <c r="CM399" s="12"/>
      <c r="CN399" s="12"/>
      <c r="CO399" s="12"/>
      <c r="CP399" s="12"/>
      <c r="CQ399" s="12"/>
      <c r="CR399" s="46"/>
      <c r="CS399" s="46"/>
      <c r="CT399" s="2"/>
      <c r="CU399" s="49"/>
      <c r="CV399" s="49"/>
      <c r="CW399" s="2"/>
      <c r="CX399" s="2"/>
      <c r="CY399" s="51"/>
      <c r="CZ399" s="2"/>
      <c r="DA399" s="12"/>
      <c r="DB399" s="12"/>
      <c r="DC399" s="12"/>
      <c r="DD399" s="12"/>
      <c r="DE399" s="12"/>
      <c r="DF399" s="12"/>
      <c r="DG399" s="12"/>
      <c r="DH399" s="12"/>
      <c r="DI399" s="46"/>
      <c r="DJ399" s="48"/>
      <c r="DK399" s="48"/>
      <c r="DL399" s="48"/>
      <c r="DM399" s="13"/>
      <c r="DN399" s="13"/>
      <c r="DO399" s="12"/>
      <c r="DP399" s="12"/>
      <c r="DQ399" s="12"/>
      <c r="DR399" s="12"/>
      <c r="DS399" s="12"/>
      <c r="DT399" s="12"/>
      <c r="DU399" s="12"/>
      <c r="DV399" s="12"/>
      <c r="DW399" s="12"/>
      <c r="DX399" s="12"/>
      <c r="DY399" s="12"/>
      <c r="DZ399" s="12"/>
      <c r="EA399" s="12"/>
      <c r="EB399" s="12"/>
      <c r="EC399" s="12"/>
      <c r="ED399" s="12"/>
    </row>
    <row r="400" spans="1:134" ht="12.5" x14ac:dyDescent="0.25">
      <c r="A400" s="46"/>
      <c r="B400" s="46"/>
      <c r="C400" s="46"/>
      <c r="D400" s="46"/>
      <c r="E400" s="15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46"/>
      <c r="BA400" s="46"/>
      <c r="BB400" s="46"/>
      <c r="BC400" s="46"/>
      <c r="BD400" s="46"/>
      <c r="BE400" s="46"/>
      <c r="BF400" s="12"/>
      <c r="BG400" s="12"/>
      <c r="BH400" s="12"/>
      <c r="BI400" s="46"/>
      <c r="BJ400" s="46"/>
      <c r="BK400" s="46"/>
      <c r="BL400" s="46"/>
      <c r="BM400" s="46"/>
      <c r="BN400" s="46"/>
      <c r="BO400" s="46"/>
      <c r="BP400" s="46"/>
      <c r="BQ400" s="157"/>
      <c r="BR400" s="156"/>
      <c r="BS400" s="46"/>
      <c r="BT400" s="46"/>
      <c r="BU400" s="12"/>
      <c r="BV400" s="12"/>
      <c r="BW400" s="12"/>
      <c r="BX400" s="12"/>
      <c r="BY400" s="12"/>
      <c r="BZ400" s="12"/>
      <c r="CA400" s="12"/>
      <c r="CB400" s="12"/>
      <c r="CC400" s="12"/>
      <c r="CD400" s="12"/>
      <c r="CE400" s="12"/>
      <c r="CF400" s="12"/>
      <c r="CG400" s="12"/>
      <c r="CH400" s="12"/>
      <c r="CI400" s="12"/>
      <c r="CJ400" s="12"/>
      <c r="CK400" s="12"/>
      <c r="CL400" s="2"/>
      <c r="CM400" s="12"/>
      <c r="CN400" s="12"/>
      <c r="CO400" s="12"/>
      <c r="CP400" s="12"/>
      <c r="CQ400" s="12"/>
      <c r="CR400" s="46"/>
      <c r="CS400" s="46"/>
      <c r="CT400" s="2"/>
      <c r="CU400" s="49"/>
      <c r="CV400" s="49"/>
      <c r="CW400" s="2"/>
      <c r="CX400" s="2"/>
      <c r="CY400" s="51"/>
      <c r="CZ400" s="2"/>
      <c r="DA400" s="12"/>
      <c r="DB400" s="12"/>
      <c r="DC400" s="12"/>
      <c r="DD400" s="12"/>
      <c r="DE400" s="12"/>
      <c r="DF400" s="12"/>
      <c r="DG400" s="12"/>
      <c r="DH400" s="12"/>
      <c r="DI400" s="46"/>
      <c r="DJ400" s="48"/>
      <c r="DK400" s="48"/>
      <c r="DL400" s="48"/>
      <c r="DM400" s="13"/>
      <c r="DN400" s="13"/>
      <c r="DO400" s="12"/>
      <c r="DP400" s="12"/>
      <c r="DQ400" s="12"/>
      <c r="DR400" s="12"/>
      <c r="DS400" s="12"/>
      <c r="DT400" s="12"/>
      <c r="DU400" s="12"/>
      <c r="DV400" s="12"/>
      <c r="DW400" s="12"/>
      <c r="DX400" s="12"/>
      <c r="DY400" s="12"/>
      <c r="DZ400" s="12"/>
      <c r="EA400" s="12"/>
      <c r="EB400" s="12"/>
      <c r="EC400" s="12"/>
      <c r="ED400" s="12"/>
    </row>
    <row r="401" spans="1:134" ht="12.5" x14ac:dyDescent="0.25">
      <c r="A401" s="46"/>
      <c r="B401" s="46"/>
      <c r="C401" s="46"/>
      <c r="D401" s="46"/>
      <c r="E401" s="15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46"/>
      <c r="BA401" s="46"/>
      <c r="BB401" s="46"/>
      <c r="BC401" s="46"/>
      <c r="BD401" s="46"/>
      <c r="BE401" s="46"/>
      <c r="BF401" s="12"/>
      <c r="BG401" s="12"/>
      <c r="BH401" s="12"/>
      <c r="BI401" s="46"/>
      <c r="BJ401" s="46"/>
      <c r="BK401" s="46"/>
      <c r="BL401" s="46"/>
      <c r="BM401" s="46"/>
      <c r="BN401" s="46"/>
      <c r="BO401" s="46"/>
      <c r="BP401" s="46"/>
      <c r="BQ401" s="157"/>
      <c r="BR401" s="156"/>
      <c r="BS401" s="46"/>
      <c r="BT401" s="46"/>
      <c r="BU401" s="12"/>
      <c r="BV401" s="12"/>
      <c r="BW401" s="12"/>
      <c r="BX401" s="12"/>
      <c r="BY401" s="12"/>
      <c r="BZ401" s="12"/>
      <c r="CA401" s="12"/>
      <c r="CB401" s="12"/>
      <c r="CC401" s="12"/>
      <c r="CD401" s="12"/>
      <c r="CE401" s="12"/>
      <c r="CF401" s="12"/>
      <c r="CG401" s="12"/>
      <c r="CH401" s="12"/>
      <c r="CI401" s="12"/>
      <c r="CJ401" s="12"/>
      <c r="CK401" s="12"/>
      <c r="CL401" s="2"/>
      <c r="CM401" s="12"/>
      <c r="CN401" s="12"/>
      <c r="CO401" s="12"/>
      <c r="CP401" s="12"/>
      <c r="CQ401" s="12"/>
      <c r="CR401" s="46"/>
      <c r="CS401" s="46"/>
      <c r="CT401" s="2"/>
      <c r="CU401" s="49"/>
      <c r="CV401" s="49"/>
      <c r="CW401" s="2"/>
      <c r="CX401" s="2"/>
      <c r="CY401" s="51"/>
      <c r="CZ401" s="2"/>
      <c r="DA401" s="12"/>
      <c r="DB401" s="12"/>
      <c r="DC401" s="12"/>
      <c r="DD401" s="12"/>
      <c r="DE401" s="12"/>
      <c r="DF401" s="12"/>
      <c r="DG401" s="12"/>
      <c r="DH401" s="12"/>
      <c r="DI401" s="46"/>
      <c r="DJ401" s="48"/>
      <c r="DK401" s="48"/>
      <c r="DL401" s="48"/>
      <c r="DM401" s="13"/>
      <c r="DN401" s="13"/>
      <c r="DO401" s="12"/>
      <c r="DP401" s="12"/>
      <c r="DQ401" s="12"/>
      <c r="DR401" s="12"/>
      <c r="DS401" s="12"/>
      <c r="DT401" s="12"/>
      <c r="DU401" s="12"/>
      <c r="DV401" s="12"/>
      <c r="DW401" s="12"/>
      <c r="DX401" s="12"/>
      <c r="DY401" s="12"/>
      <c r="DZ401" s="12"/>
      <c r="EA401" s="12"/>
      <c r="EB401" s="12"/>
      <c r="EC401" s="12"/>
      <c r="ED401" s="12"/>
    </row>
    <row r="402" spans="1:134" ht="12.5" x14ac:dyDescent="0.25">
      <c r="A402" s="46"/>
      <c r="B402" s="46"/>
      <c r="C402" s="46"/>
      <c r="D402" s="46"/>
      <c r="E402" s="15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46"/>
      <c r="BA402" s="46"/>
      <c r="BB402" s="46"/>
      <c r="BC402" s="46"/>
      <c r="BD402" s="46"/>
      <c r="BE402" s="46"/>
      <c r="BF402" s="12"/>
      <c r="BG402" s="12"/>
      <c r="BH402" s="12"/>
      <c r="BI402" s="46"/>
      <c r="BJ402" s="46"/>
      <c r="BK402" s="46"/>
      <c r="BL402" s="46"/>
      <c r="BM402" s="46"/>
      <c r="BN402" s="46"/>
      <c r="BO402" s="46"/>
      <c r="BP402" s="46"/>
      <c r="BQ402" s="157"/>
      <c r="BR402" s="156"/>
      <c r="BS402" s="46"/>
      <c r="BT402" s="46"/>
      <c r="BU402" s="12"/>
      <c r="BV402" s="12"/>
      <c r="BW402" s="12"/>
      <c r="BX402" s="12"/>
      <c r="BY402" s="12"/>
      <c r="BZ402" s="12"/>
      <c r="CA402" s="12"/>
      <c r="CB402" s="12"/>
      <c r="CC402" s="12"/>
      <c r="CD402" s="12"/>
      <c r="CE402" s="12"/>
      <c r="CF402" s="12"/>
      <c r="CG402" s="12"/>
      <c r="CH402" s="12"/>
      <c r="CI402" s="12"/>
      <c r="CJ402" s="12"/>
      <c r="CK402" s="12"/>
      <c r="CL402" s="2"/>
      <c r="CM402" s="12"/>
      <c r="CN402" s="12"/>
      <c r="CO402" s="12"/>
      <c r="CP402" s="12"/>
      <c r="CQ402" s="12"/>
      <c r="CR402" s="46"/>
      <c r="CS402" s="46"/>
      <c r="CT402" s="2"/>
      <c r="CU402" s="49"/>
      <c r="CV402" s="49"/>
      <c r="CW402" s="2"/>
      <c r="CX402" s="2"/>
      <c r="CY402" s="51"/>
      <c r="CZ402" s="2"/>
      <c r="DA402" s="12"/>
      <c r="DB402" s="12"/>
      <c r="DC402" s="12"/>
      <c r="DD402" s="12"/>
      <c r="DE402" s="12"/>
      <c r="DF402" s="12"/>
      <c r="DG402" s="12"/>
      <c r="DH402" s="12"/>
      <c r="DI402" s="46"/>
      <c r="DJ402" s="48"/>
      <c r="DK402" s="48"/>
      <c r="DL402" s="48"/>
      <c r="DM402" s="13"/>
      <c r="DN402" s="13"/>
      <c r="DO402" s="12"/>
      <c r="DP402" s="12"/>
      <c r="DQ402" s="12"/>
      <c r="DR402" s="12"/>
      <c r="DS402" s="12"/>
      <c r="DT402" s="12"/>
      <c r="DU402" s="12"/>
      <c r="DV402" s="12"/>
      <c r="DW402" s="12"/>
      <c r="DX402" s="12"/>
      <c r="DY402" s="12"/>
      <c r="DZ402" s="12"/>
      <c r="EA402" s="12"/>
      <c r="EB402" s="12"/>
      <c r="EC402" s="12"/>
      <c r="ED402" s="12"/>
    </row>
    <row r="403" spans="1:134" ht="12.5" x14ac:dyDescent="0.25">
      <c r="A403" s="46"/>
      <c r="B403" s="46"/>
      <c r="C403" s="46"/>
      <c r="D403" s="46"/>
      <c r="E403" s="15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46"/>
      <c r="BA403" s="46"/>
      <c r="BB403" s="46"/>
      <c r="BC403" s="46"/>
      <c r="BD403" s="46"/>
      <c r="BE403" s="46"/>
      <c r="BF403" s="12"/>
      <c r="BG403" s="12"/>
      <c r="BH403" s="12"/>
      <c r="BI403" s="46"/>
      <c r="BJ403" s="46"/>
      <c r="BK403" s="46"/>
      <c r="BL403" s="46"/>
      <c r="BM403" s="46"/>
      <c r="BN403" s="46"/>
      <c r="BO403" s="46"/>
      <c r="BP403" s="46"/>
      <c r="BQ403" s="157"/>
      <c r="BR403" s="156"/>
      <c r="BS403" s="46"/>
      <c r="BT403" s="46"/>
      <c r="BU403" s="12"/>
      <c r="BV403" s="12"/>
      <c r="BW403" s="12"/>
      <c r="BX403" s="12"/>
      <c r="BY403" s="12"/>
      <c r="BZ403" s="12"/>
      <c r="CA403" s="12"/>
      <c r="CB403" s="12"/>
      <c r="CC403" s="12"/>
      <c r="CD403" s="12"/>
      <c r="CE403" s="12"/>
      <c r="CF403" s="12"/>
      <c r="CG403" s="12"/>
      <c r="CH403" s="12"/>
      <c r="CI403" s="12"/>
      <c r="CJ403" s="12"/>
      <c r="CK403" s="12"/>
      <c r="CL403" s="2"/>
      <c r="CM403" s="12"/>
      <c r="CN403" s="12"/>
      <c r="CO403" s="12"/>
      <c r="CP403" s="12"/>
      <c r="CQ403" s="12"/>
      <c r="CR403" s="46"/>
      <c r="CS403" s="46"/>
      <c r="CT403" s="2"/>
      <c r="CU403" s="49"/>
      <c r="CV403" s="49"/>
      <c r="CW403" s="2"/>
      <c r="CX403" s="2"/>
      <c r="CY403" s="160"/>
      <c r="CZ403" s="2"/>
      <c r="DA403" s="12"/>
      <c r="DB403" s="12"/>
      <c r="DC403" s="12"/>
      <c r="DD403" s="12"/>
      <c r="DE403" s="12"/>
      <c r="DF403" s="12"/>
      <c r="DG403" s="12"/>
      <c r="DH403" s="12"/>
      <c r="DI403" s="46"/>
      <c r="DJ403" s="48"/>
      <c r="DK403" s="48"/>
      <c r="DL403" s="48"/>
      <c r="DM403" s="13"/>
      <c r="DN403" s="13"/>
      <c r="DO403" s="12"/>
      <c r="DP403" s="12"/>
      <c r="DQ403" s="12"/>
      <c r="DR403" s="12"/>
      <c r="DS403" s="12"/>
      <c r="DT403" s="12"/>
      <c r="DU403" s="12"/>
      <c r="DV403" s="12"/>
      <c r="DW403" s="12"/>
      <c r="DX403" s="12"/>
      <c r="DY403" s="12"/>
      <c r="DZ403" s="12"/>
      <c r="EA403" s="12"/>
      <c r="EB403" s="12"/>
      <c r="EC403" s="12"/>
      <c r="ED403" s="12"/>
    </row>
    <row r="404" spans="1:134" ht="12.5" x14ac:dyDescent="0.25">
      <c r="A404" s="46"/>
      <c r="B404" s="46"/>
      <c r="C404" s="46"/>
      <c r="D404" s="46"/>
      <c r="E404" s="15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46"/>
      <c r="BA404" s="46"/>
      <c r="BB404" s="46"/>
      <c r="BC404" s="46"/>
      <c r="BD404" s="46"/>
      <c r="BE404" s="46"/>
      <c r="BF404" s="12"/>
      <c r="BG404" s="12"/>
      <c r="BH404" s="12"/>
      <c r="BI404" s="46"/>
      <c r="BJ404" s="46"/>
      <c r="BK404" s="46"/>
      <c r="BL404" s="46"/>
      <c r="BM404" s="46"/>
      <c r="BN404" s="46"/>
      <c r="BO404" s="46"/>
      <c r="BP404" s="46"/>
      <c r="BQ404" s="157"/>
      <c r="BR404" s="156"/>
      <c r="BS404" s="46"/>
      <c r="BT404" s="46"/>
      <c r="BU404" s="12"/>
      <c r="BV404" s="12"/>
      <c r="BW404" s="12"/>
      <c r="BX404" s="12"/>
      <c r="BY404" s="12"/>
      <c r="BZ404" s="12"/>
      <c r="CA404" s="12"/>
      <c r="CB404" s="12"/>
      <c r="CC404" s="12"/>
      <c r="CD404" s="12"/>
      <c r="CE404" s="12"/>
      <c r="CF404" s="12"/>
      <c r="CG404" s="12"/>
      <c r="CH404" s="12"/>
      <c r="CI404" s="12"/>
      <c r="CJ404" s="12"/>
      <c r="CK404" s="12"/>
      <c r="CL404" s="2"/>
      <c r="CM404" s="12"/>
      <c r="CN404" s="12"/>
      <c r="CO404" s="12"/>
      <c r="CP404" s="12"/>
      <c r="CQ404" s="12"/>
      <c r="CR404" s="46"/>
      <c r="CS404" s="46"/>
      <c r="CT404" s="2"/>
      <c r="CU404" s="49"/>
      <c r="CV404" s="49"/>
      <c r="CW404" s="2"/>
      <c r="CX404" s="2"/>
      <c r="CY404" s="51"/>
      <c r="CZ404" s="2"/>
      <c r="DA404" s="12"/>
      <c r="DB404" s="12"/>
      <c r="DC404" s="12"/>
      <c r="DD404" s="12"/>
      <c r="DE404" s="12"/>
      <c r="DF404" s="12"/>
      <c r="DG404" s="12"/>
      <c r="DH404" s="12"/>
      <c r="DI404" s="46"/>
      <c r="DJ404" s="48"/>
      <c r="DK404" s="48"/>
      <c r="DL404" s="48"/>
      <c r="DM404" s="13"/>
      <c r="DN404" s="13"/>
      <c r="DO404" s="12"/>
      <c r="DP404" s="12"/>
      <c r="DQ404" s="12"/>
      <c r="DR404" s="12"/>
      <c r="DS404" s="12"/>
      <c r="DT404" s="12"/>
      <c r="DU404" s="12"/>
      <c r="DV404" s="12"/>
      <c r="DW404" s="12"/>
      <c r="DX404" s="12"/>
      <c r="DY404" s="12"/>
      <c r="DZ404" s="12"/>
      <c r="EA404" s="12"/>
      <c r="EB404" s="12"/>
      <c r="EC404" s="12"/>
      <c r="ED404" s="12"/>
    </row>
    <row r="405" spans="1:134" ht="12.5" x14ac:dyDescent="0.25">
      <c r="A405" s="46"/>
      <c r="B405" s="46"/>
      <c r="C405" s="46"/>
      <c r="D405" s="46"/>
      <c r="E405" s="15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46"/>
      <c r="BA405" s="46"/>
      <c r="BB405" s="46"/>
      <c r="BC405" s="46"/>
      <c r="BD405" s="46"/>
      <c r="BE405" s="46"/>
      <c r="BF405" s="12"/>
      <c r="BG405" s="12"/>
      <c r="BH405" s="12"/>
      <c r="BI405" s="46"/>
      <c r="BJ405" s="46"/>
      <c r="BK405" s="46"/>
      <c r="BL405" s="46"/>
      <c r="BM405" s="46"/>
      <c r="BN405" s="46"/>
      <c r="BO405" s="46"/>
      <c r="BP405" s="46"/>
      <c r="BQ405" s="157"/>
      <c r="BR405" s="156"/>
      <c r="BS405" s="46"/>
      <c r="BT405" s="46"/>
      <c r="BU405" s="12"/>
      <c r="BV405" s="12"/>
      <c r="BW405" s="12"/>
      <c r="BX405" s="12"/>
      <c r="BY405" s="12"/>
      <c r="BZ405" s="12"/>
      <c r="CA405" s="12"/>
      <c r="CB405" s="12"/>
      <c r="CC405" s="12"/>
      <c r="CD405" s="12"/>
      <c r="CE405" s="12"/>
      <c r="CF405" s="12"/>
      <c r="CG405" s="12"/>
      <c r="CH405" s="12"/>
      <c r="CI405" s="12"/>
      <c r="CJ405" s="12"/>
      <c r="CK405" s="12"/>
      <c r="CL405" s="2"/>
      <c r="CM405" s="12"/>
      <c r="CN405" s="12"/>
      <c r="CO405" s="12"/>
      <c r="CP405" s="12"/>
      <c r="CQ405" s="12"/>
      <c r="CR405" s="46"/>
      <c r="CS405" s="46"/>
      <c r="CT405" s="2"/>
      <c r="CU405" s="49"/>
      <c r="CV405" s="49"/>
      <c r="CW405" s="2"/>
      <c r="CX405" s="2"/>
      <c r="CY405" s="51"/>
      <c r="CZ405" s="2"/>
      <c r="DA405" s="12"/>
      <c r="DB405" s="12"/>
      <c r="DC405" s="12"/>
      <c r="DD405" s="12"/>
      <c r="DE405" s="12"/>
      <c r="DF405" s="12"/>
      <c r="DG405" s="12"/>
      <c r="DH405" s="12"/>
      <c r="DI405" s="46"/>
      <c r="DJ405" s="48"/>
      <c r="DK405" s="48"/>
      <c r="DL405" s="48"/>
      <c r="DM405" s="13"/>
      <c r="DN405" s="13"/>
      <c r="DO405" s="12"/>
      <c r="DP405" s="12"/>
      <c r="DQ405" s="12"/>
      <c r="DR405" s="12"/>
      <c r="DS405" s="12"/>
      <c r="DT405" s="12"/>
      <c r="DU405" s="12"/>
      <c r="DV405" s="12"/>
      <c r="DW405" s="12"/>
      <c r="DX405" s="12"/>
      <c r="DY405" s="12"/>
      <c r="DZ405" s="12"/>
      <c r="EA405" s="12"/>
      <c r="EB405" s="12"/>
      <c r="EC405" s="12"/>
      <c r="ED405" s="12"/>
    </row>
    <row r="406" spans="1:134" ht="12.5" x14ac:dyDescent="0.25">
      <c r="A406" s="46"/>
      <c r="B406" s="46"/>
      <c r="C406" s="46"/>
      <c r="D406" s="46"/>
      <c r="E406" s="15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46"/>
      <c r="BA406" s="46"/>
      <c r="BB406" s="46"/>
      <c r="BC406" s="46"/>
      <c r="BD406" s="46"/>
      <c r="BE406" s="46"/>
      <c r="BF406" s="12"/>
      <c r="BG406" s="12"/>
      <c r="BH406" s="12"/>
      <c r="BI406" s="46"/>
      <c r="BJ406" s="46"/>
      <c r="BK406" s="46"/>
      <c r="BL406" s="46"/>
      <c r="BM406" s="46"/>
      <c r="BN406" s="46"/>
      <c r="BO406" s="46"/>
      <c r="BP406" s="46"/>
      <c r="BQ406" s="157"/>
      <c r="BR406" s="156"/>
      <c r="BS406" s="46"/>
      <c r="BT406" s="46"/>
      <c r="BU406" s="12"/>
      <c r="BV406" s="12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2"/>
      <c r="CM406" s="12"/>
      <c r="CN406" s="12"/>
      <c r="CO406" s="12"/>
      <c r="CP406" s="12"/>
      <c r="CQ406" s="12"/>
      <c r="CR406" s="46"/>
      <c r="CS406" s="46"/>
      <c r="CT406" s="2"/>
      <c r="CU406" s="49"/>
      <c r="CV406" s="49"/>
      <c r="CW406" s="2"/>
      <c r="CX406" s="2"/>
      <c r="CY406" s="51"/>
      <c r="CZ406" s="2"/>
      <c r="DA406" s="12"/>
      <c r="DB406" s="12"/>
      <c r="DC406" s="12"/>
      <c r="DD406" s="12"/>
      <c r="DE406" s="12"/>
      <c r="DF406" s="12"/>
      <c r="DG406" s="12"/>
      <c r="DH406" s="12"/>
      <c r="DI406" s="46"/>
      <c r="DJ406" s="48"/>
      <c r="DK406" s="48"/>
      <c r="DL406" s="48"/>
      <c r="DM406" s="13"/>
      <c r="DN406" s="13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</row>
    <row r="407" spans="1:134" ht="12.5" x14ac:dyDescent="0.25">
      <c r="A407" s="46"/>
      <c r="B407" s="46"/>
      <c r="C407" s="46"/>
      <c r="D407" s="46"/>
      <c r="E407" s="15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46"/>
      <c r="BA407" s="46"/>
      <c r="BB407" s="46"/>
      <c r="BC407" s="46"/>
      <c r="BD407" s="46"/>
      <c r="BE407" s="46"/>
      <c r="BF407" s="12"/>
      <c r="BG407" s="12"/>
      <c r="BH407" s="12"/>
      <c r="BI407" s="46"/>
      <c r="BJ407" s="46"/>
      <c r="BK407" s="46"/>
      <c r="BL407" s="46"/>
      <c r="BM407" s="46"/>
      <c r="BN407" s="46"/>
      <c r="BO407" s="46"/>
      <c r="BP407" s="46"/>
      <c r="BQ407" s="157"/>
      <c r="BR407" s="156"/>
      <c r="BS407" s="46"/>
      <c r="BT407" s="46"/>
      <c r="BU407" s="12"/>
      <c r="BV407" s="12"/>
      <c r="BW407" s="12"/>
      <c r="BX407" s="12"/>
      <c r="BY407" s="12"/>
      <c r="BZ407" s="12"/>
      <c r="CA407" s="12"/>
      <c r="CB407" s="12"/>
      <c r="CC407" s="12"/>
      <c r="CD407" s="12"/>
      <c r="CE407" s="12"/>
      <c r="CF407" s="12"/>
      <c r="CG407" s="12"/>
      <c r="CH407" s="12"/>
      <c r="CI407" s="12"/>
      <c r="CJ407" s="12"/>
      <c r="CK407" s="12"/>
      <c r="CL407" s="2"/>
      <c r="CM407" s="12"/>
      <c r="CN407" s="12"/>
      <c r="CO407" s="12"/>
      <c r="CP407" s="12"/>
      <c r="CQ407" s="12"/>
      <c r="CR407" s="46"/>
      <c r="CS407" s="46"/>
      <c r="CT407" s="2"/>
      <c r="CU407" s="49"/>
      <c r="CV407" s="49"/>
      <c r="CW407" s="2"/>
      <c r="CX407" s="2"/>
      <c r="CY407" s="51"/>
      <c r="CZ407" s="2"/>
      <c r="DA407" s="12"/>
      <c r="DB407" s="12"/>
      <c r="DC407" s="12"/>
      <c r="DD407" s="12"/>
      <c r="DE407" s="12"/>
      <c r="DF407" s="12"/>
      <c r="DG407" s="12"/>
      <c r="DH407" s="12"/>
      <c r="DI407" s="46"/>
      <c r="DJ407" s="48"/>
      <c r="DK407" s="48"/>
      <c r="DL407" s="48"/>
      <c r="DM407" s="13"/>
      <c r="DN407" s="13"/>
      <c r="DO407" s="12"/>
      <c r="DP407" s="12"/>
      <c r="DQ407" s="12"/>
      <c r="DR407" s="12"/>
      <c r="DS407" s="12"/>
      <c r="DT407" s="12"/>
      <c r="DU407" s="12"/>
      <c r="DV407" s="12"/>
      <c r="DW407" s="12"/>
      <c r="DX407" s="12"/>
      <c r="DY407" s="12"/>
      <c r="DZ407" s="12"/>
      <c r="EA407" s="12"/>
      <c r="EB407" s="12"/>
      <c r="EC407" s="12"/>
      <c r="ED407" s="12"/>
    </row>
    <row r="408" spans="1:134" ht="12.5" x14ac:dyDescent="0.25">
      <c r="A408" s="46"/>
      <c r="B408" s="46"/>
      <c r="C408" s="46"/>
      <c r="D408" s="46"/>
      <c r="E408" s="15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46"/>
      <c r="BA408" s="46"/>
      <c r="BB408" s="46"/>
      <c r="BC408" s="46"/>
      <c r="BD408" s="46"/>
      <c r="BE408" s="46"/>
      <c r="BF408" s="12"/>
      <c r="BG408" s="12"/>
      <c r="BH408" s="12"/>
      <c r="BI408" s="46"/>
      <c r="BJ408" s="46"/>
      <c r="BK408" s="46"/>
      <c r="BL408" s="46"/>
      <c r="BM408" s="46"/>
      <c r="BN408" s="46"/>
      <c r="BO408" s="46"/>
      <c r="BP408" s="46"/>
      <c r="BQ408" s="157"/>
      <c r="BR408" s="156"/>
      <c r="BS408" s="46"/>
      <c r="BT408" s="46"/>
      <c r="BU408" s="12"/>
      <c r="BV408" s="12"/>
      <c r="BW408" s="12"/>
      <c r="BX408" s="12"/>
      <c r="BY408" s="12"/>
      <c r="BZ408" s="12"/>
      <c r="CA408" s="12"/>
      <c r="CB408" s="12"/>
      <c r="CC408" s="12"/>
      <c r="CD408" s="12"/>
      <c r="CE408" s="12"/>
      <c r="CF408" s="12"/>
      <c r="CG408" s="12"/>
      <c r="CH408" s="12"/>
      <c r="CI408" s="12"/>
      <c r="CJ408" s="12"/>
      <c r="CK408" s="12"/>
      <c r="CL408" s="2"/>
      <c r="CM408" s="12"/>
      <c r="CN408" s="12"/>
      <c r="CO408" s="12"/>
      <c r="CP408" s="12"/>
      <c r="CQ408" s="12"/>
      <c r="CR408" s="46"/>
      <c r="CS408" s="46"/>
      <c r="CT408" s="2"/>
      <c r="CU408" s="49"/>
      <c r="CV408" s="49"/>
      <c r="CW408" s="2"/>
      <c r="CX408" s="2"/>
      <c r="CY408" s="51"/>
      <c r="CZ408" s="2"/>
      <c r="DA408" s="12"/>
      <c r="DB408" s="12"/>
      <c r="DC408" s="12"/>
      <c r="DD408" s="12"/>
      <c r="DE408" s="12"/>
      <c r="DF408" s="12"/>
      <c r="DG408" s="12"/>
      <c r="DH408" s="12"/>
      <c r="DI408" s="46"/>
      <c r="DJ408" s="48"/>
      <c r="DK408" s="48"/>
      <c r="DL408" s="48"/>
      <c r="DM408" s="13"/>
      <c r="DN408" s="13"/>
      <c r="DO408" s="12"/>
      <c r="DP408" s="12"/>
      <c r="DQ408" s="12"/>
      <c r="DR408" s="12"/>
      <c r="DS408" s="12"/>
      <c r="DT408" s="12"/>
      <c r="DU408" s="12"/>
      <c r="DV408" s="12"/>
      <c r="DW408" s="12"/>
      <c r="DX408" s="12"/>
      <c r="DY408" s="12"/>
      <c r="DZ408" s="12"/>
      <c r="EA408" s="12"/>
      <c r="EB408" s="12"/>
      <c r="EC408" s="12"/>
      <c r="ED408" s="12"/>
    </row>
    <row r="409" spans="1:134" ht="12.5" x14ac:dyDescent="0.25">
      <c r="A409" s="46"/>
      <c r="B409" s="46"/>
      <c r="C409" s="46"/>
      <c r="D409" s="46"/>
      <c r="E409" s="15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46"/>
      <c r="BA409" s="46"/>
      <c r="BB409" s="46"/>
      <c r="BC409" s="46"/>
      <c r="BD409" s="46"/>
      <c r="BE409" s="46"/>
      <c r="BF409" s="12"/>
      <c r="BG409" s="12"/>
      <c r="BH409" s="12"/>
      <c r="BI409" s="46"/>
      <c r="BJ409" s="46"/>
      <c r="BK409" s="46"/>
      <c r="BL409" s="46"/>
      <c r="BM409" s="46"/>
      <c r="BN409" s="46"/>
      <c r="BO409" s="46"/>
      <c r="BP409" s="46"/>
      <c r="BQ409" s="157"/>
      <c r="BR409" s="156"/>
      <c r="BS409" s="46"/>
      <c r="BT409" s="46"/>
      <c r="BU409" s="12"/>
      <c r="BV409" s="12"/>
      <c r="BW409" s="12"/>
      <c r="BX409" s="12"/>
      <c r="BY409" s="12"/>
      <c r="BZ409" s="12"/>
      <c r="CA409" s="12"/>
      <c r="CB409" s="12"/>
      <c r="CC409" s="12"/>
      <c r="CD409" s="12"/>
      <c r="CE409" s="12"/>
      <c r="CF409" s="12"/>
      <c r="CG409" s="12"/>
      <c r="CH409" s="12"/>
      <c r="CI409" s="12"/>
      <c r="CJ409" s="12"/>
      <c r="CK409" s="12"/>
      <c r="CL409" s="2"/>
      <c r="CM409" s="12"/>
      <c r="CN409" s="12"/>
      <c r="CO409" s="12"/>
      <c r="CP409" s="12"/>
      <c r="CQ409" s="12"/>
      <c r="CR409" s="46"/>
      <c r="CS409" s="46"/>
      <c r="CT409" s="2"/>
      <c r="CU409" s="49"/>
      <c r="CV409" s="49"/>
      <c r="CW409" s="2"/>
      <c r="CX409" s="2"/>
      <c r="CY409" s="51"/>
      <c r="CZ409" s="2"/>
      <c r="DA409" s="12"/>
      <c r="DB409" s="12"/>
      <c r="DC409" s="12"/>
      <c r="DD409" s="12"/>
      <c r="DE409" s="12"/>
      <c r="DF409" s="12"/>
      <c r="DG409" s="12"/>
      <c r="DH409" s="12"/>
      <c r="DI409" s="46"/>
      <c r="DJ409" s="48"/>
      <c r="DK409" s="48"/>
      <c r="DL409" s="48"/>
      <c r="DM409" s="13"/>
      <c r="DN409" s="13"/>
      <c r="DO409" s="12"/>
      <c r="DP409" s="12"/>
      <c r="DQ409" s="12"/>
      <c r="DR409" s="12"/>
      <c r="DS409" s="12"/>
      <c r="DT409" s="12"/>
      <c r="DU409" s="12"/>
      <c r="DV409" s="12"/>
      <c r="DW409" s="12"/>
      <c r="DX409" s="12"/>
      <c r="DY409" s="12"/>
      <c r="DZ409" s="12"/>
      <c r="EA409" s="12"/>
      <c r="EB409" s="12"/>
      <c r="EC409" s="12"/>
      <c r="ED409" s="12"/>
    </row>
    <row r="410" spans="1:134" ht="12.5" x14ac:dyDescent="0.25">
      <c r="A410" s="46"/>
      <c r="B410" s="46"/>
      <c r="C410" s="46"/>
      <c r="D410" s="46"/>
      <c r="E410" s="15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46"/>
      <c r="BA410" s="46"/>
      <c r="BB410" s="46"/>
      <c r="BC410" s="46"/>
      <c r="BD410" s="46"/>
      <c r="BE410" s="46"/>
      <c r="BF410" s="12"/>
      <c r="BG410" s="12"/>
      <c r="BH410" s="12"/>
      <c r="BI410" s="46"/>
      <c r="BJ410" s="46"/>
      <c r="BK410" s="46"/>
      <c r="BL410" s="46"/>
      <c r="BM410" s="46"/>
      <c r="BN410" s="46"/>
      <c r="BO410" s="46"/>
      <c r="BP410" s="46"/>
      <c r="BQ410" s="157"/>
      <c r="BR410" s="156"/>
      <c r="BS410" s="46"/>
      <c r="BT410" s="46"/>
      <c r="BU410" s="12"/>
      <c r="BV410" s="12"/>
      <c r="BW410" s="12"/>
      <c r="BX410" s="12"/>
      <c r="BY410" s="12"/>
      <c r="BZ410" s="12"/>
      <c r="CA410" s="12"/>
      <c r="CB410" s="12"/>
      <c r="CC410" s="12"/>
      <c r="CD410" s="12"/>
      <c r="CE410" s="12"/>
      <c r="CF410" s="12"/>
      <c r="CG410" s="12"/>
      <c r="CH410" s="12"/>
      <c r="CI410" s="12"/>
      <c r="CJ410" s="12"/>
      <c r="CK410" s="12"/>
      <c r="CL410" s="2"/>
      <c r="CM410" s="12"/>
      <c r="CN410" s="12"/>
      <c r="CO410" s="12"/>
      <c r="CP410" s="12"/>
      <c r="CQ410" s="12"/>
      <c r="CR410" s="46"/>
      <c r="CS410" s="46"/>
      <c r="CT410" s="2"/>
      <c r="CU410" s="49"/>
      <c r="CV410" s="49"/>
      <c r="CW410" s="2"/>
      <c r="CX410" s="2"/>
      <c r="CY410" s="51"/>
      <c r="CZ410" s="2"/>
      <c r="DA410" s="12"/>
      <c r="DB410" s="12"/>
      <c r="DC410" s="12"/>
      <c r="DD410" s="12"/>
      <c r="DE410" s="12"/>
      <c r="DF410" s="12"/>
      <c r="DG410" s="12"/>
      <c r="DH410" s="12"/>
      <c r="DI410" s="46"/>
      <c r="DJ410" s="48"/>
      <c r="DK410" s="48"/>
      <c r="DL410" s="48"/>
      <c r="DM410" s="13"/>
      <c r="DN410" s="13"/>
      <c r="DO410" s="12"/>
      <c r="DP410" s="12"/>
      <c r="DQ410" s="12"/>
      <c r="DR410" s="12"/>
      <c r="DS410" s="12"/>
      <c r="DT410" s="12"/>
      <c r="DU410" s="12"/>
      <c r="DV410" s="12"/>
      <c r="DW410" s="12"/>
      <c r="DX410" s="12"/>
      <c r="DY410" s="12"/>
      <c r="DZ410" s="12"/>
      <c r="EA410" s="12"/>
      <c r="EB410" s="12"/>
      <c r="EC410" s="12"/>
      <c r="ED410" s="12"/>
    </row>
    <row r="411" spans="1:134" ht="12.5" x14ac:dyDescent="0.25">
      <c r="A411" s="46"/>
      <c r="B411" s="46"/>
      <c r="C411" s="46"/>
      <c r="D411" s="46"/>
      <c r="E411" s="15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46"/>
      <c r="BA411" s="46"/>
      <c r="BB411" s="46"/>
      <c r="BC411" s="46"/>
      <c r="BD411" s="46"/>
      <c r="BE411" s="46"/>
      <c r="BF411" s="12"/>
      <c r="BG411" s="12"/>
      <c r="BH411" s="12"/>
      <c r="BI411" s="46"/>
      <c r="BJ411" s="46"/>
      <c r="BK411" s="46"/>
      <c r="BL411" s="46"/>
      <c r="BM411" s="46"/>
      <c r="BN411" s="46"/>
      <c r="BO411" s="46"/>
      <c r="BP411" s="46"/>
      <c r="BQ411" s="157"/>
      <c r="BR411" s="156"/>
      <c r="BS411" s="46"/>
      <c r="BT411" s="46"/>
      <c r="BU411" s="12"/>
      <c r="BV411" s="12"/>
      <c r="BW411" s="12"/>
      <c r="BX411" s="12"/>
      <c r="BY411" s="12"/>
      <c r="BZ411" s="12"/>
      <c r="CA411" s="12"/>
      <c r="CB411" s="12"/>
      <c r="CC411" s="12"/>
      <c r="CD411" s="12"/>
      <c r="CE411" s="12"/>
      <c r="CF411" s="12"/>
      <c r="CG411" s="12"/>
      <c r="CH411" s="12"/>
      <c r="CI411" s="12"/>
      <c r="CJ411" s="12"/>
      <c r="CK411" s="12"/>
      <c r="CL411" s="2"/>
      <c r="CM411" s="12"/>
      <c r="CN411" s="12"/>
      <c r="CO411" s="12"/>
      <c r="CP411" s="12"/>
      <c r="CQ411" s="12"/>
      <c r="CR411" s="46"/>
      <c r="CS411" s="46"/>
      <c r="CT411" s="2"/>
      <c r="CU411" s="49"/>
      <c r="CV411" s="49"/>
      <c r="CW411" s="2"/>
      <c r="CX411" s="2"/>
      <c r="CY411" s="51"/>
      <c r="CZ411" s="2"/>
      <c r="DA411" s="12"/>
      <c r="DB411" s="12"/>
      <c r="DC411" s="12"/>
      <c r="DD411" s="12"/>
      <c r="DE411" s="12"/>
      <c r="DF411" s="12"/>
      <c r="DG411" s="12"/>
      <c r="DH411" s="12"/>
      <c r="DI411" s="46"/>
      <c r="DJ411" s="48"/>
      <c r="DK411" s="48"/>
      <c r="DL411" s="48"/>
      <c r="DM411" s="13"/>
      <c r="DN411" s="13"/>
      <c r="DO411" s="12"/>
      <c r="DP411" s="12"/>
      <c r="DQ411" s="12"/>
      <c r="DR411" s="12"/>
      <c r="DS411" s="12"/>
      <c r="DT411" s="12"/>
      <c r="DU411" s="12"/>
      <c r="DV411" s="12"/>
      <c r="DW411" s="12"/>
      <c r="DX411" s="12"/>
      <c r="DY411" s="12"/>
      <c r="DZ411" s="12"/>
      <c r="EA411" s="12"/>
      <c r="EB411" s="12"/>
      <c r="EC411" s="12"/>
      <c r="ED411" s="12"/>
    </row>
    <row r="412" spans="1:134" ht="12.5" x14ac:dyDescent="0.25">
      <c r="A412" s="46"/>
      <c r="B412" s="46"/>
      <c r="C412" s="46"/>
      <c r="D412" s="46"/>
      <c r="E412" s="15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46"/>
      <c r="BA412" s="46"/>
      <c r="BB412" s="46"/>
      <c r="BC412" s="46"/>
      <c r="BD412" s="46"/>
      <c r="BE412" s="46"/>
      <c r="BF412" s="12"/>
      <c r="BG412" s="12"/>
      <c r="BH412" s="12"/>
      <c r="BI412" s="46"/>
      <c r="BJ412" s="46"/>
      <c r="BK412" s="46"/>
      <c r="BL412" s="46"/>
      <c r="BM412" s="46"/>
      <c r="BN412" s="46"/>
      <c r="BO412" s="46"/>
      <c r="BP412" s="46"/>
      <c r="BQ412" s="157"/>
      <c r="BR412" s="156"/>
      <c r="BS412" s="46"/>
      <c r="BT412" s="46"/>
      <c r="BU412" s="12"/>
      <c r="BV412" s="12"/>
      <c r="BW412" s="12"/>
      <c r="BX412" s="12"/>
      <c r="BY412" s="12"/>
      <c r="BZ412" s="12"/>
      <c r="CA412" s="12"/>
      <c r="CB412" s="12"/>
      <c r="CC412" s="12"/>
      <c r="CD412" s="12"/>
      <c r="CE412" s="12"/>
      <c r="CF412" s="12"/>
      <c r="CG412" s="12"/>
      <c r="CH412" s="12"/>
      <c r="CI412" s="12"/>
      <c r="CJ412" s="12"/>
      <c r="CK412" s="12"/>
      <c r="CL412" s="2"/>
      <c r="CM412" s="12"/>
      <c r="CN412" s="12"/>
      <c r="CO412" s="12"/>
      <c r="CP412" s="12"/>
      <c r="CQ412" s="12"/>
      <c r="CR412" s="46"/>
      <c r="CS412" s="46"/>
      <c r="CT412" s="2"/>
      <c r="CU412" s="49"/>
      <c r="CV412" s="49"/>
      <c r="CW412" s="2"/>
      <c r="CX412" s="2"/>
      <c r="CY412" s="51"/>
      <c r="CZ412" s="2"/>
      <c r="DA412" s="12"/>
      <c r="DB412" s="12"/>
      <c r="DC412" s="12"/>
      <c r="DD412" s="12"/>
      <c r="DE412" s="12"/>
      <c r="DF412" s="12"/>
      <c r="DG412" s="12"/>
      <c r="DH412" s="12"/>
      <c r="DI412" s="46"/>
      <c r="DJ412" s="48"/>
      <c r="DK412" s="48"/>
      <c r="DL412" s="48"/>
      <c r="DM412" s="13"/>
      <c r="DN412" s="13"/>
      <c r="DO412" s="12"/>
      <c r="DP412" s="12"/>
      <c r="DQ412" s="12"/>
      <c r="DR412" s="12"/>
      <c r="DS412" s="12"/>
      <c r="DT412" s="12"/>
      <c r="DU412" s="12"/>
      <c r="DV412" s="12"/>
      <c r="DW412" s="12"/>
      <c r="DX412" s="12"/>
      <c r="DY412" s="12"/>
      <c r="DZ412" s="12"/>
      <c r="EA412" s="12"/>
      <c r="EB412" s="12"/>
      <c r="EC412" s="12"/>
      <c r="ED412" s="12"/>
    </row>
    <row r="413" spans="1:134" ht="12.5" x14ac:dyDescent="0.25">
      <c r="A413" s="46"/>
      <c r="B413" s="46"/>
      <c r="C413" s="46"/>
      <c r="D413" s="46"/>
      <c r="E413" s="15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46"/>
      <c r="BA413" s="46"/>
      <c r="BB413" s="46"/>
      <c r="BC413" s="46"/>
      <c r="BD413" s="46"/>
      <c r="BE413" s="46"/>
      <c r="BF413" s="12"/>
      <c r="BG413" s="12"/>
      <c r="BH413" s="12"/>
      <c r="BI413" s="46"/>
      <c r="BJ413" s="46"/>
      <c r="BK413" s="46"/>
      <c r="BL413" s="46"/>
      <c r="BM413" s="46"/>
      <c r="BN413" s="46"/>
      <c r="BO413" s="46"/>
      <c r="BP413" s="46"/>
      <c r="BQ413" s="157"/>
      <c r="BR413" s="156"/>
      <c r="BS413" s="46"/>
      <c r="BT413" s="46"/>
      <c r="BU413" s="12"/>
      <c r="BV413" s="12"/>
      <c r="BW413" s="12"/>
      <c r="BX413" s="12"/>
      <c r="BY413" s="12"/>
      <c r="BZ413" s="12"/>
      <c r="CA413" s="12"/>
      <c r="CB413" s="12"/>
      <c r="CC413" s="12"/>
      <c r="CD413" s="12"/>
      <c r="CE413" s="12"/>
      <c r="CF413" s="12"/>
      <c r="CG413" s="12"/>
      <c r="CH413" s="12"/>
      <c r="CI413" s="12"/>
      <c r="CJ413" s="12"/>
      <c r="CK413" s="12"/>
      <c r="CL413" s="2"/>
      <c r="CM413" s="12"/>
      <c r="CN413" s="12"/>
      <c r="CO413" s="12"/>
      <c r="CP413" s="12"/>
      <c r="CQ413" s="12"/>
      <c r="CR413" s="46"/>
      <c r="CS413" s="46"/>
      <c r="CT413" s="2"/>
      <c r="CU413" s="49"/>
      <c r="CV413" s="49"/>
      <c r="CW413" s="2"/>
      <c r="CX413" s="2"/>
      <c r="CY413" s="51"/>
      <c r="CZ413" s="2"/>
      <c r="DA413" s="12"/>
      <c r="DB413" s="12"/>
      <c r="DC413" s="12"/>
      <c r="DD413" s="12"/>
      <c r="DE413" s="12"/>
      <c r="DF413" s="12"/>
      <c r="DG413" s="12"/>
      <c r="DH413" s="12"/>
      <c r="DI413" s="46"/>
      <c r="DJ413" s="48"/>
      <c r="DK413" s="48"/>
      <c r="DL413" s="48"/>
      <c r="DM413" s="13"/>
      <c r="DN413" s="13"/>
      <c r="DO413" s="12"/>
      <c r="DP413" s="12"/>
      <c r="DQ413" s="12"/>
      <c r="DR413" s="12"/>
      <c r="DS413" s="12"/>
      <c r="DT413" s="12"/>
      <c r="DU413" s="12"/>
      <c r="DV413" s="12"/>
      <c r="DW413" s="12"/>
      <c r="DX413" s="12"/>
      <c r="DY413" s="12"/>
      <c r="DZ413" s="12"/>
      <c r="EA413" s="12"/>
      <c r="EB413" s="12"/>
      <c r="EC413" s="12"/>
      <c r="ED413" s="12"/>
    </row>
    <row r="414" spans="1:134" ht="12.5" x14ac:dyDescent="0.25">
      <c r="A414" s="46"/>
      <c r="B414" s="46"/>
      <c r="C414" s="46"/>
      <c r="D414" s="46"/>
      <c r="E414" s="15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46"/>
      <c r="BA414" s="46"/>
      <c r="BB414" s="46"/>
      <c r="BC414" s="46"/>
      <c r="BD414" s="46"/>
      <c r="BE414" s="46"/>
      <c r="BF414" s="12"/>
      <c r="BG414" s="12"/>
      <c r="BH414" s="12"/>
      <c r="BI414" s="46"/>
      <c r="BJ414" s="46"/>
      <c r="BK414" s="46"/>
      <c r="BL414" s="46"/>
      <c r="BM414" s="46"/>
      <c r="BN414" s="46"/>
      <c r="BO414" s="46"/>
      <c r="BP414" s="46"/>
      <c r="BQ414" s="157"/>
      <c r="BR414" s="156"/>
      <c r="BS414" s="46"/>
      <c r="BT414" s="46"/>
      <c r="BU414" s="12"/>
      <c r="BV414" s="12"/>
      <c r="BW414" s="12"/>
      <c r="BX414" s="12"/>
      <c r="BY414" s="12"/>
      <c r="BZ414" s="12"/>
      <c r="CA414" s="12"/>
      <c r="CB414" s="12"/>
      <c r="CC414" s="12"/>
      <c r="CD414" s="12"/>
      <c r="CE414" s="12"/>
      <c r="CF414" s="12"/>
      <c r="CG414" s="12"/>
      <c r="CH414" s="12"/>
      <c r="CI414" s="12"/>
      <c r="CJ414" s="12"/>
      <c r="CK414" s="12"/>
      <c r="CL414" s="2"/>
      <c r="CM414" s="12"/>
      <c r="CN414" s="12"/>
      <c r="CO414" s="12"/>
      <c r="CP414" s="12"/>
      <c r="CQ414" s="12"/>
      <c r="CR414" s="46"/>
      <c r="CS414" s="46"/>
      <c r="CT414" s="2"/>
      <c r="CU414" s="49"/>
      <c r="CV414" s="49"/>
      <c r="CW414" s="2"/>
      <c r="CX414" s="2"/>
      <c r="CY414" s="51"/>
      <c r="CZ414" s="2"/>
      <c r="DA414" s="12"/>
      <c r="DB414" s="12"/>
      <c r="DC414" s="12"/>
      <c r="DD414" s="12"/>
      <c r="DE414" s="12"/>
      <c r="DF414" s="12"/>
      <c r="DG414" s="12"/>
      <c r="DH414" s="12"/>
      <c r="DI414" s="46"/>
      <c r="DJ414" s="48"/>
      <c r="DK414" s="48"/>
      <c r="DL414" s="48"/>
      <c r="DM414" s="13"/>
      <c r="DN414" s="13"/>
      <c r="DO414" s="12"/>
      <c r="DP414" s="12"/>
      <c r="DQ414" s="12"/>
      <c r="DR414" s="12"/>
      <c r="DS414" s="12"/>
      <c r="DT414" s="12"/>
      <c r="DU414" s="12"/>
      <c r="DV414" s="12"/>
      <c r="DW414" s="12"/>
      <c r="DX414" s="12"/>
      <c r="DY414" s="12"/>
      <c r="DZ414" s="12"/>
      <c r="EA414" s="12"/>
      <c r="EB414" s="12"/>
      <c r="EC414" s="12"/>
      <c r="ED414" s="12"/>
    </row>
    <row r="415" spans="1:134" ht="12.5" x14ac:dyDescent="0.25">
      <c r="A415" s="46"/>
      <c r="B415" s="46"/>
      <c r="C415" s="46"/>
      <c r="D415" s="46"/>
      <c r="E415" s="15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46"/>
      <c r="BA415" s="46"/>
      <c r="BB415" s="46"/>
      <c r="BC415" s="46"/>
      <c r="BD415" s="46"/>
      <c r="BE415" s="46"/>
      <c r="BF415" s="12"/>
      <c r="BG415" s="12"/>
      <c r="BH415" s="12"/>
      <c r="BI415" s="46"/>
      <c r="BJ415" s="46"/>
      <c r="BK415" s="46"/>
      <c r="BL415" s="46"/>
      <c r="BM415" s="46"/>
      <c r="BN415" s="46"/>
      <c r="BO415" s="46"/>
      <c r="BP415" s="46"/>
      <c r="BQ415" s="157"/>
      <c r="BR415" s="156"/>
      <c r="BS415" s="46"/>
      <c r="BT415" s="46"/>
      <c r="BU415" s="12"/>
      <c r="BV415" s="12"/>
      <c r="BW415" s="12"/>
      <c r="BX415" s="12"/>
      <c r="BY415" s="12"/>
      <c r="BZ415" s="12"/>
      <c r="CA415" s="12"/>
      <c r="CB415" s="12"/>
      <c r="CC415" s="12"/>
      <c r="CD415" s="12"/>
      <c r="CE415" s="12"/>
      <c r="CF415" s="12"/>
      <c r="CG415" s="12"/>
      <c r="CH415" s="12"/>
      <c r="CI415" s="12"/>
      <c r="CJ415" s="12"/>
      <c r="CK415" s="12"/>
      <c r="CL415" s="2"/>
      <c r="CM415" s="12"/>
      <c r="CN415" s="12"/>
      <c r="CO415" s="12"/>
      <c r="CP415" s="12"/>
      <c r="CQ415" s="12"/>
      <c r="CR415" s="46"/>
      <c r="CS415" s="46"/>
      <c r="CT415" s="2"/>
      <c r="CU415" s="49"/>
      <c r="CV415" s="49"/>
      <c r="CW415" s="2"/>
      <c r="CX415" s="2"/>
      <c r="CY415" s="51"/>
      <c r="CZ415" s="2"/>
      <c r="DA415" s="12"/>
      <c r="DB415" s="12"/>
      <c r="DC415" s="12"/>
      <c r="DD415" s="12"/>
      <c r="DE415" s="12"/>
      <c r="DF415" s="12"/>
      <c r="DG415" s="12"/>
      <c r="DH415" s="12"/>
      <c r="DI415" s="46"/>
      <c r="DJ415" s="48"/>
      <c r="DK415" s="48"/>
      <c r="DL415" s="48"/>
      <c r="DM415" s="13"/>
      <c r="DN415" s="13"/>
      <c r="DO415" s="12"/>
      <c r="DP415" s="12"/>
      <c r="DQ415" s="12"/>
      <c r="DR415" s="12"/>
      <c r="DS415" s="12"/>
      <c r="DT415" s="12"/>
      <c r="DU415" s="12"/>
      <c r="DV415" s="12"/>
      <c r="DW415" s="12"/>
      <c r="DX415" s="12"/>
      <c r="DY415" s="12"/>
      <c r="DZ415" s="12"/>
      <c r="EA415" s="12"/>
      <c r="EB415" s="12"/>
      <c r="EC415" s="12"/>
      <c r="ED415" s="12"/>
    </row>
    <row r="416" spans="1:134" ht="12.5" x14ac:dyDescent="0.25">
      <c r="A416" s="46"/>
      <c r="B416" s="46"/>
      <c r="C416" s="46"/>
      <c r="D416" s="46"/>
      <c r="E416" s="15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46"/>
      <c r="BA416" s="46"/>
      <c r="BB416" s="46"/>
      <c r="BC416" s="46"/>
      <c r="BD416" s="46"/>
      <c r="BE416" s="46"/>
      <c r="BF416" s="12"/>
      <c r="BG416" s="12"/>
      <c r="BH416" s="12"/>
      <c r="BI416" s="46"/>
      <c r="BJ416" s="46"/>
      <c r="BK416" s="46"/>
      <c r="BL416" s="46"/>
      <c r="BM416" s="46"/>
      <c r="BN416" s="46"/>
      <c r="BO416" s="46"/>
      <c r="BP416" s="46"/>
      <c r="BQ416" s="157"/>
      <c r="BR416" s="156"/>
      <c r="BS416" s="46"/>
      <c r="BT416" s="46"/>
      <c r="BU416" s="12"/>
      <c r="BV416" s="12"/>
      <c r="BW416" s="12"/>
      <c r="BX416" s="12"/>
      <c r="BY416" s="12"/>
      <c r="BZ416" s="12"/>
      <c r="CA416" s="12"/>
      <c r="CB416" s="12"/>
      <c r="CC416" s="12"/>
      <c r="CD416" s="12"/>
      <c r="CE416" s="12"/>
      <c r="CF416" s="12"/>
      <c r="CG416" s="12"/>
      <c r="CH416" s="12"/>
      <c r="CI416" s="12"/>
      <c r="CJ416" s="12"/>
      <c r="CK416" s="12"/>
      <c r="CL416" s="2"/>
      <c r="CM416" s="12"/>
      <c r="CN416" s="12"/>
      <c r="CO416" s="12"/>
      <c r="CP416" s="12"/>
      <c r="CQ416" s="12"/>
      <c r="CR416" s="46"/>
      <c r="CS416" s="46"/>
      <c r="CT416" s="2"/>
      <c r="CU416" s="49"/>
      <c r="CV416" s="49"/>
      <c r="CW416" s="2"/>
      <c r="CX416" s="2"/>
      <c r="CY416" s="51"/>
      <c r="CZ416" s="2"/>
      <c r="DA416" s="12"/>
      <c r="DB416" s="12"/>
      <c r="DC416" s="12"/>
      <c r="DD416" s="12"/>
      <c r="DE416" s="12"/>
      <c r="DF416" s="12"/>
      <c r="DG416" s="12"/>
      <c r="DH416" s="12"/>
      <c r="DI416" s="46"/>
      <c r="DJ416" s="48"/>
      <c r="DK416" s="48"/>
      <c r="DL416" s="48"/>
      <c r="DM416" s="13"/>
      <c r="DN416" s="13"/>
      <c r="DO416" s="12"/>
      <c r="DP416" s="12"/>
      <c r="DQ416" s="12"/>
      <c r="DR416" s="12"/>
      <c r="DS416" s="12"/>
      <c r="DT416" s="12"/>
      <c r="DU416" s="12"/>
      <c r="DV416" s="12"/>
      <c r="DW416" s="12"/>
      <c r="DX416" s="12"/>
      <c r="DY416" s="12"/>
      <c r="DZ416" s="12"/>
      <c r="EA416" s="12"/>
      <c r="EB416" s="12"/>
      <c r="EC416" s="12"/>
      <c r="ED416" s="12"/>
    </row>
    <row r="417" spans="1:134" ht="12.5" x14ac:dyDescent="0.25">
      <c r="A417" s="46"/>
      <c r="B417" s="46"/>
      <c r="C417" s="46"/>
      <c r="D417" s="46"/>
      <c r="E417" s="15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46"/>
      <c r="BA417" s="46"/>
      <c r="BB417" s="46"/>
      <c r="BC417" s="46"/>
      <c r="BD417" s="46"/>
      <c r="BE417" s="46"/>
      <c r="BF417" s="12"/>
      <c r="BG417" s="12"/>
      <c r="BH417" s="12"/>
      <c r="BI417" s="46"/>
      <c r="BJ417" s="46"/>
      <c r="BK417" s="46"/>
      <c r="BL417" s="46"/>
      <c r="BM417" s="46"/>
      <c r="BN417" s="46"/>
      <c r="BO417" s="46"/>
      <c r="BP417" s="46"/>
      <c r="BQ417" s="157"/>
      <c r="BR417" s="156"/>
      <c r="BS417" s="46"/>
      <c r="BT417" s="46"/>
      <c r="BU417" s="12"/>
      <c r="BV417" s="12"/>
      <c r="BW417" s="12"/>
      <c r="BX417" s="12"/>
      <c r="BY417" s="12"/>
      <c r="BZ417" s="12"/>
      <c r="CA417" s="12"/>
      <c r="CB417" s="12"/>
      <c r="CC417" s="12"/>
      <c r="CD417" s="12"/>
      <c r="CE417" s="12"/>
      <c r="CF417" s="12"/>
      <c r="CG417" s="12"/>
      <c r="CH417" s="12"/>
      <c r="CI417" s="12"/>
      <c r="CJ417" s="12"/>
      <c r="CK417" s="12"/>
      <c r="CL417" s="12"/>
      <c r="CM417" s="12"/>
      <c r="CN417" s="12"/>
      <c r="CO417" s="12"/>
      <c r="CP417" s="12"/>
      <c r="CQ417" s="12"/>
      <c r="CR417" s="46"/>
      <c r="CS417" s="46"/>
      <c r="CT417" s="2"/>
      <c r="CU417" s="49"/>
      <c r="CV417" s="49"/>
      <c r="CW417" s="2"/>
      <c r="CX417" s="2"/>
      <c r="CY417" s="51"/>
      <c r="CZ417" s="2"/>
      <c r="DA417" s="12"/>
      <c r="DB417" s="12"/>
      <c r="DC417" s="12"/>
      <c r="DD417" s="12"/>
      <c r="DE417" s="12"/>
      <c r="DF417" s="12"/>
      <c r="DG417" s="12"/>
      <c r="DH417" s="12"/>
      <c r="DI417" s="46"/>
      <c r="DJ417" s="48"/>
      <c r="DK417" s="48"/>
      <c r="DL417" s="48"/>
      <c r="DM417" s="13"/>
      <c r="DN417" s="13"/>
      <c r="DO417" s="12"/>
      <c r="DP417" s="12"/>
      <c r="DQ417" s="12"/>
      <c r="DR417" s="12"/>
      <c r="DS417" s="12"/>
      <c r="DT417" s="12"/>
      <c r="DU417" s="12"/>
      <c r="DV417" s="12"/>
      <c r="DW417" s="12"/>
      <c r="DX417" s="12"/>
      <c r="DY417" s="12"/>
      <c r="DZ417" s="12"/>
      <c r="EA417" s="12"/>
      <c r="EB417" s="12"/>
      <c r="EC417" s="12"/>
      <c r="ED417" s="12"/>
    </row>
    <row r="418" spans="1:134" ht="12.5" x14ac:dyDescent="0.25">
      <c r="A418" s="46"/>
      <c r="B418" s="46"/>
      <c r="C418" s="46"/>
      <c r="D418" s="46"/>
      <c r="E418" s="15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46"/>
      <c r="BA418" s="46"/>
      <c r="BB418" s="46"/>
      <c r="BC418" s="46"/>
      <c r="BD418" s="46"/>
      <c r="BE418" s="46"/>
      <c r="BF418" s="12"/>
      <c r="BG418" s="12"/>
      <c r="BH418" s="12"/>
      <c r="BI418" s="46"/>
      <c r="BJ418" s="46"/>
      <c r="BK418" s="46"/>
      <c r="BL418" s="46"/>
      <c r="BM418" s="46"/>
      <c r="BN418" s="46"/>
      <c r="BO418" s="46"/>
      <c r="BP418" s="46"/>
      <c r="BQ418" s="157"/>
      <c r="BR418" s="156"/>
      <c r="BS418" s="46"/>
      <c r="BT418" s="46"/>
      <c r="BU418" s="12"/>
      <c r="BV418" s="12"/>
      <c r="BW418" s="12"/>
      <c r="BX418" s="12"/>
      <c r="BY418" s="12"/>
      <c r="BZ418" s="12"/>
      <c r="CA418" s="12"/>
      <c r="CB418" s="12"/>
      <c r="CC418" s="12"/>
      <c r="CD418" s="12"/>
      <c r="CE418" s="12"/>
      <c r="CF418" s="12"/>
      <c r="CG418" s="12"/>
      <c r="CH418" s="12"/>
      <c r="CI418" s="12"/>
      <c r="CJ418" s="12"/>
      <c r="CK418" s="12"/>
      <c r="CL418" s="2"/>
      <c r="CM418" s="12"/>
      <c r="CN418" s="12"/>
      <c r="CO418" s="12"/>
      <c r="CP418" s="12"/>
      <c r="CQ418" s="12"/>
      <c r="CR418" s="46"/>
      <c r="CS418" s="46"/>
      <c r="CT418" s="2"/>
      <c r="CU418" s="49"/>
      <c r="CV418" s="49"/>
      <c r="CW418" s="2"/>
      <c r="CX418" s="2"/>
      <c r="CY418" s="51"/>
      <c r="CZ418" s="2"/>
      <c r="DA418" s="12"/>
      <c r="DB418" s="12"/>
      <c r="DC418" s="12"/>
      <c r="DD418" s="12"/>
      <c r="DE418" s="12"/>
      <c r="DF418" s="12"/>
      <c r="DG418" s="12"/>
      <c r="DH418" s="12"/>
      <c r="DI418" s="46"/>
      <c r="DJ418" s="48"/>
      <c r="DK418" s="48"/>
      <c r="DL418" s="48"/>
      <c r="DM418" s="13"/>
      <c r="DN418" s="13"/>
      <c r="DO418" s="12"/>
      <c r="DP418" s="12"/>
      <c r="DQ418" s="12"/>
      <c r="DR418" s="12"/>
      <c r="DS418" s="12"/>
      <c r="DT418" s="12"/>
      <c r="DU418" s="12"/>
      <c r="DV418" s="12"/>
      <c r="DW418" s="12"/>
      <c r="DX418" s="12"/>
      <c r="DY418" s="12"/>
      <c r="DZ418" s="12"/>
      <c r="EA418" s="12"/>
      <c r="EB418" s="12"/>
      <c r="EC418" s="12"/>
      <c r="ED418" s="12"/>
    </row>
    <row r="419" spans="1:134" ht="12.5" x14ac:dyDescent="0.25">
      <c r="A419" s="46"/>
      <c r="B419" s="46"/>
      <c r="C419" s="46"/>
      <c r="D419" s="46"/>
      <c r="E419" s="15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46"/>
      <c r="BA419" s="46"/>
      <c r="BB419" s="46"/>
      <c r="BC419" s="46"/>
      <c r="BD419" s="46"/>
      <c r="BE419" s="46"/>
      <c r="BF419" s="12"/>
      <c r="BG419" s="12"/>
      <c r="BH419" s="12"/>
      <c r="BI419" s="46"/>
      <c r="BJ419" s="46"/>
      <c r="BK419" s="46"/>
      <c r="BL419" s="46"/>
      <c r="BM419" s="46"/>
      <c r="BN419" s="46"/>
      <c r="BO419" s="46"/>
      <c r="BP419" s="46"/>
      <c r="BQ419" s="157"/>
      <c r="BR419" s="156"/>
      <c r="BS419" s="46"/>
      <c r="BT419" s="46"/>
      <c r="BU419" s="12"/>
      <c r="BV419" s="12"/>
      <c r="BW419" s="12"/>
      <c r="BX419" s="12"/>
      <c r="BY419" s="12"/>
      <c r="BZ419" s="12"/>
      <c r="CA419" s="12"/>
      <c r="CB419" s="12"/>
      <c r="CC419" s="12"/>
      <c r="CD419" s="12"/>
      <c r="CE419" s="12"/>
      <c r="CF419" s="12"/>
      <c r="CG419" s="12"/>
      <c r="CH419" s="12"/>
      <c r="CI419" s="12"/>
      <c r="CJ419" s="12"/>
      <c r="CK419" s="12"/>
      <c r="CL419" s="2"/>
      <c r="CM419" s="12"/>
      <c r="CN419" s="12"/>
      <c r="CO419" s="12"/>
      <c r="CP419" s="12"/>
      <c r="CQ419" s="12"/>
      <c r="CR419" s="46"/>
      <c r="CS419" s="46"/>
      <c r="CT419" s="2"/>
      <c r="CU419" s="49"/>
      <c r="CV419" s="49"/>
      <c r="CW419" s="2"/>
      <c r="CX419" s="2"/>
      <c r="CY419" s="51"/>
      <c r="CZ419" s="2"/>
      <c r="DA419" s="12"/>
      <c r="DB419" s="12"/>
      <c r="DC419" s="12"/>
      <c r="DD419" s="12"/>
      <c r="DE419" s="12"/>
      <c r="DF419" s="12"/>
      <c r="DG419" s="12"/>
      <c r="DH419" s="12"/>
      <c r="DI419" s="46"/>
      <c r="DJ419" s="48"/>
      <c r="DK419" s="48"/>
      <c r="DL419" s="48"/>
      <c r="DM419" s="13"/>
      <c r="DN419" s="13"/>
      <c r="DO419" s="12"/>
      <c r="DP419" s="12"/>
      <c r="DQ419" s="12"/>
      <c r="DR419" s="12"/>
      <c r="DS419" s="12"/>
      <c r="DT419" s="12"/>
      <c r="DU419" s="12"/>
      <c r="DV419" s="12"/>
      <c r="DW419" s="12"/>
      <c r="DX419" s="12"/>
      <c r="DY419" s="12"/>
      <c r="DZ419" s="12"/>
      <c r="EA419" s="12"/>
      <c r="EB419" s="12"/>
      <c r="EC419" s="12"/>
      <c r="ED419" s="12"/>
    </row>
    <row r="420" spans="1:134" ht="12.5" x14ac:dyDescent="0.25">
      <c r="A420" s="46"/>
      <c r="B420" s="46"/>
      <c r="C420" s="46"/>
      <c r="D420" s="46"/>
      <c r="E420" s="15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46"/>
      <c r="BA420" s="46"/>
      <c r="BB420" s="46"/>
      <c r="BC420" s="46"/>
      <c r="BD420" s="46"/>
      <c r="BE420" s="46"/>
      <c r="BF420" s="12"/>
      <c r="BG420" s="12"/>
      <c r="BH420" s="12"/>
      <c r="BI420" s="46"/>
      <c r="BJ420" s="46"/>
      <c r="BK420" s="46"/>
      <c r="BL420" s="46"/>
      <c r="BM420" s="46"/>
      <c r="BN420" s="46"/>
      <c r="BO420" s="46"/>
      <c r="BP420" s="46"/>
      <c r="BQ420" s="157"/>
      <c r="BR420" s="156"/>
      <c r="BS420" s="46"/>
      <c r="BT420" s="46"/>
      <c r="BU420" s="12"/>
      <c r="BV420" s="12"/>
      <c r="BW420" s="12"/>
      <c r="BX420" s="12"/>
      <c r="BY420" s="12"/>
      <c r="BZ420" s="12"/>
      <c r="CA420" s="12"/>
      <c r="CB420" s="12"/>
      <c r="CC420" s="12"/>
      <c r="CD420" s="12"/>
      <c r="CE420" s="12"/>
      <c r="CF420" s="12"/>
      <c r="CG420" s="12"/>
      <c r="CH420" s="12"/>
      <c r="CI420" s="12"/>
      <c r="CJ420" s="12"/>
      <c r="CK420" s="12"/>
      <c r="CL420" s="2"/>
      <c r="CM420" s="12"/>
      <c r="CN420" s="12"/>
      <c r="CO420" s="12"/>
      <c r="CP420" s="12"/>
      <c r="CQ420" s="12"/>
      <c r="CR420" s="46"/>
      <c r="CS420" s="46"/>
      <c r="CT420" s="2"/>
      <c r="CU420" s="49"/>
      <c r="CV420" s="49"/>
      <c r="CW420" s="2"/>
      <c r="CX420" s="2"/>
      <c r="CY420" s="51"/>
      <c r="CZ420" s="2"/>
      <c r="DA420" s="12"/>
      <c r="DB420" s="12"/>
      <c r="DC420" s="12"/>
      <c r="DD420" s="12"/>
      <c r="DE420" s="12"/>
      <c r="DF420" s="12"/>
      <c r="DG420" s="12"/>
      <c r="DH420" s="12"/>
      <c r="DI420" s="46"/>
      <c r="DJ420" s="48"/>
      <c r="DK420" s="48"/>
      <c r="DL420" s="48"/>
      <c r="DM420" s="13"/>
      <c r="DN420" s="13"/>
      <c r="DO420" s="12"/>
      <c r="DP420" s="12"/>
      <c r="DQ420" s="12"/>
      <c r="DR420" s="12"/>
      <c r="DS420" s="12"/>
      <c r="DT420" s="12"/>
      <c r="DU420" s="12"/>
      <c r="DV420" s="12"/>
      <c r="DW420" s="12"/>
      <c r="DX420" s="12"/>
      <c r="DY420" s="12"/>
      <c r="DZ420" s="12"/>
      <c r="EA420" s="12"/>
      <c r="EB420" s="12"/>
      <c r="EC420" s="12"/>
      <c r="ED420" s="12"/>
    </row>
    <row r="421" spans="1:134" ht="12.5" x14ac:dyDescent="0.25">
      <c r="A421" s="46"/>
      <c r="B421" s="46"/>
      <c r="C421" s="46"/>
      <c r="D421" s="46"/>
      <c r="E421" s="15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46"/>
      <c r="BA421" s="46"/>
      <c r="BB421" s="46"/>
      <c r="BC421" s="46"/>
      <c r="BD421" s="46"/>
      <c r="BE421" s="46"/>
      <c r="BF421" s="12"/>
      <c r="BG421" s="12"/>
      <c r="BH421" s="12"/>
      <c r="BI421" s="46"/>
      <c r="BJ421" s="46"/>
      <c r="BK421" s="46"/>
      <c r="BL421" s="46"/>
      <c r="BM421" s="46"/>
      <c r="BN421" s="46"/>
      <c r="BO421" s="46"/>
      <c r="BP421" s="46"/>
      <c r="BQ421" s="157"/>
      <c r="BR421" s="156"/>
      <c r="BS421" s="46"/>
      <c r="BT421" s="46"/>
      <c r="BU421" s="12"/>
      <c r="BV421" s="12"/>
      <c r="BW421" s="12"/>
      <c r="BX421" s="12"/>
      <c r="BY421" s="12"/>
      <c r="BZ421" s="12"/>
      <c r="CA421" s="12"/>
      <c r="CB421" s="12"/>
      <c r="CC421" s="12"/>
      <c r="CD421" s="12"/>
      <c r="CE421" s="12"/>
      <c r="CF421" s="12"/>
      <c r="CG421" s="12"/>
      <c r="CH421" s="12"/>
      <c r="CI421" s="12"/>
      <c r="CJ421" s="12"/>
      <c r="CK421" s="12"/>
      <c r="CL421" s="2"/>
      <c r="CM421" s="12"/>
      <c r="CN421" s="12"/>
      <c r="CO421" s="12"/>
      <c r="CP421" s="12"/>
      <c r="CQ421" s="12"/>
      <c r="CR421" s="46"/>
      <c r="CS421" s="46"/>
      <c r="CT421" s="2"/>
      <c r="CU421" s="49"/>
      <c r="CV421" s="49"/>
      <c r="CW421" s="2"/>
      <c r="CX421" s="2"/>
      <c r="CY421" s="51"/>
      <c r="CZ421" s="2"/>
      <c r="DA421" s="12"/>
      <c r="DB421" s="12"/>
      <c r="DC421" s="12"/>
      <c r="DD421" s="12"/>
      <c r="DE421" s="12"/>
      <c r="DF421" s="12"/>
      <c r="DG421" s="12"/>
      <c r="DH421" s="12"/>
      <c r="DI421" s="46"/>
      <c r="DJ421" s="48"/>
      <c r="DK421" s="48"/>
      <c r="DL421" s="48"/>
      <c r="DM421" s="13"/>
      <c r="DN421" s="13"/>
      <c r="DO421" s="12"/>
      <c r="DP421" s="12"/>
      <c r="DQ421" s="12"/>
      <c r="DR421" s="12"/>
      <c r="DS421" s="12"/>
      <c r="DT421" s="12"/>
      <c r="DU421" s="12"/>
      <c r="DV421" s="12"/>
      <c r="DW421" s="12"/>
      <c r="DX421" s="12"/>
      <c r="DY421" s="12"/>
      <c r="DZ421" s="12"/>
      <c r="EA421" s="12"/>
      <c r="EB421" s="12"/>
      <c r="EC421" s="12"/>
      <c r="ED421" s="12"/>
    </row>
    <row r="422" spans="1:134" ht="12.5" x14ac:dyDescent="0.25">
      <c r="A422" s="46"/>
      <c r="B422" s="46"/>
      <c r="C422" s="46"/>
      <c r="D422" s="46"/>
      <c r="E422" s="15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46"/>
      <c r="BA422" s="46"/>
      <c r="BB422" s="46"/>
      <c r="BC422" s="46"/>
      <c r="BD422" s="46"/>
      <c r="BE422" s="46"/>
      <c r="BF422" s="12"/>
      <c r="BG422" s="12"/>
      <c r="BH422" s="12"/>
      <c r="BI422" s="46"/>
      <c r="BJ422" s="46"/>
      <c r="BK422" s="46"/>
      <c r="BL422" s="46"/>
      <c r="BM422" s="46"/>
      <c r="BN422" s="46"/>
      <c r="BO422" s="46"/>
      <c r="BP422" s="46"/>
      <c r="BQ422" s="157"/>
      <c r="BR422" s="156"/>
      <c r="BS422" s="46"/>
      <c r="BT422" s="46"/>
      <c r="BU422" s="12"/>
      <c r="BV422" s="12"/>
      <c r="BW422" s="12"/>
      <c r="BX422" s="12"/>
      <c r="BY422" s="12"/>
      <c r="BZ422" s="12"/>
      <c r="CA422" s="12"/>
      <c r="CB422" s="12"/>
      <c r="CC422" s="12"/>
      <c r="CD422" s="12"/>
      <c r="CE422" s="12"/>
      <c r="CF422" s="12"/>
      <c r="CG422" s="12"/>
      <c r="CH422" s="12"/>
      <c r="CI422" s="12"/>
      <c r="CJ422" s="12"/>
      <c r="CK422" s="12"/>
      <c r="CL422" s="12"/>
      <c r="CM422" s="12"/>
      <c r="CN422" s="12"/>
      <c r="CO422" s="12"/>
      <c r="CP422" s="12"/>
      <c r="CQ422" s="12"/>
      <c r="CR422" s="46"/>
      <c r="CS422" s="46"/>
      <c r="CT422" s="2"/>
      <c r="CU422" s="49"/>
      <c r="CV422" s="49"/>
      <c r="CW422" s="2"/>
      <c r="CX422" s="2"/>
      <c r="CY422" s="51"/>
      <c r="CZ422" s="2"/>
      <c r="DA422" s="12"/>
      <c r="DB422" s="12"/>
      <c r="DC422" s="12"/>
      <c r="DD422" s="12"/>
      <c r="DE422" s="12"/>
      <c r="DF422" s="12"/>
      <c r="DG422" s="12"/>
      <c r="DH422" s="12"/>
      <c r="DI422" s="46"/>
      <c r="DJ422" s="48"/>
      <c r="DK422" s="48"/>
      <c r="DL422" s="48"/>
      <c r="DM422" s="13"/>
      <c r="DN422" s="13"/>
      <c r="DO422" s="12"/>
      <c r="DP422" s="12"/>
      <c r="DQ422" s="12"/>
      <c r="DR422" s="12"/>
      <c r="DS422" s="12"/>
      <c r="DT422" s="12"/>
      <c r="DU422" s="12"/>
      <c r="DV422" s="12"/>
      <c r="DW422" s="12"/>
      <c r="DX422" s="12"/>
      <c r="DY422" s="12"/>
      <c r="DZ422" s="12"/>
      <c r="EA422" s="12"/>
      <c r="EB422" s="12"/>
      <c r="EC422" s="12"/>
      <c r="ED422" s="12"/>
    </row>
    <row r="423" spans="1:134" ht="12.5" x14ac:dyDescent="0.25">
      <c r="A423" s="46"/>
      <c r="B423" s="46"/>
      <c r="C423" s="46"/>
      <c r="D423" s="46"/>
      <c r="E423" s="15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46"/>
      <c r="BA423" s="46"/>
      <c r="BB423" s="46"/>
      <c r="BC423" s="46"/>
      <c r="BD423" s="46"/>
      <c r="BE423" s="46"/>
      <c r="BF423" s="12"/>
      <c r="BG423" s="12"/>
      <c r="BH423" s="12"/>
      <c r="BI423" s="46"/>
      <c r="BJ423" s="46"/>
      <c r="BK423" s="46"/>
      <c r="BL423" s="46"/>
      <c r="BM423" s="46"/>
      <c r="BN423" s="46"/>
      <c r="BO423" s="46"/>
      <c r="BP423" s="46"/>
      <c r="BQ423" s="157"/>
      <c r="BR423" s="156"/>
      <c r="BS423" s="46"/>
      <c r="BT423" s="46"/>
      <c r="BU423" s="12"/>
      <c r="BV423" s="12"/>
      <c r="BW423" s="12"/>
      <c r="BX423" s="12"/>
      <c r="BY423" s="12"/>
      <c r="BZ423" s="12"/>
      <c r="CA423" s="12"/>
      <c r="CB423" s="12"/>
      <c r="CC423" s="12"/>
      <c r="CD423" s="12"/>
      <c r="CE423" s="12"/>
      <c r="CF423" s="12"/>
      <c r="CG423" s="12"/>
      <c r="CH423" s="12"/>
      <c r="CI423" s="12"/>
      <c r="CJ423" s="12"/>
      <c r="CK423" s="12"/>
      <c r="CL423" s="2"/>
      <c r="CM423" s="12"/>
      <c r="CN423" s="12"/>
      <c r="CO423" s="12"/>
      <c r="CP423" s="12"/>
      <c r="CQ423" s="12"/>
      <c r="CR423" s="46"/>
      <c r="CS423" s="46"/>
      <c r="CT423" s="2"/>
      <c r="CU423" s="49"/>
      <c r="CV423" s="49"/>
      <c r="CW423" s="2"/>
      <c r="CX423" s="2"/>
      <c r="CY423" s="51"/>
      <c r="CZ423" s="2"/>
      <c r="DA423" s="12"/>
      <c r="DB423" s="12"/>
      <c r="DC423" s="12"/>
      <c r="DD423" s="12"/>
      <c r="DE423" s="12"/>
      <c r="DF423" s="12"/>
      <c r="DG423" s="12"/>
      <c r="DH423" s="12"/>
      <c r="DI423" s="46"/>
      <c r="DJ423" s="48"/>
      <c r="DK423" s="48"/>
      <c r="DL423" s="48"/>
      <c r="DM423" s="13"/>
      <c r="DN423" s="13"/>
      <c r="DO423" s="12"/>
      <c r="DP423" s="12"/>
      <c r="DQ423" s="12"/>
      <c r="DR423" s="12"/>
      <c r="DS423" s="12"/>
      <c r="DT423" s="12"/>
      <c r="DU423" s="12"/>
      <c r="DV423" s="12"/>
      <c r="DW423" s="12"/>
      <c r="DX423" s="12"/>
      <c r="DY423" s="12"/>
      <c r="DZ423" s="12"/>
      <c r="EA423" s="12"/>
      <c r="EB423" s="12"/>
      <c r="EC423" s="12"/>
      <c r="ED423" s="12"/>
    </row>
    <row r="424" spans="1:134" ht="12.5" x14ac:dyDescent="0.25">
      <c r="A424" s="46"/>
      <c r="B424" s="46"/>
      <c r="C424" s="46"/>
      <c r="D424" s="46"/>
      <c r="E424" s="15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46"/>
      <c r="BA424" s="46"/>
      <c r="BB424" s="46"/>
      <c r="BC424" s="46"/>
      <c r="BD424" s="46"/>
      <c r="BE424" s="46"/>
      <c r="BF424" s="12"/>
      <c r="BG424" s="12"/>
      <c r="BH424" s="12"/>
      <c r="BI424" s="46"/>
      <c r="BJ424" s="46"/>
      <c r="BK424" s="46"/>
      <c r="BL424" s="46"/>
      <c r="BM424" s="46"/>
      <c r="BN424" s="46"/>
      <c r="BO424" s="46"/>
      <c r="BP424" s="46"/>
      <c r="BQ424" s="157"/>
      <c r="BR424" s="156"/>
      <c r="BS424" s="46"/>
      <c r="BT424" s="46"/>
      <c r="BU424" s="12"/>
      <c r="BV424" s="12"/>
      <c r="BW424" s="12"/>
      <c r="BX424" s="12"/>
      <c r="BY424" s="12"/>
      <c r="BZ424" s="12"/>
      <c r="CA424" s="12"/>
      <c r="CB424" s="12"/>
      <c r="CC424" s="12"/>
      <c r="CD424" s="12"/>
      <c r="CE424" s="12"/>
      <c r="CF424" s="12"/>
      <c r="CG424" s="12"/>
      <c r="CH424" s="12"/>
      <c r="CI424" s="12"/>
      <c r="CJ424" s="12"/>
      <c r="CK424" s="12"/>
      <c r="CL424" s="2"/>
      <c r="CM424" s="12"/>
      <c r="CN424" s="12"/>
      <c r="CO424" s="12"/>
      <c r="CP424" s="12"/>
      <c r="CQ424" s="12"/>
      <c r="CR424" s="46"/>
      <c r="CS424" s="46"/>
      <c r="CT424" s="2"/>
      <c r="CU424" s="49"/>
      <c r="CV424" s="49"/>
      <c r="CW424" s="2"/>
      <c r="CX424" s="2"/>
      <c r="CY424" s="51"/>
      <c r="CZ424" s="2"/>
      <c r="DA424" s="12"/>
      <c r="DB424" s="12"/>
      <c r="DC424" s="12"/>
      <c r="DD424" s="12"/>
      <c r="DE424" s="12"/>
      <c r="DF424" s="12"/>
      <c r="DG424" s="12"/>
      <c r="DH424" s="12"/>
      <c r="DI424" s="46"/>
      <c r="DJ424" s="48"/>
      <c r="DK424" s="48"/>
      <c r="DL424" s="48"/>
      <c r="DM424" s="13"/>
      <c r="DN424" s="13"/>
      <c r="DO424" s="12"/>
      <c r="DP424" s="12"/>
      <c r="DQ424" s="12"/>
      <c r="DR424" s="12"/>
      <c r="DS424" s="12"/>
      <c r="DT424" s="12"/>
      <c r="DU424" s="12"/>
      <c r="DV424" s="12"/>
      <c r="DW424" s="12"/>
      <c r="DX424" s="12"/>
      <c r="DY424" s="12"/>
      <c r="DZ424" s="12"/>
      <c r="EA424" s="12"/>
      <c r="EB424" s="12"/>
      <c r="EC424" s="12"/>
      <c r="ED424" s="12"/>
    </row>
    <row r="425" spans="1:134" ht="12.5" x14ac:dyDescent="0.25">
      <c r="A425" s="46"/>
      <c r="B425" s="46"/>
      <c r="C425" s="46"/>
      <c r="D425" s="46"/>
      <c r="E425" s="15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46"/>
      <c r="BA425" s="46"/>
      <c r="BB425" s="46"/>
      <c r="BC425" s="46"/>
      <c r="BD425" s="46"/>
      <c r="BE425" s="46"/>
      <c r="BF425" s="12"/>
      <c r="BG425" s="12"/>
      <c r="BH425" s="12"/>
      <c r="BI425" s="46"/>
      <c r="BJ425" s="46"/>
      <c r="BK425" s="46"/>
      <c r="BL425" s="46"/>
      <c r="BM425" s="46"/>
      <c r="BN425" s="46"/>
      <c r="BO425" s="46"/>
      <c r="BP425" s="46"/>
      <c r="BQ425" s="157"/>
      <c r="BR425" s="156"/>
      <c r="BS425" s="46"/>
      <c r="BT425" s="46"/>
      <c r="BU425" s="12"/>
      <c r="BV425" s="12"/>
      <c r="BW425" s="12"/>
      <c r="BX425" s="12"/>
      <c r="BY425" s="12"/>
      <c r="BZ425" s="12"/>
      <c r="CA425" s="12"/>
      <c r="CB425" s="12"/>
      <c r="CC425" s="12"/>
      <c r="CD425" s="12"/>
      <c r="CE425" s="12"/>
      <c r="CF425" s="12"/>
      <c r="CG425" s="12"/>
      <c r="CH425" s="12"/>
      <c r="CI425" s="12"/>
      <c r="CJ425" s="12"/>
      <c r="CK425" s="12"/>
      <c r="CL425" s="2"/>
      <c r="CM425" s="12"/>
      <c r="CN425" s="12"/>
      <c r="CO425" s="12"/>
      <c r="CP425" s="12"/>
      <c r="CQ425" s="12"/>
      <c r="CR425" s="46"/>
      <c r="CS425" s="46"/>
      <c r="CT425" s="2"/>
      <c r="CU425" s="49"/>
      <c r="CV425" s="49"/>
      <c r="CW425" s="2"/>
      <c r="CX425" s="2"/>
      <c r="CY425" s="51"/>
      <c r="CZ425" s="2"/>
      <c r="DA425" s="12"/>
      <c r="DB425" s="12"/>
      <c r="DC425" s="12"/>
      <c r="DD425" s="12"/>
      <c r="DE425" s="12"/>
      <c r="DF425" s="12"/>
      <c r="DG425" s="12"/>
      <c r="DH425" s="12"/>
      <c r="DI425" s="46"/>
      <c r="DJ425" s="48"/>
      <c r="DK425" s="48"/>
      <c r="DL425" s="48"/>
      <c r="DM425" s="13"/>
      <c r="DN425" s="13"/>
      <c r="DO425" s="12"/>
      <c r="DP425" s="12"/>
      <c r="DQ425" s="12"/>
      <c r="DR425" s="12"/>
      <c r="DS425" s="12"/>
      <c r="DT425" s="12"/>
      <c r="DU425" s="12"/>
      <c r="DV425" s="12"/>
      <c r="DW425" s="12"/>
      <c r="DX425" s="12"/>
      <c r="DY425" s="12"/>
      <c r="DZ425" s="12"/>
      <c r="EA425" s="12"/>
      <c r="EB425" s="12"/>
      <c r="EC425" s="12"/>
      <c r="ED425" s="12"/>
    </row>
    <row r="426" spans="1:134" ht="12.5" x14ac:dyDescent="0.25">
      <c r="A426" s="46"/>
      <c r="B426" s="46"/>
      <c r="C426" s="46"/>
      <c r="D426" s="46"/>
      <c r="E426" s="15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46"/>
      <c r="BA426" s="46"/>
      <c r="BB426" s="46"/>
      <c r="BC426" s="46"/>
      <c r="BD426" s="46"/>
      <c r="BE426" s="46"/>
      <c r="BF426" s="12"/>
      <c r="BG426" s="12"/>
      <c r="BH426" s="12"/>
      <c r="BI426" s="46"/>
      <c r="BJ426" s="46"/>
      <c r="BK426" s="46"/>
      <c r="BL426" s="46"/>
      <c r="BM426" s="46"/>
      <c r="BN426" s="46"/>
      <c r="BO426" s="46"/>
      <c r="BP426" s="46"/>
      <c r="BQ426" s="157"/>
      <c r="BR426" s="156"/>
      <c r="BS426" s="46"/>
      <c r="BT426" s="46"/>
      <c r="BU426" s="12"/>
      <c r="BV426" s="12"/>
      <c r="BW426" s="12"/>
      <c r="BX426" s="12"/>
      <c r="BY426" s="12"/>
      <c r="BZ426" s="12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2"/>
      <c r="CM426" s="12"/>
      <c r="CN426" s="12"/>
      <c r="CO426" s="12"/>
      <c r="CP426" s="12"/>
      <c r="CQ426" s="12"/>
      <c r="CR426" s="46"/>
      <c r="CS426" s="46"/>
      <c r="CT426" s="2"/>
      <c r="CU426" s="49"/>
      <c r="CV426" s="49"/>
      <c r="CW426" s="2"/>
      <c r="CX426" s="2"/>
      <c r="CY426" s="51"/>
      <c r="CZ426" s="2"/>
      <c r="DA426" s="12"/>
      <c r="DB426" s="12"/>
      <c r="DC426" s="12"/>
      <c r="DD426" s="12"/>
      <c r="DE426" s="12"/>
      <c r="DF426" s="12"/>
      <c r="DG426" s="12"/>
      <c r="DH426" s="12"/>
      <c r="DI426" s="46"/>
      <c r="DJ426" s="48"/>
      <c r="DK426" s="48"/>
      <c r="DL426" s="48"/>
      <c r="DM426" s="13"/>
      <c r="DN426" s="13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</row>
    <row r="427" spans="1:134" ht="12.5" x14ac:dyDescent="0.25">
      <c r="A427" s="46"/>
      <c r="B427" s="46"/>
      <c r="C427" s="46"/>
      <c r="D427" s="46"/>
      <c r="E427" s="15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46"/>
      <c r="BA427" s="46"/>
      <c r="BB427" s="46"/>
      <c r="BC427" s="46"/>
      <c r="BD427" s="46"/>
      <c r="BE427" s="46"/>
      <c r="BF427" s="12"/>
      <c r="BG427" s="12"/>
      <c r="BH427" s="12"/>
      <c r="BI427" s="46"/>
      <c r="BJ427" s="46"/>
      <c r="BK427" s="46"/>
      <c r="BL427" s="46"/>
      <c r="BM427" s="46"/>
      <c r="BN427" s="46"/>
      <c r="BO427" s="46"/>
      <c r="BP427" s="46"/>
      <c r="BQ427" s="157"/>
      <c r="BR427" s="156"/>
      <c r="BS427" s="46"/>
      <c r="BT427" s="46"/>
      <c r="BU427" s="12"/>
      <c r="BV427" s="12"/>
      <c r="BW427" s="12"/>
      <c r="BX427" s="12"/>
      <c r="BY427" s="12"/>
      <c r="BZ427" s="12"/>
      <c r="CA427" s="12"/>
      <c r="CB427" s="12"/>
      <c r="CC427" s="12"/>
      <c r="CD427" s="12"/>
      <c r="CE427" s="12"/>
      <c r="CF427" s="12"/>
      <c r="CG427" s="12"/>
      <c r="CH427" s="12"/>
      <c r="CI427" s="12"/>
      <c r="CJ427" s="12"/>
      <c r="CK427" s="12"/>
      <c r="CL427" s="2"/>
      <c r="CM427" s="12"/>
      <c r="CN427" s="12"/>
      <c r="CO427" s="12"/>
      <c r="CP427" s="12"/>
      <c r="CQ427" s="12"/>
      <c r="CR427" s="46"/>
      <c r="CS427" s="46"/>
      <c r="CT427" s="2"/>
      <c r="CU427" s="49"/>
      <c r="CV427" s="49"/>
      <c r="CW427" s="2"/>
      <c r="CX427" s="2"/>
      <c r="CY427" s="51"/>
      <c r="CZ427" s="2"/>
      <c r="DA427" s="12"/>
      <c r="DB427" s="12"/>
      <c r="DC427" s="12"/>
      <c r="DD427" s="12"/>
      <c r="DE427" s="12"/>
      <c r="DF427" s="12"/>
      <c r="DG427" s="12"/>
      <c r="DH427" s="12"/>
      <c r="DI427" s="46"/>
      <c r="DJ427" s="48"/>
      <c r="DK427" s="48"/>
      <c r="DL427" s="48"/>
      <c r="DM427" s="13"/>
      <c r="DN427" s="13"/>
      <c r="DO427" s="12"/>
      <c r="DP427" s="12"/>
      <c r="DQ427" s="12"/>
      <c r="DR427" s="12"/>
      <c r="DS427" s="12"/>
      <c r="DT427" s="12"/>
      <c r="DU427" s="12"/>
      <c r="DV427" s="12"/>
      <c r="DW427" s="12"/>
      <c r="DX427" s="12"/>
      <c r="DY427" s="12"/>
      <c r="DZ427" s="12"/>
      <c r="EA427" s="12"/>
      <c r="EB427" s="12"/>
      <c r="EC427" s="12"/>
      <c r="ED427" s="12"/>
    </row>
    <row r="428" spans="1:134" ht="12.5" x14ac:dyDescent="0.25">
      <c r="A428" s="46"/>
      <c r="B428" s="46"/>
      <c r="C428" s="46"/>
      <c r="D428" s="46"/>
      <c r="E428" s="15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46"/>
      <c r="BA428" s="46"/>
      <c r="BB428" s="46"/>
      <c r="BC428" s="46"/>
      <c r="BD428" s="46"/>
      <c r="BE428" s="46"/>
      <c r="BF428" s="12"/>
      <c r="BG428" s="12"/>
      <c r="BH428" s="12"/>
      <c r="BI428" s="46"/>
      <c r="BJ428" s="46"/>
      <c r="BK428" s="46"/>
      <c r="BL428" s="46"/>
      <c r="BM428" s="46"/>
      <c r="BN428" s="46"/>
      <c r="BO428" s="46"/>
      <c r="BP428" s="46"/>
      <c r="BQ428" s="157"/>
      <c r="BR428" s="156"/>
      <c r="BS428" s="46"/>
      <c r="BT428" s="46"/>
      <c r="BU428" s="12"/>
      <c r="BV428" s="12"/>
      <c r="BW428" s="12"/>
      <c r="BX428" s="12"/>
      <c r="BY428" s="12"/>
      <c r="BZ428" s="12"/>
      <c r="CA428" s="12"/>
      <c r="CB428" s="12"/>
      <c r="CC428" s="12"/>
      <c r="CD428" s="12"/>
      <c r="CE428" s="12"/>
      <c r="CF428" s="12"/>
      <c r="CG428" s="12"/>
      <c r="CH428" s="12"/>
      <c r="CI428" s="12"/>
      <c r="CJ428" s="12"/>
      <c r="CK428" s="12"/>
      <c r="CL428" s="2"/>
      <c r="CM428" s="12"/>
      <c r="CN428" s="12"/>
      <c r="CO428" s="12"/>
      <c r="CP428" s="12"/>
      <c r="CQ428" s="12"/>
      <c r="CR428" s="46"/>
      <c r="CS428" s="46"/>
      <c r="CT428" s="2"/>
      <c r="CU428" s="49"/>
      <c r="CV428" s="49"/>
      <c r="CW428" s="2"/>
      <c r="CX428" s="2"/>
      <c r="CY428" s="51"/>
      <c r="CZ428" s="2"/>
      <c r="DA428" s="12"/>
      <c r="DB428" s="12"/>
      <c r="DC428" s="12"/>
      <c r="DD428" s="12"/>
      <c r="DE428" s="12"/>
      <c r="DF428" s="12"/>
      <c r="DG428" s="12"/>
      <c r="DH428" s="12"/>
      <c r="DI428" s="46"/>
      <c r="DJ428" s="48"/>
      <c r="DK428" s="48"/>
      <c r="DL428" s="48"/>
      <c r="DM428" s="13"/>
      <c r="DN428" s="13"/>
      <c r="DO428" s="12"/>
      <c r="DP428" s="12"/>
      <c r="DQ428" s="12"/>
      <c r="DR428" s="12"/>
      <c r="DS428" s="12"/>
      <c r="DT428" s="12"/>
      <c r="DU428" s="12"/>
      <c r="DV428" s="12"/>
      <c r="DW428" s="12"/>
      <c r="DX428" s="12"/>
      <c r="DY428" s="12"/>
      <c r="DZ428" s="12"/>
      <c r="EA428" s="12"/>
      <c r="EB428" s="12"/>
      <c r="EC428" s="12"/>
      <c r="ED428" s="12"/>
    </row>
    <row r="429" spans="1:134" ht="12.5" x14ac:dyDescent="0.25">
      <c r="A429" s="46"/>
      <c r="B429" s="46"/>
      <c r="C429" s="46"/>
      <c r="D429" s="46"/>
      <c r="E429" s="15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46"/>
      <c r="BA429" s="46"/>
      <c r="BB429" s="46"/>
      <c r="BC429" s="46"/>
      <c r="BD429" s="46"/>
      <c r="BE429" s="46"/>
      <c r="BF429" s="12"/>
      <c r="BG429" s="12"/>
      <c r="BH429" s="12"/>
      <c r="BI429" s="46"/>
      <c r="BJ429" s="46"/>
      <c r="BK429" s="46"/>
      <c r="BL429" s="46"/>
      <c r="BM429" s="46"/>
      <c r="BN429" s="46"/>
      <c r="BO429" s="46"/>
      <c r="BP429" s="46"/>
      <c r="BQ429" s="157"/>
      <c r="BR429" s="156"/>
      <c r="BS429" s="46"/>
      <c r="BT429" s="46"/>
      <c r="BU429" s="12"/>
      <c r="BV429" s="12"/>
      <c r="BW429" s="12"/>
      <c r="BX429" s="12"/>
      <c r="BY429" s="12"/>
      <c r="BZ429" s="12"/>
      <c r="CA429" s="12"/>
      <c r="CB429" s="12"/>
      <c r="CC429" s="12"/>
      <c r="CD429" s="12"/>
      <c r="CE429" s="12"/>
      <c r="CF429" s="12"/>
      <c r="CG429" s="12"/>
      <c r="CH429" s="12"/>
      <c r="CI429" s="12"/>
      <c r="CJ429" s="12"/>
      <c r="CK429" s="12"/>
      <c r="CL429" s="12"/>
      <c r="CM429" s="12"/>
      <c r="CN429" s="12"/>
      <c r="CO429" s="12"/>
      <c r="CP429" s="12"/>
      <c r="CQ429" s="12"/>
      <c r="CR429" s="46"/>
      <c r="CS429" s="46"/>
      <c r="CT429" s="2"/>
      <c r="CU429" s="49"/>
      <c r="CV429" s="49"/>
      <c r="CW429" s="2"/>
      <c r="CX429" s="2"/>
      <c r="CY429" s="51"/>
      <c r="CZ429" s="2"/>
      <c r="DA429" s="12"/>
      <c r="DB429" s="12"/>
      <c r="DC429" s="12"/>
      <c r="DD429" s="12"/>
      <c r="DE429" s="12"/>
      <c r="DF429" s="12"/>
      <c r="DG429" s="12"/>
      <c r="DH429" s="12"/>
      <c r="DI429" s="46"/>
      <c r="DJ429" s="48"/>
      <c r="DK429" s="48"/>
      <c r="DL429" s="48"/>
      <c r="DM429" s="13"/>
      <c r="DN429" s="13"/>
      <c r="DO429" s="12"/>
      <c r="DP429" s="12"/>
      <c r="DQ429" s="12"/>
      <c r="DR429" s="12"/>
      <c r="DS429" s="12"/>
      <c r="DT429" s="12"/>
      <c r="DU429" s="12"/>
      <c r="DV429" s="12"/>
      <c r="DW429" s="12"/>
      <c r="DX429" s="12"/>
      <c r="DY429" s="12"/>
      <c r="DZ429" s="12"/>
      <c r="EA429" s="12"/>
      <c r="EB429" s="12"/>
      <c r="EC429" s="12"/>
      <c r="ED429" s="12"/>
    </row>
    <row r="430" spans="1:134" ht="12.5" x14ac:dyDescent="0.25">
      <c r="A430" s="46"/>
      <c r="B430" s="46"/>
      <c r="C430" s="46"/>
      <c r="D430" s="46"/>
      <c r="E430" s="15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46"/>
      <c r="BA430" s="46"/>
      <c r="BB430" s="46"/>
      <c r="BC430" s="46"/>
      <c r="BD430" s="46"/>
      <c r="BE430" s="46"/>
      <c r="BF430" s="12"/>
      <c r="BG430" s="12"/>
      <c r="BH430" s="12"/>
      <c r="BI430" s="46"/>
      <c r="BJ430" s="46"/>
      <c r="BK430" s="46"/>
      <c r="BL430" s="46"/>
      <c r="BM430" s="46"/>
      <c r="BN430" s="46"/>
      <c r="BO430" s="46"/>
      <c r="BP430" s="46"/>
      <c r="BQ430" s="157"/>
      <c r="BR430" s="156"/>
      <c r="BS430" s="46"/>
      <c r="BT430" s="46"/>
      <c r="BU430" s="12"/>
      <c r="BV430" s="12"/>
      <c r="BW430" s="12"/>
      <c r="BX430" s="12"/>
      <c r="BY430" s="12"/>
      <c r="BZ430" s="12"/>
      <c r="CA430" s="12"/>
      <c r="CB430" s="12"/>
      <c r="CC430" s="12"/>
      <c r="CD430" s="12"/>
      <c r="CE430" s="12"/>
      <c r="CF430" s="12"/>
      <c r="CG430" s="12"/>
      <c r="CH430" s="12"/>
      <c r="CI430" s="12"/>
      <c r="CJ430" s="12"/>
      <c r="CK430" s="12"/>
      <c r="CL430" s="2"/>
      <c r="CM430" s="12"/>
      <c r="CN430" s="12"/>
      <c r="CO430" s="12"/>
      <c r="CP430" s="12"/>
      <c r="CQ430" s="12"/>
      <c r="CR430" s="46"/>
      <c r="CS430" s="46"/>
      <c r="CT430" s="2"/>
      <c r="CU430" s="49"/>
      <c r="CV430" s="49"/>
      <c r="CW430" s="2"/>
      <c r="CX430" s="2"/>
      <c r="CY430" s="51"/>
      <c r="CZ430" s="2"/>
      <c r="DA430" s="12"/>
      <c r="DB430" s="12"/>
      <c r="DC430" s="12"/>
      <c r="DD430" s="12"/>
      <c r="DE430" s="12"/>
      <c r="DF430" s="12"/>
      <c r="DG430" s="12"/>
      <c r="DH430" s="12"/>
      <c r="DI430" s="46"/>
      <c r="DJ430" s="48"/>
      <c r="DK430" s="48"/>
      <c r="DL430" s="48"/>
      <c r="DM430" s="13"/>
      <c r="DN430" s="13"/>
      <c r="DO430" s="12"/>
      <c r="DP430" s="12"/>
      <c r="DQ430" s="12"/>
      <c r="DR430" s="12"/>
      <c r="DS430" s="12"/>
      <c r="DT430" s="12"/>
      <c r="DU430" s="12"/>
      <c r="DV430" s="12"/>
      <c r="DW430" s="12"/>
      <c r="DX430" s="12"/>
      <c r="DY430" s="12"/>
      <c r="DZ430" s="12"/>
      <c r="EA430" s="12"/>
      <c r="EB430" s="12"/>
      <c r="EC430" s="12"/>
      <c r="ED430" s="12"/>
    </row>
    <row r="431" spans="1:134" ht="12.5" x14ac:dyDescent="0.25">
      <c r="A431" s="46"/>
      <c r="B431" s="46"/>
      <c r="C431" s="46"/>
      <c r="D431" s="46"/>
      <c r="E431" s="15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46"/>
      <c r="BA431" s="46"/>
      <c r="BB431" s="46"/>
      <c r="BC431" s="46"/>
      <c r="BD431" s="46"/>
      <c r="BE431" s="46"/>
      <c r="BF431" s="12"/>
      <c r="BG431" s="12"/>
      <c r="BH431" s="12"/>
      <c r="BI431" s="46"/>
      <c r="BJ431" s="46"/>
      <c r="BK431" s="46"/>
      <c r="BL431" s="46"/>
      <c r="BM431" s="46"/>
      <c r="BN431" s="46"/>
      <c r="BO431" s="46"/>
      <c r="BP431" s="46"/>
      <c r="BQ431" s="157"/>
      <c r="BR431" s="156"/>
      <c r="BS431" s="46"/>
      <c r="BT431" s="46"/>
      <c r="BU431" s="12"/>
      <c r="BV431" s="12"/>
      <c r="BW431" s="12"/>
      <c r="BX431" s="12"/>
      <c r="BY431" s="12"/>
      <c r="BZ431" s="12"/>
      <c r="CA431" s="12"/>
      <c r="CB431" s="12"/>
      <c r="CC431" s="12"/>
      <c r="CD431" s="12"/>
      <c r="CE431" s="12"/>
      <c r="CF431" s="12"/>
      <c r="CG431" s="12"/>
      <c r="CH431" s="12"/>
      <c r="CI431" s="12"/>
      <c r="CJ431" s="12"/>
      <c r="CK431" s="12"/>
      <c r="CL431" s="12"/>
      <c r="CM431" s="12"/>
      <c r="CN431" s="12"/>
      <c r="CO431" s="12"/>
      <c r="CP431" s="12"/>
      <c r="CQ431" s="12"/>
      <c r="CR431" s="46"/>
      <c r="CS431" s="46"/>
      <c r="CT431" s="2"/>
      <c r="CU431" s="49"/>
      <c r="CV431" s="49"/>
      <c r="CW431" s="2"/>
      <c r="CX431" s="2"/>
      <c r="CY431" s="51"/>
      <c r="CZ431" s="2"/>
      <c r="DA431" s="12"/>
      <c r="DB431" s="12"/>
      <c r="DC431" s="12"/>
      <c r="DD431" s="12"/>
      <c r="DE431" s="12"/>
      <c r="DF431" s="12"/>
      <c r="DG431" s="12"/>
      <c r="DH431" s="12"/>
      <c r="DI431" s="46"/>
      <c r="DJ431" s="48"/>
      <c r="DK431" s="48"/>
      <c r="DL431" s="48"/>
      <c r="DM431" s="13"/>
      <c r="DN431" s="13"/>
      <c r="DO431" s="12"/>
      <c r="DP431" s="12"/>
      <c r="DQ431" s="12"/>
      <c r="DR431" s="12"/>
      <c r="DS431" s="12"/>
      <c r="DT431" s="12"/>
      <c r="DU431" s="12"/>
      <c r="DV431" s="12"/>
      <c r="DW431" s="12"/>
      <c r="DX431" s="12"/>
      <c r="DY431" s="12"/>
      <c r="DZ431" s="12"/>
      <c r="EA431" s="12"/>
      <c r="EB431" s="12"/>
      <c r="EC431" s="12"/>
      <c r="ED431" s="12"/>
    </row>
    <row r="432" spans="1:134" ht="12.5" x14ac:dyDescent="0.25">
      <c r="A432" s="46"/>
      <c r="B432" s="46"/>
      <c r="C432" s="46"/>
      <c r="D432" s="46"/>
      <c r="E432" s="15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46"/>
      <c r="BA432" s="46"/>
      <c r="BB432" s="46"/>
      <c r="BC432" s="46"/>
      <c r="BD432" s="46"/>
      <c r="BE432" s="46"/>
      <c r="BF432" s="12"/>
      <c r="BG432" s="12"/>
      <c r="BH432" s="12"/>
      <c r="BI432" s="46"/>
      <c r="BJ432" s="46"/>
      <c r="BK432" s="46"/>
      <c r="BL432" s="46"/>
      <c r="BM432" s="46"/>
      <c r="BN432" s="46"/>
      <c r="BO432" s="46"/>
      <c r="BP432" s="46"/>
      <c r="BQ432" s="157"/>
      <c r="BR432" s="156"/>
      <c r="BS432" s="46"/>
      <c r="BT432" s="46"/>
      <c r="BU432" s="12"/>
      <c r="BV432" s="12"/>
      <c r="BW432" s="12"/>
      <c r="BX432" s="12"/>
      <c r="BY432" s="12"/>
      <c r="BZ432" s="12"/>
      <c r="CA432" s="12"/>
      <c r="CB432" s="12"/>
      <c r="CC432" s="12"/>
      <c r="CD432" s="12"/>
      <c r="CE432" s="12"/>
      <c r="CF432" s="12"/>
      <c r="CG432" s="12"/>
      <c r="CH432" s="12"/>
      <c r="CI432" s="12"/>
      <c r="CJ432" s="12"/>
      <c r="CK432" s="12"/>
      <c r="CL432" s="2"/>
      <c r="CM432" s="12"/>
      <c r="CN432" s="12"/>
      <c r="CO432" s="12"/>
      <c r="CP432" s="12"/>
      <c r="CQ432" s="12"/>
      <c r="CR432" s="46"/>
      <c r="CS432" s="46"/>
      <c r="CT432" s="2"/>
      <c r="CU432" s="49"/>
      <c r="CV432" s="49"/>
      <c r="CW432" s="2"/>
      <c r="CX432" s="2"/>
      <c r="CY432" s="51"/>
      <c r="CZ432" s="2"/>
      <c r="DA432" s="12"/>
      <c r="DB432" s="12"/>
      <c r="DC432" s="12"/>
      <c r="DD432" s="12"/>
      <c r="DE432" s="12"/>
      <c r="DF432" s="12"/>
      <c r="DG432" s="12"/>
      <c r="DH432" s="12"/>
      <c r="DI432" s="46"/>
      <c r="DJ432" s="48"/>
      <c r="DK432" s="48"/>
      <c r="DL432" s="48"/>
      <c r="DM432" s="13"/>
      <c r="DN432" s="13"/>
      <c r="DO432" s="12"/>
      <c r="DP432" s="12"/>
      <c r="DQ432" s="12"/>
      <c r="DR432" s="12"/>
      <c r="DS432" s="12"/>
      <c r="DT432" s="12"/>
      <c r="DU432" s="12"/>
      <c r="DV432" s="12"/>
      <c r="DW432" s="12"/>
      <c r="DX432" s="12"/>
      <c r="DY432" s="12"/>
      <c r="DZ432" s="12"/>
      <c r="EA432" s="12"/>
      <c r="EB432" s="12"/>
      <c r="EC432" s="12"/>
      <c r="ED432" s="12"/>
    </row>
    <row r="433" spans="1:134" ht="12.5" x14ac:dyDescent="0.25">
      <c r="A433" s="46"/>
      <c r="B433" s="46"/>
      <c r="C433" s="46"/>
      <c r="D433" s="46"/>
      <c r="E433" s="15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46"/>
      <c r="BA433" s="46"/>
      <c r="BB433" s="46"/>
      <c r="BC433" s="46"/>
      <c r="BD433" s="46"/>
      <c r="BE433" s="46"/>
      <c r="BF433" s="12"/>
      <c r="BG433" s="12"/>
      <c r="BH433" s="12"/>
      <c r="BI433" s="46"/>
      <c r="BJ433" s="46"/>
      <c r="BK433" s="46"/>
      <c r="BL433" s="46"/>
      <c r="BM433" s="46"/>
      <c r="BN433" s="46"/>
      <c r="BO433" s="46"/>
      <c r="BP433" s="46"/>
      <c r="BQ433" s="157"/>
      <c r="BR433" s="156"/>
      <c r="BS433" s="46"/>
      <c r="BT433" s="46"/>
      <c r="BU433" s="12"/>
      <c r="BV433" s="12"/>
      <c r="BW433" s="12"/>
      <c r="BX433" s="12"/>
      <c r="BY433" s="12"/>
      <c r="BZ433" s="12"/>
      <c r="CA433" s="12"/>
      <c r="CB433" s="12"/>
      <c r="CC433" s="12"/>
      <c r="CD433" s="12"/>
      <c r="CE433" s="12"/>
      <c r="CF433" s="12"/>
      <c r="CG433" s="12"/>
      <c r="CH433" s="12"/>
      <c r="CI433" s="12"/>
      <c r="CJ433" s="12"/>
      <c r="CK433" s="12"/>
      <c r="CL433" s="2"/>
      <c r="CM433" s="12"/>
      <c r="CN433" s="12"/>
      <c r="CO433" s="12"/>
      <c r="CP433" s="12"/>
      <c r="CQ433" s="12"/>
      <c r="CR433" s="46"/>
      <c r="CS433" s="46"/>
      <c r="CT433" s="2"/>
      <c r="CU433" s="49"/>
      <c r="CV433" s="49"/>
      <c r="CW433" s="2"/>
      <c r="CX433" s="2"/>
      <c r="CY433" s="51"/>
      <c r="CZ433" s="2"/>
      <c r="DA433" s="12"/>
      <c r="DB433" s="12"/>
      <c r="DC433" s="12"/>
      <c r="DD433" s="12"/>
      <c r="DE433" s="12"/>
      <c r="DF433" s="12"/>
      <c r="DG433" s="12"/>
      <c r="DH433" s="12"/>
      <c r="DI433" s="46"/>
      <c r="DJ433" s="48"/>
      <c r="DK433" s="48"/>
      <c r="DL433" s="48"/>
      <c r="DM433" s="13"/>
      <c r="DN433" s="13"/>
      <c r="DO433" s="12"/>
      <c r="DP433" s="12"/>
      <c r="DQ433" s="12"/>
      <c r="DR433" s="12"/>
      <c r="DS433" s="12"/>
      <c r="DT433" s="12"/>
      <c r="DU433" s="12"/>
      <c r="DV433" s="12"/>
      <c r="DW433" s="12"/>
      <c r="DX433" s="12"/>
      <c r="DY433" s="12"/>
      <c r="DZ433" s="12"/>
      <c r="EA433" s="12"/>
      <c r="EB433" s="12"/>
      <c r="EC433" s="12"/>
      <c r="ED433" s="12"/>
    </row>
    <row r="434" spans="1:134" ht="12.5" x14ac:dyDescent="0.25">
      <c r="A434" s="46"/>
      <c r="B434" s="46"/>
      <c r="C434" s="46"/>
      <c r="D434" s="46"/>
      <c r="E434" s="15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46"/>
      <c r="BA434" s="46"/>
      <c r="BB434" s="46"/>
      <c r="BC434" s="46"/>
      <c r="BD434" s="46"/>
      <c r="BE434" s="46"/>
      <c r="BF434" s="12"/>
      <c r="BG434" s="12"/>
      <c r="BH434" s="12"/>
      <c r="BI434" s="46"/>
      <c r="BJ434" s="46"/>
      <c r="BK434" s="46"/>
      <c r="BL434" s="46"/>
      <c r="BM434" s="46"/>
      <c r="BN434" s="46"/>
      <c r="BO434" s="46"/>
      <c r="BP434" s="46"/>
      <c r="BQ434" s="157"/>
      <c r="BR434" s="156"/>
      <c r="BS434" s="46"/>
      <c r="BT434" s="46"/>
      <c r="BU434" s="12"/>
      <c r="BV434" s="12"/>
      <c r="BW434" s="12"/>
      <c r="BX434" s="12"/>
      <c r="BY434" s="12"/>
      <c r="BZ434" s="12"/>
      <c r="CA434" s="12"/>
      <c r="CB434" s="12"/>
      <c r="CC434" s="12"/>
      <c r="CD434" s="12"/>
      <c r="CE434" s="12"/>
      <c r="CF434" s="12"/>
      <c r="CG434" s="12"/>
      <c r="CH434" s="12"/>
      <c r="CI434" s="12"/>
      <c r="CJ434" s="12"/>
      <c r="CK434" s="12"/>
      <c r="CL434" s="2"/>
      <c r="CM434" s="12"/>
      <c r="CN434" s="12"/>
      <c r="CO434" s="12"/>
      <c r="CP434" s="12"/>
      <c r="CQ434" s="12"/>
      <c r="CR434" s="46"/>
      <c r="CS434" s="46"/>
      <c r="CT434" s="2"/>
      <c r="CU434" s="49"/>
      <c r="CV434" s="49"/>
      <c r="CW434" s="2"/>
      <c r="CX434" s="2"/>
      <c r="CY434" s="51"/>
      <c r="CZ434" s="2"/>
      <c r="DA434" s="12"/>
      <c r="DB434" s="12"/>
      <c r="DC434" s="12"/>
      <c r="DD434" s="12"/>
      <c r="DE434" s="12"/>
      <c r="DF434" s="12"/>
      <c r="DG434" s="12"/>
      <c r="DH434" s="12"/>
      <c r="DI434" s="46"/>
      <c r="DJ434" s="48"/>
      <c r="DK434" s="48"/>
      <c r="DL434" s="48"/>
      <c r="DM434" s="13"/>
      <c r="DN434" s="13"/>
      <c r="DO434" s="12"/>
      <c r="DP434" s="12"/>
      <c r="DQ434" s="12"/>
      <c r="DR434" s="12"/>
      <c r="DS434" s="12"/>
      <c r="DT434" s="12"/>
      <c r="DU434" s="12"/>
      <c r="DV434" s="12"/>
      <c r="DW434" s="12"/>
      <c r="DX434" s="12"/>
      <c r="DY434" s="12"/>
      <c r="DZ434" s="12"/>
      <c r="EA434" s="12"/>
      <c r="EB434" s="12"/>
      <c r="EC434" s="12"/>
      <c r="ED434" s="12"/>
    </row>
    <row r="435" spans="1:134" ht="12.5" x14ac:dyDescent="0.25">
      <c r="A435" s="46"/>
      <c r="B435" s="46"/>
      <c r="C435" s="46"/>
      <c r="D435" s="46"/>
      <c r="E435" s="15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46"/>
      <c r="BA435" s="46"/>
      <c r="BB435" s="46"/>
      <c r="BC435" s="46"/>
      <c r="BD435" s="46"/>
      <c r="BE435" s="46"/>
      <c r="BF435" s="12"/>
      <c r="BG435" s="12"/>
      <c r="BH435" s="12"/>
      <c r="BI435" s="46"/>
      <c r="BJ435" s="46"/>
      <c r="BK435" s="46"/>
      <c r="BL435" s="46"/>
      <c r="BM435" s="46"/>
      <c r="BN435" s="46"/>
      <c r="BO435" s="46"/>
      <c r="BP435" s="46"/>
      <c r="BQ435" s="157"/>
      <c r="BR435" s="156"/>
      <c r="BS435" s="46"/>
      <c r="BT435" s="46"/>
      <c r="BU435" s="12"/>
      <c r="BV435" s="12"/>
      <c r="BW435" s="12"/>
      <c r="BX435" s="12"/>
      <c r="BY435" s="12"/>
      <c r="BZ435" s="12"/>
      <c r="CA435" s="12"/>
      <c r="CB435" s="12"/>
      <c r="CC435" s="12"/>
      <c r="CD435" s="12"/>
      <c r="CE435" s="12"/>
      <c r="CF435" s="12"/>
      <c r="CG435" s="12"/>
      <c r="CH435" s="12"/>
      <c r="CI435" s="12"/>
      <c r="CJ435" s="12"/>
      <c r="CK435" s="12"/>
      <c r="CL435" s="2"/>
      <c r="CM435" s="12"/>
      <c r="CN435" s="12"/>
      <c r="CO435" s="12"/>
      <c r="CP435" s="12"/>
      <c r="CQ435" s="12"/>
      <c r="CR435" s="46"/>
      <c r="CS435" s="46"/>
      <c r="CT435" s="2"/>
      <c r="CU435" s="49"/>
      <c r="CV435" s="49"/>
      <c r="CW435" s="2"/>
      <c r="CX435" s="2"/>
      <c r="CY435" s="51"/>
      <c r="CZ435" s="2"/>
      <c r="DA435" s="12"/>
      <c r="DB435" s="12"/>
      <c r="DC435" s="12"/>
      <c r="DD435" s="12"/>
      <c r="DE435" s="12"/>
      <c r="DF435" s="12"/>
      <c r="DG435" s="12"/>
      <c r="DH435" s="12"/>
      <c r="DI435" s="46"/>
      <c r="DJ435" s="48"/>
      <c r="DK435" s="48"/>
      <c r="DL435" s="48"/>
      <c r="DM435" s="13"/>
      <c r="DN435" s="13"/>
      <c r="DO435" s="12"/>
      <c r="DP435" s="12"/>
      <c r="DQ435" s="12"/>
      <c r="DR435" s="12"/>
      <c r="DS435" s="12"/>
      <c r="DT435" s="12"/>
      <c r="DU435" s="12"/>
      <c r="DV435" s="12"/>
      <c r="DW435" s="12"/>
      <c r="DX435" s="12"/>
      <c r="DY435" s="12"/>
      <c r="DZ435" s="12"/>
      <c r="EA435" s="12"/>
      <c r="EB435" s="12"/>
      <c r="EC435" s="12"/>
      <c r="ED435" s="12"/>
    </row>
    <row r="436" spans="1:134" ht="12.5" x14ac:dyDescent="0.25">
      <c r="A436" s="46"/>
      <c r="B436" s="46"/>
      <c r="C436" s="46"/>
      <c r="D436" s="46"/>
      <c r="E436" s="15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46"/>
      <c r="BA436" s="46"/>
      <c r="BB436" s="46"/>
      <c r="BC436" s="46"/>
      <c r="BD436" s="46"/>
      <c r="BE436" s="46"/>
      <c r="BF436" s="12"/>
      <c r="BG436" s="12"/>
      <c r="BH436" s="12"/>
      <c r="BI436" s="46"/>
      <c r="BJ436" s="46"/>
      <c r="BK436" s="46"/>
      <c r="BL436" s="46"/>
      <c r="BM436" s="46"/>
      <c r="BN436" s="46"/>
      <c r="BO436" s="46"/>
      <c r="BP436" s="46"/>
      <c r="BQ436" s="157"/>
      <c r="BR436" s="156"/>
      <c r="BS436" s="46"/>
      <c r="BT436" s="46"/>
      <c r="BU436" s="12"/>
      <c r="BV436" s="12"/>
      <c r="BW436" s="12"/>
      <c r="BX436" s="12"/>
      <c r="BY436" s="12"/>
      <c r="BZ436" s="12"/>
      <c r="CA436" s="12"/>
      <c r="CB436" s="12"/>
      <c r="CC436" s="12"/>
      <c r="CD436" s="12"/>
      <c r="CE436" s="12"/>
      <c r="CF436" s="12"/>
      <c r="CG436" s="12"/>
      <c r="CH436" s="12"/>
      <c r="CI436" s="12"/>
      <c r="CJ436" s="12"/>
      <c r="CK436" s="12"/>
      <c r="CL436" s="2"/>
      <c r="CM436" s="12"/>
      <c r="CN436" s="12"/>
      <c r="CO436" s="12"/>
      <c r="CP436" s="12"/>
      <c r="CQ436" s="12"/>
      <c r="CR436" s="46"/>
      <c r="CS436" s="46"/>
      <c r="CT436" s="2"/>
      <c r="CU436" s="49"/>
      <c r="CV436" s="49"/>
      <c r="CW436" s="2"/>
      <c r="CX436" s="2"/>
      <c r="CY436" s="51"/>
      <c r="CZ436" s="2"/>
      <c r="DA436" s="12"/>
      <c r="DB436" s="12"/>
      <c r="DC436" s="12"/>
      <c r="DD436" s="12"/>
      <c r="DE436" s="12"/>
      <c r="DF436" s="12"/>
      <c r="DG436" s="12"/>
      <c r="DH436" s="12"/>
      <c r="DI436" s="46"/>
      <c r="DJ436" s="48"/>
      <c r="DK436" s="48"/>
      <c r="DL436" s="48"/>
      <c r="DM436" s="13"/>
      <c r="DN436" s="13"/>
      <c r="DO436" s="12"/>
      <c r="DP436" s="12"/>
      <c r="DQ436" s="12"/>
      <c r="DR436" s="12"/>
      <c r="DS436" s="12"/>
      <c r="DT436" s="12"/>
      <c r="DU436" s="12"/>
      <c r="DV436" s="12"/>
      <c r="DW436" s="12"/>
      <c r="DX436" s="12"/>
      <c r="DY436" s="12"/>
      <c r="DZ436" s="12"/>
      <c r="EA436" s="12"/>
      <c r="EB436" s="12"/>
      <c r="EC436" s="12"/>
      <c r="ED436" s="12"/>
    </row>
    <row r="437" spans="1:134" ht="12.5" x14ac:dyDescent="0.25">
      <c r="A437" s="46"/>
      <c r="B437" s="46"/>
      <c r="C437" s="46"/>
      <c r="D437" s="46"/>
      <c r="E437" s="15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46"/>
      <c r="BA437" s="46"/>
      <c r="BB437" s="46"/>
      <c r="BC437" s="46"/>
      <c r="BD437" s="46"/>
      <c r="BE437" s="46"/>
      <c r="BF437" s="12"/>
      <c r="BG437" s="12"/>
      <c r="BH437" s="12"/>
      <c r="BI437" s="46"/>
      <c r="BJ437" s="46"/>
      <c r="BK437" s="46"/>
      <c r="BL437" s="46"/>
      <c r="BM437" s="46"/>
      <c r="BN437" s="46"/>
      <c r="BO437" s="46"/>
      <c r="BP437" s="46"/>
      <c r="BQ437" s="157"/>
      <c r="BR437" s="156"/>
      <c r="BS437" s="46"/>
      <c r="BT437" s="46"/>
      <c r="BU437" s="12"/>
      <c r="BV437" s="12"/>
      <c r="BW437" s="12"/>
      <c r="BX437" s="12"/>
      <c r="BY437" s="12"/>
      <c r="BZ437" s="12"/>
      <c r="CA437" s="12"/>
      <c r="CB437" s="12"/>
      <c r="CC437" s="12"/>
      <c r="CD437" s="12"/>
      <c r="CE437" s="12"/>
      <c r="CF437" s="12"/>
      <c r="CG437" s="12"/>
      <c r="CH437" s="12"/>
      <c r="CI437" s="12"/>
      <c r="CJ437" s="12"/>
      <c r="CK437" s="12"/>
      <c r="CL437" s="2"/>
      <c r="CM437" s="12"/>
      <c r="CN437" s="12"/>
      <c r="CO437" s="12"/>
      <c r="CP437" s="12"/>
      <c r="CQ437" s="12"/>
      <c r="CR437" s="46"/>
      <c r="CS437" s="46"/>
      <c r="CT437" s="2"/>
      <c r="CU437" s="49"/>
      <c r="CV437" s="49"/>
      <c r="CW437" s="2"/>
      <c r="CX437" s="2"/>
      <c r="CY437" s="51"/>
      <c r="CZ437" s="2"/>
      <c r="DA437" s="12"/>
      <c r="DB437" s="12"/>
      <c r="DC437" s="12"/>
      <c r="DD437" s="12"/>
      <c r="DE437" s="12"/>
      <c r="DF437" s="12"/>
      <c r="DG437" s="12"/>
      <c r="DH437" s="12"/>
      <c r="DI437" s="46"/>
      <c r="DJ437" s="48"/>
      <c r="DK437" s="48"/>
      <c r="DL437" s="48"/>
      <c r="DM437" s="13"/>
      <c r="DN437" s="13"/>
      <c r="DO437" s="12"/>
      <c r="DP437" s="12"/>
      <c r="DQ437" s="12"/>
      <c r="DR437" s="12"/>
      <c r="DS437" s="12"/>
      <c r="DT437" s="12"/>
      <c r="DU437" s="12"/>
      <c r="DV437" s="12"/>
      <c r="DW437" s="12"/>
      <c r="DX437" s="12"/>
      <c r="DY437" s="12"/>
      <c r="DZ437" s="12"/>
      <c r="EA437" s="12"/>
      <c r="EB437" s="12"/>
      <c r="EC437" s="12"/>
      <c r="ED437" s="12"/>
    </row>
    <row r="438" spans="1:134" ht="12.5" x14ac:dyDescent="0.25">
      <c r="A438" s="46"/>
      <c r="B438" s="46"/>
      <c r="C438" s="46"/>
      <c r="D438" s="46"/>
      <c r="E438" s="15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46"/>
      <c r="BA438" s="46"/>
      <c r="BB438" s="46"/>
      <c r="BC438" s="46"/>
      <c r="BD438" s="46"/>
      <c r="BE438" s="46"/>
      <c r="BF438" s="12"/>
      <c r="BG438" s="12"/>
      <c r="BH438" s="12"/>
      <c r="BI438" s="46"/>
      <c r="BJ438" s="46"/>
      <c r="BK438" s="46"/>
      <c r="BL438" s="46"/>
      <c r="BM438" s="46"/>
      <c r="BN438" s="46"/>
      <c r="BO438" s="46"/>
      <c r="BP438" s="46"/>
      <c r="BQ438" s="157"/>
      <c r="BR438" s="156"/>
      <c r="BS438" s="46"/>
      <c r="BT438" s="46"/>
      <c r="BU438" s="12"/>
      <c r="BV438" s="12"/>
      <c r="BW438" s="12"/>
      <c r="BX438" s="12"/>
      <c r="BY438" s="12"/>
      <c r="BZ438" s="12"/>
      <c r="CA438" s="12"/>
      <c r="CB438" s="12"/>
      <c r="CC438" s="12"/>
      <c r="CD438" s="12"/>
      <c r="CE438" s="12"/>
      <c r="CF438" s="12"/>
      <c r="CG438" s="12"/>
      <c r="CH438" s="12"/>
      <c r="CI438" s="12"/>
      <c r="CJ438" s="12"/>
      <c r="CK438" s="12"/>
      <c r="CL438" s="2"/>
      <c r="CM438" s="12"/>
      <c r="CN438" s="12"/>
      <c r="CO438" s="12"/>
      <c r="CP438" s="12"/>
      <c r="CQ438" s="12"/>
      <c r="CR438" s="46"/>
      <c r="CS438" s="46"/>
      <c r="CT438" s="2"/>
      <c r="CU438" s="49"/>
      <c r="CV438" s="49"/>
      <c r="CW438" s="2"/>
      <c r="CX438" s="2"/>
      <c r="CY438" s="51"/>
      <c r="CZ438" s="2"/>
      <c r="DA438" s="12"/>
      <c r="DB438" s="12"/>
      <c r="DC438" s="12"/>
      <c r="DD438" s="12"/>
      <c r="DE438" s="12"/>
      <c r="DF438" s="12"/>
      <c r="DG438" s="12"/>
      <c r="DH438" s="12"/>
      <c r="DI438" s="46"/>
      <c r="DJ438" s="48"/>
      <c r="DK438" s="48"/>
      <c r="DL438" s="48"/>
      <c r="DM438" s="13"/>
      <c r="DN438" s="13"/>
      <c r="DO438" s="12"/>
      <c r="DP438" s="12"/>
      <c r="DQ438" s="12"/>
      <c r="DR438" s="12"/>
      <c r="DS438" s="12"/>
      <c r="DT438" s="12"/>
      <c r="DU438" s="12"/>
      <c r="DV438" s="12"/>
      <c r="DW438" s="12"/>
      <c r="DX438" s="12"/>
      <c r="DY438" s="12"/>
      <c r="DZ438" s="12"/>
      <c r="EA438" s="12"/>
      <c r="EB438" s="12"/>
      <c r="EC438" s="12"/>
      <c r="ED438" s="12"/>
    </row>
    <row r="439" spans="1:134" ht="12.5" x14ac:dyDescent="0.25">
      <c r="A439" s="46"/>
      <c r="B439" s="46"/>
      <c r="C439" s="46"/>
      <c r="D439" s="46"/>
      <c r="E439" s="15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46"/>
      <c r="BA439" s="46"/>
      <c r="BB439" s="46"/>
      <c r="BC439" s="46"/>
      <c r="BD439" s="46"/>
      <c r="BE439" s="46"/>
      <c r="BF439" s="12"/>
      <c r="BG439" s="12"/>
      <c r="BH439" s="12"/>
      <c r="BI439" s="46"/>
      <c r="BJ439" s="46"/>
      <c r="BK439" s="46"/>
      <c r="BL439" s="46"/>
      <c r="BM439" s="46"/>
      <c r="BN439" s="46"/>
      <c r="BO439" s="46"/>
      <c r="BP439" s="46"/>
      <c r="BQ439" s="157"/>
      <c r="BR439" s="156"/>
      <c r="BS439" s="46"/>
      <c r="BT439" s="46"/>
      <c r="BU439" s="12"/>
      <c r="BV439" s="12"/>
      <c r="BW439" s="12"/>
      <c r="BX439" s="12"/>
      <c r="BY439" s="12"/>
      <c r="BZ439" s="12"/>
      <c r="CA439" s="12"/>
      <c r="CB439" s="12"/>
      <c r="CC439" s="12"/>
      <c r="CD439" s="12"/>
      <c r="CE439" s="12"/>
      <c r="CF439" s="12"/>
      <c r="CG439" s="12"/>
      <c r="CH439" s="12"/>
      <c r="CI439" s="12"/>
      <c r="CJ439" s="12"/>
      <c r="CK439" s="12"/>
      <c r="CL439" s="2"/>
      <c r="CM439" s="12"/>
      <c r="CN439" s="12"/>
      <c r="CO439" s="12"/>
      <c r="CP439" s="12"/>
      <c r="CQ439" s="12"/>
      <c r="CR439" s="46"/>
      <c r="CS439" s="46"/>
      <c r="CT439" s="2"/>
      <c r="CU439" s="49"/>
      <c r="CV439" s="49"/>
      <c r="CW439" s="2"/>
      <c r="CX439" s="2"/>
      <c r="CY439" s="51"/>
      <c r="CZ439" s="2"/>
      <c r="DA439" s="12"/>
      <c r="DB439" s="12"/>
      <c r="DC439" s="12"/>
      <c r="DD439" s="12"/>
      <c r="DE439" s="12"/>
      <c r="DF439" s="12"/>
      <c r="DG439" s="12"/>
      <c r="DH439" s="12"/>
      <c r="DI439" s="46"/>
      <c r="DJ439" s="48"/>
      <c r="DK439" s="48"/>
      <c r="DL439" s="48"/>
      <c r="DM439" s="13"/>
      <c r="DN439" s="13"/>
      <c r="DO439" s="12"/>
      <c r="DP439" s="12"/>
      <c r="DQ439" s="12"/>
      <c r="DR439" s="12"/>
      <c r="DS439" s="12"/>
      <c r="DT439" s="12"/>
      <c r="DU439" s="12"/>
      <c r="DV439" s="12"/>
      <c r="DW439" s="12"/>
      <c r="DX439" s="12"/>
      <c r="DY439" s="12"/>
      <c r="DZ439" s="12"/>
      <c r="EA439" s="12"/>
      <c r="EB439" s="12"/>
      <c r="EC439" s="12"/>
      <c r="ED439" s="12"/>
    </row>
    <row r="440" spans="1:134" ht="12.5" x14ac:dyDescent="0.25">
      <c r="A440" s="2"/>
      <c r="B440" s="2"/>
      <c r="C440" s="51"/>
      <c r="D440" s="163"/>
      <c r="E440" s="157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2"/>
      <c r="BA440" s="2"/>
      <c r="BB440" s="2"/>
      <c r="BC440" s="2"/>
      <c r="BD440" s="2"/>
      <c r="BE440" s="2"/>
      <c r="BF440" s="12"/>
      <c r="BG440" s="12"/>
      <c r="BH440" s="12"/>
      <c r="BI440" s="2"/>
      <c r="BJ440" s="2"/>
      <c r="BK440" s="2"/>
      <c r="BL440" s="2"/>
      <c r="BM440" s="2"/>
      <c r="BN440" s="2"/>
      <c r="BO440" s="2"/>
      <c r="BP440" s="2"/>
      <c r="BQ440" s="157"/>
      <c r="BR440" s="157"/>
      <c r="BS440" s="2"/>
      <c r="BT440" s="2"/>
      <c r="BU440" s="12"/>
      <c r="BV440" s="12"/>
      <c r="BW440" s="12"/>
      <c r="BX440" s="12"/>
      <c r="BY440" s="12"/>
      <c r="BZ440" s="12"/>
      <c r="CA440" s="12"/>
      <c r="CB440" s="12"/>
      <c r="CC440" s="12"/>
      <c r="CD440" s="12"/>
      <c r="CE440" s="12"/>
      <c r="CF440" s="12"/>
      <c r="CG440" s="12"/>
      <c r="CH440" s="12"/>
      <c r="CI440" s="12"/>
      <c r="CJ440" s="12"/>
      <c r="CK440" s="12"/>
      <c r="CL440" s="2"/>
      <c r="CM440" s="12"/>
      <c r="CN440" s="12"/>
      <c r="CO440" s="12"/>
      <c r="CP440" s="12"/>
      <c r="CQ440" s="12"/>
      <c r="CR440" s="46"/>
      <c r="CS440" s="46"/>
      <c r="CT440" s="2"/>
      <c r="CU440" s="49"/>
      <c r="CV440" s="49"/>
      <c r="CW440" s="2"/>
      <c r="CX440" s="2"/>
      <c r="CY440" s="160"/>
      <c r="CZ440" s="2"/>
      <c r="DA440" s="12"/>
      <c r="DB440" s="12"/>
      <c r="DC440" s="12"/>
      <c r="DD440" s="12"/>
      <c r="DE440" s="12"/>
      <c r="DF440" s="12"/>
      <c r="DG440" s="12"/>
      <c r="DH440" s="12"/>
      <c r="DI440" s="2"/>
      <c r="DJ440" s="48"/>
      <c r="DK440" s="48"/>
      <c r="DL440" s="48"/>
      <c r="DM440" s="13"/>
      <c r="DN440" s="13"/>
      <c r="DO440" s="12"/>
      <c r="DP440" s="12"/>
      <c r="DQ440" s="12"/>
      <c r="DR440" s="12"/>
      <c r="DS440" s="12"/>
      <c r="DT440" s="12"/>
      <c r="DU440" s="12"/>
      <c r="DV440" s="12"/>
      <c r="DW440" s="12"/>
      <c r="DX440" s="12"/>
      <c r="DY440" s="12"/>
      <c r="DZ440" s="12"/>
      <c r="EA440" s="12"/>
      <c r="EB440" s="12"/>
      <c r="EC440" s="12"/>
      <c r="ED440" s="12"/>
    </row>
    <row r="441" spans="1:134" ht="12.5" x14ac:dyDescent="0.25">
      <c r="A441" s="2"/>
      <c r="B441" s="2"/>
      <c r="C441" s="51"/>
      <c r="D441" s="163"/>
      <c r="E441" s="157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2"/>
      <c r="BA441" s="2"/>
      <c r="BB441" s="2"/>
      <c r="BC441" s="2"/>
      <c r="BD441" s="2"/>
      <c r="BE441" s="2"/>
      <c r="BF441" s="12"/>
      <c r="BG441" s="12"/>
      <c r="BH441" s="12"/>
      <c r="BI441" s="2"/>
      <c r="BJ441" s="2"/>
      <c r="BK441" s="2"/>
      <c r="BL441" s="2"/>
      <c r="BM441" s="2"/>
      <c r="BN441" s="2"/>
      <c r="BO441" s="2"/>
      <c r="BP441" s="2"/>
      <c r="BQ441" s="157"/>
      <c r="BR441" s="157"/>
      <c r="BS441" s="2"/>
      <c r="BT441" s="2"/>
      <c r="BU441" s="12"/>
      <c r="BV441" s="12"/>
      <c r="BW441" s="12"/>
      <c r="BX441" s="12"/>
      <c r="BY441" s="12"/>
      <c r="BZ441" s="12"/>
      <c r="CA441" s="12"/>
      <c r="CB441" s="12"/>
      <c r="CC441" s="12"/>
      <c r="CD441" s="12"/>
      <c r="CE441" s="12"/>
      <c r="CF441" s="12"/>
      <c r="CG441" s="12"/>
      <c r="CH441" s="12"/>
      <c r="CI441" s="12"/>
      <c r="CJ441" s="12"/>
      <c r="CK441" s="12"/>
      <c r="CL441" s="2"/>
      <c r="CM441" s="12"/>
      <c r="CN441" s="12"/>
      <c r="CO441" s="12"/>
      <c r="CP441" s="12"/>
      <c r="CQ441" s="12"/>
      <c r="CR441" s="46"/>
      <c r="CS441" s="46"/>
      <c r="CT441" s="2"/>
      <c r="CU441" s="49"/>
      <c r="CV441" s="49"/>
      <c r="CW441" s="2"/>
      <c r="CX441" s="2"/>
      <c r="CY441" s="51"/>
      <c r="CZ441" s="2"/>
      <c r="DA441" s="12"/>
      <c r="DB441" s="12"/>
      <c r="DC441" s="12"/>
      <c r="DD441" s="12"/>
      <c r="DE441" s="12"/>
      <c r="DF441" s="12"/>
      <c r="DG441" s="12"/>
      <c r="DH441" s="2"/>
      <c r="DI441" s="2"/>
      <c r="DJ441" s="48"/>
      <c r="DK441" s="48"/>
      <c r="DL441" s="48"/>
      <c r="DM441" s="13"/>
      <c r="DN441" s="13"/>
      <c r="DO441" s="12"/>
      <c r="DP441" s="12"/>
      <c r="DQ441" s="12"/>
      <c r="DR441" s="12"/>
      <c r="DS441" s="12"/>
      <c r="DT441" s="2"/>
      <c r="DU441" s="12"/>
      <c r="DV441" s="12"/>
      <c r="DW441" s="12"/>
      <c r="DX441" s="2"/>
      <c r="DY441" s="12"/>
      <c r="DZ441" s="12"/>
      <c r="EA441" s="12"/>
      <c r="EB441" s="12"/>
      <c r="EC441" s="12"/>
      <c r="ED441" s="12"/>
    </row>
    <row r="442" spans="1:134" ht="12.5" x14ac:dyDescent="0.25">
      <c r="A442" s="2"/>
      <c r="B442" s="2"/>
      <c r="C442" s="51"/>
      <c r="D442" s="163"/>
      <c r="E442" s="157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2"/>
      <c r="BA442" s="2"/>
      <c r="BB442" s="2"/>
      <c r="BC442" s="2"/>
      <c r="BD442" s="2"/>
      <c r="BE442" s="2"/>
      <c r="BF442" s="12"/>
      <c r="BG442" s="12"/>
      <c r="BH442" s="12"/>
      <c r="BI442" s="2"/>
      <c r="BJ442" s="2"/>
      <c r="BK442" s="2"/>
      <c r="BL442" s="2"/>
      <c r="BM442" s="2"/>
      <c r="BN442" s="2"/>
      <c r="BO442" s="2"/>
      <c r="BP442" s="2"/>
      <c r="BQ442" s="157"/>
      <c r="BR442" s="157"/>
      <c r="BS442" s="2"/>
      <c r="BT442" s="2"/>
      <c r="BU442" s="12"/>
      <c r="BV442" s="12"/>
      <c r="BW442" s="12"/>
      <c r="BX442" s="12"/>
      <c r="BY442" s="12"/>
      <c r="BZ442" s="12"/>
      <c r="CA442" s="12"/>
      <c r="CB442" s="12"/>
      <c r="CC442" s="12"/>
      <c r="CD442" s="12"/>
      <c r="CE442" s="12"/>
      <c r="CF442" s="12"/>
      <c r="CG442" s="12"/>
      <c r="CH442" s="12"/>
      <c r="CI442" s="12"/>
      <c r="CJ442" s="12"/>
      <c r="CK442" s="12"/>
      <c r="CL442" s="2"/>
      <c r="CM442" s="12"/>
      <c r="CN442" s="12"/>
      <c r="CO442" s="12"/>
      <c r="CP442" s="12"/>
      <c r="CQ442" s="12"/>
      <c r="CR442" s="46"/>
      <c r="CS442" s="46"/>
      <c r="CT442" s="2"/>
      <c r="CU442" s="49"/>
      <c r="CV442" s="49"/>
      <c r="CW442" s="2"/>
      <c r="CX442" s="2"/>
      <c r="CY442" s="51"/>
      <c r="CZ442" s="2"/>
      <c r="DA442" s="12"/>
      <c r="DB442" s="12"/>
      <c r="DC442" s="12"/>
      <c r="DD442" s="12"/>
      <c r="DE442" s="12"/>
      <c r="DF442" s="12"/>
      <c r="DG442" s="12"/>
      <c r="DH442" s="2"/>
      <c r="DI442" s="2"/>
      <c r="DJ442" s="48"/>
      <c r="DK442" s="48"/>
      <c r="DL442" s="48"/>
      <c r="DM442" s="13"/>
      <c r="DN442" s="13"/>
      <c r="DO442" s="12"/>
      <c r="DP442" s="12"/>
      <c r="DQ442" s="12"/>
      <c r="DR442" s="12"/>
      <c r="DS442" s="12"/>
      <c r="DT442" s="2"/>
      <c r="DU442" s="12"/>
      <c r="DV442" s="12"/>
      <c r="DW442" s="12"/>
      <c r="DX442" s="2"/>
      <c r="DY442" s="12"/>
      <c r="DZ442" s="12"/>
      <c r="EA442" s="12"/>
      <c r="EB442" s="12"/>
      <c r="EC442" s="12"/>
      <c r="ED442" s="12"/>
    </row>
    <row r="443" spans="1:134" ht="12.5" x14ac:dyDescent="0.25">
      <c r="A443" s="2"/>
      <c r="B443" s="2"/>
      <c r="C443" s="51"/>
      <c r="D443" s="163"/>
      <c r="E443" s="157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2"/>
      <c r="BA443" s="2"/>
      <c r="BB443" s="2"/>
      <c r="BC443" s="2"/>
      <c r="BD443" s="2"/>
      <c r="BE443" s="2"/>
      <c r="BF443" s="12"/>
      <c r="BG443" s="12"/>
      <c r="BH443" s="12"/>
      <c r="BI443" s="2"/>
      <c r="BJ443" s="2"/>
      <c r="BK443" s="2"/>
      <c r="BL443" s="2"/>
      <c r="BM443" s="2"/>
      <c r="BN443" s="2"/>
      <c r="BO443" s="2"/>
      <c r="BP443" s="2"/>
      <c r="BQ443" s="157"/>
      <c r="BR443" s="157"/>
      <c r="BS443" s="2"/>
      <c r="BT443" s="2"/>
      <c r="BU443" s="12"/>
      <c r="BV443" s="12"/>
      <c r="BW443" s="12"/>
      <c r="BX443" s="12"/>
      <c r="BY443" s="12"/>
      <c r="BZ443" s="12"/>
      <c r="CA443" s="12"/>
      <c r="CB443" s="12"/>
      <c r="CC443" s="12"/>
      <c r="CD443" s="12"/>
      <c r="CE443" s="12"/>
      <c r="CF443" s="12"/>
      <c r="CG443" s="12"/>
      <c r="CH443" s="12"/>
      <c r="CI443" s="12"/>
      <c r="CJ443" s="12"/>
      <c r="CK443" s="12"/>
      <c r="CL443" s="2"/>
      <c r="CM443" s="12"/>
      <c r="CN443" s="12"/>
      <c r="CO443" s="12"/>
      <c r="CP443" s="12"/>
      <c r="CQ443" s="12"/>
      <c r="CR443" s="46"/>
      <c r="CS443" s="46"/>
      <c r="CT443" s="2"/>
      <c r="CU443" s="49"/>
      <c r="CV443" s="49"/>
      <c r="CW443" s="2"/>
      <c r="CX443" s="2"/>
      <c r="CY443" s="51"/>
      <c r="CZ443" s="2"/>
      <c r="DA443" s="12"/>
      <c r="DB443" s="12"/>
      <c r="DC443" s="12"/>
      <c r="DD443" s="12"/>
      <c r="DE443" s="12"/>
      <c r="DF443" s="12"/>
      <c r="DG443" s="12"/>
      <c r="DH443" s="2"/>
      <c r="DI443" s="2"/>
      <c r="DJ443" s="48"/>
      <c r="DK443" s="48"/>
      <c r="DL443" s="48"/>
      <c r="DM443" s="13"/>
      <c r="DN443" s="13"/>
      <c r="DO443" s="12"/>
      <c r="DP443" s="12"/>
      <c r="DQ443" s="12"/>
      <c r="DR443" s="12"/>
      <c r="DS443" s="12"/>
      <c r="DT443" s="2"/>
      <c r="DU443" s="12"/>
      <c r="DV443" s="12"/>
      <c r="DW443" s="12"/>
      <c r="DX443" s="2"/>
      <c r="DY443" s="12"/>
      <c r="DZ443" s="12"/>
      <c r="EA443" s="12"/>
      <c r="EB443" s="12"/>
      <c r="EC443" s="12"/>
      <c r="ED443" s="12"/>
    </row>
    <row r="444" spans="1:134" ht="12.5" x14ac:dyDescent="0.25">
      <c r="A444" s="2"/>
      <c r="B444" s="2"/>
      <c r="C444" s="51"/>
      <c r="D444" s="2"/>
      <c r="E444" s="157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2"/>
      <c r="BA444" s="2"/>
      <c r="BB444" s="2"/>
      <c r="BC444" s="2"/>
      <c r="BD444" s="2"/>
      <c r="BE444" s="2"/>
      <c r="BF444" s="12"/>
      <c r="BG444" s="12"/>
      <c r="BH444" s="12"/>
      <c r="BI444" s="2"/>
      <c r="BJ444" s="2"/>
      <c r="BK444" s="2"/>
      <c r="BL444" s="2"/>
      <c r="BM444" s="2"/>
      <c r="BN444" s="2"/>
      <c r="BO444" s="2"/>
      <c r="BP444" s="2"/>
      <c r="BQ444" s="157"/>
      <c r="BR444" s="157"/>
      <c r="BS444" s="2"/>
      <c r="BT444" s="2"/>
      <c r="BU444" s="12"/>
      <c r="BV444" s="12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2"/>
      <c r="CM444" s="12"/>
      <c r="CN444" s="12"/>
      <c r="CO444" s="12"/>
      <c r="CP444" s="12"/>
      <c r="CQ444" s="12"/>
      <c r="CR444" s="46"/>
      <c r="CS444" s="46"/>
      <c r="CT444" s="2"/>
      <c r="CU444" s="49"/>
      <c r="CV444" s="49"/>
      <c r="CW444" s="2"/>
      <c r="CX444" s="2"/>
      <c r="CY444" s="51"/>
      <c r="CZ444" s="2"/>
      <c r="DA444" s="12"/>
      <c r="DB444" s="12"/>
      <c r="DC444" s="12"/>
      <c r="DD444" s="12"/>
      <c r="DE444" s="12"/>
      <c r="DF444" s="12"/>
      <c r="DG444" s="12"/>
      <c r="DH444" s="2"/>
      <c r="DI444" s="2"/>
      <c r="DJ444" s="48"/>
      <c r="DK444" s="48"/>
      <c r="DL444" s="48"/>
      <c r="DM444" s="13"/>
      <c r="DN444" s="13"/>
      <c r="DO444" s="12"/>
      <c r="DP444" s="12"/>
      <c r="DQ444" s="12"/>
      <c r="DR444" s="12"/>
      <c r="DS444" s="12"/>
      <c r="DT444" s="2"/>
      <c r="DU444" s="12"/>
      <c r="DV444" s="12"/>
      <c r="DW444" s="12"/>
      <c r="DX444" s="2"/>
      <c r="DY444" s="12"/>
      <c r="DZ444" s="12"/>
      <c r="EA444" s="12"/>
      <c r="EB444" s="12"/>
      <c r="EC444" s="12"/>
      <c r="ED444" s="12"/>
    </row>
    <row r="445" spans="1:134" ht="12.5" x14ac:dyDescent="0.25">
      <c r="A445" s="2"/>
      <c r="B445" s="2"/>
      <c r="C445" s="51"/>
      <c r="D445" s="163"/>
      <c r="E445" s="157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2"/>
      <c r="BA445" s="2"/>
      <c r="BB445" s="2"/>
      <c r="BC445" s="2"/>
      <c r="BD445" s="2"/>
      <c r="BE445" s="2"/>
      <c r="BF445" s="12"/>
      <c r="BG445" s="12"/>
      <c r="BH445" s="12"/>
      <c r="BI445" s="2"/>
      <c r="BJ445" s="2"/>
      <c r="BK445" s="2"/>
      <c r="BL445" s="2"/>
      <c r="BM445" s="2"/>
      <c r="BN445" s="2"/>
      <c r="BO445" s="2"/>
      <c r="BP445" s="2"/>
      <c r="BQ445" s="157"/>
      <c r="BR445" s="157"/>
      <c r="BS445" s="2"/>
      <c r="BT445" s="2"/>
      <c r="BU445" s="12"/>
      <c r="BV445" s="12"/>
      <c r="BW445" s="12"/>
      <c r="BX445" s="12"/>
      <c r="BY445" s="12"/>
      <c r="BZ445" s="12"/>
      <c r="CA445" s="12"/>
      <c r="CB445" s="12"/>
      <c r="CC445" s="12"/>
      <c r="CD445" s="12"/>
      <c r="CE445" s="12"/>
      <c r="CF445" s="12"/>
      <c r="CG445" s="12"/>
      <c r="CH445" s="12"/>
      <c r="CI445" s="12"/>
      <c r="CJ445" s="12"/>
      <c r="CK445" s="12"/>
      <c r="CL445" s="2"/>
      <c r="CM445" s="12"/>
      <c r="CN445" s="12"/>
      <c r="CO445" s="12"/>
      <c r="CP445" s="12"/>
      <c r="CQ445" s="12"/>
      <c r="CR445" s="46"/>
      <c r="CS445" s="46"/>
      <c r="CT445" s="2"/>
      <c r="CU445" s="49"/>
      <c r="CV445" s="119"/>
      <c r="CW445" s="2"/>
      <c r="CX445" s="2"/>
      <c r="CY445" s="51"/>
      <c r="CZ445" s="2"/>
      <c r="DA445" s="12"/>
      <c r="DB445" s="12"/>
      <c r="DC445" s="12"/>
      <c r="DD445" s="12"/>
      <c r="DE445" s="12"/>
      <c r="DF445" s="12"/>
      <c r="DG445" s="12"/>
      <c r="DH445" s="2"/>
      <c r="DI445" s="2"/>
      <c r="DJ445" s="48"/>
      <c r="DK445" s="48"/>
      <c r="DL445" s="48"/>
      <c r="DM445" s="13"/>
      <c r="DN445" s="13"/>
      <c r="DO445" s="12"/>
      <c r="DP445" s="12"/>
      <c r="DQ445" s="12"/>
      <c r="DR445" s="12"/>
      <c r="DS445" s="12"/>
      <c r="DT445" s="2"/>
      <c r="DU445" s="12"/>
      <c r="DV445" s="12"/>
      <c r="DW445" s="12"/>
      <c r="DX445" s="2"/>
      <c r="DY445" s="12"/>
      <c r="DZ445" s="12"/>
      <c r="EA445" s="12"/>
      <c r="EB445" s="12"/>
      <c r="EC445" s="12"/>
      <c r="ED445" s="12"/>
    </row>
    <row r="446" spans="1:134" ht="12.5" x14ac:dyDescent="0.25">
      <c r="A446" s="2"/>
      <c r="B446" s="2"/>
      <c r="C446" s="51"/>
      <c r="D446" s="163"/>
      <c r="E446" s="157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2"/>
      <c r="BA446" s="2"/>
      <c r="BB446" s="2"/>
      <c r="BC446" s="2"/>
      <c r="BD446" s="2"/>
      <c r="BE446" s="2"/>
      <c r="BF446" s="12"/>
      <c r="BG446" s="12"/>
      <c r="BH446" s="12"/>
      <c r="BI446" s="2"/>
      <c r="BJ446" s="2"/>
      <c r="BK446" s="2"/>
      <c r="BL446" s="2"/>
      <c r="BM446" s="2"/>
      <c r="BN446" s="2"/>
      <c r="BO446" s="2"/>
      <c r="BP446" s="2"/>
      <c r="BQ446" s="157"/>
      <c r="BR446" s="157"/>
      <c r="BS446" s="2"/>
      <c r="BT446" s="2"/>
      <c r="BU446" s="12"/>
      <c r="BV446" s="12"/>
      <c r="BW446" s="12"/>
      <c r="BX446" s="12"/>
      <c r="BY446" s="12"/>
      <c r="BZ446" s="12"/>
      <c r="CA446" s="12"/>
      <c r="CB446" s="12"/>
      <c r="CC446" s="12"/>
      <c r="CD446" s="12"/>
      <c r="CE446" s="12"/>
      <c r="CF446" s="12"/>
      <c r="CG446" s="12"/>
      <c r="CH446" s="12"/>
      <c r="CI446" s="12"/>
      <c r="CJ446" s="12"/>
      <c r="CK446" s="12"/>
      <c r="CL446" s="2"/>
      <c r="CM446" s="12"/>
      <c r="CN446" s="12"/>
      <c r="CO446" s="12"/>
      <c r="CP446" s="12"/>
      <c r="CQ446" s="12"/>
      <c r="CR446" s="46"/>
      <c r="CS446" s="46"/>
      <c r="CT446" s="2"/>
      <c r="CU446" s="49"/>
      <c r="CV446" s="119"/>
      <c r="CW446" s="2"/>
      <c r="CX446" s="2"/>
      <c r="CY446" s="51"/>
      <c r="CZ446" s="2"/>
      <c r="DA446" s="12"/>
      <c r="DB446" s="12"/>
      <c r="DC446" s="12"/>
      <c r="DD446" s="12"/>
      <c r="DE446" s="12"/>
      <c r="DF446" s="12"/>
      <c r="DG446" s="12"/>
      <c r="DH446" s="2"/>
      <c r="DI446" s="2"/>
      <c r="DJ446" s="48"/>
      <c r="DK446" s="48"/>
      <c r="DL446" s="48"/>
      <c r="DM446" s="13"/>
      <c r="DN446" s="13"/>
      <c r="DO446" s="12"/>
      <c r="DP446" s="12"/>
      <c r="DQ446" s="12"/>
      <c r="DR446" s="12"/>
      <c r="DS446" s="12"/>
      <c r="DT446" s="2"/>
      <c r="DU446" s="12"/>
      <c r="DV446" s="12"/>
      <c r="DW446" s="12"/>
      <c r="DX446" s="2"/>
      <c r="DY446" s="12"/>
      <c r="DZ446" s="12"/>
      <c r="EA446" s="12"/>
      <c r="EB446" s="12"/>
      <c r="EC446" s="12"/>
      <c r="ED446" s="12"/>
    </row>
    <row r="447" spans="1:134" ht="12.5" x14ac:dyDescent="0.25">
      <c r="A447" s="2"/>
      <c r="B447" s="2"/>
      <c r="C447" s="51"/>
      <c r="D447" s="163"/>
      <c r="E447" s="157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2"/>
      <c r="BA447" s="2"/>
      <c r="BB447" s="2"/>
      <c r="BC447" s="2"/>
      <c r="BD447" s="2"/>
      <c r="BE447" s="2"/>
      <c r="BF447" s="12"/>
      <c r="BG447" s="12"/>
      <c r="BH447" s="12"/>
      <c r="BI447" s="2"/>
      <c r="BJ447" s="2"/>
      <c r="BK447" s="2"/>
      <c r="BL447" s="2"/>
      <c r="BM447" s="2"/>
      <c r="BN447" s="2"/>
      <c r="BO447" s="2"/>
      <c r="BP447" s="2"/>
      <c r="BQ447" s="157"/>
      <c r="BR447" s="157"/>
      <c r="BS447" s="2"/>
      <c r="BT447" s="2"/>
      <c r="BU447" s="12"/>
      <c r="BV447" s="12"/>
      <c r="BW447" s="12"/>
      <c r="BX447" s="12"/>
      <c r="BY447" s="12"/>
      <c r="BZ447" s="12"/>
      <c r="CA447" s="12"/>
      <c r="CB447" s="12"/>
      <c r="CC447" s="12"/>
      <c r="CD447" s="12"/>
      <c r="CE447" s="12"/>
      <c r="CF447" s="12"/>
      <c r="CG447" s="12"/>
      <c r="CH447" s="12"/>
      <c r="CI447" s="12"/>
      <c r="CJ447" s="12"/>
      <c r="CK447" s="12"/>
      <c r="CL447" s="2"/>
      <c r="CM447" s="12"/>
      <c r="CN447" s="12"/>
      <c r="CO447" s="12"/>
      <c r="CP447" s="12"/>
      <c r="CQ447" s="12"/>
      <c r="CR447" s="46"/>
      <c r="CS447" s="46"/>
      <c r="CT447" s="2"/>
      <c r="CU447" s="49"/>
      <c r="CV447" s="119"/>
      <c r="CW447" s="2"/>
      <c r="CX447" s="2"/>
      <c r="CY447" s="51"/>
      <c r="CZ447" s="2"/>
      <c r="DA447" s="12"/>
      <c r="DB447" s="12"/>
      <c r="DC447" s="12"/>
      <c r="DD447" s="12"/>
      <c r="DE447" s="12"/>
      <c r="DF447" s="12"/>
      <c r="DG447" s="12"/>
      <c r="DH447" s="2"/>
      <c r="DI447" s="2"/>
      <c r="DJ447" s="48"/>
      <c r="DK447" s="48"/>
      <c r="DL447" s="48"/>
      <c r="DM447" s="13"/>
      <c r="DN447" s="13"/>
      <c r="DO447" s="12"/>
      <c r="DP447" s="12"/>
      <c r="DQ447" s="12"/>
      <c r="DR447" s="12"/>
      <c r="DS447" s="12"/>
      <c r="DT447" s="2"/>
      <c r="DU447" s="12"/>
      <c r="DV447" s="12"/>
      <c r="DW447" s="12"/>
      <c r="DX447" s="2"/>
      <c r="DY447" s="12"/>
      <c r="DZ447" s="12"/>
      <c r="EA447" s="12"/>
      <c r="EB447" s="12"/>
      <c r="EC447" s="12"/>
      <c r="ED447" s="12"/>
    </row>
    <row r="448" spans="1:134" ht="12.5" x14ac:dyDescent="0.25">
      <c r="A448" s="2"/>
      <c r="B448" s="2"/>
      <c r="C448" s="51"/>
      <c r="D448" s="163"/>
      <c r="E448" s="157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2"/>
      <c r="BA448" s="2"/>
      <c r="BB448" s="2"/>
      <c r="BC448" s="2"/>
      <c r="BD448" s="2"/>
      <c r="BE448" s="2"/>
      <c r="BF448" s="12"/>
      <c r="BG448" s="12"/>
      <c r="BH448" s="12"/>
      <c r="BI448" s="2"/>
      <c r="BJ448" s="2"/>
      <c r="BK448" s="2"/>
      <c r="BL448" s="2"/>
      <c r="BM448" s="2"/>
      <c r="BN448" s="2"/>
      <c r="BO448" s="2"/>
      <c r="BP448" s="2"/>
      <c r="BQ448" s="157"/>
      <c r="BR448" s="157"/>
      <c r="BS448" s="2"/>
      <c r="BT448" s="2"/>
      <c r="BU448" s="12"/>
      <c r="BV448" s="12"/>
      <c r="BW448" s="12"/>
      <c r="BX448" s="12"/>
      <c r="BY448" s="12"/>
      <c r="BZ448" s="12"/>
      <c r="CA448" s="12"/>
      <c r="CB448" s="12"/>
      <c r="CC448" s="12"/>
      <c r="CD448" s="12"/>
      <c r="CE448" s="12"/>
      <c r="CF448" s="12"/>
      <c r="CG448" s="12"/>
      <c r="CH448" s="12"/>
      <c r="CI448" s="12"/>
      <c r="CJ448" s="12"/>
      <c r="CK448" s="12"/>
      <c r="CL448" s="2"/>
      <c r="CM448" s="12"/>
      <c r="CN448" s="12"/>
      <c r="CO448" s="12"/>
      <c r="CP448" s="12"/>
      <c r="CQ448" s="12"/>
      <c r="CR448" s="46"/>
      <c r="CS448" s="46"/>
      <c r="CT448" s="2"/>
      <c r="CU448" s="49"/>
      <c r="CV448" s="119"/>
      <c r="CW448" s="2"/>
      <c r="CX448" s="2"/>
      <c r="CY448" s="51"/>
      <c r="CZ448" s="2"/>
      <c r="DA448" s="12"/>
      <c r="DB448" s="12"/>
      <c r="DC448" s="12"/>
      <c r="DD448" s="12"/>
      <c r="DE448" s="12"/>
      <c r="DF448" s="12"/>
      <c r="DG448" s="12"/>
      <c r="DH448" s="2"/>
      <c r="DI448" s="2"/>
      <c r="DJ448" s="48"/>
      <c r="DK448" s="48"/>
      <c r="DL448" s="48"/>
      <c r="DM448" s="13"/>
      <c r="DN448" s="13"/>
      <c r="DO448" s="12"/>
      <c r="DP448" s="12"/>
      <c r="DQ448" s="12"/>
      <c r="DR448" s="12"/>
      <c r="DS448" s="12"/>
      <c r="DT448" s="2"/>
      <c r="DU448" s="12"/>
      <c r="DV448" s="12"/>
      <c r="DW448" s="12"/>
      <c r="DX448" s="2"/>
      <c r="DY448" s="12"/>
      <c r="DZ448" s="12"/>
      <c r="EA448" s="12"/>
      <c r="EB448" s="12"/>
      <c r="EC448" s="12"/>
      <c r="ED448" s="12"/>
    </row>
    <row r="449" spans="1:134" ht="12.5" x14ac:dyDescent="0.25">
      <c r="A449" s="2"/>
      <c r="B449" s="2"/>
      <c r="C449" s="51"/>
      <c r="D449" s="163"/>
      <c r="E449" s="157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2"/>
      <c r="BA449" s="2"/>
      <c r="BB449" s="2"/>
      <c r="BC449" s="2"/>
      <c r="BD449" s="2"/>
      <c r="BE449" s="2"/>
      <c r="BF449" s="12"/>
      <c r="BG449" s="12"/>
      <c r="BH449" s="12"/>
      <c r="BI449" s="2"/>
      <c r="BJ449" s="2"/>
      <c r="BK449" s="2"/>
      <c r="BL449" s="2"/>
      <c r="BM449" s="2"/>
      <c r="BN449" s="2"/>
      <c r="BO449" s="2"/>
      <c r="BP449" s="2"/>
      <c r="BQ449" s="157"/>
      <c r="BR449" s="157"/>
      <c r="BS449" s="2"/>
      <c r="BT449" s="2"/>
      <c r="BU449" s="12"/>
      <c r="BV449" s="12"/>
      <c r="BW449" s="12"/>
      <c r="BX449" s="12"/>
      <c r="BY449" s="12"/>
      <c r="BZ449" s="12"/>
      <c r="CA449" s="12"/>
      <c r="CB449" s="12"/>
      <c r="CC449" s="12"/>
      <c r="CD449" s="12"/>
      <c r="CE449" s="12"/>
      <c r="CF449" s="12"/>
      <c r="CG449" s="12"/>
      <c r="CH449" s="12"/>
      <c r="CI449" s="12"/>
      <c r="CJ449" s="12"/>
      <c r="CK449" s="12"/>
      <c r="CL449" s="2"/>
      <c r="CM449" s="12"/>
      <c r="CN449" s="12"/>
      <c r="CO449" s="12"/>
      <c r="CP449" s="12"/>
      <c r="CQ449" s="12"/>
      <c r="CR449" s="46"/>
      <c r="CS449" s="46"/>
      <c r="CT449" s="2"/>
      <c r="CU449" s="49"/>
      <c r="CV449" s="119"/>
      <c r="CW449" s="2"/>
      <c r="CX449" s="2"/>
      <c r="CY449" s="51"/>
      <c r="CZ449" s="2"/>
      <c r="DA449" s="12"/>
      <c r="DB449" s="12"/>
      <c r="DC449" s="12"/>
      <c r="DD449" s="12"/>
      <c r="DE449" s="12"/>
      <c r="DF449" s="12"/>
      <c r="DG449" s="12"/>
      <c r="DH449" s="2"/>
      <c r="DI449" s="2"/>
      <c r="DJ449" s="48"/>
      <c r="DK449" s="48"/>
      <c r="DL449" s="48"/>
      <c r="DM449" s="13"/>
      <c r="DN449" s="13"/>
      <c r="DO449" s="12"/>
      <c r="DP449" s="12"/>
      <c r="DQ449" s="12"/>
      <c r="DR449" s="12"/>
      <c r="DS449" s="12"/>
      <c r="DT449" s="2"/>
      <c r="DU449" s="12"/>
      <c r="DV449" s="12"/>
      <c r="DW449" s="12"/>
      <c r="DX449" s="2"/>
      <c r="DY449" s="12"/>
      <c r="DZ449" s="12"/>
      <c r="EA449" s="12"/>
      <c r="EB449" s="12"/>
      <c r="EC449" s="12"/>
      <c r="ED449" s="12"/>
    </row>
    <row r="450" spans="1:134" ht="12.5" x14ac:dyDescent="0.25">
      <c r="A450" s="2"/>
      <c r="B450" s="2"/>
      <c r="C450" s="51"/>
      <c r="D450" s="163"/>
      <c r="E450" s="157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2"/>
      <c r="BA450" s="2"/>
      <c r="BB450" s="2"/>
      <c r="BC450" s="2"/>
      <c r="BD450" s="2"/>
      <c r="BE450" s="2"/>
      <c r="BF450" s="12"/>
      <c r="BG450" s="12"/>
      <c r="BH450" s="12"/>
      <c r="BI450" s="2"/>
      <c r="BJ450" s="2"/>
      <c r="BK450" s="2"/>
      <c r="BL450" s="2"/>
      <c r="BM450" s="2"/>
      <c r="BN450" s="2"/>
      <c r="BO450" s="2"/>
      <c r="BP450" s="2"/>
      <c r="BQ450" s="157"/>
      <c r="BR450" s="157"/>
      <c r="BS450" s="2"/>
      <c r="BT450" s="2"/>
      <c r="BU450" s="12"/>
      <c r="BV450" s="12"/>
      <c r="BW450" s="12"/>
      <c r="BX450" s="12"/>
      <c r="BY450" s="12"/>
      <c r="BZ450" s="12"/>
      <c r="CA450" s="12"/>
      <c r="CB450" s="12"/>
      <c r="CC450" s="12"/>
      <c r="CD450" s="12"/>
      <c r="CE450" s="12"/>
      <c r="CF450" s="12"/>
      <c r="CG450" s="12"/>
      <c r="CH450" s="12"/>
      <c r="CI450" s="12"/>
      <c r="CJ450" s="12"/>
      <c r="CK450" s="12"/>
      <c r="CL450" s="2"/>
      <c r="CM450" s="12"/>
      <c r="CN450" s="12"/>
      <c r="CO450" s="12"/>
      <c r="CP450" s="12"/>
      <c r="CQ450" s="12"/>
      <c r="CR450" s="46"/>
      <c r="CS450" s="46"/>
      <c r="CT450" s="2"/>
      <c r="CU450" s="49"/>
      <c r="CV450" s="119"/>
      <c r="CW450" s="2"/>
      <c r="CX450" s="2"/>
      <c r="CY450" s="51"/>
      <c r="CZ450" s="2"/>
      <c r="DA450" s="12"/>
      <c r="DB450" s="12"/>
      <c r="DC450" s="12"/>
      <c r="DD450" s="12"/>
      <c r="DE450" s="12"/>
      <c r="DF450" s="12"/>
      <c r="DG450" s="12"/>
      <c r="DH450" s="2"/>
      <c r="DI450" s="2"/>
      <c r="DJ450" s="48"/>
      <c r="DK450" s="48"/>
      <c r="DL450" s="48"/>
      <c r="DM450" s="13"/>
      <c r="DN450" s="13"/>
      <c r="DO450" s="12"/>
      <c r="DP450" s="12"/>
      <c r="DQ450" s="12"/>
      <c r="DR450" s="12"/>
      <c r="DS450" s="12"/>
      <c r="DT450" s="2"/>
      <c r="DU450" s="12"/>
      <c r="DV450" s="12"/>
      <c r="DW450" s="12"/>
      <c r="DX450" s="2"/>
      <c r="DY450" s="12"/>
      <c r="DZ450" s="12"/>
      <c r="EA450" s="12"/>
      <c r="EB450" s="12"/>
      <c r="EC450" s="12"/>
      <c r="ED450" s="12"/>
    </row>
    <row r="451" spans="1:134" ht="12.5" x14ac:dyDescent="0.25">
      <c r="A451" s="2"/>
      <c r="B451" s="2"/>
      <c r="C451" s="51"/>
      <c r="D451" s="163"/>
      <c r="E451" s="157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2"/>
      <c r="BA451" s="2"/>
      <c r="BB451" s="2"/>
      <c r="BC451" s="2"/>
      <c r="BD451" s="2"/>
      <c r="BE451" s="2"/>
      <c r="BF451" s="12"/>
      <c r="BG451" s="12"/>
      <c r="BH451" s="12"/>
      <c r="BI451" s="2"/>
      <c r="BJ451" s="2"/>
      <c r="BK451" s="2"/>
      <c r="BL451" s="2"/>
      <c r="BM451" s="2"/>
      <c r="BN451" s="2"/>
      <c r="BO451" s="2"/>
      <c r="BP451" s="2"/>
      <c r="BQ451" s="157"/>
      <c r="BR451" s="157"/>
      <c r="BS451" s="2"/>
      <c r="BT451" s="2"/>
      <c r="BU451" s="12"/>
      <c r="BV451" s="12"/>
      <c r="BW451" s="12"/>
      <c r="BX451" s="12"/>
      <c r="BY451" s="12"/>
      <c r="BZ451" s="12"/>
      <c r="CA451" s="12"/>
      <c r="CB451" s="12"/>
      <c r="CC451" s="12"/>
      <c r="CD451" s="12"/>
      <c r="CE451" s="12"/>
      <c r="CF451" s="12"/>
      <c r="CG451" s="12"/>
      <c r="CH451" s="12"/>
      <c r="CI451" s="12"/>
      <c r="CJ451" s="12"/>
      <c r="CK451" s="12"/>
      <c r="CL451" s="12"/>
      <c r="CM451" s="12"/>
      <c r="CN451" s="12"/>
      <c r="CO451" s="12"/>
      <c r="CP451" s="12"/>
      <c r="CQ451" s="12"/>
      <c r="CR451" s="46"/>
      <c r="CS451" s="46"/>
      <c r="CT451" s="2"/>
      <c r="CU451" s="49"/>
      <c r="CV451" s="119"/>
      <c r="CW451" s="2"/>
      <c r="CX451" s="2"/>
      <c r="CY451" s="51"/>
      <c r="CZ451" s="2"/>
      <c r="DA451" s="12"/>
      <c r="DB451" s="12"/>
      <c r="DC451" s="12"/>
      <c r="DD451" s="12"/>
      <c r="DE451" s="12"/>
      <c r="DF451" s="12"/>
      <c r="DG451" s="12"/>
      <c r="DH451" s="2"/>
      <c r="DI451" s="2"/>
      <c r="DJ451" s="48"/>
      <c r="DK451" s="48"/>
      <c r="DL451" s="48"/>
      <c r="DM451" s="13"/>
      <c r="DN451" s="13"/>
      <c r="DO451" s="12"/>
      <c r="DP451" s="12"/>
      <c r="DQ451" s="12"/>
      <c r="DR451" s="12"/>
      <c r="DS451" s="12"/>
      <c r="DT451" s="2"/>
      <c r="DU451" s="12"/>
      <c r="DV451" s="12"/>
      <c r="DW451" s="12"/>
      <c r="DX451" s="2"/>
      <c r="DY451" s="12"/>
      <c r="DZ451" s="12"/>
      <c r="EA451" s="12"/>
      <c r="EB451" s="12"/>
      <c r="EC451" s="12"/>
      <c r="ED451" s="12"/>
    </row>
    <row r="452" spans="1:134" ht="12.5" x14ac:dyDescent="0.25">
      <c r="A452" s="2"/>
      <c r="B452" s="2"/>
      <c r="C452" s="51"/>
      <c r="D452" s="163"/>
      <c r="E452" s="157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2"/>
      <c r="BA452" s="2"/>
      <c r="BB452" s="2"/>
      <c r="BC452" s="2"/>
      <c r="BD452" s="2"/>
      <c r="BE452" s="2"/>
      <c r="BF452" s="12"/>
      <c r="BG452" s="12"/>
      <c r="BH452" s="12"/>
      <c r="BI452" s="2"/>
      <c r="BJ452" s="2"/>
      <c r="BK452" s="2"/>
      <c r="BL452" s="2"/>
      <c r="BM452" s="2"/>
      <c r="BN452" s="2"/>
      <c r="BO452" s="2"/>
      <c r="BP452" s="2"/>
      <c r="BQ452" s="157"/>
      <c r="BR452" s="157"/>
      <c r="BS452" s="2"/>
      <c r="BT452" s="2"/>
      <c r="BU452" s="12"/>
      <c r="BV452" s="12"/>
      <c r="BW452" s="12"/>
      <c r="BX452" s="12"/>
      <c r="BY452" s="12"/>
      <c r="BZ452" s="12"/>
      <c r="CA452" s="12"/>
      <c r="CB452" s="12"/>
      <c r="CC452" s="12"/>
      <c r="CD452" s="12"/>
      <c r="CE452" s="12"/>
      <c r="CF452" s="12"/>
      <c r="CG452" s="12"/>
      <c r="CH452" s="12"/>
      <c r="CI452" s="12"/>
      <c r="CJ452" s="12"/>
      <c r="CK452" s="12"/>
      <c r="CL452" s="2"/>
      <c r="CM452" s="12"/>
      <c r="CN452" s="12"/>
      <c r="CO452" s="12"/>
      <c r="CP452" s="12"/>
      <c r="CQ452" s="12"/>
      <c r="CR452" s="46"/>
      <c r="CS452" s="46"/>
      <c r="CT452" s="2"/>
      <c r="CU452" s="49"/>
      <c r="CV452" s="119"/>
      <c r="CW452" s="2"/>
      <c r="CX452" s="2"/>
      <c r="CY452" s="160"/>
      <c r="CZ452" s="2"/>
      <c r="DA452" s="12"/>
      <c r="DB452" s="12"/>
      <c r="DC452" s="12"/>
      <c r="DD452" s="12"/>
      <c r="DE452" s="12"/>
      <c r="DF452" s="12"/>
      <c r="DG452" s="12"/>
      <c r="DH452" s="2"/>
      <c r="DI452" s="2"/>
      <c r="DJ452" s="48"/>
      <c r="DK452" s="48"/>
      <c r="DL452" s="48"/>
      <c r="DM452" s="13"/>
      <c r="DN452" s="13"/>
      <c r="DO452" s="12"/>
      <c r="DP452" s="12"/>
      <c r="DQ452" s="12"/>
      <c r="DR452" s="12"/>
      <c r="DS452" s="12"/>
      <c r="DT452" s="2"/>
      <c r="DU452" s="12"/>
      <c r="DV452" s="12"/>
      <c r="DW452" s="12"/>
      <c r="DX452" s="2"/>
      <c r="DY452" s="12"/>
      <c r="DZ452" s="12"/>
      <c r="EA452" s="12"/>
      <c r="EB452" s="12"/>
      <c r="EC452" s="12"/>
      <c r="ED452" s="12"/>
    </row>
    <row r="453" spans="1:134" ht="12.5" x14ac:dyDescent="0.25">
      <c r="A453" s="2"/>
      <c r="B453" s="2"/>
      <c r="C453" s="51"/>
      <c r="D453" s="163"/>
      <c r="E453" s="157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2"/>
      <c r="BA453" s="2"/>
      <c r="BB453" s="2"/>
      <c r="BC453" s="2"/>
      <c r="BD453" s="2"/>
      <c r="BE453" s="2"/>
      <c r="BF453" s="12"/>
      <c r="BG453" s="12"/>
      <c r="BH453" s="12"/>
      <c r="BI453" s="2"/>
      <c r="BJ453" s="2"/>
      <c r="BK453" s="2"/>
      <c r="BL453" s="2"/>
      <c r="BM453" s="2"/>
      <c r="BN453" s="2"/>
      <c r="BO453" s="2"/>
      <c r="BP453" s="2"/>
      <c r="BQ453" s="157"/>
      <c r="BR453" s="157"/>
      <c r="BS453" s="2"/>
      <c r="BT453" s="2"/>
      <c r="BU453" s="12"/>
      <c r="BV453" s="12"/>
      <c r="BW453" s="12"/>
      <c r="BX453" s="12"/>
      <c r="BY453" s="12"/>
      <c r="BZ453" s="12"/>
      <c r="CA453" s="12"/>
      <c r="CB453" s="12"/>
      <c r="CC453" s="12"/>
      <c r="CD453" s="12"/>
      <c r="CE453" s="12"/>
      <c r="CF453" s="12"/>
      <c r="CG453" s="12"/>
      <c r="CH453" s="12"/>
      <c r="CI453" s="12"/>
      <c r="CJ453" s="12"/>
      <c r="CK453" s="12"/>
      <c r="CL453" s="2"/>
      <c r="CM453" s="12"/>
      <c r="CN453" s="12"/>
      <c r="CO453" s="12"/>
      <c r="CP453" s="12"/>
      <c r="CQ453" s="12"/>
      <c r="CR453" s="46"/>
      <c r="CS453" s="46"/>
      <c r="CT453" s="2"/>
      <c r="CU453" s="49"/>
      <c r="CV453" s="119"/>
      <c r="CW453" s="2"/>
      <c r="CX453" s="2"/>
      <c r="CY453" s="51"/>
      <c r="CZ453" s="2"/>
      <c r="DA453" s="12"/>
      <c r="DB453" s="12"/>
      <c r="DC453" s="12"/>
      <c r="DD453" s="12"/>
      <c r="DE453" s="12"/>
      <c r="DF453" s="12"/>
      <c r="DG453" s="12"/>
      <c r="DH453" s="2"/>
      <c r="DI453" s="2"/>
      <c r="DJ453" s="48"/>
      <c r="DK453" s="48"/>
      <c r="DL453" s="48"/>
      <c r="DM453" s="13"/>
      <c r="DN453" s="13"/>
      <c r="DO453" s="12"/>
      <c r="DP453" s="12"/>
      <c r="DQ453" s="12"/>
      <c r="DR453" s="12"/>
      <c r="DS453" s="12"/>
      <c r="DT453" s="2"/>
      <c r="DU453" s="12"/>
      <c r="DV453" s="12"/>
      <c r="DW453" s="12"/>
      <c r="DX453" s="2"/>
      <c r="DY453" s="12"/>
      <c r="DZ453" s="12"/>
      <c r="EA453" s="12"/>
      <c r="EB453" s="12"/>
      <c r="EC453" s="12"/>
      <c r="ED453" s="12"/>
    </row>
    <row r="454" spans="1:134" ht="12.5" x14ac:dyDescent="0.25">
      <c r="A454" s="2"/>
      <c r="B454" s="2"/>
      <c r="C454" s="51"/>
      <c r="D454" s="163"/>
      <c r="E454" s="157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2"/>
      <c r="BA454" s="2"/>
      <c r="BB454" s="2"/>
      <c r="BC454" s="2"/>
      <c r="BD454" s="2"/>
      <c r="BE454" s="2"/>
      <c r="BF454" s="12"/>
      <c r="BG454" s="12"/>
      <c r="BH454" s="12"/>
      <c r="BI454" s="2"/>
      <c r="BJ454" s="2"/>
      <c r="BK454" s="2"/>
      <c r="BL454" s="2"/>
      <c r="BM454" s="2"/>
      <c r="BN454" s="2"/>
      <c r="BO454" s="2"/>
      <c r="BP454" s="2"/>
      <c r="BQ454" s="157"/>
      <c r="BR454" s="157"/>
      <c r="BS454" s="2"/>
      <c r="BT454" s="2"/>
      <c r="BU454" s="12"/>
      <c r="BV454" s="12"/>
      <c r="BW454" s="12"/>
      <c r="BX454" s="12"/>
      <c r="BY454" s="12"/>
      <c r="BZ454" s="12"/>
      <c r="CA454" s="12"/>
      <c r="CB454" s="12"/>
      <c r="CC454" s="12"/>
      <c r="CD454" s="12"/>
      <c r="CE454" s="12"/>
      <c r="CF454" s="12"/>
      <c r="CG454" s="12"/>
      <c r="CH454" s="12"/>
      <c r="CI454" s="12"/>
      <c r="CJ454" s="12"/>
      <c r="CK454" s="12"/>
      <c r="CL454" s="2"/>
      <c r="CM454" s="12"/>
      <c r="CN454" s="12"/>
      <c r="CO454" s="12"/>
      <c r="CP454" s="12"/>
      <c r="CQ454" s="12"/>
      <c r="CR454" s="46"/>
      <c r="CS454" s="46"/>
      <c r="CT454" s="2"/>
      <c r="CU454" s="49"/>
      <c r="CV454" s="119"/>
      <c r="CW454" s="2"/>
      <c r="CX454" s="2"/>
      <c r="CY454" s="51"/>
      <c r="CZ454" s="2"/>
      <c r="DA454" s="12"/>
      <c r="DB454" s="12"/>
      <c r="DC454" s="12"/>
      <c r="DD454" s="12"/>
      <c r="DE454" s="12"/>
      <c r="DF454" s="12"/>
      <c r="DG454" s="12"/>
      <c r="DH454" s="2"/>
      <c r="DI454" s="2"/>
      <c r="DJ454" s="48"/>
      <c r="DK454" s="48"/>
      <c r="DL454" s="48"/>
      <c r="DM454" s="13"/>
      <c r="DN454" s="13"/>
      <c r="DO454" s="12"/>
      <c r="DP454" s="12"/>
      <c r="DQ454" s="12"/>
      <c r="DR454" s="12"/>
      <c r="DS454" s="12"/>
      <c r="DT454" s="2"/>
      <c r="DU454" s="12"/>
      <c r="DV454" s="12"/>
      <c r="DW454" s="12"/>
      <c r="DX454" s="2"/>
      <c r="DY454" s="12"/>
      <c r="DZ454" s="12"/>
      <c r="EA454" s="12"/>
      <c r="EB454" s="12"/>
      <c r="EC454" s="12"/>
      <c r="ED454" s="12"/>
    </row>
    <row r="455" spans="1:134" ht="12.5" x14ac:dyDescent="0.25">
      <c r="A455" s="2"/>
      <c r="B455" s="2"/>
      <c r="C455" s="51"/>
      <c r="D455" s="163"/>
      <c r="E455" s="157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2"/>
      <c r="BA455" s="2"/>
      <c r="BB455" s="2"/>
      <c r="BC455" s="2"/>
      <c r="BD455" s="2"/>
      <c r="BE455" s="2"/>
      <c r="BF455" s="12"/>
      <c r="BG455" s="12"/>
      <c r="BH455" s="12"/>
      <c r="BI455" s="2"/>
      <c r="BJ455" s="2"/>
      <c r="BK455" s="2"/>
      <c r="BL455" s="2"/>
      <c r="BM455" s="2"/>
      <c r="BN455" s="2"/>
      <c r="BO455" s="2"/>
      <c r="BP455" s="2"/>
      <c r="BQ455" s="157"/>
      <c r="BR455" s="157"/>
      <c r="BS455" s="2"/>
      <c r="BT455" s="2"/>
      <c r="BU455" s="12"/>
      <c r="BV455" s="12"/>
      <c r="BW455" s="12"/>
      <c r="BX455" s="12"/>
      <c r="BY455" s="12"/>
      <c r="BZ455" s="12"/>
      <c r="CA455" s="12"/>
      <c r="CB455" s="12"/>
      <c r="CC455" s="12"/>
      <c r="CD455" s="12"/>
      <c r="CE455" s="12"/>
      <c r="CF455" s="12"/>
      <c r="CG455" s="12"/>
      <c r="CH455" s="12"/>
      <c r="CI455" s="12"/>
      <c r="CJ455" s="12"/>
      <c r="CK455" s="12"/>
      <c r="CL455" s="2"/>
      <c r="CM455" s="12"/>
      <c r="CN455" s="12"/>
      <c r="CO455" s="12"/>
      <c r="CP455" s="12"/>
      <c r="CQ455" s="12"/>
      <c r="CR455" s="46"/>
      <c r="CS455" s="46"/>
      <c r="CT455" s="2"/>
      <c r="CU455" s="49"/>
      <c r="CV455" s="119"/>
      <c r="CW455" s="2"/>
      <c r="CX455" s="2"/>
      <c r="CY455" s="51"/>
      <c r="CZ455" s="2"/>
      <c r="DA455" s="12"/>
      <c r="DB455" s="12"/>
      <c r="DC455" s="12"/>
      <c r="DD455" s="12"/>
      <c r="DE455" s="12"/>
      <c r="DF455" s="12"/>
      <c r="DG455" s="12"/>
      <c r="DH455" s="2"/>
      <c r="DI455" s="2"/>
      <c r="DJ455" s="48"/>
      <c r="DK455" s="48"/>
      <c r="DL455" s="48"/>
      <c r="DM455" s="13"/>
      <c r="DN455" s="13"/>
      <c r="DO455" s="12"/>
      <c r="DP455" s="12"/>
      <c r="DQ455" s="12"/>
      <c r="DR455" s="12"/>
      <c r="DS455" s="12"/>
      <c r="DT455" s="2"/>
      <c r="DU455" s="12"/>
      <c r="DV455" s="12"/>
      <c r="DW455" s="12"/>
      <c r="DX455" s="2"/>
      <c r="DY455" s="12"/>
      <c r="DZ455" s="12"/>
      <c r="EA455" s="12"/>
      <c r="EB455" s="12"/>
      <c r="EC455" s="12"/>
      <c r="ED455" s="12"/>
    </row>
    <row r="456" spans="1:134" ht="12.5" x14ac:dyDescent="0.25">
      <c r="A456" s="2"/>
      <c r="B456" s="2"/>
      <c r="C456" s="51"/>
      <c r="D456" s="2"/>
      <c r="E456" s="157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2"/>
      <c r="BA456" s="2"/>
      <c r="BB456" s="2"/>
      <c r="BC456" s="2"/>
      <c r="BD456" s="2"/>
      <c r="BE456" s="2"/>
      <c r="BF456" s="12"/>
      <c r="BG456" s="12"/>
      <c r="BH456" s="12"/>
      <c r="BI456" s="2"/>
      <c r="BJ456" s="2"/>
      <c r="BK456" s="2"/>
      <c r="BL456" s="2"/>
      <c r="BM456" s="2"/>
      <c r="BN456" s="2"/>
      <c r="BO456" s="2"/>
      <c r="BP456" s="2"/>
      <c r="BQ456" s="157"/>
      <c r="BR456" s="157"/>
      <c r="BS456" s="2"/>
      <c r="BT456" s="2"/>
      <c r="BU456" s="12"/>
      <c r="BV456" s="12"/>
      <c r="BW456" s="12"/>
      <c r="BX456" s="12"/>
      <c r="BY456" s="12"/>
      <c r="BZ456" s="12"/>
      <c r="CA456" s="12"/>
      <c r="CB456" s="12"/>
      <c r="CC456" s="12"/>
      <c r="CD456" s="12"/>
      <c r="CE456" s="12"/>
      <c r="CF456" s="12"/>
      <c r="CG456" s="12"/>
      <c r="CH456" s="12"/>
      <c r="CI456" s="12"/>
      <c r="CJ456" s="12"/>
      <c r="CK456" s="12"/>
      <c r="CL456" s="2"/>
      <c r="CM456" s="12"/>
      <c r="CN456" s="12"/>
      <c r="CO456" s="12"/>
      <c r="CP456" s="12"/>
      <c r="CQ456" s="12"/>
      <c r="CR456" s="46"/>
      <c r="CS456" s="46"/>
      <c r="CT456" s="2"/>
      <c r="CU456" s="49"/>
      <c r="CV456" s="119"/>
      <c r="CW456" s="2"/>
      <c r="CX456" s="2"/>
      <c r="CY456" s="51"/>
      <c r="CZ456" s="2"/>
      <c r="DA456" s="12"/>
      <c r="DB456" s="12"/>
      <c r="DC456" s="12"/>
      <c r="DD456" s="12"/>
      <c r="DE456" s="12"/>
      <c r="DF456" s="12"/>
      <c r="DG456" s="12"/>
      <c r="DH456" s="2"/>
      <c r="DI456" s="2"/>
      <c r="DJ456" s="48"/>
      <c r="DK456" s="48"/>
      <c r="DL456" s="48"/>
      <c r="DM456" s="13"/>
      <c r="DN456" s="13"/>
      <c r="DO456" s="12"/>
      <c r="DP456" s="12"/>
      <c r="DQ456" s="12"/>
      <c r="DR456" s="12"/>
      <c r="DS456" s="12"/>
      <c r="DT456" s="2"/>
      <c r="DU456" s="12"/>
      <c r="DV456" s="12"/>
      <c r="DW456" s="12"/>
      <c r="DX456" s="2"/>
      <c r="DY456" s="12"/>
      <c r="DZ456" s="12"/>
      <c r="EA456" s="12"/>
      <c r="EB456" s="12"/>
      <c r="EC456" s="12"/>
      <c r="ED456" s="12"/>
    </row>
    <row r="457" spans="1:134" ht="12.5" x14ac:dyDescent="0.25">
      <c r="A457" s="2"/>
      <c r="B457" s="2"/>
      <c r="C457" s="51"/>
      <c r="D457" s="163"/>
      <c r="E457" s="157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2"/>
      <c r="BA457" s="2"/>
      <c r="BB457" s="2"/>
      <c r="BC457" s="2"/>
      <c r="BD457" s="2"/>
      <c r="BE457" s="2"/>
      <c r="BF457" s="12"/>
      <c r="BG457" s="12"/>
      <c r="BH457" s="12"/>
      <c r="BI457" s="2"/>
      <c r="BJ457" s="2"/>
      <c r="BK457" s="2"/>
      <c r="BL457" s="2"/>
      <c r="BM457" s="2"/>
      <c r="BN457" s="2"/>
      <c r="BO457" s="2"/>
      <c r="BP457" s="2"/>
      <c r="BQ457" s="157"/>
      <c r="BR457" s="157"/>
      <c r="BS457" s="2"/>
      <c r="BT457" s="2"/>
      <c r="BU457" s="12"/>
      <c r="BV457" s="12"/>
      <c r="BW457" s="12"/>
      <c r="BX457" s="12"/>
      <c r="BY457" s="12"/>
      <c r="BZ457" s="12"/>
      <c r="CA457" s="12"/>
      <c r="CB457" s="12"/>
      <c r="CC457" s="12"/>
      <c r="CD457" s="12"/>
      <c r="CE457" s="12"/>
      <c r="CF457" s="12"/>
      <c r="CG457" s="12"/>
      <c r="CH457" s="12"/>
      <c r="CI457" s="12"/>
      <c r="CJ457" s="12"/>
      <c r="CK457" s="12"/>
      <c r="CL457" s="2"/>
      <c r="CM457" s="12"/>
      <c r="CN457" s="12"/>
      <c r="CO457" s="12"/>
      <c r="CP457" s="12"/>
      <c r="CQ457" s="12"/>
      <c r="CR457" s="46"/>
      <c r="CS457" s="46"/>
      <c r="CT457" s="2"/>
      <c r="CU457" s="49"/>
      <c r="CV457" s="119"/>
      <c r="CW457" s="2"/>
      <c r="CX457" s="2"/>
      <c r="CY457" s="51"/>
      <c r="CZ457" s="2"/>
      <c r="DA457" s="12"/>
      <c r="DB457" s="12"/>
      <c r="DC457" s="12"/>
      <c r="DD457" s="12"/>
      <c r="DE457" s="12"/>
      <c r="DF457" s="12"/>
      <c r="DG457" s="12"/>
      <c r="DH457" s="2"/>
      <c r="DI457" s="2"/>
      <c r="DJ457" s="48"/>
      <c r="DK457" s="48"/>
      <c r="DL457" s="48"/>
      <c r="DM457" s="13"/>
      <c r="DN457" s="13"/>
      <c r="DO457" s="12"/>
      <c r="DP457" s="12"/>
      <c r="DQ457" s="12"/>
      <c r="DR457" s="12"/>
      <c r="DS457" s="12"/>
      <c r="DT457" s="2"/>
      <c r="DU457" s="12"/>
      <c r="DV457" s="12"/>
      <c r="DW457" s="12"/>
      <c r="DX457" s="2"/>
      <c r="DY457" s="12"/>
      <c r="DZ457" s="12"/>
      <c r="EA457" s="12"/>
      <c r="EB457" s="12"/>
      <c r="EC457" s="12"/>
      <c r="ED457" s="12"/>
    </row>
    <row r="458" spans="1:134" ht="12.5" x14ac:dyDescent="0.25">
      <c r="A458" s="2"/>
      <c r="B458" s="2"/>
      <c r="C458" s="51"/>
      <c r="D458" s="163"/>
      <c r="E458" s="157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2"/>
      <c r="BA458" s="2"/>
      <c r="BB458" s="2"/>
      <c r="BC458" s="2"/>
      <c r="BD458" s="2"/>
      <c r="BE458" s="2"/>
      <c r="BF458" s="12"/>
      <c r="BG458" s="12"/>
      <c r="BH458" s="12"/>
      <c r="BI458" s="2"/>
      <c r="BJ458" s="2"/>
      <c r="BK458" s="2"/>
      <c r="BL458" s="2"/>
      <c r="BM458" s="2"/>
      <c r="BN458" s="2"/>
      <c r="BO458" s="2"/>
      <c r="BP458" s="2"/>
      <c r="BQ458" s="157"/>
      <c r="BR458" s="157"/>
      <c r="BS458" s="2"/>
      <c r="BT458" s="2"/>
      <c r="BU458" s="12"/>
      <c r="BV458" s="12"/>
      <c r="BW458" s="12"/>
      <c r="BX458" s="12"/>
      <c r="BY458" s="12"/>
      <c r="BZ458" s="12"/>
      <c r="CA458" s="12"/>
      <c r="CB458" s="12"/>
      <c r="CC458" s="12"/>
      <c r="CD458" s="12"/>
      <c r="CE458" s="12"/>
      <c r="CF458" s="12"/>
      <c r="CG458" s="12"/>
      <c r="CH458" s="12"/>
      <c r="CI458" s="12"/>
      <c r="CJ458" s="12"/>
      <c r="CK458" s="12"/>
      <c r="CL458" s="2"/>
      <c r="CM458" s="12"/>
      <c r="CN458" s="12"/>
      <c r="CO458" s="12"/>
      <c r="CP458" s="12"/>
      <c r="CQ458" s="12"/>
      <c r="CR458" s="46"/>
      <c r="CS458" s="46"/>
      <c r="CT458" s="2"/>
      <c r="CU458" s="49"/>
      <c r="CV458" s="119"/>
      <c r="CW458" s="2"/>
      <c r="CX458" s="2"/>
      <c r="CY458" s="51"/>
      <c r="CZ458" s="2"/>
      <c r="DA458" s="12"/>
      <c r="DB458" s="12"/>
      <c r="DC458" s="12"/>
      <c r="DD458" s="12"/>
      <c r="DE458" s="12"/>
      <c r="DF458" s="12"/>
      <c r="DG458" s="12"/>
      <c r="DH458" s="2"/>
      <c r="DI458" s="2"/>
      <c r="DJ458" s="48"/>
      <c r="DK458" s="48"/>
      <c r="DL458" s="48"/>
      <c r="DM458" s="13"/>
      <c r="DN458" s="13"/>
      <c r="DO458" s="12"/>
      <c r="DP458" s="12"/>
      <c r="DQ458" s="12"/>
      <c r="DR458" s="12"/>
      <c r="DS458" s="12"/>
      <c r="DT458" s="2"/>
      <c r="DU458" s="12"/>
      <c r="DV458" s="12"/>
      <c r="DW458" s="12"/>
      <c r="DX458" s="2"/>
      <c r="DY458" s="12"/>
      <c r="DZ458" s="12"/>
      <c r="EA458" s="12"/>
      <c r="EB458" s="12"/>
      <c r="EC458" s="12"/>
      <c r="ED458" s="12"/>
    </row>
    <row r="459" spans="1:134" ht="12.5" x14ac:dyDescent="0.25">
      <c r="A459" s="2"/>
      <c r="B459" s="2"/>
      <c r="C459" s="51"/>
      <c r="D459" s="163"/>
      <c r="E459" s="157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2"/>
      <c r="BA459" s="2"/>
      <c r="BB459" s="2"/>
      <c r="BC459" s="2"/>
      <c r="BD459" s="2"/>
      <c r="BE459" s="2"/>
      <c r="BF459" s="12"/>
      <c r="BG459" s="12"/>
      <c r="BH459" s="12"/>
      <c r="BI459" s="2"/>
      <c r="BJ459" s="2"/>
      <c r="BK459" s="2"/>
      <c r="BL459" s="2"/>
      <c r="BM459" s="2"/>
      <c r="BN459" s="2"/>
      <c r="BO459" s="2"/>
      <c r="BP459" s="2"/>
      <c r="BQ459" s="157"/>
      <c r="BR459" s="157"/>
      <c r="BS459" s="2"/>
      <c r="BT459" s="2"/>
      <c r="BU459" s="12"/>
      <c r="BV459" s="12"/>
      <c r="BW459" s="12"/>
      <c r="BX459" s="12"/>
      <c r="BY459" s="12"/>
      <c r="BZ459" s="12"/>
      <c r="CA459" s="12"/>
      <c r="CB459" s="12"/>
      <c r="CC459" s="12"/>
      <c r="CD459" s="12"/>
      <c r="CE459" s="12"/>
      <c r="CF459" s="12"/>
      <c r="CG459" s="12"/>
      <c r="CH459" s="12"/>
      <c r="CI459" s="12"/>
      <c r="CJ459" s="12"/>
      <c r="CK459" s="12"/>
      <c r="CL459" s="2"/>
      <c r="CM459" s="12"/>
      <c r="CN459" s="12"/>
      <c r="CO459" s="12"/>
      <c r="CP459" s="12"/>
      <c r="CQ459" s="12"/>
      <c r="CR459" s="46"/>
      <c r="CS459" s="46"/>
      <c r="CT459" s="2"/>
      <c r="CU459" s="49"/>
      <c r="CV459" s="119"/>
      <c r="CW459" s="2"/>
      <c r="CX459" s="2"/>
      <c r="CY459" s="51"/>
      <c r="CZ459" s="2"/>
      <c r="DA459" s="12"/>
      <c r="DB459" s="12"/>
      <c r="DC459" s="12"/>
      <c r="DD459" s="12"/>
      <c r="DE459" s="12"/>
      <c r="DF459" s="12"/>
      <c r="DG459" s="12"/>
      <c r="DH459" s="2"/>
      <c r="DI459" s="2"/>
      <c r="DJ459" s="48"/>
      <c r="DK459" s="48"/>
      <c r="DL459" s="48"/>
      <c r="DM459" s="13"/>
      <c r="DN459" s="13"/>
      <c r="DO459" s="12"/>
      <c r="DP459" s="12"/>
      <c r="DQ459" s="12"/>
      <c r="DR459" s="12"/>
      <c r="DS459" s="12"/>
      <c r="DT459" s="2"/>
      <c r="DU459" s="12"/>
      <c r="DV459" s="12"/>
      <c r="DW459" s="12"/>
      <c r="DX459" s="2"/>
      <c r="DY459" s="12"/>
      <c r="DZ459" s="12"/>
      <c r="EA459" s="12"/>
      <c r="EB459" s="12"/>
      <c r="EC459" s="12"/>
      <c r="ED459" s="12"/>
    </row>
    <row r="460" spans="1:134" ht="12.5" x14ac:dyDescent="0.25">
      <c r="A460" s="2"/>
      <c r="B460" s="2"/>
      <c r="C460" s="51"/>
      <c r="D460" s="163"/>
      <c r="E460" s="157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2"/>
      <c r="BA460" s="2"/>
      <c r="BB460" s="2"/>
      <c r="BC460" s="2"/>
      <c r="BD460" s="2"/>
      <c r="BE460" s="2"/>
      <c r="BF460" s="12"/>
      <c r="BG460" s="12"/>
      <c r="BH460" s="12"/>
      <c r="BI460" s="2"/>
      <c r="BJ460" s="2"/>
      <c r="BK460" s="2"/>
      <c r="BL460" s="2"/>
      <c r="BM460" s="2"/>
      <c r="BN460" s="2"/>
      <c r="BO460" s="2"/>
      <c r="BP460" s="2"/>
      <c r="BQ460" s="157"/>
      <c r="BR460" s="157"/>
      <c r="BS460" s="2"/>
      <c r="BT460" s="2"/>
      <c r="BU460" s="12"/>
      <c r="BV460" s="12"/>
      <c r="BW460" s="12"/>
      <c r="BX460" s="12"/>
      <c r="BY460" s="12"/>
      <c r="BZ460" s="12"/>
      <c r="CA460" s="12"/>
      <c r="CB460" s="12"/>
      <c r="CC460" s="12"/>
      <c r="CD460" s="12"/>
      <c r="CE460" s="12"/>
      <c r="CF460" s="12"/>
      <c r="CG460" s="12"/>
      <c r="CH460" s="12"/>
      <c r="CI460" s="12"/>
      <c r="CJ460" s="12"/>
      <c r="CK460" s="12"/>
      <c r="CL460" s="2"/>
      <c r="CM460" s="12"/>
      <c r="CN460" s="12"/>
      <c r="CO460" s="12"/>
      <c r="CP460" s="12"/>
      <c r="CQ460" s="12"/>
      <c r="CR460" s="46"/>
      <c r="CS460" s="46"/>
      <c r="CT460" s="2"/>
      <c r="CU460" s="49"/>
      <c r="CV460" s="119"/>
      <c r="CW460" s="2"/>
      <c r="CX460" s="2"/>
      <c r="CY460" s="51"/>
      <c r="CZ460" s="2"/>
      <c r="DA460" s="12"/>
      <c r="DB460" s="12"/>
      <c r="DC460" s="12"/>
      <c r="DD460" s="12"/>
      <c r="DE460" s="12"/>
      <c r="DF460" s="12"/>
      <c r="DG460" s="12"/>
      <c r="DH460" s="2"/>
      <c r="DI460" s="2"/>
      <c r="DJ460" s="48"/>
      <c r="DK460" s="48"/>
      <c r="DL460" s="48"/>
      <c r="DM460" s="13"/>
      <c r="DN460" s="13"/>
      <c r="DO460" s="12"/>
      <c r="DP460" s="12"/>
      <c r="DQ460" s="12"/>
      <c r="DR460" s="12"/>
      <c r="DS460" s="12"/>
      <c r="DT460" s="2"/>
      <c r="DU460" s="12"/>
      <c r="DV460" s="12"/>
      <c r="DW460" s="12"/>
      <c r="DX460" s="2"/>
      <c r="DY460" s="12"/>
      <c r="DZ460" s="12"/>
      <c r="EA460" s="12"/>
      <c r="EB460" s="12"/>
      <c r="EC460" s="12"/>
      <c r="ED460" s="12"/>
    </row>
    <row r="461" spans="1:134" ht="12.5" x14ac:dyDescent="0.25">
      <c r="A461" s="2"/>
      <c r="B461" s="2"/>
      <c r="C461" s="51"/>
      <c r="D461" s="163"/>
      <c r="E461" s="157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2"/>
      <c r="BA461" s="2"/>
      <c r="BB461" s="2"/>
      <c r="BC461" s="2"/>
      <c r="BD461" s="2"/>
      <c r="BE461" s="2"/>
      <c r="BF461" s="12"/>
      <c r="BG461" s="12"/>
      <c r="BH461" s="12"/>
      <c r="BI461" s="2"/>
      <c r="BJ461" s="2"/>
      <c r="BK461" s="2"/>
      <c r="BL461" s="2"/>
      <c r="BM461" s="2"/>
      <c r="BN461" s="2"/>
      <c r="BO461" s="2"/>
      <c r="BP461" s="2"/>
      <c r="BQ461" s="157"/>
      <c r="BR461" s="157"/>
      <c r="BS461" s="2"/>
      <c r="BT461" s="2"/>
      <c r="BU461" s="12"/>
      <c r="BV461" s="12"/>
      <c r="BW461" s="12"/>
      <c r="BX461" s="12"/>
      <c r="BY461" s="12"/>
      <c r="BZ461" s="12"/>
      <c r="CA461" s="12"/>
      <c r="CB461" s="12"/>
      <c r="CC461" s="12"/>
      <c r="CD461" s="12"/>
      <c r="CE461" s="12"/>
      <c r="CF461" s="12"/>
      <c r="CG461" s="12"/>
      <c r="CH461" s="12"/>
      <c r="CI461" s="12"/>
      <c r="CJ461" s="12"/>
      <c r="CK461" s="12"/>
      <c r="CL461" s="2"/>
      <c r="CM461" s="12"/>
      <c r="CN461" s="12"/>
      <c r="CO461" s="12"/>
      <c r="CP461" s="12"/>
      <c r="CQ461" s="12"/>
      <c r="CR461" s="46"/>
      <c r="CS461" s="46"/>
      <c r="CT461" s="2"/>
      <c r="CU461" s="49"/>
      <c r="CV461" s="119"/>
      <c r="CW461" s="2"/>
      <c r="CX461" s="2"/>
      <c r="CY461" s="51"/>
      <c r="CZ461" s="2"/>
      <c r="DA461" s="12"/>
      <c r="DB461" s="12"/>
      <c r="DC461" s="12"/>
      <c r="DD461" s="12"/>
      <c r="DE461" s="12"/>
      <c r="DF461" s="12"/>
      <c r="DG461" s="12"/>
      <c r="DH461" s="2"/>
      <c r="DI461" s="2"/>
      <c r="DJ461" s="48"/>
      <c r="DK461" s="48"/>
      <c r="DL461" s="48"/>
      <c r="DM461" s="13"/>
      <c r="DN461" s="13"/>
      <c r="DO461" s="12"/>
      <c r="DP461" s="12"/>
      <c r="DQ461" s="12"/>
      <c r="DR461" s="12"/>
      <c r="DS461" s="12"/>
      <c r="DT461" s="2"/>
      <c r="DU461" s="12"/>
      <c r="DV461" s="12"/>
      <c r="DW461" s="12"/>
      <c r="DX461" s="2"/>
      <c r="DY461" s="12"/>
      <c r="DZ461" s="12"/>
      <c r="EA461" s="12"/>
      <c r="EB461" s="12"/>
      <c r="EC461" s="12"/>
      <c r="ED461" s="12"/>
    </row>
    <row r="462" spans="1:134" ht="12.5" x14ac:dyDescent="0.25">
      <c r="A462" s="2"/>
      <c r="B462" s="2"/>
      <c r="C462" s="51"/>
      <c r="D462" s="163"/>
      <c r="E462" s="157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2"/>
      <c r="BA462" s="2"/>
      <c r="BB462" s="2"/>
      <c r="BC462" s="2"/>
      <c r="BD462" s="2"/>
      <c r="BE462" s="2"/>
      <c r="BF462" s="12"/>
      <c r="BG462" s="12"/>
      <c r="BH462" s="12"/>
      <c r="BI462" s="2"/>
      <c r="BJ462" s="2"/>
      <c r="BK462" s="2"/>
      <c r="BL462" s="2"/>
      <c r="BM462" s="2"/>
      <c r="BN462" s="2"/>
      <c r="BO462" s="2"/>
      <c r="BP462" s="2"/>
      <c r="BQ462" s="157"/>
      <c r="BR462" s="157"/>
      <c r="BS462" s="2"/>
      <c r="BT462" s="2"/>
      <c r="BU462" s="12"/>
      <c r="BV462" s="12"/>
      <c r="BW462" s="12"/>
      <c r="BX462" s="12"/>
      <c r="BY462" s="12"/>
      <c r="BZ462" s="12"/>
      <c r="CA462" s="12"/>
      <c r="CB462" s="12"/>
      <c r="CC462" s="12"/>
      <c r="CD462" s="12"/>
      <c r="CE462" s="12"/>
      <c r="CF462" s="12"/>
      <c r="CG462" s="12"/>
      <c r="CH462" s="12"/>
      <c r="CI462" s="12"/>
      <c r="CJ462" s="12"/>
      <c r="CK462" s="12"/>
      <c r="CL462" s="162"/>
      <c r="CM462" s="12"/>
      <c r="CN462" s="12"/>
      <c r="CO462" s="12"/>
      <c r="CP462" s="12"/>
      <c r="CQ462" s="12"/>
      <c r="CR462" s="46"/>
      <c r="CS462" s="46"/>
      <c r="CT462" s="2"/>
      <c r="CU462" s="49"/>
      <c r="CV462" s="119"/>
      <c r="CW462" s="2"/>
      <c r="CX462" s="2"/>
      <c r="CY462" s="51"/>
      <c r="CZ462" s="2"/>
      <c r="DA462" s="12"/>
      <c r="DB462" s="12"/>
      <c r="DC462" s="12"/>
      <c r="DD462" s="12"/>
      <c r="DE462" s="12"/>
      <c r="DF462" s="12"/>
      <c r="DG462" s="12"/>
      <c r="DH462" s="2"/>
      <c r="DI462" s="2"/>
      <c r="DJ462" s="48"/>
      <c r="DK462" s="48"/>
      <c r="DL462" s="48"/>
      <c r="DM462" s="13"/>
      <c r="DN462" s="13"/>
      <c r="DO462" s="12"/>
      <c r="DP462" s="12"/>
      <c r="DQ462" s="12"/>
      <c r="DR462" s="12"/>
      <c r="DS462" s="12"/>
      <c r="DT462" s="2"/>
      <c r="DU462" s="12"/>
      <c r="DV462" s="12"/>
      <c r="DW462" s="12"/>
      <c r="DX462" s="2"/>
      <c r="DY462" s="12"/>
      <c r="DZ462" s="12"/>
      <c r="EA462" s="12"/>
      <c r="EB462" s="12"/>
      <c r="EC462" s="12"/>
      <c r="ED462" s="12"/>
    </row>
    <row r="463" spans="1:134" ht="12.5" x14ac:dyDescent="0.25">
      <c r="A463" s="2"/>
      <c r="B463" s="2"/>
      <c r="C463" s="51"/>
      <c r="D463" s="163"/>
      <c r="E463" s="157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2"/>
      <c r="AZ463" s="2"/>
      <c r="BA463" s="2"/>
      <c r="BB463" s="2"/>
      <c r="BC463" s="2"/>
      <c r="BD463" s="2"/>
      <c r="BE463" s="2"/>
      <c r="BF463" s="12"/>
      <c r="BG463" s="12"/>
      <c r="BH463" s="2"/>
      <c r="BI463" s="2"/>
      <c r="BJ463" s="2"/>
      <c r="BK463" s="2"/>
      <c r="BL463" s="2"/>
      <c r="BM463" s="2"/>
      <c r="BN463" s="2"/>
      <c r="BO463" s="2"/>
      <c r="BP463" s="2"/>
      <c r="BQ463" s="157"/>
      <c r="BR463" s="157"/>
      <c r="BS463" s="2"/>
      <c r="BT463" s="2"/>
      <c r="BU463" s="12"/>
      <c r="BV463" s="155"/>
      <c r="BW463" s="12"/>
      <c r="BX463" s="12"/>
      <c r="BY463" s="12"/>
      <c r="BZ463" s="12"/>
      <c r="CA463" s="12"/>
      <c r="CB463" s="12"/>
      <c r="CC463" s="12"/>
      <c r="CD463" s="12"/>
      <c r="CE463" s="12"/>
      <c r="CF463" s="12"/>
      <c r="CG463" s="12"/>
      <c r="CH463" s="12"/>
      <c r="CI463" s="12"/>
      <c r="CJ463" s="12"/>
      <c r="CK463" s="12"/>
      <c r="CL463" s="2"/>
      <c r="CM463" s="12"/>
      <c r="CN463" s="12"/>
      <c r="CO463" s="12"/>
      <c r="CP463" s="12"/>
      <c r="CQ463" s="46"/>
      <c r="CR463" s="46"/>
      <c r="CS463" s="46"/>
      <c r="CT463" s="2"/>
      <c r="CU463" s="119"/>
      <c r="CV463" s="119"/>
      <c r="CW463" s="2"/>
      <c r="CX463" s="2"/>
      <c r="CY463" s="120"/>
      <c r="CZ463" s="12"/>
      <c r="DA463" s="12"/>
      <c r="DB463" s="12"/>
      <c r="DC463" s="12"/>
      <c r="DD463" s="12"/>
      <c r="DE463" s="12"/>
      <c r="DF463" s="12"/>
      <c r="DG463" s="12"/>
      <c r="DH463" s="2"/>
      <c r="DI463" s="2"/>
      <c r="DJ463" s="48"/>
      <c r="DK463" s="48"/>
      <c r="DL463" s="48"/>
      <c r="DM463" s="13"/>
      <c r="DN463" s="13"/>
      <c r="DO463" s="12"/>
      <c r="DP463" s="12"/>
      <c r="DQ463" s="12"/>
      <c r="DR463" s="12"/>
      <c r="DS463" s="12"/>
      <c r="DT463" s="2"/>
      <c r="DU463" s="12"/>
      <c r="DV463" s="12"/>
      <c r="DW463" s="12"/>
      <c r="DX463" s="2"/>
      <c r="DY463" s="12"/>
      <c r="DZ463" s="12"/>
      <c r="EA463" s="12"/>
      <c r="EB463" s="12"/>
      <c r="EC463" s="12"/>
      <c r="ED463" s="12"/>
    </row>
    <row r="464" spans="1:134" ht="12.5" x14ac:dyDescent="0.25">
      <c r="A464" s="2"/>
      <c r="B464" s="2"/>
      <c r="C464" s="51"/>
      <c r="D464" s="163"/>
      <c r="E464" s="157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2"/>
      <c r="AZ464" s="2"/>
      <c r="BA464" s="2"/>
      <c r="BB464" s="2"/>
      <c r="BC464" s="2"/>
      <c r="BD464" s="2"/>
      <c r="BE464" s="2"/>
      <c r="BF464" s="12"/>
      <c r="BG464" s="12"/>
      <c r="BH464" s="2"/>
      <c r="BI464" s="2"/>
      <c r="BJ464" s="2"/>
      <c r="BK464" s="2"/>
      <c r="BL464" s="2"/>
      <c r="BM464" s="2"/>
      <c r="BN464" s="2"/>
      <c r="BO464" s="2"/>
      <c r="BP464" s="2"/>
      <c r="BQ464" s="157"/>
      <c r="BR464" s="157"/>
      <c r="BS464" s="2"/>
      <c r="BT464" s="2"/>
      <c r="BU464" s="12"/>
      <c r="BV464" s="155"/>
      <c r="BW464" s="12"/>
      <c r="BX464" s="12"/>
      <c r="BY464" s="12"/>
      <c r="BZ464" s="12"/>
      <c r="CA464" s="12"/>
      <c r="CB464" s="12"/>
      <c r="CC464" s="12"/>
      <c r="CD464" s="12"/>
      <c r="CE464" s="12"/>
      <c r="CF464" s="12"/>
      <c r="CG464" s="12"/>
      <c r="CH464" s="12"/>
      <c r="CI464" s="12"/>
      <c r="CJ464" s="12"/>
      <c r="CK464" s="12"/>
      <c r="CL464" s="2"/>
      <c r="CM464" s="12"/>
      <c r="CN464" s="12"/>
      <c r="CO464" s="12"/>
      <c r="CP464" s="12"/>
      <c r="CQ464" s="46"/>
      <c r="CR464" s="46"/>
      <c r="CS464" s="46"/>
      <c r="CT464" s="2"/>
      <c r="CU464" s="119"/>
      <c r="CV464" s="119"/>
      <c r="CW464" s="2"/>
      <c r="CX464" s="2"/>
      <c r="CY464" s="120"/>
      <c r="CZ464" s="12"/>
      <c r="DA464" s="12"/>
      <c r="DB464" s="12"/>
      <c r="DC464" s="12"/>
      <c r="DD464" s="12"/>
      <c r="DE464" s="12"/>
      <c r="DF464" s="12"/>
      <c r="DG464" s="12"/>
      <c r="DH464" s="2"/>
      <c r="DI464" s="2"/>
      <c r="DJ464" s="48"/>
      <c r="DK464" s="48"/>
      <c r="DL464" s="48"/>
      <c r="DM464" s="13"/>
      <c r="DN464" s="13"/>
      <c r="DO464" s="12"/>
      <c r="DP464" s="12"/>
      <c r="DQ464" s="12"/>
      <c r="DR464" s="12"/>
      <c r="DS464" s="12"/>
      <c r="DT464" s="2"/>
      <c r="DU464" s="12"/>
      <c r="DV464" s="12"/>
      <c r="DW464" s="12"/>
      <c r="DX464" s="2"/>
      <c r="DY464" s="12"/>
      <c r="DZ464" s="12"/>
      <c r="EA464" s="12"/>
      <c r="EB464" s="12"/>
      <c r="EC464" s="12"/>
      <c r="ED464" s="12"/>
    </row>
    <row r="465" spans="1:134" ht="12.5" x14ac:dyDescent="0.25">
      <c r="A465" s="2"/>
      <c r="B465" s="2"/>
      <c r="C465" s="51"/>
      <c r="D465" s="163"/>
      <c r="E465" s="157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2"/>
      <c r="AZ465" s="2"/>
      <c r="BA465" s="2"/>
      <c r="BB465" s="2"/>
      <c r="BC465" s="2"/>
      <c r="BD465" s="2"/>
      <c r="BE465" s="2"/>
      <c r="BF465" s="12"/>
      <c r="BG465" s="12"/>
      <c r="BH465" s="2"/>
      <c r="BI465" s="2"/>
      <c r="BJ465" s="2"/>
      <c r="BK465" s="2"/>
      <c r="BL465" s="2"/>
      <c r="BM465" s="2"/>
      <c r="BN465" s="2"/>
      <c r="BO465" s="2"/>
      <c r="BP465" s="2"/>
      <c r="BQ465" s="157"/>
      <c r="BR465" s="157"/>
      <c r="BS465" s="2"/>
      <c r="BT465" s="2"/>
      <c r="BU465" s="12"/>
      <c r="BV465" s="155"/>
      <c r="BW465" s="12"/>
      <c r="BX465" s="12"/>
      <c r="BY465" s="12"/>
      <c r="BZ465" s="12"/>
      <c r="CA465" s="12"/>
      <c r="CB465" s="12"/>
      <c r="CC465" s="12"/>
      <c r="CD465" s="12"/>
      <c r="CE465" s="12"/>
      <c r="CF465" s="12"/>
      <c r="CG465" s="12"/>
      <c r="CH465" s="12"/>
      <c r="CI465" s="12"/>
      <c r="CJ465" s="12"/>
      <c r="CK465" s="12"/>
      <c r="CL465" s="2"/>
      <c r="CM465" s="12"/>
      <c r="CN465" s="12"/>
      <c r="CO465" s="12"/>
      <c r="CP465" s="12"/>
      <c r="CQ465" s="46"/>
      <c r="CR465" s="46"/>
      <c r="CS465" s="46"/>
      <c r="CT465" s="2"/>
      <c r="CU465" s="119"/>
      <c r="CV465" s="119"/>
      <c r="CW465" s="2"/>
      <c r="CX465" s="2"/>
      <c r="CY465" s="120"/>
      <c r="CZ465" s="12"/>
      <c r="DA465" s="12"/>
      <c r="DB465" s="12"/>
      <c r="DC465" s="12"/>
      <c r="DD465" s="12"/>
      <c r="DE465" s="12"/>
      <c r="DF465" s="12"/>
      <c r="DG465" s="12"/>
      <c r="DH465" s="2"/>
      <c r="DI465" s="2"/>
      <c r="DJ465" s="48"/>
      <c r="DK465" s="48"/>
      <c r="DL465" s="48"/>
      <c r="DM465" s="13"/>
      <c r="DN465" s="13"/>
      <c r="DO465" s="12"/>
      <c r="DP465" s="12"/>
      <c r="DQ465" s="12"/>
      <c r="DR465" s="12"/>
      <c r="DS465" s="12"/>
      <c r="DT465" s="2"/>
      <c r="DU465" s="12"/>
      <c r="DV465" s="12"/>
      <c r="DW465" s="12"/>
      <c r="DX465" s="2"/>
      <c r="DY465" s="12"/>
      <c r="DZ465" s="12"/>
      <c r="EA465" s="12"/>
      <c r="EB465" s="12"/>
      <c r="EC465" s="12"/>
      <c r="ED465" s="12"/>
    </row>
    <row r="466" spans="1:134" ht="12.5" x14ac:dyDescent="0.25">
      <c r="A466" s="2"/>
      <c r="B466" s="2"/>
      <c r="C466" s="51"/>
      <c r="D466" s="163"/>
      <c r="E466" s="157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2"/>
      <c r="AZ466" s="2"/>
      <c r="BA466" s="2"/>
      <c r="BB466" s="2"/>
      <c r="BC466" s="2"/>
      <c r="BD466" s="2"/>
      <c r="BE466" s="2"/>
      <c r="BF466" s="12"/>
      <c r="BG466" s="12"/>
      <c r="BH466" s="2"/>
      <c r="BI466" s="2"/>
      <c r="BJ466" s="2"/>
      <c r="BK466" s="2"/>
      <c r="BL466" s="2"/>
      <c r="BM466" s="2"/>
      <c r="BN466" s="2"/>
      <c r="BO466" s="2"/>
      <c r="BP466" s="2"/>
      <c r="BQ466" s="157"/>
      <c r="BR466" s="157"/>
      <c r="BS466" s="2"/>
      <c r="BT466" s="2"/>
      <c r="BU466" s="12"/>
      <c r="BV466" s="155"/>
      <c r="BW466" s="12"/>
      <c r="BX466" s="12"/>
      <c r="BY466" s="12"/>
      <c r="BZ466" s="12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2"/>
      <c r="CM466" s="12"/>
      <c r="CN466" s="12"/>
      <c r="CO466" s="12"/>
      <c r="CP466" s="12"/>
      <c r="CQ466" s="46"/>
      <c r="CR466" s="46"/>
      <c r="CS466" s="46"/>
      <c r="CT466" s="2"/>
      <c r="CU466" s="119"/>
      <c r="CV466" s="119"/>
      <c r="CW466" s="2"/>
      <c r="CX466" s="2"/>
      <c r="CY466" s="120"/>
      <c r="CZ466" s="12"/>
      <c r="DA466" s="12"/>
      <c r="DB466" s="12"/>
      <c r="DC466" s="12"/>
      <c r="DD466" s="12"/>
      <c r="DE466" s="12"/>
      <c r="DF466" s="12"/>
      <c r="DG466" s="12"/>
      <c r="DH466" s="2"/>
      <c r="DI466" s="2"/>
      <c r="DJ466" s="48"/>
      <c r="DK466" s="48"/>
      <c r="DL466" s="48"/>
      <c r="DM466" s="13"/>
      <c r="DN466" s="13"/>
      <c r="DO466" s="12"/>
      <c r="DP466" s="12"/>
      <c r="DQ466" s="12"/>
      <c r="DR466" s="12"/>
      <c r="DS466" s="12"/>
      <c r="DT466" s="2"/>
      <c r="DU466" s="12"/>
      <c r="DV466" s="12"/>
      <c r="DW466" s="12"/>
      <c r="DX466" s="2"/>
      <c r="DY466" s="12"/>
      <c r="DZ466" s="12"/>
      <c r="EA466" s="12"/>
      <c r="EB466" s="12"/>
      <c r="EC466" s="12"/>
      <c r="ED466" s="12"/>
    </row>
    <row r="467" spans="1:134" ht="12.5" x14ac:dyDescent="0.25">
      <c r="A467" s="2"/>
      <c r="B467" s="2"/>
      <c r="C467" s="51"/>
      <c r="D467" s="2"/>
      <c r="E467" s="157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2"/>
      <c r="AZ467" s="2"/>
      <c r="BA467" s="2"/>
      <c r="BB467" s="2"/>
      <c r="BC467" s="2"/>
      <c r="BD467" s="2"/>
      <c r="BE467" s="2"/>
      <c r="BF467" s="12"/>
      <c r="BG467" s="12"/>
      <c r="BH467" s="2"/>
      <c r="BI467" s="2"/>
      <c r="BJ467" s="2"/>
      <c r="BK467" s="2"/>
      <c r="BL467" s="2"/>
      <c r="BM467" s="2"/>
      <c r="BN467" s="2"/>
      <c r="BO467" s="2"/>
      <c r="BP467" s="2"/>
      <c r="BQ467" s="157"/>
      <c r="BR467" s="157"/>
      <c r="BS467" s="2"/>
      <c r="BT467" s="2"/>
      <c r="BU467" s="12"/>
      <c r="BV467" s="155"/>
      <c r="BW467" s="12"/>
      <c r="BX467" s="12"/>
      <c r="BY467" s="12"/>
      <c r="BZ467" s="12"/>
      <c r="CA467" s="12"/>
      <c r="CB467" s="12"/>
      <c r="CC467" s="12"/>
      <c r="CD467" s="12"/>
      <c r="CE467" s="12"/>
      <c r="CF467" s="12"/>
      <c r="CG467" s="12"/>
      <c r="CH467" s="12"/>
      <c r="CI467" s="12"/>
      <c r="CJ467" s="12"/>
      <c r="CK467" s="12"/>
      <c r="CL467" s="12"/>
      <c r="CM467" s="12"/>
      <c r="CN467" s="12"/>
      <c r="CO467" s="12"/>
      <c r="CP467" s="12"/>
      <c r="CQ467" s="46"/>
      <c r="CR467" s="46"/>
      <c r="CS467" s="46"/>
      <c r="CT467" s="2"/>
      <c r="CU467" s="119"/>
      <c r="CV467" s="119"/>
      <c r="CW467" s="2"/>
      <c r="CX467" s="2"/>
      <c r="CY467" s="120"/>
      <c r="CZ467" s="12"/>
      <c r="DA467" s="12"/>
      <c r="DB467" s="12"/>
      <c r="DC467" s="12"/>
      <c r="DD467" s="12"/>
      <c r="DE467" s="12"/>
      <c r="DF467" s="12"/>
      <c r="DG467" s="12"/>
      <c r="DH467" s="2"/>
      <c r="DI467" s="2"/>
      <c r="DJ467" s="48"/>
      <c r="DK467" s="48"/>
      <c r="DL467" s="48"/>
      <c r="DM467" s="13"/>
      <c r="DN467" s="13"/>
      <c r="DO467" s="12"/>
      <c r="DP467" s="12"/>
      <c r="DQ467" s="12"/>
      <c r="DR467" s="12"/>
      <c r="DS467" s="12"/>
      <c r="DT467" s="2"/>
      <c r="DU467" s="12"/>
      <c r="DV467" s="12"/>
      <c r="DW467" s="12"/>
      <c r="DX467" s="2"/>
      <c r="DY467" s="12"/>
      <c r="DZ467" s="12"/>
      <c r="EA467" s="12"/>
      <c r="EB467" s="12"/>
      <c r="EC467" s="12"/>
      <c r="ED467" s="12"/>
    </row>
    <row r="468" spans="1:134" ht="12.5" x14ac:dyDescent="0.25">
      <c r="A468" s="2"/>
      <c r="B468" s="2"/>
      <c r="C468" s="51"/>
      <c r="D468" s="2"/>
      <c r="E468" s="157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2"/>
      <c r="AZ468" s="2"/>
      <c r="BA468" s="2"/>
      <c r="BB468" s="2"/>
      <c r="BC468" s="2"/>
      <c r="BD468" s="2"/>
      <c r="BE468" s="2"/>
      <c r="BF468" s="12"/>
      <c r="BG468" s="12"/>
      <c r="BH468" s="2"/>
      <c r="BI468" s="2"/>
      <c r="BJ468" s="2"/>
      <c r="BK468" s="2"/>
      <c r="BL468" s="2"/>
      <c r="BM468" s="2"/>
      <c r="BN468" s="2"/>
      <c r="BO468" s="2"/>
      <c r="BP468" s="2"/>
      <c r="BQ468" s="157"/>
      <c r="BR468" s="157"/>
      <c r="BS468" s="2"/>
      <c r="BT468" s="2"/>
      <c r="BU468" s="12"/>
      <c r="BV468" s="155"/>
      <c r="BW468" s="12"/>
      <c r="BX468" s="12"/>
      <c r="BY468" s="12"/>
      <c r="BZ468" s="12"/>
      <c r="CA468" s="12"/>
      <c r="CB468" s="12"/>
      <c r="CC468" s="12"/>
      <c r="CD468" s="12"/>
      <c r="CE468" s="12"/>
      <c r="CF468" s="12"/>
      <c r="CG468" s="12"/>
      <c r="CH468" s="12"/>
      <c r="CI468" s="12"/>
      <c r="CJ468" s="12"/>
      <c r="CK468" s="12"/>
      <c r="CL468" s="2"/>
      <c r="CM468" s="12"/>
      <c r="CN468" s="12"/>
      <c r="CO468" s="12"/>
      <c r="CP468" s="12"/>
      <c r="CQ468" s="46"/>
      <c r="CR468" s="46"/>
      <c r="CS468" s="46"/>
      <c r="CT468" s="2"/>
      <c r="CU468" s="119"/>
      <c r="CV468" s="119"/>
      <c r="CW468" s="2"/>
      <c r="CX468" s="2"/>
      <c r="CY468" s="120"/>
      <c r="CZ468" s="12"/>
      <c r="DA468" s="12"/>
      <c r="DB468" s="12"/>
      <c r="DC468" s="12"/>
      <c r="DD468" s="12"/>
      <c r="DE468" s="12"/>
      <c r="DF468" s="12"/>
      <c r="DG468" s="12"/>
      <c r="DH468" s="2"/>
      <c r="DI468" s="2"/>
      <c r="DJ468" s="48"/>
      <c r="DK468" s="48"/>
      <c r="DL468" s="48"/>
      <c r="DM468" s="13"/>
      <c r="DN468" s="13"/>
      <c r="DO468" s="12"/>
      <c r="DP468" s="12"/>
      <c r="DQ468" s="12"/>
      <c r="DR468" s="12"/>
      <c r="DS468" s="12"/>
      <c r="DT468" s="2"/>
      <c r="DU468" s="12"/>
      <c r="DV468" s="12"/>
      <c r="DW468" s="12"/>
      <c r="DX468" s="2"/>
      <c r="DY468" s="12"/>
      <c r="DZ468" s="12"/>
      <c r="EA468" s="12"/>
      <c r="EB468" s="12"/>
      <c r="EC468" s="12"/>
      <c r="ED468" s="12"/>
    </row>
    <row r="469" spans="1:134" ht="12.5" x14ac:dyDescent="0.25">
      <c r="A469" s="2"/>
      <c r="B469" s="2"/>
      <c r="C469" s="51"/>
      <c r="D469" s="2"/>
      <c r="E469" s="157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2"/>
      <c r="AZ469" s="2"/>
      <c r="BA469" s="2"/>
      <c r="BB469" s="2"/>
      <c r="BC469" s="2"/>
      <c r="BD469" s="2"/>
      <c r="BE469" s="2"/>
      <c r="BF469" s="12"/>
      <c r="BG469" s="12"/>
      <c r="BH469" s="2"/>
      <c r="BI469" s="2"/>
      <c r="BJ469" s="2"/>
      <c r="BK469" s="2"/>
      <c r="BL469" s="2"/>
      <c r="BM469" s="2"/>
      <c r="BN469" s="2"/>
      <c r="BO469" s="2"/>
      <c r="BP469" s="2"/>
      <c r="BQ469" s="157"/>
      <c r="BR469" s="157"/>
      <c r="BS469" s="2"/>
      <c r="BT469" s="2"/>
      <c r="BU469" s="12"/>
      <c r="BV469" s="155"/>
      <c r="BW469" s="12"/>
      <c r="BX469" s="12"/>
      <c r="BY469" s="12"/>
      <c r="BZ469" s="12"/>
      <c r="CA469" s="12"/>
      <c r="CB469" s="12"/>
      <c r="CC469" s="12"/>
      <c r="CD469" s="12"/>
      <c r="CE469" s="12"/>
      <c r="CF469" s="12"/>
      <c r="CG469" s="12"/>
      <c r="CH469" s="12"/>
      <c r="CI469" s="12"/>
      <c r="CJ469" s="12"/>
      <c r="CK469" s="12"/>
      <c r="CL469" s="2"/>
      <c r="CM469" s="12"/>
      <c r="CN469" s="12"/>
      <c r="CO469" s="12"/>
      <c r="CP469" s="12"/>
      <c r="CQ469" s="46"/>
      <c r="CR469" s="46"/>
      <c r="CS469" s="46"/>
      <c r="CT469" s="2"/>
      <c r="CU469" s="119"/>
      <c r="CV469" s="119"/>
      <c r="CW469" s="2"/>
      <c r="CX469" s="2"/>
      <c r="CY469" s="120"/>
      <c r="CZ469" s="12"/>
      <c r="DA469" s="12"/>
      <c r="DB469" s="12"/>
      <c r="DC469" s="12"/>
      <c r="DD469" s="12"/>
      <c r="DE469" s="12"/>
      <c r="DF469" s="12"/>
      <c r="DG469" s="12"/>
      <c r="DH469" s="2"/>
      <c r="DI469" s="2"/>
      <c r="DJ469" s="48"/>
      <c r="DK469" s="48"/>
      <c r="DL469" s="48"/>
      <c r="DM469" s="13"/>
      <c r="DN469" s="13"/>
      <c r="DO469" s="12"/>
      <c r="DP469" s="12"/>
      <c r="DQ469" s="12"/>
      <c r="DR469" s="12"/>
      <c r="DS469" s="12"/>
      <c r="DT469" s="2"/>
      <c r="DU469" s="12"/>
      <c r="DV469" s="12"/>
      <c r="DW469" s="12"/>
      <c r="DX469" s="2"/>
      <c r="DY469" s="12"/>
      <c r="DZ469" s="12"/>
      <c r="EA469" s="12"/>
      <c r="EB469" s="12"/>
      <c r="EC469" s="12"/>
      <c r="ED469" s="12"/>
    </row>
    <row r="470" spans="1:134" ht="12.5" x14ac:dyDescent="0.25">
      <c r="A470" s="2"/>
      <c r="B470" s="2"/>
      <c r="C470" s="51"/>
      <c r="D470" s="2"/>
      <c r="E470" s="157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2"/>
      <c r="AZ470" s="2"/>
      <c r="BA470" s="2"/>
      <c r="BB470" s="2"/>
      <c r="BC470" s="2"/>
      <c r="BD470" s="2"/>
      <c r="BE470" s="2"/>
      <c r="BF470" s="12"/>
      <c r="BG470" s="12"/>
      <c r="BH470" s="2"/>
      <c r="BI470" s="2"/>
      <c r="BJ470" s="2"/>
      <c r="BK470" s="2"/>
      <c r="BL470" s="2"/>
      <c r="BM470" s="2"/>
      <c r="BN470" s="2"/>
      <c r="BO470" s="2"/>
      <c r="BP470" s="2"/>
      <c r="BQ470" s="157"/>
      <c r="BR470" s="157"/>
      <c r="BS470" s="2"/>
      <c r="BT470" s="2"/>
      <c r="BU470" s="12"/>
      <c r="BV470" s="155"/>
      <c r="BW470" s="12"/>
      <c r="BX470" s="12"/>
      <c r="BY470" s="12"/>
      <c r="BZ470" s="12"/>
      <c r="CA470" s="12"/>
      <c r="CB470" s="12"/>
      <c r="CC470" s="12"/>
      <c r="CD470" s="12"/>
      <c r="CE470" s="12"/>
      <c r="CF470" s="12"/>
      <c r="CG470" s="12"/>
      <c r="CH470" s="12"/>
      <c r="CI470" s="12"/>
      <c r="CJ470" s="12"/>
      <c r="CK470" s="12"/>
      <c r="CL470" s="12"/>
      <c r="CM470" s="12"/>
      <c r="CN470" s="12"/>
      <c r="CO470" s="12"/>
      <c r="CP470" s="12"/>
      <c r="CQ470" s="46"/>
      <c r="CR470" s="46"/>
      <c r="CS470" s="46"/>
      <c r="CT470" s="2"/>
      <c r="CU470" s="119"/>
      <c r="CV470" s="119"/>
      <c r="CW470" s="2"/>
      <c r="CX470" s="2"/>
      <c r="CY470" s="120"/>
      <c r="CZ470" s="12"/>
      <c r="DA470" s="12"/>
      <c r="DB470" s="12"/>
      <c r="DC470" s="12"/>
      <c r="DD470" s="12"/>
      <c r="DE470" s="12"/>
      <c r="DF470" s="12"/>
      <c r="DG470" s="12"/>
      <c r="DH470" s="2"/>
      <c r="DI470" s="2"/>
      <c r="DJ470" s="48"/>
      <c r="DK470" s="48"/>
      <c r="DL470" s="48"/>
      <c r="DM470" s="13"/>
      <c r="DN470" s="13"/>
      <c r="DO470" s="12"/>
      <c r="DP470" s="12"/>
      <c r="DQ470" s="12"/>
      <c r="DR470" s="12"/>
      <c r="DS470" s="12"/>
      <c r="DT470" s="2"/>
      <c r="DU470" s="12"/>
      <c r="DV470" s="12"/>
      <c r="DW470" s="12"/>
      <c r="DX470" s="2"/>
      <c r="DY470" s="12"/>
      <c r="DZ470" s="12"/>
      <c r="EA470" s="12"/>
      <c r="EB470" s="12"/>
      <c r="EC470" s="12"/>
      <c r="ED470" s="12"/>
    </row>
    <row r="471" spans="1:134" ht="12.5" x14ac:dyDescent="0.25">
      <c r="A471" s="2"/>
      <c r="B471" s="2"/>
      <c r="C471" s="51"/>
      <c r="D471" s="163"/>
      <c r="E471" s="157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2"/>
      <c r="AZ471" s="2"/>
      <c r="BA471" s="2"/>
      <c r="BB471" s="2"/>
      <c r="BC471" s="2"/>
      <c r="BD471" s="2"/>
      <c r="BE471" s="2"/>
      <c r="BF471" s="12"/>
      <c r="BG471" s="12"/>
      <c r="BH471" s="2"/>
      <c r="BI471" s="2"/>
      <c r="BJ471" s="2"/>
      <c r="BK471" s="2"/>
      <c r="BL471" s="2"/>
      <c r="BM471" s="2"/>
      <c r="BN471" s="2"/>
      <c r="BO471" s="2"/>
      <c r="BP471" s="2"/>
      <c r="BQ471" s="157"/>
      <c r="BR471" s="157"/>
      <c r="BS471" s="2"/>
      <c r="BT471" s="2"/>
      <c r="BU471" s="12"/>
      <c r="BV471" s="155"/>
      <c r="BW471" s="12"/>
      <c r="BX471" s="12"/>
      <c r="BY471" s="12"/>
      <c r="BZ471" s="12"/>
      <c r="CA471" s="12"/>
      <c r="CB471" s="12"/>
      <c r="CC471" s="12"/>
      <c r="CD471" s="12"/>
      <c r="CE471" s="12"/>
      <c r="CF471" s="12"/>
      <c r="CG471" s="12"/>
      <c r="CH471" s="12"/>
      <c r="CI471" s="12"/>
      <c r="CJ471" s="12"/>
      <c r="CK471" s="12"/>
      <c r="CL471" s="2"/>
      <c r="CM471" s="12"/>
      <c r="CN471" s="12"/>
      <c r="CO471" s="12"/>
      <c r="CP471" s="12"/>
      <c r="CQ471" s="46"/>
      <c r="CR471" s="46"/>
      <c r="CS471" s="46"/>
      <c r="CT471" s="2"/>
      <c r="CU471" s="119"/>
      <c r="CV471" s="119"/>
      <c r="CW471" s="2"/>
      <c r="CX471" s="2"/>
      <c r="CY471" s="120"/>
      <c r="CZ471" s="12"/>
      <c r="DA471" s="12"/>
      <c r="DB471" s="12"/>
      <c r="DC471" s="12"/>
      <c r="DD471" s="12"/>
      <c r="DE471" s="12"/>
      <c r="DF471" s="12"/>
      <c r="DG471" s="12"/>
      <c r="DH471" s="2"/>
      <c r="DI471" s="2"/>
      <c r="DJ471" s="48"/>
      <c r="DK471" s="48"/>
      <c r="DL471" s="48"/>
      <c r="DM471" s="13"/>
      <c r="DN471" s="13"/>
      <c r="DO471" s="12"/>
      <c r="DP471" s="12"/>
      <c r="DQ471" s="12"/>
      <c r="DR471" s="12"/>
      <c r="DS471" s="12"/>
      <c r="DT471" s="2"/>
      <c r="DU471" s="12"/>
      <c r="DV471" s="12"/>
      <c r="DW471" s="12"/>
      <c r="DX471" s="2"/>
      <c r="DY471" s="12"/>
      <c r="DZ471" s="12"/>
      <c r="EA471" s="12"/>
      <c r="EB471" s="12"/>
      <c r="EC471" s="12"/>
      <c r="ED471" s="12"/>
    </row>
    <row r="472" spans="1:134" ht="12.5" x14ac:dyDescent="0.25">
      <c r="A472" s="2"/>
      <c r="B472" s="2"/>
      <c r="C472" s="51"/>
      <c r="D472" s="2"/>
      <c r="E472" s="157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2"/>
      <c r="AZ472" s="2"/>
      <c r="BA472" s="2"/>
      <c r="BB472" s="2"/>
      <c r="BC472" s="2"/>
      <c r="BD472" s="2"/>
      <c r="BE472" s="2"/>
      <c r="BF472" s="12"/>
      <c r="BG472" s="12"/>
      <c r="BH472" s="2"/>
      <c r="BI472" s="2"/>
      <c r="BJ472" s="2"/>
      <c r="BK472" s="2"/>
      <c r="BL472" s="2"/>
      <c r="BM472" s="2"/>
      <c r="BN472" s="2"/>
      <c r="BO472" s="2"/>
      <c r="BP472" s="2"/>
      <c r="BQ472" s="157"/>
      <c r="BR472" s="157"/>
      <c r="BS472" s="2"/>
      <c r="BT472" s="2"/>
      <c r="BU472" s="12"/>
      <c r="BV472" s="155"/>
      <c r="BW472" s="12"/>
      <c r="BX472" s="12"/>
      <c r="BY472" s="12"/>
      <c r="BZ472" s="12"/>
      <c r="CA472" s="12"/>
      <c r="CB472" s="12"/>
      <c r="CC472" s="12"/>
      <c r="CD472" s="12"/>
      <c r="CE472" s="12"/>
      <c r="CF472" s="12"/>
      <c r="CG472" s="12"/>
      <c r="CH472" s="12"/>
      <c r="CI472" s="12"/>
      <c r="CJ472" s="12"/>
      <c r="CK472" s="12"/>
      <c r="CL472" s="2"/>
      <c r="CM472" s="12"/>
      <c r="CN472" s="12"/>
      <c r="CO472" s="12"/>
      <c r="CP472" s="12"/>
      <c r="CQ472" s="46"/>
      <c r="CR472" s="46"/>
      <c r="CS472" s="46"/>
      <c r="CT472" s="2"/>
      <c r="CU472" s="119"/>
      <c r="CV472" s="119"/>
      <c r="CW472" s="2"/>
      <c r="CX472" s="2"/>
      <c r="CY472" s="120"/>
      <c r="CZ472" s="12"/>
      <c r="DA472" s="12"/>
      <c r="DB472" s="12"/>
      <c r="DC472" s="12"/>
      <c r="DD472" s="12"/>
      <c r="DE472" s="12"/>
      <c r="DF472" s="12"/>
      <c r="DG472" s="12"/>
      <c r="DH472" s="2"/>
      <c r="DI472" s="2"/>
      <c r="DJ472" s="48"/>
      <c r="DK472" s="48"/>
      <c r="DL472" s="48"/>
      <c r="DM472" s="13"/>
      <c r="DN472" s="13"/>
      <c r="DO472" s="12"/>
      <c r="DP472" s="12"/>
      <c r="DQ472" s="12"/>
      <c r="DR472" s="12"/>
      <c r="DS472" s="12"/>
      <c r="DT472" s="2"/>
      <c r="DU472" s="12"/>
      <c r="DV472" s="12"/>
      <c r="DW472" s="12"/>
      <c r="DX472" s="2"/>
      <c r="DY472" s="12"/>
      <c r="DZ472" s="12"/>
      <c r="EA472" s="12"/>
      <c r="EB472" s="12"/>
      <c r="EC472" s="12"/>
      <c r="ED472" s="12"/>
    </row>
    <row r="473" spans="1:134" ht="12.5" x14ac:dyDescent="0.25">
      <c r="A473" s="2"/>
      <c r="B473" s="2"/>
      <c r="C473" s="51"/>
      <c r="D473" s="2"/>
      <c r="E473" s="157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2"/>
      <c r="AZ473" s="2"/>
      <c r="BA473" s="2"/>
      <c r="BB473" s="2"/>
      <c r="BC473" s="2"/>
      <c r="BD473" s="2"/>
      <c r="BE473" s="2"/>
      <c r="BF473" s="12"/>
      <c r="BG473" s="12"/>
      <c r="BH473" s="2"/>
      <c r="BI473" s="2"/>
      <c r="BJ473" s="2"/>
      <c r="BK473" s="2"/>
      <c r="BL473" s="2"/>
      <c r="BM473" s="2"/>
      <c r="BN473" s="2"/>
      <c r="BO473" s="2"/>
      <c r="BP473" s="2"/>
      <c r="BQ473" s="157"/>
      <c r="BR473" s="157"/>
      <c r="BS473" s="2"/>
      <c r="BT473" s="2"/>
      <c r="BU473" s="12"/>
      <c r="BV473" s="155"/>
      <c r="BW473" s="12"/>
      <c r="BX473" s="12"/>
      <c r="BY473" s="12"/>
      <c r="BZ473" s="12"/>
      <c r="CA473" s="12"/>
      <c r="CB473" s="12"/>
      <c r="CC473" s="12"/>
      <c r="CD473" s="12"/>
      <c r="CE473" s="12"/>
      <c r="CF473" s="12"/>
      <c r="CG473" s="12"/>
      <c r="CH473" s="12"/>
      <c r="CI473" s="12"/>
      <c r="CJ473" s="12"/>
      <c r="CK473" s="12"/>
      <c r="CL473" s="2"/>
      <c r="CM473" s="12"/>
      <c r="CN473" s="12"/>
      <c r="CO473" s="12"/>
      <c r="CP473" s="12"/>
      <c r="CQ473" s="46"/>
      <c r="CR473" s="46"/>
      <c r="CS473" s="46"/>
      <c r="CT473" s="2"/>
      <c r="CU473" s="119"/>
      <c r="CV473" s="119"/>
      <c r="CW473" s="2"/>
      <c r="CX473" s="2"/>
      <c r="CY473" s="120"/>
      <c r="CZ473" s="12"/>
      <c r="DA473" s="12"/>
      <c r="DB473" s="12"/>
      <c r="DC473" s="12"/>
      <c r="DD473" s="12"/>
      <c r="DE473" s="12"/>
      <c r="DF473" s="12"/>
      <c r="DG473" s="12"/>
      <c r="DH473" s="2"/>
      <c r="DI473" s="2"/>
      <c r="DJ473" s="48"/>
      <c r="DK473" s="48"/>
      <c r="DL473" s="48"/>
      <c r="DM473" s="13"/>
      <c r="DN473" s="13"/>
      <c r="DO473" s="12"/>
      <c r="DP473" s="12"/>
      <c r="DQ473" s="12"/>
      <c r="DR473" s="12"/>
      <c r="DS473" s="12"/>
      <c r="DT473" s="2"/>
      <c r="DU473" s="12"/>
      <c r="DV473" s="12"/>
      <c r="DW473" s="12"/>
      <c r="DX473" s="2"/>
      <c r="DY473" s="12"/>
      <c r="DZ473" s="12"/>
      <c r="EA473" s="12"/>
      <c r="EB473" s="12"/>
      <c r="EC473" s="12"/>
      <c r="ED473" s="12"/>
    </row>
    <row r="474" spans="1:134" ht="12.5" x14ac:dyDescent="0.25">
      <c r="A474" s="2"/>
      <c r="B474" s="2"/>
      <c r="C474" s="51"/>
      <c r="D474" s="2"/>
      <c r="E474" s="157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2"/>
      <c r="AZ474" s="2"/>
      <c r="BA474" s="2"/>
      <c r="BB474" s="2"/>
      <c r="BC474" s="2"/>
      <c r="BD474" s="2"/>
      <c r="BE474" s="2"/>
      <c r="BF474" s="12"/>
      <c r="BG474" s="12"/>
      <c r="BH474" s="2"/>
      <c r="BI474" s="2"/>
      <c r="BJ474" s="2"/>
      <c r="BK474" s="2"/>
      <c r="BL474" s="2"/>
      <c r="BM474" s="2"/>
      <c r="BN474" s="2"/>
      <c r="BO474" s="2"/>
      <c r="BP474" s="2"/>
      <c r="BQ474" s="157"/>
      <c r="BR474" s="157"/>
      <c r="BS474" s="2"/>
      <c r="BT474" s="2"/>
      <c r="BU474" s="12"/>
      <c r="BV474" s="155"/>
      <c r="BW474" s="12"/>
      <c r="BX474" s="12"/>
      <c r="BY474" s="12"/>
      <c r="BZ474" s="12"/>
      <c r="CA474" s="12"/>
      <c r="CB474" s="12"/>
      <c r="CC474" s="12"/>
      <c r="CD474" s="12"/>
      <c r="CE474" s="12"/>
      <c r="CF474" s="12"/>
      <c r="CG474" s="12"/>
      <c r="CH474" s="12"/>
      <c r="CI474" s="12"/>
      <c r="CJ474" s="12"/>
      <c r="CK474" s="12"/>
      <c r="CL474" s="2"/>
      <c r="CM474" s="12"/>
      <c r="CN474" s="12"/>
      <c r="CO474" s="12"/>
      <c r="CP474" s="12"/>
      <c r="CQ474" s="46"/>
      <c r="CR474" s="46"/>
      <c r="CS474" s="46"/>
      <c r="CT474" s="2"/>
      <c r="CU474" s="119"/>
      <c r="CV474" s="119"/>
      <c r="CW474" s="2"/>
      <c r="CX474" s="2"/>
      <c r="CY474" s="120"/>
      <c r="CZ474" s="12"/>
      <c r="DA474" s="12"/>
      <c r="DB474" s="12"/>
      <c r="DC474" s="12"/>
      <c r="DD474" s="12"/>
      <c r="DE474" s="12"/>
      <c r="DF474" s="12"/>
      <c r="DG474" s="12"/>
      <c r="DH474" s="2"/>
      <c r="DI474" s="2"/>
      <c r="DJ474" s="48"/>
      <c r="DK474" s="48"/>
      <c r="DL474" s="48"/>
      <c r="DM474" s="13"/>
      <c r="DN474" s="13"/>
      <c r="DO474" s="12"/>
      <c r="DP474" s="12"/>
      <c r="DQ474" s="12"/>
      <c r="DR474" s="12"/>
      <c r="DS474" s="12"/>
      <c r="DT474" s="2"/>
      <c r="DU474" s="12"/>
      <c r="DV474" s="12"/>
      <c r="DW474" s="12"/>
      <c r="DX474" s="2"/>
      <c r="DY474" s="12"/>
      <c r="DZ474" s="12"/>
      <c r="EA474" s="12"/>
      <c r="EB474" s="12"/>
      <c r="EC474" s="12"/>
      <c r="ED474" s="12"/>
    </row>
    <row r="475" spans="1:134" ht="12.5" x14ac:dyDescent="0.25">
      <c r="A475" s="2"/>
      <c r="B475" s="2"/>
      <c r="C475" s="51"/>
      <c r="D475" s="2"/>
      <c r="E475" s="157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2"/>
      <c r="AZ475" s="2"/>
      <c r="BA475" s="2"/>
      <c r="BB475" s="2"/>
      <c r="BC475" s="2"/>
      <c r="BD475" s="2"/>
      <c r="BE475" s="2"/>
      <c r="BF475" s="12"/>
      <c r="BG475" s="12"/>
      <c r="BH475" s="2"/>
      <c r="BI475" s="2"/>
      <c r="BJ475" s="2"/>
      <c r="BK475" s="2"/>
      <c r="BL475" s="2"/>
      <c r="BM475" s="2"/>
      <c r="BN475" s="2"/>
      <c r="BO475" s="2"/>
      <c r="BP475" s="2"/>
      <c r="BQ475" s="157"/>
      <c r="BR475" s="157"/>
      <c r="BS475" s="2"/>
      <c r="BT475" s="2"/>
      <c r="BU475" s="12"/>
      <c r="BV475" s="155"/>
      <c r="BW475" s="12"/>
      <c r="BX475" s="12"/>
      <c r="BY475" s="12"/>
      <c r="BZ475" s="12"/>
      <c r="CA475" s="12"/>
      <c r="CB475" s="12"/>
      <c r="CC475" s="12"/>
      <c r="CD475" s="12"/>
      <c r="CE475" s="12"/>
      <c r="CF475" s="12"/>
      <c r="CG475" s="12"/>
      <c r="CH475" s="12"/>
      <c r="CI475" s="12"/>
      <c r="CJ475" s="12"/>
      <c r="CK475" s="12"/>
      <c r="CL475" s="2"/>
      <c r="CM475" s="12"/>
      <c r="CN475" s="12"/>
      <c r="CO475" s="12"/>
      <c r="CP475" s="12"/>
      <c r="CQ475" s="46"/>
      <c r="CR475" s="46"/>
      <c r="CS475" s="46"/>
      <c r="CT475" s="2"/>
      <c r="CU475" s="119"/>
      <c r="CV475" s="119"/>
      <c r="CW475" s="2"/>
      <c r="CX475" s="2"/>
      <c r="CY475" s="120"/>
      <c r="CZ475" s="12"/>
      <c r="DA475" s="12"/>
      <c r="DB475" s="12"/>
      <c r="DC475" s="12"/>
      <c r="DD475" s="12"/>
      <c r="DE475" s="12"/>
      <c r="DF475" s="12"/>
      <c r="DG475" s="12"/>
      <c r="DH475" s="2"/>
      <c r="DI475" s="2"/>
      <c r="DJ475" s="48"/>
      <c r="DK475" s="48"/>
      <c r="DL475" s="48"/>
      <c r="DM475" s="13"/>
      <c r="DN475" s="13"/>
      <c r="DO475" s="12"/>
      <c r="DP475" s="12"/>
      <c r="DQ475" s="12"/>
      <c r="DR475" s="12"/>
      <c r="DS475" s="12"/>
      <c r="DT475" s="2"/>
      <c r="DU475" s="12"/>
      <c r="DV475" s="12"/>
      <c r="DW475" s="12"/>
      <c r="DX475" s="2"/>
      <c r="DY475" s="12"/>
      <c r="DZ475" s="12"/>
      <c r="EA475" s="12"/>
      <c r="EB475" s="12"/>
      <c r="EC475" s="12"/>
      <c r="ED475" s="12"/>
    </row>
    <row r="476" spans="1:134" ht="12.5" x14ac:dyDescent="0.25">
      <c r="A476" s="2"/>
      <c r="B476" s="2"/>
      <c r="C476" s="51"/>
      <c r="D476" s="163"/>
      <c r="E476" s="157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2"/>
      <c r="AZ476" s="2"/>
      <c r="BA476" s="2"/>
      <c r="BB476" s="2"/>
      <c r="BC476" s="2"/>
      <c r="BD476" s="2"/>
      <c r="BE476" s="2"/>
      <c r="BF476" s="12"/>
      <c r="BG476" s="12"/>
      <c r="BH476" s="2"/>
      <c r="BI476" s="2"/>
      <c r="BJ476" s="2"/>
      <c r="BK476" s="2"/>
      <c r="BL476" s="2"/>
      <c r="BM476" s="2"/>
      <c r="BN476" s="2"/>
      <c r="BO476" s="2"/>
      <c r="BP476" s="2"/>
      <c r="BQ476" s="157"/>
      <c r="BR476" s="157"/>
      <c r="BS476" s="2"/>
      <c r="BT476" s="2"/>
      <c r="BU476" s="12"/>
      <c r="BV476" s="155"/>
      <c r="BW476" s="12"/>
      <c r="BX476" s="12"/>
      <c r="BY476" s="12"/>
      <c r="BZ476" s="12"/>
      <c r="CA476" s="12"/>
      <c r="CB476" s="12"/>
      <c r="CC476" s="12"/>
      <c r="CD476" s="12"/>
      <c r="CE476" s="12"/>
      <c r="CF476" s="12"/>
      <c r="CG476" s="12"/>
      <c r="CH476" s="12"/>
      <c r="CI476" s="12"/>
      <c r="CJ476" s="12"/>
      <c r="CK476" s="12"/>
      <c r="CL476" s="2"/>
      <c r="CM476" s="12"/>
      <c r="CN476" s="12"/>
      <c r="CO476" s="12"/>
      <c r="CP476" s="12"/>
      <c r="CQ476" s="46"/>
      <c r="CR476" s="46"/>
      <c r="CS476" s="46"/>
      <c r="CT476" s="2"/>
      <c r="CU476" s="119"/>
      <c r="CV476" s="119"/>
      <c r="CW476" s="2"/>
      <c r="CX476" s="2"/>
      <c r="CY476" s="120"/>
      <c r="CZ476" s="12"/>
      <c r="DA476" s="12"/>
      <c r="DB476" s="12"/>
      <c r="DC476" s="12"/>
      <c r="DD476" s="12"/>
      <c r="DE476" s="12"/>
      <c r="DF476" s="12"/>
      <c r="DG476" s="12"/>
      <c r="DH476" s="2"/>
      <c r="DI476" s="2"/>
      <c r="DJ476" s="48"/>
      <c r="DK476" s="48"/>
      <c r="DL476" s="48"/>
      <c r="DM476" s="13"/>
      <c r="DN476" s="13"/>
      <c r="DO476" s="12"/>
      <c r="DP476" s="12"/>
      <c r="DQ476" s="12"/>
      <c r="DR476" s="12"/>
      <c r="DS476" s="12"/>
      <c r="DT476" s="2"/>
      <c r="DU476" s="12"/>
      <c r="DV476" s="12"/>
      <c r="DW476" s="12"/>
      <c r="DX476" s="2"/>
      <c r="DY476" s="12"/>
      <c r="DZ476" s="12"/>
      <c r="EA476" s="12"/>
      <c r="EB476" s="12"/>
      <c r="EC476" s="12"/>
      <c r="ED476" s="12"/>
    </row>
    <row r="477" spans="1:134" ht="12.5" x14ac:dyDescent="0.25">
      <c r="A477" s="2"/>
      <c r="B477" s="2"/>
      <c r="C477" s="51"/>
      <c r="D477" s="2"/>
      <c r="E477" s="157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2"/>
      <c r="AZ477" s="2"/>
      <c r="BA477" s="2"/>
      <c r="BB477" s="2"/>
      <c r="BC477" s="2"/>
      <c r="BD477" s="2"/>
      <c r="BE477" s="2"/>
      <c r="BF477" s="12"/>
      <c r="BG477" s="12"/>
      <c r="BH477" s="2"/>
      <c r="BI477" s="2"/>
      <c r="BJ477" s="2"/>
      <c r="BK477" s="2"/>
      <c r="BL477" s="2"/>
      <c r="BM477" s="2"/>
      <c r="BN477" s="2"/>
      <c r="BO477" s="2"/>
      <c r="BP477" s="2"/>
      <c r="BQ477" s="157"/>
      <c r="BR477" s="157"/>
      <c r="BS477" s="2"/>
      <c r="BT477" s="2"/>
      <c r="BU477" s="12"/>
      <c r="BV477" s="155"/>
      <c r="BW477" s="12"/>
      <c r="BX477" s="12"/>
      <c r="BY477" s="12"/>
      <c r="BZ477" s="12"/>
      <c r="CA477" s="12"/>
      <c r="CB477" s="12"/>
      <c r="CC477" s="12"/>
      <c r="CD477" s="12"/>
      <c r="CE477" s="12"/>
      <c r="CF477" s="12"/>
      <c r="CG477" s="12"/>
      <c r="CH477" s="12"/>
      <c r="CI477" s="12"/>
      <c r="CJ477" s="12"/>
      <c r="CK477" s="12"/>
      <c r="CL477" s="2"/>
      <c r="CM477" s="12"/>
      <c r="CN477" s="12"/>
      <c r="CO477" s="12"/>
      <c r="CP477" s="12"/>
      <c r="CQ477" s="46"/>
      <c r="CR477" s="46"/>
      <c r="CS477" s="46"/>
      <c r="CT477" s="2"/>
      <c r="CU477" s="119"/>
      <c r="CV477" s="119"/>
      <c r="CW477" s="2"/>
      <c r="CX477" s="2"/>
      <c r="CY477" s="120"/>
      <c r="CZ477" s="12"/>
      <c r="DA477" s="12"/>
      <c r="DB477" s="12"/>
      <c r="DC477" s="12"/>
      <c r="DD477" s="12"/>
      <c r="DE477" s="12"/>
      <c r="DF477" s="12"/>
      <c r="DG477" s="12"/>
      <c r="DH477" s="2"/>
      <c r="DI477" s="2"/>
      <c r="DJ477" s="48"/>
      <c r="DK477" s="48"/>
      <c r="DL477" s="48"/>
      <c r="DM477" s="13"/>
      <c r="DN477" s="13"/>
      <c r="DO477" s="12"/>
      <c r="DP477" s="12"/>
      <c r="DQ477" s="12"/>
      <c r="DR477" s="12"/>
      <c r="DS477" s="12"/>
      <c r="DT477" s="2"/>
      <c r="DU477" s="12"/>
      <c r="DV477" s="12"/>
      <c r="DW477" s="12"/>
      <c r="DX477" s="2"/>
      <c r="DY477" s="12"/>
      <c r="DZ477" s="12"/>
      <c r="EA477" s="12"/>
      <c r="EB477" s="12"/>
      <c r="EC477" s="12"/>
      <c r="ED477" s="12"/>
    </row>
    <row r="478" spans="1:134" ht="12.5" x14ac:dyDescent="0.25">
      <c r="A478" s="2"/>
      <c r="B478" s="2"/>
      <c r="C478" s="51"/>
      <c r="D478" s="2"/>
      <c r="E478" s="157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2"/>
      <c r="AZ478" s="2"/>
      <c r="BA478" s="2"/>
      <c r="BB478" s="2"/>
      <c r="BC478" s="2"/>
      <c r="BD478" s="2"/>
      <c r="BE478" s="2"/>
      <c r="BF478" s="12"/>
      <c r="BG478" s="12"/>
      <c r="BH478" s="2"/>
      <c r="BI478" s="2"/>
      <c r="BJ478" s="2"/>
      <c r="BK478" s="2"/>
      <c r="BL478" s="2"/>
      <c r="BM478" s="2"/>
      <c r="BN478" s="2"/>
      <c r="BO478" s="2"/>
      <c r="BP478" s="2"/>
      <c r="BQ478" s="157"/>
      <c r="BR478" s="157"/>
      <c r="BS478" s="2"/>
      <c r="BT478" s="2"/>
      <c r="BU478" s="12"/>
      <c r="BV478" s="155"/>
      <c r="BW478" s="12"/>
      <c r="BX478" s="12"/>
      <c r="BY478" s="12"/>
      <c r="BZ478" s="12"/>
      <c r="CA478" s="12"/>
      <c r="CB478" s="12"/>
      <c r="CC478" s="12"/>
      <c r="CD478" s="12"/>
      <c r="CE478" s="12"/>
      <c r="CF478" s="12"/>
      <c r="CG478" s="12"/>
      <c r="CH478" s="12"/>
      <c r="CI478" s="12"/>
      <c r="CJ478" s="12"/>
      <c r="CK478" s="12"/>
      <c r="CL478" s="2"/>
      <c r="CM478" s="12"/>
      <c r="CN478" s="12"/>
      <c r="CO478" s="12"/>
      <c r="CP478" s="12"/>
      <c r="CQ478" s="46"/>
      <c r="CR478" s="46"/>
      <c r="CS478" s="46"/>
      <c r="CT478" s="2"/>
      <c r="CU478" s="119"/>
      <c r="CV478" s="119"/>
      <c r="CW478" s="2"/>
      <c r="CX478" s="2"/>
      <c r="CY478" s="120"/>
      <c r="CZ478" s="12"/>
      <c r="DA478" s="12"/>
      <c r="DB478" s="12"/>
      <c r="DC478" s="12"/>
      <c r="DD478" s="12"/>
      <c r="DE478" s="12"/>
      <c r="DF478" s="12"/>
      <c r="DG478" s="12"/>
      <c r="DH478" s="2"/>
      <c r="DI478" s="2"/>
      <c r="DJ478" s="48"/>
      <c r="DK478" s="48"/>
      <c r="DL478" s="48"/>
      <c r="DM478" s="13"/>
      <c r="DN478" s="13"/>
      <c r="DO478" s="12"/>
      <c r="DP478" s="12"/>
      <c r="DQ478" s="12"/>
      <c r="DR478" s="12"/>
      <c r="DS478" s="12"/>
      <c r="DT478" s="2"/>
      <c r="DU478" s="12"/>
      <c r="DV478" s="12"/>
      <c r="DW478" s="12"/>
      <c r="DX478" s="2"/>
      <c r="DY478" s="12"/>
      <c r="DZ478" s="12"/>
      <c r="EA478" s="12"/>
      <c r="EB478" s="12"/>
      <c r="EC478" s="12"/>
      <c r="ED478" s="12"/>
    </row>
    <row r="479" spans="1:134" ht="12.5" x14ac:dyDescent="0.25">
      <c r="A479" s="2"/>
      <c r="B479" s="2"/>
      <c r="C479" s="51"/>
      <c r="D479" s="163"/>
      <c r="E479" s="157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2"/>
      <c r="AZ479" s="2"/>
      <c r="BA479" s="2"/>
      <c r="BB479" s="2"/>
      <c r="BC479" s="2"/>
      <c r="BD479" s="2"/>
      <c r="BE479" s="2"/>
      <c r="BF479" s="12"/>
      <c r="BG479" s="12"/>
      <c r="BH479" s="2"/>
      <c r="BI479" s="2"/>
      <c r="BJ479" s="2"/>
      <c r="BK479" s="2"/>
      <c r="BL479" s="2"/>
      <c r="BM479" s="2"/>
      <c r="BN479" s="2"/>
      <c r="BO479" s="2"/>
      <c r="BP479" s="2"/>
      <c r="BQ479" s="157"/>
      <c r="BR479" s="157"/>
      <c r="BS479" s="2"/>
      <c r="BT479" s="2"/>
      <c r="BU479" s="12"/>
      <c r="BV479" s="155"/>
      <c r="BW479" s="12"/>
      <c r="BX479" s="12"/>
      <c r="BY479" s="12"/>
      <c r="BZ479" s="12"/>
      <c r="CA479" s="12"/>
      <c r="CB479" s="12"/>
      <c r="CC479" s="12"/>
      <c r="CD479" s="12"/>
      <c r="CE479" s="12"/>
      <c r="CF479" s="12"/>
      <c r="CG479" s="12"/>
      <c r="CH479" s="12"/>
      <c r="CI479" s="12"/>
      <c r="CJ479" s="12"/>
      <c r="CK479" s="12"/>
      <c r="CL479" s="2"/>
      <c r="CM479" s="12"/>
      <c r="CN479" s="12"/>
      <c r="CO479" s="12"/>
      <c r="CP479" s="12"/>
      <c r="CQ479" s="46"/>
      <c r="CR479" s="46"/>
      <c r="CS479" s="46"/>
      <c r="CT479" s="2"/>
      <c r="CU479" s="119"/>
      <c r="CV479" s="119"/>
      <c r="CW479" s="2"/>
      <c r="CX479" s="2"/>
      <c r="CY479" s="120"/>
      <c r="CZ479" s="12"/>
      <c r="DA479" s="12"/>
      <c r="DB479" s="12"/>
      <c r="DC479" s="12"/>
      <c r="DD479" s="12"/>
      <c r="DE479" s="12"/>
      <c r="DF479" s="12"/>
      <c r="DG479" s="12"/>
      <c r="DH479" s="2"/>
      <c r="DI479" s="2"/>
      <c r="DJ479" s="48"/>
      <c r="DK479" s="48"/>
      <c r="DL479" s="48"/>
      <c r="DM479" s="13"/>
      <c r="DN479" s="13"/>
      <c r="DO479" s="12"/>
      <c r="DP479" s="12"/>
      <c r="DQ479" s="12"/>
      <c r="DR479" s="12"/>
      <c r="DS479" s="12"/>
      <c r="DT479" s="2"/>
      <c r="DU479" s="12"/>
      <c r="DV479" s="12"/>
      <c r="DW479" s="12"/>
      <c r="DX479" s="2"/>
      <c r="DY479" s="12"/>
      <c r="DZ479" s="12"/>
      <c r="EA479" s="12"/>
      <c r="EB479" s="12"/>
      <c r="EC479" s="12"/>
      <c r="ED479" s="12"/>
    </row>
    <row r="480" spans="1:134" ht="12.5" x14ac:dyDescent="0.25">
      <c r="A480" s="2"/>
      <c r="B480" s="2"/>
      <c r="C480" s="51"/>
      <c r="D480" s="2"/>
      <c r="E480" s="157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2"/>
      <c r="AZ480" s="2"/>
      <c r="BA480" s="2"/>
      <c r="BB480" s="2"/>
      <c r="BC480" s="2"/>
      <c r="BD480" s="2"/>
      <c r="BE480" s="2"/>
      <c r="BF480" s="12"/>
      <c r="BG480" s="12"/>
      <c r="BH480" s="2"/>
      <c r="BI480" s="2"/>
      <c r="BJ480" s="2"/>
      <c r="BK480" s="2"/>
      <c r="BL480" s="2"/>
      <c r="BM480" s="2"/>
      <c r="BN480" s="2"/>
      <c r="BO480" s="2"/>
      <c r="BP480" s="2"/>
      <c r="BQ480" s="157"/>
      <c r="BR480" s="157"/>
      <c r="BS480" s="2"/>
      <c r="BT480" s="2"/>
      <c r="BU480" s="12"/>
      <c r="BV480" s="155"/>
      <c r="BW480" s="12"/>
      <c r="BX480" s="12"/>
      <c r="BY480" s="12"/>
      <c r="BZ480" s="12"/>
      <c r="CA480" s="12"/>
      <c r="CB480" s="12"/>
      <c r="CC480" s="12"/>
      <c r="CD480" s="12"/>
      <c r="CE480" s="12"/>
      <c r="CF480" s="12"/>
      <c r="CG480" s="12"/>
      <c r="CH480" s="12"/>
      <c r="CI480" s="12"/>
      <c r="CJ480" s="12"/>
      <c r="CK480" s="12"/>
      <c r="CL480" s="2"/>
      <c r="CM480" s="12"/>
      <c r="CN480" s="12"/>
      <c r="CO480" s="12"/>
      <c r="CP480" s="12"/>
      <c r="CQ480" s="46"/>
      <c r="CR480" s="46"/>
      <c r="CS480" s="46"/>
      <c r="CT480" s="2"/>
      <c r="CU480" s="119"/>
      <c r="CV480" s="119"/>
      <c r="CW480" s="2"/>
      <c r="CX480" s="2"/>
      <c r="CY480" s="120"/>
      <c r="CZ480" s="12"/>
      <c r="DA480" s="12"/>
      <c r="DB480" s="12"/>
      <c r="DC480" s="12"/>
      <c r="DD480" s="12"/>
      <c r="DE480" s="12"/>
      <c r="DF480" s="12"/>
      <c r="DG480" s="12"/>
      <c r="DH480" s="2"/>
      <c r="DI480" s="2"/>
      <c r="DJ480" s="48"/>
      <c r="DK480" s="48"/>
      <c r="DL480" s="48"/>
      <c r="DM480" s="13"/>
      <c r="DN480" s="13"/>
      <c r="DO480" s="12"/>
      <c r="DP480" s="12"/>
      <c r="DQ480" s="12"/>
      <c r="DR480" s="12"/>
      <c r="DS480" s="12"/>
      <c r="DT480" s="2"/>
      <c r="DU480" s="12"/>
      <c r="DV480" s="12"/>
      <c r="DW480" s="12"/>
      <c r="DX480" s="2"/>
      <c r="DY480" s="12"/>
      <c r="DZ480" s="12"/>
      <c r="EA480" s="12"/>
      <c r="EB480" s="12"/>
      <c r="EC480" s="12"/>
      <c r="ED480" s="12"/>
    </row>
    <row r="481" spans="1:134" ht="12.5" x14ac:dyDescent="0.25">
      <c r="A481" s="2"/>
      <c r="B481" s="2"/>
      <c r="C481" s="51"/>
      <c r="D481" s="2"/>
      <c r="E481" s="157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2"/>
      <c r="AZ481" s="2"/>
      <c r="BA481" s="2"/>
      <c r="BB481" s="2"/>
      <c r="BC481" s="2"/>
      <c r="BD481" s="2"/>
      <c r="BE481" s="2"/>
      <c r="BF481" s="12"/>
      <c r="BG481" s="12"/>
      <c r="BH481" s="2"/>
      <c r="BI481" s="2"/>
      <c r="BJ481" s="2"/>
      <c r="BK481" s="2"/>
      <c r="BL481" s="2"/>
      <c r="BM481" s="2"/>
      <c r="BN481" s="2"/>
      <c r="BO481" s="2"/>
      <c r="BP481" s="2"/>
      <c r="BQ481" s="157"/>
      <c r="BR481" s="157"/>
      <c r="BS481" s="2"/>
      <c r="BT481" s="2"/>
      <c r="BU481" s="12"/>
      <c r="BV481" s="155"/>
      <c r="BW481" s="12"/>
      <c r="BX481" s="12"/>
      <c r="BY481" s="12"/>
      <c r="BZ481" s="12"/>
      <c r="CA481" s="12"/>
      <c r="CB481" s="12"/>
      <c r="CC481" s="12"/>
      <c r="CD481" s="12"/>
      <c r="CE481" s="12"/>
      <c r="CF481" s="12"/>
      <c r="CG481" s="12"/>
      <c r="CH481" s="12"/>
      <c r="CI481" s="12"/>
      <c r="CJ481" s="12"/>
      <c r="CK481" s="12"/>
      <c r="CL481" s="2"/>
      <c r="CM481" s="12"/>
      <c r="CN481" s="12"/>
      <c r="CO481" s="12"/>
      <c r="CP481" s="12"/>
      <c r="CQ481" s="46"/>
      <c r="CR481" s="46"/>
      <c r="CS481" s="46"/>
      <c r="CT481" s="2"/>
      <c r="CU481" s="119"/>
      <c r="CV481" s="119"/>
      <c r="CW481" s="2"/>
      <c r="CX481" s="2"/>
      <c r="CY481" s="120"/>
      <c r="CZ481" s="12"/>
      <c r="DA481" s="12"/>
      <c r="DB481" s="12"/>
      <c r="DC481" s="12"/>
      <c r="DD481" s="12"/>
      <c r="DE481" s="12"/>
      <c r="DF481" s="12"/>
      <c r="DG481" s="12"/>
      <c r="DH481" s="2"/>
      <c r="DI481" s="2"/>
      <c r="DJ481" s="48"/>
      <c r="DK481" s="48"/>
      <c r="DL481" s="48"/>
      <c r="DM481" s="13"/>
      <c r="DN481" s="13"/>
      <c r="DO481" s="12"/>
      <c r="DP481" s="12"/>
      <c r="DQ481" s="12"/>
      <c r="DR481" s="12"/>
      <c r="DS481" s="12"/>
      <c r="DT481" s="2"/>
      <c r="DU481" s="12"/>
      <c r="DV481" s="12"/>
      <c r="DW481" s="12"/>
      <c r="DX481" s="2"/>
      <c r="DY481" s="12"/>
      <c r="DZ481" s="12"/>
      <c r="EA481" s="12"/>
      <c r="EB481" s="12"/>
      <c r="EC481" s="12"/>
      <c r="ED481" s="12"/>
    </row>
    <row r="482" spans="1:134" ht="12.5" x14ac:dyDescent="0.25">
      <c r="A482" s="2"/>
      <c r="B482" s="2"/>
      <c r="C482" s="51"/>
      <c r="D482" s="2"/>
      <c r="E482" s="157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2"/>
      <c r="AZ482" s="2"/>
      <c r="BA482" s="2"/>
      <c r="BB482" s="2"/>
      <c r="BC482" s="2"/>
      <c r="BD482" s="2"/>
      <c r="BE482" s="2"/>
      <c r="BF482" s="12"/>
      <c r="BG482" s="12"/>
      <c r="BH482" s="2"/>
      <c r="BI482" s="2"/>
      <c r="BJ482" s="2"/>
      <c r="BK482" s="2"/>
      <c r="BL482" s="2"/>
      <c r="BM482" s="2"/>
      <c r="BN482" s="2"/>
      <c r="BO482" s="2"/>
      <c r="BP482" s="2"/>
      <c r="BQ482" s="157"/>
      <c r="BR482" s="157"/>
      <c r="BS482" s="2"/>
      <c r="BT482" s="2"/>
      <c r="BU482" s="12"/>
      <c r="BV482" s="155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46"/>
      <c r="CR482" s="46"/>
      <c r="CS482" s="46"/>
      <c r="CT482" s="2"/>
      <c r="CU482" s="119"/>
      <c r="CV482" s="119"/>
      <c r="CW482" s="2"/>
      <c r="CX482" s="2"/>
      <c r="CY482" s="120"/>
      <c r="CZ482" s="12"/>
      <c r="DA482" s="12"/>
      <c r="DB482" s="12"/>
      <c r="DC482" s="12"/>
      <c r="DD482" s="12"/>
      <c r="DE482" s="12"/>
      <c r="DF482" s="12"/>
      <c r="DG482" s="12"/>
      <c r="DH482" s="2"/>
      <c r="DI482" s="2"/>
      <c r="DJ482" s="48"/>
      <c r="DK482" s="48"/>
      <c r="DL482" s="48"/>
      <c r="DM482" s="13"/>
      <c r="DN482" s="13"/>
      <c r="DO482" s="12"/>
      <c r="DP482" s="12"/>
      <c r="DQ482" s="12"/>
      <c r="DR482" s="12"/>
      <c r="DS482" s="12"/>
      <c r="DT482" s="2"/>
      <c r="DU482" s="12"/>
      <c r="DV482" s="12"/>
      <c r="DW482" s="12"/>
      <c r="DX482" s="2"/>
      <c r="DY482" s="12"/>
      <c r="DZ482" s="12"/>
      <c r="EA482" s="12"/>
      <c r="EB482" s="12"/>
      <c r="EC482" s="12"/>
      <c r="ED482" s="12"/>
    </row>
    <row r="483" spans="1:134" ht="12.5" x14ac:dyDescent="0.25">
      <c r="A483" s="2"/>
      <c r="B483" s="2"/>
      <c r="C483" s="51"/>
      <c r="D483" s="2"/>
      <c r="E483" s="157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2"/>
      <c r="AZ483" s="2"/>
      <c r="BA483" s="2"/>
      <c r="BB483" s="2"/>
      <c r="BC483" s="2"/>
      <c r="BD483" s="2"/>
      <c r="BE483" s="2"/>
      <c r="BF483" s="12"/>
      <c r="BG483" s="12"/>
      <c r="BH483" s="2"/>
      <c r="BI483" s="2"/>
      <c r="BJ483" s="2"/>
      <c r="BK483" s="2"/>
      <c r="BL483" s="2"/>
      <c r="BM483" s="2"/>
      <c r="BN483" s="2"/>
      <c r="BO483" s="2"/>
      <c r="BP483" s="2"/>
      <c r="BQ483" s="157"/>
      <c r="BR483" s="157"/>
      <c r="BS483" s="2"/>
      <c r="BT483" s="2"/>
      <c r="BU483" s="12"/>
      <c r="BV483" s="155"/>
      <c r="BW483" s="12"/>
      <c r="BX483" s="12"/>
      <c r="BY483" s="12"/>
      <c r="BZ483" s="12"/>
      <c r="CA483" s="12"/>
      <c r="CB483" s="12"/>
      <c r="CC483" s="12"/>
      <c r="CD483" s="12"/>
      <c r="CE483" s="12"/>
      <c r="CF483" s="12"/>
      <c r="CG483" s="12"/>
      <c r="CH483" s="12"/>
      <c r="CI483" s="12"/>
      <c r="CJ483" s="12"/>
      <c r="CK483" s="12"/>
      <c r="CL483" s="2"/>
      <c r="CM483" s="12"/>
      <c r="CN483" s="12"/>
      <c r="CO483" s="12"/>
      <c r="CP483" s="12"/>
      <c r="CQ483" s="46"/>
      <c r="CR483" s="46"/>
      <c r="CS483" s="46"/>
      <c r="CT483" s="2"/>
      <c r="CU483" s="119"/>
      <c r="CV483" s="119"/>
      <c r="CW483" s="2"/>
      <c r="CX483" s="2"/>
      <c r="CY483" s="120"/>
      <c r="CZ483" s="12"/>
      <c r="DA483" s="12"/>
      <c r="DB483" s="12"/>
      <c r="DC483" s="12"/>
      <c r="DD483" s="12"/>
      <c r="DE483" s="12"/>
      <c r="DF483" s="12"/>
      <c r="DG483" s="12"/>
      <c r="DH483" s="2"/>
      <c r="DI483" s="2"/>
      <c r="DJ483" s="48"/>
      <c r="DK483" s="48"/>
      <c r="DL483" s="48"/>
      <c r="DM483" s="13"/>
      <c r="DN483" s="13"/>
      <c r="DO483" s="12"/>
      <c r="DP483" s="12"/>
      <c r="DQ483" s="12"/>
      <c r="DR483" s="12"/>
      <c r="DS483" s="12"/>
      <c r="DT483" s="2"/>
      <c r="DU483" s="12"/>
      <c r="DV483" s="12"/>
      <c r="DW483" s="12"/>
      <c r="DX483" s="2"/>
      <c r="DY483" s="12"/>
      <c r="DZ483" s="12"/>
      <c r="EA483" s="12"/>
      <c r="EB483" s="12"/>
      <c r="EC483" s="12"/>
      <c r="ED483" s="12"/>
    </row>
    <row r="484" spans="1:134" ht="12.5" x14ac:dyDescent="0.25">
      <c r="A484" s="2"/>
      <c r="B484" s="2"/>
      <c r="C484" s="51"/>
      <c r="D484" s="2"/>
      <c r="E484" s="157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2"/>
      <c r="AZ484" s="2"/>
      <c r="BA484" s="2"/>
      <c r="BB484" s="2"/>
      <c r="BC484" s="2"/>
      <c r="BD484" s="2"/>
      <c r="BE484" s="2"/>
      <c r="BF484" s="12"/>
      <c r="BG484" s="12"/>
      <c r="BH484" s="2"/>
      <c r="BI484" s="2"/>
      <c r="BJ484" s="2"/>
      <c r="BK484" s="2"/>
      <c r="BL484" s="2"/>
      <c r="BM484" s="2"/>
      <c r="BN484" s="2"/>
      <c r="BO484" s="2"/>
      <c r="BP484" s="2"/>
      <c r="BQ484" s="157"/>
      <c r="BR484" s="157"/>
      <c r="BS484" s="2"/>
      <c r="BT484" s="2"/>
      <c r="BU484" s="12"/>
      <c r="BV484" s="155"/>
      <c r="BW484" s="12"/>
      <c r="BX484" s="12"/>
      <c r="BY484" s="12"/>
      <c r="BZ484" s="12"/>
      <c r="CA484" s="12"/>
      <c r="CB484" s="12"/>
      <c r="CC484" s="12"/>
      <c r="CD484" s="12"/>
      <c r="CE484" s="12"/>
      <c r="CF484" s="12"/>
      <c r="CG484" s="12"/>
      <c r="CH484" s="12"/>
      <c r="CI484" s="12"/>
      <c r="CJ484" s="12"/>
      <c r="CK484" s="12"/>
      <c r="CL484" s="2"/>
      <c r="CM484" s="12"/>
      <c r="CN484" s="12"/>
      <c r="CO484" s="12"/>
      <c r="CP484" s="12"/>
      <c r="CQ484" s="46"/>
      <c r="CR484" s="46"/>
      <c r="CS484" s="46"/>
      <c r="CT484" s="2"/>
      <c r="CU484" s="119"/>
      <c r="CV484" s="119"/>
      <c r="CW484" s="2"/>
      <c r="CX484" s="2"/>
      <c r="CY484" s="120"/>
      <c r="CZ484" s="12"/>
      <c r="DA484" s="12"/>
      <c r="DB484" s="12"/>
      <c r="DC484" s="12"/>
      <c r="DD484" s="12"/>
      <c r="DE484" s="12"/>
      <c r="DF484" s="12"/>
      <c r="DG484" s="12"/>
      <c r="DH484" s="2"/>
      <c r="DI484" s="2"/>
      <c r="DJ484" s="48"/>
      <c r="DK484" s="48"/>
      <c r="DL484" s="48"/>
      <c r="DM484" s="13"/>
      <c r="DN484" s="13"/>
      <c r="DO484" s="12"/>
      <c r="DP484" s="12"/>
      <c r="DQ484" s="12"/>
      <c r="DR484" s="12"/>
      <c r="DS484" s="12"/>
      <c r="DT484" s="2"/>
      <c r="DU484" s="12"/>
      <c r="DV484" s="12"/>
      <c r="DW484" s="12"/>
      <c r="DX484" s="2"/>
      <c r="DY484" s="12"/>
      <c r="DZ484" s="12"/>
      <c r="EA484" s="12"/>
      <c r="EB484" s="12"/>
      <c r="EC484" s="12"/>
      <c r="ED484" s="12"/>
    </row>
    <row r="485" spans="1:134" ht="12.5" x14ac:dyDescent="0.25">
      <c r="A485" s="2"/>
      <c r="B485" s="2"/>
      <c r="C485" s="51"/>
      <c r="D485" s="2"/>
      <c r="E485" s="157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2"/>
      <c r="AZ485" s="2"/>
      <c r="BA485" s="2"/>
      <c r="BB485" s="2"/>
      <c r="BC485" s="2"/>
      <c r="BD485" s="2"/>
      <c r="BE485" s="2"/>
      <c r="BF485" s="12"/>
      <c r="BG485" s="12"/>
      <c r="BH485" s="2"/>
      <c r="BI485" s="2"/>
      <c r="BJ485" s="2"/>
      <c r="BK485" s="2"/>
      <c r="BL485" s="2"/>
      <c r="BM485" s="2"/>
      <c r="BN485" s="2"/>
      <c r="BO485" s="2"/>
      <c r="BP485" s="2"/>
      <c r="BQ485" s="157"/>
      <c r="BR485" s="157"/>
      <c r="BS485" s="2"/>
      <c r="BT485" s="2"/>
      <c r="BU485" s="12"/>
      <c r="BV485" s="155"/>
      <c r="BW485" s="12"/>
      <c r="BX485" s="12"/>
      <c r="BY485" s="12"/>
      <c r="BZ485" s="12"/>
      <c r="CA485" s="12"/>
      <c r="CB485" s="12"/>
      <c r="CC485" s="12"/>
      <c r="CD485" s="12"/>
      <c r="CE485" s="12"/>
      <c r="CF485" s="12"/>
      <c r="CG485" s="12"/>
      <c r="CH485" s="12"/>
      <c r="CI485" s="12"/>
      <c r="CJ485" s="12"/>
      <c r="CK485" s="12"/>
      <c r="CL485" s="2"/>
      <c r="CM485" s="12"/>
      <c r="CN485" s="12"/>
      <c r="CO485" s="12"/>
      <c r="CP485" s="12"/>
      <c r="CQ485" s="46"/>
      <c r="CR485" s="46"/>
      <c r="CS485" s="46"/>
      <c r="CT485" s="2"/>
      <c r="CU485" s="119"/>
      <c r="CV485" s="119"/>
      <c r="CW485" s="2"/>
      <c r="CX485" s="2"/>
      <c r="CY485" s="120"/>
      <c r="CZ485" s="12"/>
      <c r="DA485" s="12"/>
      <c r="DB485" s="12"/>
      <c r="DC485" s="12"/>
      <c r="DD485" s="12"/>
      <c r="DE485" s="12"/>
      <c r="DF485" s="12"/>
      <c r="DG485" s="12"/>
      <c r="DH485" s="2"/>
      <c r="DI485" s="2"/>
      <c r="DJ485" s="48"/>
      <c r="DK485" s="48"/>
      <c r="DL485" s="48"/>
      <c r="DM485" s="13"/>
      <c r="DN485" s="13"/>
      <c r="DO485" s="12"/>
      <c r="DP485" s="12"/>
      <c r="DQ485" s="12"/>
      <c r="DR485" s="12"/>
      <c r="DS485" s="12"/>
      <c r="DT485" s="2"/>
      <c r="DU485" s="12"/>
      <c r="DV485" s="12"/>
      <c r="DW485" s="12"/>
      <c r="DX485" s="2"/>
      <c r="DY485" s="12"/>
      <c r="DZ485" s="12"/>
      <c r="EA485" s="12"/>
      <c r="EB485" s="12"/>
      <c r="EC485" s="12"/>
      <c r="ED485" s="12"/>
    </row>
    <row r="486" spans="1:134" ht="12.5" x14ac:dyDescent="0.25">
      <c r="A486" s="2"/>
      <c r="B486" s="2"/>
      <c r="C486" s="51"/>
      <c r="D486" s="2"/>
      <c r="E486" s="157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2"/>
      <c r="AZ486" s="2"/>
      <c r="BA486" s="2"/>
      <c r="BB486" s="2"/>
      <c r="BC486" s="2"/>
      <c r="BD486" s="2"/>
      <c r="BE486" s="2"/>
      <c r="BF486" s="12"/>
      <c r="BG486" s="12"/>
      <c r="BH486" s="2"/>
      <c r="BI486" s="2"/>
      <c r="BJ486" s="2"/>
      <c r="BK486" s="2"/>
      <c r="BL486" s="2"/>
      <c r="BM486" s="2"/>
      <c r="BN486" s="2"/>
      <c r="BO486" s="2"/>
      <c r="BP486" s="2"/>
      <c r="BQ486" s="157"/>
      <c r="BR486" s="157"/>
      <c r="BS486" s="2"/>
      <c r="BT486" s="2"/>
      <c r="BU486" s="12"/>
      <c r="BV486" s="155"/>
      <c r="BW486" s="12"/>
      <c r="BX486" s="12"/>
      <c r="BY486" s="12"/>
      <c r="BZ486" s="12"/>
      <c r="CA486" s="12"/>
      <c r="CB486" s="12"/>
      <c r="CC486" s="12"/>
      <c r="CD486" s="12"/>
      <c r="CE486" s="12"/>
      <c r="CF486" s="12"/>
      <c r="CG486" s="12"/>
      <c r="CH486" s="12"/>
      <c r="CI486" s="12"/>
      <c r="CJ486" s="12"/>
      <c r="CK486" s="12"/>
      <c r="CL486" s="2"/>
      <c r="CM486" s="12"/>
      <c r="CN486" s="12"/>
      <c r="CO486" s="12"/>
      <c r="CP486" s="12"/>
      <c r="CQ486" s="46"/>
      <c r="CR486" s="46"/>
      <c r="CS486" s="46"/>
      <c r="CT486" s="2"/>
      <c r="CU486" s="119"/>
      <c r="CV486" s="119"/>
      <c r="CW486" s="2"/>
      <c r="CX486" s="2"/>
      <c r="CY486" s="120"/>
      <c r="CZ486" s="12"/>
      <c r="DA486" s="12"/>
      <c r="DB486" s="12"/>
      <c r="DC486" s="12"/>
      <c r="DD486" s="12"/>
      <c r="DE486" s="12"/>
      <c r="DF486" s="12"/>
      <c r="DG486" s="12"/>
      <c r="DH486" s="2"/>
      <c r="DI486" s="2"/>
      <c r="DJ486" s="48"/>
      <c r="DK486" s="48"/>
      <c r="DL486" s="48"/>
      <c r="DM486" s="13"/>
      <c r="DN486" s="13"/>
      <c r="DO486" s="12"/>
      <c r="DP486" s="12"/>
      <c r="DQ486" s="12"/>
      <c r="DR486" s="12"/>
      <c r="DS486" s="12"/>
      <c r="DT486" s="2"/>
      <c r="DU486" s="12"/>
      <c r="DV486" s="12"/>
      <c r="DW486" s="12"/>
      <c r="DX486" s="2"/>
      <c r="DY486" s="12"/>
      <c r="DZ486" s="12"/>
      <c r="EA486" s="12"/>
      <c r="EB486" s="12"/>
      <c r="EC486" s="12"/>
      <c r="ED486" s="12"/>
    </row>
    <row r="487" spans="1:134" ht="12.5" x14ac:dyDescent="0.25">
      <c r="A487" s="2"/>
      <c r="B487" s="2"/>
      <c r="C487" s="51"/>
      <c r="D487" s="2"/>
      <c r="E487" s="157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2"/>
      <c r="AZ487" s="2"/>
      <c r="BA487" s="2"/>
      <c r="BB487" s="2"/>
      <c r="BC487" s="2"/>
      <c r="BD487" s="2"/>
      <c r="BE487" s="2"/>
      <c r="BF487" s="12"/>
      <c r="BG487" s="12"/>
      <c r="BH487" s="2"/>
      <c r="BI487" s="2"/>
      <c r="BJ487" s="2"/>
      <c r="BK487" s="2"/>
      <c r="BL487" s="2"/>
      <c r="BM487" s="2"/>
      <c r="BN487" s="2"/>
      <c r="BO487" s="2"/>
      <c r="BP487" s="2"/>
      <c r="BQ487" s="157"/>
      <c r="BR487" s="157"/>
      <c r="BS487" s="2"/>
      <c r="BT487" s="2"/>
      <c r="BU487" s="12"/>
      <c r="BV487" s="155"/>
      <c r="BW487" s="12"/>
      <c r="BX487" s="12"/>
      <c r="BY487" s="12"/>
      <c r="BZ487" s="12"/>
      <c r="CA487" s="12"/>
      <c r="CB487" s="12"/>
      <c r="CC487" s="12"/>
      <c r="CD487" s="12"/>
      <c r="CE487" s="12"/>
      <c r="CF487" s="12"/>
      <c r="CG487" s="12"/>
      <c r="CH487" s="12"/>
      <c r="CI487" s="12"/>
      <c r="CJ487" s="12"/>
      <c r="CK487" s="12"/>
      <c r="CL487" s="2"/>
      <c r="CM487" s="12"/>
      <c r="CN487" s="12"/>
      <c r="CO487" s="12"/>
      <c r="CP487" s="12"/>
      <c r="CQ487" s="46"/>
      <c r="CR487" s="46"/>
      <c r="CS487" s="46"/>
      <c r="CT487" s="2"/>
      <c r="CU487" s="119"/>
      <c r="CV487" s="119"/>
      <c r="CW487" s="2"/>
      <c r="CX487" s="2"/>
      <c r="CY487" s="120"/>
      <c r="CZ487" s="12"/>
      <c r="DA487" s="12"/>
      <c r="DB487" s="12"/>
      <c r="DC487" s="12"/>
      <c r="DD487" s="12"/>
      <c r="DE487" s="12"/>
      <c r="DF487" s="12"/>
      <c r="DG487" s="12"/>
      <c r="DH487" s="2"/>
      <c r="DI487" s="2"/>
      <c r="DJ487" s="48"/>
      <c r="DK487" s="48"/>
      <c r="DL487" s="48"/>
      <c r="DM487" s="13"/>
      <c r="DN487" s="13"/>
      <c r="DO487" s="12"/>
      <c r="DP487" s="12"/>
      <c r="DQ487" s="12"/>
      <c r="DR487" s="12"/>
      <c r="DS487" s="12"/>
      <c r="DT487" s="2"/>
      <c r="DU487" s="12"/>
      <c r="DV487" s="12"/>
      <c r="DW487" s="12"/>
      <c r="DX487" s="2"/>
      <c r="DY487" s="12"/>
      <c r="DZ487" s="12"/>
      <c r="EA487" s="12"/>
      <c r="EB487" s="12"/>
      <c r="EC487" s="12"/>
      <c r="ED487" s="12"/>
    </row>
    <row r="488" spans="1:134" ht="12.5" x14ac:dyDescent="0.25">
      <c r="A488" s="2"/>
      <c r="B488" s="2"/>
      <c r="C488" s="51"/>
      <c r="D488" s="2"/>
      <c r="E488" s="157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2"/>
      <c r="AZ488" s="2"/>
      <c r="BA488" s="2"/>
      <c r="BB488" s="2"/>
      <c r="BC488" s="2"/>
      <c r="BD488" s="2"/>
      <c r="BE488" s="2"/>
      <c r="BF488" s="12"/>
      <c r="BG488" s="12"/>
      <c r="BH488" s="2"/>
      <c r="BI488" s="2"/>
      <c r="BJ488" s="2"/>
      <c r="BK488" s="2"/>
      <c r="BL488" s="2"/>
      <c r="BM488" s="2"/>
      <c r="BN488" s="2"/>
      <c r="BO488" s="2"/>
      <c r="BP488" s="2"/>
      <c r="BQ488" s="157"/>
      <c r="BR488" s="157"/>
      <c r="BS488" s="2"/>
      <c r="BT488" s="2"/>
      <c r="BU488" s="12"/>
      <c r="BV488" s="155"/>
      <c r="BW488" s="12"/>
      <c r="BX488" s="12"/>
      <c r="BY488" s="12"/>
      <c r="BZ488" s="12"/>
      <c r="CA488" s="12"/>
      <c r="CB488" s="12"/>
      <c r="CC488" s="12"/>
      <c r="CD488" s="12"/>
      <c r="CE488" s="12"/>
      <c r="CF488" s="12"/>
      <c r="CG488" s="12"/>
      <c r="CH488" s="12"/>
      <c r="CI488" s="12"/>
      <c r="CJ488" s="12"/>
      <c r="CK488" s="12"/>
      <c r="CL488" s="2"/>
      <c r="CM488" s="12"/>
      <c r="CN488" s="12"/>
      <c r="CO488" s="12"/>
      <c r="CP488" s="12"/>
      <c r="CQ488" s="46"/>
      <c r="CR488" s="46"/>
      <c r="CS488" s="46"/>
      <c r="CT488" s="2"/>
      <c r="CU488" s="119"/>
      <c r="CV488" s="119"/>
      <c r="CW488" s="2"/>
      <c r="CX488" s="2"/>
      <c r="CY488" s="120"/>
      <c r="CZ488" s="12"/>
      <c r="DA488" s="12"/>
      <c r="DB488" s="12"/>
      <c r="DC488" s="12"/>
      <c r="DD488" s="12"/>
      <c r="DE488" s="12"/>
      <c r="DF488" s="12"/>
      <c r="DG488" s="12"/>
      <c r="DH488" s="2"/>
      <c r="DI488" s="2"/>
      <c r="DJ488" s="48"/>
      <c r="DK488" s="48"/>
      <c r="DL488" s="48"/>
      <c r="DM488" s="13"/>
      <c r="DN488" s="13"/>
      <c r="DO488" s="12"/>
      <c r="DP488" s="12"/>
      <c r="DQ488" s="12"/>
      <c r="DR488" s="12"/>
      <c r="DS488" s="12"/>
      <c r="DT488" s="2"/>
      <c r="DU488" s="12"/>
      <c r="DV488" s="12"/>
      <c r="DW488" s="12"/>
      <c r="DX488" s="2"/>
      <c r="DY488" s="12"/>
      <c r="DZ488" s="12"/>
      <c r="EA488" s="12"/>
      <c r="EB488" s="12"/>
      <c r="EC488" s="12"/>
      <c r="ED488" s="12"/>
    </row>
    <row r="489" spans="1:134" ht="12.5" x14ac:dyDescent="0.25">
      <c r="A489" s="2"/>
      <c r="B489" s="2"/>
      <c r="C489" s="51"/>
      <c r="D489" s="2"/>
      <c r="E489" s="157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2"/>
      <c r="AZ489" s="2"/>
      <c r="BA489" s="2"/>
      <c r="BB489" s="2"/>
      <c r="BC489" s="2"/>
      <c r="BD489" s="2"/>
      <c r="BE489" s="2"/>
      <c r="BF489" s="12"/>
      <c r="BG489" s="12"/>
      <c r="BH489" s="2"/>
      <c r="BI489" s="2"/>
      <c r="BJ489" s="2"/>
      <c r="BK489" s="2"/>
      <c r="BL489" s="2"/>
      <c r="BM489" s="2"/>
      <c r="BN489" s="2"/>
      <c r="BO489" s="2"/>
      <c r="BP489" s="2"/>
      <c r="BQ489" s="157"/>
      <c r="BR489" s="157"/>
      <c r="BS489" s="2"/>
      <c r="BT489" s="2"/>
      <c r="BU489" s="12"/>
      <c r="BV489" s="155"/>
      <c r="BW489" s="12"/>
      <c r="BX489" s="12"/>
      <c r="BY489" s="12"/>
      <c r="BZ489" s="12"/>
      <c r="CA489" s="12"/>
      <c r="CB489" s="12"/>
      <c r="CC489" s="12"/>
      <c r="CD489" s="12"/>
      <c r="CE489" s="12"/>
      <c r="CF489" s="12"/>
      <c r="CG489" s="12"/>
      <c r="CH489" s="12"/>
      <c r="CI489" s="12"/>
      <c r="CJ489" s="12"/>
      <c r="CK489" s="12"/>
      <c r="CL489" s="2"/>
      <c r="CM489" s="12"/>
      <c r="CN489" s="12"/>
      <c r="CO489" s="12"/>
      <c r="CP489" s="12"/>
      <c r="CQ489" s="46"/>
      <c r="CR489" s="46"/>
      <c r="CS489" s="46"/>
      <c r="CT489" s="2"/>
      <c r="CU489" s="119"/>
      <c r="CV489" s="119"/>
      <c r="CW489" s="2"/>
      <c r="CX489" s="2"/>
      <c r="CY489" s="120"/>
      <c r="CZ489" s="12"/>
      <c r="DA489" s="12"/>
      <c r="DB489" s="12"/>
      <c r="DC489" s="12"/>
      <c r="DD489" s="12"/>
      <c r="DE489" s="12"/>
      <c r="DF489" s="12"/>
      <c r="DG489" s="12"/>
      <c r="DH489" s="2"/>
      <c r="DI489" s="2"/>
      <c r="DJ489" s="48"/>
      <c r="DK489" s="48"/>
      <c r="DL489" s="48"/>
      <c r="DM489" s="13"/>
      <c r="DN489" s="13"/>
      <c r="DO489" s="12"/>
      <c r="DP489" s="12"/>
      <c r="DQ489" s="12"/>
      <c r="DR489" s="12"/>
      <c r="DS489" s="12"/>
      <c r="DT489" s="2"/>
      <c r="DU489" s="12"/>
      <c r="DV489" s="12"/>
      <c r="DW489" s="12"/>
      <c r="DX489" s="2"/>
      <c r="DY489" s="12"/>
      <c r="DZ489" s="12"/>
      <c r="EA489" s="12"/>
      <c r="EB489" s="12"/>
      <c r="EC489" s="12"/>
      <c r="ED489" s="12"/>
    </row>
    <row r="490" spans="1:134" ht="12.5" x14ac:dyDescent="0.25">
      <c r="A490" s="2"/>
      <c r="B490" s="2"/>
      <c r="C490" s="51"/>
      <c r="D490" s="2"/>
      <c r="E490" s="157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2"/>
      <c r="AZ490" s="2"/>
      <c r="BA490" s="2"/>
      <c r="BB490" s="2"/>
      <c r="BC490" s="2"/>
      <c r="BD490" s="2"/>
      <c r="BE490" s="2"/>
      <c r="BF490" s="12"/>
      <c r="BG490" s="12"/>
      <c r="BH490" s="2"/>
      <c r="BI490" s="2"/>
      <c r="BJ490" s="2"/>
      <c r="BK490" s="2"/>
      <c r="BL490" s="2"/>
      <c r="BM490" s="2"/>
      <c r="BN490" s="2"/>
      <c r="BO490" s="2"/>
      <c r="BP490" s="2"/>
      <c r="BQ490" s="157"/>
      <c r="BR490" s="157"/>
      <c r="BS490" s="2"/>
      <c r="BT490" s="2"/>
      <c r="BU490" s="12"/>
      <c r="BV490" s="155"/>
      <c r="BW490" s="12"/>
      <c r="BX490" s="12"/>
      <c r="BY490" s="12"/>
      <c r="BZ490" s="12"/>
      <c r="CA490" s="12"/>
      <c r="CB490" s="12"/>
      <c r="CC490" s="12"/>
      <c r="CD490" s="12"/>
      <c r="CE490" s="12"/>
      <c r="CF490" s="12"/>
      <c r="CG490" s="12"/>
      <c r="CH490" s="12"/>
      <c r="CI490" s="12"/>
      <c r="CJ490" s="12"/>
      <c r="CK490" s="12"/>
      <c r="CL490" s="2"/>
      <c r="CM490" s="12"/>
      <c r="CN490" s="12"/>
      <c r="CO490" s="12"/>
      <c r="CP490" s="12"/>
      <c r="CQ490" s="46"/>
      <c r="CR490" s="46"/>
      <c r="CS490" s="46"/>
      <c r="CT490" s="2"/>
      <c r="CU490" s="119"/>
      <c r="CV490" s="119"/>
      <c r="CW490" s="2"/>
      <c r="CX490" s="2"/>
      <c r="CY490" s="120"/>
      <c r="CZ490" s="12"/>
      <c r="DA490" s="12"/>
      <c r="DB490" s="12"/>
      <c r="DC490" s="12"/>
      <c r="DD490" s="12"/>
      <c r="DE490" s="12"/>
      <c r="DF490" s="12"/>
      <c r="DG490" s="12"/>
      <c r="DH490" s="2"/>
      <c r="DI490" s="2"/>
      <c r="DJ490" s="48"/>
      <c r="DK490" s="48"/>
      <c r="DL490" s="48"/>
      <c r="DM490" s="13"/>
      <c r="DN490" s="13"/>
      <c r="DO490" s="12"/>
      <c r="DP490" s="12"/>
      <c r="DQ490" s="12"/>
      <c r="DR490" s="12"/>
      <c r="DS490" s="12"/>
      <c r="DT490" s="2"/>
      <c r="DU490" s="12"/>
      <c r="DV490" s="12"/>
      <c r="DW490" s="12"/>
      <c r="DX490" s="2"/>
      <c r="DY490" s="12"/>
      <c r="DZ490" s="12"/>
      <c r="EA490" s="12"/>
      <c r="EB490" s="12"/>
      <c r="EC490" s="12"/>
      <c r="ED490" s="12"/>
    </row>
    <row r="491" spans="1:134" ht="12.5" x14ac:dyDescent="0.25">
      <c r="A491" s="2"/>
      <c r="B491" s="2"/>
      <c r="C491" s="51"/>
      <c r="D491" s="2"/>
      <c r="E491" s="157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2"/>
      <c r="AZ491" s="2"/>
      <c r="BA491" s="2"/>
      <c r="BB491" s="2"/>
      <c r="BC491" s="2"/>
      <c r="BD491" s="2"/>
      <c r="BE491" s="2"/>
      <c r="BF491" s="12"/>
      <c r="BG491" s="12"/>
      <c r="BH491" s="2"/>
      <c r="BI491" s="2"/>
      <c r="BJ491" s="2"/>
      <c r="BK491" s="2"/>
      <c r="BL491" s="2"/>
      <c r="BM491" s="2"/>
      <c r="BN491" s="2"/>
      <c r="BO491" s="2"/>
      <c r="BP491" s="2"/>
      <c r="BQ491" s="157"/>
      <c r="BR491" s="157"/>
      <c r="BS491" s="2"/>
      <c r="BT491" s="2"/>
      <c r="BU491" s="12"/>
      <c r="BV491" s="155"/>
      <c r="BW491" s="12"/>
      <c r="BX491" s="12"/>
      <c r="BY491" s="12"/>
      <c r="BZ491" s="12"/>
      <c r="CA491" s="12"/>
      <c r="CB491" s="12"/>
      <c r="CC491" s="12"/>
      <c r="CD491" s="12"/>
      <c r="CE491" s="12"/>
      <c r="CF491" s="12"/>
      <c r="CG491" s="12"/>
      <c r="CH491" s="12"/>
      <c r="CI491" s="12"/>
      <c r="CJ491" s="12"/>
      <c r="CK491" s="12"/>
      <c r="CL491" s="2"/>
      <c r="CM491" s="12"/>
      <c r="CN491" s="12"/>
      <c r="CO491" s="12"/>
      <c r="CP491" s="12"/>
      <c r="CQ491" s="46"/>
      <c r="CR491" s="46"/>
      <c r="CS491" s="46"/>
      <c r="CT491" s="2"/>
      <c r="CU491" s="119"/>
      <c r="CV491" s="119"/>
      <c r="CW491" s="2"/>
      <c r="CX491" s="2"/>
      <c r="CY491" s="120"/>
      <c r="CZ491" s="12"/>
      <c r="DA491" s="12"/>
      <c r="DB491" s="12"/>
      <c r="DC491" s="12"/>
      <c r="DD491" s="12"/>
      <c r="DE491" s="12"/>
      <c r="DF491" s="12"/>
      <c r="DG491" s="12"/>
      <c r="DH491" s="2"/>
      <c r="DI491" s="2"/>
      <c r="DJ491" s="48"/>
      <c r="DK491" s="48"/>
      <c r="DL491" s="48"/>
      <c r="DM491" s="13"/>
      <c r="DN491" s="13"/>
      <c r="DO491" s="12"/>
      <c r="DP491" s="12"/>
      <c r="DQ491" s="12"/>
      <c r="DR491" s="12"/>
      <c r="DS491" s="12"/>
      <c r="DT491" s="2"/>
      <c r="DU491" s="12"/>
      <c r="DV491" s="12"/>
      <c r="DW491" s="12"/>
      <c r="DX491" s="2"/>
      <c r="DY491" s="12"/>
      <c r="DZ491" s="12"/>
      <c r="EA491" s="12"/>
      <c r="EB491" s="12"/>
      <c r="EC491" s="12"/>
      <c r="ED491" s="12"/>
    </row>
    <row r="492" spans="1:134" ht="12.5" x14ac:dyDescent="0.25">
      <c r="A492" s="2"/>
      <c r="B492" s="2"/>
      <c r="C492" s="51"/>
      <c r="D492" s="2"/>
      <c r="E492" s="157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2"/>
      <c r="AZ492" s="2"/>
      <c r="BA492" s="2"/>
      <c r="BB492" s="2"/>
      <c r="BC492" s="2"/>
      <c r="BD492" s="2"/>
      <c r="BE492" s="2"/>
      <c r="BF492" s="12"/>
      <c r="BG492" s="12"/>
      <c r="BH492" s="2"/>
      <c r="BI492" s="2"/>
      <c r="BJ492" s="2"/>
      <c r="BK492" s="2"/>
      <c r="BL492" s="2"/>
      <c r="BM492" s="2"/>
      <c r="BN492" s="2"/>
      <c r="BO492" s="2"/>
      <c r="BP492" s="2"/>
      <c r="BQ492" s="157"/>
      <c r="BR492" s="157"/>
      <c r="BS492" s="2"/>
      <c r="BT492" s="2"/>
      <c r="BU492" s="12"/>
      <c r="BV492" s="155"/>
      <c r="BW492" s="12"/>
      <c r="BX492" s="12"/>
      <c r="BY492" s="12"/>
      <c r="BZ492" s="12"/>
      <c r="CA492" s="12"/>
      <c r="CB492" s="12"/>
      <c r="CC492" s="12"/>
      <c r="CD492" s="12"/>
      <c r="CE492" s="12"/>
      <c r="CF492" s="12"/>
      <c r="CG492" s="12"/>
      <c r="CH492" s="12"/>
      <c r="CI492" s="12"/>
      <c r="CJ492" s="12"/>
      <c r="CK492" s="12"/>
      <c r="CL492" s="2"/>
      <c r="CM492" s="12"/>
      <c r="CN492" s="12"/>
      <c r="CO492" s="12"/>
      <c r="CP492" s="12"/>
      <c r="CQ492" s="46"/>
      <c r="CR492" s="46"/>
      <c r="CS492" s="46"/>
      <c r="CT492" s="2"/>
      <c r="CU492" s="119"/>
      <c r="CV492" s="119"/>
      <c r="CW492" s="2"/>
      <c r="CX492" s="2"/>
      <c r="CY492" s="120"/>
      <c r="CZ492" s="12"/>
      <c r="DA492" s="12"/>
      <c r="DB492" s="12"/>
      <c r="DC492" s="12"/>
      <c r="DD492" s="12"/>
      <c r="DE492" s="12"/>
      <c r="DF492" s="12"/>
      <c r="DG492" s="12"/>
      <c r="DH492" s="2"/>
      <c r="DI492" s="2"/>
      <c r="DJ492" s="48"/>
      <c r="DK492" s="48"/>
      <c r="DL492" s="48"/>
      <c r="DM492" s="13"/>
      <c r="DN492" s="13"/>
      <c r="DO492" s="12"/>
      <c r="DP492" s="12"/>
      <c r="DQ492" s="12"/>
      <c r="DR492" s="12"/>
      <c r="DS492" s="12"/>
      <c r="DT492" s="2"/>
      <c r="DU492" s="12"/>
      <c r="DV492" s="12"/>
      <c r="DW492" s="12"/>
      <c r="DX492" s="2"/>
      <c r="DY492" s="12"/>
      <c r="DZ492" s="12"/>
      <c r="EA492" s="12"/>
      <c r="EB492" s="12"/>
      <c r="EC492" s="12"/>
      <c r="ED492" s="12"/>
    </row>
    <row r="493" spans="1:134" ht="12.5" x14ac:dyDescent="0.25">
      <c r="A493" s="2"/>
      <c r="B493" s="2"/>
      <c r="C493" s="51"/>
      <c r="D493" s="2"/>
      <c r="E493" s="157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2"/>
      <c r="AZ493" s="2"/>
      <c r="BA493" s="2"/>
      <c r="BB493" s="2"/>
      <c r="BC493" s="2"/>
      <c r="BD493" s="2"/>
      <c r="BE493" s="2"/>
      <c r="BF493" s="12"/>
      <c r="BG493" s="12"/>
      <c r="BH493" s="2"/>
      <c r="BI493" s="2"/>
      <c r="BJ493" s="2"/>
      <c r="BK493" s="2"/>
      <c r="BL493" s="2"/>
      <c r="BM493" s="2"/>
      <c r="BN493" s="2"/>
      <c r="BO493" s="2"/>
      <c r="BP493" s="2"/>
      <c r="BQ493" s="157"/>
      <c r="BR493" s="157"/>
      <c r="BS493" s="2"/>
      <c r="BT493" s="2"/>
      <c r="BU493" s="12"/>
      <c r="BV493" s="155"/>
      <c r="BW493" s="12"/>
      <c r="BX493" s="12"/>
      <c r="BY493" s="12"/>
      <c r="BZ493" s="12"/>
      <c r="CA493" s="12"/>
      <c r="CB493" s="12"/>
      <c r="CC493" s="12"/>
      <c r="CD493" s="12"/>
      <c r="CE493" s="12"/>
      <c r="CF493" s="12"/>
      <c r="CG493" s="12"/>
      <c r="CH493" s="12"/>
      <c r="CI493" s="12"/>
      <c r="CJ493" s="12"/>
      <c r="CK493" s="12"/>
      <c r="CL493" s="12"/>
      <c r="CM493" s="12"/>
      <c r="CN493" s="12"/>
      <c r="CO493" s="12"/>
      <c r="CP493" s="12"/>
      <c r="CQ493" s="46"/>
      <c r="CR493" s="46"/>
      <c r="CS493" s="46"/>
      <c r="CT493" s="2"/>
      <c r="CU493" s="119"/>
      <c r="CV493" s="119"/>
      <c r="CW493" s="2"/>
      <c r="CX493" s="2"/>
      <c r="CY493" s="120"/>
      <c r="CZ493" s="12"/>
      <c r="DA493" s="12"/>
      <c r="DB493" s="12"/>
      <c r="DC493" s="12"/>
      <c r="DD493" s="12"/>
      <c r="DE493" s="12"/>
      <c r="DF493" s="12"/>
      <c r="DG493" s="12"/>
      <c r="DH493" s="2"/>
      <c r="DI493" s="2"/>
      <c r="DJ493" s="48"/>
      <c r="DK493" s="48"/>
      <c r="DL493" s="48"/>
      <c r="DM493" s="13"/>
      <c r="DN493" s="13"/>
      <c r="DO493" s="12"/>
      <c r="DP493" s="12"/>
      <c r="DQ493" s="12"/>
      <c r="DR493" s="12"/>
      <c r="DS493" s="12"/>
      <c r="DT493" s="2"/>
      <c r="DU493" s="12"/>
      <c r="DV493" s="12"/>
      <c r="DW493" s="12"/>
      <c r="DX493" s="2"/>
      <c r="DY493" s="12"/>
      <c r="DZ493" s="12"/>
      <c r="EA493" s="12"/>
      <c r="EB493" s="12"/>
      <c r="EC493" s="12"/>
      <c r="ED493" s="12"/>
    </row>
    <row r="494" spans="1:134" ht="12.5" x14ac:dyDescent="0.25">
      <c r="A494" s="2"/>
      <c r="B494" s="2"/>
      <c r="C494" s="51"/>
      <c r="D494" s="2"/>
      <c r="E494" s="157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2"/>
      <c r="AZ494" s="2"/>
      <c r="BA494" s="2"/>
      <c r="BB494" s="2"/>
      <c r="BC494" s="2"/>
      <c r="BD494" s="2"/>
      <c r="BE494" s="2"/>
      <c r="BF494" s="12"/>
      <c r="BG494" s="12"/>
      <c r="BH494" s="2"/>
      <c r="BI494" s="2"/>
      <c r="BJ494" s="2"/>
      <c r="BK494" s="2"/>
      <c r="BL494" s="2"/>
      <c r="BM494" s="2"/>
      <c r="BN494" s="2"/>
      <c r="BO494" s="2"/>
      <c r="BP494" s="2"/>
      <c r="BQ494" s="157"/>
      <c r="BR494" s="157"/>
      <c r="BS494" s="2"/>
      <c r="BT494" s="2"/>
      <c r="BU494" s="12"/>
      <c r="BV494" s="155"/>
      <c r="BW494" s="12"/>
      <c r="BX494" s="12"/>
      <c r="BY494" s="12"/>
      <c r="BZ494" s="12"/>
      <c r="CA494" s="12"/>
      <c r="CB494" s="12"/>
      <c r="CC494" s="12"/>
      <c r="CD494" s="12"/>
      <c r="CE494" s="12"/>
      <c r="CF494" s="12"/>
      <c r="CG494" s="12"/>
      <c r="CH494" s="12"/>
      <c r="CI494" s="12"/>
      <c r="CJ494" s="12"/>
      <c r="CK494" s="12"/>
      <c r="CL494" s="2"/>
      <c r="CM494" s="12"/>
      <c r="CN494" s="12"/>
      <c r="CO494" s="12"/>
      <c r="CP494" s="12"/>
      <c r="CQ494" s="46"/>
      <c r="CR494" s="46"/>
      <c r="CS494" s="46"/>
      <c r="CT494" s="2"/>
      <c r="CU494" s="119"/>
      <c r="CV494" s="119"/>
      <c r="CW494" s="2"/>
      <c r="CX494" s="2"/>
      <c r="CY494" s="120"/>
      <c r="CZ494" s="12"/>
      <c r="DA494" s="12"/>
      <c r="DB494" s="12"/>
      <c r="DC494" s="12"/>
      <c r="DD494" s="12"/>
      <c r="DE494" s="12"/>
      <c r="DF494" s="12"/>
      <c r="DG494" s="12"/>
      <c r="DH494" s="2"/>
      <c r="DI494" s="2"/>
      <c r="DJ494" s="48"/>
      <c r="DK494" s="48"/>
      <c r="DL494" s="48"/>
      <c r="DM494" s="13"/>
      <c r="DN494" s="13"/>
      <c r="DO494" s="12"/>
      <c r="DP494" s="12"/>
      <c r="DQ494" s="12"/>
      <c r="DR494" s="12"/>
      <c r="DS494" s="12"/>
      <c r="DT494" s="2"/>
      <c r="DU494" s="12"/>
      <c r="DV494" s="12"/>
      <c r="DW494" s="12"/>
      <c r="DX494" s="2"/>
      <c r="DY494" s="12"/>
      <c r="DZ494" s="12"/>
      <c r="EA494" s="12"/>
      <c r="EB494" s="12"/>
      <c r="EC494" s="12"/>
      <c r="ED494" s="12"/>
    </row>
    <row r="495" spans="1:134" ht="12.5" x14ac:dyDescent="0.25">
      <c r="A495" s="2"/>
      <c r="B495" s="2"/>
      <c r="C495" s="51"/>
      <c r="D495" s="2"/>
      <c r="E495" s="157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2"/>
      <c r="AZ495" s="2"/>
      <c r="BA495" s="2"/>
      <c r="BB495" s="2"/>
      <c r="BC495" s="2"/>
      <c r="BD495" s="2"/>
      <c r="BE495" s="2"/>
      <c r="BF495" s="12"/>
      <c r="BG495" s="12"/>
      <c r="BH495" s="2"/>
      <c r="BI495" s="2"/>
      <c r="BJ495" s="2"/>
      <c r="BK495" s="2"/>
      <c r="BL495" s="2"/>
      <c r="BM495" s="2"/>
      <c r="BN495" s="2"/>
      <c r="BO495" s="2"/>
      <c r="BP495" s="2"/>
      <c r="BQ495" s="157"/>
      <c r="BR495" s="157"/>
      <c r="BS495" s="2"/>
      <c r="BT495" s="2"/>
      <c r="BU495" s="12"/>
      <c r="BV495" s="155"/>
      <c r="BW495" s="12"/>
      <c r="BX495" s="12"/>
      <c r="BY495" s="12"/>
      <c r="BZ495" s="12"/>
      <c r="CA495" s="12"/>
      <c r="CB495" s="12"/>
      <c r="CC495" s="12"/>
      <c r="CD495" s="12"/>
      <c r="CE495" s="12"/>
      <c r="CF495" s="12"/>
      <c r="CG495" s="12"/>
      <c r="CH495" s="12"/>
      <c r="CI495" s="12"/>
      <c r="CJ495" s="12"/>
      <c r="CK495" s="12"/>
      <c r="CL495" s="2"/>
      <c r="CM495" s="12"/>
      <c r="CN495" s="12"/>
      <c r="CO495" s="12"/>
      <c r="CP495" s="12"/>
      <c r="CQ495" s="46"/>
      <c r="CR495" s="46"/>
      <c r="CS495" s="46"/>
      <c r="CT495" s="2"/>
      <c r="CU495" s="119"/>
      <c r="CV495" s="119"/>
      <c r="CW495" s="2"/>
      <c r="CX495" s="2"/>
      <c r="CY495" s="120"/>
      <c r="CZ495" s="12"/>
      <c r="DA495" s="12"/>
      <c r="DB495" s="12"/>
      <c r="DC495" s="12"/>
      <c r="DD495" s="12"/>
      <c r="DE495" s="12"/>
      <c r="DF495" s="12"/>
      <c r="DG495" s="12"/>
      <c r="DH495" s="2"/>
      <c r="DI495" s="2"/>
      <c r="DJ495" s="48"/>
      <c r="DK495" s="48"/>
      <c r="DL495" s="48"/>
      <c r="DM495" s="13"/>
      <c r="DN495" s="13"/>
      <c r="DO495" s="12"/>
      <c r="DP495" s="12"/>
      <c r="DQ495" s="12"/>
      <c r="DR495" s="12"/>
      <c r="DS495" s="12"/>
      <c r="DT495" s="2"/>
      <c r="DU495" s="12"/>
      <c r="DV495" s="12"/>
      <c r="DW495" s="12"/>
      <c r="DX495" s="2"/>
      <c r="DY495" s="12"/>
      <c r="DZ495" s="12"/>
      <c r="EA495" s="12"/>
      <c r="EB495" s="12"/>
      <c r="EC495" s="12"/>
      <c r="ED495" s="12"/>
    </row>
    <row r="496" spans="1:134" ht="12.5" x14ac:dyDescent="0.25">
      <c r="A496" s="2"/>
      <c r="B496" s="2"/>
      <c r="C496" s="51"/>
      <c r="D496" s="2"/>
      <c r="E496" s="157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2"/>
      <c r="AZ496" s="2"/>
      <c r="BA496" s="2"/>
      <c r="BB496" s="2"/>
      <c r="BC496" s="2"/>
      <c r="BD496" s="2"/>
      <c r="BE496" s="2"/>
      <c r="BF496" s="12"/>
      <c r="BG496" s="12"/>
      <c r="BH496" s="2"/>
      <c r="BI496" s="2"/>
      <c r="BJ496" s="2"/>
      <c r="BK496" s="2"/>
      <c r="BL496" s="2"/>
      <c r="BM496" s="2"/>
      <c r="BN496" s="2"/>
      <c r="BO496" s="2"/>
      <c r="BP496" s="2"/>
      <c r="BQ496" s="157"/>
      <c r="BR496" s="157"/>
      <c r="BS496" s="2"/>
      <c r="BT496" s="2"/>
      <c r="BU496" s="12"/>
      <c r="BV496" s="155"/>
      <c r="BW496" s="12"/>
      <c r="BX496" s="12"/>
      <c r="BY496" s="12"/>
      <c r="BZ496" s="12"/>
      <c r="CA496" s="12"/>
      <c r="CB496" s="12"/>
      <c r="CC496" s="12"/>
      <c r="CD496" s="12"/>
      <c r="CE496" s="12"/>
      <c r="CF496" s="12"/>
      <c r="CG496" s="12"/>
      <c r="CH496" s="12"/>
      <c r="CI496" s="12"/>
      <c r="CJ496" s="12"/>
      <c r="CK496" s="12"/>
      <c r="CL496" s="2"/>
      <c r="CM496" s="12"/>
      <c r="CN496" s="12"/>
      <c r="CO496" s="12"/>
      <c r="CP496" s="12"/>
      <c r="CQ496" s="46"/>
      <c r="CR496" s="46"/>
      <c r="CS496" s="46"/>
      <c r="CT496" s="2"/>
      <c r="CU496" s="119"/>
      <c r="CV496" s="119"/>
      <c r="CW496" s="2"/>
      <c r="CX496" s="2"/>
      <c r="CY496" s="120"/>
      <c r="CZ496" s="12"/>
      <c r="DA496" s="12"/>
      <c r="DB496" s="12"/>
      <c r="DC496" s="12"/>
      <c r="DD496" s="12"/>
      <c r="DE496" s="12"/>
      <c r="DF496" s="12"/>
      <c r="DG496" s="12"/>
      <c r="DH496" s="2"/>
      <c r="DI496" s="2"/>
      <c r="DJ496" s="48"/>
      <c r="DK496" s="48"/>
      <c r="DL496" s="48"/>
      <c r="DM496" s="13"/>
      <c r="DN496" s="13"/>
      <c r="DO496" s="12"/>
      <c r="DP496" s="12"/>
      <c r="DQ496" s="12"/>
      <c r="DR496" s="12"/>
      <c r="DS496" s="12"/>
      <c r="DT496" s="2"/>
      <c r="DU496" s="12"/>
      <c r="DV496" s="12"/>
      <c r="DW496" s="12"/>
      <c r="DX496" s="2"/>
      <c r="DY496" s="12"/>
      <c r="DZ496" s="12"/>
      <c r="EA496" s="12"/>
      <c r="EB496" s="12"/>
      <c r="EC496" s="12"/>
      <c r="ED496" s="12"/>
    </row>
    <row r="497" spans="1:134" ht="12.5" x14ac:dyDescent="0.25">
      <c r="A497" s="2"/>
      <c r="B497" s="2"/>
      <c r="C497" s="51"/>
      <c r="D497" s="2"/>
      <c r="E497" s="157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2"/>
      <c r="AZ497" s="2"/>
      <c r="BA497" s="2"/>
      <c r="BB497" s="2"/>
      <c r="BC497" s="2"/>
      <c r="BD497" s="2"/>
      <c r="BE497" s="2"/>
      <c r="BF497" s="12"/>
      <c r="BG497" s="12"/>
      <c r="BH497" s="2"/>
      <c r="BI497" s="2"/>
      <c r="BJ497" s="2"/>
      <c r="BK497" s="2"/>
      <c r="BL497" s="2"/>
      <c r="BM497" s="2"/>
      <c r="BN497" s="2"/>
      <c r="BO497" s="2"/>
      <c r="BP497" s="2"/>
      <c r="BQ497" s="157"/>
      <c r="BR497" s="157"/>
      <c r="BS497" s="2"/>
      <c r="BT497" s="2"/>
      <c r="BU497" s="12"/>
      <c r="BV497" s="155"/>
      <c r="BW497" s="12"/>
      <c r="BX497" s="12"/>
      <c r="BY497" s="12"/>
      <c r="BZ497" s="12"/>
      <c r="CA497" s="12"/>
      <c r="CB497" s="12"/>
      <c r="CC497" s="12"/>
      <c r="CD497" s="12"/>
      <c r="CE497" s="12"/>
      <c r="CF497" s="12"/>
      <c r="CG497" s="12"/>
      <c r="CH497" s="12"/>
      <c r="CI497" s="12"/>
      <c r="CJ497" s="12"/>
      <c r="CK497" s="12"/>
      <c r="CL497" s="2"/>
      <c r="CM497" s="12"/>
      <c r="CN497" s="12"/>
      <c r="CO497" s="12"/>
      <c r="CP497" s="12"/>
      <c r="CQ497" s="46"/>
      <c r="CR497" s="46"/>
      <c r="CS497" s="46"/>
      <c r="CT497" s="2"/>
      <c r="CU497" s="119"/>
      <c r="CV497" s="119"/>
      <c r="CW497" s="2"/>
      <c r="CX497" s="2"/>
      <c r="CY497" s="120"/>
      <c r="CZ497" s="12"/>
      <c r="DA497" s="12"/>
      <c r="DB497" s="12"/>
      <c r="DC497" s="12"/>
      <c r="DD497" s="12"/>
      <c r="DE497" s="12"/>
      <c r="DF497" s="12"/>
      <c r="DG497" s="12"/>
      <c r="DH497" s="2"/>
      <c r="DI497" s="2"/>
      <c r="DJ497" s="48"/>
      <c r="DK497" s="48"/>
      <c r="DL497" s="48"/>
      <c r="DM497" s="13"/>
      <c r="DN497" s="13"/>
      <c r="DO497" s="12"/>
      <c r="DP497" s="12"/>
      <c r="DQ497" s="12"/>
      <c r="DR497" s="12"/>
      <c r="DS497" s="12"/>
      <c r="DT497" s="2"/>
      <c r="DU497" s="12"/>
      <c r="DV497" s="12"/>
      <c r="DW497" s="12"/>
      <c r="DX497" s="2"/>
      <c r="DY497" s="12"/>
      <c r="DZ497" s="12"/>
      <c r="EA497" s="12"/>
      <c r="EB497" s="12"/>
      <c r="EC497" s="12"/>
      <c r="ED497" s="12"/>
    </row>
    <row r="498" spans="1:134" ht="12.5" x14ac:dyDescent="0.25">
      <c r="A498" s="2"/>
      <c r="B498" s="2"/>
      <c r="C498" s="51"/>
      <c r="D498" s="2"/>
      <c r="E498" s="157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2"/>
      <c r="AZ498" s="2"/>
      <c r="BA498" s="2"/>
      <c r="BB498" s="2"/>
      <c r="BC498" s="2"/>
      <c r="BD498" s="2"/>
      <c r="BE498" s="2"/>
      <c r="BF498" s="12"/>
      <c r="BG498" s="12"/>
      <c r="BH498" s="2"/>
      <c r="BI498" s="2"/>
      <c r="BJ498" s="2"/>
      <c r="BK498" s="2"/>
      <c r="BL498" s="2"/>
      <c r="BM498" s="2"/>
      <c r="BN498" s="2"/>
      <c r="BO498" s="2"/>
      <c r="BP498" s="2"/>
      <c r="BQ498" s="157"/>
      <c r="BR498" s="157"/>
      <c r="BS498" s="2"/>
      <c r="BT498" s="2"/>
      <c r="BU498" s="12"/>
      <c r="BV498" s="155"/>
      <c r="BW498" s="12"/>
      <c r="BX498" s="12"/>
      <c r="BY498" s="12"/>
      <c r="BZ498" s="12"/>
      <c r="CA498" s="12"/>
      <c r="CB498" s="12"/>
      <c r="CC498" s="12"/>
      <c r="CD498" s="12"/>
      <c r="CE498" s="12"/>
      <c r="CF498" s="12"/>
      <c r="CG498" s="12"/>
      <c r="CH498" s="12"/>
      <c r="CI498" s="12"/>
      <c r="CJ498" s="12"/>
      <c r="CK498" s="12"/>
      <c r="CL498" s="2"/>
      <c r="CM498" s="12"/>
      <c r="CN498" s="12"/>
      <c r="CO498" s="12"/>
      <c r="CP498" s="12"/>
      <c r="CQ498" s="46"/>
      <c r="CR498" s="46"/>
      <c r="CS498" s="46"/>
      <c r="CT498" s="2"/>
      <c r="CU498" s="119"/>
      <c r="CV498" s="119"/>
      <c r="CW498" s="2"/>
      <c r="CX498" s="2"/>
      <c r="CY498" s="120"/>
      <c r="CZ498" s="12"/>
      <c r="DA498" s="12"/>
      <c r="DB498" s="12"/>
      <c r="DC498" s="12"/>
      <c r="DD498" s="12"/>
      <c r="DE498" s="12"/>
      <c r="DF498" s="12"/>
      <c r="DG498" s="12"/>
      <c r="DH498" s="2"/>
      <c r="DI498" s="2"/>
      <c r="DJ498" s="48"/>
      <c r="DK498" s="48"/>
      <c r="DL498" s="48"/>
      <c r="DM498" s="13"/>
      <c r="DN498" s="13"/>
      <c r="DO498" s="12"/>
      <c r="DP498" s="12"/>
      <c r="DQ498" s="12"/>
      <c r="DR498" s="12"/>
      <c r="DS498" s="12"/>
      <c r="DT498" s="2"/>
      <c r="DU498" s="12"/>
      <c r="DV498" s="12"/>
      <c r="DW498" s="12"/>
      <c r="DX498" s="2"/>
      <c r="DY498" s="12"/>
      <c r="DZ498" s="12"/>
      <c r="EA498" s="12"/>
      <c r="EB498" s="12"/>
      <c r="EC498" s="12"/>
      <c r="ED498" s="12"/>
    </row>
    <row r="499" spans="1:134" ht="12.5" x14ac:dyDescent="0.25">
      <c r="A499" s="2"/>
      <c r="B499" s="2"/>
      <c r="C499" s="51"/>
      <c r="D499" s="2"/>
      <c r="E499" s="157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2"/>
      <c r="AZ499" s="2"/>
      <c r="BA499" s="2"/>
      <c r="BB499" s="2"/>
      <c r="BC499" s="2"/>
      <c r="BD499" s="2"/>
      <c r="BE499" s="2"/>
      <c r="BF499" s="12"/>
      <c r="BG499" s="12"/>
      <c r="BH499" s="2"/>
      <c r="BI499" s="2"/>
      <c r="BJ499" s="2"/>
      <c r="BK499" s="2"/>
      <c r="BL499" s="2"/>
      <c r="BM499" s="2"/>
      <c r="BN499" s="2"/>
      <c r="BO499" s="2"/>
      <c r="BP499" s="2"/>
      <c r="BQ499" s="157"/>
      <c r="BR499" s="157"/>
      <c r="BS499" s="2"/>
      <c r="BT499" s="2"/>
      <c r="BU499" s="12"/>
      <c r="BV499" s="155"/>
      <c r="BW499" s="12"/>
      <c r="BX499" s="12"/>
      <c r="BY499" s="12"/>
      <c r="BZ499" s="12"/>
      <c r="CA499" s="12"/>
      <c r="CB499" s="12"/>
      <c r="CC499" s="12"/>
      <c r="CD499" s="12"/>
      <c r="CE499" s="12"/>
      <c r="CF499" s="12"/>
      <c r="CG499" s="12"/>
      <c r="CH499" s="12"/>
      <c r="CI499" s="12"/>
      <c r="CJ499" s="12"/>
      <c r="CK499" s="12"/>
      <c r="CL499" s="2"/>
      <c r="CM499" s="12"/>
      <c r="CN499" s="12"/>
      <c r="CO499" s="12"/>
      <c r="CP499" s="12"/>
      <c r="CQ499" s="46"/>
      <c r="CR499" s="46"/>
      <c r="CS499" s="46"/>
      <c r="CT499" s="2"/>
      <c r="CU499" s="119"/>
      <c r="CV499" s="119"/>
      <c r="CW499" s="2"/>
      <c r="CX499" s="2"/>
      <c r="CY499" s="120"/>
      <c r="CZ499" s="12"/>
      <c r="DA499" s="12"/>
      <c r="DB499" s="12"/>
      <c r="DC499" s="12"/>
      <c r="DD499" s="12"/>
      <c r="DE499" s="12"/>
      <c r="DF499" s="12"/>
      <c r="DG499" s="12"/>
      <c r="DH499" s="2"/>
      <c r="DI499" s="2"/>
      <c r="DJ499" s="48"/>
      <c r="DK499" s="48"/>
      <c r="DL499" s="48"/>
      <c r="DM499" s="13"/>
      <c r="DN499" s="13"/>
      <c r="DO499" s="12"/>
      <c r="DP499" s="12"/>
      <c r="DQ499" s="12"/>
      <c r="DR499" s="12"/>
      <c r="DS499" s="12"/>
      <c r="DT499" s="2"/>
      <c r="DU499" s="12"/>
      <c r="DV499" s="12"/>
      <c r="DW499" s="12"/>
      <c r="DX499" s="2"/>
      <c r="DY499" s="12"/>
      <c r="DZ499" s="12"/>
      <c r="EA499" s="12"/>
      <c r="EB499" s="12"/>
      <c r="EC499" s="12"/>
      <c r="ED499" s="12"/>
    </row>
    <row r="500" spans="1:134" ht="12.5" x14ac:dyDescent="0.25">
      <c r="A500" s="2"/>
      <c r="B500" s="2"/>
      <c r="C500" s="51"/>
      <c r="D500" s="2"/>
      <c r="E500" s="157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2"/>
      <c r="AZ500" s="2"/>
      <c r="BA500" s="2"/>
      <c r="BB500" s="2"/>
      <c r="BC500" s="2"/>
      <c r="BD500" s="2"/>
      <c r="BE500" s="2"/>
      <c r="BF500" s="12"/>
      <c r="BG500" s="12"/>
      <c r="BH500" s="2"/>
      <c r="BI500" s="2"/>
      <c r="BJ500" s="2"/>
      <c r="BK500" s="2"/>
      <c r="BL500" s="2"/>
      <c r="BM500" s="2"/>
      <c r="BN500" s="2"/>
      <c r="BO500" s="2"/>
      <c r="BP500" s="2"/>
      <c r="BQ500" s="157"/>
      <c r="BR500" s="157"/>
      <c r="BS500" s="2"/>
      <c r="BT500" s="2"/>
      <c r="BU500" s="12"/>
      <c r="BV500" s="155"/>
      <c r="BW500" s="12"/>
      <c r="BX500" s="12"/>
      <c r="BY500" s="12"/>
      <c r="BZ500" s="12"/>
      <c r="CA500" s="12"/>
      <c r="CB500" s="12"/>
      <c r="CC500" s="12"/>
      <c r="CD500" s="12"/>
      <c r="CE500" s="12"/>
      <c r="CF500" s="12"/>
      <c r="CG500" s="12"/>
      <c r="CH500" s="12"/>
      <c r="CI500" s="12"/>
      <c r="CJ500" s="12"/>
      <c r="CK500" s="12"/>
      <c r="CL500" s="2"/>
      <c r="CM500" s="12"/>
      <c r="CN500" s="12"/>
      <c r="CO500" s="12"/>
      <c r="CP500" s="12"/>
      <c r="CQ500" s="46"/>
      <c r="CR500" s="46"/>
      <c r="CS500" s="46"/>
      <c r="CT500" s="2"/>
      <c r="CU500" s="119"/>
      <c r="CV500" s="119"/>
      <c r="CW500" s="2"/>
      <c r="CX500" s="2"/>
      <c r="CY500" s="120"/>
      <c r="CZ500" s="12"/>
      <c r="DA500" s="12"/>
      <c r="DB500" s="12"/>
      <c r="DC500" s="12"/>
      <c r="DD500" s="12"/>
      <c r="DE500" s="12"/>
      <c r="DF500" s="12"/>
      <c r="DG500" s="12"/>
      <c r="DH500" s="2"/>
      <c r="DI500" s="2"/>
      <c r="DJ500" s="48"/>
      <c r="DK500" s="48"/>
      <c r="DL500" s="48"/>
      <c r="DM500" s="13"/>
      <c r="DN500" s="13"/>
      <c r="DO500" s="12"/>
      <c r="DP500" s="12"/>
      <c r="DQ500" s="12"/>
      <c r="DR500" s="12"/>
      <c r="DS500" s="12"/>
      <c r="DT500" s="2"/>
      <c r="DU500" s="12"/>
      <c r="DV500" s="12"/>
      <c r="DW500" s="12"/>
      <c r="DX500" s="2"/>
      <c r="DY500" s="12"/>
      <c r="DZ500" s="12"/>
      <c r="EA500" s="12"/>
      <c r="EB500" s="12"/>
      <c r="EC500" s="12"/>
      <c r="ED500" s="12"/>
    </row>
    <row r="501" spans="1:134" ht="12.5" x14ac:dyDescent="0.25">
      <c r="A501" s="2"/>
      <c r="B501" s="2"/>
      <c r="C501" s="51"/>
      <c r="D501" s="2"/>
      <c r="E501" s="157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2"/>
      <c r="AZ501" s="2"/>
      <c r="BA501" s="2"/>
      <c r="BB501" s="2"/>
      <c r="BC501" s="2"/>
      <c r="BD501" s="2"/>
      <c r="BE501" s="2"/>
      <c r="BF501" s="12"/>
      <c r="BG501" s="12"/>
      <c r="BH501" s="2"/>
      <c r="BI501" s="2"/>
      <c r="BJ501" s="2"/>
      <c r="BK501" s="2"/>
      <c r="BL501" s="2"/>
      <c r="BM501" s="2"/>
      <c r="BN501" s="2"/>
      <c r="BO501" s="2"/>
      <c r="BP501" s="2"/>
      <c r="BQ501" s="157"/>
      <c r="BR501" s="157"/>
      <c r="BS501" s="2"/>
      <c r="BT501" s="2"/>
      <c r="BU501" s="12"/>
      <c r="BV501" s="155"/>
      <c r="BW501" s="12"/>
      <c r="BX501" s="12"/>
      <c r="BY501" s="12"/>
      <c r="BZ501" s="12"/>
      <c r="CA501" s="12"/>
      <c r="CB501" s="12"/>
      <c r="CC501" s="12"/>
      <c r="CD501" s="12"/>
      <c r="CE501" s="12"/>
      <c r="CF501" s="12"/>
      <c r="CG501" s="12"/>
      <c r="CH501" s="12"/>
      <c r="CI501" s="12"/>
      <c r="CJ501" s="12"/>
      <c r="CK501" s="12"/>
      <c r="CL501" s="2"/>
      <c r="CM501" s="12"/>
      <c r="CN501" s="12"/>
      <c r="CO501" s="12"/>
      <c r="CP501" s="12"/>
      <c r="CQ501" s="46"/>
      <c r="CR501" s="46"/>
      <c r="CS501" s="46"/>
      <c r="CT501" s="2"/>
      <c r="CU501" s="119"/>
      <c r="CV501" s="119"/>
      <c r="CW501" s="2"/>
      <c r="CX501" s="2"/>
      <c r="CY501" s="120"/>
      <c r="CZ501" s="12"/>
      <c r="DA501" s="12"/>
      <c r="DB501" s="12"/>
      <c r="DC501" s="12"/>
      <c r="DD501" s="12"/>
      <c r="DE501" s="12"/>
      <c r="DF501" s="12"/>
      <c r="DG501" s="12"/>
      <c r="DH501" s="2"/>
      <c r="DI501" s="2"/>
      <c r="DJ501" s="48"/>
      <c r="DK501" s="48"/>
      <c r="DL501" s="48"/>
      <c r="DM501" s="13"/>
      <c r="DN501" s="13"/>
      <c r="DO501" s="12"/>
      <c r="DP501" s="12"/>
      <c r="DQ501" s="12"/>
      <c r="DR501" s="12"/>
      <c r="DS501" s="12"/>
      <c r="DT501" s="2"/>
      <c r="DU501" s="12"/>
      <c r="DV501" s="12"/>
      <c r="DW501" s="12"/>
      <c r="DX501" s="2"/>
      <c r="DY501" s="12"/>
      <c r="DZ501" s="12"/>
      <c r="EA501" s="12"/>
      <c r="EB501" s="12"/>
      <c r="EC501" s="12"/>
      <c r="ED501" s="12"/>
    </row>
    <row r="502" spans="1:134" ht="12.5" x14ac:dyDescent="0.25">
      <c r="A502" s="2"/>
      <c r="B502" s="2"/>
      <c r="C502" s="51"/>
      <c r="D502" s="2"/>
      <c r="E502" s="157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2"/>
      <c r="AZ502" s="2"/>
      <c r="BA502" s="2"/>
      <c r="BB502" s="2"/>
      <c r="BC502" s="2"/>
      <c r="BD502" s="2"/>
      <c r="BE502" s="2"/>
      <c r="BF502" s="12"/>
      <c r="BG502" s="12"/>
      <c r="BH502" s="2"/>
      <c r="BI502" s="2"/>
      <c r="BJ502" s="2"/>
      <c r="BK502" s="2"/>
      <c r="BL502" s="2"/>
      <c r="BM502" s="2"/>
      <c r="BN502" s="2"/>
      <c r="BO502" s="2"/>
      <c r="BP502" s="2"/>
      <c r="BQ502" s="157"/>
      <c r="BR502" s="157"/>
      <c r="BS502" s="2"/>
      <c r="BT502" s="2"/>
      <c r="BU502" s="12"/>
      <c r="BV502" s="155"/>
      <c r="BW502" s="12"/>
      <c r="BX502" s="12"/>
      <c r="BY502" s="12"/>
      <c r="BZ502" s="12"/>
      <c r="CA502" s="12"/>
      <c r="CB502" s="12"/>
      <c r="CC502" s="12"/>
      <c r="CD502" s="12"/>
      <c r="CE502" s="12"/>
      <c r="CF502" s="12"/>
      <c r="CG502" s="12"/>
      <c r="CH502" s="12"/>
      <c r="CI502" s="12"/>
      <c r="CJ502" s="12"/>
      <c r="CK502" s="12"/>
      <c r="CL502" s="2"/>
      <c r="CM502" s="12"/>
      <c r="CN502" s="12"/>
      <c r="CO502" s="12"/>
      <c r="CP502" s="12"/>
      <c r="CQ502" s="46"/>
      <c r="CR502" s="46"/>
      <c r="CS502" s="46"/>
      <c r="CT502" s="2"/>
      <c r="CU502" s="119"/>
      <c r="CV502" s="119"/>
      <c r="CW502" s="2"/>
      <c r="CX502" s="2"/>
      <c r="CY502" s="120"/>
      <c r="CZ502" s="12"/>
      <c r="DA502" s="12"/>
      <c r="DB502" s="12"/>
      <c r="DC502" s="12"/>
      <c r="DD502" s="12"/>
      <c r="DE502" s="12"/>
      <c r="DF502" s="12"/>
      <c r="DG502" s="12"/>
      <c r="DH502" s="2"/>
      <c r="DI502" s="2"/>
      <c r="DJ502" s="48"/>
      <c r="DK502" s="48"/>
      <c r="DL502" s="48"/>
      <c r="DM502" s="13"/>
      <c r="DN502" s="13"/>
      <c r="DO502" s="12"/>
      <c r="DP502" s="12"/>
      <c r="DQ502" s="12"/>
      <c r="DR502" s="12"/>
      <c r="DS502" s="12"/>
      <c r="DT502" s="2"/>
      <c r="DU502" s="12"/>
      <c r="DV502" s="12"/>
      <c r="DW502" s="12"/>
      <c r="DX502" s="2"/>
      <c r="DY502" s="12"/>
      <c r="DZ502" s="12"/>
      <c r="EA502" s="12"/>
      <c r="EB502" s="12"/>
      <c r="EC502" s="12"/>
      <c r="ED502" s="12"/>
    </row>
    <row r="503" spans="1:134" ht="12.5" x14ac:dyDescent="0.25">
      <c r="A503" s="2"/>
      <c r="B503" s="2"/>
      <c r="C503" s="51"/>
      <c r="D503" s="2"/>
      <c r="E503" s="157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2"/>
      <c r="AZ503" s="2"/>
      <c r="BA503" s="2"/>
      <c r="BB503" s="2"/>
      <c r="BC503" s="2"/>
      <c r="BD503" s="2"/>
      <c r="BE503" s="2"/>
      <c r="BF503" s="12"/>
      <c r="BG503" s="12"/>
      <c r="BH503" s="2"/>
      <c r="BI503" s="2"/>
      <c r="BJ503" s="2"/>
      <c r="BK503" s="2"/>
      <c r="BL503" s="2"/>
      <c r="BM503" s="2"/>
      <c r="BN503" s="2"/>
      <c r="BO503" s="2"/>
      <c r="BP503" s="2"/>
      <c r="BQ503" s="157"/>
      <c r="BR503" s="157"/>
      <c r="BS503" s="2"/>
      <c r="BT503" s="2"/>
      <c r="BU503" s="12"/>
      <c r="BV503" s="155"/>
      <c r="BW503" s="12"/>
      <c r="BX503" s="12"/>
      <c r="BY503" s="12"/>
      <c r="BZ503" s="12"/>
      <c r="CA503" s="12"/>
      <c r="CB503" s="12"/>
      <c r="CC503" s="12"/>
      <c r="CD503" s="12"/>
      <c r="CE503" s="12"/>
      <c r="CF503" s="12"/>
      <c r="CG503" s="12"/>
      <c r="CH503" s="12"/>
      <c r="CI503" s="12"/>
      <c r="CJ503" s="12"/>
      <c r="CK503" s="12"/>
      <c r="CL503" s="2"/>
      <c r="CM503" s="12"/>
      <c r="CN503" s="12"/>
      <c r="CO503" s="12"/>
      <c r="CP503" s="12"/>
      <c r="CQ503" s="46"/>
      <c r="CR503" s="46"/>
      <c r="CS503" s="46"/>
      <c r="CT503" s="2"/>
      <c r="CU503" s="119"/>
      <c r="CV503" s="119"/>
      <c r="CW503" s="2"/>
      <c r="CX503" s="2"/>
      <c r="CY503" s="120"/>
      <c r="CZ503" s="12"/>
      <c r="DA503" s="12"/>
      <c r="DB503" s="12"/>
      <c r="DC503" s="12"/>
      <c r="DD503" s="12"/>
      <c r="DE503" s="12"/>
      <c r="DF503" s="12"/>
      <c r="DG503" s="12"/>
      <c r="DH503" s="2"/>
      <c r="DI503" s="2"/>
      <c r="DJ503" s="48"/>
      <c r="DK503" s="48"/>
      <c r="DL503" s="48"/>
      <c r="DM503" s="13"/>
      <c r="DN503" s="13"/>
      <c r="DO503" s="12"/>
      <c r="DP503" s="12"/>
      <c r="DQ503" s="12"/>
      <c r="DR503" s="12"/>
      <c r="DS503" s="12"/>
      <c r="DT503" s="2"/>
      <c r="DU503" s="12"/>
      <c r="DV503" s="12"/>
      <c r="DW503" s="12"/>
      <c r="DX503" s="2"/>
      <c r="DY503" s="12"/>
      <c r="DZ503" s="12"/>
      <c r="EA503" s="12"/>
      <c r="EB503" s="12"/>
      <c r="EC503" s="12"/>
      <c r="ED503" s="12"/>
    </row>
    <row r="504" spans="1:134" ht="12.5" x14ac:dyDescent="0.25">
      <c r="A504" s="2"/>
      <c r="B504" s="2"/>
      <c r="C504" s="51"/>
      <c r="D504" s="2"/>
      <c r="E504" s="157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2"/>
      <c r="AZ504" s="2"/>
      <c r="BA504" s="2"/>
      <c r="BB504" s="2"/>
      <c r="BC504" s="2"/>
      <c r="BD504" s="2"/>
      <c r="BE504" s="2"/>
      <c r="BF504" s="12"/>
      <c r="BG504" s="12"/>
      <c r="BH504" s="2"/>
      <c r="BI504" s="2"/>
      <c r="BJ504" s="2"/>
      <c r="BK504" s="2"/>
      <c r="BL504" s="2"/>
      <c r="BM504" s="2"/>
      <c r="BN504" s="2"/>
      <c r="BO504" s="2"/>
      <c r="BP504" s="2"/>
      <c r="BQ504" s="157"/>
      <c r="BR504" s="157"/>
      <c r="BS504" s="2"/>
      <c r="BT504" s="2"/>
      <c r="BU504" s="12"/>
      <c r="BV504" s="155"/>
      <c r="BW504" s="12"/>
      <c r="BX504" s="12"/>
      <c r="BY504" s="12"/>
      <c r="BZ504" s="12"/>
      <c r="CA504" s="12"/>
      <c r="CB504" s="12"/>
      <c r="CC504" s="12"/>
      <c r="CD504" s="12"/>
      <c r="CE504" s="12"/>
      <c r="CF504" s="12"/>
      <c r="CG504" s="12"/>
      <c r="CH504" s="12"/>
      <c r="CI504" s="12"/>
      <c r="CJ504" s="12"/>
      <c r="CK504" s="12"/>
      <c r="CL504" s="2"/>
      <c r="CM504" s="12"/>
      <c r="CN504" s="12"/>
      <c r="CO504" s="12"/>
      <c r="CP504" s="12"/>
      <c r="CQ504" s="46"/>
      <c r="CR504" s="46"/>
      <c r="CS504" s="46"/>
      <c r="CT504" s="2"/>
      <c r="CU504" s="119"/>
      <c r="CV504" s="119"/>
      <c r="CW504" s="2"/>
      <c r="CX504" s="2"/>
      <c r="CY504" s="120"/>
      <c r="CZ504" s="12"/>
      <c r="DA504" s="12"/>
      <c r="DB504" s="12"/>
      <c r="DC504" s="12"/>
      <c r="DD504" s="12"/>
      <c r="DE504" s="12"/>
      <c r="DF504" s="12"/>
      <c r="DG504" s="12"/>
      <c r="DH504" s="2"/>
      <c r="DI504" s="2"/>
      <c r="DJ504" s="48"/>
      <c r="DK504" s="48"/>
      <c r="DL504" s="48"/>
      <c r="DM504" s="13"/>
      <c r="DN504" s="13"/>
      <c r="DO504" s="12"/>
      <c r="DP504" s="12"/>
      <c r="DQ504" s="12"/>
      <c r="DR504" s="12"/>
      <c r="DS504" s="12"/>
      <c r="DT504" s="2"/>
      <c r="DU504" s="12"/>
      <c r="DV504" s="12"/>
      <c r="DW504" s="12"/>
      <c r="DX504" s="2"/>
      <c r="DY504" s="12"/>
      <c r="DZ504" s="12"/>
      <c r="EA504" s="12"/>
      <c r="EB504" s="12"/>
      <c r="EC504" s="12"/>
      <c r="ED504" s="12"/>
    </row>
    <row r="505" spans="1:134" ht="12.5" x14ac:dyDescent="0.25">
      <c r="A505" s="2"/>
      <c r="B505" s="2"/>
      <c r="C505" s="51"/>
      <c r="D505" s="2"/>
      <c r="E505" s="157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2"/>
      <c r="AZ505" s="2"/>
      <c r="BA505" s="2"/>
      <c r="BB505" s="2"/>
      <c r="BC505" s="2"/>
      <c r="BD505" s="2"/>
      <c r="BE505" s="2"/>
      <c r="BF505" s="12"/>
      <c r="BG505" s="12"/>
      <c r="BH505" s="2"/>
      <c r="BI505" s="2"/>
      <c r="BJ505" s="2"/>
      <c r="BK505" s="2"/>
      <c r="BL505" s="2"/>
      <c r="BM505" s="2"/>
      <c r="BN505" s="2"/>
      <c r="BO505" s="2"/>
      <c r="BP505" s="2"/>
      <c r="BQ505" s="157"/>
      <c r="BR505" s="157"/>
      <c r="BS505" s="2"/>
      <c r="BT505" s="2"/>
      <c r="BU505" s="12"/>
      <c r="BV505" s="155"/>
      <c r="BW505" s="12"/>
      <c r="BX505" s="12"/>
      <c r="BY505" s="12"/>
      <c r="BZ505" s="12"/>
      <c r="CA505" s="12"/>
      <c r="CB505" s="12"/>
      <c r="CC505" s="12"/>
      <c r="CD505" s="12"/>
      <c r="CE505" s="12"/>
      <c r="CF505" s="12"/>
      <c r="CG505" s="12"/>
      <c r="CH505" s="12"/>
      <c r="CI505" s="12"/>
      <c r="CJ505" s="12"/>
      <c r="CK505" s="12"/>
      <c r="CL505" s="2"/>
      <c r="CM505" s="12"/>
      <c r="CN505" s="12"/>
      <c r="CO505" s="12"/>
      <c r="CP505" s="12"/>
      <c r="CQ505" s="46"/>
      <c r="CR505" s="46"/>
      <c r="CS505" s="46"/>
      <c r="CT505" s="2"/>
      <c r="CU505" s="119"/>
      <c r="CV505" s="119"/>
      <c r="CW505" s="2"/>
      <c r="CX505" s="2"/>
      <c r="CY505" s="120"/>
      <c r="CZ505" s="12"/>
      <c r="DA505" s="12"/>
      <c r="DB505" s="12"/>
      <c r="DC505" s="12"/>
      <c r="DD505" s="12"/>
      <c r="DE505" s="12"/>
      <c r="DF505" s="12"/>
      <c r="DG505" s="12"/>
      <c r="DH505" s="2"/>
      <c r="DI505" s="2"/>
      <c r="DJ505" s="48"/>
      <c r="DK505" s="48"/>
      <c r="DL505" s="48"/>
      <c r="DM505" s="13"/>
      <c r="DN505" s="13"/>
      <c r="DO505" s="12"/>
      <c r="DP505" s="12"/>
      <c r="DQ505" s="12"/>
      <c r="DR505" s="12"/>
      <c r="DS505" s="12"/>
      <c r="DT505" s="2"/>
      <c r="DU505" s="12"/>
      <c r="DV505" s="12"/>
      <c r="DW505" s="12"/>
      <c r="DX505" s="2"/>
      <c r="DY505" s="12"/>
      <c r="DZ505" s="12"/>
      <c r="EA505" s="12"/>
      <c r="EB505" s="12"/>
      <c r="EC505" s="12"/>
      <c r="ED505" s="12"/>
    </row>
    <row r="506" spans="1:134" ht="12.5" x14ac:dyDescent="0.25">
      <c r="A506" s="2"/>
      <c r="B506" s="2"/>
      <c r="C506" s="51"/>
      <c r="D506" s="2"/>
      <c r="E506" s="157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2"/>
      <c r="AZ506" s="2"/>
      <c r="BA506" s="2"/>
      <c r="BB506" s="2"/>
      <c r="BC506" s="2"/>
      <c r="BD506" s="2"/>
      <c r="BE506" s="2"/>
      <c r="BF506" s="12"/>
      <c r="BG506" s="12"/>
      <c r="BH506" s="2"/>
      <c r="BI506" s="2"/>
      <c r="BJ506" s="2"/>
      <c r="BK506" s="2"/>
      <c r="BL506" s="2"/>
      <c r="BM506" s="2"/>
      <c r="BN506" s="2"/>
      <c r="BO506" s="2"/>
      <c r="BP506" s="2"/>
      <c r="BQ506" s="157"/>
      <c r="BR506" s="157"/>
      <c r="BS506" s="2"/>
      <c r="BT506" s="2"/>
      <c r="BU506" s="12"/>
      <c r="BV506" s="155"/>
      <c r="BW506" s="12"/>
      <c r="BX506" s="12"/>
      <c r="BY506" s="12"/>
      <c r="BZ506" s="12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2"/>
      <c r="CM506" s="12"/>
      <c r="CN506" s="12"/>
      <c r="CO506" s="12"/>
      <c r="CP506" s="12"/>
      <c r="CQ506" s="46"/>
      <c r="CR506" s="46"/>
      <c r="CS506" s="46"/>
      <c r="CT506" s="2"/>
      <c r="CU506" s="119"/>
      <c r="CV506" s="119"/>
      <c r="CW506" s="2"/>
      <c r="CX506" s="2"/>
      <c r="CY506" s="120"/>
      <c r="CZ506" s="12"/>
      <c r="DA506" s="12"/>
      <c r="DB506" s="12"/>
      <c r="DC506" s="12"/>
      <c r="DD506" s="12"/>
      <c r="DE506" s="12"/>
      <c r="DF506" s="12"/>
      <c r="DG506" s="12"/>
      <c r="DH506" s="2"/>
      <c r="DI506" s="2"/>
      <c r="DJ506" s="48"/>
      <c r="DK506" s="48"/>
      <c r="DL506" s="48"/>
      <c r="DM506" s="13"/>
      <c r="DN506" s="13"/>
      <c r="DO506" s="12"/>
      <c r="DP506" s="12"/>
      <c r="DQ506" s="12"/>
      <c r="DR506" s="12"/>
      <c r="DS506" s="12"/>
      <c r="DT506" s="2"/>
      <c r="DU506" s="12"/>
      <c r="DV506" s="12"/>
      <c r="DW506" s="12"/>
      <c r="DX506" s="2"/>
      <c r="DY506" s="12"/>
      <c r="DZ506" s="12"/>
      <c r="EA506" s="12"/>
      <c r="EB506" s="12"/>
      <c r="EC506" s="12"/>
      <c r="ED506" s="12"/>
    </row>
    <row r="507" spans="1:134" ht="12.5" x14ac:dyDescent="0.25">
      <c r="A507" s="2"/>
      <c r="B507" s="2"/>
      <c r="C507" s="51"/>
      <c r="D507" s="2"/>
      <c r="E507" s="157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2"/>
      <c r="AZ507" s="2"/>
      <c r="BA507" s="2"/>
      <c r="BB507" s="2"/>
      <c r="BC507" s="2"/>
      <c r="BD507" s="2"/>
      <c r="BE507" s="2"/>
      <c r="BF507" s="12"/>
      <c r="BG507" s="12"/>
      <c r="BH507" s="2"/>
      <c r="BI507" s="2"/>
      <c r="BJ507" s="2"/>
      <c r="BK507" s="2"/>
      <c r="BL507" s="2"/>
      <c r="BM507" s="2"/>
      <c r="BN507" s="2"/>
      <c r="BO507" s="2"/>
      <c r="BP507" s="2"/>
      <c r="BQ507" s="157"/>
      <c r="BR507" s="157"/>
      <c r="BS507" s="2"/>
      <c r="BT507" s="2"/>
      <c r="BU507" s="12"/>
      <c r="BV507" s="155"/>
      <c r="BW507" s="12"/>
      <c r="BX507" s="12"/>
      <c r="BY507" s="12"/>
      <c r="BZ507" s="12"/>
      <c r="CA507" s="12"/>
      <c r="CB507" s="12"/>
      <c r="CC507" s="12"/>
      <c r="CD507" s="12"/>
      <c r="CE507" s="12"/>
      <c r="CF507" s="12"/>
      <c r="CG507" s="12"/>
      <c r="CH507" s="12"/>
      <c r="CI507" s="12"/>
      <c r="CJ507" s="12"/>
      <c r="CK507" s="12"/>
      <c r="CL507" s="2"/>
      <c r="CM507" s="12"/>
      <c r="CN507" s="12"/>
      <c r="CO507" s="12"/>
      <c r="CP507" s="12"/>
      <c r="CQ507" s="46"/>
      <c r="CR507" s="46"/>
      <c r="CS507" s="46"/>
      <c r="CT507" s="2"/>
      <c r="CU507" s="119"/>
      <c r="CV507" s="119"/>
      <c r="CW507" s="2"/>
      <c r="CX507" s="2"/>
      <c r="CY507" s="120"/>
      <c r="CZ507" s="12"/>
      <c r="DA507" s="12"/>
      <c r="DB507" s="12"/>
      <c r="DC507" s="12"/>
      <c r="DD507" s="12"/>
      <c r="DE507" s="12"/>
      <c r="DF507" s="12"/>
      <c r="DG507" s="12"/>
      <c r="DH507" s="2"/>
      <c r="DI507" s="2"/>
      <c r="DJ507" s="48"/>
      <c r="DK507" s="48"/>
      <c r="DL507" s="48"/>
      <c r="DM507" s="13"/>
      <c r="DN507" s="13"/>
      <c r="DO507" s="12"/>
      <c r="DP507" s="12"/>
      <c r="DQ507" s="12"/>
      <c r="DR507" s="12"/>
      <c r="DS507" s="12"/>
      <c r="DT507" s="2"/>
      <c r="DU507" s="12"/>
      <c r="DV507" s="12"/>
      <c r="DW507" s="12"/>
      <c r="DX507" s="2"/>
      <c r="DY507" s="12"/>
      <c r="DZ507" s="12"/>
      <c r="EA507" s="12"/>
      <c r="EB507" s="12"/>
      <c r="EC507" s="12"/>
      <c r="ED507" s="12"/>
    </row>
    <row r="508" spans="1:134" ht="12.5" x14ac:dyDescent="0.25">
      <c r="A508" s="2"/>
      <c r="B508" s="2"/>
      <c r="C508" s="51"/>
      <c r="D508" s="2"/>
      <c r="E508" s="157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2"/>
      <c r="AZ508" s="2"/>
      <c r="BA508" s="2"/>
      <c r="BB508" s="2"/>
      <c r="BC508" s="2"/>
      <c r="BD508" s="2"/>
      <c r="BE508" s="2"/>
      <c r="BF508" s="12"/>
      <c r="BG508" s="12"/>
      <c r="BH508" s="2"/>
      <c r="BI508" s="2"/>
      <c r="BJ508" s="2"/>
      <c r="BK508" s="2"/>
      <c r="BL508" s="2"/>
      <c r="BM508" s="2"/>
      <c r="BN508" s="2"/>
      <c r="BO508" s="2"/>
      <c r="BP508" s="2"/>
      <c r="BQ508" s="157"/>
      <c r="BR508" s="157"/>
      <c r="BS508" s="2"/>
      <c r="BT508" s="2"/>
      <c r="BU508" s="12"/>
      <c r="BV508" s="155"/>
      <c r="BW508" s="12"/>
      <c r="BX508" s="12"/>
      <c r="BY508" s="12"/>
      <c r="BZ508" s="12"/>
      <c r="CA508" s="12"/>
      <c r="CB508" s="12"/>
      <c r="CC508" s="12"/>
      <c r="CD508" s="12"/>
      <c r="CE508" s="12"/>
      <c r="CF508" s="12"/>
      <c r="CG508" s="12"/>
      <c r="CH508" s="12"/>
      <c r="CI508" s="12"/>
      <c r="CJ508" s="12"/>
      <c r="CK508" s="12"/>
      <c r="CL508" s="2"/>
      <c r="CM508" s="12"/>
      <c r="CN508" s="12"/>
      <c r="CO508" s="12"/>
      <c r="CP508" s="12"/>
      <c r="CQ508" s="46"/>
      <c r="CR508" s="46"/>
      <c r="CS508" s="46"/>
      <c r="CT508" s="2"/>
      <c r="CU508" s="119"/>
      <c r="CV508" s="119"/>
      <c r="CW508" s="2"/>
      <c r="CX508" s="2"/>
      <c r="CY508" s="120"/>
      <c r="CZ508" s="12"/>
      <c r="DA508" s="12"/>
      <c r="DB508" s="12"/>
      <c r="DC508" s="12"/>
      <c r="DD508" s="12"/>
      <c r="DE508" s="12"/>
      <c r="DF508" s="12"/>
      <c r="DG508" s="12"/>
      <c r="DH508" s="2"/>
      <c r="DI508" s="2"/>
      <c r="DJ508" s="48"/>
      <c r="DK508" s="48"/>
      <c r="DL508" s="48"/>
      <c r="DM508" s="13"/>
      <c r="DN508" s="13"/>
      <c r="DO508" s="12"/>
      <c r="DP508" s="12"/>
      <c r="DQ508" s="12"/>
      <c r="DR508" s="12"/>
      <c r="DS508" s="12"/>
      <c r="DT508" s="2"/>
      <c r="DU508" s="12"/>
      <c r="DV508" s="12"/>
      <c r="DW508" s="12"/>
      <c r="DX508" s="2"/>
      <c r="DY508" s="12"/>
      <c r="DZ508" s="12"/>
      <c r="EA508" s="12"/>
      <c r="EB508" s="12"/>
      <c r="EC508" s="12"/>
      <c r="ED508" s="12"/>
    </row>
    <row r="509" spans="1:134" ht="12.5" x14ac:dyDescent="0.25">
      <c r="A509" s="2"/>
      <c r="B509" s="2"/>
      <c r="C509" s="51"/>
      <c r="D509" s="2"/>
      <c r="E509" s="157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2"/>
      <c r="AZ509" s="2"/>
      <c r="BA509" s="2"/>
      <c r="BB509" s="2"/>
      <c r="BC509" s="2"/>
      <c r="BD509" s="2"/>
      <c r="BE509" s="2"/>
      <c r="BF509" s="12"/>
      <c r="BG509" s="12"/>
      <c r="BH509" s="2"/>
      <c r="BI509" s="2"/>
      <c r="BJ509" s="2"/>
      <c r="BK509" s="2"/>
      <c r="BL509" s="2"/>
      <c r="BM509" s="2"/>
      <c r="BN509" s="2"/>
      <c r="BO509" s="2"/>
      <c r="BP509" s="2"/>
      <c r="BQ509" s="157"/>
      <c r="BR509" s="157"/>
      <c r="BS509" s="2"/>
      <c r="BT509" s="2"/>
      <c r="BU509" s="12"/>
      <c r="BV509" s="155"/>
      <c r="BW509" s="12"/>
      <c r="BX509" s="12"/>
      <c r="BY509" s="12"/>
      <c r="BZ509" s="12"/>
      <c r="CA509" s="12"/>
      <c r="CB509" s="12"/>
      <c r="CC509" s="12"/>
      <c r="CD509" s="12"/>
      <c r="CE509" s="12"/>
      <c r="CF509" s="12"/>
      <c r="CG509" s="12"/>
      <c r="CH509" s="12"/>
      <c r="CI509" s="12"/>
      <c r="CJ509" s="12"/>
      <c r="CK509" s="12"/>
      <c r="CL509" s="12"/>
      <c r="CM509" s="12"/>
      <c r="CN509" s="12"/>
      <c r="CO509" s="12"/>
      <c r="CP509" s="12"/>
      <c r="CQ509" s="46"/>
      <c r="CR509" s="46"/>
      <c r="CS509" s="46"/>
      <c r="CT509" s="2"/>
      <c r="CU509" s="119"/>
      <c r="CV509" s="119"/>
      <c r="CW509" s="2"/>
      <c r="CX509" s="2"/>
      <c r="CY509" s="120"/>
      <c r="CZ509" s="12"/>
      <c r="DA509" s="12"/>
      <c r="DB509" s="12"/>
      <c r="DC509" s="12"/>
      <c r="DD509" s="12"/>
      <c r="DE509" s="12"/>
      <c r="DF509" s="12"/>
      <c r="DG509" s="12"/>
      <c r="DH509" s="2"/>
      <c r="DI509" s="2"/>
      <c r="DJ509" s="48"/>
      <c r="DK509" s="48"/>
      <c r="DL509" s="48"/>
      <c r="DM509" s="13"/>
      <c r="DN509" s="13"/>
      <c r="DO509" s="12"/>
      <c r="DP509" s="12"/>
      <c r="DQ509" s="12"/>
      <c r="DR509" s="12"/>
      <c r="DS509" s="12"/>
      <c r="DT509" s="2"/>
      <c r="DU509" s="12"/>
      <c r="DV509" s="12"/>
      <c r="DW509" s="12"/>
      <c r="DX509" s="2"/>
      <c r="DY509" s="12"/>
      <c r="DZ509" s="12"/>
      <c r="EA509" s="12"/>
      <c r="EB509" s="12"/>
      <c r="EC509" s="12"/>
      <c r="ED509" s="12"/>
    </row>
    <row r="510" spans="1:134" ht="12.5" x14ac:dyDescent="0.25">
      <c r="A510" s="2"/>
      <c r="B510" s="2"/>
      <c r="C510" s="51"/>
      <c r="D510" s="2"/>
      <c r="E510" s="157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2"/>
      <c r="AZ510" s="2"/>
      <c r="BA510" s="2"/>
      <c r="BB510" s="2"/>
      <c r="BC510" s="2"/>
      <c r="BD510" s="2"/>
      <c r="BE510" s="2"/>
      <c r="BF510" s="12"/>
      <c r="BG510" s="12"/>
      <c r="BH510" s="2"/>
      <c r="BI510" s="2"/>
      <c r="BJ510" s="2"/>
      <c r="BK510" s="2"/>
      <c r="BL510" s="2"/>
      <c r="BM510" s="2"/>
      <c r="BN510" s="2"/>
      <c r="BO510" s="2"/>
      <c r="BP510" s="2"/>
      <c r="BQ510" s="157"/>
      <c r="BR510" s="157"/>
      <c r="BS510" s="2"/>
      <c r="BT510" s="2"/>
      <c r="BU510" s="12"/>
      <c r="BV510" s="155"/>
      <c r="BW510" s="12"/>
      <c r="BX510" s="12"/>
      <c r="BY510" s="12"/>
      <c r="BZ510" s="12"/>
      <c r="CA510" s="12"/>
      <c r="CB510" s="12"/>
      <c r="CC510" s="12"/>
      <c r="CD510" s="12"/>
      <c r="CE510" s="12"/>
      <c r="CF510" s="12"/>
      <c r="CG510" s="12"/>
      <c r="CH510" s="12"/>
      <c r="CI510" s="12"/>
      <c r="CJ510" s="12"/>
      <c r="CK510" s="12"/>
      <c r="CL510" s="2"/>
      <c r="CM510" s="12"/>
      <c r="CN510" s="12"/>
      <c r="CO510" s="12"/>
      <c r="CP510" s="12"/>
      <c r="CQ510" s="46"/>
      <c r="CR510" s="46"/>
      <c r="CS510" s="46"/>
      <c r="CT510" s="2"/>
      <c r="CU510" s="119"/>
      <c r="CV510" s="119"/>
      <c r="CW510" s="2"/>
      <c r="CX510" s="2"/>
      <c r="CY510" s="120"/>
      <c r="CZ510" s="12"/>
      <c r="DA510" s="12"/>
      <c r="DB510" s="12"/>
      <c r="DC510" s="12"/>
      <c r="DD510" s="12"/>
      <c r="DE510" s="12"/>
      <c r="DF510" s="12"/>
      <c r="DG510" s="12"/>
      <c r="DH510" s="2"/>
      <c r="DI510" s="2"/>
      <c r="DJ510" s="48"/>
      <c r="DK510" s="48"/>
      <c r="DL510" s="48"/>
      <c r="DM510" s="13"/>
      <c r="DN510" s="13"/>
      <c r="DO510" s="12"/>
      <c r="DP510" s="12"/>
      <c r="DQ510" s="12"/>
      <c r="DR510" s="12"/>
      <c r="DS510" s="12"/>
      <c r="DT510" s="2"/>
      <c r="DU510" s="12"/>
      <c r="DV510" s="12"/>
      <c r="DW510" s="12"/>
      <c r="DX510" s="2"/>
      <c r="DY510" s="12"/>
      <c r="DZ510" s="12"/>
      <c r="EA510" s="12"/>
      <c r="EB510" s="12"/>
      <c r="EC510" s="12"/>
      <c r="ED510" s="12"/>
    </row>
    <row r="511" spans="1:134" ht="12.5" x14ac:dyDescent="0.25">
      <c r="A511" s="2"/>
      <c r="B511" s="2"/>
      <c r="C511" s="51"/>
      <c r="D511" s="2"/>
      <c r="E511" s="157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2"/>
      <c r="AZ511" s="2"/>
      <c r="BA511" s="2"/>
      <c r="BB511" s="2"/>
      <c r="BC511" s="2"/>
      <c r="BD511" s="2"/>
      <c r="BE511" s="2"/>
      <c r="BF511" s="12"/>
      <c r="BG511" s="12"/>
      <c r="BH511" s="2"/>
      <c r="BI511" s="2"/>
      <c r="BJ511" s="2"/>
      <c r="BK511" s="2"/>
      <c r="BL511" s="2"/>
      <c r="BM511" s="2"/>
      <c r="BN511" s="2"/>
      <c r="BO511" s="2"/>
      <c r="BP511" s="2"/>
      <c r="BQ511" s="157"/>
      <c r="BR511" s="157"/>
      <c r="BS511" s="2"/>
      <c r="BT511" s="2"/>
      <c r="BU511" s="12"/>
      <c r="BV511" s="155"/>
      <c r="BW511" s="12"/>
      <c r="BX511" s="12"/>
      <c r="BY511" s="12"/>
      <c r="BZ511" s="12"/>
      <c r="CA511" s="12"/>
      <c r="CB511" s="12"/>
      <c r="CC511" s="12"/>
      <c r="CD511" s="12"/>
      <c r="CE511" s="12"/>
      <c r="CF511" s="12"/>
      <c r="CG511" s="12"/>
      <c r="CH511" s="12"/>
      <c r="CI511" s="12"/>
      <c r="CJ511" s="12"/>
      <c r="CK511" s="12"/>
      <c r="CL511" s="2"/>
      <c r="CM511" s="12"/>
      <c r="CN511" s="12"/>
      <c r="CO511" s="12"/>
      <c r="CP511" s="12"/>
      <c r="CQ511" s="46"/>
      <c r="CR511" s="46"/>
      <c r="CS511" s="46"/>
      <c r="CT511" s="2"/>
      <c r="CU511" s="119"/>
      <c r="CV511" s="119"/>
      <c r="CW511" s="2"/>
      <c r="CX511" s="2"/>
      <c r="CY511" s="120"/>
      <c r="CZ511" s="12"/>
      <c r="DA511" s="12"/>
      <c r="DB511" s="12"/>
      <c r="DC511" s="12"/>
      <c r="DD511" s="12"/>
      <c r="DE511" s="12"/>
      <c r="DF511" s="12"/>
      <c r="DG511" s="12"/>
      <c r="DH511" s="2"/>
      <c r="DI511" s="2"/>
      <c r="DJ511" s="48"/>
      <c r="DK511" s="48"/>
      <c r="DL511" s="48"/>
      <c r="DM511" s="13"/>
      <c r="DN511" s="13"/>
      <c r="DO511" s="12"/>
      <c r="DP511" s="12"/>
      <c r="DQ511" s="12"/>
      <c r="DR511" s="12"/>
      <c r="DS511" s="12"/>
      <c r="DT511" s="2"/>
      <c r="DU511" s="12"/>
      <c r="DV511" s="12"/>
      <c r="DW511" s="12"/>
      <c r="DX511" s="2"/>
      <c r="DY511" s="12"/>
      <c r="DZ511" s="12"/>
      <c r="EA511" s="12"/>
      <c r="EB511" s="12"/>
      <c r="EC511" s="12"/>
      <c r="ED511" s="12"/>
    </row>
    <row r="512" spans="1:134" ht="12.5" x14ac:dyDescent="0.25">
      <c r="A512" s="2"/>
      <c r="B512" s="2"/>
      <c r="C512" s="51"/>
      <c r="D512" s="2"/>
      <c r="E512" s="157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2"/>
      <c r="AZ512" s="2"/>
      <c r="BA512" s="2"/>
      <c r="BB512" s="2"/>
      <c r="BC512" s="2"/>
      <c r="BD512" s="2"/>
      <c r="BE512" s="2"/>
      <c r="BF512" s="12"/>
      <c r="BG512" s="12"/>
      <c r="BH512" s="2"/>
      <c r="BI512" s="2"/>
      <c r="BJ512" s="2"/>
      <c r="BK512" s="2"/>
      <c r="BL512" s="2"/>
      <c r="BM512" s="2"/>
      <c r="BN512" s="2"/>
      <c r="BO512" s="2"/>
      <c r="BP512" s="2"/>
      <c r="BQ512" s="157"/>
      <c r="BR512" s="157"/>
      <c r="BS512" s="2"/>
      <c r="BT512" s="2"/>
      <c r="BU512" s="12"/>
      <c r="BV512" s="155"/>
      <c r="BW512" s="12"/>
      <c r="BX512" s="12"/>
      <c r="BY512" s="12"/>
      <c r="BZ512" s="12"/>
      <c r="CA512" s="12"/>
      <c r="CB512" s="12"/>
      <c r="CC512" s="12"/>
      <c r="CD512" s="12"/>
      <c r="CE512" s="12"/>
      <c r="CF512" s="12"/>
      <c r="CG512" s="12"/>
      <c r="CH512" s="12"/>
      <c r="CI512" s="12"/>
      <c r="CJ512" s="12"/>
      <c r="CK512" s="12"/>
      <c r="CL512" s="2"/>
      <c r="CM512" s="12"/>
      <c r="CN512" s="12"/>
      <c r="CO512" s="12"/>
      <c r="CP512" s="12"/>
      <c r="CQ512" s="46"/>
      <c r="CR512" s="46"/>
      <c r="CS512" s="46"/>
      <c r="CT512" s="2"/>
      <c r="CU512" s="119"/>
      <c r="CV512" s="119"/>
      <c r="CW512" s="2"/>
      <c r="CX512" s="2"/>
      <c r="CY512" s="120"/>
      <c r="CZ512" s="12"/>
      <c r="DA512" s="12"/>
      <c r="DB512" s="12"/>
      <c r="DC512" s="12"/>
      <c r="DD512" s="12"/>
      <c r="DE512" s="12"/>
      <c r="DF512" s="12"/>
      <c r="DG512" s="12"/>
      <c r="DH512" s="2"/>
      <c r="DI512" s="2"/>
      <c r="DJ512" s="48"/>
      <c r="DK512" s="48"/>
      <c r="DL512" s="48"/>
      <c r="DM512" s="13"/>
      <c r="DN512" s="13"/>
      <c r="DO512" s="12"/>
      <c r="DP512" s="12"/>
      <c r="DQ512" s="12"/>
      <c r="DR512" s="12"/>
      <c r="DS512" s="12"/>
      <c r="DT512" s="2"/>
      <c r="DU512" s="12"/>
      <c r="DV512" s="12"/>
      <c r="DW512" s="12"/>
      <c r="DX512" s="2"/>
      <c r="DY512" s="12"/>
      <c r="DZ512" s="12"/>
      <c r="EA512" s="12"/>
      <c r="EB512" s="12"/>
      <c r="EC512" s="12"/>
      <c r="ED512" s="12"/>
    </row>
    <row r="513" spans="1:134" ht="12.5" x14ac:dyDescent="0.25">
      <c r="A513" s="2"/>
      <c r="B513" s="2"/>
      <c r="C513" s="51"/>
      <c r="D513" s="2"/>
      <c r="E513" s="157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2"/>
      <c r="AZ513" s="2"/>
      <c r="BA513" s="2"/>
      <c r="BB513" s="2"/>
      <c r="BC513" s="2"/>
      <c r="BD513" s="2"/>
      <c r="BE513" s="2"/>
      <c r="BF513" s="12"/>
      <c r="BG513" s="12"/>
      <c r="BH513" s="2"/>
      <c r="BI513" s="2"/>
      <c r="BJ513" s="2"/>
      <c r="BK513" s="2"/>
      <c r="BL513" s="2"/>
      <c r="BM513" s="2"/>
      <c r="BN513" s="2"/>
      <c r="BO513" s="2"/>
      <c r="BP513" s="2"/>
      <c r="BQ513" s="157"/>
      <c r="BR513" s="157"/>
      <c r="BS513" s="2"/>
      <c r="BT513" s="2"/>
      <c r="BU513" s="12"/>
      <c r="BV513" s="155"/>
      <c r="BW513" s="12"/>
      <c r="BX513" s="12"/>
      <c r="BY513" s="12"/>
      <c r="BZ513" s="12"/>
      <c r="CA513" s="12"/>
      <c r="CB513" s="12"/>
      <c r="CC513" s="12"/>
      <c r="CD513" s="12"/>
      <c r="CE513" s="12"/>
      <c r="CF513" s="12"/>
      <c r="CG513" s="12"/>
      <c r="CH513" s="12"/>
      <c r="CI513" s="12"/>
      <c r="CJ513" s="12"/>
      <c r="CK513" s="12"/>
      <c r="CL513" s="2"/>
      <c r="CM513" s="12"/>
      <c r="CN513" s="12"/>
      <c r="CO513" s="12"/>
      <c r="CP513" s="12"/>
      <c r="CQ513" s="46"/>
      <c r="CR513" s="46"/>
      <c r="CS513" s="46"/>
      <c r="CT513" s="2"/>
      <c r="CU513" s="119"/>
      <c r="CV513" s="119"/>
      <c r="CW513" s="2"/>
      <c r="CX513" s="2"/>
      <c r="CY513" s="120"/>
      <c r="CZ513" s="12"/>
      <c r="DA513" s="12"/>
      <c r="DB513" s="12"/>
      <c r="DC513" s="12"/>
      <c r="DD513" s="12"/>
      <c r="DE513" s="12"/>
      <c r="DF513" s="12"/>
      <c r="DG513" s="12"/>
      <c r="DH513" s="2"/>
      <c r="DI513" s="2"/>
      <c r="DJ513" s="48"/>
      <c r="DK513" s="48"/>
      <c r="DL513" s="48"/>
      <c r="DM513" s="13"/>
      <c r="DN513" s="13"/>
      <c r="DO513" s="12"/>
      <c r="DP513" s="12"/>
      <c r="DQ513" s="12"/>
      <c r="DR513" s="12"/>
      <c r="DS513" s="12"/>
      <c r="DT513" s="2"/>
      <c r="DU513" s="12"/>
      <c r="DV513" s="12"/>
      <c r="DW513" s="12"/>
      <c r="DX513" s="2"/>
      <c r="DY513" s="12"/>
      <c r="DZ513" s="12"/>
      <c r="EA513" s="12"/>
      <c r="EB513" s="12"/>
      <c r="EC513" s="12"/>
      <c r="ED513" s="12"/>
    </row>
    <row r="514" spans="1:134" ht="12.5" x14ac:dyDescent="0.25">
      <c r="A514" s="2"/>
      <c r="B514" s="2"/>
      <c r="C514" s="51"/>
      <c r="D514" s="2"/>
      <c r="E514" s="157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2"/>
      <c r="AZ514" s="2"/>
      <c r="BA514" s="2"/>
      <c r="BB514" s="2"/>
      <c r="BC514" s="2"/>
      <c r="BD514" s="2"/>
      <c r="BE514" s="2"/>
      <c r="BF514" s="12"/>
      <c r="BG514" s="12"/>
      <c r="BH514" s="2"/>
      <c r="BI514" s="2"/>
      <c r="BJ514" s="2"/>
      <c r="BK514" s="2"/>
      <c r="BL514" s="2"/>
      <c r="BM514" s="2"/>
      <c r="BN514" s="2"/>
      <c r="BO514" s="2"/>
      <c r="BP514" s="2"/>
      <c r="BQ514" s="157"/>
      <c r="BR514" s="157"/>
      <c r="BS514" s="2"/>
      <c r="BT514" s="2"/>
      <c r="BU514" s="12"/>
      <c r="BV514" s="155"/>
      <c r="BW514" s="12"/>
      <c r="BX514" s="12"/>
      <c r="BY514" s="12"/>
      <c r="BZ514" s="12"/>
      <c r="CA514" s="12"/>
      <c r="CB514" s="12"/>
      <c r="CC514" s="12"/>
      <c r="CD514" s="12"/>
      <c r="CE514" s="12"/>
      <c r="CF514" s="12"/>
      <c r="CG514" s="12"/>
      <c r="CH514" s="12"/>
      <c r="CI514" s="12"/>
      <c r="CJ514" s="12"/>
      <c r="CK514" s="12"/>
      <c r="CL514" s="2"/>
      <c r="CM514" s="12"/>
      <c r="CN514" s="12"/>
      <c r="CO514" s="12"/>
      <c r="CP514" s="12"/>
      <c r="CQ514" s="46"/>
      <c r="CR514" s="46"/>
      <c r="CS514" s="46"/>
      <c r="CT514" s="2"/>
      <c r="CU514" s="119"/>
      <c r="CV514" s="119"/>
      <c r="CW514" s="2"/>
      <c r="CX514" s="2"/>
      <c r="CY514" s="120"/>
      <c r="CZ514" s="12"/>
      <c r="DA514" s="12"/>
      <c r="DB514" s="12"/>
      <c r="DC514" s="12"/>
      <c r="DD514" s="12"/>
      <c r="DE514" s="12"/>
      <c r="DF514" s="12"/>
      <c r="DG514" s="12"/>
      <c r="DH514" s="2"/>
      <c r="DI514" s="2"/>
      <c r="DJ514" s="48"/>
      <c r="DK514" s="48"/>
      <c r="DL514" s="48"/>
      <c r="DM514" s="13"/>
      <c r="DN514" s="13"/>
      <c r="DO514" s="12"/>
      <c r="DP514" s="12"/>
      <c r="DQ514" s="12"/>
      <c r="DR514" s="12"/>
      <c r="DS514" s="12"/>
      <c r="DT514" s="2"/>
      <c r="DU514" s="12"/>
      <c r="DV514" s="12"/>
      <c r="DW514" s="12"/>
      <c r="DX514" s="2"/>
      <c r="DY514" s="12"/>
      <c r="DZ514" s="12"/>
      <c r="EA514" s="12"/>
      <c r="EB514" s="12"/>
      <c r="EC514" s="12"/>
      <c r="ED514" s="12"/>
    </row>
    <row r="515" spans="1:134" ht="12.5" x14ac:dyDescent="0.25">
      <c r="A515" s="2"/>
      <c r="B515" s="2"/>
      <c r="C515" s="51"/>
      <c r="D515" s="2"/>
      <c r="E515" s="157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2"/>
      <c r="AZ515" s="2"/>
      <c r="BA515" s="2"/>
      <c r="BB515" s="2"/>
      <c r="BC515" s="2"/>
      <c r="BD515" s="2"/>
      <c r="BE515" s="2"/>
      <c r="BF515" s="12"/>
      <c r="BG515" s="12"/>
      <c r="BH515" s="2"/>
      <c r="BI515" s="2"/>
      <c r="BJ515" s="2"/>
      <c r="BK515" s="2"/>
      <c r="BL515" s="2"/>
      <c r="BM515" s="2"/>
      <c r="BN515" s="2"/>
      <c r="BO515" s="2"/>
      <c r="BP515" s="2"/>
      <c r="BQ515" s="157"/>
      <c r="BR515" s="157"/>
      <c r="BS515" s="2"/>
      <c r="BT515" s="2"/>
      <c r="BU515" s="12"/>
      <c r="BV515" s="155"/>
      <c r="BW515" s="12"/>
      <c r="BX515" s="12"/>
      <c r="BY515" s="12"/>
      <c r="BZ515" s="12"/>
      <c r="CA515" s="12"/>
      <c r="CB515" s="12"/>
      <c r="CC515" s="12"/>
      <c r="CD515" s="12"/>
      <c r="CE515" s="12"/>
      <c r="CF515" s="12"/>
      <c r="CG515" s="12"/>
      <c r="CH515" s="12"/>
      <c r="CI515" s="12"/>
      <c r="CJ515" s="12"/>
      <c r="CK515" s="12"/>
      <c r="CL515" s="12"/>
      <c r="CM515" s="12"/>
      <c r="CN515" s="12"/>
      <c r="CO515" s="12"/>
      <c r="CP515" s="12"/>
      <c r="CQ515" s="46"/>
      <c r="CR515" s="46"/>
      <c r="CS515" s="46"/>
      <c r="CT515" s="2"/>
      <c r="CU515" s="119"/>
      <c r="CV515" s="119"/>
      <c r="CW515" s="2"/>
      <c r="CX515" s="2"/>
      <c r="CY515" s="120"/>
      <c r="CZ515" s="12"/>
      <c r="DA515" s="12"/>
      <c r="DB515" s="12"/>
      <c r="DC515" s="12"/>
      <c r="DD515" s="12"/>
      <c r="DE515" s="12"/>
      <c r="DF515" s="12"/>
      <c r="DG515" s="12"/>
      <c r="DH515" s="2"/>
      <c r="DI515" s="2"/>
      <c r="DJ515" s="48"/>
      <c r="DK515" s="48"/>
      <c r="DL515" s="48"/>
      <c r="DM515" s="13"/>
      <c r="DN515" s="13"/>
      <c r="DO515" s="12"/>
      <c r="DP515" s="12"/>
      <c r="DQ515" s="12"/>
      <c r="DR515" s="12"/>
      <c r="DS515" s="12"/>
      <c r="DT515" s="2"/>
      <c r="DU515" s="12"/>
      <c r="DV515" s="12"/>
      <c r="DW515" s="12"/>
      <c r="DX515" s="2"/>
      <c r="DY515" s="12"/>
      <c r="DZ515" s="12"/>
      <c r="EA515" s="12"/>
      <c r="EB515" s="12"/>
      <c r="EC515" s="12"/>
      <c r="ED515" s="12"/>
    </row>
    <row r="516" spans="1:134" ht="12.5" x14ac:dyDescent="0.25">
      <c r="A516" s="2"/>
      <c r="B516" s="2"/>
      <c r="C516" s="51"/>
      <c r="D516" s="2"/>
      <c r="E516" s="157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2"/>
      <c r="AZ516" s="2"/>
      <c r="BA516" s="2"/>
      <c r="BB516" s="2"/>
      <c r="BC516" s="2"/>
      <c r="BD516" s="2"/>
      <c r="BE516" s="2"/>
      <c r="BF516" s="12"/>
      <c r="BG516" s="12"/>
      <c r="BH516" s="2"/>
      <c r="BI516" s="2"/>
      <c r="BJ516" s="2"/>
      <c r="BK516" s="2"/>
      <c r="BL516" s="2"/>
      <c r="BM516" s="2"/>
      <c r="BN516" s="2"/>
      <c r="BO516" s="2"/>
      <c r="BP516" s="2"/>
      <c r="BQ516" s="157"/>
      <c r="BR516" s="157"/>
      <c r="BS516" s="2"/>
      <c r="BT516" s="2"/>
      <c r="BU516" s="12"/>
      <c r="BV516" s="155"/>
      <c r="BW516" s="12"/>
      <c r="BX516" s="12"/>
      <c r="BY516" s="12"/>
      <c r="BZ516" s="12"/>
      <c r="CA516" s="12"/>
      <c r="CB516" s="12"/>
      <c r="CC516" s="12"/>
      <c r="CD516" s="12"/>
      <c r="CE516" s="12"/>
      <c r="CF516" s="12"/>
      <c r="CG516" s="12"/>
      <c r="CH516" s="12"/>
      <c r="CI516" s="12"/>
      <c r="CJ516" s="12"/>
      <c r="CK516" s="12"/>
      <c r="CL516" s="2"/>
      <c r="CM516" s="12"/>
      <c r="CN516" s="12"/>
      <c r="CO516" s="12"/>
      <c r="CP516" s="12"/>
      <c r="CQ516" s="46"/>
      <c r="CR516" s="46"/>
      <c r="CS516" s="46"/>
      <c r="CT516" s="2"/>
      <c r="CU516" s="119"/>
      <c r="CV516" s="119"/>
      <c r="CW516" s="2"/>
      <c r="CX516" s="2"/>
      <c r="CY516" s="120"/>
      <c r="CZ516" s="12"/>
      <c r="DA516" s="12"/>
      <c r="DB516" s="12"/>
      <c r="DC516" s="12"/>
      <c r="DD516" s="12"/>
      <c r="DE516" s="12"/>
      <c r="DF516" s="12"/>
      <c r="DG516" s="12"/>
      <c r="DH516" s="2"/>
      <c r="DI516" s="2"/>
      <c r="DJ516" s="48"/>
      <c r="DK516" s="48"/>
      <c r="DL516" s="48"/>
      <c r="DM516" s="13"/>
      <c r="DN516" s="13"/>
      <c r="DO516" s="12"/>
      <c r="DP516" s="12"/>
      <c r="DQ516" s="12"/>
      <c r="DR516" s="12"/>
      <c r="DS516" s="12"/>
      <c r="DT516" s="2"/>
      <c r="DU516" s="12"/>
      <c r="DV516" s="12"/>
      <c r="DW516" s="12"/>
      <c r="DX516" s="2"/>
      <c r="DY516" s="12"/>
      <c r="DZ516" s="12"/>
      <c r="EA516" s="12"/>
      <c r="EB516" s="12"/>
      <c r="EC516" s="12"/>
      <c r="ED516" s="12"/>
    </row>
    <row r="517" spans="1:134" ht="12.5" x14ac:dyDescent="0.25">
      <c r="A517" s="2"/>
      <c r="B517" s="2"/>
      <c r="C517" s="51"/>
      <c r="D517" s="2"/>
      <c r="E517" s="157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2"/>
      <c r="AZ517" s="2"/>
      <c r="BA517" s="2"/>
      <c r="BB517" s="2"/>
      <c r="BC517" s="2"/>
      <c r="BD517" s="2"/>
      <c r="BE517" s="2"/>
      <c r="BF517" s="12"/>
      <c r="BG517" s="12"/>
      <c r="BH517" s="2"/>
      <c r="BI517" s="2"/>
      <c r="BJ517" s="2"/>
      <c r="BK517" s="2"/>
      <c r="BL517" s="2"/>
      <c r="BM517" s="2"/>
      <c r="BN517" s="2"/>
      <c r="BO517" s="2"/>
      <c r="BP517" s="2"/>
      <c r="BQ517" s="157"/>
      <c r="BR517" s="157"/>
      <c r="BS517" s="2"/>
      <c r="BT517" s="2"/>
      <c r="BU517" s="12"/>
      <c r="BV517" s="155"/>
      <c r="BW517" s="12"/>
      <c r="BX517" s="12"/>
      <c r="BY517" s="12"/>
      <c r="BZ517" s="12"/>
      <c r="CA517" s="12"/>
      <c r="CB517" s="12"/>
      <c r="CC517" s="12"/>
      <c r="CD517" s="12"/>
      <c r="CE517" s="12"/>
      <c r="CF517" s="12"/>
      <c r="CG517" s="12"/>
      <c r="CH517" s="12"/>
      <c r="CI517" s="12"/>
      <c r="CJ517" s="12"/>
      <c r="CK517" s="12"/>
      <c r="CL517" s="12"/>
      <c r="CM517" s="12"/>
      <c r="CN517" s="12"/>
      <c r="CO517" s="12"/>
      <c r="CP517" s="12"/>
      <c r="CQ517" s="46"/>
      <c r="CR517" s="46"/>
      <c r="CS517" s="46"/>
      <c r="CT517" s="2"/>
      <c r="CU517" s="119"/>
      <c r="CV517" s="119"/>
      <c r="CW517" s="2"/>
      <c r="CX517" s="2"/>
      <c r="CY517" s="120"/>
      <c r="CZ517" s="12"/>
      <c r="DA517" s="12"/>
      <c r="DB517" s="12"/>
      <c r="DC517" s="12"/>
      <c r="DD517" s="12"/>
      <c r="DE517" s="12"/>
      <c r="DF517" s="12"/>
      <c r="DG517" s="12"/>
      <c r="DH517" s="2"/>
      <c r="DI517" s="2"/>
      <c r="DJ517" s="48"/>
      <c r="DK517" s="48"/>
      <c r="DL517" s="48"/>
      <c r="DM517" s="13"/>
      <c r="DN517" s="13"/>
      <c r="DO517" s="12"/>
      <c r="DP517" s="12"/>
      <c r="DQ517" s="12"/>
      <c r="DR517" s="12"/>
      <c r="DS517" s="12"/>
      <c r="DT517" s="2"/>
      <c r="DU517" s="12"/>
      <c r="DV517" s="12"/>
      <c r="DW517" s="12"/>
      <c r="DX517" s="2"/>
      <c r="DY517" s="12"/>
      <c r="DZ517" s="12"/>
      <c r="EA517" s="12"/>
      <c r="EB517" s="12"/>
      <c r="EC517" s="12"/>
      <c r="ED517" s="12"/>
    </row>
    <row r="518" spans="1:134" ht="12.5" x14ac:dyDescent="0.25">
      <c r="A518" s="2"/>
      <c r="B518" s="2"/>
      <c r="C518" s="51"/>
      <c r="D518" s="2"/>
      <c r="E518" s="157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2"/>
      <c r="AZ518" s="2"/>
      <c r="BA518" s="2"/>
      <c r="BB518" s="2"/>
      <c r="BC518" s="2"/>
      <c r="BD518" s="2"/>
      <c r="BE518" s="2"/>
      <c r="BF518" s="12"/>
      <c r="BG518" s="12"/>
      <c r="BH518" s="2"/>
      <c r="BI518" s="2"/>
      <c r="BJ518" s="2"/>
      <c r="BK518" s="2"/>
      <c r="BL518" s="2"/>
      <c r="BM518" s="2"/>
      <c r="BN518" s="2"/>
      <c r="BO518" s="2"/>
      <c r="BP518" s="2"/>
      <c r="BQ518" s="157"/>
      <c r="BR518" s="157"/>
      <c r="BS518" s="2"/>
      <c r="BT518" s="2"/>
      <c r="BU518" s="12"/>
      <c r="BV518" s="155"/>
      <c r="BW518" s="12"/>
      <c r="BX518" s="12"/>
      <c r="BY518" s="12"/>
      <c r="BZ518" s="12"/>
      <c r="CA518" s="12"/>
      <c r="CB518" s="12"/>
      <c r="CC518" s="12"/>
      <c r="CD518" s="12"/>
      <c r="CE518" s="12"/>
      <c r="CF518" s="12"/>
      <c r="CG518" s="12"/>
      <c r="CH518" s="12"/>
      <c r="CI518" s="12"/>
      <c r="CJ518" s="12"/>
      <c r="CK518" s="12"/>
      <c r="CL518" s="2"/>
      <c r="CM518" s="12"/>
      <c r="CN518" s="12"/>
      <c r="CO518" s="12"/>
      <c r="CP518" s="12"/>
      <c r="CQ518" s="46"/>
      <c r="CR518" s="46"/>
      <c r="CS518" s="46"/>
      <c r="CT518" s="2"/>
      <c r="CU518" s="119"/>
      <c r="CV518" s="119"/>
      <c r="CW518" s="2"/>
      <c r="CX518" s="2"/>
      <c r="CY518" s="120"/>
      <c r="CZ518" s="12"/>
      <c r="DA518" s="12"/>
      <c r="DB518" s="12"/>
      <c r="DC518" s="12"/>
      <c r="DD518" s="12"/>
      <c r="DE518" s="12"/>
      <c r="DF518" s="12"/>
      <c r="DG518" s="12"/>
      <c r="DH518" s="2"/>
      <c r="DI518" s="2"/>
      <c r="DJ518" s="48"/>
      <c r="DK518" s="48"/>
      <c r="DL518" s="48"/>
      <c r="DM518" s="13"/>
      <c r="DN518" s="13"/>
      <c r="DO518" s="12"/>
      <c r="DP518" s="12"/>
      <c r="DQ518" s="12"/>
      <c r="DR518" s="12"/>
      <c r="DS518" s="12"/>
      <c r="DT518" s="2"/>
      <c r="DU518" s="12"/>
      <c r="DV518" s="12"/>
      <c r="DW518" s="12"/>
      <c r="DX518" s="2"/>
      <c r="DY518" s="12"/>
      <c r="DZ518" s="12"/>
      <c r="EA518" s="12"/>
      <c r="EB518" s="12"/>
      <c r="EC518" s="12"/>
      <c r="ED518" s="12"/>
    </row>
    <row r="519" spans="1:134" ht="12.5" x14ac:dyDescent="0.25">
      <c r="A519" s="2"/>
      <c r="B519" s="2"/>
      <c r="C519" s="51"/>
      <c r="D519" s="2"/>
      <c r="E519" s="157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2"/>
      <c r="AZ519" s="2"/>
      <c r="BA519" s="2"/>
      <c r="BB519" s="2"/>
      <c r="BC519" s="2"/>
      <c r="BD519" s="2"/>
      <c r="BE519" s="2"/>
      <c r="BF519" s="12"/>
      <c r="BG519" s="12"/>
      <c r="BH519" s="2"/>
      <c r="BI519" s="2"/>
      <c r="BJ519" s="2"/>
      <c r="BK519" s="2"/>
      <c r="BL519" s="2"/>
      <c r="BM519" s="2"/>
      <c r="BN519" s="2"/>
      <c r="BO519" s="2"/>
      <c r="BP519" s="2"/>
      <c r="BQ519" s="157"/>
      <c r="BR519" s="157"/>
      <c r="BS519" s="2"/>
      <c r="BT519" s="2"/>
      <c r="BU519" s="12"/>
      <c r="BV519" s="155"/>
      <c r="BW519" s="12"/>
      <c r="BX519" s="12"/>
      <c r="BY519" s="12"/>
      <c r="BZ519" s="12"/>
      <c r="CA519" s="12"/>
      <c r="CB519" s="12"/>
      <c r="CC519" s="12"/>
      <c r="CD519" s="12"/>
      <c r="CE519" s="12"/>
      <c r="CF519" s="12"/>
      <c r="CG519" s="12"/>
      <c r="CH519" s="12"/>
      <c r="CI519" s="12"/>
      <c r="CJ519" s="12"/>
      <c r="CK519" s="12"/>
      <c r="CL519" s="12"/>
      <c r="CM519" s="12"/>
      <c r="CN519" s="12"/>
      <c r="CO519" s="12"/>
      <c r="CP519" s="12"/>
      <c r="CQ519" s="46"/>
      <c r="CR519" s="46"/>
      <c r="CS519" s="46"/>
      <c r="CT519" s="2"/>
      <c r="CU519" s="119"/>
      <c r="CV519" s="119"/>
      <c r="CW519" s="2"/>
      <c r="CX519" s="2"/>
      <c r="CY519" s="120"/>
      <c r="CZ519" s="12"/>
      <c r="DA519" s="12"/>
      <c r="DB519" s="12"/>
      <c r="DC519" s="12"/>
      <c r="DD519" s="12"/>
      <c r="DE519" s="12"/>
      <c r="DF519" s="12"/>
      <c r="DG519" s="12"/>
      <c r="DH519" s="2"/>
      <c r="DI519" s="2"/>
      <c r="DJ519" s="48"/>
      <c r="DK519" s="48"/>
      <c r="DL519" s="48"/>
      <c r="DM519" s="13"/>
      <c r="DN519" s="13"/>
      <c r="DO519" s="12"/>
      <c r="DP519" s="12"/>
      <c r="DQ519" s="12"/>
      <c r="DR519" s="12"/>
      <c r="DS519" s="12"/>
      <c r="DT519" s="2"/>
      <c r="DU519" s="12"/>
      <c r="DV519" s="12"/>
      <c r="DW519" s="12"/>
      <c r="DX519" s="2"/>
      <c r="DY519" s="12"/>
      <c r="DZ519" s="12"/>
      <c r="EA519" s="12"/>
      <c r="EB519" s="12"/>
      <c r="EC519" s="12"/>
      <c r="ED519" s="12"/>
    </row>
    <row r="520" spans="1:134" ht="12.5" x14ac:dyDescent="0.25">
      <c r="A520" s="2"/>
      <c r="B520" s="2"/>
      <c r="C520" s="51"/>
      <c r="D520" s="2"/>
      <c r="E520" s="157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2"/>
      <c r="AZ520" s="2"/>
      <c r="BA520" s="2"/>
      <c r="BB520" s="2"/>
      <c r="BC520" s="2"/>
      <c r="BD520" s="2"/>
      <c r="BE520" s="2"/>
      <c r="BF520" s="12"/>
      <c r="BG520" s="12"/>
      <c r="BH520" s="2"/>
      <c r="BI520" s="2"/>
      <c r="BJ520" s="2"/>
      <c r="BK520" s="2"/>
      <c r="BL520" s="2"/>
      <c r="BM520" s="2"/>
      <c r="BN520" s="2"/>
      <c r="BO520" s="2"/>
      <c r="BP520" s="2"/>
      <c r="BQ520" s="157"/>
      <c r="BR520" s="157"/>
      <c r="BS520" s="2"/>
      <c r="BT520" s="2"/>
      <c r="BU520" s="12"/>
      <c r="BV520" s="155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2"/>
      <c r="CM520" s="12"/>
      <c r="CN520" s="12"/>
      <c r="CO520" s="12"/>
      <c r="CP520" s="12"/>
      <c r="CQ520" s="46"/>
      <c r="CR520" s="46"/>
      <c r="CS520" s="46"/>
      <c r="CT520" s="2"/>
      <c r="CU520" s="119"/>
      <c r="CV520" s="119"/>
      <c r="CW520" s="2"/>
      <c r="CX520" s="2"/>
      <c r="CY520" s="120"/>
      <c r="CZ520" s="12"/>
      <c r="DA520" s="12"/>
      <c r="DB520" s="12"/>
      <c r="DC520" s="12"/>
      <c r="DD520" s="12"/>
      <c r="DE520" s="12"/>
      <c r="DF520" s="12"/>
      <c r="DG520" s="12"/>
      <c r="DH520" s="2"/>
      <c r="DI520" s="2"/>
      <c r="DJ520" s="48"/>
      <c r="DK520" s="48"/>
      <c r="DL520" s="48"/>
      <c r="DM520" s="13"/>
      <c r="DN520" s="13"/>
      <c r="DO520" s="12"/>
      <c r="DP520" s="12"/>
      <c r="DQ520" s="12"/>
      <c r="DR520" s="12"/>
      <c r="DS520" s="12"/>
      <c r="DT520" s="2"/>
      <c r="DU520" s="12"/>
      <c r="DV520" s="12"/>
      <c r="DW520" s="12"/>
      <c r="DX520" s="2"/>
      <c r="DY520" s="12"/>
      <c r="DZ520" s="12"/>
      <c r="EA520" s="12"/>
      <c r="EB520" s="12"/>
      <c r="EC520" s="12"/>
      <c r="ED520" s="12"/>
    </row>
    <row r="521" spans="1:134" ht="12.5" x14ac:dyDescent="0.25">
      <c r="A521" s="2"/>
      <c r="B521" s="2"/>
      <c r="C521" s="51"/>
      <c r="D521" s="2"/>
      <c r="E521" s="157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2"/>
      <c r="AZ521" s="2"/>
      <c r="BA521" s="2"/>
      <c r="BB521" s="2"/>
      <c r="BC521" s="2"/>
      <c r="BD521" s="2"/>
      <c r="BE521" s="2"/>
      <c r="BF521" s="12"/>
      <c r="BG521" s="12"/>
      <c r="BH521" s="2"/>
      <c r="BI521" s="2"/>
      <c r="BJ521" s="2"/>
      <c r="BK521" s="2"/>
      <c r="BL521" s="2"/>
      <c r="BM521" s="2"/>
      <c r="BN521" s="2"/>
      <c r="BO521" s="2"/>
      <c r="BP521" s="2"/>
      <c r="BQ521" s="157"/>
      <c r="BR521" s="157"/>
      <c r="BS521" s="2"/>
      <c r="BT521" s="2"/>
      <c r="BU521" s="12"/>
      <c r="BV521" s="155"/>
      <c r="BW521" s="12"/>
      <c r="BX521" s="12"/>
      <c r="BY521" s="12"/>
      <c r="BZ521" s="12"/>
      <c r="CA521" s="12"/>
      <c r="CB521" s="12"/>
      <c r="CC521" s="12"/>
      <c r="CD521" s="12"/>
      <c r="CE521" s="12"/>
      <c r="CF521" s="12"/>
      <c r="CG521" s="12"/>
      <c r="CH521" s="12"/>
      <c r="CI521" s="12"/>
      <c r="CJ521" s="12"/>
      <c r="CK521" s="12"/>
      <c r="CL521" s="2"/>
      <c r="CM521" s="12"/>
      <c r="CN521" s="12"/>
      <c r="CO521" s="12"/>
      <c r="CP521" s="12"/>
      <c r="CQ521" s="46"/>
      <c r="CR521" s="46"/>
      <c r="CS521" s="46"/>
      <c r="CT521" s="2"/>
      <c r="CU521" s="119"/>
      <c r="CV521" s="119"/>
      <c r="CW521" s="2"/>
      <c r="CX521" s="2"/>
      <c r="CY521" s="120"/>
      <c r="CZ521" s="12"/>
      <c r="DA521" s="12"/>
      <c r="DB521" s="12"/>
      <c r="DC521" s="12"/>
      <c r="DD521" s="12"/>
      <c r="DE521" s="12"/>
      <c r="DF521" s="12"/>
      <c r="DG521" s="12"/>
      <c r="DH521" s="2"/>
      <c r="DI521" s="2"/>
      <c r="DJ521" s="48"/>
      <c r="DK521" s="48"/>
      <c r="DL521" s="48"/>
      <c r="DM521" s="13"/>
      <c r="DN521" s="13"/>
      <c r="DO521" s="12"/>
      <c r="DP521" s="12"/>
      <c r="DQ521" s="12"/>
      <c r="DR521" s="12"/>
      <c r="DS521" s="12"/>
      <c r="DT521" s="2"/>
      <c r="DU521" s="12"/>
      <c r="DV521" s="12"/>
      <c r="DW521" s="12"/>
      <c r="DX521" s="2"/>
      <c r="DY521" s="12"/>
      <c r="DZ521" s="12"/>
      <c r="EA521" s="12"/>
      <c r="EB521" s="12"/>
      <c r="EC521" s="12"/>
      <c r="ED521" s="12"/>
    </row>
    <row r="522" spans="1:134" ht="12.5" x14ac:dyDescent="0.25">
      <c r="A522" s="2"/>
      <c r="B522" s="2"/>
      <c r="C522" s="51"/>
      <c r="D522" s="2"/>
      <c r="E522" s="157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2"/>
      <c r="AZ522" s="2"/>
      <c r="BA522" s="2"/>
      <c r="BB522" s="2"/>
      <c r="BC522" s="2"/>
      <c r="BD522" s="2"/>
      <c r="BE522" s="2"/>
      <c r="BF522" s="12"/>
      <c r="BG522" s="12"/>
      <c r="BH522" s="2"/>
      <c r="BI522" s="2"/>
      <c r="BJ522" s="2"/>
      <c r="BK522" s="2"/>
      <c r="BL522" s="2"/>
      <c r="BM522" s="2"/>
      <c r="BN522" s="2"/>
      <c r="BO522" s="2"/>
      <c r="BP522" s="2"/>
      <c r="BQ522" s="157"/>
      <c r="BR522" s="157"/>
      <c r="BS522" s="2"/>
      <c r="BT522" s="2"/>
      <c r="BU522" s="12"/>
      <c r="BV522" s="155"/>
      <c r="BW522" s="12"/>
      <c r="BX522" s="12"/>
      <c r="BY522" s="12"/>
      <c r="BZ522" s="12"/>
      <c r="CA522" s="12"/>
      <c r="CB522" s="12"/>
      <c r="CC522" s="12"/>
      <c r="CD522" s="12"/>
      <c r="CE522" s="12"/>
      <c r="CF522" s="12"/>
      <c r="CG522" s="12"/>
      <c r="CH522" s="12"/>
      <c r="CI522" s="12"/>
      <c r="CJ522" s="12"/>
      <c r="CK522" s="12"/>
      <c r="CL522" s="2"/>
      <c r="CM522" s="12"/>
      <c r="CN522" s="12"/>
      <c r="CO522" s="12"/>
      <c r="CP522" s="12"/>
      <c r="CQ522" s="46"/>
      <c r="CR522" s="46"/>
      <c r="CS522" s="46"/>
      <c r="CT522" s="2"/>
      <c r="CU522" s="119"/>
      <c r="CV522" s="119"/>
      <c r="CW522" s="2"/>
      <c r="CX522" s="2"/>
      <c r="CY522" s="120"/>
      <c r="CZ522" s="12"/>
      <c r="DA522" s="12"/>
      <c r="DB522" s="12"/>
      <c r="DC522" s="12"/>
      <c r="DD522" s="12"/>
      <c r="DE522" s="12"/>
      <c r="DF522" s="12"/>
      <c r="DG522" s="12"/>
      <c r="DH522" s="2"/>
      <c r="DI522" s="2"/>
      <c r="DJ522" s="48"/>
      <c r="DK522" s="48"/>
      <c r="DL522" s="48"/>
      <c r="DM522" s="13"/>
      <c r="DN522" s="13"/>
      <c r="DO522" s="12"/>
      <c r="DP522" s="12"/>
      <c r="DQ522" s="12"/>
      <c r="DR522" s="12"/>
      <c r="DS522" s="12"/>
      <c r="DT522" s="2"/>
      <c r="DU522" s="12"/>
      <c r="DV522" s="12"/>
      <c r="DW522" s="12"/>
      <c r="DX522" s="2"/>
      <c r="DY522" s="12"/>
      <c r="DZ522" s="12"/>
      <c r="EA522" s="12"/>
      <c r="EB522" s="12"/>
      <c r="EC522" s="12"/>
      <c r="ED522" s="12"/>
    </row>
    <row r="523" spans="1:134" ht="12.5" x14ac:dyDescent="0.25">
      <c r="A523" s="2"/>
      <c r="B523" s="2"/>
      <c r="C523" s="51"/>
      <c r="D523" s="2"/>
      <c r="E523" s="157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2"/>
      <c r="AZ523" s="2"/>
      <c r="BA523" s="2"/>
      <c r="BB523" s="2"/>
      <c r="BC523" s="2"/>
      <c r="BD523" s="2"/>
      <c r="BE523" s="2"/>
      <c r="BF523" s="12"/>
      <c r="BG523" s="12"/>
      <c r="BH523" s="2"/>
      <c r="BI523" s="2"/>
      <c r="BJ523" s="2"/>
      <c r="BK523" s="2"/>
      <c r="BL523" s="2"/>
      <c r="BM523" s="2"/>
      <c r="BN523" s="2"/>
      <c r="BO523" s="2"/>
      <c r="BP523" s="2"/>
      <c r="BQ523" s="157"/>
      <c r="BR523" s="157"/>
      <c r="BS523" s="2"/>
      <c r="BT523" s="2"/>
      <c r="BU523" s="12"/>
      <c r="BV523" s="155"/>
      <c r="BW523" s="12"/>
      <c r="BX523" s="12"/>
      <c r="BY523" s="12"/>
      <c r="BZ523" s="12"/>
      <c r="CA523" s="12"/>
      <c r="CB523" s="12"/>
      <c r="CC523" s="12"/>
      <c r="CD523" s="12"/>
      <c r="CE523" s="12"/>
      <c r="CF523" s="12"/>
      <c r="CG523" s="12"/>
      <c r="CH523" s="12"/>
      <c r="CI523" s="12"/>
      <c r="CJ523" s="12"/>
      <c r="CK523" s="12"/>
      <c r="CL523" s="12"/>
      <c r="CM523" s="12"/>
      <c r="CN523" s="12"/>
      <c r="CO523" s="12"/>
      <c r="CP523" s="12"/>
      <c r="CQ523" s="46"/>
      <c r="CR523" s="46"/>
      <c r="CS523" s="46"/>
      <c r="CT523" s="2"/>
      <c r="CU523" s="119"/>
      <c r="CV523" s="119"/>
      <c r="CW523" s="2"/>
      <c r="CX523" s="2"/>
      <c r="CY523" s="120"/>
      <c r="CZ523" s="12"/>
      <c r="DA523" s="12"/>
      <c r="DB523" s="12"/>
      <c r="DC523" s="12"/>
      <c r="DD523" s="12"/>
      <c r="DE523" s="12"/>
      <c r="DF523" s="12"/>
      <c r="DG523" s="12"/>
      <c r="DH523" s="2"/>
      <c r="DI523" s="2"/>
      <c r="DJ523" s="48"/>
      <c r="DK523" s="48"/>
      <c r="DL523" s="48"/>
      <c r="DM523" s="13"/>
      <c r="DN523" s="13"/>
      <c r="DO523" s="12"/>
      <c r="DP523" s="12"/>
      <c r="DQ523" s="12"/>
      <c r="DR523" s="12"/>
      <c r="DS523" s="12"/>
      <c r="DT523" s="2"/>
      <c r="DU523" s="12"/>
      <c r="DV523" s="12"/>
      <c r="DW523" s="12"/>
      <c r="DX523" s="2"/>
      <c r="DY523" s="12"/>
      <c r="DZ523" s="12"/>
      <c r="EA523" s="12"/>
      <c r="EB523" s="12"/>
      <c r="EC523" s="12"/>
      <c r="ED523" s="12"/>
    </row>
    <row r="524" spans="1:134" ht="12.5" x14ac:dyDescent="0.25">
      <c r="A524" s="2"/>
      <c r="B524" s="2"/>
      <c r="C524" s="51"/>
      <c r="D524" s="2"/>
      <c r="E524" s="157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2"/>
      <c r="AZ524" s="2"/>
      <c r="BA524" s="2"/>
      <c r="BB524" s="2"/>
      <c r="BC524" s="2"/>
      <c r="BD524" s="2"/>
      <c r="BE524" s="2"/>
      <c r="BF524" s="12"/>
      <c r="BG524" s="12"/>
      <c r="BH524" s="2"/>
      <c r="BI524" s="2"/>
      <c r="BJ524" s="2"/>
      <c r="BK524" s="2"/>
      <c r="BL524" s="2"/>
      <c r="BM524" s="2"/>
      <c r="BN524" s="2"/>
      <c r="BO524" s="2"/>
      <c r="BP524" s="2"/>
      <c r="BQ524" s="157"/>
      <c r="BR524" s="157"/>
      <c r="BS524" s="2"/>
      <c r="BT524" s="2"/>
      <c r="BU524" s="12"/>
      <c r="BV524" s="155"/>
      <c r="BW524" s="12"/>
      <c r="BX524" s="12"/>
      <c r="BY524" s="12"/>
      <c r="BZ524" s="12"/>
      <c r="CA524" s="12"/>
      <c r="CB524" s="12"/>
      <c r="CC524" s="12"/>
      <c r="CD524" s="12"/>
      <c r="CE524" s="12"/>
      <c r="CF524" s="12"/>
      <c r="CG524" s="12"/>
      <c r="CH524" s="12"/>
      <c r="CI524" s="12"/>
      <c r="CJ524" s="12"/>
      <c r="CK524" s="12"/>
      <c r="CL524" s="12"/>
      <c r="CM524" s="12"/>
      <c r="CN524" s="12"/>
      <c r="CO524" s="12"/>
      <c r="CP524" s="12"/>
      <c r="CQ524" s="46"/>
      <c r="CR524" s="46"/>
      <c r="CS524" s="46"/>
      <c r="CT524" s="2"/>
      <c r="CU524" s="119"/>
      <c r="CV524" s="119"/>
      <c r="CW524" s="2"/>
      <c r="CX524" s="2"/>
      <c r="CY524" s="120"/>
      <c r="CZ524" s="12"/>
      <c r="DA524" s="12"/>
      <c r="DB524" s="12"/>
      <c r="DC524" s="12"/>
      <c r="DD524" s="12"/>
      <c r="DE524" s="12"/>
      <c r="DF524" s="12"/>
      <c r="DG524" s="12"/>
      <c r="DH524" s="2"/>
      <c r="DI524" s="2"/>
      <c r="DJ524" s="48"/>
      <c r="DK524" s="48"/>
      <c r="DL524" s="48"/>
      <c r="DM524" s="13"/>
      <c r="DN524" s="13"/>
      <c r="DO524" s="12"/>
      <c r="DP524" s="12"/>
      <c r="DQ524" s="12"/>
      <c r="DR524" s="12"/>
      <c r="DS524" s="12"/>
      <c r="DT524" s="2"/>
      <c r="DU524" s="12"/>
      <c r="DV524" s="12"/>
      <c r="DW524" s="12"/>
      <c r="DX524" s="2"/>
      <c r="DY524" s="12"/>
      <c r="DZ524" s="12"/>
      <c r="EA524" s="12"/>
      <c r="EB524" s="12"/>
      <c r="EC524" s="12"/>
      <c r="ED524" s="12"/>
    </row>
    <row r="525" spans="1:134" ht="12.5" x14ac:dyDescent="0.25">
      <c r="A525" s="2"/>
      <c r="B525" s="2"/>
      <c r="C525" s="51"/>
      <c r="D525" s="2"/>
      <c r="E525" s="157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2"/>
      <c r="AZ525" s="2"/>
      <c r="BA525" s="2"/>
      <c r="BB525" s="2"/>
      <c r="BC525" s="2"/>
      <c r="BD525" s="2"/>
      <c r="BE525" s="2"/>
      <c r="BF525" s="12"/>
      <c r="BG525" s="12"/>
      <c r="BH525" s="2"/>
      <c r="BI525" s="2"/>
      <c r="BJ525" s="2"/>
      <c r="BK525" s="2"/>
      <c r="BL525" s="2"/>
      <c r="BM525" s="2"/>
      <c r="BN525" s="2"/>
      <c r="BO525" s="2"/>
      <c r="BP525" s="2"/>
      <c r="BQ525" s="157"/>
      <c r="BR525" s="157"/>
      <c r="BS525" s="2"/>
      <c r="BT525" s="2"/>
      <c r="BU525" s="12"/>
      <c r="BV525" s="155"/>
      <c r="BW525" s="12"/>
      <c r="BX525" s="12"/>
      <c r="BY525" s="12"/>
      <c r="BZ525" s="12"/>
      <c r="CA525" s="12"/>
      <c r="CB525" s="12"/>
      <c r="CC525" s="12"/>
      <c r="CD525" s="12"/>
      <c r="CE525" s="12"/>
      <c r="CF525" s="12"/>
      <c r="CG525" s="12"/>
      <c r="CH525" s="12"/>
      <c r="CI525" s="12"/>
      <c r="CJ525" s="12"/>
      <c r="CK525" s="12"/>
      <c r="CL525" s="12"/>
      <c r="CM525" s="12"/>
      <c r="CN525" s="12"/>
      <c r="CO525" s="12"/>
      <c r="CP525" s="12"/>
      <c r="CQ525" s="46"/>
      <c r="CR525" s="46"/>
      <c r="CS525" s="46"/>
      <c r="CT525" s="2"/>
      <c r="CU525" s="119"/>
      <c r="CV525" s="119"/>
      <c r="CW525" s="2"/>
      <c r="CX525" s="2"/>
      <c r="CY525" s="120"/>
      <c r="CZ525" s="12"/>
      <c r="DA525" s="12"/>
      <c r="DB525" s="12"/>
      <c r="DC525" s="12"/>
      <c r="DD525" s="12"/>
      <c r="DE525" s="12"/>
      <c r="DF525" s="12"/>
      <c r="DG525" s="12"/>
      <c r="DH525" s="2"/>
      <c r="DI525" s="2"/>
      <c r="DJ525" s="48"/>
      <c r="DK525" s="48"/>
      <c r="DL525" s="48"/>
      <c r="DM525" s="13"/>
      <c r="DN525" s="13"/>
      <c r="DO525" s="12"/>
      <c r="DP525" s="12"/>
      <c r="DQ525" s="12"/>
      <c r="DR525" s="12"/>
      <c r="DS525" s="12"/>
      <c r="DT525" s="2"/>
      <c r="DU525" s="12"/>
      <c r="DV525" s="12"/>
      <c r="DW525" s="12"/>
      <c r="DX525" s="2"/>
      <c r="DY525" s="12"/>
      <c r="DZ525" s="12"/>
      <c r="EA525" s="12"/>
      <c r="EB525" s="12"/>
      <c r="EC525" s="12"/>
      <c r="ED525" s="12"/>
    </row>
    <row r="526" spans="1:134" ht="12.5" x14ac:dyDescent="0.25">
      <c r="A526" s="2"/>
      <c r="B526" s="2"/>
      <c r="C526" s="51"/>
      <c r="D526" s="2"/>
      <c r="E526" s="157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2"/>
      <c r="AZ526" s="2"/>
      <c r="BA526" s="2"/>
      <c r="BB526" s="2"/>
      <c r="BC526" s="2"/>
      <c r="BD526" s="2"/>
      <c r="BE526" s="2"/>
      <c r="BF526" s="12"/>
      <c r="BG526" s="12"/>
      <c r="BH526" s="2"/>
      <c r="BI526" s="2"/>
      <c r="BJ526" s="2"/>
      <c r="BK526" s="2"/>
      <c r="BL526" s="2"/>
      <c r="BM526" s="2"/>
      <c r="BN526" s="2"/>
      <c r="BO526" s="2"/>
      <c r="BP526" s="2"/>
      <c r="BQ526" s="157"/>
      <c r="BR526" s="157"/>
      <c r="BS526" s="2"/>
      <c r="BT526" s="2"/>
      <c r="BU526" s="12"/>
      <c r="BV526" s="155"/>
      <c r="BW526" s="12"/>
      <c r="BX526" s="12"/>
      <c r="BY526" s="12"/>
      <c r="BZ526" s="12"/>
      <c r="CA526" s="12"/>
      <c r="CB526" s="12"/>
      <c r="CC526" s="12"/>
      <c r="CD526" s="12"/>
      <c r="CE526" s="12"/>
      <c r="CF526" s="12"/>
      <c r="CG526" s="12"/>
      <c r="CH526" s="12"/>
      <c r="CI526" s="12"/>
      <c r="CJ526" s="12"/>
      <c r="CK526" s="12"/>
      <c r="CL526" s="12"/>
      <c r="CM526" s="12"/>
      <c r="CN526" s="12"/>
      <c r="CO526" s="12"/>
      <c r="CP526" s="12"/>
      <c r="CQ526" s="46"/>
      <c r="CR526" s="46"/>
      <c r="CS526" s="46"/>
      <c r="CT526" s="2"/>
      <c r="CU526" s="119"/>
      <c r="CV526" s="119"/>
      <c r="CW526" s="2"/>
      <c r="CX526" s="2"/>
      <c r="CY526" s="120"/>
      <c r="CZ526" s="12"/>
      <c r="DA526" s="12"/>
      <c r="DB526" s="12"/>
      <c r="DC526" s="12"/>
      <c r="DD526" s="12"/>
      <c r="DE526" s="12"/>
      <c r="DF526" s="12"/>
      <c r="DG526" s="12"/>
      <c r="DH526" s="2"/>
      <c r="DI526" s="2"/>
      <c r="DJ526" s="48"/>
      <c r="DK526" s="48"/>
      <c r="DL526" s="48"/>
      <c r="DM526" s="13"/>
      <c r="DN526" s="13"/>
      <c r="DO526" s="12"/>
      <c r="DP526" s="12"/>
      <c r="DQ526" s="12"/>
      <c r="DR526" s="12"/>
      <c r="DS526" s="12"/>
      <c r="DT526" s="2"/>
      <c r="DU526" s="12"/>
      <c r="DV526" s="12"/>
      <c r="DW526" s="12"/>
      <c r="DX526" s="2"/>
      <c r="DY526" s="12"/>
      <c r="DZ526" s="12"/>
      <c r="EA526" s="12"/>
      <c r="EB526" s="12"/>
      <c r="EC526" s="12"/>
      <c r="ED526" s="12"/>
    </row>
    <row r="527" spans="1:134" ht="12.5" x14ac:dyDescent="0.25">
      <c r="A527" s="2"/>
      <c r="B527" s="2"/>
      <c r="C527" s="51"/>
      <c r="D527" s="2"/>
      <c r="E527" s="157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2"/>
      <c r="AZ527" s="2"/>
      <c r="BA527" s="2"/>
      <c r="BB527" s="2"/>
      <c r="BC527" s="2"/>
      <c r="BD527" s="2"/>
      <c r="BE527" s="2"/>
      <c r="BF527" s="12"/>
      <c r="BG527" s="12"/>
      <c r="BH527" s="2"/>
      <c r="BI527" s="2"/>
      <c r="BJ527" s="2"/>
      <c r="BK527" s="2"/>
      <c r="BL527" s="2"/>
      <c r="BM527" s="2"/>
      <c r="BN527" s="2"/>
      <c r="BO527" s="2"/>
      <c r="BP527" s="2"/>
      <c r="BQ527" s="157"/>
      <c r="BR527" s="157"/>
      <c r="BS527" s="2"/>
      <c r="BT527" s="2"/>
      <c r="BU527" s="12"/>
      <c r="BV527" s="155"/>
      <c r="BW527" s="12"/>
      <c r="BX527" s="12"/>
      <c r="BY527" s="12"/>
      <c r="BZ527" s="12"/>
      <c r="CA527" s="12"/>
      <c r="CB527" s="12"/>
      <c r="CC527" s="12"/>
      <c r="CD527" s="12"/>
      <c r="CE527" s="12"/>
      <c r="CF527" s="12"/>
      <c r="CG527" s="12"/>
      <c r="CH527" s="12"/>
      <c r="CI527" s="12"/>
      <c r="CJ527" s="12"/>
      <c r="CK527" s="12"/>
      <c r="CL527" s="12"/>
      <c r="CM527" s="12"/>
      <c r="CN527" s="12"/>
      <c r="CO527" s="12"/>
      <c r="CP527" s="12"/>
      <c r="CQ527" s="46"/>
      <c r="CR527" s="46"/>
      <c r="CS527" s="46"/>
      <c r="CT527" s="2"/>
      <c r="CU527" s="119"/>
      <c r="CV527" s="119"/>
      <c r="CW527" s="2"/>
      <c r="CX527" s="2"/>
      <c r="CY527" s="120"/>
      <c r="CZ527" s="12"/>
      <c r="DA527" s="12"/>
      <c r="DB527" s="12"/>
      <c r="DC527" s="12"/>
      <c r="DD527" s="12"/>
      <c r="DE527" s="12"/>
      <c r="DF527" s="12"/>
      <c r="DG527" s="12"/>
      <c r="DH527" s="2"/>
      <c r="DI527" s="2"/>
      <c r="DJ527" s="48"/>
      <c r="DK527" s="48"/>
      <c r="DL527" s="48"/>
      <c r="DM527" s="13"/>
      <c r="DN527" s="13"/>
      <c r="DO527" s="12"/>
      <c r="DP527" s="12"/>
      <c r="DQ527" s="12"/>
      <c r="DR527" s="12"/>
      <c r="DS527" s="12"/>
      <c r="DT527" s="2"/>
      <c r="DU527" s="12"/>
      <c r="DV527" s="12"/>
      <c r="DW527" s="12"/>
      <c r="DX527" s="2"/>
      <c r="DY527" s="12"/>
      <c r="DZ527" s="12"/>
      <c r="EA527" s="12"/>
      <c r="EB527" s="12"/>
      <c r="EC527" s="12"/>
      <c r="ED527" s="12"/>
    </row>
    <row r="528" spans="1:134" ht="12.5" x14ac:dyDescent="0.25">
      <c r="A528" s="2"/>
      <c r="B528" s="2"/>
      <c r="C528" s="51"/>
      <c r="D528" s="2"/>
      <c r="E528" s="157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2"/>
      <c r="AZ528" s="2"/>
      <c r="BA528" s="2"/>
      <c r="BB528" s="2"/>
      <c r="BC528" s="2"/>
      <c r="BD528" s="2"/>
      <c r="BE528" s="2"/>
      <c r="BF528" s="12"/>
      <c r="BG528" s="12"/>
      <c r="BH528" s="2"/>
      <c r="BI528" s="2"/>
      <c r="BJ528" s="2"/>
      <c r="BK528" s="2"/>
      <c r="BL528" s="2"/>
      <c r="BM528" s="2"/>
      <c r="BN528" s="2"/>
      <c r="BO528" s="2"/>
      <c r="BP528" s="2"/>
      <c r="BQ528" s="157"/>
      <c r="BR528" s="157"/>
      <c r="BS528" s="2"/>
      <c r="BT528" s="2"/>
      <c r="BU528" s="12"/>
      <c r="BV528" s="155"/>
      <c r="BW528" s="12"/>
      <c r="BX528" s="12"/>
      <c r="BY528" s="12"/>
      <c r="BZ528" s="12"/>
      <c r="CA528" s="12"/>
      <c r="CB528" s="12"/>
      <c r="CC528" s="12"/>
      <c r="CD528" s="12"/>
      <c r="CE528" s="12"/>
      <c r="CF528" s="12"/>
      <c r="CG528" s="12"/>
      <c r="CH528" s="12"/>
      <c r="CI528" s="12"/>
      <c r="CJ528" s="12"/>
      <c r="CK528" s="12"/>
      <c r="CL528" s="12"/>
      <c r="CM528" s="12"/>
      <c r="CN528" s="12"/>
      <c r="CO528" s="12"/>
      <c r="CP528" s="12"/>
      <c r="CQ528" s="46"/>
      <c r="CR528" s="46"/>
      <c r="CS528" s="46"/>
      <c r="CT528" s="2"/>
      <c r="CU528" s="119"/>
      <c r="CV528" s="119"/>
      <c r="CW528" s="2"/>
      <c r="CX528" s="2"/>
      <c r="CY528" s="120"/>
      <c r="CZ528" s="12"/>
      <c r="DA528" s="12"/>
      <c r="DB528" s="12"/>
      <c r="DC528" s="12"/>
      <c r="DD528" s="12"/>
      <c r="DE528" s="12"/>
      <c r="DF528" s="12"/>
      <c r="DG528" s="12"/>
      <c r="DH528" s="2"/>
      <c r="DI528" s="2"/>
      <c r="DJ528" s="48"/>
      <c r="DK528" s="48"/>
      <c r="DL528" s="48"/>
      <c r="DM528" s="13"/>
      <c r="DN528" s="13"/>
      <c r="DO528" s="12"/>
      <c r="DP528" s="12"/>
      <c r="DQ528" s="12"/>
      <c r="DR528" s="12"/>
      <c r="DS528" s="12"/>
      <c r="DT528" s="2"/>
      <c r="DU528" s="12"/>
      <c r="DV528" s="12"/>
      <c r="DW528" s="12"/>
      <c r="DX528" s="2"/>
      <c r="DY528" s="12"/>
      <c r="DZ528" s="12"/>
      <c r="EA528" s="12"/>
      <c r="EB528" s="12"/>
      <c r="EC528" s="12"/>
      <c r="ED528" s="12"/>
    </row>
    <row r="529" spans="1:134" ht="12.5" x14ac:dyDescent="0.25">
      <c r="A529" s="2"/>
      <c r="B529" s="2"/>
      <c r="C529" s="51"/>
      <c r="D529" s="2"/>
      <c r="E529" s="157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2"/>
      <c r="AZ529" s="2"/>
      <c r="BA529" s="2"/>
      <c r="BB529" s="2"/>
      <c r="BC529" s="2"/>
      <c r="BD529" s="2"/>
      <c r="BE529" s="2"/>
      <c r="BF529" s="12"/>
      <c r="BG529" s="12"/>
      <c r="BH529" s="2"/>
      <c r="BI529" s="2"/>
      <c r="BJ529" s="2"/>
      <c r="BK529" s="2"/>
      <c r="BL529" s="2"/>
      <c r="BM529" s="2"/>
      <c r="BN529" s="2"/>
      <c r="BO529" s="2"/>
      <c r="BP529" s="2"/>
      <c r="BQ529" s="157"/>
      <c r="BR529" s="157"/>
      <c r="BS529" s="2"/>
      <c r="BT529" s="2"/>
      <c r="BU529" s="12"/>
      <c r="BV529" s="155"/>
      <c r="BW529" s="12"/>
      <c r="BX529" s="12"/>
      <c r="BY529" s="12"/>
      <c r="BZ529" s="12"/>
      <c r="CA529" s="12"/>
      <c r="CB529" s="12"/>
      <c r="CC529" s="12"/>
      <c r="CD529" s="12"/>
      <c r="CE529" s="12"/>
      <c r="CF529" s="12"/>
      <c r="CG529" s="12"/>
      <c r="CH529" s="12"/>
      <c r="CI529" s="12"/>
      <c r="CJ529" s="12"/>
      <c r="CK529" s="12"/>
      <c r="CL529" s="12"/>
      <c r="CM529" s="12"/>
      <c r="CN529" s="12"/>
      <c r="CO529" s="12"/>
      <c r="CP529" s="12"/>
      <c r="CQ529" s="46"/>
      <c r="CR529" s="46"/>
      <c r="CS529" s="46"/>
      <c r="CT529" s="2"/>
      <c r="CU529" s="119"/>
      <c r="CV529" s="119"/>
      <c r="CW529" s="2"/>
      <c r="CX529" s="2"/>
      <c r="CY529" s="120"/>
      <c r="CZ529" s="12"/>
      <c r="DA529" s="12"/>
      <c r="DB529" s="12"/>
      <c r="DC529" s="12"/>
      <c r="DD529" s="12"/>
      <c r="DE529" s="12"/>
      <c r="DF529" s="12"/>
      <c r="DG529" s="12"/>
      <c r="DH529" s="2"/>
      <c r="DI529" s="2"/>
      <c r="DJ529" s="48"/>
      <c r="DK529" s="48"/>
      <c r="DL529" s="48"/>
      <c r="DM529" s="13"/>
      <c r="DN529" s="13"/>
      <c r="DO529" s="12"/>
      <c r="DP529" s="12"/>
      <c r="DQ529" s="12"/>
      <c r="DR529" s="12"/>
      <c r="DS529" s="12"/>
      <c r="DT529" s="2"/>
      <c r="DU529" s="12"/>
      <c r="DV529" s="12"/>
      <c r="DW529" s="12"/>
      <c r="DX529" s="2"/>
      <c r="DY529" s="12"/>
      <c r="DZ529" s="12"/>
      <c r="EA529" s="12"/>
      <c r="EB529" s="12"/>
      <c r="EC529" s="12"/>
      <c r="ED529" s="12"/>
    </row>
    <row r="530" spans="1:134" ht="12.5" x14ac:dyDescent="0.25">
      <c r="A530" s="2"/>
      <c r="B530" s="2"/>
      <c r="C530" s="51"/>
      <c r="D530" s="2"/>
      <c r="E530" s="157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2"/>
      <c r="AZ530" s="2"/>
      <c r="BA530" s="2"/>
      <c r="BB530" s="2"/>
      <c r="BC530" s="2"/>
      <c r="BD530" s="2"/>
      <c r="BE530" s="2"/>
      <c r="BF530" s="12"/>
      <c r="BG530" s="12"/>
      <c r="BH530" s="2"/>
      <c r="BI530" s="2"/>
      <c r="BJ530" s="2"/>
      <c r="BK530" s="2"/>
      <c r="BL530" s="2"/>
      <c r="BM530" s="2"/>
      <c r="BN530" s="2"/>
      <c r="BO530" s="2"/>
      <c r="BP530" s="2"/>
      <c r="BQ530" s="157"/>
      <c r="BR530" s="157"/>
      <c r="BS530" s="2"/>
      <c r="BT530" s="2"/>
      <c r="BU530" s="12"/>
      <c r="BV530" s="155"/>
      <c r="BW530" s="12"/>
      <c r="BX530" s="12"/>
      <c r="BY530" s="12"/>
      <c r="BZ530" s="12"/>
      <c r="CA530" s="12"/>
      <c r="CB530" s="12"/>
      <c r="CC530" s="12"/>
      <c r="CD530" s="12"/>
      <c r="CE530" s="12"/>
      <c r="CF530" s="12"/>
      <c r="CG530" s="12"/>
      <c r="CH530" s="12"/>
      <c r="CI530" s="12"/>
      <c r="CJ530" s="12"/>
      <c r="CK530" s="12"/>
      <c r="CL530" s="12"/>
      <c r="CM530" s="12"/>
      <c r="CN530" s="12"/>
      <c r="CO530" s="12"/>
      <c r="CP530" s="12"/>
      <c r="CQ530" s="46"/>
      <c r="CR530" s="46"/>
      <c r="CS530" s="46"/>
      <c r="CT530" s="2"/>
      <c r="CU530" s="119"/>
      <c r="CV530" s="119"/>
      <c r="CW530" s="2"/>
      <c r="CX530" s="2"/>
      <c r="CY530" s="120"/>
      <c r="CZ530" s="12"/>
      <c r="DA530" s="12"/>
      <c r="DB530" s="12"/>
      <c r="DC530" s="12"/>
      <c r="DD530" s="12"/>
      <c r="DE530" s="12"/>
      <c r="DF530" s="12"/>
      <c r="DG530" s="12"/>
      <c r="DH530" s="2"/>
      <c r="DI530" s="2"/>
      <c r="DJ530" s="48"/>
      <c r="DK530" s="48"/>
      <c r="DL530" s="48"/>
      <c r="DM530" s="13"/>
      <c r="DN530" s="13"/>
      <c r="DO530" s="12"/>
      <c r="DP530" s="12"/>
      <c r="DQ530" s="12"/>
      <c r="DR530" s="12"/>
      <c r="DS530" s="12"/>
      <c r="DT530" s="2"/>
      <c r="DU530" s="12"/>
      <c r="DV530" s="12"/>
      <c r="DW530" s="12"/>
      <c r="DX530" s="2"/>
      <c r="DY530" s="12"/>
      <c r="DZ530" s="12"/>
      <c r="EA530" s="12"/>
      <c r="EB530" s="12"/>
      <c r="EC530" s="12"/>
      <c r="ED530" s="12"/>
    </row>
    <row r="531" spans="1:134" ht="12.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12"/>
      <c r="AC531" s="12"/>
      <c r="AD531" s="12"/>
      <c r="AE531" s="2"/>
      <c r="AF531" s="2"/>
      <c r="AG531" s="2"/>
      <c r="AH531" s="2"/>
      <c r="AI531" s="2"/>
      <c r="AJ531" s="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2"/>
      <c r="AY531" s="2"/>
      <c r="AZ531" s="2"/>
      <c r="BA531" s="2"/>
      <c r="BB531" s="2"/>
      <c r="BC531" s="2"/>
      <c r="BD531" s="2"/>
      <c r="BE531" s="2"/>
      <c r="BF531" s="12"/>
      <c r="BG531" s="1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152"/>
      <c r="BV531" s="155"/>
      <c r="BW531" s="12"/>
      <c r="BX531" s="12"/>
      <c r="BY531" s="12"/>
      <c r="BZ531" s="12"/>
      <c r="CA531" s="12"/>
      <c r="CB531" s="12"/>
      <c r="CC531" s="12"/>
      <c r="CD531" s="12"/>
      <c r="CE531" s="12"/>
      <c r="CF531" s="12"/>
      <c r="CG531" s="12"/>
      <c r="CH531" s="12"/>
      <c r="CI531" s="12"/>
      <c r="CJ531" s="12"/>
      <c r="CK531" s="12"/>
      <c r="CL531" s="12"/>
      <c r="CM531" s="12"/>
      <c r="CN531" s="12"/>
      <c r="CO531" s="12"/>
      <c r="CP531" s="12"/>
      <c r="CQ531" s="46"/>
      <c r="CR531" s="46"/>
      <c r="CS531" s="46"/>
      <c r="CT531" s="119"/>
      <c r="CU531" s="119"/>
      <c r="CV531" s="119"/>
      <c r="CW531" s="119"/>
      <c r="CX531" s="120"/>
      <c r="CY531" s="120"/>
      <c r="CZ531" s="120"/>
      <c r="DA531" s="120"/>
      <c r="DB531" s="120"/>
      <c r="DC531" s="120"/>
      <c r="DD531" s="120"/>
      <c r="DE531" s="120"/>
      <c r="DF531" s="120"/>
      <c r="DG531" s="2"/>
      <c r="DH531" s="2"/>
      <c r="DI531" s="2"/>
      <c r="DJ531" s="48"/>
      <c r="DK531" s="48"/>
      <c r="DL531" s="48"/>
      <c r="DM531" s="13"/>
      <c r="DN531" s="13"/>
      <c r="DO531" s="12"/>
      <c r="DP531" s="12"/>
      <c r="DQ531" s="12"/>
      <c r="DR531" s="12"/>
      <c r="DS531" s="12"/>
      <c r="DT531" s="2"/>
      <c r="DU531" s="2"/>
      <c r="DV531" s="12"/>
      <c r="DW531" s="12"/>
      <c r="DX531" s="2"/>
      <c r="DY531" s="2"/>
      <c r="DZ531" s="12"/>
      <c r="EA531" s="12"/>
      <c r="EB531" s="12"/>
      <c r="EC531" s="12"/>
      <c r="ED531" s="12"/>
    </row>
    <row r="532" spans="1:134" ht="12.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12"/>
      <c r="AC532" s="12"/>
      <c r="AD532" s="12"/>
      <c r="AE532" s="2"/>
      <c r="AF532" s="2"/>
      <c r="AG532" s="2"/>
      <c r="AH532" s="2"/>
      <c r="AI532" s="2"/>
      <c r="AJ532" s="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2"/>
      <c r="AY532" s="2"/>
      <c r="AZ532" s="2"/>
      <c r="BA532" s="2"/>
      <c r="BB532" s="2"/>
      <c r="BC532" s="2"/>
      <c r="BD532" s="2"/>
      <c r="BE532" s="2"/>
      <c r="BF532" s="12"/>
      <c r="BG532" s="1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152"/>
      <c r="BV532" s="155"/>
      <c r="BW532" s="12"/>
      <c r="BX532" s="12"/>
      <c r="BY532" s="12"/>
      <c r="BZ532" s="12"/>
      <c r="CA532" s="12"/>
      <c r="CB532" s="12"/>
      <c r="CC532" s="12"/>
      <c r="CD532" s="12"/>
      <c r="CE532" s="12"/>
      <c r="CF532" s="12"/>
      <c r="CG532" s="12"/>
      <c r="CH532" s="12"/>
      <c r="CI532" s="12"/>
      <c r="CJ532" s="12"/>
      <c r="CK532" s="12"/>
      <c r="CL532" s="12"/>
      <c r="CM532" s="12"/>
      <c r="CN532" s="12"/>
      <c r="CO532" s="12"/>
      <c r="CP532" s="12"/>
      <c r="CQ532" s="46"/>
      <c r="CR532" s="46"/>
      <c r="CS532" s="46"/>
      <c r="CT532" s="119"/>
      <c r="CU532" s="119"/>
      <c r="CV532" s="119"/>
      <c r="CW532" s="119"/>
      <c r="CX532" s="120"/>
      <c r="CY532" s="120"/>
      <c r="CZ532" s="120"/>
      <c r="DA532" s="120"/>
      <c r="DB532" s="120"/>
      <c r="DC532" s="120"/>
      <c r="DD532" s="120"/>
      <c r="DE532" s="120"/>
      <c r="DF532" s="120"/>
      <c r="DG532" s="2"/>
      <c r="DH532" s="2"/>
      <c r="DI532" s="2"/>
      <c r="DJ532" s="48"/>
      <c r="DK532" s="48"/>
      <c r="DL532" s="48"/>
      <c r="DM532" s="13"/>
      <c r="DN532" s="13"/>
      <c r="DO532" s="12"/>
      <c r="DP532" s="12"/>
      <c r="DQ532" s="12"/>
      <c r="DR532" s="12"/>
      <c r="DS532" s="12"/>
      <c r="DT532" s="2"/>
      <c r="DU532" s="2"/>
      <c r="DV532" s="12"/>
      <c r="DW532" s="12"/>
      <c r="DX532" s="2"/>
      <c r="DY532" s="2"/>
      <c r="DZ532" s="12"/>
      <c r="EA532" s="12"/>
      <c r="EB532" s="12"/>
      <c r="EC532" s="12"/>
      <c r="ED532" s="12"/>
    </row>
    <row r="533" spans="1:134" ht="12.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12"/>
      <c r="AC533" s="12"/>
      <c r="AD533" s="12"/>
      <c r="AE533" s="2"/>
      <c r="AF533" s="2"/>
      <c r="AG533" s="2"/>
      <c r="AH533" s="2"/>
      <c r="AI533" s="2"/>
      <c r="AJ533" s="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2"/>
      <c r="AY533" s="2"/>
      <c r="AZ533" s="2"/>
      <c r="BA533" s="2"/>
      <c r="BB533" s="2"/>
      <c r="BC533" s="2"/>
      <c r="BD533" s="2"/>
      <c r="BE533" s="2"/>
      <c r="BF533" s="12"/>
      <c r="BG533" s="1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152"/>
      <c r="BV533" s="155"/>
      <c r="BW533" s="12"/>
      <c r="BX533" s="12"/>
      <c r="BY533" s="12"/>
      <c r="BZ533" s="12"/>
      <c r="CA533" s="12"/>
      <c r="CB533" s="12"/>
      <c r="CC533" s="12"/>
      <c r="CD533" s="12"/>
      <c r="CE533" s="12"/>
      <c r="CF533" s="12"/>
      <c r="CG533" s="12"/>
      <c r="CH533" s="12"/>
      <c r="CI533" s="12"/>
      <c r="CJ533" s="12"/>
      <c r="CK533" s="12"/>
      <c r="CL533" s="12"/>
      <c r="CM533" s="12"/>
      <c r="CN533" s="12"/>
      <c r="CO533" s="12"/>
      <c r="CP533" s="12"/>
      <c r="CQ533" s="46"/>
      <c r="CR533" s="46"/>
      <c r="CS533" s="46"/>
      <c r="CT533" s="119"/>
      <c r="CU533" s="119"/>
      <c r="CV533" s="119"/>
      <c r="CW533" s="119"/>
      <c r="CX533" s="120"/>
      <c r="CY533" s="120"/>
      <c r="CZ533" s="120"/>
      <c r="DA533" s="120"/>
      <c r="DB533" s="120"/>
      <c r="DC533" s="120"/>
      <c r="DD533" s="120"/>
      <c r="DE533" s="120"/>
      <c r="DF533" s="120"/>
      <c r="DG533" s="2"/>
      <c r="DH533" s="2"/>
      <c r="DI533" s="2"/>
      <c r="DJ533" s="48"/>
      <c r="DK533" s="48"/>
      <c r="DL533" s="48"/>
      <c r="DM533" s="13"/>
      <c r="DN533" s="13"/>
      <c r="DO533" s="12"/>
      <c r="DP533" s="12"/>
      <c r="DQ533" s="12"/>
      <c r="DR533" s="12"/>
      <c r="DS533" s="12"/>
      <c r="DT533" s="2"/>
      <c r="DU533" s="2"/>
      <c r="DV533" s="12"/>
      <c r="DW533" s="12"/>
      <c r="DX533" s="2"/>
      <c r="DY533" s="2"/>
      <c r="DZ533" s="12"/>
      <c r="EA533" s="12"/>
      <c r="EB533" s="12"/>
      <c r="EC533" s="12"/>
      <c r="ED533" s="12"/>
    </row>
    <row r="534" spans="1:134" ht="12.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12"/>
      <c r="AC534" s="12"/>
      <c r="AD534" s="12"/>
      <c r="AE534" s="2"/>
      <c r="AF534" s="2"/>
      <c r="AG534" s="2"/>
      <c r="AH534" s="2"/>
      <c r="AI534" s="2"/>
      <c r="AJ534" s="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2"/>
      <c r="AY534" s="2"/>
      <c r="AZ534" s="2"/>
      <c r="BA534" s="2"/>
      <c r="BB534" s="2"/>
      <c r="BC534" s="2"/>
      <c r="BD534" s="2"/>
      <c r="BE534" s="2"/>
      <c r="BF534" s="12"/>
      <c r="BG534" s="1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152"/>
      <c r="BV534" s="155"/>
      <c r="BW534" s="12"/>
      <c r="BX534" s="12"/>
      <c r="BY534" s="12"/>
      <c r="BZ534" s="12"/>
      <c r="CA534" s="12"/>
      <c r="CB534" s="12"/>
      <c r="CC534" s="12"/>
      <c r="CD534" s="12"/>
      <c r="CE534" s="12"/>
      <c r="CF534" s="12"/>
      <c r="CG534" s="12"/>
      <c r="CH534" s="12"/>
      <c r="CI534" s="12"/>
      <c r="CJ534" s="12"/>
      <c r="CK534" s="12"/>
      <c r="CL534" s="12"/>
      <c r="CM534" s="12"/>
      <c r="CN534" s="12"/>
      <c r="CO534" s="12"/>
      <c r="CP534" s="12"/>
      <c r="CQ534" s="46"/>
      <c r="CR534" s="46"/>
      <c r="CS534" s="46"/>
      <c r="CT534" s="119"/>
      <c r="CU534" s="119"/>
      <c r="CV534" s="119"/>
      <c r="CW534" s="119"/>
      <c r="CX534" s="120"/>
      <c r="CY534" s="120"/>
      <c r="CZ534" s="120"/>
      <c r="DA534" s="120"/>
      <c r="DB534" s="120"/>
      <c r="DC534" s="120"/>
      <c r="DD534" s="120"/>
      <c r="DE534" s="120"/>
      <c r="DF534" s="120"/>
      <c r="DG534" s="2"/>
      <c r="DH534" s="2"/>
      <c r="DI534" s="2"/>
      <c r="DJ534" s="48"/>
      <c r="DK534" s="48"/>
      <c r="DL534" s="48"/>
      <c r="DM534" s="13"/>
      <c r="DN534" s="13"/>
      <c r="DO534" s="12"/>
      <c r="DP534" s="12"/>
      <c r="DQ534" s="12"/>
      <c r="DR534" s="12"/>
      <c r="DS534" s="12"/>
      <c r="DT534" s="2"/>
      <c r="DU534" s="2"/>
      <c r="DV534" s="12"/>
      <c r="DW534" s="12"/>
      <c r="DX534" s="2"/>
      <c r="DY534" s="2"/>
      <c r="DZ534" s="12"/>
      <c r="EA534" s="12"/>
      <c r="EB534" s="12"/>
      <c r="EC534" s="12"/>
      <c r="ED534" s="12"/>
    </row>
    <row r="535" spans="1:134" ht="12.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12"/>
      <c r="AC535" s="12"/>
      <c r="AD535" s="12"/>
      <c r="AE535" s="2"/>
      <c r="AF535" s="2"/>
      <c r="AG535" s="2"/>
      <c r="AH535" s="2"/>
      <c r="AI535" s="2"/>
      <c r="AJ535" s="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2"/>
      <c r="AY535" s="2"/>
      <c r="AZ535" s="2"/>
      <c r="BA535" s="2"/>
      <c r="BB535" s="2"/>
      <c r="BC535" s="2"/>
      <c r="BD535" s="2"/>
      <c r="BE535" s="2"/>
      <c r="BF535" s="12"/>
      <c r="BG535" s="1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152"/>
      <c r="BV535" s="155"/>
      <c r="BW535" s="12"/>
      <c r="BX535" s="12"/>
      <c r="BY535" s="12"/>
      <c r="BZ535" s="12"/>
      <c r="CA535" s="12"/>
      <c r="CB535" s="12"/>
      <c r="CC535" s="12"/>
      <c r="CD535" s="12"/>
      <c r="CE535" s="12"/>
      <c r="CF535" s="12"/>
      <c r="CG535" s="12"/>
      <c r="CH535" s="12"/>
      <c r="CI535" s="12"/>
      <c r="CJ535" s="12"/>
      <c r="CK535" s="12"/>
      <c r="CL535" s="12"/>
      <c r="CM535" s="12"/>
      <c r="CN535" s="12"/>
      <c r="CO535" s="12"/>
      <c r="CP535" s="12"/>
      <c r="CQ535" s="46"/>
      <c r="CR535" s="46"/>
      <c r="CS535" s="46"/>
      <c r="CT535" s="119"/>
      <c r="CU535" s="119"/>
      <c r="CV535" s="119"/>
      <c r="CW535" s="119"/>
      <c r="CX535" s="120"/>
      <c r="CY535" s="120"/>
      <c r="CZ535" s="120"/>
      <c r="DA535" s="120"/>
      <c r="DB535" s="120"/>
      <c r="DC535" s="120"/>
      <c r="DD535" s="120"/>
      <c r="DE535" s="120"/>
      <c r="DF535" s="120"/>
      <c r="DG535" s="2"/>
      <c r="DH535" s="2"/>
      <c r="DI535" s="2"/>
      <c r="DJ535" s="48"/>
      <c r="DK535" s="48"/>
      <c r="DL535" s="48"/>
      <c r="DM535" s="13"/>
      <c r="DN535" s="13"/>
      <c r="DO535" s="12"/>
      <c r="DP535" s="12"/>
      <c r="DQ535" s="12"/>
      <c r="DR535" s="12"/>
      <c r="DS535" s="12"/>
      <c r="DT535" s="2"/>
      <c r="DU535" s="2"/>
      <c r="DV535" s="12"/>
      <c r="DW535" s="12"/>
      <c r="DX535" s="2"/>
      <c r="DY535" s="2"/>
      <c r="DZ535" s="12"/>
      <c r="EA535" s="12"/>
      <c r="EB535" s="12"/>
      <c r="EC535" s="12"/>
      <c r="ED535" s="12"/>
    </row>
    <row r="536" spans="1:134" ht="12.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12"/>
      <c r="AC536" s="12"/>
      <c r="AD536" s="12"/>
      <c r="AE536" s="2"/>
      <c r="AF536" s="2"/>
      <c r="AG536" s="2"/>
      <c r="AH536" s="2"/>
      <c r="AI536" s="2"/>
      <c r="AJ536" s="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2"/>
      <c r="AY536" s="2"/>
      <c r="AZ536" s="2"/>
      <c r="BA536" s="2"/>
      <c r="BB536" s="2"/>
      <c r="BC536" s="2"/>
      <c r="BD536" s="2"/>
      <c r="BE536" s="2"/>
      <c r="BF536" s="12"/>
      <c r="BG536" s="1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152"/>
      <c r="BV536" s="155"/>
      <c r="BW536" s="12"/>
      <c r="BX536" s="12"/>
      <c r="BY536" s="12"/>
      <c r="BZ536" s="12"/>
      <c r="CA536" s="12"/>
      <c r="CB536" s="12"/>
      <c r="CC536" s="12"/>
      <c r="CD536" s="12"/>
      <c r="CE536" s="12"/>
      <c r="CF536" s="12"/>
      <c r="CG536" s="12"/>
      <c r="CH536" s="12"/>
      <c r="CI536" s="12"/>
      <c r="CJ536" s="12"/>
      <c r="CK536" s="12"/>
      <c r="CL536" s="12"/>
      <c r="CM536" s="12"/>
      <c r="CN536" s="12"/>
      <c r="CO536" s="12"/>
      <c r="CP536" s="12"/>
      <c r="CQ536" s="46"/>
      <c r="CR536" s="46"/>
      <c r="CS536" s="46"/>
      <c r="CT536" s="119"/>
      <c r="CU536" s="119"/>
      <c r="CV536" s="119"/>
      <c r="CW536" s="119"/>
      <c r="CX536" s="120"/>
      <c r="CY536" s="120"/>
      <c r="CZ536" s="120"/>
      <c r="DA536" s="120"/>
      <c r="DB536" s="120"/>
      <c r="DC536" s="120"/>
      <c r="DD536" s="120"/>
      <c r="DE536" s="120"/>
      <c r="DF536" s="120"/>
      <c r="DG536" s="2"/>
      <c r="DH536" s="2"/>
      <c r="DI536" s="2"/>
      <c r="DJ536" s="48"/>
      <c r="DK536" s="48"/>
      <c r="DL536" s="48"/>
      <c r="DM536" s="13"/>
      <c r="DN536" s="13"/>
      <c r="DO536" s="12"/>
      <c r="DP536" s="12"/>
      <c r="DQ536" s="12"/>
      <c r="DR536" s="12"/>
      <c r="DS536" s="12"/>
      <c r="DT536" s="2"/>
      <c r="DU536" s="2"/>
      <c r="DV536" s="12"/>
      <c r="DW536" s="12"/>
      <c r="DX536" s="2"/>
      <c r="DY536" s="2"/>
      <c r="DZ536" s="12"/>
      <c r="EA536" s="12"/>
      <c r="EB536" s="12"/>
      <c r="EC536" s="12"/>
      <c r="ED536" s="12"/>
    </row>
    <row r="537" spans="1:134" ht="12.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12"/>
      <c r="AC537" s="12"/>
      <c r="AD537" s="12"/>
      <c r="AE537" s="2"/>
      <c r="AF537" s="2"/>
      <c r="AG537" s="2"/>
      <c r="AH537" s="2"/>
      <c r="AI537" s="2"/>
      <c r="AJ537" s="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2"/>
      <c r="AY537" s="2"/>
      <c r="AZ537" s="2"/>
      <c r="BA537" s="2"/>
      <c r="BB537" s="2"/>
      <c r="BC537" s="2"/>
      <c r="BD537" s="2"/>
      <c r="BE537" s="2"/>
      <c r="BF537" s="12"/>
      <c r="BG537" s="1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152"/>
      <c r="BV537" s="155"/>
      <c r="BW537" s="12"/>
      <c r="BX537" s="12"/>
      <c r="BY537" s="12"/>
      <c r="BZ537" s="12"/>
      <c r="CA537" s="12"/>
      <c r="CB537" s="12"/>
      <c r="CC537" s="12"/>
      <c r="CD537" s="12"/>
      <c r="CE537" s="12"/>
      <c r="CF537" s="12"/>
      <c r="CG537" s="12"/>
      <c r="CH537" s="12"/>
      <c r="CI537" s="12"/>
      <c r="CJ537" s="12"/>
      <c r="CK537" s="12"/>
      <c r="CL537" s="12"/>
      <c r="CM537" s="12"/>
      <c r="CN537" s="12"/>
      <c r="CO537" s="12"/>
      <c r="CP537" s="12"/>
      <c r="CQ537" s="46"/>
      <c r="CR537" s="46"/>
      <c r="CS537" s="46"/>
      <c r="CT537" s="119"/>
      <c r="CU537" s="119"/>
      <c r="CV537" s="119"/>
      <c r="CW537" s="119"/>
      <c r="CX537" s="120"/>
      <c r="CY537" s="120"/>
      <c r="CZ537" s="120"/>
      <c r="DA537" s="120"/>
      <c r="DB537" s="120"/>
      <c r="DC537" s="120"/>
      <c r="DD537" s="120"/>
      <c r="DE537" s="120"/>
      <c r="DF537" s="120"/>
      <c r="DG537" s="2"/>
      <c r="DH537" s="2"/>
      <c r="DI537" s="2"/>
      <c r="DJ537" s="48"/>
      <c r="DK537" s="48"/>
      <c r="DL537" s="48"/>
      <c r="DM537" s="13"/>
      <c r="DN537" s="13"/>
      <c r="DO537" s="12"/>
      <c r="DP537" s="12"/>
      <c r="DQ537" s="12"/>
      <c r="DR537" s="12"/>
      <c r="DS537" s="12"/>
      <c r="DT537" s="2"/>
      <c r="DU537" s="2"/>
      <c r="DV537" s="12"/>
      <c r="DW537" s="12"/>
      <c r="DX537" s="2"/>
      <c r="DY537" s="2"/>
      <c r="DZ537" s="12"/>
      <c r="EA537" s="12"/>
      <c r="EB537" s="12"/>
      <c r="EC537" s="12"/>
      <c r="ED537" s="12"/>
    </row>
    <row r="538" spans="1:134" ht="12.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12"/>
      <c r="AC538" s="12"/>
      <c r="AD538" s="12"/>
      <c r="AE538" s="2"/>
      <c r="AF538" s="2"/>
      <c r="AG538" s="2"/>
      <c r="AH538" s="2"/>
      <c r="AI538" s="2"/>
      <c r="AJ538" s="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2"/>
      <c r="AY538" s="2"/>
      <c r="AZ538" s="2"/>
      <c r="BA538" s="2"/>
      <c r="BB538" s="2"/>
      <c r="BC538" s="2"/>
      <c r="BD538" s="2"/>
      <c r="BE538" s="2"/>
      <c r="BF538" s="12"/>
      <c r="BG538" s="1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152"/>
      <c r="BV538" s="155"/>
      <c r="BW538" s="12"/>
      <c r="BX538" s="12"/>
      <c r="BY538" s="12"/>
      <c r="BZ538" s="12"/>
      <c r="CA538" s="12"/>
      <c r="CB538" s="12"/>
      <c r="CC538" s="12"/>
      <c r="CD538" s="12"/>
      <c r="CE538" s="12"/>
      <c r="CF538" s="12"/>
      <c r="CG538" s="12"/>
      <c r="CH538" s="12"/>
      <c r="CI538" s="12"/>
      <c r="CJ538" s="12"/>
      <c r="CK538" s="12"/>
      <c r="CL538" s="12"/>
      <c r="CM538" s="12"/>
      <c r="CN538" s="12"/>
      <c r="CO538" s="12"/>
      <c r="CP538" s="12"/>
      <c r="CQ538" s="46"/>
      <c r="CR538" s="46"/>
      <c r="CS538" s="46"/>
      <c r="CT538" s="119"/>
      <c r="CU538" s="119"/>
      <c r="CV538" s="119"/>
      <c r="CW538" s="119"/>
      <c r="CX538" s="120"/>
      <c r="CY538" s="120"/>
      <c r="CZ538" s="120"/>
      <c r="DA538" s="120"/>
      <c r="DB538" s="120"/>
      <c r="DC538" s="120"/>
      <c r="DD538" s="120"/>
      <c r="DE538" s="120"/>
      <c r="DF538" s="120"/>
      <c r="DG538" s="2"/>
      <c r="DH538" s="2"/>
      <c r="DI538" s="2"/>
      <c r="DJ538" s="48"/>
      <c r="DK538" s="48"/>
      <c r="DL538" s="48"/>
      <c r="DM538" s="13"/>
      <c r="DN538" s="13"/>
      <c r="DO538" s="12"/>
      <c r="DP538" s="12"/>
      <c r="DQ538" s="12"/>
      <c r="DR538" s="12"/>
      <c r="DS538" s="12"/>
      <c r="DT538" s="2"/>
      <c r="DU538" s="2"/>
      <c r="DV538" s="12"/>
      <c r="DW538" s="12"/>
      <c r="DX538" s="2"/>
      <c r="DY538" s="2"/>
      <c r="DZ538" s="12"/>
      <c r="EA538" s="12"/>
      <c r="EB538" s="12"/>
      <c r="EC538" s="12"/>
      <c r="ED538" s="12"/>
    </row>
    <row r="539" spans="1:134" ht="12.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12"/>
      <c r="AC539" s="12"/>
      <c r="AD539" s="12"/>
      <c r="AE539" s="2"/>
      <c r="AF539" s="2"/>
      <c r="AG539" s="2"/>
      <c r="AH539" s="2"/>
      <c r="AI539" s="2"/>
      <c r="AJ539" s="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2"/>
      <c r="AY539" s="2"/>
      <c r="AZ539" s="2"/>
      <c r="BA539" s="2"/>
      <c r="BB539" s="2"/>
      <c r="BC539" s="2"/>
      <c r="BD539" s="2"/>
      <c r="BE539" s="2"/>
      <c r="BF539" s="12"/>
      <c r="BG539" s="1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152"/>
      <c r="BV539" s="155"/>
      <c r="BW539" s="12"/>
      <c r="BX539" s="12"/>
      <c r="BY539" s="12"/>
      <c r="BZ539" s="12"/>
      <c r="CA539" s="12"/>
      <c r="CB539" s="12"/>
      <c r="CC539" s="12"/>
      <c r="CD539" s="12"/>
      <c r="CE539" s="12"/>
      <c r="CF539" s="12"/>
      <c r="CG539" s="12"/>
      <c r="CH539" s="12"/>
      <c r="CI539" s="12"/>
      <c r="CJ539" s="12"/>
      <c r="CK539" s="12"/>
      <c r="CL539" s="12"/>
      <c r="CM539" s="12"/>
      <c r="CN539" s="12"/>
      <c r="CO539" s="12"/>
      <c r="CP539" s="12"/>
      <c r="CQ539" s="46"/>
      <c r="CR539" s="46"/>
      <c r="CS539" s="46"/>
      <c r="CT539" s="119"/>
      <c r="CU539" s="119"/>
      <c r="CV539" s="119"/>
      <c r="CW539" s="119"/>
      <c r="CX539" s="120"/>
      <c r="CY539" s="120"/>
      <c r="CZ539" s="120"/>
      <c r="DA539" s="120"/>
      <c r="DB539" s="120"/>
      <c r="DC539" s="120"/>
      <c r="DD539" s="120"/>
      <c r="DE539" s="120"/>
      <c r="DF539" s="120"/>
      <c r="DG539" s="2"/>
      <c r="DH539" s="2"/>
      <c r="DI539" s="2"/>
      <c r="DJ539" s="48"/>
      <c r="DK539" s="48"/>
      <c r="DL539" s="48"/>
      <c r="DM539" s="13"/>
      <c r="DN539" s="13"/>
      <c r="DO539" s="12"/>
      <c r="DP539" s="12"/>
      <c r="DQ539" s="12"/>
      <c r="DR539" s="12"/>
      <c r="DS539" s="12"/>
      <c r="DT539" s="2"/>
      <c r="DU539" s="2"/>
      <c r="DV539" s="12"/>
      <c r="DW539" s="12"/>
      <c r="DX539" s="2"/>
      <c r="DY539" s="2"/>
      <c r="DZ539" s="12"/>
      <c r="EA539" s="12"/>
      <c r="EB539" s="12"/>
      <c r="EC539" s="12"/>
      <c r="ED539" s="12"/>
    </row>
    <row r="540" spans="1:134" ht="12.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12"/>
      <c r="AC540" s="12"/>
      <c r="AD540" s="12"/>
      <c r="AE540" s="2"/>
      <c r="AF540" s="2"/>
      <c r="AG540" s="2"/>
      <c r="AH540" s="2"/>
      <c r="AI540" s="2"/>
      <c r="AJ540" s="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2"/>
      <c r="AY540" s="2"/>
      <c r="AZ540" s="2"/>
      <c r="BA540" s="2"/>
      <c r="BB540" s="2"/>
      <c r="BC540" s="2"/>
      <c r="BD540" s="2"/>
      <c r="BE540" s="2"/>
      <c r="BF540" s="12"/>
      <c r="BG540" s="1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152"/>
      <c r="BV540" s="155"/>
      <c r="BW540" s="12"/>
      <c r="BX540" s="12"/>
      <c r="BY540" s="12"/>
      <c r="BZ540" s="12"/>
      <c r="CA540" s="12"/>
      <c r="CB540" s="12"/>
      <c r="CC540" s="12"/>
      <c r="CD540" s="12"/>
      <c r="CE540" s="12"/>
      <c r="CF540" s="12"/>
      <c r="CG540" s="12"/>
      <c r="CH540" s="12"/>
      <c r="CI540" s="12"/>
      <c r="CJ540" s="12"/>
      <c r="CK540" s="12"/>
      <c r="CL540" s="12"/>
      <c r="CM540" s="12"/>
      <c r="CN540" s="12"/>
      <c r="CO540" s="12"/>
      <c r="CP540" s="12"/>
      <c r="CQ540" s="46"/>
      <c r="CR540" s="46"/>
      <c r="CS540" s="46"/>
      <c r="CT540" s="119"/>
      <c r="CU540" s="119"/>
      <c r="CV540" s="119"/>
      <c r="CW540" s="119"/>
      <c r="CX540" s="120"/>
      <c r="CY540" s="120"/>
      <c r="CZ540" s="120"/>
      <c r="DA540" s="120"/>
      <c r="DB540" s="120"/>
      <c r="DC540" s="120"/>
      <c r="DD540" s="120"/>
      <c r="DE540" s="120"/>
      <c r="DF540" s="120"/>
      <c r="DG540" s="2"/>
      <c r="DH540" s="2"/>
      <c r="DI540" s="2"/>
      <c r="DJ540" s="48"/>
      <c r="DK540" s="48"/>
      <c r="DL540" s="48"/>
      <c r="DM540" s="13"/>
      <c r="DN540" s="13"/>
      <c r="DO540" s="12"/>
      <c r="DP540" s="12"/>
      <c r="DQ540" s="12"/>
      <c r="DR540" s="12"/>
      <c r="DS540" s="12"/>
      <c r="DT540" s="2"/>
      <c r="DU540" s="2"/>
      <c r="DV540" s="12"/>
      <c r="DW540" s="12"/>
      <c r="DX540" s="2"/>
      <c r="DY540" s="2"/>
      <c r="DZ540" s="12"/>
      <c r="EA540" s="12"/>
      <c r="EB540" s="12"/>
      <c r="EC540" s="12"/>
      <c r="ED540" s="12"/>
    </row>
    <row r="541" spans="1:134" ht="12.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12"/>
      <c r="AC541" s="12"/>
      <c r="AD541" s="12"/>
      <c r="AE541" s="2"/>
      <c r="AF541" s="2"/>
      <c r="AG541" s="2"/>
      <c r="AH541" s="2"/>
      <c r="AI541" s="2"/>
      <c r="AJ541" s="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2"/>
      <c r="AY541" s="2"/>
      <c r="AZ541" s="2"/>
      <c r="BA541" s="2"/>
      <c r="BB541" s="2"/>
      <c r="BC541" s="2"/>
      <c r="BD541" s="2"/>
      <c r="BE541" s="2"/>
      <c r="BF541" s="12"/>
      <c r="BG541" s="1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152"/>
      <c r="BV541" s="155"/>
      <c r="BW541" s="12"/>
      <c r="BX541" s="12"/>
      <c r="BY541" s="12"/>
      <c r="BZ541" s="12"/>
      <c r="CA541" s="12"/>
      <c r="CB541" s="12"/>
      <c r="CC541" s="12"/>
      <c r="CD541" s="12"/>
      <c r="CE541" s="12"/>
      <c r="CF541" s="12"/>
      <c r="CG541" s="12"/>
      <c r="CH541" s="12"/>
      <c r="CI541" s="12"/>
      <c r="CJ541" s="12"/>
      <c r="CK541" s="12"/>
      <c r="CL541" s="12"/>
      <c r="CM541" s="12"/>
      <c r="CN541" s="12"/>
      <c r="CO541" s="12"/>
      <c r="CP541" s="12"/>
      <c r="CQ541" s="46"/>
      <c r="CR541" s="46"/>
      <c r="CS541" s="46"/>
      <c r="CT541" s="119"/>
      <c r="CU541" s="119"/>
      <c r="CV541" s="119"/>
      <c r="CW541" s="119"/>
      <c r="CX541" s="120"/>
      <c r="CY541" s="120"/>
      <c r="CZ541" s="120"/>
      <c r="DA541" s="120"/>
      <c r="DB541" s="120"/>
      <c r="DC541" s="120"/>
      <c r="DD541" s="120"/>
      <c r="DE541" s="120"/>
      <c r="DF541" s="120"/>
      <c r="DG541" s="2"/>
      <c r="DH541" s="2"/>
      <c r="DI541" s="2"/>
      <c r="DJ541" s="48"/>
      <c r="DK541" s="48"/>
      <c r="DL541" s="48"/>
      <c r="DM541" s="13"/>
      <c r="DN541" s="13"/>
      <c r="DO541" s="12"/>
      <c r="DP541" s="12"/>
      <c r="DQ541" s="12"/>
      <c r="DR541" s="12"/>
      <c r="DS541" s="12"/>
      <c r="DT541" s="2"/>
      <c r="DU541" s="2"/>
      <c r="DV541" s="12"/>
      <c r="DW541" s="12"/>
      <c r="DX541" s="2"/>
      <c r="DY541" s="2"/>
      <c r="DZ541" s="12"/>
      <c r="EA541" s="12"/>
      <c r="EB541" s="12"/>
      <c r="EC541" s="12"/>
      <c r="ED541" s="12"/>
    </row>
    <row r="542" spans="1:134" ht="12.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12"/>
      <c r="AC542" s="12"/>
      <c r="AD542" s="12"/>
      <c r="AE542" s="2"/>
      <c r="AF542" s="2"/>
      <c r="AG542" s="2"/>
      <c r="AH542" s="2"/>
      <c r="AI542" s="2"/>
      <c r="AJ542" s="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2"/>
      <c r="AY542" s="2"/>
      <c r="AZ542" s="2"/>
      <c r="BA542" s="2"/>
      <c r="BB542" s="2"/>
      <c r="BC542" s="2"/>
      <c r="BD542" s="2"/>
      <c r="BE542" s="2"/>
      <c r="BF542" s="12"/>
      <c r="BG542" s="1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152"/>
      <c r="BV542" s="155"/>
      <c r="BW542" s="12"/>
      <c r="BX542" s="12"/>
      <c r="BY542" s="12"/>
      <c r="BZ542" s="12"/>
      <c r="CA542" s="12"/>
      <c r="CB542" s="12"/>
      <c r="CC542" s="12"/>
      <c r="CD542" s="12"/>
      <c r="CE542" s="12"/>
      <c r="CF542" s="12"/>
      <c r="CG542" s="12"/>
      <c r="CH542" s="12"/>
      <c r="CI542" s="12"/>
      <c r="CJ542" s="12"/>
      <c r="CK542" s="12"/>
      <c r="CL542" s="12"/>
      <c r="CM542" s="12"/>
      <c r="CN542" s="12"/>
      <c r="CO542" s="12"/>
      <c r="CP542" s="12"/>
      <c r="CQ542" s="46"/>
      <c r="CR542" s="46"/>
      <c r="CS542" s="46"/>
      <c r="CT542" s="119"/>
      <c r="CU542" s="119"/>
      <c r="CV542" s="119"/>
      <c r="CW542" s="119"/>
      <c r="CX542" s="120"/>
      <c r="CY542" s="120"/>
      <c r="CZ542" s="120"/>
      <c r="DA542" s="120"/>
      <c r="DB542" s="120"/>
      <c r="DC542" s="120"/>
      <c r="DD542" s="120"/>
      <c r="DE542" s="120"/>
      <c r="DF542" s="120"/>
      <c r="DG542" s="2"/>
      <c r="DH542" s="2"/>
      <c r="DI542" s="2"/>
      <c r="DJ542" s="48"/>
      <c r="DK542" s="48"/>
      <c r="DL542" s="48"/>
      <c r="DM542" s="13"/>
      <c r="DN542" s="13"/>
      <c r="DO542" s="12"/>
      <c r="DP542" s="12"/>
      <c r="DQ542" s="12"/>
      <c r="DR542" s="12"/>
      <c r="DS542" s="12"/>
      <c r="DT542" s="2"/>
      <c r="DU542" s="2"/>
      <c r="DV542" s="12"/>
      <c r="DW542" s="12"/>
      <c r="DX542" s="2"/>
      <c r="DY542" s="2"/>
      <c r="DZ542" s="12"/>
      <c r="EA542" s="12"/>
      <c r="EB542" s="12"/>
      <c r="EC542" s="12"/>
      <c r="ED542" s="12"/>
    </row>
    <row r="543" spans="1:134" ht="12.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12"/>
      <c r="AC543" s="12"/>
      <c r="AD543" s="12"/>
      <c r="AE543" s="2"/>
      <c r="AF543" s="2"/>
      <c r="AG543" s="2"/>
      <c r="AH543" s="2"/>
      <c r="AI543" s="2"/>
      <c r="AJ543" s="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2"/>
      <c r="AY543" s="2"/>
      <c r="AZ543" s="2"/>
      <c r="BA543" s="2"/>
      <c r="BB543" s="2"/>
      <c r="BC543" s="2"/>
      <c r="BD543" s="2"/>
      <c r="BE543" s="2"/>
      <c r="BF543" s="12"/>
      <c r="BG543" s="1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152"/>
      <c r="BV543" s="155"/>
      <c r="BW543" s="12"/>
      <c r="BX543" s="12"/>
      <c r="BY543" s="12"/>
      <c r="BZ543" s="12"/>
      <c r="CA543" s="12"/>
      <c r="CB543" s="12"/>
      <c r="CC543" s="12"/>
      <c r="CD543" s="12"/>
      <c r="CE543" s="12"/>
      <c r="CF543" s="12"/>
      <c r="CG543" s="12"/>
      <c r="CH543" s="12"/>
      <c r="CI543" s="12"/>
      <c r="CJ543" s="12"/>
      <c r="CK543" s="12"/>
      <c r="CL543" s="12"/>
      <c r="CM543" s="12"/>
      <c r="CN543" s="12"/>
      <c r="CO543" s="12"/>
      <c r="CP543" s="12"/>
      <c r="CQ543" s="46"/>
      <c r="CR543" s="46"/>
      <c r="CS543" s="46"/>
      <c r="CT543" s="119"/>
      <c r="CU543" s="119"/>
      <c r="CV543" s="119"/>
      <c r="CW543" s="119"/>
      <c r="CX543" s="120"/>
      <c r="CY543" s="120"/>
      <c r="CZ543" s="120"/>
      <c r="DA543" s="120"/>
      <c r="DB543" s="120"/>
      <c r="DC543" s="120"/>
      <c r="DD543" s="120"/>
      <c r="DE543" s="120"/>
      <c r="DF543" s="120"/>
      <c r="DG543" s="2"/>
      <c r="DH543" s="2"/>
      <c r="DI543" s="2"/>
      <c r="DJ543" s="48"/>
      <c r="DK543" s="48"/>
      <c r="DL543" s="48"/>
      <c r="DM543" s="13"/>
      <c r="DN543" s="13"/>
      <c r="DO543" s="12"/>
      <c r="DP543" s="12"/>
      <c r="DQ543" s="12"/>
      <c r="DR543" s="12"/>
      <c r="DS543" s="12"/>
      <c r="DT543" s="2"/>
      <c r="DU543" s="2"/>
      <c r="DV543" s="12"/>
      <c r="DW543" s="12"/>
      <c r="DX543" s="2"/>
      <c r="DY543" s="2"/>
      <c r="DZ543" s="12"/>
      <c r="EA543" s="12"/>
      <c r="EB543" s="12"/>
      <c r="EC543" s="12"/>
      <c r="ED543" s="12"/>
    </row>
    <row r="544" spans="1:134" ht="12.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12"/>
      <c r="AC544" s="12"/>
      <c r="AD544" s="12"/>
      <c r="AE544" s="2"/>
      <c r="AF544" s="2"/>
      <c r="AG544" s="2"/>
      <c r="AH544" s="2"/>
      <c r="AI544" s="2"/>
      <c r="AJ544" s="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2"/>
      <c r="AY544" s="2"/>
      <c r="AZ544" s="2"/>
      <c r="BA544" s="2"/>
      <c r="BB544" s="2"/>
      <c r="BC544" s="2"/>
      <c r="BD544" s="2"/>
      <c r="BE544" s="2"/>
      <c r="BF544" s="12"/>
      <c r="BG544" s="1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152"/>
      <c r="BV544" s="155"/>
      <c r="BW544" s="12"/>
      <c r="BX544" s="12"/>
      <c r="BY544" s="12"/>
      <c r="BZ544" s="12"/>
      <c r="CA544" s="12"/>
      <c r="CB544" s="12"/>
      <c r="CC544" s="12"/>
      <c r="CD544" s="12"/>
      <c r="CE544" s="12"/>
      <c r="CF544" s="12"/>
      <c r="CG544" s="12"/>
      <c r="CH544" s="12"/>
      <c r="CI544" s="12"/>
      <c r="CJ544" s="12"/>
      <c r="CK544" s="12"/>
      <c r="CL544" s="12"/>
      <c r="CM544" s="12"/>
      <c r="CN544" s="12"/>
      <c r="CO544" s="12"/>
      <c r="CP544" s="12"/>
      <c r="CQ544" s="46"/>
      <c r="CR544" s="46"/>
      <c r="CS544" s="46"/>
      <c r="CT544" s="119"/>
      <c r="CU544" s="119"/>
      <c r="CV544" s="119"/>
      <c r="CW544" s="119"/>
      <c r="CX544" s="120"/>
      <c r="CY544" s="120"/>
      <c r="CZ544" s="120"/>
      <c r="DA544" s="120"/>
      <c r="DB544" s="120"/>
      <c r="DC544" s="120"/>
      <c r="DD544" s="120"/>
      <c r="DE544" s="120"/>
      <c r="DF544" s="120"/>
      <c r="DG544" s="2"/>
      <c r="DH544" s="2"/>
      <c r="DI544" s="2"/>
      <c r="DJ544" s="48"/>
      <c r="DK544" s="48"/>
      <c r="DL544" s="48"/>
      <c r="DM544" s="13"/>
      <c r="DN544" s="13"/>
      <c r="DO544" s="12"/>
      <c r="DP544" s="12"/>
      <c r="DQ544" s="12"/>
      <c r="DR544" s="12"/>
      <c r="DS544" s="12"/>
      <c r="DT544" s="2"/>
      <c r="DU544" s="2"/>
      <c r="DV544" s="12"/>
      <c r="DW544" s="12"/>
      <c r="DX544" s="2"/>
      <c r="DY544" s="2"/>
      <c r="DZ544" s="12"/>
      <c r="EA544" s="12"/>
      <c r="EB544" s="12"/>
      <c r="EC544" s="12"/>
      <c r="ED544" s="12"/>
    </row>
    <row r="545" spans="1:134" ht="12.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12"/>
      <c r="AC545" s="12"/>
      <c r="AD545" s="12"/>
      <c r="AE545" s="2"/>
      <c r="AF545" s="2"/>
      <c r="AG545" s="2"/>
      <c r="AH545" s="2"/>
      <c r="AI545" s="2"/>
      <c r="AJ545" s="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2"/>
      <c r="AY545" s="2"/>
      <c r="AZ545" s="2"/>
      <c r="BA545" s="2"/>
      <c r="BB545" s="2"/>
      <c r="BC545" s="2"/>
      <c r="BD545" s="2"/>
      <c r="BE545" s="2"/>
      <c r="BF545" s="12"/>
      <c r="BG545" s="1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152"/>
      <c r="BV545" s="155"/>
      <c r="BW545" s="12"/>
      <c r="BX545" s="12"/>
      <c r="BY545" s="12"/>
      <c r="BZ545" s="12"/>
      <c r="CA545" s="12"/>
      <c r="CB545" s="12"/>
      <c r="CC545" s="12"/>
      <c r="CD545" s="12"/>
      <c r="CE545" s="12"/>
      <c r="CF545" s="12"/>
      <c r="CG545" s="12"/>
      <c r="CH545" s="12"/>
      <c r="CI545" s="12"/>
      <c r="CJ545" s="12"/>
      <c r="CK545" s="12"/>
      <c r="CL545" s="12"/>
      <c r="CM545" s="12"/>
      <c r="CN545" s="12"/>
      <c r="CO545" s="12"/>
      <c r="CP545" s="12"/>
      <c r="CQ545" s="46"/>
      <c r="CR545" s="46"/>
      <c r="CS545" s="46"/>
      <c r="CT545" s="119"/>
      <c r="CU545" s="119"/>
      <c r="CV545" s="119"/>
      <c r="CW545" s="119"/>
      <c r="CX545" s="120"/>
      <c r="CY545" s="120"/>
      <c r="CZ545" s="120"/>
      <c r="DA545" s="120"/>
      <c r="DB545" s="120"/>
      <c r="DC545" s="120"/>
      <c r="DD545" s="120"/>
      <c r="DE545" s="120"/>
      <c r="DF545" s="120"/>
      <c r="DG545" s="2"/>
      <c r="DH545" s="2"/>
      <c r="DI545" s="2"/>
      <c r="DJ545" s="48"/>
      <c r="DK545" s="48"/>
      <c r="DL545" s="48"/>
      <c r="DM545" s="13"/>
      <c r="DN545" s="13"/>
      <c r="DO545" s="12"/>
      <c r="DP545" s="12"/>
      <c r="DQ545" s="12"/>
      <c r="DR545" s="12"/>
      <c r="DS545" s="12"/>
      <c r="DT545" s="2"/>
      <c r="DU545" s="2"/>
      <c r="DV545" s="12"/>
      <c r="DW545" s="12"/>
      <c r="DX545" s="2"/>
      <c r="DY545" s="2"/>
      <c r="DZ545" s="12"/>
      <c r="EA545" s="12"/>
      <c r="EB545" s="12"/>
      <c r="EC545" s="12"/>
      <c r="ED545" s="12"/>
    </row>
    <row r="546" spans="1:134" ht="12.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12"/>
      <c r="AC546" s="12"/>
      <c r="AD546" s="12"/>
      <c r="AE546" s="2"/>
      <c r="AF546" s="2"/>
      <c r="AG546" s="2"/>
      <c r="AH546" s="2"/>
      <c r="AI546" s="2"/>
      <c r="AJ546" s="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2"/>
      <c r="AY546" s="2"/>
      <c r="AZ546" s="2"/>
      <c r="BA546" s="2"/>
      <c r="BB546" s="2"/>
      <c r="BC546" s="2"/>
      <c r="BD546" s="2"/>
      <c r="BE546" s="2"/>
      <c r="BF546" s="12"/>
      <c r="BG546" s="1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152"/>
      <c r="BV546" s="155"/>
      <c r="BW546" s="12"/>
      <c r="BX546" s="12"/>
      <c r="BY546" s="12"/>
      <c r="BZ546" s="12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46"/>
      <c r="CR546" s="46"/>
      <c r="CS546" s="46"/>
      <c r="CT546" s="119"/>
      <c r="CU546" s="119"/>
      <c r="CV546" s="119"/>
      <c r="CW546" s="119"/>
      <c r="CX546" s="120"/>
      <c r="CY546" s="120"/>
      <c r="CZ546" s="120"/>
      <c r="DA546" s="120"/>
      <c r="DB546" s="120"/>
      <c r="DC546" s="120"/>
      <c r="DD546" s="120"/>
      <c r="DE546" s="120"/>
      <c r="DF546" s="120"/>
      <c r="DG546" s="2"/>
      <c r="DH546" s="2"/>
      <c r="DI546" s="2"/>
      <c r="DJ546" s="48"/>
      <c r="DK546" s="48"/>
      <c r="DL546" s="48"/>
      <c r="DM546" s="13"/>
      <c r="DN546" s="13"/>
      <c r="DO546" s="12"/>
      <c r="DP546" s="12"/>
      <c r="DQ546" s="12"/>
      <c r="DR546" s="12"/>
      <c r="DS546" s="12"/>
      <c r="DT546" s="2"/>
      <c r="DU546" s="2"/>
      <c r="DV546" s="12"/>
      <c r="DW546" s="12"/>
      <c r="DX546" s="2"/>
      <c r="DY546" s="2"/>
      <c r="DZ546" s="12"/>
      <c r="EA546" s="12"/>
      <c r="EB546" s="12"/>
      <c r="EC546" s="12"/>
      <c r="ED546" s="12"/>
    </row>
    <row r="547" spans="1:134" ht="12.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12"/>
      <c r="AC547" s="12"/>
      <c r="AD547" s="12"/>
      <c r="AE547" s="2"/>
      <c r="AF547" s="2"/>
      <c r="AG547" s="2"/>
      <c r="AH547" s="2"/>
      <c r="AI547" s="2"/>
      <c r="AJ547" s="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2"/>
      <c r="AY547" s="2"/>
      <c r="AZ547" s="2"/>
      <c r="BA547" s="2"/>
      <c r="BB547" s="2"/>
      <c r="BC547" s="2"/>
      <c r="BD547" s="2"/>
      <c r="BE547" s="2"/>
      <c r="BF547" s="12"/>
      <c r="BG547" s="1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152"/>
      <c r="BV547" s="155"/>
      <c r="BW547" s="12"/>
      <c r="BX547" s="12"/>
      <c r="BY547" s="12"/>
      <c r="BZ547" s="12"/>
      <c r="CA547" s="12"/>
      <c r="CB547" s="12"/>
      <c r="CC547" s="12"/>
      <c r="CD547" s="12"/>
      <c r="CE547" s="12"/>
      <c r="CF547" s="12"/>
      <c r="CG547" s="12"/>
      <c r="CH547" s="12"/>
      <c r="CI547" s="12"/>
      <c r="CJ547" s="12"/>
      <c r="CK547" s="12"/>
      <c r="CL547" s="12"/>
      <c r="CM547" s="12"/>
      <c r="CN547" s="12"/>
      <c r="CO547" s="12"/>
      <c r="CP547" s="12"/>
      <c r="CQ547" s="46"/>
      <c r="CR547" s="46"/>
      <c r="CS547" s="46"/>
      <c r="CT547" s="119"/>
      <c r="CU547" s="119"/>
      <c r="CV547" s="119"/>
      <c r="CW547" s="119"/>
      <c r="CX547" s="120"/>
      <c r="CY547" s="120"/>
      <c r="CZ547" s="120"/>
      <c r="DA547" s="120"/>
      <c r="DB547" s="120"/>
      <c r="DC547" s="120"/>
      <c r="DD547" s="120"/>
      <c r="DE547" s="120"/>
      <c r="DF547" s="120"/>
      <c r="DG547" s="2"/>
      <c r="DH547" s="2"/>
      <c r="DI547" s="2"/>
      <c r="DJ547" s="48"/>
      <c r="DK547" s="48"/>
      <c r="DL547" s="48"/>
      <c r="DM547" s="13"/>
      <c r="DN547" s="13"/>
      <c r="DO547" s="12"/>
      <c r="DP547" s="12"/>
      <c r="DQ547" s="12"/>
      <c r="DR547" s="12"/>
      <c r="DS547" s="12"/>
      <c r="DT547" s="2"/>
      <c r="DU547" s="2"/>
      <c r="DV547" s="12"/>
      <c r="DW547" s="12"/>
      <c r="DX547" s="2"/>
      <c r="DY547" s="2"/>
      <c r="DZ547" s="12"/>
      <c r="EA547" s="12"/>
      <c r="EB547" s="12"/>
      <c r="EC547" s="12"/>
      <c r="ED547" s="12"/>
    </row>
    <row r="548" spans="1:134" ht="12.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12"/>
      <c r="AC548" s="12"/>
      <c r="AD548" s="12"/>
      <c r="AE548" s="2"/>
      <c r="AF548" s="2"/>
      <c r="AG548" s="2"/>
      <c r="AH548" s="2"/>
      <c r="AI548" s="2"/>
      <c r="AJ548" s="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2"/>
      <c r="AY548" s="2"/>
      <c r="AZ548" s="2"/>
      <c r="BA548" s="2"/>
      <c r="BB548" s="2"/>
      <c r="BC548" s="2"/>
      <c r="BD548" s="2"/>
      <c r="BE548" s="2"/>
      <c r="BF548" s="12"/>
      <c r="BG548" s="1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152"/>
      <c r="BV548" s="155"/>
      <c r="BW548" s="12"/>
      <c r="BX548" s="12"/>
      <c r="BY548" s="12"/>
      <c r="BZ548" s="12"/>
      <c r="CA548" s="12"/>
      <c r="CB548" s="12"/>
      <c r="CC548" s="12"/>
      <c r="CD548" s="12"/>
      <c r="CE548" s="12"/>
      <c r="CF548" s="12"/>
      <c r="CG548" s="12"/>
      <c r="CH548" s="12"/>
      <c r="CI548" s="12"/>
      <c r="CJ548" s="12"/>
      <c r="CK548" s="12"/>
      <c r="CL548" s="12"/>
      <c r="CM548" s="12"/>
      <c r="CN548" s="12"/>
      <c r="CO548" s="12"/>
      <c r="CP548" s="12"/>
      <c r="CQ548" s="46"/>
      <c r="CR548" s="46"/>
      <c r="CS548" s="46"/>
      <c r="CT548" s="119"/>
      <c r="CU548" s="119"/>
      <c r="CV548" s="119"/>
      <c r="CW548" s="119"/>
      <c r="CX548" s="120"/>
      <c r="CY548" s="120"/>
      <c r="CZ548" s="120"/>
      <c r="DA548" s="120"/>
      <c r="DB548" s="120"/>
      <c r="DC548" s="120"/>
      <c r="DD548" s="120"/>
      <c r="DE548" s="120"/>
      <c r="DF548" s="120"/>
      <c r="DG548" s="2"/>
      <c r="DH548" s="2"/>
      <c r="DI548" s="2"/>
      <c r="DJ548" s="48"/>
      <c r="DK548" s="48"/>
      <c r="DL548" s="48"/>
      <c r="DM548" s="13"/>
      <c r="DN548" s="13"/>
      <c r="DO548" s="12"/>
      <c r="DP548" s="12"/>
      <c r="DQ548" s="12"/>
      <c r="DR548" s="12"/>
      <c r="DS548" s="12"/>
      <c r="DT548" s="2"/>
      <c r="DU548" s="2"/>
      <c r="DV548" s="12"/>
      <c r="DW548" s="12"/>
      <c r="DX548" s="2"/>
      <c r="DY548" s="2"/>
      <c r="DZ548" s="12"/>
      <c r="EA548" s="12"/>
      <c r="EB548" s="12"/>
      <c r="EC548" s="12"/>
      <c r="ED548" s="12"/>
    </row>
    <row r="549" spans="1:134" ht="12.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12"/>
      <c r="AC549" s="12"/>
      <c r="AD549" s="12"/>
      <c r="AE549" s="2"/>
      <c r="AF549" s="2"/>
      <c r="AG549" s="2"/>
      <c r="AH549" s="2"/>
      <c r="AI549" s="2"/>
      <c r="AJ549" s="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2"/>
      <c r="AY549" s="2"/>
      <c r="AZ549" s="2"/>
      <c r="BA549" s="2"/>
      <c r="BB549" s="2"/>
      <c r="BC549" s="2"/>
      <c r="BD549" s="2"/>
      <c r="BE549" s="2"/>
      <c r="BF549" s="12"/>
      <c r="BG549" s="1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152"/>
      <c r="BV549" s="155"/>
      <c r="BW549" s="12"/>
      <c r="BX549" s="12"/>
      <c r="BY549" s="12"/>
      <c r="BZ549" s="12"/>
      <c r="CA549" s="12"/>
      <c r="CB549" s="12"/>
      <c r="CC549" s="12"/>
      <c r="CD549" s="12"/>
      <c r="CE549" s="12"/>
      <c r="CF549" s="12"/>
      <c r="CG549" s="12"/>
      <c r="CH549" s="12"/>
      <c r="CI549" s="12"/>
      <c r="CJ549" s="12"/>
      <c r="CK549" s="12"/>
      <c r="CL549" s="12"/>
      <c r="CM549" s="12"/>
      <c r="CN549" s="12"/>
      <c r="CO549" s="12"/>
      <c r="CP549" s="12"/>
      <c r="CQ549" s="46"/>
      <c r="CR549" s="46"/>
      <c r="CS549" s="46"/>
      <c r="CT549" s="119"/>
      <c r="CU549" s="119"/>
      <c r="CV549" s="119"/>
      <c r="CW549" s="119"/>
      <c r="CX549" s="120"/>
      <c r="CY549" s="120"/>
      <c r="CZ549" s="120"/>
      <c r="DA549" s="120"/>
      <c r="DB549" s="120"/>
      <c r="DC549" s="120"/>
      <c r="DD549" s="120"/>
      <c r="DE549" s="120"/>
      <c r="DF549" s="120"/>
      <c r="DG549" s="2"/>
      <c r="DH549" s="2"/>
      <c r="DI549" s="2"/>
      <c r="DJ549" s="48"/>
      <c r="DK549" s="48"/>
      <c r="DL549" s="48"/>
      <c r="DM549" s="13"/>
      <c r="DN549" s="13"/>
      <c r="DO549" s="12"/>
      <c r="DP549" s="12"/>
      <c r="DQ549" s="12"/>
      <c r="DR549" s="12"/>
      <c r="DS549" s="12"/>
      <c r="DT549" s="2"/>
      <c r="DU549" s="2"/>
      <c r="DV549" s="12"/>
      <c r="DW549" s="12"/>
      <c r="DX549" s="2"/>
      <c r="DY549" s="2"/>
      <c r="DZ549" s="12"/>
      <c r="EA549" s="12"/>
      <c r="EB549" s="12"/>
      <c r="EC549" s="12"/>
      <c r="ED549" s="12"/>
    </row>
    <row r="550" spans="1:134" ht="12.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12"/>
      <c r="AC550" s="12"/>
      <c r="AD550" s="12"/>
      <c r="AE550" s="2"/>
      <c r="AF550" s="2"/>
      <c r="AG550" s="2"/>
      <c r="AH550" s="2"/>
      <c r="AI550" s="2"/>
      <c r="AJ550" s="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2"/>
      <c r="AY550" s="2"/>
      <c r="AZ550" s="2"/>
      <c r="BA550" s="2"/>
      <c r="BB550" s="2"/>
      <c r="BC550" s="2"/>
      <c r="BD550" s="2"/>
      <c r="BE550" s="2"/>
      <c r="BF550" s="12"/>
      <c r="BG550" s="1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152"/>
      <c r="BV550" s="155"/>
      <c r="BW550" s="12"/>
      <c r="BX550" s="12"/>
      <c r="BY550" s="12"/>
      <c r="BZ550" s="12"/>
      <c r="CA550" s="12"/>
      <c r="CB550" s="12"/>
      <c r="CC550" s="12"/>
      <c r="CD550" s="12"/>
      <c r="CE550" s="12"/>
      <c r="CF550" s="12"/>
      <c r="CG550" s="12"/>
      <c r="CH550" s="12"/>
      <c r="CI550" s="12"/>
      <c r="CJ550" s="12"/>
      <c r="CK550" s="12"/>
      <c r="CL550" s="12"/>
      <c r="CM550" s="12"/>
      <c r="CN550" s="12"/>
      <c r="CO550" s="12"/>
      <c r="CP550" s="12"/>
      <c r="CQ550" s="46"/>
      <c r="CR550" s="46"/>
      <c r="CS550" s="46"/>
      <c r="CT550" s="119"/>
      <c r="CU550" s="119"/>
      <c r="CV550" s="119"/>
      <c r="CW550" s="119"/>
      <c r="CX550" s="120"/>
      <c r="CY550" s="120"/>
      <c r="CZ550" s="120"/>
      <c r="DA550" s="120"/>
      <c r="DB550" s="120"/>
      <c r="DC550" s="120"/>
      <c r="DD550" s="120"/>
      <c r="DE550" s="120"/>
      <c r="DF550" s="120"/>
      <c r="DG550" s="2"/>
      <c r="DH550" s="2"/>
      <c r="DI550" s="2"/>
      <c r="DJ550" s="48"/>
      <c r="DK550" s="48"/>
      <c r="DL550" s="48"/>
      <c r="DM550" s="13"/>
      <c r="DN550" s="13"/>
      <c r="DO550" s="12"/>
      <c r="DP550" s="12"/>
      <c r="DQ550" s="12"/>
      <c r="DR550" s="12"/>
      <c r="DS550" s="12"/>
      <c r="DT550" s="2"/>
      <c r="DU550" s="2"/>
      <c r="DV550" s="12"/>
      <c r="DW550" s="12"/>
      <c r="DX550" s="2"/>
      <c r="DY550" s="2"/>
      <c r="DZ550" s="12"/>
      <c r="EA550" s="12"/>
      <c r="EB550" s="12"/>
      <c r="EC550" s="12"/>
      <c r="ED550" s="12"/>
    </row>
    <row r="551" spans="1:134" ht="12.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12"/>
      <c r="AC551" s="12"/>
      <c r="AD551" s="12"/>
      <c r="AE551" s="2"/>
      <c r="AF551" s="2"/>
      <c r="AG551" s="2"/>
      <c r="AH551" s="2"/>
      <c r="AI551" s="2"/>
      <c r="AJ551" s="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2"/>
      <c r="AY551" s="2"/>
      <c r="AZ551" s="2"/>
      <c r="BA551" s="2"/>
      <c r="BB551" s="2"/>
      <c r="BC551" s="2"/>
      <c r="BD551" s="2"/>
      <c r="BE551" s="2"/>
      <c r="BF551" s="12"/>
      <c r="BG551" s="1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152"/>
      <c r="BV551" s="155"/>
      <c r="BW551" s="12"/>
      <c r="BX551" s="12"/>
      <c r="BY551" s="12"/>
      <c r="BZ551" s="12"/>
      <c r="CA551" s="12"/>
      <c r="CB551" s="12"/>
      <c r="CC551" s="12"/>
      <c r="CD551" s="12"/>
      <c r="CE551" s="12"/>
      <c r="CF551" s="12"/>
      <c r="CG551" s="12"/>
      <c r="CH551" s="12"/>
      <c r="CI551" s="12"/>
      <c r="CJ551" s="12"/>
      <c r="CK551" s="12"/>
      <c r="CL551" s="12"/>
      <c r="CM551" s="12"/>
      <c r="CN551" s="12"/>
      <c r="CO551" s="12"/>
      <c r="CP551" s="12"/>
      <c r="CQ551" s="46"/>
      <c r="CR551" s="46"/>
      <c r="CS551" s="46"/>
      <c r="CT551" s="119"/>
      <c r="CU551" s="119"/>
      <c r="CV551" s="119"/>
      <c r="CW551" s="119"/>
      <c r="CX551" s="120"/>
      <c r="CY551" s="120"/>
      <c r="CZ551" s="120"/>
      <c r="DA551" s="120"/>
      <c r="DB551" s="120"/>
      <c r="DC551" s="120"/>
      <c r="DD551" s="120"/>
      <c r="DE551" s="120"/>
      <c r="DF551" s="120"/>
      <c r="DG551" s="2"/>
      <c r="DH551" s="2"/>
      <c r="DI551" s="2"/>
      <c r="DJ551" s="48"/>
      <c r="DK551" s="48"/>
      <c r="DL551" s="48"/>
      <c r="DM551" s="13"/>
      <c r="DN551" s="13"/>
      <c r="DO551" s="12"/>
      <c r="DP551" s="12"/>
      <c r="DQ551" s="12"/>
      <c r="DR551" s="12"/>
      <c r="DS551" s="12"/>
      <c r="DT551" s="2"/>
      <c r="DU551" s="2"/>
      <c r="DV551" s="12"/>
      <c r="DW551" s="12"/>
      <c r="DX551" s="2"/>
      <c r="DY551" s="2"/>
      <c r="DZ551" s="12"/>
      <c r="EA551" s="12"/>
      <c r="EB551" s="12"/>
      <c r="EC551" s="12"/>
      <c r="ED551" s="12"/>
    </row>
    <row r="552" spans="1:134" ht="12.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12"/>
      <c r="AC552" s="12"/>
      <c r="AD552" s="12"/>
      <c r="AE552" s="2"/>
      <c r="AF552" s="2"/>
      <c r="AG552" s="2"/>
      <c r="AH552" s="2"/>
      <c r="AI552" s="2"/>
      <c r="AJ552" s="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2"/>
      <c r="AY552" s="2"/>
      <c r="AZ552" s="2"/>
      <c r="BA552" s="2"/>
      <c r="BB552" s="2"/>
      <c r="BC552" s="2"/>
      <c r="BD552" s="2"/>
      <c r="BE552" s="2"/>
      <c r="BF552" s="12"/>
      <c r="BG552" s="1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152"/>
      <c r="BV552" s="155"/>
      <c r="BW552" s="12"/>
      <c r="BX552" s="12"/>
      <c r="BY552" s="12"/>
      <c r="BZ552" s="12"/>
      <c r="CA552" s="12"/>
      <c r="CB552" s="12"/>
      <c r="CC552" s="12"/>
      <c r="CD552" s="12"/>
      <c r="CE552" s="12"/>
      <c r="CF552" s="12"/>
      <c r="CG552" s="12"/>
      <c r="CH552" s="12"/>
      <c r="CI552" s="12"/>
      <c r="CJ552" s="12"/>
      <c r="CK552" s="12"/>
      <c r="CL552" s="12"/>
      <c r="CM552" s="12"/>
      <c r="CN552" s="12"/>
      <c r="CO552" s="12"/>
      <c r="CP552" s="12"/>
      <c r="CQ552" s="46"/>
      <c r="CR552" s="46"/>
      <c r="CS552" s="46"/>
      <c r="CT552" s="119"/>
      <c r="CU552" s="119"/>
      <c r="CV552" s="119"/>
      <c r="CW552" s="119"/>
      <c r="CX552" s="120"/>
      <c r="CY552" s="120"/>
      <c r="CZ552" s="120"/>
      <c r="DA552" s="120"/>
      <c r="DB552" s="120"/>
      <c r="DC552" s="120"/>
      <c r="DD552" s="120"/>
      <c r="DE552" s="120"/>
      <c r="DF552" s="120"/>
      <c r="DG552" s="2"/>
      <c r="DH552" s="2"/>
      <c r="DI552" s="2"/>
      <c r="DJ552" s="48"/>
      <c r="DK552" s="48"/>
      <c r="DL552" s="48"/>
      <c r="DM552" s="13"/>
      <c r="DN552" s="13"/>
      <c r="DO552" s="12"/>
      <c r="DP552" s="12"/>
      <c r="DQ552" s="12"/>
      <c r="DR552" s="12"/>
      <c r="DS552" s="12"/>
      <c r="DT552" s="2"/>
      <c r="DU552" s="2"/>
      <c r="DV552" s="12"/>
      <c r="DW552" s="12"/>
      <c r="DX552" s="2"/>
      <c r="DY552" s="2"/>
      <c r="DZ552" s="12"/>
      <c r="EA552" s="12"/>
      <c r="EB552" s="12"/>
      <c r="EC552" s="12"/>
      <c r="ED552" s="12"/>
    </row>
    <row r="553" spans="1:134" ht="12.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12"/>
      <c r="AC553" s="12"/>
      <c r="AD553" s="12"/>
      <c r="AE553" s="2"/>
      <c r="AF553" s="2"/>
      <c r="AG553" s="2"/>
      <c r="AH553" s="2"/>
      <c r="AI553" s="2"/>
      <c r="AJ553" s="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2"/>
      <c r="AY553" s="2"/>
      <c r="AZ553" s="2"/>
      <c r="BA553" s="2"/>
      <c r="BB553" s="2"/>
      <c r="BC553" s="2"/>
      <c r="BD553" s="2"/>
      <c r="BE553" s="2"/>
      <c r="BF553" s="12"/>
      <c r="BG553" s="1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152"/>
      <c r="BV553" s="155"/>
      <c r="BW553" s="12"/>
      <c r="BX553" s="12"/>
      <c r="BY553" s="12"/>
      <c r="BZ553" s="12"/>
      <c r="CA553" s="12"/>
      <c r="CB553" s="12"/>
      <c r="CC553" s="12"/>
      <c r="CD553" s="12"/>
      <c r="CE553" s="12"/>
      <c r="CF553" s="12"/>
      <c r="CG553" s="12"/>
      <c r="CH553" s="12"/>
      <c r="CI553" s="12"/>
      <c r="CJ553" s="12"/>
      <c r="CK553" s="12"/>
      <c r="CL553" s="12"/>
      <c r="CM553" s="12"/>
      <c r="CN553" s="12"/>
      <c r="CO553" s="12"/>
      <c r="CP553" s="12"/>
      <c r="CQ553" s="46"/>
      <c r="CR553" s="46"/>
      <c r="CS553" s="46"/>
      <c r="CT553" s="119"/>
      <c r="CU553" s="119"/>
      <c r="CV553" s="119"/>
      <c r="CW553" s="119"/>
      <c r="CX553" s="120"/>
      <c r="CY553" s="120"/>
      <c r="CZ553" s="120"/>
      <c r="DA553" s="120"/>
      <c r="DB553" s="120"/>
      <c r="DC553" s="120"/>
      <c r="DD553" s="120"/>
      <c r="DE553" s="120"/>
      <c r="DF553" s="120"/>
      <c r="DG553" s="2"/>
      <c r="DH553" s="2"/>
      <c r="DI553" s="2"/>
      <c r="DJ553" s="48"/>
      <c r="DK553" s="48"/>
      <c r="DL553" s="48"/>
      <c r="DM553" s="13"/>
      <c r="DN553" s="13"/>
      <c r="DO553" s="12"/>
      <c r="DP553" s="12"/>
      <c r="DQ553" s="12"/>
      <c r="DR553" s="12"/>
      <c r="DS553" s="12"/>
      <c r="DT553" s="2"/>
      <c r="DU553" s="2"/>
      <c r="DV553" s="12"/>
      <c r="DW553" s="12"/>
      <c r="DX553" s="2"/>
      <c r="DY553" s="2"/>
      <c r="DZ553" s="12"/>
      <c r="EA553" s="12"/>
      <c r="EB553" s="12"/>
      <c r="EC553" s="12"/>
      <c r="ED553" s="12"/>
    </row>
    <row r="554" spans="1:134" ht="12.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12"/>
      <c r="AC554" s="12"/>
      <c r="AD554" s="12"/>
      <c r="AE554" s="2"/>
      <c r="AF554" s="2"/>
      <c r="AG554" s="2"/>
      <c r="AH554" s="2"/>
      <c r="AI554" s="2"/>
      <c r="AJ554" s="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2"/>
      <c r="AY554" s="2"/>
      <c r="AZ554" s="2"/>
      <c r="BA554" s="2"/>
      <c r="BB554" s="2"/>
      <c r="BC554" s="2"/>
      <c r="BD554" s="2"/>
      <c r="BE554" s="2"/>
      <c r="BF554" s="12"/>
      <c r="BG554" s="1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152"/>
      <c r="BV554" s="155"/>
      <c r="BW554" s="12"/>
      <c r="BX554" s="12"/>
      <c r="BY554" s="12"/>
      <c r="BZ554" s="12"/>
      <c r="CA554" s="12"/>
      <c r="CB554" s="12"/>
      <c r="CC554" s="12"/>
      <c r="CD554" s="12"/>
      <c r="CE554" s="12"/>
      <c r="CF554" s="12"/>
      <c r="CG554" s="12"/>
      <c r="CH554" s="12"/>
      <c r="CI554" s="12"/>
      <c r="CJ554" s="12"/>
      <c r="CK554" s="12"/>
      <c r="CL554" s="12"/>
      <c r="CM554" s="12"/>
      <c r="CN554" s="12"/>
      <c r="CO554" s="12"/>
      <c r="CP554" s="12"/>
      <c r="CQ554" s="46"/>
      <c r="CR554" s="46"/>
      <c r="CS554" s="46"/>
      <c r="CT554" s="119"/>
      <c r="CU554" s="119"/>
      <c r="CV554" s="119"/>
      <c r="CW554" s="119"/>
      <c r="CX554" s="120"/>
      <c r="CY554" s="120"/>
      <c r="CZ554" s="120"/>
      <c r="DA554" s="120"/>
      <c r="DB554" s="120"/>
      <c r="DC554" s="120"/>
      <c r="DD554" s="120"/>
      <c r="DE554" s="120"/>
      <c r="DF554" s="120"/>
      <c r="DG554" s="2"/>
      <c r="DH554" s="2"/>
      <c r="DI554" s="2"/>
      <c r="DJ554" s="48"/>
      <c r="DK554" s="48"/>
      <c r="DL554" s="48"/>
      <c r="DM554" s="13"/>
      <c r="DN554" s="13"/>
      <c r="DO554" s="12"/>
      <c r="DP554" s="12"/>
      <c r="DQ554" s="12"/>
      <c r="DR554" s="12"/>
      <c r="DS554" s="12"/>
      <c r="DT554" s="2"/>
      <c r="DU554" s="2"/>
      <c r="DV554" s="12"/>
      <c r="DW554" s="12"/>
      <c r="DX554" s="2"/>
      <c r="DY554" s="2"/>
      <c r="DZ554" s="12"/>
      <c r="EA554" s="12"/>
      <c r="EB554" s="12"/>
      <c r="EC554" s="12"/>
      <c r="ED554" s="12"/>
    </row>
    <row r="555" spans="1:134" ht="12.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12"/>
      <c r="AC555" s="12"/>
      <c r="AD555" s="12"/>
      <c r="AE555" s="2"/>
      <c r="AF555" s="2"/>
      <c r="AG555" s="2"/>
      <c r="AH555" s="2"/>
      <c r="AI555" s="2"/>
      <c r="AJ555" s="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2"/>
      <c r="AY555" s="2"/>
      <c r="AZ555" s="2"/>
      <c r="BA555" s="2"/>
      <c r="BB555" s="2"/>
      <c r="BC555" s="2"/>
      <c r="BD555" s="2"/>
      <c r="BE555" s="2"/>
      <c r="BF555" s="12"/>
      <c r="BG555" s="1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152"/>
      <c r="BV555" s="155"/>
      <c r="BW555" s="12"/>
      <c r="BX555" s="12"/>
      <c r="BY555" s="12"/>
      <c r="BZ555" s="12"/>
      <c r="CA555" s="12"/>
      <c r="CB555" s="12"/>
      <c r="CC555" s="12"/>
      <c r="CD555" s="12"/>
      <c r="CE555" s="12"/>
      <c r="CF555" s="12"/>
      <c r="CG555" s="12"/>
      <c r="CH555" s="12"/>
      <c r="CI555" s="12"/>
      <c r="CJ555" s="12"/>
      <c r="CK555" s="12"/>
      <c r="CL555" s="12"/>
      <c r="CM555" s="12"/>
      <c r="CN555" s="12"/>
      <c r="CO555" s="12"/>
      <c r="CP555" s="12"/>
      <c r="CQ555" s="46"/>
      <c r="CR555" s="46"/>
      <c r="CS555" s="46"/>
      <c r="CT555" s="119"/>
      <c r="CU555" s="119"/>
      <c r="CV555" s="119"/>
      <c r="CW555" s="119"/>
      <c r="CX555" s="120"/>
      <c r="CY555" s="120"/>
      <c r="CZ555" s="120"/>
      <c r="DA555" s="120"/>
      <c r="DB555" s="120"/>
      <c r="DC555" s="120"/>
      <c r="DD555" s="120"/>
      <c r="DE555" s="120"/>
      <c r="DF555" s="120"/>
      <c r="DG555" s="2"/>
      <c r="DH555" s="2"/>
      <c r="DI555" s="2"/>
      <c r="DJ555" s="48"/>
      <c r="DK555" s="48"/>
      <c r="DL555" s="48"/>
      <c r="DM555" s="13"/>
      <c r="DN555" s="13"/>
      <c r="DO555" s="12"/>
      <c r="DP555" s="12"/>
      <c r="DQ555" s="12"/>
      <c r="DR555" s="12"/>
      <c r="DS555" s="12"/>
      <c r="DT555" s="2"/>
      <c r="DU555" s="2"/>
      <c r="DV555" s="12"/>
      <c r="DW555" s="12"/>
      <c r="DX555" s="2"/>
      <c r="DY555" s="2"/>
      <c r="DZ555" s="12"/>
      <c r="EA555" s="12"/>
      <c r="EB555" s="12"/>
      <c r="EC555" s="12"/>
      <c r="ED555" s="12"/>
    </row>
    <row r="556" spans="1:134" ht="12.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12"/>
      <c r="AC556" s="12"/>
      <c r="AD556" s="12"/>
      <c r="AE556" s="2"/>
      <c r="AF556" s="2"/>
      <c r="AG556" s="2"/>
      <c r="AH556" s="2"/>
      <c r="AI556" s="2"/>
      <c r="AJ556" s="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2"/>
      <c r="AY556" s="2"/>
      <c r="AZ556" s="2"/>
      <c r="BA556" s="2"/>
      <c r="BB556" s="2"/>
      <c r="BC556" s="2"/>
      <c r="BD556" s="2"/>
      <c r="BE556" s="2"/>
      <c r="BF556" s="12"/>
      <c r="BG556" s="1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152"/>
      <c r="BV556" s="155"/>
      <c r="BW556" s="12"/>
      <c r="BX556" s="12"/>
      <c r="BY556" s="12"/>
      <c r="BZ556" s="12"/>
      <c r="CA556" s="12"/>
      <c r="CB556" s="12"/>
      <c r="CC556" s="12"/>
      <c r="CD556" s="12"/>
      <c r="CE556" s="12"/>
      <c r="CF556" s="12"/>
      <c r="CG556" s="12"/>
      <c r="CH556" s="12"/>
      <c r="CI556" s="12"/>
      <c r="CJ556" s="12"/>
      <c r="CK556" s="12"/>
      <c r="CL556" s="12"/>
      <c r="CM556" s="12"/>
      <c r="CN556" s="12"/>
      <c r="CO556" s="12"/>
      <c r="CP556" s="12"/>
      <c r="CQ556" s="46"/>
      <c r="CR556" s="46"/>
      <c r="CS556" s="46"/>
      <c r="CT556" s="119"/>
      <c r="CU556" s="119"/>
      <c r="CV556" s="119"/>
      <c r="CW556" s="119"/>
      <c r="CX556" s="120"/>
      <c r="CY556" s="120"/>
      <c r="CZ556" s="120"/>
      <c r="DA556" s="120"/>
      <c r="DB556" s="120"/>
      <c r="DC556" s="120"/>
      <c r="DD556" s="120"/>
      <c r="DE556" s="120"/>
      <c r="DF556" s="120"/>
      <c r="DG556" s="2"/>
      <c r="DH556" s="2"/>
      <c r="DI556" s="2"/>
      <c r="DJ556" s="48"/>
      <c r="DK556" s="48"/>
      <c r="DL556" s="48"/>
      <c r="DM556" s="13"/>
      <c r="DN556" s="13"/>
      <c r="DO556" s="12"/>
      <c r="DP556" s="12"/>
      <c r="DQ556" s="12"/>
      <c r="DR556" s="12"/>
      <c r="DS556" s="12"/>
      <c r="DT556" s="2"/>
      <c r="DU556" s="2"/>
      <c r="DV556" s="12"/>
      <c r="DW556" s="12"/>
      <c r="DX556" s="2"/>
      <c r="DY556" s="2"/>
      <c r="DZ556" s="12"/>
      <c r="EA556" s="12"/>
      <c r="EB556" s="12"/>
      <c r="EC556" s="12"/>
      <c r="ED556" s="12"/>
    </row>
    <row r="557" spans="1:134" ht="12.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12"/>
      <c r="AC557" s="12"/>
      <c r="AD557" s="12"/>
      <c r="AE557" s="2"/>
      <c r="AF557" s="2"/>
      <c r="AG557" s="2"/>
      <c r="AH557" s="2"/>
      <c r="AI557" s="2"/>
      <c r="AJ557" s="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2"/>
      <c r="AY557" s="2"/>
      <c r="AZ557" s="2"/>
      <c r="BA557" s="2"/>
      <c r="BB557" s="2"/>
      <c r="BC557" s="2"/>
      <c r="BD557" s="2"/>
      <c r="BE557" s="2"/>
      <c r="BF557" s="12"/>
      <c r="BG557" s="1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152"/>
      <c r="BV557" s="155"/>
      <c r="BW557" s="12"/>
      <c r="BX557" s="12"/>
      <c r="BY557" s="12"/>
      <c r="BZ557" s="12"/>
      <c r="CA557" s="12"/>
      <c r="CB557" s="12"/>
      <c r="CC557" s="12"/>
      <c r="CD557" s="12"/>
      <c r="CE557" s="12"/>
      <c r="CF557" s="12"/>
      <c r="CG557" s="12"/>
      <c r="CH557" s="12"/>
      <c r="CI557" s="12"/>
      <c r="CJ557" s="12"/>
      <c r="CK557" s="12"/>
      <c r="CL557" s="12"/>
      <c r="CM557" s="12"/>
      <c r="CN557" s="12"/>
      <c r="CO557" s="12"/>
      <c r="CP557" s="12"/>
      <c r="CQ557" s="46"/>
      <c r="CR557" s="46"/>
      <c r="CS557" s="46"/>
      <c r="CT557" s="119"/>
      <c r="CU557" s="119"/>
      <c r="CV557" s="119"/>
      <c r="CW557" s="119"/>
      <c r="CX557" s="120"/>
      <c r="CY557" s="120"/>
      <c r="CZ557" s="120"/>
      <c r="DA557" s="120"/>
      <c r="DB557" s="120"/>
      <c r="DC557" s="120"/>
      <c r="DD557" s="120"/>
      <c r="DE557" s="120"/>
      <c r="DF557" s="120"/>
      <c r="DG557" s="2"/>
      <c r="DH557" s="2"/>
      <c r="DI557" s="2"/>
      <c r="DJ557" s="48"/>
      <c r="DK557" s="48"/>
      <c r="DL557" s="48"/>
      <c r="DM557" s="13"/>
      <c r="DN557" s="13"/>
      <c r="DO557" s="12"/>
      <c r="DP557" s="12"/>
      <c r="DQ557" s="12"/>
      <c r="DR557" s="12"/>
      <c r="DS557" s="12"/>
      <c r="DT557" s="2"/>
      <c r="DU557" s="2"/>
      <c r="DV557" s="12"/>
      <c r="DW557" s="12"/>
      <c r="DX557" s="2"/>
      <c r="DY557" s="2"/>
      <c r="DZ557" s="12"/>
      <c r="EA557" s="12"/>
      <c r="EB557" s="12"/>
      <c r="EC557" s="12"/>
      <c r="ED557" s="12"/>
    </row>
    <row r="558" spans="1:134" ht="12.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12"/>
      <c r="AC558" s="12"/>
      <c r="AD558" s="12"/>
      <c r="AE558" s="2"/>
      <c r="AF558" s="2"/>
      <c r="AG558" s="2"/>
      <c r="AH558" s="2"/>
      <c r="AI558" s="2"/>
      <c r="AJ558" s="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2"/>
      <c r="AY558" s="2"/>
      <c r="AZ558" s="2"/>
      <c r="BA558" s="2"/>
      <c r="BB558" s="2"/>
      <c r="BC558" s="2"/>
      <c r="BD558" s="2"/>
      <c r="BE558" s="2"/>
      <c r="BF558" s="12"/>
      <c r="BG558" s="1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152"/>
      <c r="BV558" s="155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46"/>
      <c r="CR558" s="46"/>
      <c r="CS558" s="46"/>
      <c r="CT558" s="119"/>
      <c r="CU558" s="119"/>
      <c r="CV558" s="119"/>
      <c r="CW558" s="119"/>
      <c r="CX558" s="120"/>
      <c r="CY558" s="120"/>
      <c r="CZ558" s="120"/>
      <c r="DA558" s="120"/>
      <c r="DB558" s="120"/>
      <c r="DC558" s="120"/>
      <c r="DD558" s="120"/>
      <c r="DE558" s="120"/>
      <c r="DF558" s="120"/>
      <c r="DG558" s="2"/>
      <c r="DH558" s="2"/>
      <c r="DI558" s="2"/>
      <c r="DJ558" s="48"/>
      <c r="DK558" s="48"/>
      <c r="DL558" s="48"/>
      <c r="DM558" s="13"/>
      <c r="DN558" s="13"/>
      <c r="DO558" s="12"/>
      <c r="DP558" s="12"/>
      <c r="DQ558" s="12"/>
      <c r="DR558" s="12"/>
      <c r="DS558" s="12"/>
      <c r="DT558" s="2"/>
      <c r="DU558" s="2"/>
      <c r="DV558" s="12"/>
      <c r="DW558" s="12"/>
      <c r="DX558" s="2"/>
      <c r="DY558" s="2"/>
      <c r="DZ558" s="12"/>
      <c r="EA558" s="12"/>
      <c r="EB558" s="12"/>
      <c r="EC558" s="12"/>
      <c r="ED558" s="12"/>
    </row>
    <row r="559" spans="1:134" ht="12.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12"/>
      <c r="AC559" s="12"/>
      <c r="AD559" s="12"/>
      <c r="AE559" s="2"/>
      <c r="AF559" s="2"/>
      <c r="AG559" s="2"/>
      <c r="AH559" s="2"/>
      <c r="AI559" s="2"/>
      <c r="AJ559" s="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2"/>
      <c r="AY559" s="2"/>
      <c r="AZ559" s="2"/>
      <c r="BA559" s="2"/>
      <c r="BB559" s="2"/>
      <c r="BC559" s="2"/>
      <c r="BD559" s="2"/>
      <c r="BE559" s="2"/>
      <c r="BF559" s="12"/>
      <c r="BG559" s="1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152"/>
      <c r="BV559" s="155"/>
      <c r="BW559" s="12"/>
      <c r="BX559" s="12"/>
      <c r="BY559" s="12"/>
      <c r="BZ559" s="12"/>
      <c r="CA559" s="12"/>
      <c r="CB559" s="12"/>
      <c r="CC559" s="12"/>
      <c r="CD559" s="12"/>
      <c r="CE559" s="12"/>
      <c r="CF559" s="12"/>
      <c r="CG559" s="12"/>
      <c r="CH559" s="12"/>
      <c r="CI559" s="12"/>
      <c r="CJ559" s="12"/>
      <c r="CK559" s="12"/>
      <c r="CL559" s="12"/>
      <c r="CM559" s="12"/>
      <c r="CN559" s="12"/>
      <c r="CO559" s="12"/>
      <c r="CP559" s="12"/>
      <c r="CQ559" s="46"/>
      <c r="CR559" s="46"/>
      <c r="CS559" s="46"/>
      <c r="CT559" s="119"/>
      <c r="CU559" s="119"/>
      <c r="CV559" s="119"/>
      <c r="CW559" s="119"/>
      <c r="CX559" s="120"/>
      <c r="CY559" s="120"/>
      <c r="CZ559" s="120"/>
      <c r="DA559" s="120"/>
      <c r="DB559" s="120"/>
      <c r="DC559" s="120"/>
      <c r="DD559" s="120"/>
      <c r="DE559" s="120"/>
      <c r="DF559" s="120"/>
      <c r="DG559" s="2"/>
      <c r="DH559" s="2"/>
      <c r="DI559" s="2"/>
      <c r="DJ559" s="48"/>
      <c r="DK559" s="48"/>
      <c r="DL559" s="48"/>
      <c r="DM559" s="13"/>
      <c r="DN559" s="13"/>
      <c r="DO559" s="12"/>
      <c r="DP559" s="12"/>
      <c r="DQ559" s="12"/>
      <c r="DR559" s="12"/>
      <c r="DS559" s="12"/>
      <c r="DT559" s="2"/>
      <c r="DU559" s="2"/>
      <c r="DV559" s="12"/>
      <c r="DW559" s="12"/>
      <c r="DX559" s="2"/>
      <c r="DY559" s="2"/>
      <c r="DZ559" s="12"/>
      <c r="EA559" s="12"/>
      <c r="EB559" s="12"/>
      <c r="EC559" s="12"/>
      <c r="ED559" s="12"/>
    </row>
    <row r="560" spans="1:134" ht="12.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12"/>
      <c r="AC560" s="12"/>
      <c r="AD560" s="12"/>
      <c r="AE560" s="2"/>
      <c r="AF560" s="2"/>
      <c r="AG560" s="2"/>
      <c r="AH560" s="2"/>
      <c r="AI560" s="2"/>
      <c r="AJ560" s="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2"/>
      <c r="AY560" s="2"/>
      <c r="AZ560" s="2"/>
      <c r="BA560" s="2"/>
      <c r="BB560" s="2"/>
      <c r="BC560" s="2"/>
      <c r="BD560" s="2"/>
      <c r="BE560" s="2"/>
      <c r="BF560" s="12"/>
      <c r="BG560" s="1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152"/>
      <c r="BV560" s="155"/>
      <c r="BW560" s="12"/>
      <c r="BX560" s="12"/>
      <c r="BY560" s="12"/>
      <c r="BZ560" s="12"/>
      <c r="CA560" s="12"/>
      <c r="CB560" s="12"/>
      <c r="CC560" s="12"/>
      <c r="CD560" s="12"/>
      <c r="CE560" s="12"/>
      <c r="CF560" s="12"/>
      <c r="CG560" s="12"/>
      <c r="CH560" s="12"/>
      <c r="CI560" s="12"/>
      <c r="CJ560" s="12"/>
      <c r="CK560" s="12"/>
      <c r="CL560" s="12"/>
      <c r="CM560" s="12"/>
      <c r="CN560" s="12"/>
      <c r="CO560" s="12"/>
      <c r="CP560" s="12"/>
      <c r="CQ560" s="46"/>
      <c r="CR560" s="46"/>
      <c r="CS560" s="46"/>
      <c r="CT560" s="119"/>
      <c r="CU560" s="119"/>
      <c r="CV560" s="119"/>
      <c r="CW560" s="119"/>
      <c r="CX560" s="120"/>
      <c r="CY560" s="120"/>
      <c r="CZ560" s="120"/>
      <c r="DA560" s="120"/>
      <c r="DB560" s="120"/>
      <c r="DC560" s="120"/>
      <c r="DD560" s="120"/>
      <c r="DE560" s="120"/>
      <c r="DF560" s="120"/>
      <c r="DG560" s="2"/>
      <c r="DH560" s="2"/>
      <c r="DI560" s="2"/>
      <c r="DJ560" s="48"/>
      <c r="DK560" s="48"/>
      <c r="DL560" s="48"/>
      <c r="DM560" s="13"/>
      <c r="DN560" s="13"/>
      <c r="DO560" s="12"/>
      <c r="DP560" s="12"/>
      <c r="DQ560" s="12"/>
      <c r="DR560" s="12"/>
      <c r="DS560" s="12"/>
      <c r="DT560" s="2"/>
      <c r="DU560" s="2"/>
      <c r="DV560" s="12"/>
      <c r="DW560" s="12"/>
      <c r="DX560" s="2"/>
      <c r="DY560" s="2"/>
      <c r="DZ560" s="12"/>
      <c r="EA560" s="12"/>
      <c r="EB560" s="12"/>
      <c r="EC560" s="12"/>
      <c r="ED560" s="12"/>
    </row>
    <row r="561" spans="1:134" ht="12.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12"/>
      <c r="AC561" s="12"/>
      <c r="AD561" s="12"/>
      <c r="AE561" s="2"/>
      <c r="AF561" s="2"/>
      <c r="AG561" s="2"/>
      <c r="AH561" s="2"/>
      <c r="AI561" s="2"/>
      <c r="AJ561" s="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2"/>
      <c r="AY561" s="2"/>
      <c r="AZ561" s="2"/>
      <c r="BA561" s="2"/>
      <c r="BB561" s="2"/>
      <c r="BC561" s="2"/>
      <c r="BD561" s="2"/>
      <c r="BE561" s="2"/>
      <c r="BF561" s="12"/>
      <c r="BG561" s="1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152"/>
      <c r="BV561" s="155"/>
      <c r="BW561" s="12"/>
      <c r="BX561" s="12"/>
      <c r="BY561" s="12"/>
      <c r="BZ561" s="12"/>
      <c r="CA561" s="12"/>
      <c r="CB561" s="12"/>
      <c r="CC561" s="12"/>
      <c r="CD561" s="12"/>
      <c r="CE561" s="12"/>
      <c r="CF561" s="12"/>
      <c r="CG561" s="12"/>
      <c r="CH561" s="12"/>
      <c r="CI561" s="12"/>
      <c r="CJ561" s="12"/>
      <c r="CK561" s="12"/>
      <c r="CL561" s="12"/>
      <c r="CM561" s="12"/>
      <c r="CN561" s="12"/>
      <c r="CO561" s="12"/>
      <c r="CP561" s="12"/>
      <c r="CQ561" s="46"/>
      <c r="CR561" s="46"/>
      <c r="CS561" s="46"/>
      <c r="CT561" s="119"/>
      <c r="CU561" s="119"/>
      <c r="CV561" s="119"/>
      <c r="CW561" s="119"/>
      <c r="CX561" s="120"/>
      <c r="CY561" s="120"/>
      <c r="CZ561" s="120"/>
      <c r="DA561" s="120"/>
      <c r="DB561" s="120"/>
      <c r="DC561" s="120"/>
      <c r="DD561" s="120"/>
      <c r="DE561" s="120"/>
      <c r="DF561" s="120"/>
      <c r="DG561" s="2"/>
      <c r="DH561" s="2"/>
      <c r="DI561" s="2"/>
      <c r="DJ561" s="48"/>
      <c r="DK561" s="48"/>
      <c r="DL561" s="48"/>
      <c r="DM561" s="13"/>
      <c r="DN561" s="13"/>
      <c r="DO561" s="12"/>
      <c r="DP561" s="12"/>
      <c r="DQ561" s="12"/>
      <c r="DR561" s="12"/>
      <c r="DS561" s="12"/>
      <c r="DT561" s="2"/>
      <c r="DU561" s="2"/>
      <c r="DV561" s="12"/>
      <c r="DW561" s="12"/>
      <c r="DX561" s="2"/>
      <c r="DY561" s="2"/>
      <c r="DZ561" s="12"/>
      <c r="EA561" s="12"/>
      <c r="EB561" s="12"/>
      <c r="EC561" s="12"/>
      <c r="ED561" s="12"/>
    </row>
    <row r="562" spans="1:134" ht="12.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12"/>
      <c r="AC562" s="12"/>
      <c r="AD562" s="12"/>
      <c r="AE562" s="2"/>
      <c r="AF562" s="2"/>
      <c r="AG562" s="2"/>
      <c r="AH562" s="2"/>
      <c r="AI562" s="2"/>
      <c r="AJ562" s="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2"/>
      <c r="AY562" s="2"/>
      <c r="AZ562" s="2"/>
      <c r="BA562" s="2"/>
      <c r="BB562" s="2"/>
      <c r="BC562" s="2"/>
      <c r="BD562" s="2"/>
      <c r="BE562" s="2"/>
      <c r="BF562" s="12"/>
      <c r="BG562" s="1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152"/>
      <c r="BV562" s="155"/>
      <c r="BW562" s="12"/>
      <c r="BX562" s="12"/>
      <c r="BY562" s="12"/>
      <c r="BZ562" s="12"/>
      <c r="CA562" s="12"/>
      <c r="CB562" s="12"/>
      <c r="CC562" s="12"/>
      <c r="CD562" s="12"/>
      <c r="CE562" s="12"/>
      <c r="CF562" s="12"/>
      <c r="CG562" s="12"/>
      <c r="CH562" s="12"/>
      <c r="CI562" s="12"/>
      <c r="CJ562" s="12"/>
      <c r="CK562" s="12"/>
      <c r="CL562" s="12"/>
      <c r="CM562" s="12"/>
      <c r="CN562" s="12"/>
      <c r="CO562" s="12"/>
      <c r="CP562" s="12"/>
      <c r="CQ562" s="46"/>
      <c r="CR562" s="46"/>
      <c r="CS562" s="46"/>
      <c r="CT562" s="119"/>
      <c r="CU562" s="119"/>
      <c r="CV562" s="119"/>
      <c r="CW562" s="119"/>
      <c r="CX562" s="120"/>
      <c r="CY562" s="120"/>
      <c r="CZ562" s="120"/>
      <c r="DA562" s="120"/>
      <c r="DB562" s="120"/>
      <c r="DC562" s="120"/>
      <c r="DD562" s="120"/>
      <c r="DE562" s="120"/>
      <c r="DF562" s="120"/>
      <c r="DG562" s="2"/>
      <c r="DH562" s="2"/>
      <c r="DI562" s="2"/>
      <c r="DJ562" s="48"/>
      <c r="DK562" s="48"/>
      <c r="DL562" s="48"/>
      <c r="DM562" s="13"/>
      <c r="DN562" s="13"/>
      <c r="DO562" s="12"/>
      <c r="DP562" s="12"/>
      <c r="DQ562" s="12"/>
      <c r="DR562" s="12"/>
      <c r="DS562" s="12"/>
      <c r="DT562" s="2"/>
      <c r="DU562" s="2"/>
      <c r="DV562" s="12"/>
      <c r="DW562" s="12"/>
      <c r="DX562" s="2"/>
      <c r="DY562" s="2"/>
      <c r="DZ562" s="12"/>
      <c r="EA562" s="12"/>
      <c r="EB562" s="12"/>
      <c r="EC562" s="12"/>
      <c r="ED562" s="12"/>
    </row>
    <row r="563" spans="1:134" ht="12.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12"/>
      <c r="AC563" s="12"/>
      <c r="AD563" s="12"/>
      <c r="AE563" s="2"/>
      <c r="AF563" s="2"/>
      <c r="AG563" s="2"/>
      <c r="AH563" s="2"/>
      <c r="AI563" s="2"/>
      <c r="AJ563" s="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2"/>
      <c r="AY563" s="2"/>
      <c r="AZ563" s="2"/>
      <c r="BA563" s="2"/>
      <c r="BB563" s="2"/>
      <c r="BC563" s="2"/>
      <c r="BD563" s="2"/>
      <c r="BE563" s="2"/>
      <c r="BF563" s="12"/>
      <c r="BG563" s="1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152"/>
      <c r="BV563" s="155"/>
      <c r="BW563" s="12"/>
      <c r="BX563" s="12"/>
      <c r="BY563" s="12"/>
      <c r="BZ563" s="12"/>
      <c r="CA563" s="12"/>
      <c r="CB563" s="12"/>
      <c r="CC563" s="12"/>
      <c r="CD563" s="12"/>
      <c r="CE563" s="12"/>
      <c r="CF563" s="12"/>
      <c r="CG563" s="12"/>
      <c r="CH563" s="12"/>
      <c r="CI563" s="12"/>
      <c r="CJ563" s="12"/>
      <c r="CK563" s="12"/>
      <c r="CL563" s="12"/>
      <c r="CM563" s="12"/>
      <c r="CN563" s="12"/>
      <c r="CO563" s="12"/>
      <c r="CP563" s="12"/>
      <c r="CQ563" s="46"/>
      <c r="CR563" s="46"/>
      <c r="CS563" s="46"/>
      <c r="CT563" s="119"/>
      <c r="CU563" s="119"/>
      <c r="CV563" s="119"/>
      <c r="CW563" s="119"/>
      <c r="CX563" s="120"/>
      <c r="CY563" s="120"/>
      <c r="CZ563" s="120"/>
      <c r="DA563" s="120"/>
      <c r="DB563" s="120"/>
      <c r="DC563" s="120"/>
      <c r="DD563" s="120"/>
      <c r="DE563" s="120"/>
      <c r="DF563" s="120"/>
      <c r="DG563" s="2"/>
      <c r="DH563" s="2"/>
      <c r="DI563" s="2"/>
      <c r="DJ563" s="48"/>
      <c r="DK563" s="48"/>
      <c r="DL563" s="48"/>
      <c r="DM563" s="13"/>
      <c r="DN563" s="13"/>
      <c r="DO563" s="12"/>
      <c r="DP563" s="12"/>
      <c r="DQ563" s="12"/>
      <c r="DR563" s="12"/>
      <c r="DS563" s="12"/>
      <c r="DT563" s="2"/>
      <c r="DU563" s="2"/>
      <c r="DV563" s="12"/>
      <c r="DW563" s="12"/>
      <c r="DX563" s="2"/>
      <c r="DY563" s="2"/>
      <c r="DZ563" s="12"/>
      <c r="EA563" s="12"/>
      <c r="EB563" s="12"/>
      <c r="EC563" s="12"/>
      <c r="ED563" s="12"/>
    </row>
    <row r="564" spans="1:134" ht="12.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12"/>
      <c r="AC564" s="12"/>
      <c r="AD564" s="12"/>
      <c r="AE564" s="2"/>
      <c r="AF564" s="2"/>
      <c r="AG564" s="2"/>
      <c r="AH564" s="2"/>
      <c r="AI564" s="2"/>
      <c r="AJ564" s="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2"/>
      <c r="AY564" s="2"/>
      <c r="AZ564" s="2"/>
      <c r="BA564" s="2"/>
      <c r="BB564" s="2"/>
      <c r="BC564" s="2"/>
      <c r="BD564" s="2"/>
      <c r="BE564" s="2"/>
      <c r="BF564" s="12"/>
      <c r="BG564" s="1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152"/>
      <c r="BV564" s="155"/>
      <c r="BW564" s="12"/>
      <c r="BX564" s="12"/>
      <c r="BY564" s="12"/>
      <c r="BZ564" s="12"/>
      <c r="CA564" s="12"/>
      <c r="CB564" s="12"/>
      <c r="CC564" s="12"/>
      <c r="CD564" s="12"/>
      <c r="CE564" s="12"/>
      <c r="CF564" s="12"/>
      <c r="CG564" s="12"/>
      <c r="CH564" s="12"/>
      <c r="CI564" s="12"/>
      <c r="CJ564" s="12"/>
      <c r="CK564" s="12"/>
      <c r="CL564" s="12"/>
      <c r="CM564" s="12"/>
      <c r="CN564" s="12"/>
      <c r="CO564" s="12"/>
      <c r="CP564" s="12"/>
      <c r="CQ564" s="46"/>
      <c r="CR564" s="46"/>
      <c r="CS564" s="46"/>
      <c r="CT564" s="119"/>
      <c r="CU564" s="119"/>
      <c r="CV564" s="119"/>
      <c r="CW564" s="119"/>
      <c r="CX564" s="120"/>
      <c r="CY564" s="120"/>
      <c r="CZ564" s="120"/>
      <c r="DA564" s="120"/>
      <c r="DB564" s="120"/>
      <c r="DC564" s="120"/>
      <c r="DD564" s="120"/>
      <c r="DE564" s="120"/>
      <c r="DF564" s="120"/>
      <c r="DG564" s="2"/>
      <c r="DH564" s="2"/>
      <c r="DI564" s="2"/>
      <c r="DJ564" s="48"/>
      <c r="DK564" s="48"/>
      <c r="DL564" s="48"/>
      <c r="DM564" s="13"/>
      <c r="DN564" s="13"/>
      <c r="DO564" s="12"/>
      <c r="DP564" s="12"/>
      <c r="DQ564" s="12"/>
      <c r="DR564" s="12"/>
      <c r="DS564" s="12"/>
      <c r="DT564" s="2"/>
      <c r="DU564" s="2"/>
      <c r="DV564" s="12"/>
      <c r="DW564" s="12"/>
      <c r="DX564" s="2"/>
      <c r="DY564" s="2"/>
      <c r="DZ564" s="12"/>
      <c r="EA564" s="12"/>
      <c r="EB564" s="12"/>
      <c r="EC564" s="12"/>
      <c r="ED564" s="12"/>
    </row>
    <row r="565" spans="1:134" ht="12.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12"/>
      <c r="AC565" s="12"/>
      <c r="AD565" s="12"/>
      <c r="AE565" s="2"/>
      <c r="AF565" s="2"/>
      <c r="AG565" s="2"/>
      <c r="AH565" s="2"/>
      <c r="AI565" s="2"/>
      <c r="AJ565" s="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2"/>
      <c r="AY565" s="2"/>
      <c r="AZ565" s="2"/>
      <c r="BA565" s="2"/>
      <c r="BB565" s="2"/>
      <c r="BC565" s="2"/>
      <c r="BD565" s="2"/>
      <c r="BE565" s="2"/>
      <c r="BF565" s="12"/>
      <c r="BG565" s="1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152"/>
      <c r="BV565" s="155"/>
      <c r="BW565" s="12"/>
      <c r="BX565" s="12"/>
      <c r="BY565" s="12"/>
      <c r="BZ565" s="12"/>
      <c r="CA565" s="12"/>
      <c r="CB565" s="12"/>
      <c r="CC565" s="12"/>
      <c r="CD565" s="12"/>
      <c r="CE565" s="12"/>
      <c r="CF565" s="12"/>
      <c r="CG565" s="12"/>
      <c r="CH565" s="12"/>
      <c r="CI565" s="12"/>
      <c r="CJ565" s="12"/>
      <c r="CK565" s="12"/>
      <c r="CL565" s="12"/>
      <c r="CM565" s="12"/>
      <c r="CN565" s="12"/>
      <c r="CO565" s="12"/>
      <c r="CP565" s="12"/>
      <c r="CQ565" s="46"/>
      <c r="CR565" s="46"/>
      <c r="CS565" s="46"/>
      <c r="CT565" s="119"/>
      <c r="CU565" s="119"/>
      <c r="CV565" s="119"/>
      <c r="CW565" s="119"/>
      <c r="CX565" s="120"/>
      <c r="CY565" s="120"/>
      <c r="CZ565" s="120"/>
      <c r="DA565" s="120"/>
      <c r="DB565" s="120"/>
      <c r="DC565" s="120"/>
      <c r="DD565" s="120"/>
      <c r="DE565" s="120"/>
      <c r="DF565" s="120"/>
      <c r="DG565" s="2"/>
      <c r="DH565" s="2"/>
      <c r="DI565" s="2"/>
      <c r="DJ565" s="48"/>
      <c r="DK565" s="48"/>
      <c r="DL565" s="48"/>
      <c r="DM565" s="13"/>
      <c r="DN565" s="13"/>
      <c r="DO565" s="12"/>
      <c r="DP565" s="12"/>
      <c r="DQ565" s="12"/>
      <c r="DR565" s="12"/>
      <c r="DS565" s="12"/>
      <c r="DT565" s="2"/>
      <c r="DU565" s="2"/>
      <c r="DV565" s="12"/>
      <c r="DW565" s="12"/>
      <c r="DX565" s="2"/>
      <c r="DY565" s="2"/>
      <c r="DZ565" s="12"/>
      <c r="EA565" s="12"/>
      <c r="EB565" s="12"/>
      <c r="EC565" s="12"/>
      <c r="ED565" s="12"/>
    </row>
    <row r="566" spans="1:134" ht="12.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12"/>
      <c r="AC566" s="12"/>
      <c r="AD566" s="12"/>
      <c r="AE566" s="2"/>
      <c r="AF566" s="2"/>
      <c r="AG566" s="2"/>
      <c r="AH566" s="2"/>
      <c r="AI566" s="2"/>
      <c r="AJ566" s="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2"/>
      <c r="AY566" s="2"/>
      <c r="AZ566" s="2"/>
      <c r="BA566" s="2"/>
      <c r="BB566" s="2"/>
      <c r="BC566" s="2"/>
      <c r="BD566" s="2"/>
      <c r="BE566" s="2"/>
      <c r="BF566" s="12"/>
      <c r="BG566" s="1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152"/>
      <c r="BV566" s="155"/>
      <c r="BW566" s="12"/>
      <c r="BX566" s="12"/>
      <c r="BY566" s="12"/>
      <c r="BZ566" s="12"/>
      <c r="CA566" s="12"/>
      <c r="CB566" s="12"/>
      <c r="CC566" s="12"/>
      <c r="CD566" s="12"/>
      <c r="CE566" s="12"/>
      <c r="CF566" s="12"/>
      <c r="CG566" s="12"/>
      <c r="CH566" s="12"/>
      <c r="CI566" s="12"/>
      <c r="CJ566" s="12"/>
      <c r="CK566" s="12"/>
      <c r="CL566" s="12"/>
      <c r="CM566" s="12"/>
      <c r="CN566" s="12"/>
      <c r="CO566" s="12"/>
      <c r="CP566" s="12"/>
      <c r="CQ566" s="46"/>
      <c r="CR566" s="46"/>
      <c r="CS566" s="46"/>
      <c r="CT566" s="119"/>
      <c r="CU566" s="119"/>
      <c r="CV566" s="119"/>
      <c r="CW566" s="119"/>
      <c r="CX566" s="120"/>
      <c r="CY566" s="120"/>
      <c r="CZ566" s="120"/>
      <c r="DA566" s="120"/>
      <c r="DB566" s="120"/>
      <c r="DC566" s="120"/>
      <c r="DD566" s="120"/>
      <c r="DE566" s="120"/>
      <c r="DF566" s="120"/>
      <c r="DG566" s="2"/>
      <c r="DH566" s="2"/>
      <c r="DI566" s="2"/>
      <c r="DJ566" s="48"/>
      <c r="DK566" s="48"/>
      <c r="DL566" s="48"/>
      <c r="DM566" s="13"/>
      <c r="DN566" s="13"/>
      <c r="DO566" s="12"/>
      <c r="DP566" s="12"/>
      <c r="DQ566" s="12"/>
      <c r="DR566" s="12"/>
      <c r="DS566" s="12"/>
      <c r="DT566" s="2"/>
      <c r="DU566" s="2"/>
      <c r="DV566" s="12"/>
      <c r="DW566" s="12"/>
      <c r="DX566" s="2"/>
      <c r="DY566" s="2"/>
      <c r="DZ566" s="12"/>
      <c r="EA566" s="12"/>
      <c r="EB566" s="12"/>
      <c r="EC566" s="12"/>
      <c r="ED566" s="12"/>
    </row>
    <row r="567" spans="1:134" ht="12.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12"/>
      <c r="AC567" s="12"/>
      <c r="AD567" s="12"/>
      <c r="AE567" s="2"/>
      <c r="AF567" s="2"/>
      <c r="AG567" s="2"/>
      <c r="AH567" s="2"/>
      <c r="AI567" s="2"/>
      <c r="AJ567" s="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2"/>
      <c r="AY567" s="2"/>
      <c r="AZ567" s="2"/>
      <c r="BA567" s="2"/>
      <c r="BB567" s="2"/>
      <c r="BC567" s="2"/>
      <c r="BD567" s="2"/>
      <c r="BE567" s="2"/>
      <c r="BF567" s="12"/>
      <c r="BG567" s="1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152"/>
      <c r="BV567" s="155"/>
      <c r="BW567" s="12"/>
      <c r="BX567" s="12"/>
      <c r="BY567" s="12"/>
      <c r="BZ567" s="12"/>
      <c r="CA567" s="12"/>
      <c r="CB567" s="12"/>
      <c r="CC567" s="12"/>
      <c r="CD567" s="12"/>
      <c r="CE567" s="12"/>
      <c r="CF567" s="12"/>
      <c r="CG567" s="12"/>
      <c r="CH567" s="12"/>
      <c r="CI567" s="12"/>
      <c r="CJ567" s="12"/>
      <c r="CK567" s="12"/>
      <c r="CL567" s="12"/>
      <c r="CM567" s="12"/>
      <c r="CN567" s="12"/>
      <c r="CO567" s="12"/>
      <c r="CP567" s="12"/>
      <c r="CQ567" s="46"/>
      <c r="CR567" s="46"/>
      <c r="CS567" s="46"/>
      <c r="CT567" s="119"/>
      <c r="CU567" s="119"/>
      <c r="CV567" s="119"/>
      <c r="CW567" s="119"/>
      <c r="CX567" s="120"/>
      <c r="CY567" s="120"/>
      <c r="CZ567" s="120"/>
      <c r="DA567" s="120"/>
      <c r="DB567" s="120"/>
      <c r="DC567" s="120"/>
      <c r="DD567" s="120"/>
      <c r="DE567" s="120"/>
      <c r="DF567" s="120"/>
      <c r="DG567" s="2"/>
      <c r="DH567" s="2"/>
      <c r="DI567" s="2"/>
      <c r="DJ567" s="48"/>
      <c r="DK567" s="48"/>
      <c r="DL567" s="48"/>
      <c r="DM567" s="13"/>
      <c r="DN567" s="13"/>
      <c r="DO567" s="12"/>
      <c r="DP567" s="12"/>
      <c r="DQ567" s="12"/>
      <c r="DR567" s="12"/>
      <c r="DS567" s="12"/>
      <c r="DT567" s="2"/>
      <c r="DU567" s="2"/>
      <c r="DV567" s="12"/>
      <c r="DW567" s="12"/>
      <c r="DX567" s="2"/>
      <c r="DY567" s="2"/>
      <c r="DZ567" s="12"/>
      <c r="EA567" s="12"/>
      <c r="EB567" s="12"/>
      <c r="EC567" s="12"/>
      <c r="ED567" s="12"/>
    </row>
    <row r="568" spans="1:134" ht="12.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12"/>
      <c r="AC568" s="12"/>
      <c r="AD568" s="12"/>
      <c r="AE568" s="2"/>
      <c r="AF568" s="2"/>
      <c r="AG568" s="2"/>
      <c r="AH568" s="2"/>
      <c r="AI568" s="2"/>
      <c r="AJ568" s="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2"/>
      <c r="AY568" s="2"/>
      <c r="AZ568" s="2"/>
      <c r="BA568" s="2"/>
      <c r="BB568" s="2"/>
      <c r="BC568" s="2"/>
      <c r="BD568" s="2"/>
      <c r="BE568" s="2"/>
      <c r="BF568" s="12"/>
      <c r="BG568" s="1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152"/>
      <c r="BV568" s="155"/>
      <c r="BW568" s="12"/>
      <c r="BX568" s="12"/>
      <c r="BY568" s="12"/>
      <c r="BZ568" s="12"/>
      <c r="CA568" s="12"/>
      <c r="CB568" s="12"/>
      <c r="CC568" s="12"/>
      <c r="CD568" s="12"/>
      <c r="CE568" s="12"/>
      <c r="CF568" s="12"/>
      <c r="CG568" s="12"/>
      <c r="CH568" s="12"/>
      <c r="CI568" s="12"/>
      <c r="CJ568" s="12"/>
      <c r="CK568" s="12"/>
      <c r="CL568" s="12"/>
      <c r="CM568" s="12"/>
      <c r="CN568" s="12"/>
      <c r="CO568" s="12"/>
      <c r="CP568" s="12"/>
      <c r="CQ568" s="46"/>
      <c r="CR568" s="46"/>
      <c r="CS568" s="46"/>
      <c r="CT568" s="119"/>
      <c r="CU568" s="119"/>
      <c r="CV568" s="119"/>
      <c r="CW568" s="119"/>
      <c r="CX568" s="120"/>
      <c r="CY568" s="120"/>
      <c r="CZ568" s="120"/>
      <c r="DA568" s="120"/>
      <c r="DB568" s="120"/>
      <c r="DC568" s="120"/>
      <c r="DD568" s="120"/>
      <c r="DE568" s="120"/>
      <c r="DF568" s="120"/>
      <c r="DG568" s="2"/>
      <c r="DH568" s="2"/>
      <c r="DI568" s="2"/>
      <c r="DJ568" s="48"/>
      <c r="DK568" s="48"/>
      <c r="DL568" s="48"/>
      <c r="DM568" s="13"/>
      <c r="DN568" s="13"/>
      <c r="DO568" s="12"/>
      <c r="DP568" s="12"/>
      <c r="DQ568" s="12"/>
      <c r="DR568" s="12"/>
      <c r="DS568" s="12"/>
      <c r="DT568" s="2"/>
      <c r="DU568" s="2"/>
      <c r="DV568" s="12"/>
      <c r="DW568" s="12"/>
      <c r="DX568" s="2"/>
      <c r="DY568" s="2"/>
      <c r="DZ568" s="12"/>
      <c r="EA568" s="12"/>
      <c r="EB568" s="12"/>
      <c r="EC568" s="12"/>
      <c r="ED568" s="12"/>
    </row>
    <row r="569" spans="1:134" ht="12.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12"/>
      <c r="AC569" s="12"/>
      <c r="AD569" s="12"/>
      <c r="AE569" s="2"/>
      <c r="AF569" s="2"/>
      <c r="AG569" s="2"/>
      <c r="AH569" s="2"/>
      <c r="AI569" s="2"/>
      <c r="AJ569" s="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2"/>
      <c r="AY569" s="2"/>
      <c r="AZ569" s="2"/>
      <c r="BA569" s="2"/>
      <c r="BB569" s="2"/>
      <c r="BC569" s="2"/>
      <c r="BD569" s="2"/>
      <c r="BE569" s="2"/>
      <c r="BF569" s="12"/>
      <c r="BG569" s="1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152"/>
      <c r="BV569" s="155"/>
      <c r="BW569" s="12"/>
      <c r="BX569" s="12"/>
      <c r="BY569" s="12"/>
      <c r="BZ569" s="12"/>
      <c r="CA569" s="12"/>
      <c r="CB569" s="12"/>
      <c r="CC569" s="12"/>
      <c r="CD569" s="12"/>
      <c r="CE569" s="12"/>
      <c r="CF569" s="12"/>
      <c r="CG569" s="12"/>
      <c r="CH569" s="12"/>
      <c r="CI569" s="12"/>
      <c r="CJ569" s="12"/>
      <c r="CK569" s="12"/>
      <c r="CL569" s="12"/>
      <c r="CM569" s="12"/>
      <c r="CN569" s="12"/>
      <c r="CO569" s="12"/>
      <c r="CP569" s="12"/>
      <c r="CQ569" s="46"/>
      <c r="CR569" s="46"/>
      <c r="CS569" s="46"/>
      <c r="CT569" s="119"/>
      <c r="CU569" s="119"/>
      <c r="CV569" s="119"/>
      <c r="CW569" s="119"/>
      <c r="CX569" s="120"/>
      <c r="CY569" s="120"/>
      <c r="CZ569" s="120"/>
      <c r="DA569" s="120"/>
      <c r="DB569" s="120"/>
      <c r="DC569" s="120"/>
      <c r="DD569" s="120"/>
      <c r="DE569" s="120"/>
      <c r="DF569" s="120"/>
      <c r="DG569" s="2"/>
      <c r="DH569" s="2"/>
      <c r="DI569" s="2"/>
      <c r="DJ569" s="48"/>
      <c r="DK569" s="48"/>
      <c r="DL569" s="48"/>
      <c r="DM569" s="13"/>
      <c r="DN569" s="13"/>
      <c r="DO569" s="12"/>
      <c r="DP569" s="12"/>
      <c r="DQ569" s="12"/>
      <c r="DR569" s="12"/>
      <c r="DS569" s="12"/>
      <c r="DT569" s="2"/>
      <c r="DU569" s="2"/>
      <c r="DV569" s="12"/>
      <c r="DW569" s="12"/>
      <c r="DX569" s="2"/>
      <c r="DY569" s="2"/>
      <c r="DZ569" s="12"/>
      <c r="EA569" s="12"/>
      <c r="EB569" s="12"/>
      <c r="EC569" s="12"/>
      <c r="ED569" s="12"/>
    </row>
    <row r="570" spans="1:134" ht="12.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12"/>
      <c r="AC570" s="12"/>
      <c r="AD570" s="12"/>
      <c r="AE570" s="2"/>
      <c r="AF570" s="2"/>
      <c r="AG570" s="2"/>
      <c r="AH570" s="2"/>
      <c r="AI570" s="2"/>
      <c r="AJ570" s="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2"/>
      <c r="AY570" s="2"/>
      <c r="AZ570" s="2"/>
      <c r="BA570" s="2"/>
      <c r="BB570" s="2"/>
      <c r="BC570" s="2"/>
      <c r="BD570" s="2"/>
      <c r="BE570" s="2"/>
      <c r="BF570" s="12"/>
      <c r="BG570" s="1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152"/>
      <c r="BV570" s="155"/>
      <c r="BW570" s="12"/>
      <c r="BX570" s="12"/>
      <c r="BY570" s="12"/>
      <c r="BZ570" s="12"/>
      <c r="CA570" s="12"/>
      <c r="CB570" s="12"/>
      <c r="CC570" s="12"/>
      <c r="CD570" s="12"/>
      <c r="CE570" s="12"/>
      <c r="CF570" s="12"/>
      <c r="CG570" s="12"/>
      <c r="CH570" s="12"/>
      <c r="CI570" s="12"/>
      <c r="CJ570" s="12"/>
      <c r="CK570" s="12"/>
      <c r="CL570" s="12"/>
      <c r="CM570" s="12"/>
      <c r="CN570" s="12"/>
      <c r="CO570" s="12"/>
      <c r="CP570" s="12"/>
      <c r="CQ570" s="46"/>
      <c r="CR570" s="46"/>
      <c r="CS570" s="46"/>
      <c r="CT570" s="119"/>
      <c r="CU570" s="119"/>
      <c r="CV570" s="119"/>
      <c r="CW570" s="119"/>
      <c r="CX570" s="120"/>
      <c r="CY570" s="120"/>
      <c r="CZ570" s="120"/>
      <c r="DA570" s="120"/>
      <c r="DB570" s="120"/>
      <c r="DC570" s="120"/>
      <c r="DD570" s="120"/>
      <c r="DE570" s="120"/>
      <c r="DF570" s="120"/>
      <c r="DG570" s="2"/>
      <c r="DH570" s="2"/>
      <c r="DI570" s="2"/>
      <c r="DJ570" s="48"/>
      <c r="DK570" s="48"/>
      <c r="DL570" s="48"/>
      <c r="DM570" s="13"/>
      <c r="DN570" s="13"/>
      <c r="DO570" s="12"/>
      <c r="DP570" s="12"/>
      <c r="DQ570" s="12"/>
      <c r="DR570" s="12"/>
      <c r="DS570" s="12"/>
      <c r="DT570" s="2"/>
      <c r="DU570" s="2"/>
      <c r="DV570" s="12"/>
      <c r="DW570" s="12"/>
      <c r="DX570" s="2"/>
      <c r="DY570" s="2"/>
      <c r="DZ570" s="12"/>
      <c r="EA570" s="12"/>
      <c r="EB570" s="12"/>
      <c r="EC570" s="12"/>
      <c r="ED570" s="12"/>
    </row>
    <row r="571" spans="1:134" ht="12.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12"/>
      <c r="AC571" s="12"/>
      <c r="AD571" s="12"/>
      <c r="AE571" s="2"/>
      <c r="AF571" s="2"/>
      <c r="AG571" s="2"/>
      <c r="AH571" s="2"/>
      <c r="AI571" s="2"/>
      <c r="AJ571" s="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2"/>
      <c r="AY571" s="2"/>
      <c r="AZ571" s="2"/>
      <c r="BA571" s="2"/>
      <c r="BB571" s="2"/>
      <c r="BC571" s="2"/>
      <c r="BD571" s="2"/>
      <c r="BE571" s="2"/>
      <c r="BF571" s="12"/>
      <c r="BG571" s="1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152"/>
      <c r="BV571" s="155"/>
      <c r="BW571" s="12"/>
      <c r="BX571" s="12"/>
      <c r="BY571" s="12"/>
      <c r="BZ571" s="12"/>
      <c r="CA571" s="12"/>
      <c r="CB571" s="12"/>
      <c r="CC571" s="12"/>
      <c r="CD571" s="12"/>
      <c r="CE571" s="12"/>
      <c r="CF571" s="12"/>
      <c r="CG571" s="12"/>
      <c r="CH571" s="12"/>
      <c r="CI571" s="12"/>
      <c r="CJ571" s="12"/>
      <c r="CK571" s="12"/>
      <c r="CL571" s="12"/>
      <c r="CM571" s="12"/>
      <c r="CN571" s="12"/>
      <c r="CO571" s="12"/>
      <c r="CP571" s="12"/>
      <c r="CQ571" s="46"/>
      <c r="CR571" s="46"/>
      <c r="CS571" s="46"/>
      <c r="CT571" s="119"/>
      <c r="CU571" s="119"/>
      <c r="CV571" s="119"/>
      <c r="CW571" s="119"/>
      <c r="CX571" s="120"/>
      <c r="CY571" s="120"/>
      <c r="CZ571" s="120"/>
      <c r="DA571" s="120"/>
      <c r="DB571" s="120"/>
      <c r="DC571" s="120"/>
      <c r="DD571" s="120"/>
      <c r="DE571" s="120"/>
      <c r="DF571" s="120"/>
      <c r="DG571" s="2"/>
      <c r="DH571" s="2"/>
      <c r="DI571" s="2"/>
      <c r="DJ571" s="48"/>
      <c r="DK571" s="48"/>
      <c r="DL571" s="48"/>
      <c r="DM571" s="13"/>
      <c r="DN571" s="13"/>
      <c r="DO571" s="12"/>
      <c r="DP571" s="12"/>
      <c r="DQ571" s="12"/>
      <c r="DR571" s="12"/>
      <c r="DS571" s="12"/>
      <c r="DT571" s="2"/>
      <c r="DU571" s="2"/>
      <c r="DV571" s="12"/>
      <c r="DW571" s="12"/>
      <c r="DX571" s="2"/>
      <c r="DY571" s="2"/>
      <c r="DZ571" s="12"/>
      <c r="EA571" s="12"/>
      <c r="EB571" s="12"/>
      <c r="EC571" s="12"/>
      <c r="ED571" s="12"/>
    </row>
    <row r="572" spans="1:134" ht="12.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12"/>
      <c r="AC572" s="12"/>
      <c r="AD572" s="12"/>
      <c r="AE572" s="2"/>
      <c r="AF572" s="2"/>
      <c r="AG572" s="2"/>
      <c r="AH572" s="2"/>
      <c r="AI572" s="2"/>
      <c r="AJ572" s="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2"/>
      <c r="AY572" s="2"/>
      <c r="AZ572" s="2"/>
      <c r="BA572" s="2"/>
      <c r="BB572" s="2"/>
      <c r="BC572" s="2"/>
      <c r="BD572" s="2"/>
      <c r="BE572" s="2"/>
      <c r="BF572" s="12"/>
      <c r="BG572" s="1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152"/>
      <c r="BV572" s="155"/>
      <c r="BW572" s="12"/>
      <c r="BX572" s="12"/>
      <c r="BY572" s="12"/>
      <c r="BZ572" s="12"/>
      <c r="CA572" s="12"/>
      <c r="CB572" s="12"/>
      <c r="CC572" s="12"/>
      <c r="CD572" s="12"/>
      <c r="CE572" s="12"/>
      <c r="CF572" s="12"/>
      <c r="CG572" s="12"/>
      <c r="CH572" s="12"/>
      <c r="CI572" s="12"/>
      <c r="CJ572" s="12"/>
      <c r="CK572" s="12"/>
      <c r="CL572" s="12"/>
      <c r="CM572" s="12"/>
      <c r="CN572" s="12"/>
      <c r="CO572" s="12"/>
      <c r="CP572" s="12"/>
      <c r="CQ572" s="46"/>
      <c r="CR572" s="46"/>
      <c r="CS572" s="46"/>
      <c r="CT572" s="119"/>
      <c r="CU572" s="119"/>
      <c r="CV572" s="119"/>
      <c r="CW572" s="119"/>
      <c r="CX572" s="120"/>
      <c r="CY572" s="120"/>
      <c r="CZ572" s="120"/>
      <c r="DA572" s="120"/>
      <c r="DB572" s="120"/>
      <c r="DC572" s="120"/>
      <c r="DD572" s="120"/>
      <c r="DE572" s="120"/>
      <c r="DF572" s="120"/>
      <c r="DG572" s="2"/>
      <c r="DH572" s="2"/>
      <c r="DI572" s="2"/>
      <c r="DJ572" s="48"/>
      <c r="DK572" s="48"/>
      <c r="DL572" s="48"/>
      <c r="DM572" s="13"/>
      <c r="DN572" s="13"/>
      <c r="DO572" s="12"/>
      <c r="DP572" s="12"/>
      <c r="DQ572" s="12"/>
      <c r="DR572" s="12"/>
      <c r="DS572" s="12"/>
      <c r="DT572" s="2"/>
      <c r="DU572" s="2"/>
      <c r="DV572" s="12"/>
      <c r="DW572" s="12"/>
      <c r="DX572" s="2"/>
      <c r="DY572" s="2"/>
      <c r="DZ572" s="12"/>
      <c r="EA572" s="12"/>
      <c r="EB572" s="12"/>
      <c r="EC572" s="12"/>
      <c r="ED572" s="12"/>
    </row>
    <row r="573" spans="1:134" ht="12.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12"/>
      <c r="AC573" s="12"/>
      <c r="AD573" s="12"/>
      <c r="AE573" s="2"/>
      <c r="AF573" s="2"/>
      <c r="AG573" s="2"/>
      <c r="AH573" s="2"/>
      <c r="AI573" s="2"/>
      <c r="AJ573" s="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2"/>
      <c r="AY573" s="2"/>
      <c r="AZ573" s="2"/>
      <c r="BA573" s="2"/>
      <c r="BB573" s="2"/>
      <c r="BC573" s="2"/>
      <c r="BD573" s="2"/>
      <c r="BE573" s="2"/>
      <c r="BF573" s="12"/>
      <c r="BG573" s="1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152"/>
      <c r="BV573" s="155"/>
      <c r="BW573" s="12"/>
      <c r="BX573" s="12"/>
      <c r="BY573" s="12"/>
      <c r="BZ573" s="12"/>
      <c r="CA573" s="12"/>
      <c r="CB573" s="12"/>
      <c r="CC573" s="12"/>
      <c r="CD573" s="12"/>
      <c r="CE573" s="12"/>
      <c r="CF573" s="12"/>
      <c r="CG573" s="12"/>
      <c r="CH573" s="12"/>
      <c r="CI573" s="12"/>
      <c r="CJ573" s="12"/>
      <c r="CK573" s="12"/>
      <c r="CL573" s="12"/>
      <c r="CM573" s="12"/>
      <c r="CN573" s="12"/>
      <c r="CO573" s="12"/>
      <c r="CP573" s="12"/>
      <c r="CQ573" s="46"/>
      <c r="CR573" s="46"/>
      <c r="CS573" s="46"/>
      <c r="CT573" s="119"/>
      <c r="CU573" s="119"/>
      <c r="CV573" s="119"/>
      <c r="CW573" s="119"/>
      <c r="CX573" s="120"/>
      <c r="CY573" s="120"/>
      <c r="CZ573" s="120"/>
      <c r="DA573" s="120"/>
      <c r="DB573" s="120"/>
      <c r="DC573" s="120"/>
      <c r="DD573" s="120"/>
      <c r="DE573" s="120"/>
      <c r="DF573" s="120"/>
      <c r="DG573" s="2"/>
      <c r="DH573" s="2"/>
      <c r="DI573" s="2"/>
      <c r="DJ573" s="48"/>
      <c r="DK573" s="48"/>
      <c r="DL573" s="48"/>
      <c r="DM573" s="13"/>
      <c r="DN573" s="13"/>
      <c r="DO573" s="12"/>
      <c r="DP573" s="12"/>
      <c r="DQ573" s="12"/>
      <c r="DR573" s="12"/>
      <c r="DS573" s="12"/>
      <c r="DT573" s="2"/>
      <c r="DU573" s="2"/>
      <c r="DV573" s="12"/>
      <c r="DW573" s="12"/>
      <c r="DX573" s="2"/>
      <c r="DY573" s="2"/>
      <c r="DZ573" s="12"/>
      <c r="EA573" s="12"/>
      <c r="EB573" s="12"/>
      <c r="EC573" s="12"/>
      <c r="ED573" s="12"/>
    </row>
    <row r="574" spans="1:134" ht="12.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12"/>
      <c r="AC574" s="12"/>
      <c r="AD574" s="12"/>
      <c r="AE574" s="2"/>
      <c r="AF574" s="2"/>
      <c r="AG574" s="2"/>
      <c r="AH574" s="2"/>
      <c r="AI574" s="2"/>
      <c r="AJ574" s="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2"/>
      <c r="AY574" s="2"/>
      <c r="AZ574" s="2"/>
      <c r="BA574" s="2"/>
      <c r="BB574" s="2"/>
      <c r="BC574" s="2"/>
      <c r="BD574" s="2"/>
      <c r="BE574" s="2"/>
      <c r="BF574" s="12"/>
      <c r="BG574" s="1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152"/>
      <c r="BV574" s="155"/>
      <c r="BW574" s="12"/>
      <c r="BX574" s="12"/>
      <c r="BY574" s="12"/>
      <c r="BZ574" s="12"/>
      <c r="CA574" s="12"/>
      <c r="CB574" s="12"/>
      <c r="CC574" s="12"/>
      <c r="CD574" s="12"/>
      <c r="CE574" s="12"/>
      <c r="CF574" s="12"/>
      <c r="CG574" s="12"/>
      <c r="CH574" s="12"/>
      <c r="CI574" s="12"/>
      <c r="CJ574" s="12"/>
      <c r="CK574" s="12"/>
      <c r="CL574" s="12"/>
      <c r="CM574" s="12"/>
      <c r="CN574" s="12"/>
      <c r="CO574" s="12"/>
      <c r="CP574" s="12"/>
      <c r="CQ574" s="46"/>
      <c r="CR574" s="46"/>
      <c r="CS574" s="46"/>
      <c r="CT574" s="119"/>
      <c r="CU574" s="119"/>
      <c r="CV574" s="119"/>
      <c r="CW574" s="119"/>
      <c r="CX574" s="120"/>
      <c r="CY574" s="120"/>
      <c r="CZ574" s="120"/>
      <c r="DA574" s="120"/>
      <c r="DB574" s="120"/>
      <c r="DC574" s="120"/>
      <c r="DD574" s="120"/>
      <c r="DE574" s="120"/>
      <c r="DF574" s="120"/>
      <c r="DG574" s="2"/>
      <c r="DH574" s="2"/>
      <c r="DI574" s="2"/>
      <c r="DJ574" s="48"/>
      <c r="DK574" s="48"/>
      <c r="DL574" s="48"/>
      <c r="DM574" s="13"/>
      <c r="DN574" s="13"/>
      <c r="DO574" s="12"/>
      <c r="DP574" s="12"/>
      <c r="DQ574" s="12"/>
      <c r="DR574" s="12"/>
      <c r="DS574" s="12"/>
      <c r="DT574" s="2"/>
      <c r="DU574" s="2"/>
      <c r="DV574" s="12"/>
      <c r="DW574" s="12"/>
      <c r="DX574" s="2"/>
      <c r="DY574" s="2"/>
      <c r="DZ574" s="12"/>
      <c r="EA574" s="12"/>
      <c r="EB574" s="12"/>
      <c r="EC574" s="12"/>
      <c r="ED574" s="12"/>
    </row>
    <row r="575" spans="1:134" ht="12.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12"/>
      <c r="AC575" s="12"/>
      <c r="AD575" s="12"/>
      <c r="AE575" s="2"/>
      <c r="AF575" s="2"/>
      <c r="AG575" s="2"/>
      <c r="AH575" s="2"/>
      <c r="AI575" s="2"/>
      <c r="AJ575" s="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2"/>
      <c r="AY575" s="2"/>
      <c r="AZ575" s="2"/>
      <c r="BA575" s="2"/>
      <c r="BB575" s="2"/>
      <c r="BC575" s="2"/>
      <c r="BD575" s="2"/>
      <c r="BE575" s="2"/>
      <c r="BF575" s="12"/>
      <c r="BG575" s="1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152"/>
      <c r="BV575" s="155"/>
      <c r="BW575" s="12"/>
      <c r="BX575" s="12"/>
      <c r="BY575" s="12"/>
      <c r="BZ575" s="12"/>
      <c r="CA575" s="12"/>
      <c r="CB575" s="12"/>
      <c r="CC575" s="12"/>
      <c r="CD575" s="12"/>
      <c r="CE575" s="12"/>
      <c r="CF575" s="12"/>
      <c r="CG575" s="12"/>
      <c r="CH575" s="12"/>
      <c r="CI575" s="12"/>
      <c r="CJ575" s="12"/>
      <c r="CK575" s="12"/>
      <c r="CL575" s="12"/>
      <c r="CM575" s="12"/>
      <c r="CN575" s="12"/>
      <c r="CO575" s="12"/>
      <c r="CP575" s="12"/>
      <c r="CQ575" s="46"/>
      <c r="CR575" s="46"/>
      <c r="CS575" s="46"/>
      <c r="CT575" s="119"/>
      <c r="CU575" s="119"/>
      <c r="CV575" s="119"/>
      <c r="CW575" s="119"/>
      <c r="CX575" s="120"/>
      <c r="CY575" s="120"/>
      <c r="CZ575" s="120"/>
      <c r="DA575" s="120"/>
      <c r="DB575" s="120"/>
      <c r="DC575" s="120"/>
      <c r="DD575" s="120"/>
      <c r="DE575" s="120"/>
      <c r="DF575" s="120"/>
      <c r="DG575" s="2"/>
      <c r="DH575" s="2"/>
      <c r="DI575" s="2"/>
      <c r="DJ575" s="48"/>
      <c r="DK575" s="48"/>
      <c r="DL575" s="48"/>
      <c r="DM575" s="13"/>
      <c r="DN575" s="13"/>
      <c r="DO575" s="12"/>
      <c r="DP575" s="12"/>
      <c r="DQ575" s="12"/>
      <c r="DR575" s="12"/>
      <c r="DS575" s="12"/>
      <c r="DT575" s="2"/>
      <c r="DU575" s="2"/>
      <c r="DV575" s="12"/>
      <c r="DW575" s="12"/>
      <c r="DX575" s="2"/>
      <c r="DY575" s="2"/>
      <c r="DZ575" s="12"/>
      <c r="EA575" s="12"/>
      <c r="EB575" s="12"/>
      <c r="EC575" s="12"/>
      <c r="ED575" s="12"/>
    </row>
    <row r="576" spans="1:134" ht="12.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12"/>
      <c r="AC576" s="12"/>
      <c r="AD576" s="12"/>
      <c r="AE576" s="2"/>
      <c r="AF576" s="2"/>
      <c r="AG576" s="2"/>
      <c r="AH576" s="2"/>
      <c r="AI576" s="2"/>
      <c r="AJ576" s="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2"/>
      <c r="AY576" s="2"/>
      <c r="AZ576" s="2"/>
      <c r="BA576" s="2"/>
      <c r="BB576" s="2"/>
      <c r="BC576" s="2"/>
      <c r="BD576" s="2"/>
      <c r="BE576" s="2"/>
      <c r="BF576" s="12"/>
      <c r="BG576" s="1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152"/>
      <c r="BV576" s="155"/>
      <c r="BW576" s="12"/>
      <c r="BX576" s="12"/>
      <c r="BY576" s="12"/>
      <c r="BZ576" s="12"/>
      <c r="CA576" s="12"/>
      <c r="CB576" s="12"/>
      <c r="CC576" s="12"/>
      <c r="CD576" s="12"/>
      <c r="CE576" s="12"/>
      <c r="CF576" s="12"/>
      <c r="CG576" s="12"/>
      <c r="CH576" s="12"/>
      <c r="CI576" s="12"/>
      <c r="CJ576" s="12"/>
      <c r="CK576" s="12"/>
      <c r="CL576" s="12"/>
      <c r="CM576" s="12"/>
      <c r="CN576" s="12"/>
      <c r="CO576" s="12"/>
      <c r="CP576" s="12"/>
      <c r="CQ576" s="46"/>
      <c r="CR576" s="46"/>
      <c r="CS576" s="46"/>
      <c r="CT576" s="119"/>
      <c r="CU576" s="119"/>
      <c r="CV576" s="119"/>
      <c r="CW576" s="119"/>
      <c r="CX576" s="120"/>
      <c r="CY576" s="120"/>
      <c r="CZ576" s="120"/>
      <c r="DA576" s="120"/>
      <c r="DB576" s="120"/>
      <c r="DC576" s="120"/>
      <c r="DD576" s="120"/>
      <c r="DE576" s="120"/>
      <c r="DF576" s="120"/>
      <c r="DG576" s="2"/>
      <c r="DH576" s="2"/>
      <c r="DI576" s="2"/>
      <c r="DJ576" s="48"/>
      <c r="DK576" s="48"/>
      <c r="DL576" s="48"/>
      <c r="DM576" s="13"/>
      <c r="DN576" s="13"/>
      <c r="DO576" s="12"/>
      <c r="DP576" s="12"/>
      <c r="DQ576" s="12"/>
      <c r="DR576" s="12"/>
      <c r="DS576" s="12"/>
      <c r="DT576" s="2"/>
      <c r="DU576" s="2"/>
      <c r="DV576" s="12"/>
      <c r="DW576" s="12"/>
      <c r="DX576" s="2"/>
      <c r="DY576" s="2"/>
      <c r="DZ576" s="12"/>
      <c r="EA576" s="12"/>
      <c r="EB576" s="12"/>
      <c r="EC576" s="12"/>
      <c r="ED576" s="12"/>
    </row>
    <row r="577" spans="1:134" ht="12.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12"/>
      <c r="AC577" s="12"/>
      <c r="AD577" s="12"/>
      <c r="AE577" s="2"/>
      <c r="AF577" s="2"/>
      <c r="AG577" s="2"/>
      <c r="AH577" s="2"/>
      <c r="AI577" s="2"/>
      <c r="AJ577" s="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2"/>
      <c r="AY577" s="2"/>
      <c r="AZ577" s="2"/>
      <c r="BA577" s="2"/>
      <c r="BB577" s="2"/>
      <c r="BC577" s="2"/>
      <c r="BD577" s="2"/>
      <c r="BE577" s="2"/>
      <c r="BF577" s="12"/>
      <c r="BG577" s="1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152"/>
      <c r="BV577" s="155"/>
      <c r="BW577" s="12"/>
      <c r="BX577" s="12"/>
      <c r="BY577" s="12"/>
      <c r="BZ577" s="12"/>
      <c r="CA577" s="12"/>
      <c r="CB577" s="12"/>
      <c r="CC577" s="12"/>
      <c r="CD577" s="12"/>
      <c r="CE577" s="12"/>
      <c r="CF577" s="12"/>
      <c r="CG577" s="12"/>
      <c r="CH577" s="12"/>
      <c r="CI577" s="12"/>
      <c r="CJ577" s="12"/>
      <c r="CK577" s="12"/>
      <c r="CL577" s="12"/>
      <c r="CM577" s="12"/>
      <c r="CN577" s="12"/>
      <c r="CO577" s="12"/>
      <c r="CP577" s="12"/>
      <c r="CQ577" s="46"/>
      <c r="CR577" s="46"/>
      <c r="CS577" s="46"/>
      <c r="CT577" s="119"/>
      <c r="CU577" s="119"/>
      <c r="CV577" s="119"/>
      <c r="CW577" s="119"/>
      <c r="CX577" s="120"/>
      <c r="CY577" s="120"/>
      <c r="CZ577" s="120"/>
      <c r="DA577" s="120"/>
      <c r="DB577" s="120"/>
      <c r="DC577" s="120"/>
      <c r="DD577" s="120"/>
      <c r="DE577" s="120"/>
      <c r="DF577" s="120"/>
      <c r="DG577" s="2"/>
      <c r="DH577" s="2"/>
      <c r="DI577" s="2"/>
      <c r="DJ577" s="48"/>
      <c r="DK577" s="48"/>
      <c r="DL577" s="48"/>
      <c r="DM577" s="13"/>
      <c r="DN577" s="13"/>
      <c r="DO577" s="12"/>
      <c r="DP577" s="12"/>
      <c r="DQ577" s="12"/>
      <c r="DR577" s="12"/>
      <c r="DS577" s="12"/>
      <c r="DT577" s="2"/>
      <c r="DU577" s="2"/>
      <c r="DV577" s="12"/>
      <c r="DW577" s="12"/>
      <c r="DX577" s="2"/>
      <c r="DY577" s="2"/>
      <c r="DZ577" s="12"/>
      <c r="EA577" s="12"/>
      <c r="EB577" s="12"/>
      <c r="EC577" s="12"/>
      <c r="ED577" s="12"/>
    </row>
    <row r="578" spans="1:134" ht="12.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12"/>
      <c r="AC578" s="12"/>
      <c r="AD578" s="12"/>
      <c r="AE578" s="2"/>
      <c r="AF578" s="2"/>
      <c r="AG578" s="2"/>
      <c r="AH578" s="2"/>
      <c r="AI578" s="2"/>
      <c r="AJ578" s="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2"/>
      <c r="AY578" s="2"/>
      <c r="AZ578" s="2"/>
      <c r="BA578" s="2"/>
      <c r="BB578" s="2"/>
      <c r="BC578" s="2"/>
      <c r="BD578" s="2"/>
      <c r="BE578" s="2"/>
      <c r="BF578" s="12"/>
      <c r="BG578" s="1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152"/>
      <c r="BV578" s="155"/>
      <c r="BW578" s="12"/>
      <c r="BX578" s="12"/>
      <c r="BY578" s="12"/>
      <c r="BZ578" s="12"/>
      <c r="CA578" s="12"/>
      <c r="CB578" s="12"/>
      <c r="CC578" s="12"/>
      <c r="CD578" s="12"/>
      <c r="CE578" s="12"/>
      <c r="CF578" s="12"/>
      <c r="CG578" s="12"/>
      <c r="CH578" s="12"/>
      <c r="CI578" s="12"/>
      <c r="CJ578" s="12"/>
      <c r="CK578" s="12"/>
      <c r="CL578" s="12"/>
      <c r="CM578" s="12"/>
      <c r="CN578" s="12"/>
      <c r="CO578" s="12"/>
      <c r="CP578" s="12"/>
      <c r="CQ578" s="46"/>
      <c r="CR578" s="46"/>
      <c r="CS578" s="46"/>
      <c r="CT578" s="119"/>
      <c r="CU578" s="119"/>
      <c r="CV578" s="119"/>
      <c r="CW578" s="119"/>
      <c r="CX578" s="120"/>
      <c r="CY578" s="120"/>
      <c r="CZ578" s="120"/>
      <c r="DA578" s="120"/>
      <c r="DB578" s="120"/>
      <c r="DC578" s="120"/>
      <c r="DD578" s="120"/>
      <c r="DE578" s="120"/>
      <c r="DF578" s="120"/>
      <c r="DG578" s="2"/>
      <c r="DH578" s="2"/>
      <c r="DI578" s="2"/>
      <c r="DJ578" s="48"/>
      <c r="DK578" s="48"/>
      <c r="DL578" s="48"/>
      <c r="DM578" s="13"/>
      <c r="DN578" s="13"/>
      <c r="DO578" s="12"/>
      <c r="DP578" s="12"/>
      <c r="DQ578" s="12"/>
      <c r="DR578" s="12"/>
      <c r="DS578" s="12"/>
      <c r="DT578" s="2"/>
      <c r="DU578" s="2"/>
      <c r="DV578" s="12"/>
      <c r="DW578" s="12"/>
      <c r="DX578" s="2"/>
      <c r="DY578" s="2"/>
      <c r="DZ578" s="12"/>
      <c r="EA578" s="12"/>
      <c r="EB578" s="12"/>
      <c r="EC578" s="12"/>
      <c r="ED578" s="12"/>
    </row>
    <row r="579" spans="1:134" ht="12.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12"/>
      <c r="AC579" s="12"/>
      <c r="AD579" s="12"/>
      <c r="AE579" s="2"/>
      <c r="AF579" s="2"/>
      <c r="AG579" s="2"/>
      <c r="AH579" s="2"/>
      <c r="AI579" s="2"/>
      <c r="AJ579" s="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2"/>
      <c r="AY579" s="2"/>
      <c r="AZ579" s="2"/>
      <c r="BA579" s="2"/>
      <c r="BB579" s="2"/>
      <c r="BC579" s="2"/>
      <c r="BD579" s="2"/>
      <c r="BE579" s="2"/>
      <c r="BF579" s="12"/>
      <c r="BG579" s="1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152"/>
      <c r="BV579" s="155"/>
      <c r="BW579" s="12"/>
      <c r="BX579" s="12"/>
      <c r="BY579" s="12"/>
      <c r="BZ579" s="12"/>
      <c r="CA579" s="12"/>
      <c r="CB579" s="12"/>
      <c r="CC579" s="12"/>
      <c r="CD579" s="12"/>
      <c r="CE579" s="12"/>
      <c r="CF579" s="12"/>
      <c r="CG579" s="12"/>
      <c r="CH579" s="12"/>
      <c r="CI579" s="12"/>
      <c r="CJ579" s="12"/>
      <c r="CK579" s="12"/>
      <c r="CL579" s="12"/>
      <c r="CM579" s="12"/>
      <c r="CN579" s="12"/>
      <c r="CO579" s="12"/>
      <c r="CP579" s="12"/>
      <c r="CQ579" s="46"/>
      <c r="CR579" s="46"/>
      <c r="CS579" s="46"/>
      <c r="CT579" s="119"/>
      <c r="CU579" s="119"/>
      <c r="CV579" s="119"/>
      <c r="CW579" s="119"/>
      <c r="CX579" s="120"/>
      <c r="CY579" s="120"/>
      <c r="CZ579" s="120"/>
      <c r="DA579" s="120"/>
      <c r="DB579" s="120"/>
      <c r="DC579" s="120"/>
      <c r="DD579" s="120"/>
      <c r="DE579" s="120"/>
      <c r="DF579" s="120"/>
      <c r="DG579" s="2"/>
      <c r="DH579" s="2"/>
      <c r="DI579" s="2"/>
      <c r="DJ579" s="48"/>
      <c r="DK579" s="48"/>
      <c r="DL579" s="48"/>
      <c r="DM579" s="13"/>
      <c r="DN579" s="13"/>
      <c r="DO579" s="12"/>
      <c r="DP579" s="12"/>
      <c r="DQ579" s="12"/>
      <c r="DR579" s="12"/>
      <c r="DS579" s="12"/>
      <c r="DT579" s="2"/>
      <c r="DU579" s="2"/>
      <c r="DV579" s="12"/>
      <c r="DW579" s="12"/>
      <c r="DX579" s="2"/>
      <c r="DY579" s="2"/>
      <c r="DZ579" s="12"/>
      <c r="EA579" s="12"/>
      <c r="EB579" s="12"/>
      <c r="EC579" s="12"/>
      <c r="ED579" s="12"/>
    </row>
    <row r="580" spans="1:134" ht="12.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12"/>
      <c r="AC580" s="12"/>
      <c r="AD580" s="12"/>
      <c r="AE580" s="2"/>
      <c r="AF580" s="2"/>
      <c r="AG580" s="2"/>
      <c r="AH580" s="2"/>
      <c r="AI580" s="2"/>
      <c r="AJ580" s="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2"/>
      <c r="AY580" s="2"/>
      <c r="AZ580" s="2"/>
      <c r="BA580" s="2"/>
      <c r="BB580" s="2"/>
      <c r="BC580" s="2"/>
      <c r="BD580" s="2"/>
      <c r="BE580" s="2"/>
      <c r="BF580" s="12"/>
      <c r="BG580" s="1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152"/>
      <c r="BV580" s="155"/>
      <c r="BW580" s="12"/>
      <c r="BX580" s="12"/>
      <c r="BY580" s="12"/>
      <c r="BZ580" s="12"/>
      <c r="CA580" s="12"/>
      <c r="CB580" s="12"/>
      <c r="CC580" s="12"/>
      <c r="CD580" s="12"/>
      <c r="CE580" s="12"/>
      <c r="CF580" s="12"/>
      <c r="CG580" s="12"/>
      <c r="CH580" s="12"/>
      <c r="CI580" s="12"/>
      <c r="CJ580" s="12"/>
      <c r="CK580" s="12"/>
      <c r="CL580" s="12"/>
      <c r="CM580" s="12"/>
      <c r="CN580" s="12"/>
      <c r="CO580" s="12"/>
      <c r="CP580" s="12"/>
      <c r="CQ580" s="46"/>
      <c r="CR580" s="46"/>
      <c r="CS580" s="46"/>
      <c r="CT580" s="119"/>
      <c r="CU580" s="119"/>
      <c r="CV580" s="119"/>
      <c r="CW580" s="119"/>
      <c r="CX580" s="120"/>
      <c r="CY580" s="120"/>
      <c r="CZ580" s="120"/>
      <c r="DA580" s="120"/>
      <c r="DB580" s="120"/>
      <c r="DC580" s="120"/>
      <c r="DD580" s="120"/>
      <c r="DE580" s="120"/>
      <c r="DF580" s="120"/>
      <c r="DG580" s="2"/>
      <c r="DH580" s="2"/>
      <c r="DI580" s="2"/>
      <c r="DJ580" s="48"/>
      <c r="DK580" s="48"/>
      <c r="DL580" s="48"/>
      <c r="DM580" s="13"/>
      <c r="DN580" s="13"/>
      <c r="DO580" s="12"/>
      <c r="DP580" s="12"/>
      <c r="DQ580" s="12"/>
      <c r="DR580" s="12"/>
      <c r="DS580" s="12"/>
      <c r="DT580" s="2"/>
      <c r="DU580" s="2"/>
      <c r="DV580" s="12"/>
      <c r="DW580" s="12"/>
      <c r="DX580" s="2"/>
      <c r="DY580" s="2"/>
      <c r="DZ580" s="12"/>
      <c r="EA580" s="12"/>
      <c r="EB580" s="12"/>
      <c r="EC580" s="12"/>
      <c r="ED580" s="12"/>
    </row>
    <row r="581" spans="1:134" ht="12.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12"/>
      <c r="AC581" s="12"/>
      <c r="AD581" s="12"/>
      <c r="AE581" s="2"/>
      <c r="AF581" s="2"/>
      <c r="AG581" s="2"/>
      <c r="AH581" s="2"/>
      <c r="AI581" s="2"/>
      <c r="AJ581" s="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2"/>
      <c r="AY581" s="2"/>
      <c r="AZ581" s="2"/>
      <c r="BA581" s="2"/>
      <c r="BB581" s="2"/>
      <c r="BC581" s="2"/>
      <c r="BD581" s="2"/>
      <c r="BE581" s="2"/>
      <c r="BF581" s="12"/>
      <c r="BG581" s="1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152"/>
      <c r="BV581" s="155"/>
      <c r="BW581" s="12"/>
      <c r="BX581" s="12"/>
      <c r="BY581" s="12"/>
      <c r="BZ581" s="12"/>
      <c r="CA581" s="12"/>
      <c r="CB581" s="12"/>
      <c r="CC581" s="12"/>
      <c r="CD581" s="12"/>
      <c r="CE581" s="12"/>
      <c r="CF581" s="12"/>
      <c r="CG581" s="12"/>
      <c r="CH581" s="12"/>
      <c r="CI581" s="12"/>
      <c r="CJ581" s="12"/>
      <c r="CK581" s="12"/>
      <c r="CL581" s="12"/>
      <c r="CM581" s="12"/>
      <c r="CN581" s="12"/>
      <c r="CO581" s="12"/>
      <c r="CP581" s="12"/>
      <c r="CQ581" s="46"/>
      <c r="CR581" s="46"/>
      <c r="CS581" s="46"/>
      <c r="CT581" s="119"/>
      <c r="CU581" s="119"/>
      <c r="CV581" s="119"/>
      <c r="CW581" s="119"/>
      <c r="CX581" s="120"/>
      <c r="CY581" s="120"/>
      <c r="CZ581" s="120"/>
      <c r="DA581" s="120"/>
      <c r="DB581" s="120"/>
      <c r="DC581" s="120"/>
      <c r="DD581" s="120"/>
      <c r="DE581" s="120"/>
      <c r="DF581" s="120"/>
      <c r="DG581" s="2"/>
      <c r="DH581" s="2"/>
      <c r="DI581" s="2"/>
      <c r="DJ581" s="48"/>
      <c r="DK581" s="48"/>
      <c r="DL581" s="48"/>
      <c r="DM581" s="13"/>
      <c r="DN581" s="13"/>
      <c r="DO581" s="12"/>
      <c r="DP581" s="12"/>
      <c r="DQ581" s="12"/>
      <c r="DR581" s="12"/>
      <c r="DS581" s="12"/>
      <c r="DT581" s="2"/>
      <c r="DU581" s="2"/>
      <c r="DV581" s="12"/>
      <c r="DW581" s="12"/>
      <c r="DX581" s="2"/>
      <c r="DY581" s="2"/>
      <c r="DZ581" s="12"/>
      <c r="EA581" s="12"/>
      <c r="EB581" s="12"/>
      <c r="EC581" s="12"/>
      <c r="ED581" s="12"/>
    </row>
    <row r="582" spans="1:134" ht="12.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12"/>
      <c r="AC582" s="12"/>
      <c r="AD582" s="12"/>
      <c r="AE582" s="2"/>
      <c r="AF582" s="2"/>
      <c r="AG582" s="2"/>
      <c r="AH582" s="2"/>
      <c r="AI582" s="2"/>
      <c r="AJ582" s="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2"/>
      <c r="AY582" s="2"/>
      <c r="AZ582" s="2"/>
      <c r="BA582" s="2"/>
      <c r="BB582" s="2"/>
      <c r="BC582" s="2"/>
      <c r="BD582" s="2"/>
      <c r="BE582" s="2"/>
      <c r="BF582" s="12"/>
      <c r="BG582" s="1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152"/>
      <c r="BV582" s="155"/>
      <c r="BW582" s="12"/>
      <c r="BX582" s="12"/>
      <c r="BY582" s="12"/>
      <c r="BZ582" s="12"/>
      <c r="CA582" s="12"/>
      <c r="CB582" s="12"/>
      <c r="CC582" s="12"/>
      <c r="CD582" s="12"/>
      <c r="CE582" s="12"/>
      <c r="CF582" s="12"/>
      <c r="CG582" s="12"/>
      <c r="CH582" s="12"/>
      <c r="CI582" s="12"/>
      <c r="CJ582" s="12"/>
      <c r="CK582" s="12"/>
      <c r="CL582" s="12"/>
      <c r="CM582" s="12"/>
      <c r="CN582" s="12"/>
      <c r="CO582" s="12"/>
      <c r="CP582" s="12"/>
      <c r="CQ582" s="46"/>
      <c r="CR582" s="46"/>
      <c r="CS582" s="46"/>
      <c r="CT582" s="119"/>
      <c r="CU582" s="119"/>
      <c r="CV582" s="119"/>
      <c r="CW582" s="119"/>
      <c r="CX582" s="120"/>
      <c r="CY582" s="120"/>
      <c r="CZ582" s="120"/>
      <c r="DA582" s="120"/>
      <c r="DB582" s="120"/>
      <c r="DC582" s="120"/>
      <c r="DD582" s="120"/>
      <c r="DE582" s="120"/>
      <c r="DF582" s="120"/>
      <c r="DG582" s="2"/>
      <c r="DH582" s="2"/>
      <c r="DI582" s="2"/>
      <c r="DJ582" s="48"/>
      <c r="DK582" s="48"/>
      <c r="DL582" s="48"/>
      <c r="DM582" s="13"/>
      <c r="DN582" s="13"/>
      <c r="DO582" s="12"/>
      <c r="DP582" s="12"/>
      <c r="DQ582" s="12"/>
      <c r="DR582" s="12"/>
      <c r="DS582" s="12"/>
      <c r="DT582" s="2"/>
      <c r="DU582" s="2"/>
      <c r="DV582" s="12"/>
      <c r="DW582" s="12"/>
      <c r="DX582" s="2"/>
      <c r="DY582" s="2"/>
      <c r="DZ582" s="12"/>
      <c r="EA582" s="12"/>
      <c r="EB582" s="12"/>
      <c r="EC582" s="12"/>
      <c r="ED582" s="12"/>
    </row>
    <row r="583" spans="1:134" ht="12.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12"/>
      <c r="AC583" s="12"/>
      <c r="AD583" s="12"/>
      <c r="AE583" s="2"/>
      <c r="AF583" s="2"/>
      <c r="AG583" s="2"/>
      <c r="AH583" s="2"/>
      <c r="AI583" s="2"/>
      <c r="AJ583" s="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2"/>
      <c r="AY583" s="2"/>
      <c r="AZ583" s="2"/>
      <c r="BA583" s="2"/>
      <c r="BB583" s="2"/>
      <c r="BC583" s="2"/>
      <c r="BD583" s="2"/>
      <c r="BE583" s="2"/>
      <c r="BF583" s="12"/>
      <c r="BG583" s="1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152"/>
      <c r="BV583" s="155"/>
      <c r="BW583" s="12"/>
      <c r="BX583" s="12"/>
      <c r="BY583" s="12"/>
      <c r="BZ583" s="12"/>
      <c r="CA583" s="12"/>
      <c r="CB583" s="12"/>
      <c r="CC583" s="12"/>
      <c r="CD583" s="12"/>
      <c r="CE583" s="12"/>
      <c r="CF583" s="12"/>
      <c r="CG583" s="12"/>
      <c r="CH583" s="12"/>
      <c r="CI583" s="12"/>
      <c r="CJ583" s="12"/>
      <c r="CK583" s="12"/>
      <c r="CL583" s="12"/>
      <c r="CM583" s="12"/>
      <c r="CN583" s="12"/>
      <c r="CO583" s="12"/>
      <c r="CP583" s="12"/>
      <c r="CQ583" s="46"/>
      <c r="CR583" s="46"/>
      <c r="CS583" s="46"/>
      <c r="CT583" s="119"/>
      <c r="CU583" s="119"/>
      <c r="CV583" s="119"/>
      <c r="CW583" s="119"/>
      <c r="CX583" s="120"/>
      <c r="CY583" s="120"/>
      <c r="CZ583" s="120"/>
      <c r="DA583" s="120"/>
      <c r="DB583" s="120"/>
      <c r="DC583" s="120"/>
      <c r="DD583" s="120"/>
      <c r="DE583" s="120"/>
      <c r="DF583" s="120"/>
      <c r="DG583" s="2"/>
      <c r="DH583" s="2"/>
      <c r="DI583" s="2"/>
      <c r="DJ583" s="48"/>
      <c r="DK583" s="48"/>
      <c r="DL583" s="48"/>
      <c r="DM583" s="13"/>
      <c r="DN583" s="13"/>
      <c r="DO583" s="12"/>
      <c r="DP583" s="12"/>
      <c r="DQ583" s="12"/>
      <c r="DR583" s="12"/>
      <c r="DS583" s="12"/>
      <c r="DT583" s="2"/>
      <c r="DU583" s="2"/>
      <c r="DV583" s="12"/>
      <c r="DW583" s="12"/>
      <c r="DX583" s="2"/>
      <c r="DY583" s="2"/>
      <c r="DZ583" s="12"/>
      <c r="EA583" s="12"/>
      <c r="EB583" s="12"/>
      <c r="EC583" s="12"/>
      <c r="ED583" s="12"/>
    </row>
    <row r="584" spans="1:134" ht="12.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12"/>
      <c r="AC584" s="12"/>
      <c r="AD584" s="12"/>
      <c r="AE584" s="2"/>
      <c r="AF584" s="2"/>
      <c r="AG584" s="2"/>
      <c r="AH584" s="2"/>
      <c r="AI584" s="2"/>
      <c r="AJ584" s="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2"/>
      <c r="AY584" s="2"/>
      <c r="AZ584" s="2"/>
      <c r="BA584" s="2"/>
      <c r="BB584" s="2"/>
      <c r="BC584" s="2"/>
      <c r="BD584" s="2"/>
      <c r="BE584" s="2"/>
      <c r="BF584" s="12"/>
      <c r="BG584" s="1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152"/>
      <c r="BV584" s="155"/>
      <c r="BW584" s="12"/>
      <c r="BX584" s="12"/>
      <c r="BY584" s="12"/>
      <c r="BZ584" s="12"/>
      <c r="CA584" s="12"/>
      <c r="CB584" s="12"/>
      <c r="CC584" s="12"/>
      <c r="CD584" s="12"/>
      <c r="CE584" s="12"/>
      <c r="CF584" s="12"/>
      <c r="CG584" s="12"/>
      <c r="CH584" s="12"/>
      <c r="CI584" s="12"/>
      <c r="CJ584" s="12"/>
      <c r="CK584" s="12"/>
      <c r="CL584" s="12"/>
      <c r="CM584" s="12"/>
      <c r="CN584" s="12"/>
      <c r="CO584" s="12"/>
      <c r="CP584" s="12"/>
      <c r="CQ584" s="46"/>
      <c r="CR584" s="46"/>
      <c r="CS584" s="46"/>
      <c r="CT584" s="119"/>
      <c r="CU584" s="119"/>
      <c r="CV584" s="119"/>
      <c r="CW584" s="119"/>
      <c r="CX584" s="120"/>
      <c r="CY584" s="120"/>
      <c r="CZ584" s="120"/>
      <c r="DA584" s="120"/>
      <c r="DB584" s="120"/>
      <c r="DC584" s="120"/>
      <c r="DD584" s="120"/>
      <c r="DE584" s="120"/>
      <c r="DF584" s="120"/>
      <c r="DG584" s="2"/>
      <c r="DH584" s="2"/>
      <c r="DI584" s="2"/>
      <c r="DJ584" s="48"/>
      <c r="DK584" s="48"/>
      <c r="DL584" s="48"/>
      <c r="DM584" s="13"/>
      <c r="DN584" s="13"/>
      <c r="DO584" s="12"/>
      <c r="DP584" s="12"/>
      <c r="DQ584" s="12"/>
      <c r="DR584" s="12"/>
      <c r="DS584" s="12"/>
      <c r="DT584" s="2"/>
      <c r="DU584" s="2"/>
      <c r="DV584" s="12"/>
      <c r="DW584" s="12"/>
      <c r="DX584" s="2"/>
      <c r="DY584" s="2"/>
      <c r="DZ584" s="12"/>
      <c r="EA584" s="12"/>
      <c r="EB584" s="12"/>
      <c r="EC584" s="12"/>
      <c r="ED584" s="12"/>
    </row>
    <row r="585" spans="1:134" ht="12.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12"/>
      <c r="AC585" s="12"/>
      <c r="AD585" s="12"/>
      <c r="AE585" s="2"/>
      <c r="AF585" s="2"/>
      <c r="AG585" s="2"/>
      <c r="AH585" s="2"/>
      <c r="AI585" s="2"/>
      <c r="AJ585" s="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2"/>
      <c r="AY585" s="2"/>
      <c r="AZ585" s="2"/>
      <c r="BA585" s="2"/>
      <c r="BB585" s="2"/>
      <c r="BC585" s="2"/>
      <c r="BD585" s="2"/>
      <c r="BE585" s="2"/>
      <c r="BF585" s="12"/>
      <c r="BG585" s="1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152"/>
      <c r="BV585" s="155"/>
      <c r="BW585" s="12"/>
      <c r="BX585" s="12"/>
      <c r="BY585" s="12"/>
      <c r="BZ585" s="12"/>
      <c r="CA585" s="12"/>
      <c r="CB585" s="12"/>
      <c r="CC585" s="12"/>
      <c r="CD585" s="12"/>
      <c r="CE585" s="12"/>
      <c r="CF585" s="12"/>
      <c r="CG585" s="12"/>
      <c r="CH585" s="12"/>
      <c r="CI585" s="12"/>
      <c r="CJ585" s="12"/>
      <c r="CK585" s="12"/>
      <c r="CL585" s="12"/>
      <c r="CM585" s="12"/>
      <c r="CN585" s="12"/>
      <c r="CO585" s="12"/>
      <c r="CP585" s="12"/>
      <c r="CQ585" s="46"/>
      <c r="CR585" s="46"/>
      <c r="CS585" s="46"/>
      <c r="CT585" s="119"/>
      <c r="CU585" s="119"/>
      <c r="CV585" s="119"/>
      <c r="CW585" s="119"/>
      <c r="CX585" s="120"/>
      <c r="CY585" s="120"/>
      <c r="CZ585" s="120"/>
      <c r="DA585" s="120"/>
      <c r="DB585" s="120"/>
      <c r="DC585" s="120"/>
      <c r="DD585" s="120"/>
      <c r="DE585" s="120"/>
      <c r="DF585" s="120"/>
      <c r="DG585" s="2"/>
      <c r="DH585" s="2"/>
      <c r="DI585" s="2"/>
      <c r="DJ585" s="48"/>
      <c r="DK585" s="48"/>
      <c r="DL585" s="48"/>
      <c r="DM585" s="13"/>
      <c r="DN585" s="13"/>
      <c r="DO585" s="12"/>
      <c r="DP585" s="12"/>
      <c r="DQ585" s="12"/>
      <c r="DR585" s="12"/>
      <c r="DS585" s="12"/>
      <c r="DT585" s="2"/>
      <c r="DU585" s="2"/>
      <c r="DV585" s="12"/>
      <c r="DW585" s="12"/>
      <c r="DX585" s="2"/>
      <c r="DY585" s="2"/>
      <c r="DZ585" s="12"/>
      <c r="EA585" s="12"/>
      <c r="EB585" s="12"/>
      <c r="EC585" s="12"/>
      <c r="ED585" s="12"/>
    </row>
    <row r="586" spans="1:134" ht="12.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12"/>
      <c r="AC586" s="12"/>
      <c r="AD586" s="12"/>
      <c r="AE586" s="2"/>
      <c r="AF586" s="2"/>
      <c r="AG586" s="2"/>
      <c r="AH586" s="2"/>
      <c r="AI586" s="2"/>
      <c r="AJ586" s="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2"/>
      <c r="AY586" s="2"/>
      <c r="AZ586" s="2"/>
      <c r="BA586" s="2"/>
      <c r="BB586" s="2"/>
      <c r="BC586" s="2"/>
      <c r="BD586" s="2"/>
      <c r="BE586" s="2"/>
      <c r="BF586" s="12"/>
      <c r="BG586" s="1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152"/>
      <c r="BV586" s="155"/>
      <c r="BW586" s="12"/>
      <c r="BX586" s="12"/>
      <c r="BY586" s="12"/>
      <c r="BZ586" s="12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46"/>
      <c r="CR586" s="46"/>
      <c r="CS586" s="46"/>
      <c r="CT586" s="119"/>
      <c r="CU586" s="119"/>
      <c r="CV586" s="119"/>
      <c r="CW586" s="119"/>
      <c r="CX586" s="120"/>
      <c r="CY586" s="120"/>
      <c r="CZ586" s="120"/>
      <c r="DA586" s="120"/>
      <c r="DB586" s="120"/>
      <c r="DC586" s="120"/>
      <c r="DD586" s="120"/>
      <c r="DE586" s="120"/>
      <c r="DF586" s="120"/>
      <c r="DG586" s="2"/>
      <c r="DH586" s="2"/>
      <c r="DI586" s="2"/>
      <c r="DJ586" s="48"/>
      <c r="DK586" s="48"/>
      <c r="DL586" s="48"/>
      <c r="DM586" s="13"/>
      <c r="DN586" s="13"/>
      <c r="DO586" s="12"/>
      <c r="DP586" s="12"/>
      <c r="DQ586" s="12"/>
      <c r="DR586" s="12"/>
      <c r="DS586" s="12"/>
      <c r="DT586" s="2"/>
      <c r="DU586" s="2"/>
      <c r="DV586" s="12"/>
      <c r="DW586" s="12"/>
      <c r="DX586" s="2"/>
      <c r="DY586" s="2"/>
      <c r="DZ586" s="12"/>
      <c r="EA586" s="12"/>
      <c r="EB586" s="12"/>
      <c r="EC586" s="12"/>
      <c r="ED586" s="12"/>
    </row>
    <row r="587" spans="1:134" ht="12.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12"/>
      <c r="AC587" s="12"/>
      <c r="AD587" s="12"/>
      <c r="AE587" s="2"/>
      <c r="AF587" s="2"/>
      <c r="AG587" s="2"/>
      <c r="AH587" s="2"/>
      <c r="AI587" s="2"/>
      <c r="AJ587" s="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2"/>
      <c r="AY587" s="2"/>
      <c r="AZ587" s="2"/>
      <c r="BA587" s="2"/>
      <c r="BB587" s="2"/>
      <c r="BC587" s="2"/>
      <c r="BD587" s="2"/>
      <c r="BE587" s="2"/>
      <c r="BF587" s="12"/>
      <c r="BG587" s="1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152"/>
      <c r="BV587" s="155"/>
      <c r="BW587" s="12"/>
      <c r="BX587" s="12"/>
      <c r="BY587" s="12"/>
      <c r="BZ587" s="12"/>
      <c r="CA587" s="12"/>
      <c r="CB587" s="12"/>
      <c r="CC587" s="12"/>
      <c r="CD587" s="12"/>
      <c r="CE587" s="12"/>
      <c r="CF587" s="12"/>
      <c r="CG587" s="12"/>
      <c r="CH587" s="12"/>
      <c r="CI587" s="12"/>
      <c r="CJ587" s="12"/>
      <c r="CK587" s="12"/>
      <c r="CL587" s="12"/>
      <c r="CM587" s="12"/>
      <c r="CN587" s="12"/>
      <c r="CO587" s="12"/>
      <c r="CP587" s="12"/>
      <c r="CQ587" s="46"/>
      <c r="CR587" s="46"/>
      <c r="CS587" s="46"/>
      <c r="CT587" s="119"/>
      <c r="CU587" s="119"/>
      <c r="CV587" s="119"/>
      <c r="CW587" s="119"/>
      <c r="CX587" s="120"/>
      <c r="CY587" s="120"/>
      <c r="CZ587" s="120"/>
      <c r="DA587" s="120"/>
      <c r="DB587" s="120"/>
      <c r="DC587" s="120"/>
      <c r="DD587" s="120"/>
      <c r="DE587" s="120"/>
      <c r="DF587" s="120"/>
      <c r="DG587" s="2"/>
      <c r="DH587" s="2"/>
      <c r="DI587" s="2"/>
      <c r="DJ587" s="48"/>
      <c r="DK587" s="48"/>
      <c r="DL587" s="48"/>
      <c r="DM587" s="13"/>
      <c r="DN587" s="13"/>
      <c r="DO587" s="12"/>
      <c r="DP587" s="12"/>
      <c r="DQ587" s="12"/>
      <c r="DR587" s="12"/>
      <c r="DS587" s="12"/>
      <c r="DT587" s="2"/>
      <c r="DU587" s="2"/>
      <c r="DV587" s="12"/>
      <c r="DW587" s="12"/>
      <c r="DX587" s="2"/>
      <c r="DY587" s="2"/>
      <c r="DZ587" s="12"/>
      <c r="EA587" s="12"/>
      <c r="EB587" s="12"/>
      <c r="EC587" s="12"/>
      <c r="ED587" s="12"/>
    </row>
    <row r="588" spans="1:134" ht="12.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12"/>
      <c r="AC588" s="12"/>
      <c r="AD588" s="12"/>
      <c r="AE588" s="2"/>
      <c r="AF588" s="2"/>
      <c r="AG588" s="2"/>
      <c r="AH588" s="2"/>
      <c r="AI588" s="2"/>
      <c r="AJ588" s="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2"/>
      <c r="AY588" s="2"/>
      <c r="AZ588" s="2"/>
      <c r="BA588" s="2"/>
      <c r="BB588" s="2"/>
      <c r="BC588" s="2"/>
      <c r="BD588" s="2"/>
      <c r="BE588" s="2"/>
      <c r="BF588" s="12"/>
      <c r="BG588" s="1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152"/>
      <c r="BV588" s="155"/>
      <c r="BW588" s="12"/>
      <c r="BX588" s="12"/>
      <c r="BY588" s="12"/>
      <c r="BZ588" s="12"/>
      <c r="CA588" s="12"/>
      <c r="CB588" s="12"/>
      <c r="CC588" s="12"/>
      <c r="CD588" s="12"/>
      <c r="CE588" s="12"/>
      <c r="CF588" s="12"/>
      <c r="CG588" s="12"/>
      <c r="CH588" s="12"/>
      <c r="CI588" s="12"/>
      <c r="CJ588" s="12"/>
      <c r="CK588" s="12"/>
      <c r="CL588" s="12"/>
      <c r="CM588" s="12"/>
      <c r="CN588" s="12"/>
      <c r="CO588" s="12"/>
      <c r="CP588" s="12"/>
      <c r="CQ588" s="46"/>
      <c r="CR588" s="46"/>
      <c r="CS588" s="46"/>
      <c r="CT588" s="119"/>
      <c r="CU588" s="119"/>
      <c r="CV588" s="119"/>
      <c r="CW588" s="119"/>
      <c r="CX588" s="120"/>
      <c r="CY588" s="120"/>
      <c r="CZ588" s="120"/>
      <c r="DA588" s="120"/>
      <c r="DB588" s="120"/>
      <c r="DC588" s="120"/>
      <c r="DD588" s="120"/>
      <c r="DE588" s="120"/>
      <c r="DF588" s="120"/>
      <c r="DG588" s="2"/>
      <c r="DH588" s="2"/>
      <c r="DI588" s="2"/>
      <c r="DJ588" s="48"/>
      <c r="DK588" s="48"/>
      <c r="DL588" s="48"/>
      <c r="DM588" s="13"/>
      <c r="DN588" s="13"/>
      <c r="DO588" s="12"/>
      <c r="DP588" s="12"/>
      <c r="DQ588" s="12"/>
      <c r="DR588" s="12"/>
      <c r="DS588" s="12"/>
      <c r="DT588" s="2"/>
      <c r="DU588" s="2"/>
      <c r="DV588" s="12"/>
      <c r="DW588" s="12"/>
      <c r="DX588" s="2"/>
      <c r="DY588" s="2"/>
      <c r="DZ588" s="12"/>
      <c r="EA588" s="12"/>
      <c r="EB588" s="12"/>
      <c r="EC588" s="12"/>
      <c r="ED588" s="12"/>
    </row>
    <row r="589" spans="1:134" ht="12.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12"/>
      <c r="AC589" s="12"/>
      <c r="AD589" s="12"/>
      <c r="AE589" s="2"/>
      <c r="AF589" s="2"/>
      <c r="AG589" s="2"/>
      <c r="AH589" s="2"/>
      <c r="AI589" s="2"/>
      <c r="AJ589" s="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2"/>
      <c r="AY589" s="2"/>
      <c r="AZ589" s="2"/>
      <c r="BA589" s="2"/>
      <c r="BB589" s="2"/>
      <c r="BC589" s="2"/>
      <c r="BD589" s="2"/>
      <c r="BE589" s="2"/>
      <c r="BF589" s="12"/>
      <c r="BG589" s="1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152"/>
      <c r="BV589" s="155"/>
      <c r="BW589" s="12"/>
      <c r="BX589" s="12"/>
      <c r="BY589" s="12"/>
      <c r="BZ589" s="12"/>
      <c r="CA589" s="12"/>
      <c r="CB589" s="12"/>
      <c r="CC589" s="12"/>
      <c r="CD589" s="12"/>
      <c r="CE589" s="12"/>
      <c r="CF589" s="12"/>
      <c r="CG589" s="12"/>
      <c r="CH589" s="12"/>
      <c r="CI589" s="12"/>
      <c r="CJ589" s="12"/>
      <c r="CK589" s="12"/>
      <c r="CL589" s="12"/>
      <c r="CM589" s="12"/>
      <c r="CN589" s="12"/>
      <c r="CO589" s="12"/>
      <c r="CP589" s="12"/>
      <c r="CQ589" s="46"/>
      <c r="CR589" s="46"/>
      <c r="CS589" s="46"/>
      <c r="CT589" s="119"/>
      <c r="CU589" s="119"/>
      <c r="CV589" s="119"/>
      <c r="CW589" s="119"/>
      <c r="CX589" s="120"/>
      <c r="CY589" s="120"/>
      <c r="CZ589" s="120"/>
      <c r="DA589" s="120"/>
      <c r="DB589" s="120"/>
      <c r="DC589" s="120"/>
      <c r="DD589" s="120"/>
      <c r="DE589" s="120"/>
      <c r="DF589" s="120"/>
      <c r="DG589" s="2"/>
      <c r="DH589" s="2"/>
      <c r="DI589" s="2"/>
      <c r="DJ589" s="48"/>
      <c r="DK589" s="48"/>
      <c r="DL589" s="48"/>
      <c r="DM589" s="13"/>
      <c r="DN589" s="13"/>
      <c r="DO589" s="12"/>
      <c r="DP589" s="12"/>
      <c r="DQ589" s="12"/>
      <c r="DR589" s="12"/>
      <c r="DS589" s="12"/>
      <c r="DT589" s="2"/>
      <c r="DU589" s="2"/>
      <c r="DV589" s="12"/>
      <c r="DW589" s="12"/>
      <c r="DX589" s="2"/>
      <c r="DY589" s="2"/>
      <c r="DZ589" s="12"/>
      <c r="EA589" s="12"/>
      <c r="EB589" s="12"/>
      <c r="EC589" s="12"/>
      <c r="ED589" s="12"/>
    </row>
    <row r="590" spans="1:134" ht="12.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12"/>
      <c r="AC590" s="12"/>
      <c r="AD590" s="12"/>
      <c r="AE590" s="2"/>
      <c r="AF590" s="2"/>
      <c r="AG590" s="2"/>
      <c r="AH590" s="2"/>
      <c r="AI590" s="2"/>
      <c r="AJ590" s="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2"/>
      <c r="AY590" s="2"/>
      <c r="AZ590" s="2"/>
      <c r="BA590" s="2"/>
      <c r="BB590" s="2"/>
      <c r="BC590" s="2"/>
      <c r="BD590" s="2"/>
      <c r="BE590" s="2"/>
      <c r="BF590" s="12"/>
      <c r="BG590" s="1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152"/>
      <c r="BV590" s="155"/>
      <c r="BW590" s="12"/>
      <c r="BX590" s="12"/>
      <c r="BY590" s="12"/>
      <c r="BZ590" s="12"/>
      <c r="CA590" s="12"/>
      <c r="CB590" s="12"/>
      <c r="CC590" s="12"/>
      <c r="CD590" s="12"/>
      <c r="CE590" s="12"/>
      <c r="CF590" s="12"/>
      <c r="CG590" s="12"/>
      <c r="CH590" s="12"/>
      <c r="CI590" s="12"/>
      <c r="CJ590" s="12"/>
      <c r="CK590" s="12"/>
      <c r="CL590" s="12"/>
      <c r="CM590" s="12"/>
      <c r="CN590" s="12"/>
      <c r="CO590" s="12"/>
      <c r="CP590" s="12"/>
      <c r="CQ590" s="46"/>
      <c r="CR590" s="46"/>
      <c r="CS590" s="46"/>
      <c r="CT590" s="119"/>
      <c r="CU590" s="119"/>
      <c r="CV590" s="119"/>
      <c r="CW590" s="119"/>
      <c r="CX590" s="120"/>
      <c r="CY590" s="120"/>
      <c r="CZ590" s="120"/>
      <c r="DA590" s="120"/>
      <c r="DB590" s="120"/>
      <c r="DC590" s="120"/>
      <c r="DD590" s="120"/>
      <c r="DE590" s="120"/>
      <c r="DF590" s="120"/>
      <c r="DG590" s="2"/>
      <c r="DH590" s="2"/>
      <c r="DI590" s="2"/>
      <c r="DJ590" s="48"/>
      <c r="DK590" s="48"/>
      <c r="DL590" s="48"/>
      <c r="DM590" s="13"/>
      <c r="DN590" s="13"/>
      <c r="DO590" s="12"/>
      <c r="DP590" s="12"/>
      <c r="DQ590" s="12"/>
      <c r="DR590" s="12"/>
      <c r="DS590" s="12"/>
      <c r="DT590" s="2"/>
      <c r="DU590" s="2"/>
      <c r="DV590" s="12"/>
      <c r="DW590" s="12"/>
      <c r="DX590" s="2"/>
      <c r="DY590" s="2"/>
      <c r="DZ590" s="12"/>
      <c r="EA590" s="12"/>
      <c r="EB590" s="12"/>
      <c r="EC590" s="12"/>
      <c r="ED590" s="12"/>
    </row>
    <row r="591" spans="1:134" ht="12.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12"/>
      <c r="AC591" s="12"/>
      <c r="AD591" s="12"/>
      <c r="AE591" s="2"/>
      <c r="AF591" s="2"/>
      <c r="AG591" s="2"/>
      <c r="AH591" s="2"/>
      <c r="AI591" s="2"/>
      <c r="AJ591" s="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2"/>
      <c r="AY591" s="2"/>
      <c r="AZ591" s="2"/>
      <c r="BA591" s="2"/>
      <c r="BB591" s="2"/>
      <c r="BC591" s="2"/>
      <c r="BD591" s="2"/>
      <c r="BE591" s="2"/>
      <c r="BF591" s="12"/>
      <c r="BG591" s="1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152"/>
      <c r="BV591" s="155"/>
      <c r="BW591" s="12"/>
      <c r="BX591" s="12"/>
      <c r="BY591" s="12"/>
      <c r="BZ591" s="12"/>
      <c r="CA591" s="12"/>
      <c r="CB591" s="12"/>
      <c r="CC591" s="12"/>
      <c r="CD591" s="12"/>
      <c r="CE591" s="12"/>
      <c r="CF591" s="12"/>
      <c r="CG591" s="12"/>
      <c r="CH591" s="12"/>
      <c r="CI591" s="12"/>
      <c r="CJ591" s="12"/>
      <c r="CK591" s="12"/>
      <c r="CL591" s="12"/>
      <c r="CM591" s="12"/>
      <c r="CN591" s="12"/>
      <c r="CO591" s="12"/>
      <c r="CP591" s="12"/>
      <c r="CQ591" s="46"/>
      <c r="CR591" s="46"/>
      <c r="CS591" s="46"/>
      <c r="CT591" s="119"/>
      <c r="CU591" s="119"/>
      <c r="CV591" s="119"/>
      <c r="CW591" s="119"/>
      <c r="CX591" s="120"/>
      <c r="CY591" s="120"/>
      <c r="CZ591" s="120"/>
      <c r="DA591" s="120"/>
      <c r="DB591" s="120"/>
      <c r="DC591" s="120"/>
      <c r="DD591" s="120"/>
      <c r="DE591" s="120"/>
      <c r="DF591" s="120"/>
      <c r="DG591" s="2"/>
      <c r="DH591" s="2"/>
      <c r="DI591" s="2"/>
      <c r="DJ591" s="48"/>
      <c r="DK591" s="48"/>
      <c r="DL591" s="48"/>
      <c r="DM591" s="13"/>
      <c r="DN591" s="13"/>
      <c r="DO591" s="12"/>
      <c r="DP591" s="12"/>
      <c r="DQ591" s="12"/>
      <c r="DR591" s="12"/>
      <c r="DS591" s="12"/>
      <c r="DT591" s="2"/>
      <c r="DU591" s="2"/>
      <c r="DV591" s="12"/>
      <c r="DW591" s="12"/>
      <c r="DX591" s="2"/>
      <c r="DY591" s="2"/>
      <c r="DZ591" s="12"/>
      <c r="EA591" s="12"/>
      <c r="EB591" s="12"/>
      <c r="EC591" s="12"/>
      <c r="ED591" s="12"/>
    </row>
    <row r="592" spans="1:134" ht="12.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12"/>
      <c r="AC592" s="12"/>
      <c r="AD592" s="12"/>
      <c r="AE592" s="2"/>
      <c r="AF592" s="2"/>
      <c r="AG592" s="2"/>
      <c r="AH592" s="2"/>
      <c r="AI592" s="2"/>
      <c r="AJ592" s="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2"/>
      <c r="AY592" s="2"/>
      <c r="AZ592" s="2"/>
      <c r="BA592" s="2"/>
      <c r="BB592" s="2"/>
      <c r="BC592" s="2"/>
      <c r="BD592" s="2"/>
      <c r="BE592" s="2"/>
      <c r="BF592" s="12"/>
      <c r="BG592" s="1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152"/>
      <c r="BV592" s="155"/>
      <c r="BW592" s="12"/>
      <c r="BX592" s="12"/>
      <c r="BY592" s="12"/>
      <c r="BZ592" s="12"/>
      <c r="CA592" s="12"/>
      <c r="CB592" s="12"/>
      <c r="CC592" s="12"/>
      <c r="CD592" s="12"/>
      <c r="CE592" s="12"/>
      <c r="CF592" s="12"/>
      <c r="CG592" s="12"/>
      <c r="CH592" s="12"/>
      <c r="CI592" s="12"/>
      <c r="CJ592" s="12"/>
      <c r="CK592" s="12"/>
      <c r="CL592" s="12"/>
      <c r="CM592" s="12"/>
      <c r="CN592" s="12"/>
      <c r="CO592" s="12"/>
      <c r="CP592" s="12"/>
      <c r="CQ592" s="46"/>
      <c r="CR592" s="46"/>
      <c r="CS592" s="46"/>
      <c r="CT592" s="119"/>
      <c r="CU592" s="119"/>
      <c r="CV592" s="119"/>
      <c r="CW592" s="119"/>
      <c r="CX592" s="120"/>
      <c r="CY592" s="120"/>
      <c r="CZ592" s="120"/>
      <c r="DA592" s="120"/>
      <c r="DB592" s="120"/>
      <c r="DC592" s="120"/>
      <c r="DD592" s="120"/>
      <c r="DE592" s="120"/>
      <c r="DF592" s="120"/>
      <c r="DG592" s="2"/>
      <c r="DH592" s="2"/>
      <c r="DI592" s="2"/>
      <c r="DJ592" s="48"/>
      <c r="DK592" s="48"/>
      <c r="DL592" s="48"/>
      <c r="DM592" s="13"/>
      <c r="DN592" s="13"/>
      <c r="DO592" s="12"/>
      <c r="DP592" s="12"/>
      <c r="DQ592" s="12"/>
      <c r="DR592" s="12"/>
      <c r="DS592" s="12"/>
      <c r="DT592" s="2"/>
      <c r="DU592" s="2"/>
      <c r="DV592" s="12"/>
      <c r="DW592" s="12"/>
      <c r="DX592" s="2"/>
      <c r="DY592" s="2"/>
      <c r="DZ592" s="12"/>
      <c r="EA592" s="12"/>
      <c r="EB592" s="12"/>
      <c r="EC592" s="12"/>
      <c r="ED592" s="12"/>
    </row>
    <row r="593" spans="1:134" ht="12.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12"/>
      <c r="AC593" s="12"/>
      <c r="AD593" s="12"/>
      <c r="AE593" s="2"/>
      <c r="AF593" s="2"/>
      <c r="AG593" s="2"/>
      <c r="AH593" s="2"/>
      <c r="AI593" s="2"/>
      <c r="AJ593" s="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2"/>
      <c r="AY593" s="2"/>
      <c r="AZ593" s="2"/>
      <c r="BA593" s="2"/>
      <c r="BB593" s="2"/>
      <c r="BC593" s="2"/>
      <c r="BD593" s="2"/>
      <c r="BE593" s="2"/>
      <c r="BF593" s="12"/>
      <c r="BG593" s="1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152"/>
      <c r="BV593" s="155"/>
      <c r="BW593" s="12"/>
      <c r="BX593" s="12"/>
      <c r="BY593" s="12"/>
      <c r="BZ593" s="12"/>
      <c r="CA593" s="12"/>
      <c r="CB593" s="12"/>
      <c r="CC593" s="12"/>
      <c r="CD593" s="12"/>
      <c r="CE593" s="12"/>
      <c r="CF593" s="12"/>
      <c r="CG593" s="12"/>
      <c r="CH593" s="12"/>
      <c r="CI593" s="12"/>
      <c r="CJ593" s="12"/>
      <c r="CK593" s="12"/>
      <c r="CL593" s="12"/>
      <c r="CM593" s="12"/>
      <c r="CN593" s="12"/>
      <c r="CO593" s="12"/>
      <c r="CP593" s="12"/>
      <c r="CQ593" s="46"/>
      <c r="CR593" s="46"/>
      <c r="CS593" s="46"/>
      <c r="CT593" s="119"/>
      <c r="CU593" s="119"/>
      <c r="CV593" s="119"/>
      <c r="CW593" s="119"/>
      <c r="CX593" s="120"/>
      <c r="CY593" s="120"/>
      <c r="CZ593" s="120"/>
      <c r="DA593" s="120"/>
      <c r="DB593" s="120"/>
      <c r="DC593" s="120"/>
      <c r="DD593" s="120"/>
      <c r="DE593" s="120"/>
      <c r="DF593" s="120"/>
      <c r="DG593" s="2"/>
      <c r="DH593" s="2"/>
      <c r="DI593" s="2"/>
      <c r="DJ593" s="48"/>
      <c r="DK593" s="48"/>
      <c r="DL593" s="48"/>
      <c r="DM593" s="13"/>
      <c r="DN593" s="13"/>
      <c r="DO593" s="12"/>
      <c r="DP593" s="12"/>
      <c r="DQ593" s="12"/>
      <c r="DR593" s="12"/>
      <c r="DS593" s="12"/>
      <c r="DT593" s="2"/>
      <c r="DU593" s="2"/>
      <c r="DV593" s="12"/>
      <c r="DW593" s="12"/>
      <c r="DX593" s="2"/>
      <c r="DY593" s="2"/>
      <c r="DZ593" s="12"/>
      <c r="EA593" s="12"/>
      <c r="EB593" s="12"/>
      <c r="EC593" s="12"/>
      <c r="ED593" s="12"/>
    </row>
    <row r="594" spans="1:134" ht="12.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12"/>
      <c r="AC594" s="12"/>
      <c r="AD594" s="12"/>
      <c r="AE594" s="2"/>
      <c r="AF594" s="2"/>
      <c r="AG594" s="2"/>
      <c r="AH594" s="2"/>
      <c r="AI594" s="2"/>
      <c r="AJ594" s="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2"/>
      <c r="AY594" s="2"/>
      <c r="AZ594" s="2"/>
      <c r="BA594" s="2"/>
      <c r="BB594" s="2"/>
      <c r="BC594" s="2"/>
      <c r="BD594" s="2"/>
      <c r="BE594" s="2"/>
      <c r="BF594" s="12"/>
      <c r="BG594" s="1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152"/>
      <c r="BV594" s="155"/>
      <c r="BW594" s="12"/>
      <c r="BX594" s="12"/>
      <c r="BY594" s="12"/>
      <c r="BZ594" s="12"/>
      <c r="CA594" s="12"/>
      <c r="CB594" s="12"/>
      <c r="CC594" s="12"/>
      <c r="CD594" s="12"/>
      <c r="CE594" s="12"/>
      <c r="CF594" s="12"/>
      <c r="CG594" s="12"/>
      <c r="CH594" s="12"/>
      <c r="CI594" s="12"/>
      <c r="CJ594" s="12"/>
      <c r="CK594" s="12"/>
      <c r="CL594" s="12"/>
      <c r="CM594" s="12"/>
      <c r="CN594" s="12"/>
      <c r="CO594" s="12"/>
      <c r="CP594" s="12"/>
      <c r="CQ594" s="46"/>
      <c r="CR594" s="46"/>
      <c r="CS594" s="46"/>
      <c r="CT594" s="119"/>
      <c r="CU594" s="119"/>
      <c r="CV594" s="119"/>
      <c r="CW594" s="119"/>
      <c r="CX594" s="120"/>
      <c r="CY594" s="120"/>
      <c r="CZ594" s="120"/>
      <c r="DA594" s="120"/>
      <c r="DB594" s="120"/>
      <c r="DC594" s="120"/>
      <c r="DD594" s="120"/>
      <c r="DE594" s="120"/>
      <c r="DF594" s="120"/>
      <c r="DG594" s="2"/>
      <c r="DH594" s="2"/>
      <c r="DI594" s="2"/>
      <c r="DJ594" s="48"/>
      <c r="DK594" s="48"/>
      <c r="DL594" s="48"/>
      <c r="DM594" s="13"/>
      <c r="DN594" s="13"/>
      <c r="DO594" s="12"/>
      <c r="DP594" s="12"/>
      <c r="DQ594" s="12"/>
      <c r="DR594" s="12"/>
      <c r="DS594" s="12"/>
      <c r="DT594" s="2"/>
      <c r="DU594" s="2"/>
      <c r="DV594" s="12"/>
      <c r="DW594" s="12"/>
      <c r="DX594" s="2"/>
      <c r="DY594" s="2"/>
      <c r="DZ594" s="12"/>
      <c r="EA594" s="12"/>
      <c r="EB594" s="12"/>
      <c r="EC594" s="12"/>
      <c r="ED594" s="12"/>
    </row>
    <row r="595" spans="1:134" ht="12.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12"/>
      <c r="AC595" s="12"/>
      <c r="AD595" s="12"/>
      <c r="AE595" s="2"/>
      <c r="AF595" s="2"/>
      <c r="AG595" s="2"/>
      <c r="AH595" s="2"/>
      <c r="AI595" s="2"/>
      <c r="AJ595" s="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2"/>
      <c r="AY595" s="2"/>
      <c r="AZ595" s="2"/>
      <c r="BA595" s="2"/>
      <c r="BB595" s="2"/>
      <c r="BC595" s="2"/>
      <c r="BD595" s="2"/>
      <c r="BE595" s="2"/>
      <c r="BF595" s="12"/>
      <c r="BG595" s="1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152"/>
      <c r="BV595" s="155"/>
      <c r="BW595" s="12"/>
      <c r="BX595" s="12"/>
      <c r="BY595" s="12"/>
      <c r="BZ595" s="12"/>
      <c r="CA595" s="12"/>
      <c r="CB595" s="12"/>
      <c r="CC595" s="12"/>
      <c r="CD595" s="12"/>
      <c r="CE595" s="12"/>
      <c r="CF595" s="12"/>
      <c r="CG595" s="12"/>
      <c r="CH595" s="12"/>
      <c r="CI595" s="12"/>
      <c r="CJ595" s="12"/>
      <c r="CK595" s="12"/>
      <c r="CL595" s="12"/>
      <c r="CM595" s="12"/>
      <c r="CN595" s="12"/>
      <c r="CO595" s="12"/>
      <c r="CP595" s="12"/>
      <c r="CQ595" s="46"/>
      <c r="CR595" s="46"/>
      <c r="CS595" s="46"/>
      <c r="CT595" s="119"/>
      <c r="CU595" s="119"/>
      <c r="CV595" s="119"/>
      <c r="CW595" s="119"/>
      <c r="CX595" s="120"/>
      <c r="CY595" s="120"/>
      <c r="CZ595" s="120"/>
      <c r="DA595" s="120"/>
      <c r="DB595" s="120"/>
      <c r="DC595" s="120"/>
      <c r="DD595" s="120"/>
      <c r="DE595" s="120"/>
      <c r="DF595" s="120"/>
      <c r="DG595" s="2"/>
      <c r="DH595" s="2"/>
      <c r="DI595" s="2"/>
      <c r="DJ595" s="48"/>
      <c r="DK595" s="48"/>
      <c r="DL595" s="48"/>
      <c r="DM595" s="13"/>
      <c r="DN595" s="13"/>
      <c r="DO595" s="12"/>
      <c r="DP595" s="12"/>
      <c r="DQ595" s="12"/>
      <c r="DR595" s="12"/>
      <c r="DS595" s="12"/>
      <c r="DT595" s="2"/>
      <c r="DU595" s="2"/>
      <c r="DV595" s="12"/>
      <c r="DW595" s="12"/>
      <c r="DX595" s="2"/>
      <c r="DY595" s="2"/>
      <c r="DZ595" s="12"/>
      <c r="EA595" s="12"/>
      <c r="EB595" s="12"/>
      <c r="EC595" s="12"/>
      <c r="ED595" s="12"/>
    </row>
    <row r="596" spans="1:134" ht="12.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12"/>
      <c r="AC596" s="12"/>
      <c r="AD596" s="12"/>
      <c r="AE596" s="2"/>
      <c r="AF596" s="2"/>
      <c r="AG596" s="2"/>
      <c r="AH596" s="2"/>
      <c r="AI596" s="2"/>
      <c r="AJ596" s="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2"/>
      <c r="AY596" s="2"/>
      <c r="AZ596" s="2"/>
      <c r="BA596" s="2"/>
      <c r="BB596" s="2"/>
      <c r="BC596" s="2"/>
      <c r="BD596" s="2"/>
      <c r="BE596" s="2"/>
      <c r="BF596" s="12"/>
      <c r="BG596" s="1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152"/>
      <c r="BV596" s="155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46"/>
      <c r="CR596" s="46"/>
      <c r="CS596" s="46"/>
      <c r="CT596" s="119"/>
      <c r="CU596" s="119"/>
      <c r="CV596" s="119"/>
      <c r="CW596" s="119"/>
      <c r="CX596" s="120"/>
      <c r="CY596" s="120"/>
      <c r="CZ596" s="120"/>
      <c r="DA596" s="120"/>
      <c r="DB596" s="120"/>
      <c r="DC596" s="120"/>
      <c r="DD596" s="120"/>
      <c r="DE596" s="120"/>
      <c r="DF596" s="120"/>
      <c r="DG596" s="2"/>
      <c r="DH596" s="2"/>
      <c r="DI596" s="2"/>
      <c r="DJ596" s="48"/>
      <c r="DK596" s="48"/>
      <c r="DL596" s="48"/>
      <c r="DM596" s="13"/>
      <c r="DN596" s="13"/>
      <c r="DO596" s="12"/>
      <c r="DP596" s="12"/>
      <c r="DQ596" s="12"/>
      <c r="DR596" s="12"/>
      <c r="DS596" s="12"/>
      <c r="DT596" s="2"/>
      <c r="DU596" s="2"/>
      <c r="DV596" s="12"/>
      <c r="DW596" s="12"/>
      <c r="DX596" s="2"/>
      <c r="DY596" s="2"/>
      <c r="DZ596" s="12"/>
      <c r="EA596" s="12"/>
      <c r="EB596" s="12"/>
      <c r="EC596" s="12"/>
      <c r="ED596" s="12"/>
    </row>
    <row r="597" spans="1:134" ht="12.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12"/>
      <c r="AC597" s="12"/>
      <c r="AD597" s="12"/>
      <c r="AE597" s="2"/>
      <c r="AF597" s="2"/>
      <c r="AG597" s="2"/>
      <c r="AH597" s="2"/>
      <c r="AI597" s="2"/>
      <c r="AJ597" s="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2"/>
      <c r="AY597" s="2"/>
      <c r="AZ597" s="2"/>
      <c r="BA597" s="2"/>
      <c r="BB597" s="2"/>
      <c r="BC597" s="2"/>
      <c r="BD597" s="2"/>
      <c r="BE597" s="2"/>
      <c r="BF597" s="12"/>
      <c r="BG597" s="1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152"/>
      <c r="BV597" s="155"/>
      <c r="BW597" s="12"/>
      <c r="BX597" s="12"/>
      <c r="BY597" s="12"/>
      <c r="BZ597" s="12"/>
      <c r="CA597" s="12"/>
      <c r="CB597" s="12"/>
      <c r="CC597" s="12"/>
      <c r="CD597" s="12"/>
      <c r="CE597" s="12"/>
      <c r="CF597" s="12"/>
      <c r="CG597" s="12"/>
      <c r="CH597" s="12"/>
      <c r="CI597" s="12"/>
      <c r="CJ597" s="12"/>
      <c r="CK597" s="12"/>
      <c r="CL597" s="12"/>
      <c r="CM597" s="12"/>
      <c r="CN597" s="12"/>
      <c r="CO597" s="12"/>
      <c r="CP597" s="12"/>
      <c r="CQ597" s="46"/>
      <c r="CR597" s="46"/>
      <c r="CS597" s="46"/>
      <c r="CT597" s="119"/>
      <c r="CU597" s="119"/>
      <c r="CV597" s="119"/>
      <c r="CW597" s="119"/>
      <c r="CX597" s="120"/>
      <c r="CY597" s="120"/>
      <c r="CZ597" s="120"/>
      <c r="DA597" s="120"/>
      <c r="DB597" s="120"/>
      <c r="DC597" s="120"/>
      <c r="DD597" s="120"/>
      <c r="DE597" s="120"/>
      <c r="DF597" s="120"/>
      <c r="DG597" s="2"/>
      <c r="DH597" s="2"/>
      <c r="DI597" s="2"/>
      <c r="DJ597" s="48"/>
      <c r="DK597" s="48"/>
      <c r="DL597" s="48"/>
      <c r="DM597" s="13"/>
      <c r="DN597" s="13"/>
      <c r="DO597" s="12"/>
      <c r="DP597" s="12"/>
      <c r="DQ597" s="12"/>
      <c r="DR597" s="12"/>
      <c r="DS597" s="12"/>
      <c r="DT597" s="2"/>
      <c r="DU597" s="2"/>
      <c r="DV597" s="12"/>
      <c r="DW597" s="12"/>
      <c r="DX597" s="2"/>
      <c r="DY597" s="2"/>
      <c r="DZ597" s="12"/>
      <c r="EA597" s="12"/>
      <c r="EB597" s="12"/>
      <c r="EC597" s="12"/>
      <c r="ED597" s="12"/>
    </row>
    <row r="598" spans="1:134" ht="12.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12"/>
      <c r="AC598" s="12"/>
      <c r="AD598" s="12"/>
      <c r="AE598" s="2"/>
      <c r="AF598" s="2"/>
      <c r="AG598" s="2"/>
      <c r="AH598" s="2"/>
      <c r="AI598" s="2"/>
      <c r="AJ598" s="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2"/>
      <c r="AY598" s="2"/>
      <c r="AZ598" s="2"/>
      <c r="BA598" s="2"/>
      <c r="BB598" s="2"/>
      <c r="BC598" s="2"/>
      <c r="BD598" s="2"/>
      <c r="BE598" s="2"/>
      <c r="BF598" s="12"/>
      <c r="BG598" s="1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152"/>
      <c r="BV598" s="155"/>
      <c r="BW598" s="12"/>
      <c r="BX598" s="12"/>
      <c r="BY598" s="12"/>
      <c r="BZ598" s="12"/>
      <c r="CA598" s="12"/>
      <c r="CB598" s="12"/>
      <c r="CC598" s="12"/>
      <c r="CD598" s="12"/>
      <c r="CE598" s="12"/>
      <c r="CF598" s="12"/>
      <c r="CG598" s="12"/>
      <c r="CH598" s="12"/>
      <c r="CI598" s="12"/>
      <c r="CJ598" s="12"/>
      <c r="CK598" s="12"/>
      <c r="CL598" s="12"/>
      <c r="CM598" s="12"/>
      <c r="CN598" s="12"/>
      <c r="CO598" s="12"/>
      <c r="CP598" s="12"/>
      <c r="CQ598" s="46"/>
      <c r="CR598" s="46"/>
      <c r="CS598" s="46"/>
      <c r="CT598" s="119"/>
      <c r="CU598" s="119"/>
      <c r="CV598" s="119"/>
      <c r="CW598" s="119"/>
      <c r="CX598" s="120"/>
      <c r="CY598" s="120"/>
      <c r="CZ598" s="120"/>
      <c r="DA598" s="120"/>
      <c r="DB598" s="120"/>
      <c r="DC598" s="120"/>
      <c r="DD598" s="120"/>
      <c r="DE598" s="120"/>
      <c r="DF598" s="120"/>
      <c r="DG598" s="2"/>
      <c r="DH598" s="2"/>
      <c r="DI598" s="2"/>
      <c r="DJ598" s="48"/>
      <c r="DK598" s="48"/>
      <c r="DL598" s="48"/>
      <c r="DM598" s="13"/>
      <c r="DN598" s="13"/>
      <c r="DO598" s="12"/>
      <c r="DP598" s="12"/>
      <c r="DQ598" s="12"/>
      <c r="DR598" s="12"/>
      <c r="DS598" s="12"/>
      <c r="DT598" s="2"/>
      <c r="DU598" s="2"/>
      <c r="DV598" s="12"/>
      <c r="DW598" s="12"/>
      <c r="DX598" s="2"/>
      <c r="DY598" s="2"/>
      <c r="DZ598" s="12"/>
      <c r="EA598" s="12"/>
      <c r="EB598" s="12"/>
      <c r="EC598" s="12"/>
      <c r="ED598" s="12"/>
    </row>
    <row r="599" spans="1:134" ht="12.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12"/>
      <c r="AC599" s="12"/>
      <c r="AD599" s="12"/>
      <c r="AE599" s="2"/>
      <c r="AF599" s="2"/>
      <c r="AG599" s="2"/>
      <c r="AH599" s="2"/>
      <c r="AI599" s="2"/>
      <c r="AJ599" s="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2"/>
      <c r="AY599" s="2"/>
      <c r="AZ599" s="2"/>
      <c r="BA599" s="2"/>
      <c r="BB599" s="2"/>
      <c r="BC599" s="2"/>
      <c r="BD599" s="2"/>
      <c r="BE599" s="2"/>
      <c r="BF599" s="12"/>
      <c r="BG599" s="1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152"/>
      <c r="BV599" s="155"/>
      <c r="BW599" s="12"/>
      <c r="BX599" s="12"/>
      <c r="BY599" s="12"/>
      <c r="BZ599" s="12"/>
      <c r="CA599" s="12"/>
      <c r="CB599" s="12"/>
      <c r="CC599" s="12"/>
      <c r="CD599" s="12"/>
      <c r="CE599" s="12"/>
      <c r="CF599" s="12"/>
      <c r="CG599" s="12"/>
      <c r="CH599" s="12"/>
      <c r="CI599" s="12"/>
      <c r="CJ599" s="12"/>
      <c r="CK599" s="12"/>
      <c r="CL599" s="12"/>
      <c r="CM599" s="12"/>
      <c r="CN599" s="12"/>
      <c r="CO599" s="12"/>
      <c r="CP599" s="12"/>
      <c r="CQ599" s="46"/>
      <c r="CR599" s="46"/>
      <c r="CS599" s="46"/>
      <c r="CT599" s="119"/>
      <c r="CU599" s="119"/>
      <c r="CV599" s="119"/>
      <c r="CW599" s="119"/>
      <c r="CX599" s="120"/>
      <c r="CY599" s="120"/>
      <c r="CZ599" s="120"/>
      <c r="DA599" s="120"/>
      <c r="DB599" s="120"/>
      <c r="DC599" s="120"/>
      <c r="DD599" s="120"/>
      <c r="DE599" s="120"/>
      <c r="DF599" s="120"/>
      <c r="DG599" s="2"/>
      <c r="DH599" s="2"/>
      <c r="DI599" s="2"/>
      <c r="DJ599" s="48"/>
      <c r="DK599" s="48"/>
      <c r="DL599" s="48"/>
      <c r="DM599" s="13"/>
      <c r="DN599" s="13"/>
      <c r="DO599" s="12"/>
      <c r="DP599" s="12"/>
      <c r="DQ599" s="12"/>
      <c r="DR599" s="12"/>
      <c r="DS599" s="12"/>
      <c r="DT599" s="2"/>
      <c r="DU599" s="2"/>
      <c r="DV599" s="12"/>
      <c r="DW599" s="12"/>
      <c r="DX599" s="2"/>
      <c r="DY599" s="2"/>
      <c r="DZ599" s="12"/>
      <c r="EA599" s="12"/>
      <c r="EB599" s="12"/>
      <c r="EC599" s="12"/>
      <c r="ED599" s="12"/>
    </row>
    <row r="600" spans="1:134" ht="12.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12"/>
      <c r="AC600" s="12"/>
      <c r="AD600" s="12"/>
      <c r="AE600" s="2"/>
      <c r="AF600" s="2"/>
      <c r="AG600" s="2"/>
      <c r="AH600" s="2"/>
      <c r="AI600" s="2"/>
      <c r="AJ600" s="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2"/>
      <c r="AY600" s="2"/>
      <c r="AZ600" s="2"/>
      <c r="BA600" s="2"/>
      <c r="BB600" s="2"/>
      <c r="BC600" s="2"/>
      <c r="BD600" s="2"/>
      <c r="BE600" s="2"/>
      <c r="BF600" s="12"/>
      <c r="BG600" s="1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152"/>
      <c r="BV600" s="155"/>
      <c r="BW600" s="12"/>
      <c r="BX600" s="12"/>
      <c r="BY600" s="12"/>
      <c r="BZ600" s="12"/>
      <c r="CA600" s="12"/>
      <c r="CB600" s="12"/>
      <c r="CC600" s="12"/>
      <c r="CD600" s="12"/>
      <c r="CE600" s="12"/>
      <c r="CF600" s="12"/>
      <c r="CG600" s="12"/>
      <c r="CH600" s="12"/>
      <c r="CI600" s="12"/>
      <c r="CJ600" s="12"/>
      <c r="CK600" s="12"/>
      <c r="CL600" s="12"/>
      <c r="CM600" s="12"/>
      <c r="CN600" s="12"/>
      <c r="CO600" s="12"/>
      <c r="CP600" s="12"/>
      <c r="CQ600" s="46"/>
      <c r="CR600" s="46"/>
      <c r="CS600" s="46"/>
      <c r="CT600" s="119"/>
      <c r="CU600" s="119"/>
      <c r="CV600" s="119"/>
      <c r="CW600" s="119"/>
      <c r="CX600" s="120"/>
      <c r="CY600" s="120"/>
      <c r="CZ600" s="120"/>
      <c r="DA600" s="120"/>
      <c r="DB600" s="120"/>
      <c r="DC600" s="120"/>
      <c r="DD600" s="120"/>
      <c r="DE600" s="120"/>
      <c r="DF600" s="120"/>
      <c r="DG600" s="2"/>
      <c r="DH600" s="2"/>
      <c r="DI600" s="2"/>
      <c r="DJ600" s="48"/>
      <c r="DK600" s="48"/>
      <c r="DL600" s="48"/>
      <c r="DM600" s="13"/>
      <c r="DN600" s="13"/>
      <c r="DO600" s="12"/>
      <c r="DP600" s="12"/>
      <c r="DQ600" s="12"/>
      <c r="DR600" s="12"/>
      <c r="DS600" s="12"/>
      <c r="DT600" s="2"/>
      <c r="DU600" s="2"/>
      <c r="DV600" s="12"/>
      <c r="DW600" s="12"/>
      <c r="DX600" s="2"/>
      <c r="DY600" s="2"/>
      <c r="DZ600" s="12"/>
      <c r="EA600" s="12"/>
      <c r="EB600" s="12"/>
      <c r="EC600" s="12"/>
      <c r="ED600" s="12"/>
    </row>
    <row r="601" spans="1:134" ht="12.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12"/>
      <c r="AC601" s="12"/>
      <c r="AD601" s="12"/>
      <c r="AE601" s="2"/>
      <c r="AF601" s="2"/>
      <c r="AG601" s="2"/>
      <c r="AH601" s="2"/>
      <c r="AI601" s="2"/>
      <c r="AJ601" s="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2"/>
      <c r="AY601" s="2"/>
      <c r="AZ601" s="2"/>
      <c r="BA601" s="2"/>
      <c r="BB601" s="2"/>
      <c r="BC601" s="2"/>
      <c r="BD601" s="2"/>
      <c r="BE601" s="2"/>
      <c r="BF601" s="12"/>
      <c r="BG601" s="1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152"/>
      <c r="BV601" s="155"/>
      <c r="BW601" s="12"/>
      <c r="BX601" s="12"/>
      <c r="BY601" s="12"/>
      <c r="BZ601" s="12"/>
      <c r="CA601" s="12"/>
      <c r="CB601" s="12"/>
      <c r="CC601" s="12"/>
      <c r="CD601" s="12"/>
      <c r="CE601" s="12"/>
      <c r="CF601" s="12"/>
      <c r="CG601" s="12"/>
      <c r="CH601" s="12"/>
      <c r="CI601" s="12"/>
      <c r="CJ601" s="12"/>
      <c r="CK601" s="12"/>
      <c r="CL601" s="12"/>
      <c r="CM601" s="12"/>
      <c r="CN601" s="12"/>
      <c r="CO601" s="12"/>
      <c r="CP601" s="12"/>
      <c r="CQ601" s="46"/>
      <c r="CR601" s="46"/>
      <c r="CS601" s="46"/>
      <c r="CT601" s="119"/>
      <c r="CU601" s="119"/>
      <c r="CV601" s="119"/>
      <c r="CW601" s="119"/>
      <c r="CX601" s="120"/>
      <c r="CY601" s="120"/>
      <c r="CZ601" s="120"/>
      <c r="DA601" s="120"/>
      <c r="DB601" s="120"/>
      <c r="DC601" s="120"/>
      <c r="DD601" s="120"/>
      <c r="DE601" s="120"/>
      <c r="DF601" s="120"/>
      <c r="DG601" s="2"/>
      <c r="DH601" s="2"/>
      <c r="DI601" s="2"/>
      <c r="DJ601" s="48"/>
      <c r="DK601" s="48"/>
      <c r="DL601" s="48"/>
      <c r="DM601" s="13"/>
      <c r="DN601" s="13"/>
      <c r="DO601" s="12"/>
      <c r="DP601" s="12"/>
      <c r="DQ601" s="12"/>
      <c r="DR601" s="12"/>
      <c r="DS601" s="12"/>
      <c r="DT601" s="2"/>
      <c r="DU601" s="2"/>
      <c r="DV601" s="12"/>
      <c r="DW601" s="12"/>
      <c r="DX601" s="2"/>
      <c r="DY601" s="2"/>
      <c r="DZ601" s="12"/>
      <c r="EA601" s="12"/>
      <c r="EB601" s="12"/>
      <c r="EC601" s="12"/>
      <c r="ED601" s="12"/>
    </row>
    <row r="602" spans="1:134" ht="12.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12"/>
      <c r="AC602" s="12"/>
      <c r="AD602" s="12"/>
      <c r="AE602" s="2"/>
      <c r="AF602" s="2"/>
      <c r="AG602" s="2"/>
      <c r="AH602" s="2"/>
      <c r="AI602" s="2"/>
      <c r="AJ602" s="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2"/>
      <c r="AY602" s="2"/>
      <c r="AZ602" s="2"/>
      <c r="BA602" s="2"/>
      <c r="BB602" s="2"/>
      <c r="BC602" s="2"/>
      <c r="BD602" s="2"/>
      <c r="BE602" s="2"/>
      <c r="BF602" s="12"/>
      <c r="BG602" s="1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152"/>
      <c r="BV602" s="155"/>
      <c r="BW602" s="12"/>
      <c r="BX602" s="12"/>
      <c r="BY602" s="12"/>
      <c r="BZ602" s="12"/>
      <c r="CA602" s="12"/>
      <c r="CB602" s="12"/>
      <c r="CC602" s="12"/>
      <c r="CD602" s="12"/>
      <c r="CE602" s="12"/>
      <c r="CF602" s="12"/>
      <c r="CG602" s="12"/>
      <c r="CH602" s="12"/>
      <c r="CI602" s="12"/>
      <c r="CJ602" s="12"/>
      <c r="CK602" s="12"/>
      <c r="CL602" s="12"/>
      <c r="CM602" s="12"/>
      <c r="CN602" s="12"/>
      <c r="CO602" s="12"/>
      <c r="CP602" s="12"/>
      <c r="CQ602" s="46"/>
      <c r="CR602" s="46"/>
      <c r="CS602" s="46"/>
      <c r="CT602" s="119"/>
      <c r="CU602" s="119"/>
      <c r="CV602" s="119"/>
      <c r="CW602" s="119"/>
      <c r="CX602" s="120"/>
      <c r="CY602" s="120"/>
      <c r="CZ602" s="120"/>
      <c r="DA602" s="120"/>
      <c r="DB602" s="120"/>
      <c r="DC602" s="120"/>
      <c r="DD602" s="120"/>
      <c r="DE602" s="120"/>
      <c r="DF602" s="120"/>
      <c r="DG602" s="2"/>
      <c r="DH602" s="2"/>
      <c r="DI602" s="2"/>
      <c r="DJ602" s="48"/>
      <c r="DK602" s="48"/>
      <c r="DL602" s="48"/>
      <c r="DM602" s="13"/>
      <c r="DN602" s="13"/>
      <c r="DO602" s="12"/>
      <c r="DP602" s="12"/>
      <c r="DQ602" s="12"/>
      <c r="DR602" s="12"/>
      <c r="DS602" s="12"/>
      <c r="DT602" s="2"/>
      <c r="DU602" s="2"/>
      <c r="DV602" s="12"/>
      <c r="DW602" s="12"/>
      <c r="DX602" s="2"/>
      <c r="DY602" s="2"/>
      <c r="DZ602" s="12"/>
      <c r="EA602" s="12"/>
      <c r="EB602" s="12"/>
      <c r="EC602" s="12"/>
      <c r="ED602" s="12"/>
    </row>
    <row r="603" spans="1:134" ht="12.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12"/>
      <c r="AC603" s="12"/>
      <c r="AD603" s="12"/>
      <c r="AE603" s="2"/>
      <c r="AF603" s="2"/>
      <c r="AG603" s="2"/>
      <c r="AH603" s="2"/>
      <c r="AI603" s="2"/>
      <c r="AJ603" s="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2"/>
      <c r="AY603" s="2"/>
      <c r="AZ603" s="2"/>
      <c r="BA603" s="2"/>
      <c r="BB603" s="2"/>
      <c r="BC603" s="2"/>
      <c r="BD603" s="2"/>
      <c r="BE603" s="2"/>
      <c r="BF603" s="12"/>
      <c r="BG603" s="1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152"/>
      <c r="BV603" s="155"/>
      <c r="BW603" s="12"/>
      <c r="BX603" s="12"/>
      <c r="BY603" s="12"/>
      <c r="BZ603" s="12"/>
      <c r="CA603" s="12"/>
      <c r="CB603" s="12"/>
      <c r="CC603" s="12"/>
      <c r="CD603" s="12"/>
      <c r="CE603" s="12"/>
      <c r="CF603" s="12"/>
      <c r="CG603" s="12"/>
      <c r="CH603" s="12"/>
      <c r="CI603" s="12"/>
      <c r="CJ603" s="12"/>
      <c r="CK603" s="12"/>
      <c r="CL603" s="12"/>
      <c r="CM603" s="12"/>
      <c r="CN603" s="12"/>
      <c r="CO603" s="12"/>
      <c r="CP603" s="12"/>
      <c r="CQ603" s="46"/>
      <c r="CR603" s="46"/>
      <c r="CS603" s="46"/>
      <c r="CT603" s="119"/>
      <c r="CU603" s="119"/>
      <c r="CV603" s="119"/>
      <c r="CW603" s="119"/>
      <c r="CX603" s="120"/>
      <c r="CY603" s="120"/>
      <c r="CZ603" s="120"/>
      <c r="DA603" s="120"/>
      <c r="DB603" s="120"/>
      <c r="DC603" s="120"/>
      <c r="DD603" s="120"/>
      <c r="DE603" s="120"/>
      <c r="DF603" s="120"/>
      <c r="DG603" s="2"/>
      <c r="DH603" s="2"/>
      <c r="DI603" s="2"/>
      <c r="DJ603" s="48"/>
      <c r="DK603" s="48"/>
      <c r="DL603" s="48"/>
      <c r="DM603" s="13"/>
      <c r="DN603" s="13"/>
      <c r="DO603" s="12"/>
      <c r="DP603" s="12"/>
      <c r="DQ603" s="12"/>
      <c r="DR603" s="12"/>
      <c r="DS603" s="12"/>
      <c r="DT603" s="2"/>
      <c r="DU603" s="2"/>
      <c r="DV603" s="12"/>
      <c r="DW603" s="12"/>
      <c r="DX603" s="2"/>
      <c r="DY603" s="2"/>
      <c r="DZ603" s="12"/>
      <c r="EA603" s="12"/>
      <c r="EB603" s="12"/>
      <c r="EC603" s="12"/>
      <c r="ED603" s="12"/>
    </row>
    <row r="604" spans="1:134" ht="12.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12"/>
      <c r="AC604" s="12"/>
      <c r="AD604" s="12"/>
      <c r="AE604" s="2"/>
      <c r="AF604" s="2"/>
      <c r="AG604" s="2"/>
      <c r="AH604" s="2"/>
      <c r="AI604" s="2"/>
      <c r="AJ604" s="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2"/>
      <c r="AY604" s="2"/>
      <c r="AZ604" s="2"/>
      <c r="BA604" s="2"/>
      <c r="BB604" s="2"/>
      <c r="BC604" s="2"/>
      <c r="BD604" s="2"/>
      <c r="BE604" s="2"/>
      <c r="BF604" s="12"/>
      <c r="BG604" s="1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152"/>
      <c r="BV604" s="155"/>
      <c r="BW604" s="12"/>
      <c r="BX604" s="12"/>
      <c r="BY604" s="12"/>
      <c r="BZ604" s="12"/>
      <c r="CA604" s="12"/>
      <c r="CB604" s="12"/>
      <c r="CC604" s="12"/>
      <c r="CD604" s="12"/>
      <c r="CE604" s="12"/>
      <c r="CF604" s="12"/>
      <c r="CG604" s="12"/>
      <c r="CH604" s="12"/>
      <c r="CI604" s="12"/>
      <c r="CJ604" s="12"/>
      <c r="CK604" s="12"/>
      <c r="CL604" s="12"/>
      <c r="CM604" s="12"/>
      <c r="CN604" s="12"/>
      <c r="CO604" s="12"/>
      <c r="CP604" s="12"/>
      <c r="CQ604" s="46"/>
      <c r="CR604" s="46"/>
      <c r="CS604" s="46"/>
      <c r="CT604" s="119"/>
      <c r="CU604" s="119"/>
      <c r="CV604" s="119"/>
      <c r="CW604" s="119"/>
      <c r="CX604" s="120"/>
      <c r="CY604" s="120"/>
      <c r="CZ604" s="120"/>
      <c r="DA604" s="120"/>
      <c r="DB604" s="120"/>
      <c r="DC604" s="120"/>
      <c r="DD604" s="120"/>
      <c r="DE604" s="120"/>
      <c r="DF604" s="120"/>
      <c r="DG604" s="2"/>
      <c r="DH604" s="2"/>
      <c r="DI604" s="2"/>
      <c r="DJ604" s="48"/>
      <c r="DK604" s="48"/>
      <c r="DL604" s="48"/>
      <c r="DM604" s="13"/>
      <c r="DN604" s="13"/>
      <c r="DO604" s="12"/>
      <c r="DP604" s="12"/>
      <c r="DQ604" s="12"/>
      <c r="DR604" s="12"/>
      <c r="DS604" s="12"/>
      <c r="DT604" s="2"/>
      <c r="DU604" s="2"/>
      <c r="DV604" s="12"/>
      <c r="DW604" s="12"/>
      <c r="DX604" s="2"/>
      <c r="DY604" s="2"/>
      <c r="DZ604" s="12"/>
      <c r="EA604" s="12"/>
      <c r="EB604" s="12"/>
      <c r="EC604" s="12"/>
      <c r="ED604" s="12"/>
    </row>
    <row r="605" spans="1:134" ht="12.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12"/>
      <c r="AC605" s="12"/>
      <c r="AD605" s="12"/>
      <c r="AE605" s="2"/>
      <c r="AF605" s="2"/>
      <c r="AG605" s="2"/>
      <c r="AH605" s="2"/>
      <c r="AI605" s="2"/>
      <c r="AJ605" s="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2"/>
      <c r="AY605" s="2"/>
      <c r="AZ605" s="2"/>
      <c r="BA605" s="2"/>
      <c r="BB605" s="2"/>
      <c r="BC605" s="2"/>
      <c r="BD605" s="2"/>
      <c r="BE605" s="2"/>
      <c r="BF605" s="12"/>
      <c r="BG605" s="1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152"/>
      <c r="BV605" s="155"/>
      <c r="BW605" s="12"/>
      <c r="BX605" s="12"/>
      <c r="BY605" s="12"/>
      <c r="BZ605" s="12"/>
      <c r="CA605" s="12"/>
      <c r="CB605" s="12"/>
      <c r="CC605" s="12"/>
      <c r="CD605" s="12"/>
      <c r="CE605" s="12"/>
      <c r="CF605" s="12"/>
      <c r="CG605" s="12"/>
      <c r="CH605" s="12"/>
      <c r="CI605" s="12"/>
      <c r="CJ605" s="12"/>
      <c r="CK605" s="12"/>
      <c r="CL605" s="12"/>
      <c r="CM605" s="12"/>
      <c r="CN605" s="12"/>
      <c r="CO605" s="12"/>
      <c r="CP605" s="12"/>
      <c r="CQ605" s="46"/>
      <c r="CR605" s="46"/>
      <c r="CS605" s="46"/>
      <c r="CT605" s="119"/>
      <c r="CU605" s="119"/>
      <c r="CV605" s="119"/>
      <c r="CW605" s="119"/>
      <c r="CX605" s="120"/>
      <c r="CY605" s="120"/>
      <c r="CZ605" s="120"/>
      <c r="DA605" s="120"/>
      <c r="DB605" s="120"/>
      <c r="DC605" s="120"/>
      <c r="DD605" s="120"/>
      <c r="DE605" s="120"/>
      <c r="DF605" s="120"/>
      <c r="DG605" s="2"/>
      <c r="DH605" s="2"/>
      <c r="DI605" s="2"/>
      <c r="DJ605" s="48"/>
      <c r="DK605" s="48"/>
      <c r="DL605" s="48"/>
      <c r="DM605" s="13"/>
      <c r="DN605" s="13"/>
      <c r="DO605" s="12"/>
      <c r="DP605" s="12"/>
      <c r="DQ605" s="12"/>
      <c r="DR605" s="12"/>
      <c r="DS605" s="12"/>
      <c r="DT605" s="2"/>
      <c r="DU605" s="2"/>
      <c r="DV605" s="12"/>
      <c r="DW605" s="12"/>
      <c r="DX605" s="2"/>
      <c r="DY605" s="2"/>
      <c r="DZ605" s="12"/>
      <c r="EA605" s="12"/>
      <c r="EB605" s="12"/>
      <c r="EC605" s="12"/>
      <c r="ED605" s="12"/>
    </row>
    <row r="606" spans="1:134" ht="12.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12"/>
      <c r="AC606" s="12"/>
      <c r="AD606" s="12"/>
      <c r="AE606" s="2"/>
      <c r="AF606" s="2"/>
      <c r="AG606" s="2"/>
      <c r="AH606" s="2"/>
      <c r="AI606" s="2"/>
      <c r="AJ606" s="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2"/>
      <c r="AY606" s="2"/>
      <c r="AZ606" s="2"/>
      <c r="BA606" s="2"/>
      <c r="BB606" s="2"/>
      <c r="BC606" s="2"/>
      <c r="BD606" s="2"/>
      <c r="BE606" s="2"/>
      <c r="BF606" s="12"/>
      <c r="BG606" s="1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152"/>
      <c r="BV606" s="155"/>
      <c r="BW606" s="12"/>
      <c r="BX606" s="12"/>
      <c r="BY606" s="12"/>
      <c r="BZ606" s="12"/>
      <c r="CA606" s="12"/>
      <c r="CB606" s="12"/>
      <c r="CC606" s="12"/>
      <c r="CD606" s="12"/>
      <c r="CE606" s="12"/>
      <c r="CF606" s="12"/>
      <c r="CG606" s="12"/>
      <c r="CH606" s="12"/>
      <c r="CI606" s="12"/>
      <c r="CJ606" s="12"/>
      <c r="CK606" s="12"/>
      <c r="CL606" s="12"/>
      <c r="CM606" s="12"/>
      <c r="CN606" s="12"/>
      <c r="CO606" s="12"/>
      <c r="CP606" s="12"/>
      <c r="CQ606" s="46"/>
      <c r="CR606" s="46"/>
      <c r="CS606" s="46"/>
      <c r="CT606" s="119"/>
      <c r="CU606" s="119"/>
      <c r="CV606" s="119"/>
      <c r="CW606" s="119"/>
      <c r="CX606" s="120"/>
      <c r="CY606" s="120"/>
      <c r="CZ606" s="120"/>
      <c r="DA606" s="120"/>
      <c r="DB606" s="120"/>
      <c r="DC606" s="120"/>
      <c r="DD606" s="120"/>
      <c r="DE606" s="120"/>
      <c r="DF606" s="120"/>
      <c r="DG606" s="2"/>
      <c r="DH606" s="2"/>
      <c r="DI606" s="2"/>
      <c r="DJ606" s="48"/>
      <c r="DK606" s="48"/>
      <c r="DL606" s="48"/>
      <c r="DM606" s="13"/>
      <c r="DN606" s="13"/>
      <c r="DO606" s="12"/>
      <c r="DP606" s="12"/>
      <c r="DQ606" s="12"/>
      <c r="DR606" s="12"/>
      <c r="DS606" s="12"/>
      <c r="DT606" s="2"/>
      <c r="DU606" s="2"/>
      <c r="DV606" s="12"/>
      <c r="DW606" s="12"/>
      <c r="DX606" s="2"/>
      <c r="DY606" s="2"/>
      <c r="DZ606" s="12"/>
      <c r="EA606" s="12"/>
      <c r="EB606" s="12"/>
      <c r="EC606" s="12"/>
      <c r="ED606" s="12"/>
    </row>
    <row r="607" spans="1:134" ht="12.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12"/>
      <c r="AC607" s="12"/>
      <c r="AD607" s="12"/>
      <c r="AE607" s="2"/>
      <c r="AF607" s="2"/>
      <c r="AG607" s="2"/>
      <c r="AH607" s="2"/>
      <c r="AI607" s="2"/>
      <c r="AJ607" s="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2"/>
      <c r="AY607" s="2"/>
      <c r="AZ607" s="2"/>
      <c r="BA607" s="2"/>
      <c r="BB607" s="2"/>
      <c r="BC607" s="2"/>
      <c r="BD607" s="2"/>
      <c r="BE607" s="2"/>
      <c r="BF607" s="12"/>
      <c r="BG607" s="1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152"/>
      <c r="BV607" s="155"/>
      <c r="BW607" s="12"/>
      <c r="BX607" s="12"/>
      <c r="BY607" s="12"/>
      <c r="BZ607" s="12"/>
      <c r="CA607" s="12"/>
      <c r="CB607" s="12"/>
      <c r="CC607" s="12"/>
      <c r="CD607" s="12"/>
      <c r="CE607" s="12"/>
      <c r="CF607" s="12"/>
      <c r="CG607" s="12"/>
      <c r="CH607" s="12"/>
      <c r="CI607" s="12"/>
      <c r="CJ607" s="12"/>
      <c r="CK607" s="12"/>
      <c r="CL607" s="12"/>
      <c r="CM607" s="12"/>
      <c r="CN607" s="12"/>
      <c r="CO607" s="12"/>
      <c r="CP607" s="12"/>
      <c r="CQ607" s="46"/>
      <c r="CR607" s="46"/>
      <c r="CS607" s="46"/>
      <c r="CT607" s="119"/>
      <c r="CU607" s="119"/>
      <c r="CV607" s="119"/>
      <c r="CW607" s="119"/>
      <c r="CX607" s="120"/>
      <c r="CY607" s="120"/>
      <c r="CZ607" s="120"/>
      <c r="DA607" s="120"/>
      <c r="DB607" s="120"/>
      <c r="DC607" s="120"/>
      <c r="DD607" s="120"/>
      <c r="DE607" s="120"/>
      <c r="DF607" s="120"/>
      <c r="DG607" s="2"/>
      <c r="DH607" s="2"/>
      <c r="DI607" s="2"/>
      <c r="DJ607" s="48"/>
      <c r="DK607" s="48"/>
      <c r="DL607" s="48"/>
      <c r="DM607" s="13"/>
      <c r="DN607" s="13"/>
      <c r="DO607" s="12"/>
      <c r="DP607" s="12"/>
      <c r="DQ607" s="12"/>
      <c r="DR607" s="12"/>
      <c r="DS607" s="12"/>
      <c r="DT607" s="2"/>
      <c r="DU607" s="2"/>
      <c r="DV607" s="12"/>
      <c r="DW607" s="12"/>
      <c r="DX607" s="2"/>
      <c r="DY607" s="2"/>
      <c r="DZ607" s="12"/>
      <c r="EA607" s="12"/>
      <c r="EB607" s="12"/>
      <c r="EC607" s="12"/>
      <c r="ED607" s="12"/>
    </row>
    <row r="608" spans="1:134" ht="12.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12"/>
      <c r="AC608" s="12"/>
      <c r="AD608" s="12"/>
      <c r="AE608" s="2"/>
      <c r="AF608" s="2"/>
      <c r="AG608" s="2"/>
      <c r="AH608" s="2"/>
      <c r="AI608" s="2"/>
      <c r="AJ608" s="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2"/>
      <c r="AY608" s="2"/>
      <c r="AZ608" s="2"/>
      <c r="BA608" s="2"/>
      <c r="BB608" s="2"/>
      <c r="BC608" s="2"/>
      <c r="BD608" s="2"/>
      <c r="BE608" s="2"/>
      <c r="BF608" s="12"/>
      <c r="BG608" s="1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152"/>
      <c r="BV608" s="155"/>
      <c r="BW608" s="12"/>
      <c r="BX608" s="12"/>
      <c r="BY608" s="12"/>
      <c r="BZ608" s="12"/>
      <c r="CA608" s="12"/>
      <c r="CB608" s="12"/>
      <c r="CC608" s="12"/>
      <c r="CD608" s="12"/>
      <c r="CE608" s="12"/>
      <c r="CF608" s="12"/>
      <c r="CG608" s="12"/>
      <c r="CH608" s="12"/>
      <c r="CI608" s="12"/>
      <c r="CJ608" s="12"/>
      <c r="CK608" s="12"/>
      <c r="CL608" s="12"/>
      <c r="CM608" s="12"/>
      <c r="CN608" s="12"/>
      <c r="CO608" s="12"/>
      <c r="CP608" s="12"/>
      <c r="CQ608" s="46"/>
      <c r="CR608" s="46"/>
      <c r="CS608" s="46"/>
      <c r="CT608" s="119"/>
      <c r="CU608" s="119"/>
      <c r="CV608" s="119"/>
      <c r="CW608" s="119"/>
      <c r="CX608" s="120"/>
      <c r="CY608" s="120"/>
      <c r="CZ608" s="120"/>
      <c r="DA608" s="120"/>
      <c r="DB608" s="120"/>
      <c r="DC608" s="120"/>
      <c r="DD608" s="120"/>
      <c r="DE608" s="120"/>
      <c r="DF608" s="120"/>
      <c r="DG608" s="2"/>
      <c r="DH608" s="2"/>
      <c r="DI608" s="2"/>
      <c r="DJ608" s="48"/>
      <c r="DK608" s="48"/>
      <c r="DL608" s="48"/>
      <c r="DM608" s="13"/>
      <c r="DN608" s="13"/>
      <c r="DO608" s="12"/>
      <c r="DP608" s="12"/>
      <c r="DQ608" s="12"/>
      <c r="DR608" s="12"/>
      <c r="DS608" s="12"/>
      <c r="DT608" s="2"/>
      <c r="DU608" s="2"/>
      <c r="DV608" s="12"/>
      <c r="DW608" s="12"/>
      <c r="DX608" s="2"/>
      <c r="DY608" s="2"/>
      <c r="DZ608" s="12"/>
      <c r="EA608" s="12"/>
      <c r="EB608" s="12"/>
      <c r="EC608" s="12"/>
      <c r="ED608" s="12"/>
    </row>
    <row r="609" spans="1:134" ht="12.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12"/>
      <c r="AC609" s="12"/>
      <c r="AD609" s="12"/>
      <c r="AE609" s="2"/>
      <c r="AF609" s="2"/>
      <c r="AG609" s="2"/>
      <c r="AH609" s="2"/>
      <c r="AI609" s="2"/>
      <c r="AJ609" s="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2"/>
      <c r="AY609" s="2"/>
      <c r="AZ609" s="2"/>
      <c r="BA609" s="2"/>
      <c r="BB609" s="2"/>
      <c r="BC609" s="2"/>
      <c r="BD609" s="2"/>
      <c r="BE609" s="2"/>
      <c r="BF609" s="12"/>
      <c r="BG609" s="1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152"/>
      <c r="BV609" s="155"/>
      <c r="BW609" s="12"/>
      <c r="BX609" s="12"/>
      <c r="BY609" s="12"/>
      <c r="BZ609" s="12"/>
      <c r="CA609" s="12"/>
      <c r="CB609" s="12"/>
      <c r="CC609" s="12"/>
      <c r="CD609" s="12"/>
      <c r="CE609" s="12"/>
      <c r="CF609" s="12"/>
      <c r="CG609" s="12"/>
      <c r="CH609" s="12"/>
      <c r="CI609" s="12"/>
      <c r="CJ609" s="12"/>
      <c r="CK609" s="12"/>
      <c r="CL609" s="12"/>
      <c r="CM609" s="12"/>
      <c r="CN609" s="12"/>
      <c r="CO609" s="12"/>
      <c r="CP609" s="12"/>
      <c r="CQ609" s="46"/>
      <c r="CR609" s="46"/>
      <c r="CS609" s="46"/>
      <c r="CT609" s="119"/>
      <c r="CU609" s="119"/>
      <c r="CV609" s="119"/>
      <c r="CW609" s="119"/>
      <c r="CX609" s="120"/>
      <c r="CY609" s="120"/>
      <c r="CZ609" s="120"/>
      <c r="DA609" s="120"/>
      <c r="DB609" s="120"/>
      <c r="DC609" s="120"/>
      <c r="DD609" s="120"/>
      <c r="DE609" s="120"/>
      <c r="DF609" s="120"/>
      <c r="DG609" s="2"/>
      <c r="DH609" s="2"/>
      <c r="DI609" s="2"/>
      <c r="DJ609" s="48"/>
      <c r="DK609" s="48"/>
      <c r="DL609" s="48"/>
      <c r="DM609" s="13"/>
      <c r="DN609" s="13"/>
      <c r="DO609" s="12"/>
      <c r="DP609" s="12"/>
      <c r="DQ609" s="12"/>
      <c r="DR609" s="12"/>
      <c r="DS609" s="12"/>
      <c r="DT609" s="2"/>
      <c r="DU609" s="2"/>
      <c r="DV609" s="12"/>
      <c r="DW609" s="12"/>
      <c r="DX609" s="2"/>
      <c r="DY609" s="2"/>
      <c r="DZ609" s="12"/>
      <c r="EA609" s="12"/>
      <c r="EB609" s="12"/>
      <c r="EC609" s="12"/>
      <c r="ED609" s="12"/>
    </row>
    <row r="610" spans="1:134" ht="12.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12"/>
      <c r="AC610" s="12"/>
      <c r="AD610" s="12"/>
      <c r="AE610" s="2"/>
      <c r="AF610" s="2"/>
      <c r="AG610" s="2"/>
      <c r="AH610" s="2"/>
      <c r="AI610" s="2"/>
      <c r="AJ610" s="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2"/>
      <c r="AY610" s="2"/>
      <c r="AZ610" s="2"/>
      <c r="BA610" s="2"/>
      <c r="BB610" s="2"/>
      <c r="BC610" s="2"/>
      <c r="BD610" s="2"/>
      <c r="BE610" s="2"/>
      <c r="BF610" s="12"/>
      <c r="BG610" s="1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152"/>
      <c r="BV610" s="155"/>
      <c r="BW610" s="12"/>
      <c r="BX610" s="12"/>
      <c r="BY610" s="12"/>
      <c r="BZ610" s="12"/>
      <c r="CA610" s="12"/>
      <c r="CB610" s="12"/>
      <c r="CC610" s="12"/>
      <c r="CD610" s="12"/>
      <c r="CE610" s="12"/>
      <c r="CF610" s="12"/>
      <c r="CG610" s="12"/>
      <c r="CH610" s="12"/>
      <c r="CI610" s="12"/>
      <c r="CJ610" s="12"/>
      <c r="CK610" s="12"/>
      <c r="CL610" s="12"/>
      <c r="CM610" s="12"/>
      <c r="CN610" s="12"/>
      <c r="CO610" s="12"/>
      <c r="CP610" s="12"/>
      <c r="CQ610" s="46"/>
      <c r="CR610" s="46"/>
      <c r="CS610" s="46"/>
      <c r="CT610" s="119"/>
      <c r="CU610" s="119"/>
      <c r="CV610" s="119"/>
      <c r="CW610" s="119"/>
      <c r="CX610" s="120"/>
      <c r="CY610" s="120"/>
      <c r="CZ610" s="120"/>
      <c r="DA610" s="120"/>
      <c r="DB610" s="120"/>
      <c r="DC610" s="120"/>
      <c r="DD610" s="120"/>
      <c r="DE610" s="120"/>
      <c r="DF610" s="120"/>
      <c r="DG610" s="2"/>
      <c r="DH610" s="2"/>
      <c r="DI610" s="2"/>
      <c r="DJ610" s="48"/>
      <c r="DK610" s="48"/>
      <c r="DL610" s="48"/>
      <c r="DM610" s="13"/>
      <c r="DN610" s="13"/>
      <c r="DO610" s="12"/>
      <c r="DP610" s="12"/>
      <c r="DQ610" s="12"/>
      <c r="DR610" s="12"/>
      <c r="DS610" s="12"/>
      <c r="DT610" s="2"/>
      <c r="DU610" s="2"/>
      <c r="DV610" s="12"/>
      <c r="DW610" s="12"/>
      <c r="DX610" s="2"/>
      <c r="DY610" s="2"/>
      <c r="DZ610" s="12"/>
      <c r="EA610" s="12"/>
      <c r="EB610" s="12"/>
      <c r="EC610" s="12"/>
      <c r="ED610" s="12"/>
    </row>
    <row r="611" spans="1:134" ht="12.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12"/>
      <c r="AC611" s="12"/>
      <c r="AD611" s="12"/>
      <c r="AE611" s="2"/>
      <c r="AF611" s="2"/>
      <c r="AG611" s="2"/>
      <c r="AH611" s="2"/>
      <c r="AI611" s="2"/>
      <c r="AJ611" s="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2"/>
      <c r="AY611" s="2"/>
      <c r="AZ611" s="2"/>
      <c r="BA611" s="2"/>
      <c r="BB611" s="2"/>
      <c r="BC611" s="2"/>
      <c r="BD611" s="2"/>
      <c r="BE611" s="2"/>
      <c r="BF611" s="12"/>
      <c r="BG611" s="1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152"/>
      <c r="BV611" s="155"/>
      <c r="BW611" s="12"/>
      <c r="BX611" s="12"/>
      <c r="BY611" s="12"/>
      <c r="BZ611" s="12"/>
      <c r="CA611" s="12"/>
      <c r="CB611" s="12"/>
      <c r="CC611" s="12"/>
      <c r="CD611" s="12"/>
      <c r="CE611" s="12"/>
      <c r="CF611" s="12"/>
      <c r="CG611" s="12"/>
      <c r="CH611" s="12"/>
      <c r="CI611" s="12"/>
      <c r="CJ611" s="12"/>
      <c r="CK611" s="12"/>
      <c r="CL611" s="12"/>
      <c r="CM611" s="12"/>
      <c r="CN611" s="12"/>
      <c r="CO611" s="12"/>
      <c r="CP611" s="12"/>
      <c r="CQ611" s="46"/>
      <c r="CR611" s="46"/>
      <c r="CS611" s="46"/>
      <c r="CT611" s="119"/>
      <c r="CU611" s="119"/>
      <c r="CV611" s="119"/>
      <c r="CW611" s="119"/>
      <c r="CX611" s="120"/>
      <c r="CY611" s="120"/>
      <c r="CZ611" s="120"/>
      <c r="DA611" s="120"/>
      <c r="DB611" s="120"/>
      <c r="DC611" s="120"/>
      <c r="DD611" s="120"/>
      <c r="DE611" s="120"/>
      <c r="DF611" s="120"/>
      <c r="DG611" s="2"/>
      <c r="DH611" s="2"/>
      <c r="DI611" s="2"/>
      <c r="DJ611" s="48"/>
      <c r="DK611" s="48"/>
      <c r="DL611" s="48"/>
      <c r="DM611" s="13"/>
      <c r="DN611" s="13"/>
      <c r="DO611" s="12"/>
      <c r="DP611" s="12"/>
      <c r="DQ611" s="12"/>
      <c r="DR611" s="12"/>
      <c r="DS611" s="12"/>
      <c r="DT611" s="2"/>
      <c r="DU611" s="2"/>
      <c r="DV611" s="12"/>
      <c r="DW611" s="12"/>
      <c r="DX611" s="2"/>
      <c r="DY611" s="2"/>
      <c r="DZ611" s="12"/>
      <c r="EA611" s="12"/>
      <c r="EB611" s="12"/>
      <c r="EC611" s="12"/>
      <c r="ED611" s="12"/>
    </row>
    <row r="612" spans="1:134" ht="12.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12"/>
      <c r="AC612" s="12"/>
      <c r="AD612" s="12"/>
      <c r="AE612" s="2"/>
      <c r="AF612" s="2"/>
      <c r="AG612" s="2"/>
      <c r="AH612" s="2"/>
      <c r="AI612" s="2"/>
      <c r="AJ612" s="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2"/>
      <c r="AY612" s="2"/>
      <c r="AZ612" s="2"/>
      <c r="BA612" s="2"/>
      <c r="BB612" s="2"/>
      <c r="BC612" s="2"/>
      <c r="BD612" s="2"/>
      <c r="BE612" s="2"/>
      <c r="BF612" s="12"/>
      <c r="BG612" s="1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152"/>
      <c r="BV612" s="155"/>
      <c r="BW612" s="12"/>
      <c r="BX612" s="12"/>
      <c r="BY612" s="12"/>
      <c r="BZ612" s="12"/>
      <c r="CA612" s="12"/>
      <c r="CB612" s="12"/>
      <c r="CC612" s="12"/>
      <c r="CD612" s="12"/>
      <c r="CE612" s="12"/>
      <c r="CF612" s="12"/>
      <c r="CG612" s="12"/>
      <c r="CH612" s="12"/>
      <c r="CI612" s="12"/>
      <c r="CJ612" s="12"/>
      <c r="CK612" s="12"/>
      <c r="CL612" s="12"/>
      <c r="CM612" s="12"/>
      <c r="CN612" s="12"/>
      <c r="CO612" s="12"/>
      <c r="CP612" s="12"/>
      <c r="CQ612" s="46"/>
      <c r="CR612" s="46"/>
      <c r="CS612" s="46"/>
      <c r="CT612" s="119"/>
      <c r="CU612" s="119"/>
      <c r="CV612" s="119"/>
      <c r="CW612" s="119"/>
      <c r="CX612" s="120"/>
      <c r="CY612" s="120"/>
      <c r="CZ612" s="120"/>
      <c r="DA612" s="120"/>
      <c r="DB612" s="120"/>
      <c r="DC612" s="120"/>
      <c r="DD612" s="120"/>
      <c r="DE612" s="120"/>
      <c r="DF612" s="120"/>
      <c r="DG612" s="2"/>
      <c r="DH612" s="2"/>
      <c r="DI612" s="2"/>
      <c r="DJ612" s="48"/>
      <c r="DK612" s="48"/>
      <c r="DL612" s="48"/>
      <c r="DM612" s="13"/>
      <c r="DN612" s="13"/>
      <c r="DO612" s="12"/>
      <c r="DP612" s="12"/>
      <c r="DQ612" s="12"/>
      <c r="DR612" s="12"/>
      <c r="DS612" s="12"/>
      <c r="DT612" s="2"/>
      <c r="DU612" s="2"/>
      <c r="DV612" s="12"/>
      <c r="DW612" s="12"/>
      <c r="DX612" s="2"/>
      <c r="DY612" s="2"/>
      <c r="DZ612" s="12"/>
      <c r="EA612" s="12"/>
      <c r="EB612" s="12"/>
      <c r="EC612" s="12"/>
      <c r="ED612" s="12"/>
    </row>
    <row r="613" spans="1:134" ht="12.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12"/>
      <c r="AC613" s="12"/>
      <c r="AD613" s="12"/>
      <c r="AE613" s="2"/>
      <c r="AF613" s="2"/>
      <c r="AG613" s="2"/>
      <c r="AH613" s="2"/>
      <c r="AI613" s="2"/>
      <c r="AJ613" s="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2"/>
      <c r="AY613" s="2"/>
      <c r="AZ613" s="2"/>
      <c r="BA613" s="2"/>
      <c r="BB613" s="2"/>
      <c r="BC613" s="2"/>
      <c r="BD613" s="2"/>
      <c r="BE613" s="2"/>
      <c r="BF613" s="12"/>
      <c r="BG613" s="1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152"/>
      <c r="BV613" s="155"/>
      <c r="BW613" s="12"/>
      <c r="BX613" s="12"/>
      <c r="BY613" s="12"/>
      <c r="BZ613" s="12"/>
      <c r="CA613" s="12"/>
      <c r="CB613" s="12"/>
      <c r="CC613" s="12"/>
      <c r="CD613" s="12"/>
      <c r="CE613" s="12"/>
      <c r="CF613" s="12"/>
      <c r="CG613" s="12"/>
      <c r="CH613" s="12"/>
      <c r="CI613" s="12"/>
      <c r="CJ613" s="12"/>
      <c r="CK613" s="12"/>
      <c r="CL613" s="12"/>
      <c r="CM613" s="12"/>
      <c r="CN613" s="12"/>
      <c r="CO613" s="12"/>
      <c r="CP613" s="12"/>
      <c r="CQ613" s="46"/>
      <c r="CR613" s="46"/>
      <c r="CS613" s="46"/>
      <c r="CT613" s="119"/>
      <c r="CU613" s="119"/>
      <c r="CV613" s="119"/>
      <c r="CW613" s="119"/>
      <c r="CX613" s="120"/>
      <c r="CY613" s="120"/>
      <c r="CZ613" s="120"/>
      <c r="DA613" s="120"/>
      <c r="DB613" s="120"/>
      <c r="DC613" s="120"/>
      <c r="DD613" s="120"/>
      <c r="DE613" s="120"/>
      <c r="DF613" s="120"/>
      <c r="DG613" s="2"/>
      <c r="DH613" s="2"/>
      <c r="DI613" s="2"/>
      <c r="DJ613" s="48"/>
      <c r="DK613" s="48"/>
      <c r="DL613" s="48"/>
      <c r="DM613" s="13"/>
      <c r="DN613" s="13"/>
      <c r="DO613" s="12"/>
      <c r="DP613" s="12"/>
      <c r="DQ613" s="12"/>
      <c r="DR613" s="12"/>
      <c r="DS613" s="12"/>
      <c r="DT613" s="2"/>
      <c r="DU613" s="2"/>
      <c r="DV613" s="12"/>
      <c r="DW613" s="12"/>
      <c r="DX613" s="2"/>
      <c r="DY613" s="2"/>
      <c r="DZ613" s="12"/>
      <c r="EA613" s="12"/>
      <c r="EB613" s="12"/>
      <c r="EC613" s="12"/>
      <c r="ED613" s="12"/>
    </row>
    <row r="614" spans="1:134" ht="12.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12"/>
      <c r="AC614" s="12"/>
      <c r="AD614" s="12"/>
      <c r="AE614" s="2"/>
      <c r="AF614" s="2"/>
      <c r="AG614" s="2"/>
      <c r="AH614" s="2"/>
      <c r="AI614" s="2"/>
      <c r="AJ614" s="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2"/>
      <c r="AY614" s="2"/>
      <c r="AZ614" s="2"/>
      <c r="BA614" s="2"/>
      <c r="BB614" s="2"/>
      <c r="BC614" s="2"/>
      <c r="BD614" s="2"/>
      <c r="BE614" s="2"/>
      <c r="BF614" s="12"/>
      <c r="BG614" s="1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152"/>
      <c r="BV614" s="155"/>
      <c r="BW614" s="12"/>
      <c r="BX614" s="12"/>
      <c r="BY614" s="12"/>
      <c r="BZ614" s="12"/>
      <c r="CA614" s="12"/>
      <c r="CB614" s="12"/>
      <c r="CC614" s="12"/>
      <c r="CD614" s="12"/>
      <c r="CE614" s="12"/>
      <c r="CF614" s="12"/>
      <c r="CG614" s="12"/>
      <c r="CH614" s="12"/>
      <c r="CI614" s="12"/>
      <c r="CJ614" s="12"/>
      <c r="CK614" s="12"/>
      <c r="CL614" s="12"/>
      <c r="CM614" s="12"/>
      <c r="CN614" s="12"/>
      <c r="CO614" s="12"/>
      <c r="CP614" s="12"/>
      <c r="CQ614" s="46"/>
      <c r="CR614" s="46"/>
      <c r="CS614" s="46"/>
      <c r="CT614" s="119"/>
      <c r="CU614" s="119"/>
      <c r="CV614" s="119"/>
      <c r="CW614" s="119"/>
      <c r="CX614" s="120"/>
      <c r="CY614" s="120"/>
      <c r="CZ614" s="120"/>
      <c r="DA614" s="120"/>
      <c r="DB614" s="120"/>
      <c r="DC614" s="120"/>
      <c r="DD614" s="120"/>
      <c r="DE614" s="120"/>
      <c r="DF614" s="120"/>
      <c r="DG614" s="2"/>
      <c r="DH614" s="2"/>
      <c r="DI614" s="2"/>
      <c r="DJ614" s="48"/>
      <c r="DK614" s="48"/>
      <c r="DL614" s="48"/>
      <c r="DM614" s="13"/>
      <c r="DN614" s="13"/>
      <c r="DO614" s="12"/>
      <c r="DP614" s="12"/>
      <c r="DQ614" s="12"/>
      <c r="DR614" s="12"/>
      <c r="DS614" s="12"/>
      <c r="DT614" s="2"/>
      <c r="DU614" s="2"/>
      <c r="DV614" s="12"/>
      <c r="DW614" s="12"/>
      <c r="DX614" s="2"/>
      <c r="DY614" s="2"/>
      <c r="DZ614" s="12"/>
      <c r="EA614" s="12"/>
      <c r="EB614" s="12"/>
      <c r="EC614" s="12"/>
      <c r="ED614" s="12"/>
    </row>
    <row r="615" spans="1:134" ht="12.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12"/>
      <c r="AC615" s="12"/>
      <c r="AD615" s="12"/>
      <c r="AE615" s="2"/>
      <c r="AF615" s="2"/>
      <c r="AG615" s="2"/>
      <c r="AH615" s="2"/>
      <c r="AI615" s="2"/>
      <c r="AJ615" s="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2"/>
      <c r="AY615" s="2"/>
      <c r="AZ615" s="2"/>
      <c r="BA615" s="2"/>
      <c r="BB615" s="2"/>
      <c r="BC615" s="2"/>
      <c r="BD615" s="2"/>
      <c r="BE615" s="2"/>
      <c r="BF615" s="12"/>
      <c r="BG615" s="1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152"/>
      <c r="BV615" s="155"/>
      <c r="BW615" s="12"/>
      <c r="BX615" s="12"/>
      <c r="BY615" s="12"/>
      <c r="BZ615" s="12"/>
      <c r="CA615" s="12"/>
      <c r="CB615" s="12"/>
      <c r="CC615" s="12"/>
      <c r="CD615" s="12"/>
      <c r="CE615" s="12"/>
      <c r="CF615" s="12"/>
      <c r="CG615" s="12"/>
      <c r="CH615" s="12"/>
      <c r="CI615" s="12"/>
      <c r="CJ615" s="12"/>
      <c r="CK615" s="12"/>
      <c r="CL615" s="12"/>
      <c r="CM615" s="12"/>
      <c r="CN615" s="12"/>
      <c r="CO615" s="12"/>
      <c r="CP615" s="12"/>
      <c r="CQ615" s="46"/>
      <c r="CR615" s="46"/>
      <c r="CS615" s="46"/>
      <c r="CT615" s="119"/>
      <c r="CU615" s="119"/>
      <c r="CV615" s="119"/>
      <c r="CW615" s="119"/>
      <c r="CX615" s="120"/>
      <c r="CY615" s="120"/>
      <c r="CZ615" s="120"/>
      <c r="DA615" s="120"/>
      <c r="DB615" s="120"/>
      <c r="DC615" s="120"/>
      <c r="DD615" s="120"/>
      <c r="DE615" s="120"/>
      <c r="DF615" s="120"/>
      <c r="DG615" s="2"/>
      <c r="DH615" s="2"/>
      <c r="DI615" s="2"/>
      <c r="DJ615" s="48"/>
      <c r="DK615" s="48"/>
      <c r="DL615" s="48"/>
      <c r="DM615" s="13"/>
      <c r="DN615" s="13"/>
      <c r="DO615" s="12"/>
      <c r="DP615" s="12"/>
      <c r="DQ615" s="12"/>
      <c r="DR615" s="12"/>
      <c r="DS615" s="12"/>
      <c r="DT615" s="2"/>
      <c r="DU615" s="2"/>
      <c r="DV615" s="12"/>
      <c r="DW615" s="12"/>
      <c r="DX615" s="2"/>
      <c r="DY615" s="2"/>
      <c r="DZ615" s="12"/>
      <c r="EA615" s="12"/>
      <c r="EB615" s="12"/>
      <c r="EC615" s="12"/>
      <c r="ED615" s="12"/>
    </row>
    <row r="616" spans="1:134" ht="12.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12"/>
      <c r="AC616" s="12"/>
      <c r="AD616" s="12"/>
      <c r="AE616" s="2"/>
      <c r="AF616" s="2"/>
      <c r="AG616" s="2"/>
      <c r="AH616" s="2"/>
      <c r="AI616" s="2"/>
      <c r="AJ616" s="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2"/>
      <c r="AY616" s="2"/>
      <c r="AZ616" s="2"/>
      <c r="BA616" s="2"/>
      <c r="BB616" s="2"/>
      <c r="BC616" s="2"/>
      <c r="BD616" s="2"/>
      <c r="BE616" s="2"/>
      <c r="BF616" s="12"/>
      <c r="BG616" s="1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152"/>
      <c r="BV616" s="155"/>
      <c r="BW616" s="12"/>
      <c r="BX616" s="12"/>
      <c r="BY616" s="12"/>
      <c r="BZ616" s="12"/>
      <c r="CA616" s="12"/>
      <c r="CB616" s="12"/>
      <c r="CC616" s="12"/>
      <c r="CD616" s="12"/>
      <c r="CE616" s="12"/>
      <c r="CF616" s="12"/>
      <c r="CG616" s="12"/>
      <c r="CH616" s="12"/>
      <c r="CI616" s="12"/>
      <c r="CJ616" s="12"/>
      <c r="CK616" s="12"/>
      <c r="CL616" s="12"/>
      <c r="CM616" s="12"/>
      <c r="CN616" s="12"/>
      <c r="CO616" s="12"/>
      <c r="CP616" s="12"/>
      <c r="CQ616" s="46"/>
      <c r="CR616" s="46"/>
      <c r="CS616" s="46"/>
      <c r="CT616" s="119"/>
      <c r="CU616" s="119"/>
      <c r="CV616" s="119"/>
      <c r="CW616" s="119"/>
      <c r="CX616" s="120"/>
      <c r="CY616" s="120"/>
      <c r="CZ616" s="120"/>
      <c r="DA616" s="120"/>
      <c r="DB616" s="120"/>
      <c r="DC616" s="120"/>
      <c r="DD616" s="120"/>
      <c r="DE616" s="120"/>
      <c r="DF616" s="120"/>
      <c r="DG616" s="2"/>
      <c r="DH616" s="2"/>
      <c r="DI616" s="2"/>
      <c r="DJ616" s="48"/>
      <c r="DK616" s="48"/>
      <c r="DL616" s="48"/>
      <c r="DM616" s="13"/>
      <c r="DN616" s="13"/>
      <c r="DO616" s="12"/>
      <c r="DP616" s="12"/>
      <c r="DQ616" s="12"/>
      <c r="DR616" s="12"/>
      <c r="DS616" s="12"/>
      <c r="DT616" s="2"/>
      <c r="DU616" s="2"/>
      <c r="DV616" s="12"/>
      <c r="DW616" s="12"/>
      <c r="DX616" s="2"/>
      <c r="DY616" s="2"/>
      <c r="DZ616" s="12"/>
      <c r="EA616" s="12"/>
      <c r="EB616" s="12"/>
      <c r="EC616" s="12"/>
      <c r="ED616" s="12"/>
    </row>
    <row r="617" spans="1:134" ht="12.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12"/>
      <c r="AC617" s="12"/>
      <c r="AD617" s="12"/>
      <c r="AE617" s="2"/>
      <c r="AF617" s="2"/>
      <c r="AG617" s="2"/>
      <c r="AH617" s="2"/>
      <c r="AI617" s="2"/>
      <c r="AJ617" s="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2"/>
      <c r="AY617" s="2"/>
      <c r="AZ617" s="2"/>
      <c r="BA617" s="2"/>
      <c r="BB617" s="2"/>
      <c r="BC617" s="2"/>
      <c r="BD617" s="2"/>
      <c r="BE617" s="2"/>
      <c r="BF617" s="12"/>
      <c r="BG617" s="1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152"/>
      <c r="BV617" s="155"/>
      <c r="BW617" s="12"/>
      <c r="BX617" s="12"/>
      <c r="BY617" s="12"/>
      <c r="BZ617" s="12"/>
      <c r="CA617" s="12"/>
      <c r="CB617" s="12"/>
      <c r="CC617" s="12"/>
      <c r="CD617" s="12"/>
      <c r="CE617" s="12"/>
      <c r="CF617" s="12"/>
      <c r="CG617" s="12"/>
      <c r="CH617" s="12"/>
      <c r="CI617" s="12"/>
      <c r="CJ617" s="12"/>
      <c r="CK617" s="12"/>
      <c r="CL617" s="12"/>
      <c r="CM617" s="12"/>
      <c r="CN617" s="12"/>
      <c r="CO617" s="12"/>
      <c r="CP617" s="12"/>
      <c r="CQ617" s="46"/>
      <c r="CR617" s="46"/>
      <c r="CS617" s="46"/>
      <c r="CT617" s="119"/>
      <c r="CU617" s="119"/>
      <c r="CV617" s="119"/>
      <c r="CW617" s="119"/>
      <c r="CX617" s="120"/>
      <c r="CY617" s="120"/>
      <c r="CZ617" s="120"/>
      <c r="DA617" s="120"/>
      <c r="DB617" s="120"/>
      <c r="DC617" s="120"/>
      <c r="DD617" s="120"/>
      <c r="DE617" s="120"/>
      <c r="DF617" s="120"/>
      <c r="DG617" s="2"/>
      <c r="DH617" s="2"/>
      <c r="DI617" s="2"/>
      <c r="DJ617" s="48"/>
      <c r="DK617" s="48"/>
      <c r="DL617" s="48"/>
      <c r="DM617" s="13"/>
      <c r="DN617" s="13"/>
      <c r="DO617" s="12"/>
      <c r="DP617" s="12"/>
      <c r="DQ617" s="12"/>
      <c r="DR617" s="12"/>
      <c r="DS617" s="12"/>
      <c r="DT617" s="2"/>
      <c r="DU617" s="2"/>
      <c r="DV617" s="12"/>
      <c r="DW617" s="12"/>
      <c r="DX617" s="2"/>
      <c r="DY617" s="2"/>
      <c r="DZ617" s="12"/>
      <c r="EA617" s="12"/>
      <c r="EB617" s="12"/>
      <c r="EC617" s="12"/>
      <c r="ED617" s="12"/>
    </row>
    <row r="618" spans="1:134" ht="12.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12"/>
      <c r="AC618" s="12"/>
      <c r="AD618" s="12"/>
      <c r="AE618" s="2"/>
      <c r="AF618" s="2"/>
      <c r="AG618" s="2"/>
      <c r="AH618" s="2"/>
      <c r="AI618" s="2"/>
      <c r="AJ618" s="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2"/>
      <c r="AY618" s="2"/>
      <c r="AZ618" s="2"/>
      <c r="BA618" s="2"/>
      <c r="BB618" s="2"/>
      <c r="BC618" s="2"/>
      <c r="BD618" s="2"/>
      <c r="BE618" s="2"/>
      <c r="BF618" s="12"/>
      <c r="BG618" s="1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152"/>
      <c r="BV618" s="155"/>
      <c r="BW618" s="12"/>
      <c r="BX618" s="12"/>
      <c r="BY618" s="12"/>
      <c r="BZ618" s="12"/>
      <c r="CA618" s="12"/>
      <c r="CB618" s="12"/>
      <c r="CC618" s="12"/>
      <c r="CD618" s="12"/>
      <c r="CE618" s="12"/>
      <c r="CF618" s="12"/>
      <c r="CG618" s="12"/>
      <c r="CH618" s="12"/>
      <c r="CI618" s="12"/>
      <c r="CJ618" s="12"/>
      <c r="CK618" s="12"/>
      <c r="CL618" s="12"/>
      <c r="CM618" s="12"/>
      <c r="CN618" s="12"/>
      <c r="CO618" s="12"/>
      <c r="CP618" s="12"/>
      <c r="CQ618" s="46"/>
      <c r="CR618" s="46"/>
      <c r="CS618" s="46"/>
      <c r="CT618" s="119"/>
      <c r="CU618" s="119"/>
      <c r="CV618" s="119"/>
      <c r="CW618" s="119"/>
      <c r="CX618" s="120"/>
      <c r="CY618" s="120"/>
      <c r="CZ618" s="120"/>
      <c r="DA618" s="120"/>
      <c r="DB618" s="120"/>
      <c r="DC618" s="120"/>
      <c r="DD618" s="120"/>
      <c r="DE618" s="120"/>
      <c r="DF618" s="120"/>
      <c r="DG618" s="2"/>
      <c r="DH618" s="2"/>
      <c r="DI618" s="2"/>
      <c r="DJ618" s="48"/>
      <c r="DK618" s="48"/>
      <c r="DL618" s="48"/>
      <c r="DM618" s="13"/>
      <c r="DN618" s="13"/>
      <c r="DO618" s="12"/>
      <c r="DP618" s="12"/>
      <c r="DQ618" s="12"/>
      <c r="DR618" s="12"/>
      <c r="DS618" s="12"/>
      <c r="DT618" s="2"/>
      <c r="DU618" s="2"/>
      <c r="DV618" s="12"/>
      <c r="DW618" s="12"/>
      <c r="DX618" s="2"/>
      <c r="DY618" s="2"/>
      <c r="DZ618" s="12"/>
      <c r="EA618" s="12"/>
      <c r="EB618" s="12"/>
      <c r="EC618" s="12"/>
      <c r="ED618" s="12"/>
    </row>
    <row r="619" spans="1:134" ht="12.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12"/>
      <c r="AC619" s="12"/>
      <c r="AD619" s="12"/>
      <c r="AE619" s="2"/>
      <c r="AF619" s="2"/>
      <c r="AG619" s="2"/>
      <c r="AH619" s="2"/>
      <c r="AI619" s="2"/>
      <c r="AJ619" s="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2"/>
      <c r="AY619" s="2"/>
      <c r="AZ619" s="2"/>
      <c r="BA619" s="2"/>
      <c r="BB619" s="2"/>
      <c r="BC619" s="2"/>
      <c r="BD619" s="2"/>
      <c r="BE619" s="2"/>
      <c r="BF619" s="12"/>
      <c r="BG619" s="1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152"/>
      <c r="BV619" s="155"/>
      <c r="BW619" s="12"/>
      <c r="BX619" s="12"/>
      <c r="BY619" s="12"/>
      <c r="BZ619" s="12"/>
      <c r="CA619" s="12"/>
      <c r="CB619" s="12"/>
      <c r="CC619" s="12"/>
      <c r="CD619" s="12"/>
      <c r="CE619" s="12"/>
      <c r="CF619" s="12"/>
      <c r="CG619" s="12"/>
      <c r="CH619" s="12"/>
      <c r="CI619" s="12"/>
      <c r="CJ619" s="12"/>
      <c r="CK619" s="12"/>
      <c r="CL619" s="12"/>
      <c r="CM619" s="12"/>
      <c r="CN619" s="12"/>
      <c r="CO619" s="12"/>
      <c r="CP619" s="12"/>
      <c r="CQ619" s="46"/>
      <c r="CR619" s="46"/>
      <c r="CS619" s="46"/>
      <c r="CT619" s="119"/>
      <c r="CU619" s="119"/>
      <c r="CV619" s="119"/>
      <c r="CW619" s="119"/>
      <c r="CX619" s="120"/>
      <c r="CY619" s="120"/>
      <c r="CZ619" s="120"/>
      <c r="DA619" s="120"/>
      <c r="DB619" s="120"/>
      <c r="DC619" s="120"/>
      <c r="DD619" s="120"/>
      <c r="DE619" s="120"/>
      <c r="DF619" s="120"/>
      <c r="DG619" s="2"/>
      <c r="DH619" s="2"/>
      <c r="DI619" s="2"/>
      <c r="DJ619" s="48"/>
      <c r="DK619" s="48"/>
      <c r="DL619" s="48"/>
      <c r="DM619" s="13"/>
      <c r="DN619" s="13"/>
      <c r="DO619" s="12"/>
      <c r="DP619" s="12"/>
      <c r="DQ619" s="12"/>
      <c r="DR619" s="12"/>
      <c r="DS619" s="12"/>
      <c r="DT619" s="2"/>
      <c r="DU619" s="2"/>
      <c r="DV619" s="12"/>
      <c r="DW619" s="12"/>
      <c r="DX619" s="2"/>
      <c r="DY619" s="2"/>
      <c r="DZ619" s="12"/>
      <c r="EA619" s="12"/>
      <c r="EB619" s="12"/>
      <c r="EC619" s="12"/>
      <c r="ED619" s="12"/>
    </row>
    <row r="620" spans="1:134" ht="12.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12"/>
      <c r="AC620" s="12"/>
      <c r="AD620" s="12"/>
      <c r="AE620" s="2"/>
      <c r="AF620" s="2"/>
      <c r="AG620" s="2"/>
      <c r="AH620" s="2"/>
      <c r="AI620" s="2"/>
      <c r="AJ620" s="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2"/>
      <c r="AY620" s="2"/>
      <c r="AZ620" s="2"/>
      <c r="BA620" s="2"/>
      <c r="BB620" s="2"/>
      <c r="BC620" s="2"/>
      <c r="BD620" s="2"/>
      <c r="BE620" s="2"/>
      <c r="BF620" s="12"/>
      <c r="BG620" s="1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152"/>
      <c r="BV620" s="155"/>
      <c r="BW620" s="12"/>
      <c r="BX620" s="12"/>
      <c r="BY620" s="12"/>
      <c r="BZ620" s="12"/>
      <c r="CA620" s="12"/>
      <c r="CB620" s="12"/>
      <c r="CC620" s="12"/>
      <c r="CD620" s="12"/>
      <c r="CE620" s="12"/>
      <c r="CF620" s="12"/>
      <c r="CG620" s="12"/>
      <c r="CH620" s="12"/>
      <c r="CI620" s="12"/>
      <c r="CJ620" s="12"/>
      <c r="CK620" s="12"/>
      <c r="CL620" s="12"/>
      <c r="CM620" s="12"/>
      <c r="CN620" s="12"/>
      <c r="CO620" s="12"/>
      <c r="CP620" s="12"/>
      <c r="CQ620" s="46"/>
      <c r="CR620" s="46"/>
      <c r="CS620" s="46"/>
      <c r="CT620" s="119"/>
      <c r="CU620" s="119"/>
      <c r="CV620" s="119"/>
      <c r="CW620" s="119"/>
      <c r="CX620" s="120"/>
      <c r="CY620" s="120"/>
      <c r="CZ620" s="120"/>
      <c r="DA620" s="120"/>
      <c r="DB620" s="120"/>
      <c r="DC620" s="120"/>
      <c r="DD620" s="120"/>
      <c r="DE620" s="120"/>
      <c r="DF620" s="120"/>
      <c r="DG620" s="2"/>
      <c r="DH620" s="2"/>
      <c r="DI620" s="2"/>
      <c r="DJ620" s="48"/>
      <c r="DK620" s="48"/>
      <c r="DL620" s="48"/>
      <c r="DM620" s="13"/>
      <c r="DN620" s="13"/>
      <c r="DO620" s="12"/>
      <c r="DP620" s="12"/>
      <c r="DQ620" s="12"/>
      <c r="DR620" s="12"/>
      <c r="DS620" s="12"/>
      <c r="DT620" s="2"/>
      <c r="DU620" s="2"/>
      <c r="DV620" s="12"/>
      <c r="DW620" s="12"/>
      <c r="DX620" s="2"/>
      <c r="DY620" s="2"/>
      <c r="DZ620" s="12"/>
      <c r="EA620" s="12"/>
      <c r="EB620" s="12"/>
      <c r="EC620" s="12"/>
      <c r="ED620" s="12"/>
    </row>
    <row r="621" spans="1:134" ht="12.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12"/>
      <c r="AC621" s="12"/>
      <c r="AD621" s="12"/>
      <c r="AE621" s="2"/>
      <c r="AF621" s="2"/>
      <c r="AG621" s="2"/>
      <c r="AH621" s="2"/>
      <c r="AI621" s="2"/>
      <c r="AJ621" s="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2"/>
      <c r="AY621" s="2"/>
      <c r="AZ621" s="2"/>
      <c r="BA621" s="2"/>
      <c r="BB621" s="2"/>
      <c r="BC621" s="2"/>
      <c r="BD621" s="2"/>
      <c r="BE621" s="2"/>
      <c r="BF621" s="12"/>
      <c r="BG621" s="1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152"/>
      <c r="BV621" s="155"/>
      <c r="BW621" s="12"/>
      <c r="BX621" s="12"/>
      <c r="BY621" s="12"/>
      <c r="BZ621" s="12"/>
      <c r="CA621" s="12"/>
      <c r="CB621" s="12"/>
      <c r="CC621" s="12"/>
      <c r="CD621" s="12"/>
      <c r="CE621" s="12"/>
      <c r="CF621" s="12"/>
      <c r="CG621" s="12"/>
      <c r="CH621" s="12"/>
      <c r="CI621" s="12"/>
      <c r="CJ621" s="12"/>
      <c r="CK621" s="12"/>
      <c r="CL621" s="12"/>
      <c r="CM621" s="12"/>
      <c r="CN621" s="12"/>
      <c r="CO621" s="12"/>
      <c r="CP621" s="12"/>
      <c r="CQ621" s="46"/>
      <c r="CR621" s="46"/>
      <c r="CS621" s="46"/>
      <c r="CT621" s="119"/>
      <c r="CU621" s="119"/>
      <c r="CV621" s="119"/>
      <c r="CW621" s="119"/>
      <c r="CX621" s="120"/>
      <c r="CY621" s="120"/>
      <c r="CZ621" s="120"/>
      <c r="DA621" s="120"/>
      <c r="DB621" s="120"/>
      <c r="DC621" s="120"/>
      <c r="DD621" s="120"/>
      <c r="DE621" s="120"/>
      <c r="DF621" s="120"/>
      <c r="DG621" s="2"/>
      <c r="DH621" s="2"/>
      <c r="DI621" s="2"/>
      <c r="DJ621" s="48"/>
      <c r="DK621" s="48"/>
      <c r="DL621" s="48"/>
      <c r="DM621" s="13"/>
      <c r="DN621" s="13"/>
      <c r="DO621" s="12"/>
      <c r="DP621" s="12"/>
      <c r="DQ621" s="12"/>
      <c r="DR621" s="12"/>
      <c r="DS621" s="12"/>
      <c r="DT621" s="2"/>
      <c r="DU621" s="2"/>
      <c r="DV621" s="12"/>
      <c r="DW621" s="12"/>
      <c r="DX621" s="2"/>
      <c r="DY621" s="2"/>
      <c r="DZ621" s="12"/>
      <c r="EA621" s="12"/>
      <c r="EB621" s="12"/>
      <c r="EC621" s="12"/>
      <c r="ED621" s="12"/>
    </row>
    <row r="622" spans="1:134" ht="12.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12"/>
      <c r="AC622" s="12"/>
      <c r="AD622" s="12"/>
      <c r="AE622" s="2"/>
      <c r="AF622" s="2"/>
      <c r="AG622" s="2"/>
      <c r="AH622" s="2"/>
      <c r="AI622" s="2"/>
      <c r="AJ622" s="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2"/>
      <c r="AY622" s="2"/>
      <c r="AZ622" s="2"/>
      <c r="BA622" s="2"/>
      <c r="BB622" s="2"/>
      <c r="BC622" s="2"/>
      <c r="BD622" s="2"/>
      <c r="BE622" s="2"/>
      <c r="BF622" s="12"/>
      <c r="BG622" s="1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152"/>
      <c r="BV622" s="155"/>
      <c r="BW622" s="12"/>
      <c r="BX622" s="12"/>
      <c r="BY622" s="12"/>
      <c r="BZ622" s="12"/>
      <c r="CA622" s="12"/>
      <c r="CB622" s="12"/>
      <c r="CC622" s="12"/>
      <c r="CD622" s="12"/>
      <c r="CE622" s="12"/>
      <c r="CF622" s="12"/>
      <c r="CG622" s="12"/>
      <c r="CH622" s="12"/>
      <c r="CI622" s="12"/>
      <c r="CJ622" s="12"/>
      <c r="CK622" s="12"/>
      <c r="CL622" s="12"/>
      <c r="CM622" s="12"/>
      <c r="CN622" s="12"/>
      <c r="CO622" s="12"/>
      <c r="CP622" s="12"/>
      <c r="CQ622" s="46"/>
      <c r="CR622" s="46"/>
      <c r="CS622" s="46"/>
      <c r="CT622" s="119"/>
      <c r="CU622" s="119"/>
      <c r="CV622" s="119"/>
      <c r="CW622" s="119"/>
      <c r="CX622" s="120"/>
      <c r="CY622" s="120"/>
      <c r="CZ622" s="120"/>
      <c r="DA622" s="120"/>
      <c r="DB622" s="120"/>
      <c r="DC622" s="120"/>
      <c r="DD622" s="120"/>
      <c r="DE622" s="120"/>
      <c r="DF622" s="120"/>
      <c r="DG622" s="2"/>
      <c r="DH622" s="2"/>
      <c r="DI622" s="2"/>
      <c r="DJ622" s="48"/>
      <c r="DK622" s="48"/>
      <c r="DL622" s="48"/>
      <c r="DM622" s="13"/>
      <c r="DN622" s="13"/>
      <c r="DO622" s="12"/>
      <c r="DP622" s="12"/>
      <c r="DQ622" s="12"/>
      <c r="DR622" s="12"/>
      <c r="DS622" s="12"/>
      <c r="DT622" s="2"/>
      <c r="DU622" s="2"/>
      <c r="DV622" s="12"/>
      <c r="DW622" s="12"/>
      <c r="DX622" s="2"/>
      <c r="DY622" s="2"/>
      <c r="DZ622" s="12"/>
      <c r="EA622" s="12"/>
      <c r="EB622" s="12"/>
      <c r="EC622" s="12"/>
      <c r="ED622" s="12"/>
    </row>
    <row r="623" spans="1:134" ht="12.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12"/>
      <c r="AC623" s="12"/>
      <c r="AD623" s="12"/>
      <c r="AE623" s="2"/>
      <c r="AF623" s="2"/>
      <c r="AG623" s="2"/>
      <c r="AH623" s="2"/>
      <c r="AI623" s="2"/>
      <c r="AJ623" s="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2"/>
      <c r="AY623" s="2"/>
      <c r="AZ623" s="2"/>
      <c r="BA623" s="2"/>
      <c r="BB623" s="2"/>
      <c r="BC623" s="2"/>
      <c r="BD623" s="2"/>
      <c r="BE623" s="2"/>
      <c r="BF623" s="12"/>
      <c r="BG623" s="1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152"/>
      <c r="BV623" s="155"/>
      <c r="BW623" s="12"/>
      <c r="BX623" s="12"/>
      <c r="BY623" s="12"/>
      <c r="BZ623" s="12"/>
      <c r="CA623" s="12"/>
      <c r="CB623" s="12"/>
      <c r="CC623" s="12"/>
      <c r="CD623" s="12"/>
      <c r="CE623" s="12"/>
      <c r="CF623" s="12"/>
      <c r="CG623" s="12"/>
      <c r="CH623" s="12"/>
      <c r="CI623" s="12"/>
      <c r="CJ623" s="12"/>
      <c r="CK623" s="12"/>
      <c r="CL623" s="12"/>
      <c r="CM623" s="12"/>
      <c r="CN623" s="12"/>
      <c r="CO623" s="12"/>
      <c r="CP623" s="12"/>
      <c r="CQ623" s="46"/>
      <c r="CR623" s="46"/>
      <c r="CS623" s="46"/>
      <c r="CT623" s="119"/>
      <c r="CU623" s="119"/>
      <c r="CV623" s="119"/>
      <c r="CW623" s="119"/>
      <c r="CX623" s="120"/>
      <c r="CY623" s="120"/>
      <c r="CZ623" s="120"/>
      <c r="DA623" s="120"/>
      <c r="DB623" s="120"/>
      <c r="DC623" s="120"/>
      <c r="DD623" s="120"/>
      <c r="DE623" s="120"/>
      <c r="DF623" s="120"/>
      <c r="DG623" s="2"/>
      <c r="DH623" s="2"/>
      <c r="DI623" s="2"/>
      <c r="DJ623" s="48"/>
      <c r="DK623" s="48"/>
      <c r="DL623" s="48"/>
      <c r="DM623" s="13"/>
      <c r="DN623" s="13"/>
      <c r="DO623" s="12"/>
      <c r="DP623" s="12"/>
      <c r="DQ623" s="12"/>
      <c r="DR623" s="12"/>
      <c r="DS623" s="12"/>
      <c r="DT623" s="2"/>
      <c r="DU623" s="2"/>
      <c r="DV623" s="12"/>
      <c r="DW623" s="12"/>
      <c r="DX623" s="2"/>
      <c r="DY623" s="2"/>
      <c r="DZ623" s="12"/>
      <c r="EA623" s="12"/>
      <c r="EB623" s="12"/>
      <c r="EC623" s="12"/>
      <c r="ED623" s="12"/>
    </row>
    <row r="624" spans="1:134" ht="12.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12"/>
      <c r="AC624" s="12"/>
      <c r="AD624" s="12"/>
      <c r="AE624" s="2"/>
      <c r="AF624" s="2"/>
      <c r="AG624" s="2"/>
      <c r="AH624" s="2"/>
      <c r="AI624" s="2"/>
      <c r="AJ624" s="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2"/>
      <c r="AY624" s="2"/>
      <c r="AZ624" s="2"/>
      <c r="BA624" s="2"/>
      <c r="BB624" s="2"/>
      <c r="BC624" s="2"/>
      <c r="BD624" s="2"/>
      <c r="BE624" s="2"/>
      <c r="BF624" s="12"/>
      <c r="BG624" s="1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152"/>
      <c r="BV624" s="155"/>
      <c r="BW624" s="12"/>
      <c r="BX624" s="12"/>
      <c r="BY624" s="12"/>
      <c r="BZ624" s="12"/>
      <c r="CA624" s="12"/>
      <c r="CB624" s="12"/>
      <c r="CC624" s="12"/>
      <c r="CD624" s="12"/>
      <c r="CE624" s="12"/>
      <c r="CF624" s="12"/>
      <c r="CG624" s="12"/>
      <c r="CH624" s="12"/>
      <c r="CI624" s="12"/>
      <c r="CJ624" s="12"/>
      <c r="CK624" s="12"/>
      <c r="CL624" s="12"/>
      <c r="CM624" s="12"/>
      <c r="CN624" s="12"/>
      <c r="CO624" s="12"/>
      <c r="CP624" s="12"/>
      <c r="CQ624" s="46"/>
      <c r="CR624" s="46"/>
      <c r="CS624" s="46"/>
      <c r="CT624" s="119"/>
      <c r="CU624" s="119"/>
      <c r="CV624" s="119"/>
      <c r="CW624" s="119"/>
      <c r="CX624" s="120"/>
      <c r="CY624" s="120"/>
      <c r="CZ624" s="120"/>
      <c r="DA624" s="120"/>
      <c r="DB624" s="120"/>
      <c r="DC624" s="120"/>
      <c r="DD624" s="120"/>
      <c r="DE624" s="120"/>
      <c r="DF624" s="120"/>
      <c r="DG624" s="2"/>
      <c r="DH624" s="2"/>
      <c r="DI624" s="2"/>
      <c r="DJ624" s="48"/>
      <c r="DK624" s="48"/>
      <c r="DL624" s="48"/>
      <c r="DM624" s="13"/>
      <c r="DN624" s="13"/>
      <c r="DO624" s="12"/>
      <c r="DP624" s="12"/>
      <c r="DQ624" s="12"/>
      <c r="DR624" s="12"/>
      <c r="DS624" s="12"/>
      <c r="DT624" s="2"/>
      <c r="DU624" s="2"/>
      <c r="DV624" s="12"/>
      <c r="DW624" s="12"/>
      <c r="DX624" s="2"/>
      <c r="DY624" s="2"/>
      <c r="DZ624" s="12"/>
      <c r="EA624" s="12"/>
      <c r="EB624" s="12"/>
      <c r="EC624" s="12"/>
      <c r="ED624" s="12"/>
    </row>
    <row r="625" spans="1:134" ht="12.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12"/>
      <c r="AC625" s="12"/>
      <c r="AD625" s="12"/>
      <c r="AE625" s="2"/>
      <c r="AF625" s="2"/>
      <c r="AG625" s="2"/>
      <c r="AH625" s="2"/>
      <c r="AI625" s="2"/>
      <c r="AJ625" s="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2"/>
      <c r="AY625" s="2"/>
      <c r="AZ625" s="2"/>
      <c r="BA625" s="2"/>
      <c r="BB625" s="2"/>
      <c r="BC625" s="2"/>
      <c r="BD625" s="2"/>
      <c r="BE625" s="2"/>
      <c r="BF625" s="12"/>
      <c r="BG625" s="1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152"/>
      <c r="BV625" s="155"/>
      <c r="BW625" s="12"/>
      <c r="BX625" s="12"/>
      <c r="BY625" s="12"/>
      <c r="BZ625" s="12"/>
      <c r="CA625" s="12"/>
      <c r="CB625" s="12"/>
      <c r="CC625" s="12"/>
      <c r="CD625" s="12"/>
      <c r="CE625" s="12"/>
      <c r="CF625" s="12"/>
      <c r="CG625" s="12"/>
      <c r="CH625" s="12"/>
      <c r="CI625" s="12"/>
      <c r="CJ625" s="12"/>
      <c r="CK625" s="12"/>
      <c r="CL625" s="12"/>
      <c r="CM625" s="12"/>
      <c r="CN625" s="12"/>
      <c r="CO625" s="12"/>
      <c r="CP625" s="12"/>
      <c r="CQ625" s="46"/>
      <c r="CR625" s="46"/>
      <c r="CS625" s="46"/>
      <c r="CT625" s="119"/>
      <c r="CU625" s="119"/>
      <c r="CV625" s="119"/>
      <c r="CW625" s="119"/>
      <c r="CX625" s="120"/>
      <c r="CY625" s="120"/>
      <c r="CZ625" s="120"/>
      <c r="DA625" s="120"/>
      <c r="DB625" s="120"/>
      <c r="DC625" s="120"/>
      <c r="DD625" s="120"/>
      <c r="DE625" s="120"/>
      <c r="DF625" s="120"/>
      <c r="DG625" s="2"/>
      <c r="DH625" s="2"/>
      <c r="DI625" s="2"/>
      <c r="DJ625" s="48"/>
      <c r="DK625" s="48"/>
      <c r="DL625" s="48"/>
      <c r="DM625" s="13"/>
      <c r="DN625" s="13"/>
      <c r="DO625" s="12"/>
      <c r="DP625" s="12"/>
      <c r="DQ625" s="12"/>
      <c r="DR625" s="12"/>
      <c r="DS625" s="12"/>
      <c r="DT625" s="2"/>
      <c r="DU625" s="2"/>
      <c r="DV625" s="12"/>
      <c r="DW625" s="12"/>
      <c r="DX625" s="2"/>
      <c r="DY625" s="2"/>
      <c r="DZ625" s="12"/>
      <c r="EA625" s="12"/>
      <c r="EB625" s="12"/>
      <c r="EC625" s="12"/>
      <c r="ED625" s="12"/>
    </row>
    <row r="626" spans="1:134" ht="12.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12"/>
      <c r="AC626" s="12"/>
      <c r="AD626" s="12"/>
      <c r="AE626" s="2"/>
      <c r="AF626" s="2"/>
      <c r="AG626" s="2"/>
      <c r="AH626" s="2"/>
      <c r="AI626" s="2"/>
      <c r="AJ626" s="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2"/>
      <c r="AY626" s="2"/>
      <c r="AZ626" s="2"/>
      <c r="BA626" s="2"/>
      <c r="BB626" s="2"/>
      <c r="BC626" s="2"/>
      <c r="BD626" s="2"/>
      <c r="BE626" s="2"/>
      <c r="BF626" s="12"/>
      <c r="BG626" s="1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152"/>
      <c r="BV626" s="155"/>
      <c r="BW626" s="12"/>
      <c r="BX626" s="12"/>
      <c r="BY626" s="12"/>
      <c r="BZ626" s="12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46"/>
      <c r="CR626" s="46"/>
      <c r="CS626" s="46"/>
      <c r="CT626" s="119"/>
      <c r="CU626" s="119"/>
      <c r="CV626" s="119"/>
      <c r="CW626" s="119"/>
      <c r="CX626" s="120"/>
      <c r="CY626" s="120"/>
      <c r="CZ626" s="120"/>
      <c r="DA626" s="120"/>
      <c r="DB626" s="120"/>
      <c r="DC626" s="120"/>
      <c r="DD626" s="120"/>
      <c r="DE626" s="120"/>
      <c r="DF626" s="120"/>
      <c r="DG626" s="2"/>
      <c r="DH626" s="2"/>
      <c r="DI626" s="2"/>
      <c r="DJ626" s="48"/>
      <c r="DK626" s="48"/>
      <c r="DL626" s="48"/>
      <c r="DM626" s="13"/>
      <c r="DN626" s="13"/>
      <c r="DO626" s="12"/>
      <c r="DP626" s="12"/>
      <c r="DQ626" s="12"/>
      <c r="DR626" s="12"/>
      <c r="DS626" s="12"/>
      <c r="DT626" s="2"/>
      <c r="DU626" s="2"/>
      <c r="DV626" s="12"/>
      <c r="DW626" s="12"/>
      <c r="DX626" s="2"/>
      <c r="DY626" s="2"/>
      <c r="DZ626" s="12"/>
      <c r="EA626" s="12"/>
      <c r="EB626" s="12"/>
      <c r="EC626" s="12"/>
      <c r="ED626" s="12"/>
    </row>
    <row r="627" spans="1:134" ht="12.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12"/>
      <c r="AC627" s="12"/>
      <c r="AD627" s="12"/>
      <c r="AE627" s="2"/>
      <c r="AF627" s="2"/>
      <c r="AG627" s="2"/>
      <c r="AH627" s="2"/>
      <c r="AI627" s="2"/>
      <c r="AJ627" s="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2"/>
      <c r="AY627" s="2"/>
      <c r="AZ627" s="2"/>
      <c r="BA627" s="2"/>
      <c r="BB627" s="2"/>
      <c r="BC627" s="2"/>
      <c r="BD627" s="2"/>
      <c r="BE627" s="2"/>
      <c r="BF627" s="12"/>
      <c r="BG627" s="1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152"/>
      <c r="BV627" s="155"/>
      <c r="BW627" s="12"/>
      <c r="BX627" s="12"/>
      <c r="BY627" s="12"/>
      <c r="BZ627" s="12"/>
      <c r="CA627" s="12"/>
      <c r="CB627" s="12"/>
      <c r="CC627" s="12"/>
      <c r="CD627" s="12"/>
      <c r="CE627" s="12"/>
      <c r="CF627" s="12"/>
      <c r="CG627" s="12"/>
      <c r="CH627" s="12"/>
      <c r="CI627" s="12"/>
      <c r="CJ627" s="12"/>
      <c r="CK627" s="12"/>
      <c r="CL627" s="12"/>
      <c r="CM627" s="12"/>
      <c r="CN627" s="12"/>
      <c r="CO627" s="12"/>
      <c r="CP627" s="12"/>
      <c r="CQ627" s="46"/>
      <c r="CR627" s="46"/>
      <c r="CS627" s="46"/>
      <c r="CT627" s="119"/>
      <c r="CU627" s="119"/>
      <c r="CV627" s="119"/>
      <c r="CW627" s="119"/>
      <c r="CX627" s="120"/>
      <c r="CY627" s="120"/>
      <c r="CZ627" s="120"/>
      <c r="DA627" s="120"/>
      <c r="DB627" s="120"/>
      <c r="DC627" s="120"/>
      <c r="DD627" s="120"/>
      <c r="DE627" s="120"/>
      <c r="DF627" s="120"/>
      <c r="DG627" s="2"/>
      <c r="DH627" s="2"/>
      <c r="DI627" s="2"/>
      <c r="DJ627" s="48"/>
      <c r="DK627" s="48"/>
      <c r="DL627" s="48"/>
      <c r="DM627" s="13"/>
      <c r="DN627" s="13"/>
      <c r="DO627" s="12"/>
      <c r="DP627" s="12"/>
      <c r="DQ627" s="12"/>
      <c r="DR627" s="12"/>
      <c r="DS627" s="12"/>
      <c r="DT627" s="2"/>
      <c r="DU627" s="2"/>
      <c r="DV627" s="12"/>
      <c r="DW627" s="12"/>
      <c r="DX627" s="2"/>
      <c r="DY627" s="2"/>
      <c r="DZ627" s="12"/>
      <c r="EA627" s="12"/>
      <c r="EB627" s="12"/>
      <c r="EC627" s="12"/>
      <c r="ED627" s="12"/>
    </row>
    <row r="628" spans="1:134" ht="12.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12"/>
      <c r="AC628" s="12"/>
      <c r="AD628" s="12"/>
      <c r="AE628" s="2"/>
      <c r="AF628" s="2"/>
      <c r="AG628" s="2"/>
      <c r="AH628" s="2"/>
      <c r="AI628" s="2"/>
      <c r="AJ628" s="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2"/>
      <c r="AY628" s="2"/>
      <c r="AZ628" s="2"/>
      <c r="BA628" s="2"/>
      <c r="BB628" s="2"/>
      <c r="BC628" s="2"/>
      <c r="BD628" s="2"/>
      <c r="BE628" s="2"/>
      <c r="BF628" s="12"/>
      <c r="BG628" s="1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152"/>
      <c r="BV628" s="155"/>
      <c r="BW628" s="12"/>
      <c r="BX628" s="12"/>
      <c r="BY628" s="12"/>
      <c r="BZ628" s="12"/>
      <c r="CA628" s="12"/>
      <c r="CB628" s="12"/>
      <c r="CC628" s="12"/>
      <c r="CD628" s="12"/>
      <c r="CE628" s="12"/>
      <c r="CF628" s="12"/>
      <c r="CG628" s="12"/>
      <c r="CH628" s="12"/>
      <c r="CI628" s="12"/>
      <c r="CJ628" s="12"/>
      <c r="CK628" s="12"/>
      <c r="CL628" s="12"/>
      <c r="CM628" s="12"/>
      <c r="CN628" s="12"/>
      <c r="CO628" s="12"/>
      <c r="CP628" s="12"/>
      <c r="CQ628" s="46"/>
      <c r="CR628" s="46"/>
      <c r="CS628" s="46"/>
      <c r="CT628" s="119"/>
      <c r="CU628" s="119"/>
      <c r="CV628" s="119"/>
      <c r="CW628" s="119"/>
      <c r="CX628" s="120"/>
      <c r="CY628" s="120"/>
      <c r="CZ628" s="120"/>
      <c r="DA628" s="120"/>
      <c r="DB628" s="120"/>
      <c r="DC628" s="120"/>
      <c r="DD628" s="120"/>
      <c r="DE628" s="120"/>
      <c r="DF628" s="120"/>
      <c r="DG628" s="2"/>
      <c r="DH628" s="2"/>
      <c r="DI628" s="2"/>
      <c r="DJ628" s="48"/>
      <c r="DK628" s="48"/>
      <c r="DL628" s="48"/>
      <c r="DM628" s="13"/>
      <c r="DN628" s="13"/>
      <c r="DO628" s="12"/>
      <c r="DP628" s="12"/>
      <c r="DQ628" s="12"/>
      <c r="DR628" s="12"/>
      <c r="DS628" s="12"/>
      <c r="DT628" s="2"/>
      <c r="DU628" s="2"/>
      <c r="DV628" s="12"/>
      <c r="DW628" s="12"/>
      <c r="DX628" s="2"/>
      <c r="DY628" s="2"/>
      <c r="DZ628" s="12"/>
      <c r="EA628" s="12"/>
      <c r="EB628" s="12"/>
      <c r="EC628" s="12"/>
      <c r="ED628" s="12"/>
    </row>
    <row r="629" spans="1:134" ht="12.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12"/>
      <c r="AC629" s="12"/>
      <c r="AD629" s="12"/>
      <c r="AE629" s="2"/>
      <c r="AF629" s="2"/>
      <c r="AG629" s="2"/>
      <c r="AH629" s="2"/>
      <c r="AI629" s="2"/>
      <c r="AJ629" s="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2"/>
      <c r="AY629" s="2"/>
      <c r="AZ629" s="2"/>
      <c r="BA629" s="2"/>
      <c r="BB629" s="2"/>
      <c r="BC629" s="2"/>
      <c r="BD629" s="2"/>
      <c r="BE629" s="2"/>
      <c r="BF629" s="12"/>
      <c r="BG629" s="1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152"/>
      <c r="BV629" s="155"/>
      <c r="BW629" s="12"/>
      <c r="BX629" s="12"/>
      <c r="BY629" s="12"/>
      <c r="BZ629" s="12"/>
      <c r="CA629" s="12"/>
      <c r="CB629" s="12"/>
      <c r="CC629" s="12"/>
      <c r="CD629" s="12"/>
      <c r="CE629" s="12"/>
      <c r="CF629" s="12"/>
      <c r="CG629" s="12"/>
      <c r="CH629" s="12"/>
      <c r="CI629" s="12"/>
      <c r="CJ629" s="12"/>
      <c r="CK629" s="12"/>
      <c r="CL629" s="12"/>
      <c r="CM629" s="12"/>
      <c r="CN629" s="12"/>
      <c r="CO629" s="12"/>
      <c r="CP629" s="12"/>
      <c r="CQ629" s="46"/>
      <c r="CR629" s="46"/>
      <c r="CS629" s="46"/>
      <c r="CT629" s="119"/>
      <c r="CU629" s="119"/>
      <c r="CV629" s="119"/>
      <c r="CW629" s="119"/>
      <c r="CX629" s="120"/>
      <c r="CY629" s="120"/>
      <c r="CZ629" s="120"/>
      <c r="DA629" s="120"/>
      <c r="DB629" s="120"/>
      <c r="DC629" s="120"/>
      <c r="DD629" s="120"/>
      <c r="DE629" s="120"/>
      <c r="DF629" s="120"/>
      <c r="DG629" s="2"/>
      <c r="DH629" s="2"/>
      <c r="DI629" s="2"/>
      <c r="DJ629" s="48"/>
      <c r="DK629" s="48"/>
      <c r="DL629" s="48"/>
      <c r="DM629" s="13"/>
      <c r="DN629" s="13"/>
      <c r="DO629" s="12"/>
      <c r="DP629" s="12"/>
      <c r="DQ629" s="12"/>
      <c r="DR629" s="12"/>
      <c r="DS629" s="12"/>
      <c r="DT629" s="2"/>
      <c r="DU629" s="2"/>
      <c r="DV629" s="12"/>
      <c r="DW629" s="12"/>
      <c r="DX629" s="2"/>
      <c r="DY629" s="2"/>
      <c r="DZ629" s="12"/>
      <c r="EA629" s="12"/>
      <c r="EB629" s="12"/>
      <c r="EC629" s="12"/>
      <c r="ED629" s="12"/>
    </row>
    <row r="630" spans="1:134" ht="12.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12"/>
      <c r="AC630" s="12"/>
      <c r="AD630" s="12"/>
      <c r="AE630" s="2"/>
      <c r="AF630" s="2"/>
      <c r="AG630" s="2"/>
      <c r="AH630" s="2"/>
      <c r="AI630" s="2"/>
      <c r="AJ630" s="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2"/>
      <c r="AY630" s="2"/>
      <c r="AZ630" s="2"/>
      <c r="BA630" s="2"/>
      <c r="BB630" s="2"/>
      <c r="BC630" s="2"/>
      <c r="BD630" s="2"/>
      <c r="BE630" s="2"/>
      <c r="BF630" s="12"/>
      <c r="BG630" s="1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152"/>
      <c r="BV630" s="155"/>
      <c r="BW630" s="12"/>
      <c r="BX630" s="12"/>
      <c r="BY630" s="12"/>
      <c r="BZ630" s="12"/>
      <c r="CA630" s="12"/>
      <c r="CB630" s="12"/>
      <c r="CC630" s="12"/>
      <c r="CD630" s="12"/>
      <c r="CE630" s="12"/>
      <c r="CF630" s="12"/>
      <c r="CG630" s="12"/>
      <c r="CH630" s="12"/>
      <c r="CI630" s="12"/>
      <c r="CJ630" s="12"/>
      <c r="CK630" s="12"/>
      <c r="CL630" s="12"/>
      <c r="CM630" s="12"/>
      <c r="CN630" s="12"/>
      <c r="CO630" s="12"/>
      <c r="CP630" s="12"/>
      <c r="CQ630" s="46"/>
      <c r="CR630" s="46"/>
      <c r="CS630" s="46"/>
      <c r="CT630" s="119"/>
      <c r="CU630" s="119"/>
      <c r="CV630" s="119"/>
      <c r="CW630" s="119"/>
      <c r="CX630" s="120"/>
      <c r="CY630" s="120"/>
      <c r="CZ630" s="120"/>
      <c r="DA630" s="120"/>
      <c r="DB630" s="120"/>
      <c r="DC630" s="120"/>
      <c r="DD630" s="120"/>
      <c r="DE630" s="120"/>
      <c r="DF630" s="120"/>
      <c r="DG630" s="2"/>
      <c r="DH630" s="2"/>
      <c r="DI630" s="2"/>
      <c r="DJ630" s="48"/>
      <c r="DK630" s="48"/>
      <c r="DL630" s="48"/>
      <c r="DM630" s="13"/>
      <c r="DN630" s="13"/>
      <c r="DO630" s="12"/>
      <c r="DP630" s="12"/>
      <c r="DQ630" s="12"/>
      <c r="DR630" s="12"/>
      <c r="DS630" s="12"/>
      <c r="DT630" s="2"/>
      <c r="DU630" s="2"/>
      <c r="DV630" s="12"/>
      <c r="DW630" s="12"/>
      <c r="DX630" s="2"/>
      <c r="DY630" s="2"/>
      <c r="DZ630" s="12"/>
      <c r="EA630" s="12"/>
      <c r="EB630" s="12"/>
      <c r="EC630" s="12"/>
      <c r="ED630" s="12"/>
    </row>
    <row r="631" spans="1:134" ht="12.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12"/>
      <c r="AC631" s="12"/>
      <c r="AD631" s="12"/>
      <c r="AE631" s="2"/>
      <c r="AF631" s="2"/>
      <c r="AG631" s="2"/>
      <c r="AH631" s="2"/>
      <c r="AI631" s="2"/>
      <c r="AJ631" s="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2"/>
      <c r="AY631" s="2"/>
      <c r="AZ631" s="2"/>
      <c r="BA631" s="2"/>
      <c r="BB631" s="2"/>
      <c r="BC631" s="2"/>
      <c r="BD631" s="2"/>
      <c r="BE631" s="2"/>
      <c r="BF631" s="12"/>
      <c r="BG631" s="1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152"/>
      <c r="BV631" s="155"/>
      <c r="BW631" s="12"/>
      <c r="BX631" s="12"/>
      <c r="BY631" s="12"/>
      <c r="BZ631" s="12"/>
      <c r="CA631" s="12"/>
      <c r="CB631" s="12"/>
      <c r="CC631" s="12"/>
      <c r="CD631" s="12"/>
      <c r="CE631" s="12"/>
      <c r="CF631" s="12"/>
      <c r="CG631" s="12"/>
      <c r="CH631" s="12"/>
      <c r="CI631" s="12"/>
      <c r="CJ631" s="12"/>
      <c r="CK631" s="12"/>
      <c r="CL631" s="12"/>
      <c r="CM631" s="12"/>
      <c r="CN631" s="12"/>
      <c r="CO631" s="12"/>
      <c r="CP631" s="12"/>
      <c r="CQ631" s="46"/>
      <c r="CR631" s="46"/>
      <c r="CS631" s="46"/>
      <c r="CT631" s="119"/>
      <c r="CU631" s="119"/>
      <c r="CV631" s="119"/>
      <c r="CW631" s="119"/>
      <c r="CX631" s="120"/>
      <c r="CY631" s="120"/>
      <c r="CZ631" s="120"/>
      <c r="DA631" s="120"/>
      <c r="DB631" s="120"/>
      <c r="DC631" s="120"/>
      <c r="DD631" s="120"/>
      <c r="DE631" s="120"/>
      <c r="DF631" s="120"/>
      <c r="DG631" s="2"/>
      <c r="DH631" s="2"/>
      <c r="DI631" s="2"/>
      <c r="DJ631" s="48"/>
      <c r="DK631" s="48"/>
      <c r="DL631" s="48"/>
      <c r="DM631" s="13"/>
      <c r="DN631" s="13"/>
      <c r="DO631" s="12"/>
      <c r="DP631" s="12"/>
      <c r="DQ631" s="12"/>
      <c r="DR631" s="12"/>
      <c r="DS631" s="12"/>
      <c r="DT631" s="2"/>
      <c r="DU631" s="2"/>
      <c r="DV631" s="12"/>
      <c r="DW631" s="12"/>
      <c r="DX631" s="2"/>
      <c r="DY631" s="2"/>
      <c r="DZ631" s="12"/>
      <c r="EA631" s="12"/>
      <c r="EB631" s="12"/>
      <c r="EC631" s="12"/>
      <c r="ED631" s="12"/>
    </row>
    <row r="632" spans="1:134" ht="12.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12"/>
      <c r="AC632" s="12"/>
      <c r="AD632" s="12"/>
      <c r="AE632" s="2"/>
      <c r="AF632" s="2"/>
      <c r="AG632" s="2"/>
      <c r="AH632" s="2"/>
      <c r="AI632" s="2"/>
      <c r="AJ632" s="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2"/>
      <c r="AY632" s="2"/>
      <c r="AZ632" s="2"/>
      <c r="BA632" s="2"/>
      <c r="BB632" s="2"/>
      <c r="BC632" s="2"/>
      <c r="BD632" s="2"/>
      <c r="BE632" s="2"/>
      <c r="BF632" s="12"/>
      <c r="BG632" s="1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152"/>
      <c r="BV632" s="155"/>
      <c r="BW632" s="12"/>
      <c r="BX632" s="12"/>
      <c r="BY632" s="12"/>
      <c r="BZ632" s="12"/>
      <c r="CA632" s="12"/>
      <c r="CB632" s="12"/>
      <c r="CC632" s="12"/>
      <c r="CD632" s="12"/>
      <c r="CE632" s="12"/>
      <c r="CF632" s="12"/>
      <c r="CG632" s="12"/>
      <c r="CH632" s="12"/>
      <c r="CI632" s="12"/>
      <c r="CJ632" s="12"/>
      <c r="CK632" s="12"/>
      <c r="CL632" s="12"/>
      <c r="CM632" s="12"/>
      <c r="CN632" s="12"/>
      <c r="CO632" s="12"/>
      <c r="CP632" s="12"/>
      <c r="CQ632" s="46"/>
      <c r="CR632" s="46"/>
      <c r="CS632" s="46"/>
      <c r="CT632" s="119"/>
      <c r="CU632" s="119"/>
      <c r="CV632" s="119"/>
      <c r="CW632" s="119"/>
      <c r="CX632" s="120"/>
      <c r="CY632" s="120"/>
      <c r="CZ632" s="120"/>
      <c r="DA632" s="120"/>
      <c r="DB632" s="120"/>
      <c r="DC632" s="120"/>
      <c r="DD632" s="120"/>
      <c r="DE632" s="120"/>
      <c r="DF632" s="120"/>
      <c r="DG632" s="2"/>
      <c r="DH632" s="2"/>
      <c r="DI632" s="2"/>
      <c r="DJ632" s="48"/>
      <c r="DK632" s="48"/>
      <c r="DL632" s="48"/>
      <c r="DM632" s="13"/>
      <c r="DN632" s="13"/>
      <c r="DO632" s="12"/>
      <c r="DP632" s="12"/>
      <c r="DQ632" s="12"/>
      <c r="DR632" s="12"/>
      <c r="DS632" s="12"/>
      <c r="DT632" s="2"/>
      <c r="DU632" s="2"/>
      <c r="DV632" s="12"/>
      <c r="DW632" s="12"/>
      <c r="DX632" s="2"/>
      <c r="DY632" s="2"/>
      <c r="DZ632" s="12"/>
      <c r="EA632" s="12"/>
      <c r="EB632" s="12"/>
      <c r="EC632" s="12"/>
      <c r="ED632" s="12"/>
    </row>
    <row r="633" spans="1:134" ht="12.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12"/>
      <c r="AC633" s="12"/>
      <c r="AD633" s="12"/>
      <c r="AE633" s="2"/>
      <c r="AF633" s="2"/>
      <c r="AG633" s="2"/>
      <c r="AH633" s="2"/>
      <c r="AI633" s="2"/>
      <c r="AJ633" s="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2"/>
      <c r="AY633" s="2"/>
      <c r="AZ633" s="2"/>
      <c r="BA633" s="2"/>
      <c r="BB633" s="2"/>
      <c r="BC633" s="2"/>
      <c r="BD633" s="2"/>
      <c r="BE633" s="2"/>
      <c r="BF633" s="12"/>
      <c r="BG633" s="1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152"/>
      <c r="BV633" s="155"/>
      <c r="BW633" s="12"/>
      <c r="BX633" s="12"/>
      <c r="BY633" s="12"/>
      <c r="BZ633" s="12"/>
      <c r="CA633" s="12"/>
      <c r="CB633" s="12"/>
      <c r="CC633" s="12"/>
      <c r="CD633" s="12"/>
      <c r="CE633" s="12"/>
      <c r="CF633" s="12"/>
      <c r="CG633" s="12"/>
      <c r="CH633" s="12"/>
      <c r="CI633" s="12"/>
      <c r="CJ633" s="12"/>
      <c r="CK633" s="12"/>
      <c r="CL633" s="12"/>
      <c r="CM633" s="12"/>
      <c r="CN633" s="12"/>
      <c r="CO633" s="12"/>
      <c r="CP633" s="12"/>
      <c r="CQ633" s="46"/>
      <c r="CR633" s="46"/>
      <c r="CS633" s="46"/>
      <c r="CT633" s="119"/>
      <c r="CU633" s="119"/>
      <c r="CV633" s="119"/>
      <c r="CW633" s="119"/>
      <c r="CX633" s="120"/>
      <c r="CY633" s="120"/>
      <c r="CZ633" s="120"/>
      <c r="DA633" s="120"/>
      <c r="DB633" s="120"/>
      <c r="DC633" s="120"/>
      <c r="DD633" s="120"/>
      <c r="DE633" s="120"/>
      <c r="DF633" s="120"/>
      <c r="DG633" s="2"/>
      <c r="DH633" s="2"/>
      <c r="DI633" s="2"/>
      <c r="DJ633" s="48"/>
      <c r="DK633" s="48"/>
      <c r="DL633" s="48"/>
      <c r="DM633" s="13"/>
      <c r="DN633" s="13"/>
      <c r="DO633" s="12"/>
      <c r="DP633" s="12"/>
      <c r="DQ633" s="12"/>
      <c r="DR633" s="12"/>
      <c r="DS633" s="12"/>
      <c r="DT633" s="2"/>
      <c r="DU633" s="2"/>
      <c r="DV633" s="12"/>
      <c r="DW633" s="12"/>
      <c r="DX633" s="2"/>
      <c r="DY633" s="2"/>
      <c r="DZ633" s="12"/>
      <c r="EA633" s="12"/>
      <c r="EB633" s="12"/>
      <c r="EC633" s="12"/>
      <c r="ED633" s="12"/>
    </row>
    <row r="634" spans="1:134" ht="12.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12"/>
      <c r="AC634" s="12"/>
      <c r="AD634" s="12"/>
      <c r="AE634" s="2"/>
      <c r="AF634" s="2"/>
      <c r="AG634" s="2"/>
      <c r="AH634" s="2"/>
      <c r="AI634" s="2"/>
      <c r="AJ634" s="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2"/>
      <c r="AY634" s="2"/>
      <c r="AZ634" s="2"/>
      <c r="BA634" s="2"/>
      <c r="BB634" s="2"/>
      <c r="BC634" s="2"/>
      <c r="BD634" s="2"/>
      <c r="BE634" s="2"/>
      <c r="BF634" s="12"/>
      <c r="BG634" s="1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152"/>
      <c r="BV634" s="155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46"/>
      <c r="CR634" s="46"/>
      <c r="CS634" s="46"/>
      <c r="CT634" s="119"/>
      <c r="CU634" s="119"/>
      <c r="CV634" s="119"/>
      <c r="CW634" s="119"/>
      <c r="CX634" s="120"/>
      <c r="CY634" s="120"/>
      <c r="CZ634" s="120"/>
      <c r="DA634" s="120"/>
      <c r="DB634" s="120"/>
      <c r="DC634" s="120"/>
      <c r="DD634" s="120"/>
      <c r="DE634" s="120"/>
      <c r="DF634" s="120"/>
      <c r="DG634" s="2"/>
      <c r="DH634" s="2"/>
      <c r="DI634" s="2"/>
      <c r="DJ634" s="48"/>
      <c r="DK634" s="48"/>
      <c r="DL634" s="48"/>
      <c r="DM634" s="13"/>
      <c r="DN634" s="13"/>
      <c r="DO634" s="12"/>
      <c r="DP634" s="12"/>
      <c r="DQ634" s="12"/>
      <c r="DR634" s="12"/>
      <c r="DS634" s="12"/>
      <c r="DT634" s="2"/>
      <c r="DU634" s="2"/>
      <c r="DV634" s="12"/>
      <c r="DW634" s="12"/>
      <c r="DX634" s="2"/>
      <c r="DY634" s="2"/>
      <c r="DZ634" s="12"/>
      <c r="EA634" s="12"/>
      <c r="EB634" s="12"/>
      <c r="EC634" s="12"/>
      <c r="ED634" s="12"/>
    </row>
    <row r="635" spans="1:134" ht="12.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12"/>
      <c r="AC635" s="12"/>
      <c r="AD635" s="12"/>
      <c r="AE635" s="2"/>
      <c r="AF635" s="2"/>
      <c r="AG635" s="2"/>
      <c r="AH635" s="2"/>
      <c r="AI635" s="2"/>
      <c r="AJ635" s="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2"/>
      <c r="AY635" s="2"/>
      <c r="AZ635" s="2"/>
      <c r="BA635" s="2"/>
      <c r="BB635" s="2"/>
      <c r="BC635" s="2"/>
      <c r="BD635" s="2"/>
      <c r="BE635" s="2"/>
      <c r="BF635" s="12"/>
      <c r="BG635" s="1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152"/>
      <c r="BV635" s="155"/>
      <c r="BW635" s="12"/>
      <c r="BX635" s="12"/>
      <c r="BY635" s="12"/>
      <c r="BZ635" s="12"/>
      <c r="CA635" s="12"/>
      <c r="CB635" s="12"/>
      <c r="CC635" s="12"/>
      <c r="CD635" s="12"/>
      <c r="CE635" s="12"/>
      <c r="CF635" s="12"/>
      <c r="CG635" s="12"/>
      <c r="CH635" s="12"/>
      <c r="CI635" s="12"/>
      <c r="CJ635" s="12"/>
      <c r="CK635" s="12"/>
      <c r="CL635" s="12"/>
      <c r="CM635" s="12"/>
      <c r="CN635" s="12"/>
      <c r="CO635" s="12"/>
      <c r="CP635" s="12"/>
      <c r="CQ635" s="46"/>
      <c r="CR635" s="46"/>
      <c r="CS635" s="46"/>
      <c r="CT635" s="119"/>
      <c r="CU635" s="119"/>
      <c r="CV635" s="119"/>
      <c r="CW635" s="119"/>
      <c r="CX635" s="120"/>
      <c r="CY635" s="120"/>
      <c r="CZ635" s="120"/>
      <c r="DA635" s="120"/>
      <c r="DB635" s="120"/>
      <c r="DC635" s="120"/>
      <c r="DD635" s="120"/>
      <c r="DE635" s="120"/>
      <c r="DF635" s="120"/>
      <c r="DG635" s="2"/>
      <c r="DH635" s="2"/>
      <c r="DI635" s="2"/>
      <c r="DJ635" s="48"/>
      <c r="DK635" s="48"/>
      <c r="DL635" s="48"/>
      <c r="DM635" s="13"/>
      <c r="DN635" s="13"/>
      <c r="DO635" s="12"/>
      <c r="DP635" s="12"/>
      <c r="DQ635" s="12"/>
      <c r="DR635" s="12"/>
      <c r="DS635" s="12"/>
      <c r="DT635" s="2"/>
      <c r="DU635" s="2"/>
      <c r="DV635" s="12"/>
      <c r="DW635" s="12"/>
      <c r="DX635" s="2"/>
      <c r="DY635" s="2"/>
      <c r="DZ635" s="12"/>
      <c r="EA635" s="12"/>
      <c r="EB635" s="12"/>
      <c r="EC635" s="12"/>
      <c r="ED635" s="12"/>
    </row>
    <row r="636" spans="1:134" ht="12.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12"/>
      <c r="AC636" s="12"/>
      <c r="AD636" s="12"/>
      <c r="AE636" s="2"/>
      <c r="AF636" s="2"/>
      <c r="AG636" s="2"/>
      <c r="AH636" s="2"/>
      <c r="AI636" s="2"/>
      <c r="AJ636" s="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2"/>
      <c r="AY636" s="2"/>
      <c r="AZ636" s="2"/>
      <c r="BA636" s="2"/>
      <c r="BB636" s="2"/>
      <c r="BC636" s="2"/>
      <c r="BD636" s="2"/>
      <c r="BE636" s="2"/>
      <c r="BF636" s="12"/>
      <c r="BG636" s="1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152"/>
      <c r="BV636" s="155"/>
      <c r="BW636" s="12"/>
      <c r="BX636" s="12"/>
      <c r="BY636" s="12"/>
      <c r="BZ636" s="12"/>
      <c r="CA636" s="12"/>
      <c r="CB636" s="12"/>
      <c r="CC636" s="12"/>
      <c r="CD636" s="12"/>
      <c r="CE636" s="12"/>
      <c r="CF636" s="12"/>
      <c r="CG636" s="12"/>
      <c r="CH636" s="12"/>
      <c r="CI636" s="12"/>
      <c r="CJ636" s="12"/>
      <c r="CK636" s="12"/>
      <c r="CL636" s="12"/>
      <c r="CM636" s="12"/>
      <c r="CN636" s="12"/>
      <c r="CO636" s="12"/>
      <c r="CP636" s="12"/>
      <c r="CQ636" s="46"/>
      <c r="CR636" s="46"/>
      <c r="CS636" s="46"/>
      <c r="CT636" s="119"/>
      <c r="CU636" s="119"/>
      <c r="CV636" s="119"/>
      <c r="CW636" s="119"/>
      <c r="CX636" s="120"/>
      <c r="CY636" s="120"/>
      <c r="CZ636" s="120"/>
      <c r="DA636" s="120"/>
      <c r="DB636" s="120"/>
      <c r="DC636" s="120"/>
      <c r="DD636" s="120"/>
      <c r="DE636" s="120"/>
      <c r="DF636" s="120"/>
      <c r="DG636" s="2"/>
      <c r="DH636" s="2"/>
      <c r="DI636" s="2"/>
      <c r="DJ636" s="48"/>
      <c r="DK636" s="48"/>
      <c r="DL636" s="48"/>
      <c r="DM636" s="13"/>
      <c r="DN636" s="13"/>
      <c r="DO636" s="12"/>
      <c r="DP636" s="12"/>
      <c r="DQ636" s="12"/>
      <c r="DR636" s="12"/>
      <c r="DS636" s="12"/>
      <c r="DT636" s="2"/>
      <c r="DU636" s="2"/>
      <c r="DV636" s="12"/>
      <c r="DW636" s="12"/>
      <c r="DX636" s="2"/>
      <c r="DY636" s="2"/>
      <c r="DZ636" s="12"/>
      <c r="EA636" s="12"/>
      <c r="EB636" s="12"/>
      <c r="EC636" s="12"/>
      <c r="ED636" s="12"/>
    </row>
    <row r="637" spans="1:134" ht="12.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12"/>
      <c r="AC637" s="12"/>
      <c r="AD637" s="12"/>
      <c r="AE637" s="2"/>
      <c r="AF637" s="2"/>
      <c r="AG637" s="2"/>
      <c r="AH637" s="2"/>
      <c r="AI637" s="2"/>
      <c r="AJ637" s="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2"/>
      <c r="AY637" s="2"/>
      <c r="AZ637" s="2"/>
      <c r="BA637" s="2"/>
      <c r="BB637" s="2"/>
      <c r="BC637" s="2"/>
      <c r="BD637" s="2"/>
      <c r="BE637" s="2"/>
      <c r="BF637" s="12"/>
      <c r="BG637" s="1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152"/>
      <c r="BV637" s="155"/>
      <c r="BW637" s="12"/>
      <c r="BX637" s="12"/>
      <c r="BY637" s="12"/>
      <c r="BZ637" s="12"/>
      <c r="CA637" s="12"/>
      <c r="CB637" s="12"/>
      <c r="CC637" s="12"/>
      <c r="CD637" s="12"/>
      <c r="CE637" s="12"/>
      <c r="CF637" s="12"/>
      <c r="CG637" s="12"/>
      <c r="CH637" s="12"/>
      <c r="CI637" s="12"/>
      <c r="CJ637" s="12"/>
      <c r="CK637" s="12"/>
      <c r="CL637" s="12"/>
      <c r="CM637" s="12"/>
      <c r="CN637" s="12"/>
      <c r="CO637" s="12"/>
      <c r="CP637" s="12"/>
      <c r="CQ637" s="46"/>
      <c r="CR637" s="46"/>
      <c r="CS637" s="46"/>
      <c r="CT637" s="119"/>
      <c r="CU637" s="119"/>
      <c r="CV637" s="119"/>
      <c r="CW637" s="119"/>
      <c r="CX637" s="120"/>
      <c r="CY637" s="120"/>
      <c r="CZ637" s="120"/>
      <c r="DA637" s="120"/>
      <c r="DB637" s="120"/>
      <c r="DC637" s="120"/>
      <c r="DD637" s="120"/>
      <c r="DE637" s="120"/>
      <c r="DF637" s="120"/>
      <c r="DG637" s="2"/>
      <c r="DH637" s="2"/>
      <c r="DI637" s="2"/>
      <c r="DJ637" s="48"/>
      <c r="DK637" s="48"/>
      <c r="DL637" s="48"/>
      <c r="DM637" s="13"/>
      <c r="DN637" s="13"/>
      <c r="DO637" s="12"/>
      <c r="DP637" s="12"/>
      <c r="DQ637" s="12"/>
      <c r="DR637" s="12"/>
      <c r="DS637" s="12"/>
      <c r="DT637" s="2"/>
      <c r="DU637" s="2"/>
      <c r="DV637" s="12"/>
      <c r="DW637" s="12"/>
      <c r="DX637" s="2"/>
      <c r="DY637" s="2"/>
      <c r="DZ637" s="12"/>
      <c r="EA637" s="12"/>
      <c r="EB637" s="12"/>
      <c r="EC637" s="12"/>
      <c r="ED637" s="12"/>
    </row>
    <row r="638" spans="1:134" ht="12.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12"/>
      <c r="AC638" s="12"/>
      <c r="AD638" s="12"/>
      <c r="AE638" s="2"/>
      <c r="AF638" s="2"/>
      <c r="AG638" s="2"/>
      <c r="AH638" s="2"/>
      <c r="AI638" s="2"/>
      <c r="AJ638" s="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2"/>
      <c r="AY638" s="2"/>
      <c r="AZ638" s="2"/>
      <c r="BA638" s="2"/>
      <c r="BB638" s="2"/>
      <c r="BC638" s="2"/>
      <c r="BD638" s="2"/>
      <c r="BE638" s="2"/>
      <c r="BF638" s="12"/>
      <c r="BG638" s="1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152"/>
      <c r="BV638" s="155"/>
      <c r="BW638" s="12"/>
      <c r="BX638" s="12"/>
      <c r="BY638" s="12"/>
      <c r="BZ638" s="12"/>
      <c r="CA638" s="12"/>
      <c r="CB638" s="12"/>
      <c r="CC638" s="12"/>
      <c r="CD638" s="12"/>
      <c r="CE638" s="12"/>
      <c r="CF638" s="12"/>
      <c r="CG638" s="12"/>
      <c r="CH638" s="12"/>
      <c r="CI638" s="12"/>
      <c r="CJ638" s="12"/>
      <c r="CK638" s="12"/>
      <c r="CL638" s="12"/>
      <c r="CM638" s="12"/>
      <c r="CN638" s="12"/>
      <c r="CO638" s="12"/>
      <c r="CP638" s="12"/>
      <c r="CQ638" s="46"/>
      <c r="CR638" s="46"/>
      <c r="CS638" s="46"/>
      <c r="CT638" s="119"/>
      <c r="CU638" s="119"/>
      <c r="CV638" s="119"/>
      <c r="CW638" s="119"/>
      <c r="CX638" s="120"/>
      <c r="CY638" s="120"/>
      <c r="CZ638" s="120"/>
      <c r="DA638" s="120"/>
      <c r="DB638" s="120"/>
      <c r="DC638" s="120"/>
      <c r="DD638" s="120"/>
      <c r="DE638" s="120"/>
      <c r="DF638" s="120"/>
      <c r="DG638" s="2"/>
      <c r="DH638" s="2"/>
      <c r="DI638" s="2"/>
      <c r="DJ638" s="48"/>
      <c r="DK638" s="48"/>
      <c r="DL638" s="48"/>
      <c r="DM638" s="13"/>
      <c r="DN638" s="13"/>
      <c r="DO638" s="12"/>
      <c r="DP638" s="12"/>
      <c r="DQ638" s="12"/>
      <c r="DR638" s="12"/>
      <c r="DS638" s="12"/>
      <c r="DT638" s="2"/>
      <c r="DU638" s="2"/>
      <c r="DV638" s="12"/>
      <c r="DW638" s="12"/>
      <c r="DX638" s="2"/>
      <c r="DY638" s="2"/>
      <c r="DZ638" s="12"/>
      <c r="EA638" s="12"/>
      <c r="EB638" s="12"/>
      <c r="EC638" s="12"/>
      <c r="ED638" s="12"/>
    </row>
    <row r="639" spans="1:134" ht="12.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12"/>
      <c r="AC639" s="12"/>
      <c r="AD639" s="12"/>
      <c r="AE639" s="2"/>
      <c r="AF639" s="2"/>
      <c r="AG639" s="2"/>
      <c r="AH639" s="2"/>
      <c r="AI639" s="2"/>
      <c r="AJ639" s="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2"/>
      <c r="AY639" s="2"/>
      <c r="AZ639" s="2"/>
      <c r="BA639" s="2"/>
      <c r="BB639" s="2"/>
      <c r="BC639" s="2"/>
      <c r="BD639" s="2"/>
      <c r="BE639" s="2"/>
      <c r="BF639" s="12"/>
      <c r="BG639" s="1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152"/>
      <c r="BV639" s="155"/>
      <c r="BW639" s="12"/>
      <c r="BX639" s="12"/>
      <c r="BY639" s="12"/>
      <c r="BZ639" s="12"/>
      <c r="CA639" s="12"/>
      <c r="CB639" s="12"/>
      <c r="CC639" s="12"/>
      <c r="CD639" s="12"/>
      <c r="CE639" s="12"/>
      <c r="CF639" s="12"/>
      <c r="CG639" s="12"/>
      <c r="CH639" s="12"/>
      <c r="CI639" s="12"/>
      <c r="CJ639" s="12"/>
      <c r="CK639" s="12"/>
      <c r="CL639" s="12"/>
      <c r="CM639" s="12"/>
      <c r="CN639" s="12"/>
      <c r="CO639" s="12"/>
      <c r="CP639" s="12"/>
      <c r="CQ639" s="46"/>
      <c r="CR639" s="46"/>
      <c r="CS639" s="46"/>
      <c r="CT639" s="119"/>
      <c r="CU639" s="119"/>
      <c r="CV639" s="119"/>
      <c r="CW639" s="119"/>
      <c r="CX639" s="120"/>
      <c r="CY639" s="120"/>
      <c r="CZ639" s="120"/>
      <c r="DA639" s="120"/>
      <c r="DB639" s="120"/>
      <c r="DC639" s="120"/>
      <c r="DD639" s="120"/>
      <c r="DE639" s="120"/>
      <c r="DF639" s="120"/>
      <c r="DG639" s="2"/>
      <c r="DH639" s="2"/>
      <c r="DI639" s="2"/>
      <c r="DJ639" s="48"/>
      <c r="DK639" s="48"/>
      <c r="DL639" s="48"/>
      <c r="DM639" s="13"/>
      <c r="DN639" s="13"/>
      <c r="DO639" s="12"/>
      <c r="DP639" s="12"/>
      <c r="DQ639" s="12"/>
      <c r="DR639" s="12"/>
      <c r="DS639" s="12"/>
      <c r="DT639" s="2"/>
      <c r="DU639" s="2"/>
      <c r="DV639" s="12"/>
      <c r="DW639" s="12"/>
      <c r="DX639" s="2"/>
      <c r="DY639" s="2"/>
      <c r="DZ639" s="12"/>
      <c r="EA639" s="12"/>
      <c r="EB639" s="12"/>
      <c r="EC639" s="12"/>
      <c r="ED639" s="12"/>
    </row>
    <row r="640" spans="1:134" ht="12.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12"/>
      <c r="AC640" s="12"/>
      <c r="AD640" s="12"/>
      <c r="AE640" s="2"/>
      <c r="AF640" s="2"/>
      <c r="AG640" s="2"/>
      <c r="AH640" s="2"/>
      <c r="AI640" s="2"/>
      <c r="AJ640" s="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2"/>
      <c r="AY640" s="2"/>
      <c r="AZ640" s="2"/>
      <c r="BA640" s="2"/>
      <c r="BB640" s="2"/>
      <c r="BC640" s="2"/>
      <c r="BD640" s="2"/>
      <c r="BE640" s="2"/>
      <c r="BF640" s="12"/>
      <c r="BG640" s="1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152"/>
      <c r="BV640" s="155"/>
      <c r="BW640" s="12"/>
      <c r="BX640" s="12"/>
      <c r="BY640" s="12"/>
      <c r="BZ640" s="12"/>
      <c r="CA640" s="12"/>
      <c r="CB640" s="12"/>
      <c r="CC640" s="12"/>
      <c r="CD640" s="12"/>
      <c r="CE640" s="12"/>
      <c r="CF640" s="12"/>
      <c r="CG640" s="12"/>
      <c r="CH640" s="12"/>
      <c r="CI640" s="12"/>
      <c r="CJ640" s="12"/>
      <c r="CK640" s="12"/>
      <c r="CL640" s="12"/>
      <c r="CM640" s="12"/>
      <c r="CN640" s="12"/>
      <c r="CO640" s="12"/>
      <c r="CP640" s="12"/>
      <c r="CQ640" s="46"/>
      <c r="CR640" s="46"/>
      <c r="CS640" s="46"/>
      <c r="CT640" s="119"/>
      <c r="CU640" s="119"/>
      <c r="CV640" s="119"/>
      <c r="CW640" s="119"/>
      <c r="CX640" s="120"/>
      <c r="CY640" s="120"/>
      <c r="CZ640" s="120"/>
      <c r="DA640" s="120"/>
      <c r="DB640" s="120"/>
      <c r="DC640" s="120"/>
      <c r="DD640" s="120"/>
      <c r="DE640" s="120"/>
      <c r="DF640" s="120"/>
      <c r="DG640" s="2"/>
      <c r="DH640" s="2"/>
      <c r="DI640" s="2"/>
      <c r="DJ640" s="48"/>
      <c r="DK640" s="48"/>
      <c r="DL640" s="48"/>
      <c r="DM640" s="13"/>
      <c r="DN640" s="13"/>
      <c r="DO640" s="12"/>
      <c r="DP640" s="12"/>
      <c r="DQ640" s="12"/>
      <c r="DR640" s="12"/>
      <c r="DS640" s="12"/>
      <c r="DT640" s="2"/>
      <c r="DU640" s="2"/>
      <c r="DV640" s="12"/>
      <c r="DW640" s="12"/>
      <c r="DX640" s="2"/>
      <c r="DY640" s="2"/>
      <c r="DZ640" s="12"/>
      <c r="EA640" s="12"/>
      <c r="EB640" s="12"/>
      <c r="EC640" s="12"/>
      <c r="ED640" s="12"/>
    </row>
    <row r="641" spans="1:134" ht="12.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12"/>
      <c r="AC641" s="12"/>
      <c r="AD641" s="12"/>
      <c r="AE641" s="2"/>
      <c r="AF641" s="2"/>
      <c r="AG641" s="2"/>
      <c r="AH641" s="2"/>
      <c r="AI641" s="2"/>
      <c r="AJ641" s="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2"/>
      <c r="AY641" s="2"/>
      <c r="AZ641" s="2"/>
      <c r="BA641" s="2"/>
      <c r="BB641" s="2"/>
      <c r="BC641" s="2"/>
      <c r="BD641" s="2"/>
      <c r="BE641" s="2"/>
      <c r="BF641" s="12"/>
      <c r="BG641" s="1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152"/>
      <c r="BV641" s="155"/>
      <c r="BW641" s="12"/>
      <c r="BX641" s="12"/>
      <c r="BY641" s="12"/>
      <c r="BZ641" s="12"/>
      <c r="CA641" s="12"/>
      <c r="CB641" s="12"/>
      <c r="CC641" s="12"/>
      <c r="CD641" s="12"/>
      <c r="CE641" s="12"/>
      <c r="CF641" s="12"/>
      <c r="CG641" s="12"/>
      <c r="CH641" s="12"/>
      <c r="CI641" s="12"/>
      <c r="CJ641" s="12"/>
      <c r="CK641" s="12"/>
      <c r="CL641" s="12"/>
      <c r="CM641" s="12"/>
      <c r="CN641" s="12"/>
      <c r="CO641" s="12"/>
      <c r="CP641" s="12"/>
      <c r="CQ641" s="46"/>
      <c r="CR641" s="46"/>
      <c r="CS641" s="46"/>
      <c r="CT641" s="119"/>
      <c r="CU641" s="119"/>
      <c r="CV641" s="119"/>
      <c r="CW641" s="119"/>
      <c r="CX641" s="120"/>
      <c r="CY641" s="120"/>
      <c r="CZ641" s="120"/>
      <c r="DA641" s="120"/>
      <c r="DB641" s="120"/>
      <c r="DC641" s="120"/>
      <c r="DD641" s="120"/>
      <c r="DE641" s="120"/>
      <c r="DF641" s="120"/>
      <c r="DG641" s="2"/>
      <c r="DH641" s="2"/>
      <c r="DI641" s="2"/>
      <c r="DJ641" s="48"/>
      <c r="DK641" s="48"/>
      <c r="DL641" s="48"/>
      <c r="DM641" s="13"/>
      <c r="DN641" s="13"/>
      <c r="DO641" s="12"/>
      <c r="DP641" s="12"/>
      <c r="DQ641" s="12"/>
      <c r="DR641" s="12"/>
      <c r="DS641" s="12"/>
      <c r="DT641" s="2"/>
      <c r="DU641" s="2"/>
      <c r="DV641" s="12"/>
      <c r="DW641" s="12"/>
      <c r="DX641" s="2"/>
      <c r="DY641" s="2"/>
      <c r="DZ641" s="12"/>
      <c r="EA641" s="12"/>
      <c r="EB641" s="12"/>
      <c r="EC641" s="12"/>
      <c r="ED641" s="12"/>
    </row>
    <row r="642" spans="1:134" ht="12.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12"/>
      <c r="AC642" s="12"/>
      <c r="AD642" s="12"/>
      <c r="AE642" s="2"/>
      <c r="AF642" s="2"/>
      <c r="AG642" s="2"/>
      <c r="AH642" s="2"/>
      <c r="AI642" s="2"/>
      <c r="AJ642" s="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2"/>
      <c r="AY642" s="2"/>
      <c r="AZ642" s="2"/>
      <c r="BA642" s="2"/>
      <c r="BB642" s="2"/>
      <c r="BC642" s="2"/>
      <c r="BD642" s="2"/>
      <c r="BE642" s="2"/>
      <c r="BF642" s="12"/>
      <c r="BG642" s="1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152"/>
      <c r="BV642" s="155"/>
      <c r="BW642" s="12"/>
      <c r="BX642" s="12"/>
      <c r="BY642" s="12"/>
      <c r="BZ642" s="12"/>
      <c r="CA642" s="12"/>
      <c r="CB642" s="12"/>
      <c r="CC642" s="12"/>
      <c r="CD642" s="12"/>
      <c r="CE642" s="12"/>
      <c r="CF642" s="12"/>
      <c r="CG642" s="12"/>
      <c r="CH642" s="12"/>
      <c r="CI642" s="12"/>
      <c r="CJ642" s="12"/>
      <c r="CK642" s="12"/>
      <c r="CL642" s="12"/>
      <c r="CM642" s="12"/>
      <c r="CN642" s="12"/>
      <c r="CO642" s="12"/>
      <c r="CP642" s="12"/>
      <c r="CQ642" s="46"/>
      <c r="CR642" s="46"/>
      <c r="CS642" s="46"/>
      <c r="CT642" s="119"/>
      <c r="CU642" s="119"/>
      <c r="CV642" s="119"/>
      <c r="CW642" s="119"/>
      <c r="CX642" s="120"/>
      <c r="CY642" s="120"/>
      <c r="CZ642" s="120"/>
      <c r="DA642" s="120"/>
      <c r="DB642" s="120"/>
      <c r="DC642" s="120"/>
      <c r="DD642" s="120"/>
      <c r="DE642" s="120"/>
      <c r="DF642" s="120"/>
      <c r="DG642" s="2"/>
      <c r="DH642" s="2"/>
      <c r="DI642" s="2"/>
      <c r="DJ642" s="48"/>
      <c r="DK642" s="48"/>
      <c r="DL642" s="48"/>
      <c r="DM642" s="13"/>
      <c r="DN642" s="13"/>
      <c r="DO642" s="12"/>
      <c r="DP642" s="12"/>
      <c r="DQ642" s="12"/>
      <c r="DR642" s="12"/>
      <c r="DS642" s="12"/>
      <c r="DT642" s="2"/>
      <c r="DU642" s="2"/>
      <c r="DV642" s="12"/>
      <c r="DW642" s="12"/>
      <c r="DX642" s="2"/>
      <c r="DY642" s="2"/>
      <c r="DZ642" s="12"/>
      <c r="EA642" s="12"/>
      <c r="EB642" s="12"/>
      <c r="EC642" s="12"/>
      <c r="ED642" s="12"/>
    </row>
    <row r="643" spans="1:134" ht="12.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12"/>
      <c r="AC643" s="12"/>
      <c r="AD643" s="12"/>
      <c r="AE643" s="2"/>
      <c r="AF643" s="2"/>
      <c r="AG643" s="2"/>
      <c r="AH643" s="2"/>
      <c r="AI643" s="2"/>
      <c r="AJ643" s="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2"/>
      <c r="AY643" s="2"/>
      <c r="AZ643" s="2"/>
      <c r="BA643" s="2"/>
      <c r="BB643" s="2"/>
      <c r="BC643" s="2"/>
      <c r="BD643" s="2"/>
      <c r="BE643" s="2"/>
      <c r="BF643" s="12"/>
      <c r="BG643" s="1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152"/>
      <c r="BV643" s="155"/>
      <c r="BW643" s="12"/>
      <c r="BX643" s="12"/>
      <c r="BY643" s="12"/>
      <c r="BZ643" s="12"/>
      <c r="CA643" s="12"/>
      <c r="CB643" s="12"/>
      <c r="CC643" s="12"/>
      <c r="CD643" s="12"/>
      <c r="CE643" s="12"/>
      <c r="CF643" s="12"/>
      <c r="CG643" s="12"/>
      <c r="CH643" s="12"/>
      <c r="CI643" s="12"/>
      <c r="CJ643" s="12"/>
      <c r="CK643" s="12"/>
      <c r="CL643" s="12"/>
      <c r="CM643" s="12"/>
      <c r="CN643" s="12"/>
      <c r="CO643" s="12"/>
      <c r="CP643" s="12"/>
      <c r="CQ643" s="46"/>
      <c r="CR643" s="46"/>
      <c r="CS643" s="46"/>
      <c r="CT643" s="119"/>
      <c r="CU643" s="119"/>
      <c r="CV643" s="119"/>
      <c r="CW643" s="119"/>
      <c r="CX643" s="120"/>
      <c r="CY643" s="120"/>
      <c r="CZ643" s="120"/>
      <c r="DA643" s="120"/>
      <c r="DB643" s="120"/>
      <c r="DC643" s="120"/>
      <c r="DD643" s="120"/>
      <c r="DE643" s="120"/>
      <c r="DF643" s="120"/>
      <c r="DG643" s="2"/>
      <c r="DH643" s="2"/>
      <c r="DI643" s="2"/>
      <c r="DJ643" s="48"/>
      <c r="DK643" s="48"/>
      <c r="DL643" s="48"/>
      <c r="DM643" s="13"/>
      <c r="DN643" s="13"/>
      <c r="DO643" s="12"/>
      <c r="DP643" s="12"/>
      <c r="DQ643" s="12"/>
      <c r="DR643" s="12"/>
      <c r="DS643" s="12"/>
      <c r="DT643" s="2"/>
      <c r="DU643" s="2"/>
      <c r="DV643" s="12"/>
      <c r="DW643" s="12"/>
      <c r="DX643" s="2"/>
      <c r="DY643" s="2"/>
      <c r="DZ643" s="12"/>
      <c r="EA643" s="12"/>
      <c r="EB643" s="12"/>
      <c r="EC643" s="12"/>
      <c r="ED643" s="12"/>
    </row>
    <row r="644" spans="1:134" ht="12.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12"/>
      <c r="AC644" s="12"/>
      <c r="AD644" s="12"/>
      <c r="AE644" s="2"/>
      <c r="AF644" s="2"/>
      <c r="AG644" s="2"/>
      <c r="AH644" s="2"/>
      <c r="AI644" s="2"/>
      <c r="AJ644" s="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2"/>
      <c r="AY644" s="2"/>
      <c r="AZ644" s="2"/>
      <c r="BA644" s="2"/>
      <c r="BB644" s="2"/>
      <c r="BC644" s="2"/>
      <c r="BD644" s="2"/>
      <c r="BE644" s="2"/>
      <c r="BF644" s="12"/>
      <c r="BG644" s="1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152"/>
      <c r="BV644" s="155"/>
      <c r="BW644" s="12"/>
      <c r="BX644" s="12"/>
      <c r="BY644" s="12"/>
      <c r="BZ644" s="12"/>
      <c r="CA644" s="12"/>
      <c r="CB644" s="12"/>
      <c r="CC644" s="12"/>
      <c r="CD644" s="12"/>
      <c r="CE644" s="12"/>
      <c r="CF644" s="12"/>
      <c r="CG644" s="12"/>
      <c r="CH644" s="12"/>
      <c r="CI644" s="12"/>
      <c r="CJ644" s="12"/>
      <c r="CK644" s="12"/>
      <c r="CL644" s="12"/>
      <c r="CM644" s="12"/>
      <c r="CN644" s="12"/>
      <c r="CO644" s="12"/>
      <c r="CP644" s="12"/>
      <c r="CQ644" s="46"/>
      <c r="CR644" s="46"/>
      <c r="CS644" s="46"/>
      <c r="CT644" s="119"/>
      <c r="CU644" s="119"/>
      <c r="CV644" s="119"/>
      <c r="CW644" s="119"/>
      <c r="CX644" s="120"/>
      <c r="CY644" s="120"/>
      <c r="CZ644" s="120"/>
      <c r="DA644" s="120"/>
      <c r="DB644" s="120"/>
      <c r="DC644" s="120"/>
      <c r="DD644" s="120"/>
      <c r="DE644" s="120"/>
      <c r="DF644" s="120"/>
      <c r="DG644" s="2"/>
      <c r="DH644" s="2"/>
      <c r="DI644" s="2"/>
      <c r="DJ644" s="48"/>
      <c r="DK644" s="48"/>
      <c r="DL644" s="48"/>
      <c r="DM644" s="13"/>
      <c r="DN644" s="13"/>
      <c r="DO644" s="12"/>
      <c r="DP644" s="12"/>
      <c r="DQ644" s="12"/>
      <c r="DR644" s="12"/>
      <c r="DS644" s="12"/>
      <c r="DT644" s="2"/>
      <c r="DU644" s="2"/>
      <c r="DV644" s="12"/>
      <c r="DW644" s="12"/>
      <c r="DX644" s="2"/>
      <c r="DY644" s="2"/>
      <c r="DZ644" s="12"/>
      <c r="EA644" s="12"/>
      <c r="EB644" s="12"/>
      <c r="EC644" s="12"/>
      <c r="ED644" s="12"/>
    </row>
    <row r="645" spans="1:134" ht="12.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12"/>
      <c r="AC645" s="12"/>
      <c r="AD645" s="12"/>
      <c r="AE645" s="2"/>
      <c r="AF645" s="2"/>
      <c r="AG645" s="2"/>
      <c r="AH645" s="2"/>
      <c r="AI645" s="2"/>
      <c r="AJ645" s="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2"/>
      <c r="AY645" s="2"/>
      <c r="AZ645" s="2"/>
      <c r="BA645" s="2"/>
      <c r="BB645" s="2"/>
      <c r="BC645" s="2"/>
      <c r="BD645" s="2"/>
      <c r="BE645" s="2"/>
      <c r="BF645" s="12"/>
      <c r="BG645" s="1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152"/>
      <c r="BV645" s="155"/>
      <c r="BW645" s="12"/>
      <c r="BX645" s="12"/>
      <c r="BY645" s="12"/>
      <c r="BZ645" s="12"/>
      <c r="CA645" s="12"/>
      <c r="CB645" s="12"/>
      <c r="CC645" s="12"/>
      <c r="CD645" s="12"/>
      <c r="CE645" s="12"/>
      <c r="CF645" s="12"/>
      <c r="CG645" s="12"/>
      <c r="CH645" s="12"/>
      <c r="CI645" s="12"/>
      <c r="CJ645" s="12"/>
      <c r="CK645" s="12"/>
      <c r="CL645" s="12"/>
      <c r="CM645" s="12"/>
      <c r="CN645" s="12"/>
      <c r="CO645" s="12"/>
      <c r="CP645" s="12"/>
      <c r="CQ645" s="46"/>
      <c r="CR645" s="46"/>
      <c r="CS645" s="46"/>
      <c r="CT645" s="119"/>
      <c r="CU645" s="119"/>
      <c r="CV645" s="119"/>
      <c r="CW645" s="119"/>
      <c r="CX645" s="120"/>
      <c r="CY645" s="120"/>
      <c r="CZ645" s="120"/>
      <c r="DA645" s="120"/>
      <c r="DB645" s="120"/>
      <c r="DC645" s="120"/>
      <c r="DD645" s="120"/>
      <c r="DE645" s="120"/>
      <c r="DF645" s="120"/>
      <c r="DG645" s="2"/>
      <c r="DH645" s="2"/>
      <c r="DI645" s="2"/>
      <c r="DJ645" s="48"/>
      <c r="DK645" s="48"/>
      <c r="DL645" s="48"/>
      <c r="DM645" s="13"/>
      <c r="DN645" s="13"/>
      <c r="DO645" s="12"/>
      <c r="DP645" s="12"/>
      <c r="DQ645" s="12"/>
      <c r="DR645" s="12"/>
      <c r="DS645" s="12"/>
      <c r="DT645" s="2"/>
      <c r="DU645" s="2"/>
      <c r="DV645" s="12"/>
      <c r="DW645" s="12"/>
      <c r="DX645" s="2"/>
      <c r="DY645" s="2"/>
      <c r="DZ645" s="12"/>
      <c r="EA645" s="12"/>
      <c r="EB645" s="12"/>
      <c r="EC645" s="12"/>
      <c r="ED645" s="12"/>
    </row>
    <row r="646" spans="1:134" ht="12.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12"/>
      <c r="AC646" s="12"/>
      <c r="AD646" s="12"/>
      <c r="AE646" s="2"/>
      <c r="AF646" s="2"/>
      <c r="AG646" s="2"/>
      <c r="AH646" s="2"/>
      <c r="AI646" s="2"/>
      <c r="AJ646" s="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2"/>
      <c r="AY646" s="2"/>
      <c r="AZ646" s="2"/>
      <c r="BA646" s="2"/>
      <c r="BB646" s="2"/>
      <c r="BC646" s="2"/>
      <c r="BD646" s="2"/>
      <c r="BE646" s="2"/>
      <c r="BF646" s="12"/>
      <c r="BG646" s="1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152"/>
      <c r="BV646" s="155"/>
      <c r="BW646" s="12"/>
      <c r="BX646" s="12"/>
      <c r="BY646" s="12"/>
      <c r="BZ646" s="12"/>
      <c r="CA646" s="12"/>
      <c r="CB646" s="12"/>
      <c r="CC646" s="12"/>
      <c r="CD646" s="12"/>
      <c r="CE646" s="12"/>
      <c r="CF646" s="12"/>
      <c r="CG646" s="12"/>
      <c r="CH646" s="12"/>
      <c r="CI646" s="12"/>
      <c r="CJ646" s="12"/>
      <c r="CK646" s="12"/>
      <c r="CL646" s="12"/>
      <c r="CM646" s="12"/>
      <c r="CN646" s="12"/>
      <c r="CO646" s="12"/>
      <c r="CP646" s="12"/>
      <c r="CQ646" s="46"/>
      <c r="CR646" s="46"/>
      <c r="CS646" s="46"/>
      <c r="CT646" s="119"/>
      <c r="CU646" s="119"/>
      <c r="CV646" s="119"/>
      <c r="CW646" s="119"/>
      <c r="CX646" s="120"/>
      <c r="CY646" s="120"/>
      <c r="CZ646" s="120"/>
      <c r="DA646" s="120"/>
      <c r="DB646" s="120"/>
      <c r="DC646" s="120"/>
      <c r="DD646" s="120"/>
      <c r="DE646" s="120"/>
      <c r="DF646" s="120"/>
      <c r="DG646" s="2"/>
      <c r="DH646" s="2"/>
      <c r="DI646" s="2"/>
      <c r="DJ646" s="48"/>
      <c r="DK646" s="48"/>
      <c r="DL646" s="48"/>
      <c r="DM646" s="13"/>
      <c r="DN646" s="13"/>
      <c r="DO646" s="12"/>
      <c r="DP646" s="12"/>
      <c r="DQ646" s="12"/>
      <c r="DR646" s="12"/>
      <c r="DS646" s="12"/>
      <c r="DT646" s="2"/>
      <c r="DU646" s="2"/>
      <c r="DV646" s="12"/>
      <c r="DW646" s="12"/>
      <c r="DX646" s="2"/>
      <c r="DY646" s="2"/>
      <c r="DZ646" s="12"/>
      <c r="EA646" s="12"/>
      <c r="EB646" s="12"/>
      <c r="EC646" s="12"/>
      <c r="ED646" s="12"/>
    </row>
    <row r="647" spans="1:134" ht="12.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12"/>
      <c r="AC647" s="12"/>
      <c r="AD647" s="12"/>
      <c r="AE647" s="2"/>
      <c r="AF647" s="2"/>
      <c r="AG647" s="2"/>
      <c r="AH647" s="2"/>
      <c r="AI647" s="2"/>
      <c r="AJ647" s="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2"/>
      <c r="AY647" s="2"/>
      <c r="AZ647" s="2"/>
      <c r="BA647" s="2"/>
      <c r="BB647" s="2"/>
      <c r="BC647" s="2"/>
      <c r="BD647" s="2"/>
      <c r="BE647" s="2"/>
      <c r="BF647" s="12"/>
      <c r="BG647" s="1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152"/>
      <c r="BV647" s="155"/>
      <c r="BW647" s="12"/>
      <c r="BX647" s="12"/>
      <c r="BY647" s="12"/>
      <c r="BZ647" s="12"/>
      <c r="CA647" s="12"/>
      <c r="CB647" s="12"/>
      <c r="CC647" s="12"/>
      <c r="CD647" s="12"/>
      <c r="CE647" s="12"/>
      <c r="CF647" s="12"/>
      <c r="CG647" s="12"/>
      <c r="CH647" s="12"/>
      <c r="CI647" s="12"/>
      <c r="CJ647" s="12"/>
      <c r="CK647" s="12"/>
      <c r="CL647" s="12"/>
      <c r="CM647" s="12"/>
      <c r="CN647" s="12"/>
      <c r="CO647" s="12"/>
      <c r="CP647" s="12"/>
      <c r="CQ647" s="46"/>
      <c r="CR647" s="46"/>
      <c r="CS647" s="46"/>
      <c r="CT647" s="119"/>
      <c r="CU647" s="119"/>
      <c r="CV647" s="119"/>
      <c r="CW647" s="119"/>
      <c r="CX647" s="120"/>
      <c r="CY647" s="120"/>
      <c r="CZ647" s="120"/>
      <c r="DA647" s="120"/>
      <c r="DB647" s="120"/>
      <c r="DC647" s="120"/>
      <c r="DD647" s="120"/>
      <c r="DE647" s="120"/>
      <c r="DF647" s="120"/>
      <c r="DG647" s="2"/>
      <c r="DH647" s="2"/>
      <c r="DI647" s="2"/>
      <c r="DJ647" s="48"/>
      <c r="DK647" s="48"/>
      <c r="DL647" s="48"/>
      <c r="DM647" s="13"/>
      <c r="DN647" s="13"/>
      <c r="DO647" s="12"/>
      <c r="DP647" s="12"/>
      <c r="DQ647" s="12"/>
      <c r="DR647" s="12"/>
      <c r="DS647" s="12"/>
      <c r="DT647" s="2"/>
      <c r="DU647" s="2"/>
      <c r="DV647" s="12"/>
      <c r="DW647" s="12"/>
      <c r="DX647" s="2"/>
      <c r="DY647" s="2"/>
      <c r="DZ647" s="12"/>
      <c r="EA647" s="12"/>
      <c r="EB647" s="12"/>
      <c r="EC647" s="12"/>
      <c r="ED647" s="12"/>
    </row>
    <row r="648" spans="1:134" ht="12.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12"/>
      <c r="AC648" s="12"/>
      <c r="AD648" s="12"/>
      <c r="AE648" s="2"/>
      <c r="AF648" s="2"/>
      <c r="AG648" s="2"/>
      <c r="AH648" s="2"/>
      <c r="AI648" s="2"/>
      <c r="AJ648" s="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2"/>
      <c r="AY648" s="2"/>
      <c r="AZ648" s="2"/>
      <c r="BA648" s="2"/>
      <c r="BB648" s="2"/>
      <c r="BC648" s="2"/>
      <c r="BD648" s="2"/>
      <c r="BE648" s="2"/>
      <c r="BF648" s="12"/>
      <c r="BG648" s="1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152"/>
      <c r="BV648" s="155"/>
      <c r="BW648" s="12"/>
      <c r="BX648" s="12"/>
      <c r="BY648" s="12"/>
      <c r="BZ648" s="12"/>
      <c r="CA648" s="12"/>
      <c r="CB648" s="12"/>
      <c r="CC648" s="12"/>
      <c r="CD648" s="12"/>
      <c r="CE648" s="12"/>
      <c r="CF648" s="12"/>
      <c r="CG648" s="12"/>
      <c r="CH648" s="12"/>
      <c r="CI648" s="12"/>
      <c r="CJ648" s="12"/>
      <c r="CK648" s="12"/>
      <c r="CL648" s="12"/>
      <c r="CM648" s="12"/>
      <c r="CN648" s="12"/>
      <c r="CO648" s="12"/>
      <c r="CP648" s="12"/>
      <c r="CQ648" s="46"/>
      <c r="CR648" s="46"/>
      <c r="CS648" s="46"/>
      <c r="CT648" s="119"/>
      <c r="CU648" s="119"/>
      <c r="CV648" s="119"/>
      <c r="CW648" s="119"/>
      <c r="CX648" s="120"/>
      <c r="CY648" s="120"/>
      <c r="CZ648" s="120"/>
      <c r="DA648" s="120"/>
      <c r="DB648" s="120"/>
      <c r="DC648" s="120"/>
      <c r="DD648" s="120"/>
      <c r="DE648" s="120"/>
      <c r="DF648" s="120"/>
      <c r="DG648" s="2"/>
      <c r="DH648" s="2"/>
      <c r="DI648" s="2"/>
      <c r="DJ648" s="48"/>
      <c r="DK648" s="48"/>
      <c r="DL648" s="48"/>
      <c r="DM648" s="13"/>
      <c r="DN648" s="13"/>
      <c r="DO648" s="12"/>
      <c r="DP648" s="12"/>
      <c r="DQ648" s="12"/>
      <c r="DR648" s="12"/>
      <c r="DS648" s="12"/>
      <c r="DT648" s="2"/>
      <c r="DU648" s="2"/>
      <c r="DV648" s="12"/>
      <c r="DW648" s="12"/>
      <c r="DX648" s="2"/>
      <c r="DY648" s="2"/>
      <c r="DZ648" s="12"/>
      <c r="EA648" s="12"/>
      <c r="EB648" s="12"/>
      <c r="EC648" s="12"/>
      <c r="ED648" s="12"/>
    </row>
    <row r="649" spans="1:134" ht="12.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12"/>
      <c r="AC649" s="12"/>
      <c r="AD649" s="12"/>
      <c r="AE649" s="2"/>
      <c r="AF649" s="2"/>
      <c r="AG649" s="2"/>
      <c r="AH649" s="2"/>
      <c r="AI649" s="2"/>
      <c r="AJ649" s="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2"/>
      <c r="AY649" s="2"/>
      <c r="AZ649" s="2"/>
      <c r="BA649" s="2"/>
      <c r="BB649" s="2"/>
      <c r="BC649" s="2"/>
      <c r="BD649" s="2"/>
      <c r="BE649" s="2"/>
      <c r="BF649" s="12"/>
      <c r="BG649" s="1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152"/>
      <c r="BV649" s="155"/>
      <c r="BW649" s="12"/>
      <c r="BX649" s="12"/>
      <c r="BY649" s="12"/>
      <c r="BZ649" s="12"/>
      <c r="CA649" s="12"/>
      <c r="CB649" s="12"/>
      <c r="CC649" s="12"/>
      <c r="CD649" s="12"/>
      <c r="CE649" s="12"/>
      <c r="CF649" s="12"/>
      <c r="CG649" s="12"/>
      <c r="CH649" s="12"/>
      <c r="CI649" s="12"/>
      <c r="CJ649" s="12"/>
      <c r="CK649" s="12"/>
      <c r="CL649" s="12"/>
      <c r="CM649" s="12"/>
      <c r="CN649" s="12"/>
      <c r="CO649" s="12"/>
      <c r="CP649" s="12"/>
      <c r="CQ649" s="46"/>
      <c r="CR649" s="46"/>
      <c r="CS649" s="46"/>
      <c r="CT649" s="119"/>
      <c r="CU649" s="119"/>
      <c r="CV649" s="119"/>
      <c r="CW649" s="119"/>
      <c r="CX649" s="120"/>
      <c r="CY649" s="120"/>
      <c r="CZ649" s="120"/>
      <c r="DA649" s="120"/>
      <c r="DB649" s="120"/>
      <c r="DC649" s="120"/>
      <c r="DD649" s="120"/>
      <c r="DE649" s="120"/>
      <c r="DF649" s="120"/>
      <c r="DG649" s="2"/>
      <c r="DH649" s="2"/>
      <c r="DI649" s="2"/>
      <c r="DJ649" s="48"/>
      <c r="DK649" s="48"/>
      <c r="DL649" s="48"/>
      <c r="DM649" s="13"/>
      <c r="DN649" s="13"/>
      <c r="DO649" s="12"/>
      <c r="DP649" s="12"/>
      <c r="DQ649" s="12"/>
      <c r="DR649" s="12"/>
      <c r="DS649" s="12"/>
      <c r="DT649" s="2"/>
      <c r="DU649" s="2"/>
      <c r="DV649" s="12"/>
      <c r="DW649" s="12"/>
      <c r="DX649" s="2"/>
      <c r="DY649" s="2"/>
      <c r="DZ649" s="12"/>
      <c r="EA649" s="12"/>
      <c r="EB649" s="12"/>
      <c r="EC649" s="12"/>
      <c r="ED649" s="12"/>
    </row>
    <row r="650" spans="1:134" ht="12.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12"/>
      <c r="AC650" s="12"/>
      <c r="AD650" s="12"/>
      <c r="AE650" s="2"/>
      <c r="AF650" s="2"/>
      <c r="AG650" s="2"/>
      <c r="AH650" s="2"/>
      <c r="AI650" s="2"/>
      <c r="AJ650" s="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2"/>
      <c r="AY650" s="2"/>
      <c r="AZ650" s="2"/>
      <c r="BA650" s="2"/>
      <c r="BB650" s="2"/>
      <c r="BC650" s="2"/>
      <c r="BD650" s="2"/>
      <c r="BE650" s="2"/>
      <c r="BF650" s="12"/>
      <c r="BG650" s="1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152"/>
      <c r="BV650" s="155"/>
      <c r="BW650" s="12"/>
      <c r="BX650" s="12"/>
      <c r="BY650" s="12"/>
      <c r="BZ650" s="12"/>
      <c r="CA650" s="12"/>
      <c r="CB650" s="12"/>
      <c r="CC650" s="12"/>
      <c r="CD650" s="12"/>
      <c r="CE650" s="12"/>
      <c r="CF650" s="12"/>
      <c r="CG650" s="12"/>
      <c r="CH650" s="12"/>
      <c r="CI650" s="12"/>
      <c r="CJ650" s="12"/>
      <c r="CK650" s="12"/>
      <c r="CL650" s="12"/>
      <c r="CM650" s="12"/>
      <c r="CN650" s="12"/>
      <c r="CO650" s="12"/>
      <c r="CP650" s="12"/>
      <c r="CQ650" s="46"/>
      <c r="CR650" s="46"/>
      <c r="CS650" s="46"/>
      <c r="CT650" s="119"/>
      <c r="CU650" s="119"/>
      <c r="CV650" s="119"/>
      <c r="CW650" s="119"/>
      <c r="CX650" s="120"/>
      <c r="CY650" s="120"/>
      <c r="CZ650" s="120"/>
      <c r="DA650" s="120"/>
      <c r="DB650" s="120"/>
      <c r="DC650" s="120"/>
      <c r="DD650" s="120"/>
      <c r="DE650" s="120"/>
      <c r="DF650" s="120"/>
      <c r="DG650" s="2"/>
      <c r="DH650" s="2"/>
      <c r="DI650" s="2"/>
      <c r="DJ650" s="48"/>
      <c r="DK650" s="48"/>
      <c r="DL650" s="48"/>
      <c r="DM650" s="13"/>
      <c r="DN650" s="13"/>
      <c r="DO650" s="12"/>
      <c r="DP650" s="12"/>
      <c r="DQ650" s="12"/>
      <c r="DR650" s="12"/>
      <c r="DS650" s="12"/>
      <c r="DT650" s="2"/>
      <c r="DU650" s="2"/>
      <c r="DV650" s="12"/>
      <c r="DW650" s="12"/>
      <c r="DX650" s="2"/>
      <c r="DY650" s="2"/>
      <c r="DZ650" s="12"/>
      <c r="EA650" s="12"/>
      <c r="EB650" s="12"/>
      <c r="EC650" s="12"/>
      <c r="ED650" s="12"/>
    </row>
    <row r="651" spans="1:134" ht="12.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12"/>
      <c r="AC651" s="12"/>
      <c r="AD651" s="12"/>
      <c r="AE651" s="2"/>
      <c r="AF651" s="2"/>
      <c r="AG651" s="2"/>
      <c r="AH651" s="2"/>
      <c r="AI651" s="2"/>
      <c r="AJ651" s="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2"/>
      <c r="AY651" s="2"/>
      <c r="AZ651" s="2"/>
      <c r="BA651" s="2"/>
      <c r="BB651" s="2"/>
      <c r="BC651" s="2"/>
      <c r="BD651" s="2"/>
      <c r="BE651" s="2"/>
      <c r="BF651" s="12"/>
      <c r="BG651" s="1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152"/>
      <c r="BV651" s="155"/>
      <c r="BW651" s="12"/>
      <c r="BX651" s="12"/>
      <c r="BY651" s="12"/>
      <c r="BZ651" s="12"/>
      <c r="CA651" s="12"/>
      <c r="CB651" s="12"/>
      <c r="CC651" s="12"/>
      <c r="CD651" s="12"/>
      <c r="CE651" s="12"/>
      <c r="CF651" s="12"/>
      <c r="CG651" s="12"/>
      <c r="CH651" s="12"/>
      <c r="CI651" s="12"/>
      <c r="CJ651" s="12"/>
      <c r="CK651" s="12"/>
      <c r="CL651" s="12"/>
      <c r="CM651" s="12"/>
      <c r="CN651" s="12"/>
      <c r="CO651" s="12"/>
      <c r="CP651" s="12"/>
      <c r="CQ651" s="46"/>
      <c r="CR651" s="46"/>
      <c r="CS651" s="46"/>
      <c r="CT651" s="119"/>
      <c r="CU651" s="119"/>
      <c r="CV651" s="119"/>
      <c r="CW651" s="119"/>
      <c r="CX651" s="120"/>
      <c r="CY651" s="120"/>
      <c r="CZ651" s="120"/>
      <c r="DA651" s="120"/>
      <c r="DB651" s="120"/>
      <c r="DC651" s="120"/>
      <c r="DD651" s="120"/>
      <c r="DE651" s="120"/>
      <c r="DF651" s="120"/>
      <c r="DG651" s="2"/>
      <c r="DH651" s="2"/>
      <c r="DI651" s="2"/>
      <c r="DJ651" s="48"/>
      <c r="DK651" s="48"/>
      <c r="DL651" s="48"/>
      <c r="DM651" s="13"/>
      <c r="DN651" s="13"/>
      <c r="DO651" s="12"/>
      <c r="DP651" s="12"/>
      <c r="DQ651" s="12"/>
      <c r="DR651" s="12"/>
      <c r="DS651" s="12"/>
      <c r="DT651" s="2"/>
      <c r="DU651" s="2"/>
      <c r="DV651" s="12"/>
      <c r="DW651" s="12"/>
      <c r="DX651" s="2"/>
      <c r="DY651" s="2"/>
      <c r="DZ651" s="12"/>
      <c r="EA651" s="12"/>
      <c r="EB651" s="12"/>
      <c r="EC651" s="12"/>
      <c r="ED651" s="12"/>
    </row>
    <row r="652" spans="1:134" ht="12.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12"/>
      <c r="AC652" s="12"/>
      <c r="AD652" s="12"/>
      <c r="AE652" s="2"/>
      <c r="AF652" s="2"/>
      <c r="AG652" s="2"/>
      <c r="AH652" s="2"/>
      <c r="AI652" s="2"/>
      <c r="AJ652" s="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2"/>
      <c r="AY652" s="2"/>
      <c r="AZ652" s="2"/>
      <c r="BA652" s="2"/>
      <c r="BB652" s="2"/>
      <c r="BC652" s="2"/>
      <c r="BD652" s="2"/>
      <c r="BE652" s="2"/>
      <c r="BF652" s="12"/>
      <c r="BG652" s="1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152"/>
      <c r="BV652" s="155"/>
      <c r="BW652" s="12"/>
      <c r="BX652" s="12"/>
      <c r="BY652" s="12"/>
      <c r="BZ652" s="12"/>
      <c r="CA652" s="12"/>
      <c r="CB652" s="12"/>
      <c r="CC652" s="12"/>
      <c r="CD652" s="12"/>
      <c r="CE652" s="12"/>
      <c r="CF652" s="12"/>
      <c r="CG652" s="12"/>
      <c r="CH652" s="12"/>
      <c r="CI652" s="12"/>
      <c r="CJ652" s="12"/>
      <c r="CK652" s="12"/>
      <c r="CL652" s="12"/>
      <c r="CM652" s="12"/>
      <c r="CN652" s="12"/>
      <c r="CO652" s="12"/>
      <c r="CP652" s="12"/>
      <c r="CQ652" s="46"/>
      <c r="CR652" s="46"/>
      <c r="CS652" s="46"/>
      <c r="CT652" s="119"/>
      <c r="CU652" s="119"/>
      <c r="CV652" s="119"/>
      <c r="CW652" s="119"/>
      <c r="CX652" s="120"/>
      <c r="CY652" s="120"/>
      <c r="CZ652" s="120"/>
      <c r="DA652" s="120"/>
      <c r="DB652" s="120"/>
      <c r="DC652" s="120"/>
      <c r="DD652" s="120"/>
      <c r="DE652" s="120"/>
      <c r="DF652" s="120"/>
      <c r="DG652" s="2"/>
      <c r="DH652" s="2"/>
      <c r="DI652" s="2"/>
      <c r="DJ652" s="48"/>
      <c r="DK652" s="48"/>
      <c r="DL652" s="48"/>
      <c r="DM652" s="13"/>
      <c r="DN652" s="13"/>
      <c r="DO652" s="12"/>
      <c r="DP652" s="12"/>
      <c r="DQ652" s="12"/>
      <c r="DR652" s="12"/>
      <c r="DS652" s="12"/>
      <c r="DT652" s="2"/>
      <c r="DU652" s="2"/>
      <c r="DV652" s="12"/>
      <c r="DW652" s="12"/>
      <c r="DX652" s="2"/>
      <c r="DY652" s="2"/>
      <c r="DZ652" s="12"/>
      <c r="EA652" s="12"/>
      <c r="EB652" s="12"/>
      <c r="EC652" s="12"/>
      <c r="ED652" s="12"/>
    </row>
    <row r="653" spans="1:134" ht="12.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12"/>
      <c r="AC653" s="12"/>
      <c r="AD653" s="12"/>
      <c r="AE653" s="2"/>
      <c r="AF653" s="2"/>
      <c r="AG653" s="2"/>
      <c r="AH653" s="2"/>
      <c r="AI653" s="2"/>
      <c r="AJ653" s="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2"/>
      <c r="AY653" s="2"/>
      <c r="AZ653" s="2"/>
      <c r="BA653" s="2"/>
      <c r="BB653" s="2"/>
      <c r="BC653" s="2"/>
      <c r="BD653" s="2"/>
      <c r="BE653" s="2"/>
      <c r="BF653" s="12"/>
      <c r="BG653" s="1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152"/>
      <c r="BV653" s="155"/>
      <c r="BW653" s="12"/>
      <c r="BX653" s="12"/>
      <c r="BY653" s="12"/>
      <c r="BZ653" s="12"/>
      <c r="CA653" s="12"/>
      <c r="CB653" s="12"/>
      <c r="CC653" s="12"/>
      <c r="CD653" s="12"/>
      <c r="CE653" s="12"/>
      <c r="CF653" s="12"/>
      <c r="CG653" s="12"/>
      <c r="CH653" s="12"/>
      <c r="CI653" s="12"/>
      <c r="CJ653" s="12"/>
      <c r="CK653" s="12"/>
      <c r="CL653" s="12"/>
      <c r="CM653" s="12"/>
      <c r="CN653" s="12"/>
      <c r="CO653" s="12"/>
      <c r="CP653" s="12"/>
      <c r="CQ653" s="46"/>
      <c r="CR653" s="46"/>
      <c r="CS653" s="46"/>
      <c r="CT653" s="119"/>
      <c r="CU653" s="119"/>
      <c r="CV653" s="119"/>
      <c r="CW653" s="119"/>
      <c r="CX653" s="120"/>
      <c r="CY653" s="120"/>
      <c r="CZ653" s="120"/>
      <c r="DA653" s="120"/>
      <c r="DB653" s="120"/>
      <c r="DC653" s="120"/>
      <c r="DD653" s="120"/>
      <c r="DE653" s="120"/>
      <c r="DF653" s="120"/>
      <c r="DG653" s="2"/>
      <c r="DH653" s="2"/>
      <c r="DI653" s="2"/>
      <c r="DJ653" s="48"/>
      <c r="DK653" s="48"/>
      <c r="DL653" s="48"/>
      <c r="DM653" s="13"/>
      <c r="DN653" s="13"/>
      <c r="DO653" s="12"/>
      <c r="DP653" s="12"/>
      <c r="DQ653" s="12"/>
      <c r="DR653" s="12"/>
      <c r="DS653" s="12"/>
      <c r="DT653" s="2"/>
      <c r="DU653" s="2"/>
      <c r="DV653" s="12"/>
      <c r="DW653" s="12"/>
      <c r="DX653" s="2"/>
      <c r="DY653" s="2"/>
      <c r="DZ653" s="12"/>
      <c r="EA653" s="12"/>
      <c r="EB653" s="12"/>
      <c r="EC653" s="12"/>
      <c r="ED653" s="12"/>
    </row>
    <row r="654" spans="1:134" ht="12.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12"/>
      <c r="AC654" s="12"/>
      <c r="AD654" s="12"/>
      <c r="AE654" s="2"/>
      <c r="AF654" s="2"/>
      <c r="AG654" s="2"/>
      <c r="AH654" s="2"/>
      <c r="AI654" s="2"/>
      <c r="AJ654" s="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2"/>
      <c r="AY654" s="2"/>
      <c r="AZ654" s="2"/>
      <c r="BA654" s="2"/>
      <c r="BB654" s="2"/>
      <c r="BC654" s="2"/>
      <c r="BD654" s="2"/>
      <c r="BE654" s="2"/>
      <c r="BF654" s="12"/>
      <c r="BG654" s="1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152"/>
      <c r="BV654" s="155"/>
      <c r="BW654" s="12"/>
      <c r="BX654" s="12"/>
      <c r="BY654" s="12"/>
      <c r="BZ654" s="12"/>
      <c r="CA654" s="12"/>
      <c r="CB654" s="12"/>
      <c r="CC654" s="12"/>
      <c r="CD654" s="12"/>
      <c r="CE654" s="12"/>
      <c r="CF654" s="12"/>
      <c r="CG654" s="12"/>
      <c r="CH654" s="12"/>
      <c r="CI654" s="12"/>
      <c r="CJ654" s="12"/>
      <c r="CK654" s="12"/>
      <c r="CL654" s="12"/>
      <c r="CM654" s="12"/>
      <c r="CN654" s="12"/>
      <c r="CO654" s="12"/>
      <c r="CP654" s="12"/>
      <c r="CQ654" s="46"/>
      <c r="CR654" s="46"/>
      <c r="CS654" s="46"/>
      <c r="CT654" s="119"/>
      <c r="CU654" s="119"/>
      <c r="CV654" s="119"/>
      <c r="CW654" s="119"/>
      <c r="CX654" s="120"/>
      <c r="CY654" s="120"/>
      <c r="CZ654" s="120"/>
      <c r="DA654" s="120"/>
      <c r="DB654" s="120"/>
      <c r="DC654" s="120"/>
      <c r="DD654" s="120"/>
      <c r="DE654" s="120"/>
      <c r="DF654" s="120"/>
      <c r="DG654" s="2"/>
      <c r="DH654" s="2"/>
      <c r="DI654" s="2"/>
      <c r="DJ654" s="48"/>
      <c r="DK654" s="48"/>
      <c r="DL654" s="48"/>
      <c r="DM654" s="13"/>
      <c r="DN654" s="13"/>
      <c r="DO654" s="12"/>
      <c r="DP654" s="12"/>
      <c r="DQ654" s="12"/>
      <c r="DR654" s="12"/>
      <c r="DS654" s="12"/>
      <c r="DT654" s="2"/>
      <c r="DU654" s="2"/>
      <c r="DV654" s="12"/>
      <c r="DW654" s="12"/>
      <c r="DX654" s="2"/>
      <c r="DY654" s="2"/>
      <c r="DZ654" s="12"/>
      <c r="EA654" s="12"/>
      <c r="EB654" s="12"/>
      <c r="EC654" s="12"/>
      <c r="ED654" s="12"/>
    </row>
    <row r="655" spans="1:134" ht="12.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12"/>
      <c r="AC655" s="12"/>
      <c r="AD655" s="12"/>
      <c r="AE655" s="2"/>
      <c r="AF655" s="2"/>
      <c r="AG655" s="2"/>
      <c r="AH655" s="2"/>
      <c r="AI655" s="2"/>
      <c r="AJ655" s="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2"/>
      <c r="AY655" s="2"/>
      <c r="AZ655" s="2"/>
      <c r="BA655" s="2"/>
      <c r="BB655" s="2"/>
      <c r="BC655" s="2"/>
      <c r="BD655" s="2"/>
      <c r="BE655" s="2"/>
      <c r="BF655" s="12"/>
      <c r="BG655" s="1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152"/>
      <c r="BV655" s="155"/>
      <c r="BW655" s="12"/>
      <c r="BX655" s="12"/>
      <c r="BY655" s="12"/>
      <c r="BZ655" s="12"/>
      <c r="CA655" s="12"/>
      <c r="CB655" s="12"/>
      <c r="CC655" s="12"/>
      <c r="CD655" s="12"/>
      <c r="CE655" s="12"/>
      <c r="CF655" s="12"/>
      <c r="CG655" s="12"/>
      <c r="CH655" s="12"/>
      <c r="CI655" s="12"/>
      <c r="CJ655" s="12"/>
      <c r="CK655" s="12"/>
      <c r="CL655" s="12"/>
      <c r="CM655" s="12"/>
      <c r="CN655" s="12"/>
      <c r="CO655" s="12"/>
      <c r="CP655" s="12"/>
      <c r="CQ655" s="46"/>
      <c r="CR655" s="46"/>
      <c r="CS655" s="46"/>
      <c r="CT655" s="119"/>
      <c r="CU655" s="119"/>
      <c r="CV655" s="119"/>
      <c r="CW655" s="119"/>
      <c r="CX655" s="120"/>
      <c r="CY655" s="120"/>
      <c r="CZ655" s="120"/>
      <c r="DA655" s="120"/>
      <c r="DB655" s="120"/>
      <c r="DC655" s="120"/>
      <c r="DD655" s="120"/>
      <c r="DE655" s="120"/>
      <c r="DF655" s="120"/>
      <c r="DG655" s="2"/>
      <c r="DH655" s="2"/>
      <c r="DI655" s="2"/>
      <c r="DJ655" s="48"/>
      <c r="DK655" s="48"/>
      <c r="DL655" s="48"/>
      <c r="DM655" s="13"/>
      <c r="DN655" s="13"/>
      <c r="DO655" s="12"/>
      <c r="DP655" s="12"/>
      <c r="DQ655" s="12"/>
      <c r="DR655" s="12"/>
      <c r="DS655" s="12"/>
      <c r="DT655" s="2"/>
      <c r="DU655" s="2"/>
      <c r="DV655" s="12"/>
      <c r="DW655" s="12"/>
      <c r="DX655" s="2"/>
      <c r="DY655" s="2"/>
      <c r="DZ655" s="12"/>
      <c r="EA655" s="12"/>
      <c r="EB655" s="12"/>
      <c r="EC655" s="12"/>
      <c r="ED655" s="12"/>
    </row>
    <row r="656" spans="1:134" ht="12.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12"/>
      <c r="AC656" s="12"/>
      <c r="AD656" s="12"/>
      <c r="AE656" s="2"/>
      <c r="AF656" s="2"/>
      <c r="AG656" s="2"/>
      <c r="AH656" s="2"/>
      <c r="AI656" s="2"/>
      <c r="AJ656" s="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2"/>
      <c r="AY656" s="2"/>
      <c r="AZ656" s="2"/>
      <c r="BA656" s="2"/>
      <c r="BB656" s="2"/>
      <c r="BC656" s="2"/>
      <c r="BD656" s="2"/>
      <c r="BE656" s="2"/>
      <c r="BF656" s="12"/>
      <c r="BG656" s="1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152"/>
      <c r="BV656" s="155"/>
      <c r="BW656" s="12"/>
      <c r="BX656" s="12"/>
      <c r="BY656" s="12"/>
      <c r="BZ656" s="12"/>
      <c r="CA656" s="12"/>
      <c r="CB656" s="12"/>
      <c r="CC656" s="12"/>
      <c r="CD656" s="12"/>
      <c r="CE656" s="12"/>
      <c r="CF656" s="12"/>
      <c r="CG656" s="12"/>
      <c r="CH656" s="12"/>
      <c r="CI656" s="12"/>
      <c r="CJ656" s="12"/>
      <c r="CK656" s="12"/>
      <c r="CL656" s="12"/>
      <c r="CM656" s="12"/>
      <c r="CN656" s="12"/>
      <c r="CO656" s="12"/>
      <c r="CP656" s="12"/>
      <c r="CQ656" s="46"/>
      <c r="CR656" s="46"/>
      <c r="CS656" s="46"/>
      <c r="CT656" s="119"/>
      <c r="CU656" s="119"/>
      <c r="CV656" s="119"/>
      <c r="CW656" s="119"/>
      <c r="CX656" s="120"/>
      <c r="CY656" s="120"/>
      <c r="CZ656" s="120"/>
      <c r="DA656" s="120"/>
      <c r="DB656" s="120"/>
      <c r="DC656" s="120"/>
      <c r="DD656" s="120"/>
      <c r="DE656" s="120"/>
      <c r="DF656" s="120"/>
      <c r="DG656" s="2"/>
      <c r="DH656" s="2"/>
      <c r="DI656" s="2"/>
      <c r="DJ656" s="48"/>
      <c r="DK656" s="48"/>
      <c r="DL656" s="48"/>
      <c r="DM656" s="13"/>
      <c r="DN656" s="13"/>
      <c r="DO656" s="12"/>
      <c r="DP656" s="12"/>
      <c r="DQ656" s="12"/>
      <c r="DR656" s="12"/>
      <c r="DS656" s="12"/>
      <c r="DT656" s="2"/>
      <c r="DU656" s="2"/>
      <c r="DV656" s="12"/>
      <c r="DW656" s="12"/>
      <c r="DX656" s="2"/>
      <c r="DY656" s="2"/>
      <c r="DZ656" s="12"/>
      <c r="EA656" s="12"/>
      <c r="EB656" s="12"/>
      <c r="EC656" s="12"/>
      <c r="ED656" s="12"/>
    </row>
    <row r="657" spans="1:134" ht="12.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12"/>
      <c r="AC657" s="12"/>
      <c r="AD657" s="12"/>
      <c r="AE657" s="2"/>
      <c r="AF657" s="2"/>
      <c r="AG657" s="2"/>
      <c r="AH657" s="2"/>
      <c r="AI657" s="2"/>
      <c r="AJ657" s="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2"/>
      <c r="AY657" s="2"/>
      <c r="AZ657" s="2"/>
      <c r="BA657" s="2"/>
      <c r="BB657" s="2"/>
      <c r="BC657" s="2"/>
      <c r="BD657" s="2"/>
      <c r="BE657" s="2"/>
      <c r="BF657" s="12"/>
      <c r="BG657" s="1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152"/>
      <c r="BV657" s="155"/>
      <c r="BW657" s="12"/>
      <c r="BX657" s="12"/>
      <c r="BY657" s="12"/>
      <c r="BZ657" s="12"/>
      <c r="CA657" s="12"/>
      <c r="CB657" s="12"/>
      <c r="CC657" s="12"/>
      <c r="CD657" s="12"/>
      <c r="CE657" s="12"/>
      <c r="CF657" s="12"/>
      <c r="CG657" s="12"/>
      <c r="CH657" s="12"/>
      <c r="CI657" s="12"/>
      <c r="CJ657" s="12"/>
      <c r="CK657" s="12"/>
      <c r="CL657" s="12"/>
      <c r="CM657" s="12"/>
      <c r="CN657" s="12"/>
      <c r="CO657" s="12"/>
      <c r="CP657" s="12"/>
      <c r="CQ657" s="46"/>
      <c r="CR657" s="46"/>
      <c r="CS657" s="46"/>
      <c r="CT657" s="119"/>
      <c r="CU657" s="119"/>
      <c r="CV657" s="119"/>
      <c r="CW657" s="119"/>
      <c r="CX657" s="120"/>
      <c r="CY657" s="120"/>
      <c r="CZ657" s="120"/>
      <c r="DA657" s="120"/>
      <c r="DB657" s="120"/>
      <c r="DC657" s="120"/>
      <c r="DD657" s="120"/>
      <c r="DE657" s="120"/>
      <c r="DF657" s="120"/>
      <c r="DG657" s="2"/>
      <c r="DH657" s="2"/>
      <c r="DI657" s="2"/>
      <c r="DJ657" s="48"/>
      <c r="DK657" s="48"/>
      <c r="DL657" s="48"/>
      <c r="DM657" s="13"/>
      <c r="DN657" s="13"/>
      <c r="DO657" s="12"/>
      <c r="DP657" s="12"/>
      <c r="DQ657" s="12"/>
      <c r="DR657" s="12"/>
      <c r="DS657" s="12"/>
      <c r="DT657" s="2"/>
      <c r="DU657" s="2"/>
      <c r="DV657" s="12"/>
      <c r="DW657" s="12"/>
      <c r="DX657" s="2"/>
      <c r="DY657" s="2"/>
      <c r="DZ657" s="12"/>
      <c r="EA657" s="12"/>
      <c r="EB657" s="12"/>
      <c r="EC657" s="12"/>
      <c r="ED657" s="12"/>
    </row>
    <row r="658" spans="1:134" ht="12.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12"/>
      <c r="AC658" s="12"/>
      <c r="AD658" s="12"/>
      <c r="AE658" s="2"/>
      <c r="AF658" s="2"/>
      <c r="AG658" s="2"/>
      <c r="AH658" s="2"/>
      <c r="AI658" s="2"/>
      <c r="AJ658" s="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2"/>
      <c r="AY658" s="2"/>
      <c r="AZ658" s="2"/>
      <c r="BA658" s="2"/>
      <c r="BB658" s="2"/>
      <c r="BC658" s="2"/>
      <c r="BD658" s="2"/>
      <c r="BE658" s="2"/>
      <c r="BF658" s="12"/>
      <c r="BG658" s="1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152"/>
      <c r="BV658" s="155"/>
      <c r="BW658" s="12"/>
      <c r="BX658" s="12"/>
      <c r="BY658" s="12"/>
      <c r="BZ658" s="12"/>
      <c r="CA658" s="12"/>
      <c r="CB658" s="12"/>
      <c r="CC658" s="12"/>
      <c r="CD658" s="12"/>
      <c r="CE658" s="12"/>
      <c r="CF658" s="12"/>
      <c r="CG658" s="12"/>
      <c r="CH658" s="12"/>
      <c r="CI658" s="12"/>
      <c r="CJ658" s="12"/>
      <c r="CK658" s="12"/>
      <c r="CL658" s="12"/>
      <c r="CM658" s="12"/>
      <c r="CN658" s="12"/>
      <c r="CO658" s="12"/>
      <c r="CP658" s="12"/>
      <c r="CQ658" s="46"/>
      <c r="CR658" s="46"/>
      <c r="CS658" s="46"/>
      <c r="CT658" s="119"/>
      <c r="CU658" s="119"/>
      <c r="CV658" s="119"/>
      <c r="CW658" s="119"/>
      <c r="CX658" s="120"/>
      <c r="CY658" s="120"/>
      <c r="CZ658" s="120"/>
      <c r="DA658" s="120"/>
      <c r="DB658" s="120"/>
      <c r="DC658" s="120"/>
      <c r="DD658" s="120"/>
      <c r="DE658" s="120"/>
      <c r="DF658" s="120"/>
      <c r="DG658" s="2"/>
      <c r="DH658" s="2"/>
      <c r="DI658" s="2"/>
      <c r="DJ658" s="48"/>
      <c r="DK658" s="48"/>
      <c r="DL658" s="48"/>
      <c r="DM658" s="13"/>
      <c r="DN658" s="13"/>
      <c r="DO658" s="12"/>
      <c r="DP658" s="12"/>
      <c r="DQ658" s="12"/>
      <c r="DR658" s="12"/>
      <c r="DS658" s="12"/>
      <c r="DT658" s="2"/>
      <c r="DU658" s="2"/>
      <c r="DV658" s="12"/>
      <c r="DW658" s="12"/>
      <c r="DX658" s="2"/>
      <c r="DY658" s="2"/>
      <c r="DZ658" s="12"/>
      <c r="EA658" s="12"/>
      <c r="EB658" s="12"/>
      <c r="EC658" s="12"/>
      <c r="ED658" s="12"/>
    </row>
    <row r="659" spans="1:134" ht="12.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12"/>
      <c r="AC659" s="12"/>
      <c r="AD659" s="12"/>
      <c r="AE659" s="2"/>
      <c r="AF659" s="2"/>
      <c r="AG659" s="2"/>
      <c r="AH659" s="2"/>
      <c r="AI659" s="2"/>
      <c r="AJ659" s="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2"/>
      <c r="AY659" s="2"/>
      <c r="AZ659" s="2"/>
      <c r="BA659" s="2"/>
      <c r="BB659" s="2"/>
      <c r="BC659" s="2"/>
      <c r="BD659" s="2"/>
      <c r="BE659" s="2"/>
      <c r="BF659" s="12"/>
      <c r="BG659" s="1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152"/>
      <c r="BV659" s="155"/>
      <c r="BW659" s="12"/>
      <c r="BX659" s="12"/>
      <c r="BY659" s="12"/>
      <c r="BZ659" s="12"/>
      <c r="CA659" s="12"/>
      <c r="CB659" s="12"/>
      <c r="CC659" s="12"/>
      <c r="CD659" s="12"/>
      <c r="CE659" s="12"/>
      <c r="CF659" s="12"/>
      <c r="CG659" s="12"/>
      <c r="CH659" s="12"/>
      <c r="CI659" s="12"/>
      <c r="CJ659" s="12"/>
      <c r="CK659" s="12"/>
      <c r="CL659" s="12"/>
      <c r="CM659" s="12"/>
      <c r="CN659" s="12"/>
      <c r="CO659" s="12"/>
      <c r="CP659" s="12"/>
      <c r="CQ659" s="46"/>
      <c r="CR659" s="46"/>
      <c r="CS659" s="46"/>
      <c r="CT659" s="119"/>
      <c r="CU659" s="119"/>
      <c r="CV659" s="119"/>
      <c r="CW659" s="119"/>
      <c r="CX659" s="120"/>
      <c r="CY659" s="120"/>
      <c r="CZ659" s="120"/>
      <c r="DA659" s="120"/>
      <c r="DB659" s="120"/>
      <c r="DC659" s="120"/>
      <c r="DD659" s="120"/>
      <c r="DE659" s="120"/>
      <c r="DF659" s="120"/>
      <c r="DG659" s="2"/>
      <c r="DH659" s="2"/>
      <c r="DI659" s="2"/>
      <c r="DJ659" s="48"/>
      <c r="DK659" s="48"/>
      <c r="DL659" s="48"/>
      <c r="DM659" s="13"/>
      <c r="DN659" s="13"/>
      <c r="DO659" s="12"/>
      <c r="DP659" s="12"/>
      <c r="DQ659" s="12"/>
      <c r="DR659" s="12"/>
      <c r="DS659" s="12"/>
      <c r="DT659" s="2"/>
      <c r="DU659" s="2"/>
      <c r="DV659" s="12"/>
      <c r="DW659" s="12"/>
      <c r="DX659" s="2"/>
      <c r="DY659" s="2"/>
      <c r="DZ659" s="12"/>
      <c r="EA659" s="12"/>
      <c r="EB659" s="12"/>
      <c r="EC659" s="12"/>
      <c r="ED659" s="12"/>
    </row>
    <row r="660" spans="1:134" ht="12.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12"/>
      <c r="AC660" s="12"/>
      <c r="AD660" s="12"/>
      <c r="AE660" s="2"/>
      <c r="AF660" s="2"/>
      <c r="AG660" s="2"/>
      <c r="AH660" s="2"/>
      <c r="AI660" s="2"/>
      <c r="AJ660" s="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2"/>
      <c r="AY660" s="2"/>
      <c r="AZ660" s="2"/>
      <c r="BA660" s="2"/>
      <c r="BB660" s="2"/>
      <c r="BC660" s="2"/>
      <c r="BD660" s="2"/>
      <c r="BE660" s="2"/>
      <c r="BF660" s="12"/>
      <c r="BG660" s="1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152"/>
      <c r="BV660" s="155"/>
      <c r="BW660" s="12"/>
      <c r="BX660" s="12"/>
      <c r="BY660" s="12"/>
      <c r="BZ660" s="12"/>
      <c r="CA660" s="12"/>
      <c r="CB660" s="12"/>
      <c r="CC660" s="12"/>
      <c r="CD660" s="12"/>
      <c r="CE660" s="12"/>
      <c r="CF660" s="12"/>
      <c r="CG660" s="12"/>
      <c r="CH660" s="12"/>
      <c r="CI660" s="12"/>
      <c r="CJ660" s="12"/>
      <c r="CK660" s="12"/>
      <c r="CL660" s="12"/>
      <c r="CM660" s="12"/>
      <c r="CN660" s="12"/>
      <c r="CO660" s="12"/>
      <c r="CP660" s="12"/>
      <c r="CQ660" s="46"/>
      <c r="CR660" s="46"/>
      <c r="CS660" s="46"/>
      <c r="CT660" s="119"/>
      <c r="CU660" s="119"/>
      <c r="CV660" s="119"/>
      <c r="CW660" s="119"/>
      <c r="CX660" s="120"/>
      <c r="CY660" s="120"/>
      <c r="CZ660" s="120"/>
      <c r="DA660" s="120"/>
      <c r="DB660" s="120"/>
      <c r="DC660" s="120"/>
      <c r="DD660" s="120"/>
      <c r="DE660" s="120"/>
      <c r="DF660" s="120"/>
      <c r="DG660" s="2"/>
      <c r="DH660" s="2"/>
      <c r="DI660" s="2"/>
      <c r="DJ660" s="48"/>
      <c r="DK660" s="48"/>
      <c r="DL660" s="48"/>
      <c r="DM660" s="13"/>
      <c r="DN660" s="13"/>
      <c r="DO660" s="12"/>
      <c r="DP660" s="12"/>
      <c r="DQ660" s="12"/>
      <c r="DR660" s="12"/>
      <c r="DS660" s="12"/>
      <c r="DT660" s="2"/>
      <c r="DU660" s="2"/>
      <c r="DV660" s="12"/>
      <c r="DW660" s="12"/>
      <c r="DX660" s="2"/>
      <c r="DY660" s="2"/>
      <c r="DZ660" s="12"/>
      <c r="EA660" s="12"/>
      <c r="EB660" s="12"/>
      <c r="EC660" s="12"/>
      <c r="ED660" s="12"/>
    </row>
    <row r="661" spans="1:134" ht="12.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12"/>
      <c r="AC661" s="12"/>
      <c r="AD661" s="12"/>
      <c r="AE661" s="2"/>
      <c r="AF661" s="2"/>
      <c r="AG661" s="2"/>
      <c r="AH661" s="2"/>
      <c r="AI661" s="2"/>
      <c r="AJ661" s="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2"/>
      <c r="AY661" s="2"/>
      <c r="AZ661" s="2"/>
      <c r="BA661" s="2"/>
      <c r="BB661" s="2"/>
      <c r="BC661" s="2"/>
      <c r="BD661" s="2"/>
      <c r="BE661" s="2"/>
      <c r="BF661" s="12"/>
      <c r="BG661" s="1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152"/>
      <c r="BV661" s="155"/>
      <c r="BW661" s="12"/>
      <c r="BX661" s="12"/>
      <c r="BY661" s="12"/>
      <c r="BZ661" s="12"/>
      <c r="CA661" s="12"/>
      <c r="CB661" s="12"/>
      <c r="CC661" s="12"/>
      <c r="CD661" s="12"/>
      <c r="CE661" s="12"/>
      <c r="CF661" s="12"/>
      <c r="CG661" s="12"/>
      <c r="CH661" s="12"/>
      <c r="CI661" s="12"/>
      <c r="CJ661" s="12"/>
      <c r="CK661" s="12"/>
      <c r="CL661" s="12"/>
      <c r="CM661" s="12"/>
      <c r="CN661" s="12"/>
      <c r="CO661" s="12"/>
      <c r="CP661" s="12"/>
      <c r="CQ661" s="46"/>
      <c r="CR661" s="46"/>
      <c r="CS661" s="46"/>
      <c r="CT661" s="119"/>
      <c r="CU661" s="119"/>
      <c r="CV661" s="119"/>
      <c r="CW661" s="119"/>
      <c r="CX661" s="120"/>
      <c r="CY661" s="120"/>
      <c r="CZ661" s="120"/>
      <c r="DA661" s="120"/>
      <c r="DB661" s="120"/>
      <c r="DC661" s="120"/>
      <c r="DD661" s="120"/>
      <c r="DE661" s="120"/>
      <c r="DF661" s="120"/>
      <c r="DG661" s="2"/>
      <c r="DH661" s="2"/>
      <c r="DI661" s="2"/>
      <c r="DJ661" s="48"/>
      <c r="DK661" s="48"/>
      <c r="DL661" s="48"/>
      <c r="DM661" s="13"/>
      <c r="DN661" s="13"/>
      <c r="DO661" s="12"/>
      <c r="DP661" s="12"/>
      <c r="DQ661" s="12"/>
      <c r="DR661" s="12"/>
      <c r="DS661" s="12"/>
      <c r="DT661" s="2"/>
      <c r="DU661" s="2"/>
      <c r="DV661" s="12"/>
      <c r="DW661" s="12"/>
      <c r="DX661" s="2"/>
      <c r="DY661" s="2"/>
      <c r="DZ661" s="12"/>
      <c r="EA661" s="12"/>
      <c r="EB661" s="12"/>
      <c r="EC661" s="12"/>
      <c r="ED661" s="12"/>
    </row>
    <row r="662" spans="1:134" ht="12.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12"/>
      <c r="AC662" s="12"/>
      <c r="AD662" s="12"/>
      <c r="AE662" s="2"/>
      <c r="AF662" s="2"/>
      <c r="AG662" s="2"/>
      <c r="AH662" s="2"/>
      <c r="AI662" s="2"/>
      <c r="AJ662" s="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2"/>
      <c r="AY662" s="2"/>
      <c r="AZ662" s="2"/>
      <c r="BA662" s="2"/>
      <c r="BB662" s="2"/>
      <c r="BC662" s="2"/>
      <c r="BD662" s="2"/>
      <c r="BE662" s="2"/>
      <c r="BF662" s="12"/>
      <c r="BG662" s="1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152"/>
      <c r="BV662" s="155"/>
      <c r="BW662" s="12"/>
      <c r="BX662" s="12"/>
      <c r="BY662" s="12"/>
      <c r="BZ662" s="12"/>
      <c r="CA662" s="12"/>
      <c r="CB662" s="12"/>
      <c r="CC662" s="12"/>
      <c r="CD662" s="12"/>
      <c r="CE662" s="12"/>
      <c r="CF662" s="12"/>
      <c r="CG662" s="12"/>
      <c r="CH662" s="12"/>
      <c r="CI662" s="12"/>
      <c r="CJ662" s="12"/>
      <c r="CK662" s="12"/>
      <c r="CL662" s="12"/>
      <c r="CM662" s="12"/>
      <c r="CN662" s="12"/>
      <c r="CO662" s="12"/>
      <c r="CP662" s="12"/>
      <c r="CQ662" s="46"/>
      <c r="CR662" s="46"/>
      <c r="CS662" s="46"/>
      <c r="CT662" s="119"/>
      <c r="CU662" s="119"/>
      <c r="CV662" s="119"/>
      <c r="CW662" s="119"/>
      <c r="CX662" s="120"/>
      <c r="CY662" s="120"/>
      <c r="CZ662" s="120"/>
      <c r="DA662" s="120"/>
      <c r="DB662" s="120"/>
      <c r="DC662" s="120"/>
      <c r="DD662" s="120"/>
      <c r="DE662" s="120"/>
      <c r="DF662" s="120"/>
      <c r="DG662" s="2"/>
      <c r="DH662" s="2"/>
      <c r="DI662" s="2"/>
      <c r="DJ662" s="48"/>
      <c r="DK662" s="48"/>
      <c r="DL662" s="48"/>
      <c r="DM662" s="13"/>
      <c r="DN662" s="13"/>
      <c r="DO662" s="12"/>
      <c r="DP662" s="12"/>
      <c r="DQ662" s="12"/>
      <c r="DR662" s="12"/>
      <c r="DS662" s="12"/>
      <c r="DT662" s="2"/>
      <c r="DU662" s="2"/>
      <c r="DV662" s="12"/>
      <c r="DW662" s="12"/>
      <c r="DX662" s="2"/>
      <c r="DY662" s="2"/>
      <c r="DZ662" s="12"/>
      <c r="EA662" s="12"/>
      <c r="EB662" s="12"/>
      <c r="EC662" s="12"/>
      <c r="ED662" s="12"/>
    </row>
    <row r="663" spans="1:134" ht="12.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12"/>
      <c r="AC663" s="12"/>
      <c r="AD663" s="12"/>
      <c r="AE663" s="2"/>
      <c r="AF663" s="2"/>
      <c r="AG663" s="2"/>
      <c r="AH663" s="2"/>
      <c r="AI663" s="2"/>
      <c r="AJ663" s="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2"/>
      <c r="AY663" s="2"/>
      <c r="AZ663" s="2"/>
      <c r="BA663" s="2"/>
      <c r="BB663" s="2"/>
      <c r="BC663" s="2"/>
      <c r="BD663" s="2"/>
      <c r="BE663" s="2"/>
      <c r="BF663" s="12"/>
      <c r="BG663" s="1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152"/>
      <c r="BV663" s="155"/>
      <c r="BW663" s="12"/>
      <c r="BX663" s="12"/>
      <c r="BY663" s="12"/>
      <c r="BZ663" s="12"/>
      <c r="CA663" s="12"/>
      <c r="CB663" s="12"/>
      <c r="CC663" s="12"/>
      <c r="CD663" s="12"/>
      <c r="CE663" s="12"/>
      <c r="CF663" s="12"/>
      <c r="CG663" s="12"/>
      <c r="CH663" s="12"/>
      <c r="CI663" s="12"/>
      <c r="CJ663" s="12"/>
      <c r="CK663" s="12"/>
      <c r="CL663" s="12"/>
      <c r="CM663" s="12"/>
      <c r="CN663" s="12"/>
      <c r="CO663" s="12"/>
      <c r="CP663" s="12"/>
      <c r="CQ663" s="46"/>
      <c r="CR663" s="46"/>
      <c r="CS663" s="46"/>
      <c r="CT663" s="119"/>
      <c r="CU663" s="119"/>
      <c r="CV663" s="119"/>
      <c r="CW663" s="119"/>
      <c r="CX663" s="120"/>
      <c r="CY663" s="120"/>
      <c r="CZ663" s="120"/>
      <c r="DA663" s="120"/>
      <c r="DB663" s="120"/>
      <c r="DC663" s="120"/>
      <c r="DD663" s="120"/>
      <c r="DE663" s="120"/>
      <c r="DF663" s="120"/>
      <c r="DG663" s="2"/>
      <c r="DH663" s="2"/>
      <c r="DI663" s="2"/>
      <c r="DJ663" s="48"/>
      <c r="DK663" s="48"/>
      <c r="DL663" s="48"/>
      <c r="DM663" s="13"/>
      <c r="DN663" s="13"/>
      <c r="DO663" s="12"/>
      <c r="DP663" s="12"/>
      <c r="DQ663" s="12"/>
      <c r="DR663" s="12"/>
      <c r="DS663" s="12"/>
      <c r="DT663" s="2"/>
      <c r="DU663" s="2"/>
      <c r="DV663" s="12"/>
      <c r="DW663" s="12"/>
      <c r="DX663" s="2"/>
      <c r="DY663" s="2"/>
      <c r="DZ663" s="12"/>
      <c r="EA663" s="12"/>
      <c r="EB663" s="12"/>
      <c r="EC663" s="12"/>
      <c r="ED663" s="12"/>
    </row>
    <row r="664" spans="1:134" ht="12.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12"/>
      <c r="AC664" s="12"/>
      <c r="AD664" s="12"/>
      <c r="AE664" s="2"/>
      <c r="AF664" s="2"/>
      <c r="AG664" s="2"/>
      <c r="AH664" s="2"/>
      <c r="AI664" s="2"/>
      <c r="AJ664" s="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2"/>
      <c r="AY664" s="2"/>
      <c r="AZ664" s="2"/>
      <c r="BA664" s="2"/>
      <c r="BB664" s="2"/>
      <c r="BC664" s="2"/>
      <c r="BD664" s="2"/>
      <c r="BE664" s="2"/>
      <c r="BF664" s="12"/>
      <c r="BG664" s="1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152"/>
      <c r="BV664" s="155"/>
      <c r="BW664" s="12"/>
      <c r="BX664" s="12"/>
      <c r="BY664" s="12"/>
      <c r="BZ664" s="12"/>
      <c r="CA664" s="12"/>
      <c r="CB664" s="12"/>
      <c r="CC664" s="12"/>
      <c r="CD664" s="12"/>
      <c r="CE664" s="12"/>
      <c r="CF664" s="12"/>
      <c r="CG664" s="12"/>
      <c r="CH664" s="12"/>
      <c r="CI664" s="12"/>
      <c r="CJ664" s="12"/>
      <c r="CK664" s="12"/>
      <c r="CL664" s="12"/>
      <c r="CM664" s="12"/>
      <c r="CN664" s="12"/>
      <c r="CO664" s="12"/>
      <c r="CP664" s="12"/>
      <c r="CQ664" s="46"/>
      <c r="CR664" s="46"/>
      <c r="CS664" s="46"/>
      <c r="CT664" s="119"/>
      <c r="CU664" s="119"/>
      <c r="CV664" s="119"/>
      <c r="CW664" s="119"/>
      <c r="CX664" s="120"/>
      <c r="CY664" s="120"/>
      <c r="CZ664" s="120"/>
      <c r="DA664" s="120"/>
      <c r="DB664" s="120"/>
      <c r="DC664" s="120"/>
      <c r="DD664" s="120"/>
      <c r="DE664" s="120"/>
      <c r="DF664" s="120"/>
      <c r="DG664" s="2"/>
      <c r="DH664" s="2"/>
      <c r="DI664" s="2"/>
      <c r="DJ664" s="48"/>
      <c r="DK664" s="48"/>
      <c r="DL664" s="48"/>
      <c r="DM664" s="13"/>
      <c r="DN664" s="13"/>
      <c r="DO664" s="12"/>
      <c r="DP664" s="12"/>
      <c r="DQ664" s="12"/>
      <c r="DR664" s="12"/>
      <c r="DS664" s="12"/>
      <c r="DT664" s="2"/>
      <c r="DU664" s="2"/>
      <c r="DV664" s="12"/>
      <c r="DW664" s="12"/>
      <c r="DX664" s="2"/>
      <c r="DY664" s="2"/>
      <c r="DZ664" s="12"/>
      <c r="EA664" s="12"/>
      <c r="EB664" s="12"/>
      <c r="EC664" s="12"/>
      <c r="ED664" s="12"/>
    </row>
    <row r="665" spans="1:134" ht="12.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12"/>
      <c r="AC665" s="12"/>
      <c r="AD665" s="12"/>
      <c r="AE665" s="2"/>
      <c r="AF665" s="2"/>
      <c r="AG665" s="2"/>
      <c r="AH665" s="2"/>
      <c r="AI665" s="2"/>
      <c r="AJ665" s="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2"/>
      <c r="AY665" s="2"/>
      <c r="AZ665" s="2"/>
      <c r="BA665" s="2"/>
      <c r="BB665" s="2"/>
      <c r="BC665" s="2"/>
      <c r="BD665" s="2"/>
      <c r="BE665" s="2"/>
      <c r="BF665" s="12"/>
      <c r="BG665" s="1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152"/>
      <c r="BV665" s="155"/>
      <c r="BW665" s="12"/>
      <c r="BX665" s="12"/>
      <c r="BY665" s="12"/>
      <c r="BZ665" s="12"/>
      <c r="CA665" s="12"/>
      <c r="CB665" s="12"/>
      <c r="CC665" s="12"/>
      <c r="CD665" s="12"/>
      <c r="CE665" s="12"/>
      <c r="CF665" s="12"/>
      <c r="CG665" s="12"/>
      <c r="CH665" s="12"/>
      <c r="CI665" s="12"/>
      <c r="CJ665" s="12"/>
      <c r="CK665" s="12"/>
      <c r="CL665" s="12"/>
      <c r="CM665" s="12"/>
      <c r="CN665" s="12"/>
      <c r="CO665" s="12"/>
      <c r="CP665" s="12"/>
      <c r="CQ665" s="46"/>
      <c r="CR665" s="46"/>
      <c r="CS665" s="46"/>
      <c r="CT665" s="119"/>
      <c r="CU665" s="119"/>
      <c r="CV665" s="119"/>
      <c r="CW665" s="119"/>
      <c r="CX665" s="120"/>
      <c r="CY665" s="120"/>
      <c r="CZ665" s="120"/>
      <c r="DA665" s="120"/>
      <c r="DB665" s="120"/>
      <c r="DC665" s="120"/>
      <c r="DD665" s="120"/>
      <c r="DE665" s="120"/>
      <c r="DF665" s="120"/>
      <c r="DG665" s="2"/>
      <c r="DH665" s="2"/>
      <c r="DI665" s="2"/>
      <c r="DJ665" s="48"/>
      <c r="DK665" s="48"/>
      <c r="DL665" s="48"/>
      <c r="DM665" s="13"/>
      <c r="DN665" s="13"/>
      <c r="DO665" s="12"/>
      <c r="DP665" s="12"/>
      <c r="DQ665" s="12"/>
      <c r="DR665" s="12"/>
      <c r="DS665" s="12"/>
      <c r="DT665" s="2"/>
      <c r="DU665" s="2"/>
      <c r="DV665" s="12"/>
      <c r="DW665" s="12"/>
      <c r="DX665" s="2"/>
      <c r="DY665" s="2"/>
      <c r="DZ665" s="12"/>
      <c r="EA665" s="12"/>
      <c r="EB665" s="12"/>
      <c r="EC665" s="12"/>
      <c r="ED665" s="12"/>
    </row>
    <row r="666" spans="1:134" ht="12.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12"/>
      <c r="AC666" s="12"/>
      <c r="AD666" s="12"/>
      <c r="AE666" s="2"/>
      <c r="AF666" s="2"/>
      <c r="AG666" s="2"/>
      <c r="AH666" s="2"/>
      <c r="AI666" s="2"/>
      <c r="AJ666" s="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2"/>
      <c r="AY666" s="2"/>
      <c r="AZ666" s="2"/>
      <c r="BA666" s="2"/>
      <c r="BB666" s="2"/>
      <c r="BC666" s="2"/>
      <c r="BD666" s="2"/>
      <c r="BE666" s="2"/>
      <c r="BF666" s="12"/>
      <c r="BG666" s="1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152"/>
      <c r="BV666" s="155"/>
      <c r="BW666" s="12"/>
      <c r="BX666" s="12"/>
      <c r="BY666" s="12"/>
      <c r="BZ666" s="12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46"/>
      <c r="CR666" s="46"/>
      <c r="CS666" s="46"/>
      <c r="CT666" s="119"/>
      <c r="CU666" s="119"/>
      <c r="CV666" s="119"/>
      <c r="CW666" s="119"/>
      <c r="CX666" s="120"/>
      <c r="CY666" s="120"/>
      <c r="CZ666" s="120"/>
      <c r="DA666" s="120"/>
      <c r="DB666" s="120"/>
      <c r="DC666" s="120"/>
      <c r="DD666" s="120"/>
      <c r="DE666" s="120"/>
      <c r="DF666" s="120"/>
      <c r="DG666" s="2"/>
      <c r="DH666" s="2"/>
      <c r="DI666" s="2"/>
      <c r="DJ666" s="48"/>
      <c r="DK666" s="48"/>
      <c r="DL666" s="48"/>
      <c r="DM666" s="13"/>
      <c r="DN666" s="13"/>
      <c r="DO666" s="12"/>
      <c r="DP666" s="12"/>
      <c r="DQ666" s="12"/>
      <c r="DR666" s="12"/>
      <c r="DS666" s="12"/>
      <c r="DT666" s="2"/>
      <c r="DU666" s="2"/>
      <c r="DV666" s="12"/>
      <c r="DW666" s="12"/>
      <c r="DX666" s="2"/>
      <c r="DY666" s="2"/>
      <c r="DZ666" s="12"/>
      <c r="EA666" s="12"/>
      <c r="EB666" s="12"/>
      <c r="EC666" s="12"/>
      <c r="ED666" s="12"/>
    </row>
    <row r="667" spans="1:134" ht="12.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12"/>
      <c r="AC667" s="12"/>
      <c r="AD667" s="12"/>
      <c r="AE667" s="2"/>
      <c r="AF667" s="2"/>
      <c r="AG667" s="2"/>
      <c r="AH667" s="2"/>
      <c r="AI667" s="2"/>
      <c r="AJ667" s="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2"/>
      <c r="AY667" s="2"/>
      <c r="AZ667" s="2"/>
      <c r="BA667" s="2"/>
      <c r="BB667" s="2"/>
      <c r="BC667" s="2"/>
      <c r="BD667" s="2"/>
      <c r="BE667" s="2"/>
      <c r="BF667" s="12"/>
      <c r="BG667" s="1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152"/>
      <c r="BV667" s="155"/>
      <c r="BW667" s="12"/>
      <c r="BX667" s="12"/>
      <c r="BY667" s="12"/>
      <c r="BZ667" s="12"/>
      <c r="CA667" s="12"/>
      <c r="CB667" s="12"/>
      <c r="CC667" s="12"/>
      <c r="CD667" s="12"/>
      <c r="CE667" s="12"/>
      <c r="CF667" s="12"/>
      <c r="CG667" s="12"/>
      <c r="CH667" s="12"/>
      <c r="CI667" s="12"/>
      <c r="CJ667" s="12"/>
      <c r="CK667" s="12"/>
      <c r="CL667" s="12"/>
      <c r="CM667" s="12"/>
      <c r="CN667" s="12"/>
      <c r="CO667" s="12"/>
      <c r="CP667" s="12"/>
      <c r="CQ667" s="46"/>
      <c r="CR667" s="46"/>
      <c r="CS667" s="46"/>
      <c r="CT667" s="119"/>
      <c r="CU667" s="119"/>
      <c r="CV667" s="119"/>
      <c r="CW667" s="119"/>
      <c r="CX667" s="120"/>
      <c r="CY667" s="120"/>
      <c r="CZ667" s="120"/>
      <c r="DA667" s="120"/>
      <c r="DB667" s="120"/>
      <c r="DC667" s="120"/>
      <c r="DD667" s="120"/>
      <c r="DE667" s="120"/>
      <c r="DF667" s="120"/>
      <c r="DG667" s="2"/>
      <c r="DH667" s="2"/>
      <c r="DI667" s="2"/>
      <c r="DJ667" s="48"/>
      <c r="DK667" s="48"/>
      <c r="DL667" s="48"/>
      <c r="DM667" s="13"/>
      <c r="DN667" s="13"/>
      <c r="DO667" s="12"/>
      <c r="DP667" s="12"/>
      <c r="DQ667" s="12"/>
      <c r="DR667" s="12"/>
      <c r="DS667" s="12"/>
      <c r="DT667" s="2"/>
      <c r="DU667" s="2"/>
      <c r="DV667" s="12"/>
      <c r="DW667" s="12"/>
      <c r="DX667" s="2"/>
      <c r="DY667" s="2"/>
      <c r="DZ667" s="12"/>
      <c r="EA667" s="12"/>
      <c r="EB667" s="12"/>
      <c r="EC667" s="12"/>
      <c r="ED667" s="12"/>
    </row>
    <row r="668" spans="1:134" ht="12.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12"/>
      <c r="AC668" s="12"/>
      <c r="AD668" s="12"/>
      <c r="AE668" s="2"/>
      <c r="AF668" s="2"/>
      <c r="AG668" s="2"/>
      <c r="AH668" s="2"/>
      <c r="AI668" s="2"/>
      <c r="AJ668" s="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2"/>
      <c r="AY668" s="2"/>
      <c r="AZ668" s="2"/>
      <c r="BA668" s="2"/>
      <c r="BB668" s="2"/>
      <c r="BC668" s="2"/>
      <c r="BD668" s="2"/>
      <c r="BE668" s="2"/>
      <c r="BF668" s="12"/>
      <c r="BG668" s="1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152"/>
      <c r="BV668" s="155"/>
      <c r="BW668" s="12"/>
      <c r="BX668" s="12"/>
      <c r="BY668" s="12"/>
      <c r="BZ668" s="12"/>
      <c r="CA668" s="12"/>
      <c r="CB668" s="12"/>
      <c r="CC668" s="12"/>
      <c r="CD668" s="12"/>
      <c r="CE668" s="12"/>
      <c r="CF668" s="12"/>
      <c r="CG668" s="12"/>
      <c r="CH668" s="12"/>
      <c r="CI668" s="12"/>
      <c r="CJ668" s="12"/>
      <c r="CK668" s="12"/>
      <c r="CL668" s="12"/>
      <c r="CM668" s="12"/>
      <c r="CN668" s="12"/>
      <c r="CO668" s="12"/>
      <c r="CP668" s="12"/>
      <c r="CQ668" s="46"/>
      <c r="CR668" s="46"/>
      <c r="CS668" s="46"/>
      <c r="CT668" s="119"/>
      <c r="CU668" s="119"/>
      <c r="CV668" s="119"/>
      <c r="CW668" s="119"/>
      <c r="CX668" s="120"/>
      <c r="CY668" s="120"/>
      <c r="CZ668" s="120"/>
      <c r="DA668" s="120"/>
      <c r="DB668" s="120"/>
      <c r="DC668" s="120"/>
      <c r="DD668" s="120"/>
      <c r="DE668" s="120"/>
      <c r="DF668" s="120"/>
      <c r="DG668" s="2"/>
      <c r="DH668" s="2"/>
      <c r="DI668" s="2"/>
      <c r="DJ668" s="48"/>
      <c r="DK668" s="48"/>
      <c r="DL668" s="48"/>
      <c r="DM668" s="13"/>
      <c r="DN668" s="13"/>
      <c r="DO668" s="12"/>
      <c r="DP668" s="12"/>
      <c r="DQ668" s="12"/>
      <c r="DR668" s="12"/>
      <c r="DS668" s="12"/>
      <c r="DT668" s="2"/>
      <c r="DU668" s="2"/>
      <c r="DV668" s="12"/>
      <c r="DW668" s="12"/>
      <c r="DX668" s="2"/>
      <c r="DY668" s="2"/>
      <c r="DZ668" s="12"/>
      <c r="EA668" s="12"/>
      <c r="EB668" s="12"/>
      <c r="EC668" s="12"/>
      <c r="ED668" s="12"/>
    </row>
    <row r="669" spans="1:134" ht="12.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12"/>
      <c r="AC669" s="12"/>
      <c r="AD669" s="12"/>
      <c r="AE669" s="2"/>
      <c r="AF669" s="2"/>
      <c r="AG669" s="2"/>
      <c r="AH669" s="2"/>
      <c r="AI669" s="2"/>
      <c r="AJ669" s="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2"/>
      <c r="AY669" s="2"/>
      <c r="AZ669" s="2"/>
      <c r="BA669" s="2"/>
      <c r="BB669" s="2"/>
      <c r="BC669" s="2"/>
      <c r="BD669" s="2"/>
      <c r="BE669" s="2"/>
      <c r="BF669" s="12"/>
      <c r="BG669" s="1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152"/>
      <c r="BV669" s="155"/>
      <c r="BW669" s="12"/>
      <c r="BX669" s="12"/>
      <c r="BY669" s="12"/>
      <c r="BZ669" s="12"/>
      <c r="CA669" s="12"/>
      <c r="CB669" s="12"/>
      <c r="CC669" s="12"/>
      <c r="CD669" s="12"/>
      <c r="CE669" s="12"/>
      <c r="CF669" s="12"/>
      <c r="CG669" s="12"/>
      <c r="CH669" s="12"/>
      <c r="CI669" s="12"/>
      <c r="CJ669" s="12"/>
      <c r="CK669" s="12"/>
      <c r="CL669" s="12"/>
      <c r="CM669" s="12"/>
      <c r="CN669" s="12"/>
      <c r="CO669" s="12"/>
      <c r="CP669" s="12"/>
      <c r="CQ669" s="46"/>
      <c r="CR669" s="46"/>
      <c r="CS669" s="46"/>
      <c r="CT669" s="119"/>
      <c r="CU669" s="119"/>
      <c r="CV669" s="119"/>
      <c r="CW669" s="119"/>
      <c r="CX669" s="120"/>
      <c r="CY669" s="120"/>
      <c r="CZ669" s="120"/>
      <c r="DA669" s="120"/>
      <c r="DB669" s="120"/>
      <c r="DC669" s="120"/>
      <c r="DD669" s="120"/>
      <c r="DE669" s="120"/>
      <c r="DF669" s="120"/>
      <c r="DG669" s="2"/>
      <c r="DH669" s="2"/>
      <c r="DI669" s="2"/>
      <c r="DJ669" s="48"/>
      <c r="DK669" s="48"/>
      <c r="DL669" s="48"/>
      <c r="DM669" s="13"/>
      <c r="DN669" s="13"/>
      <c r="DO669" s="12"/>
      <c r="DP669" s="12"/>
      <c r="DQ669" s="12"/>
      <c r="DR669" s="12"/>
      <c r="DS669" s="12"/>
      <c r="DT669" s="2"/>
      <c r="DU669" s="2"/>
      <c r="DV669" s="12"/>
      <c r="DW669" s="12"/>
      <c r="DX669" s="2"/>
      <c r="DY669" s="2"/>
      <c r="DZ669" s="12"/>
      <c r="EA669" s="12"/>
      <c r="EB669" s="12"/>
      <c r="EC669" s="12"/>
      <c r="ED669" s="12"/>
    </row>
    <row r="670" spans="1:134" ht="12.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12"/>
      <c r="AC670" s="12"/>
      <c r="AD670" s="12"/>
      <c r="AE670" s="2"/>
      <c r="AF670" s="2"/>
      <c r="AG670" s="2"/>
      <c r="AH670" s="2"/>
      <c r="AI670" s="2"/>
      <c r="AJ670" s="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2"/>
      <c r="AY670" s="2"/>
      <c r="AZ670" s="2"/>
      <c r="BA670" s="2"/>
      <c r="BB670" s="2"/>
      <c r="BC670" s="2"/>
      <c r="BD670" s="2"/>
      <c r="BE670" s="2"/>
      <c r="BF670" s="12"/>
      <c r="BG670" s="1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152"/>
      <c r="BV670" s="155"/>
      <c r="BW670" s="12"/>
      <c r="BX670" s="12"/>
      <c r="BY670" s="12"/>
      <c r="BZ670" s="12"/>
      <c r="CA670" s="12"/>
      <c r="CB670" s="12"/>
      <c r="CC670" s="12"/>
      <c r="CD670" s="12"/>
      <c r="CE670" s="12"/>
      <c r="CF670" s="12"/>
      <c r="CG670" s="12"/>
      <c r="CH670" s="12"/>
      <c r="CI670" s="12"/>
      <c r="CJ670" s="12"/>
      <c r="CK670" s="12"/>
      <c r="CL670" s="12"/>
      <c r="CM670" s="12"/>
      <c r="CN670" s="12"/>
      <c r="CO670" s="12"/>
      <c r="CP670" s="12"/>
      <c r="CQ670" s="46"/>
      <c r="CR670" s="46"/>
      <c r="CS670" s="46"/>
      <c r="CT670" s="119"/>
      <c r="CU670" s="119"/>
      <c r="CV670" s="119"/>
      <c r="CW670" s="119"/>
      <c r="CX670" s="120"/>
      <c r="CY670" s="120"/>
      <c r="CZ670" s="120"/>
      <c r="DA670" s="120"/>
      <c r="DB670" s="120"/>
      <c r="DC670" s="120"/>
      <c r="DD670" s="120"/>
      <c r="DE670" s="120"/>
      <c r="DF670" s="120"/>
      <c r="DG670" s="2"/>
      <c r="DH670" s="2"/>
      <c r="DI670" s="2"/>
      <c r="DJ670" s="48"/>
      <c r="DK670" s="48"/>
      <c r="DL670" s="48"/>
      <c r="DM670" s="13"/>
      <c r="DN670" s="13"/>
      <c r="DO670" s="12"/>
      <c r="DP670" s="12"/>
      <c r="DQ670" s="12"/>
      <c r="DR670" s="12"/>
      <c r="DS670" s="12"/>
      <c r="DT670" s="2"/>
      <c r="DU670" s="2"/>
      <c r="DV670" s="12"/>
      <c r="DW670" s="12"/>
      <c r="DX670" s="2"/>
      <c r="DY670" s="2"/>
      <c r="DZ670" s="12"/>
      <c r="EA670" s="12"/>
      <c r="EB670" s="12"/>
      <c r="EC670" s="12"/>
      <c r="ED670" s="12"/>
    </row>
    <row r="671" spans="1:134" ht="12.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12"/>
      <c r="AC671" s="12"/>
      <c r="AD671" s="12"/>
      <c r="AE671" s="2"/>
      <c r="AF671" s="2"/>
      <c r="AG671" s="2"/>
      <c r="AH671" s="2"/>
      <c r="AI671" s="2"/>
      <c r="AJ671" s="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2"/>
      <c r="AY671" s="2"/>
      <c r="AZ671" s="2"/>
      <c r="BA671" s="2"/>
      <c r="BB671" s="2"/>
      <c r="BC671" s="2"/>
      <c r="BD671" s="2"/>
      <c r="BE671" s="2"/>
      <c r="BF671" s="12"/>
      <c r="BG671" s="1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152"/>
      <c r="BV671" s="155"/>
      <c r="BW671" s="12"/>
      <c r="BX671" s="12"/>
      <c r="BY671" s="12"/>
      <c r="BZ671" s="12"/>
      <c r="CA671" s="12"/>
      <c r="CB671" s="12"/>
      <c r="CC671" s="12"/>
      <c r="CD671" s="12"/>
      <c r="CE671" s="12"/>
      <c r="CF671" s="12"/>
      <c r="CG671" s="12"/>
      <c r="CH671" s="12"/>
      <c r="CI671" s="12"/>
      <c r="CJ671" s="12"/>
      <c r="CK671" s="12"/>
      <c r="CL671" s="12"/>
      <c r="CM671" s="12"/>
      <c r="CN671" s="12"/>
      <c r="CO671" s="12"/>
      <c r="CP671" s="12"/>
      <c r="CQ671" s="46"/>
      <c r="CR671" s="46"/>
      <c r="CS671" s="46"/>
      <c r="CT671" s="119"/>
      <c r="CU671" s="119"/>
      <c r="CV671" s="119"/>
      <c r="CW671" s="119"/>
      <c r="CX671" s="120"/>
      <c r="CY671" s="120"/>
      <c r="CZ671" s="120"/>
      <c r="DA671" s="120"/>
      <c r="DB671" s="120"/>
      <c r="DC671" s="120"/>
      <c r="DD671" s="120"/>
      <c r="DE671" s="120"/>
      <c r="DF671" s="120"/>
      <c r="DG671" s="2"/>
      <c r="DH671" s="2"/>
      <c r="DI671" s="2"/>
      <c r="DJ671" s="48"/>
      <c r="DK671" s="48"/>
      <c r="DL671" s="48"/>
      <c r="DM671" s="13"/>
      <c r="DN671" s="13"/>
      <c r="DO671" s="12"/>
      <c r="DP671" s="12"/>
      <c r="DQ671" s="12"/>
      <c r="DR671" s="12"/>
      <c r="DS671" s="12"/>
      <c r="DT671" s="2"/>
      <c r="DU671" s="2"/>
      <c r="DV671" s="12"/>
      <c r="DW671" s="12"/>
      <c r="DX671" s="2"/>
      <c r="DY671" s="2"/>
      <c r="DZ671" s="12"/>
      <c r="EA671" s="12"/>
      <c r="EB671" s="12"/>
      <c r="EC671" s="12"/>
      <c r="ED671" s="12"/>
    </row>
    <row r="672" spans="1:134" ht="12.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12"/>
      <c r="AC672" s="12"/>
      <c r="AD672" s="12"/>
      <c r="AE672" s="2"/>
      <c r="AF672" s="2"/>
      <c r="AG672" s="2"/>
      <c r="AH672" s="2"/>
      <c r="AI672" s="2"/>
      <c r="AJ672" s="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2"/>
      <c r="AY672" s="2"/>
      <c r="AZ672" s="2"/>
      <c r="BA672" s="2"/>
      <c r="BB672" s="2"/>
      <c r="BC672" s="2"/>
      <c r="BD672" s="2"/>
      <c r="BE672" s="2"/>
      <c r="BF672" s="12"/>
      <c r="BG672" s="1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152"/>
      <c r="BV672" s="155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46"/>
      <c r="CR672" s="46"/>
      <c r="CS672" s="46"/>
      <c r="CT672" s="119"/>
      <c r="CU672" s="119"/>
      <c r="CV672" s="119"/>
      <c r="CW672" s="119"/>
      <c r="CX672" s="120"/>
      <c r="CY672" s="120"/>
      <c r="CZ672" s="120"/>
      <c r="DA672" s="120"/>
      <c r="DB672" s="120"/>
      <c r="DC672" s="120"/>
      <c r="DD672" s="120"/>
      <c r="DE672" s="120"/>
      <c r="DF672" s="120"/>
      <c r="DG672" s="2"/>
      <c r="DH672" s="2"/>
      <c r="DI672" s="2"/>
      <c r="DJ672" s="48"/>
      <c r="DK672" s="48"/>
      <c r="DL672" s="48"/>
      <c r="DM672" s="13"/>
      <c r="DN672" s="13"/>
      <c r="DO672" s="12"/>
      <c r="DP672" s="12"/>
      <c r="DQ672" s="12"/>
      <c r="DR672" s="12"/>
      <c r="DS672" s="12"/>
      <c r="DT672" s="2"/>
      <c r="DU672" s="2"/>
      <c r="DV672" s="12"/>
      <c r="DW672" s="12"/>
      <c r="DX672" s="2"/>
      <c r="DY672" s="2"/>
      <c r="DZ672" s="12"/>
      <c r="EA672" s="12"/>
      <c r="EB672" s="12"/>
      <c r="EC672" s="12"/>
      <c r="ED672" s="12"/>
    </row>
    <row r="673" spans="1:134" ht="12.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12"/>
      <c r="AC673" s="12"/>
      <c r="AD673" s="12"/>
      <c r="AE673" s="2"/>
      <c r="AF673" s="2"/>
      <c r="AG673" s="2"/>
      <c r="AH673" s="2"/>
      <c r="AI673" s="2"/>
      <c r="AJ673" s="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2"/>
      <c r="AY673" s="2"/>
      <c r="AZ673" s="2"/>
      <c r="BA673" s="2"/>
      <c r="BB673" s="2"/>
      <c r="BC673" s="2"/>
      <c r="BD673" s="2"/>
      <c r="BE673" s="2"/>
      <c r="BF673" s="12"/>
      <c r="BG673" s="1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152"/>
      <c r="BV673" s="155"/>
      <c r="BW673" s="12"/>
      <c r="BX673" s="12"/>
      <c r="BY673" s="12"/>
      <c r="BZ673" s="12"/>
      <c r="CA673" s="12"/>
      <c r="CB673" s="12"/>
      <c r="CC673" s="12"/>
      <c r="CD673" s="12"/>
      <c r="CE673" s="12"/>
      <c r="CF673" s="12"/>
      <c r="CG673" s="12"/>
      <c r="CH673" s="12"/>
      <c r="CI673" s="12"/>
      <c r="CJ673" s="12"/>
      <c r="CK673" s="12"/>
      <c r="CL673" s="12"/>
      <c r="CM673" s="12"/>
      <c r="CN673" s="12"/>
      <c r="CO673" s="12"/>
      <c r="CP673" s="12"/>
      <c r="CQ673" s="46"/>
      <c r="CR673" s="46"/>
      <c r="CS673" s="46"/>
      <c r="CT673" s="119"/>
      <c r="CU673" s="119"/>
      <c r="CV673" s="119"/>
      <c r="CW673" s="119"/>
      <c r="CX673" s="120"/>
      <c r="CY673" s="120"/>
      <c r="CZ673" s="120"/>
      <c r="DA673" s="120"/>
      <c r="DB673" s="120"/>
      <c r="DC673" s="120"/>
      <c r="DD673" s="120"/>
      <c r="DE673" s="120"/>
      <c r="DF673" s="120"/>
      <c r="DG673" s="2"/>
      <c r="DH673" s="2"/>
      <c r="DI673" s="2"/>
      <c r="DJ673" s="48"/>
      <c r="DK673" s="48"/>
      <c r="DL673" s="48"/>
      <c r="DM673" s="13"/>
      <c r="DN673" s="13"/>
      <c r="DO673" s="12"/>
      <c r="DP673" s="12"/>
      <c r="DQ673" s="12"/>
      <c r="DR673" s="12"/>
      <c r="DS673" s="12"/>
      <c r="DT673" s="2"/>
      <c r="DU673" s="2"/>
      <c r="DV673" s="12"/>
      <c r="DW673" s="12"/>
      <c r="DX673" s="2"/>
      <c r="DY673" s="2"/>
      <c r="DZ673" s="12"/>
      <c r="EA673" s="12"/>
      <c r="EB673" s="12"/>
      <c r="EC673" s="12"/>
      <c r="ED673" s="12"/>
    </row>
    <row r="674" spans="1:134" ht="12.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12"/>
      <c r="AC674" s="12"/>
      <c r="AD674" s="12"/>
      <c r="AE674" s="2"/>
      <c r="AF674" s="2"/>
      <c r="AG674" s="2"/>
      <c r="AH674" s="2"/>
      <c r="AI674" s="2"/>
      <c r="AJ674" s="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2"/>
      <c r="AY674" s="2"/>
      <c r="AZ674" s="2"/>
      <c r="BA674" s="2"/>
      <c r="BB674" s="2"/>
      <c r="BC674" s="2"/>
      <c r="BD674" s="2"/>
      <c r="BE674" s="2"/>
      <c r="BF674" s="12"/>
      <c r="BG674" s="1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152"/>
      <c r="BV674" s="155"/>
      <c r="BW674" s="12"/>
      <c r="BX674" s="12"/>
      <c r="BY674" s="12"/>
      <c r="BZ674" s="12"/>
      <c r="CA674" s="12"/>
      <c r="CB674" s="12"/>
      <c r="CC674" s="12"/>
      <c r="CD674" s="12"/>
      <c r="CE674" s="12"/>
      <c r="CF674" s="12"/>
      <c r="CG674" s="12"/>
      <c r="CH674" s="12"/>
      <c r="CI674" s="12"/>
      <c r="CJ674" s="12"/>
      <c r="CK674" s="12"/>
      <c r="CL674" s="12"/>
      <c r="CM674" s="12"/>
      <c r="CN674" s="12"/>
      <c r="CO674" s="12"/>
      <c r="CP674" s="12"/>
      <c r="CQ674" s="46"/>
      <c r="CR674" s="46"/>
      <c r="CS674" s="46"/>
      <c r="CT674" s="119"/>
      <c r="CU674" s="119"/>
      <c r="CV674" s="119"/>
      <c r="CW674" s="119"/>
      <c r="CX674" s="120"/>
      <c r="CY674" s="120"/>
      <c r="CZ674" s="120"/>
      <c r="DA674" s="120"/>
      <c r="DB674" s="120"/>
      <c r="DC674" s="120"/>
      <c r="DD674" s="120"/>
      <c r="DE674" s="120"/>
      <c r="DF674" s="120"/>
      <c r="DG674" s="2"/>
      <c r="DH674" s="2"/>
      <c r="DI674" s="2"/>
      <c r="DJ674" s="48"/>
      <c r="DK674" s="48"/>
      <c r="DL674" s="48"/>
      <c r="DM674" s="13"/>
      <c r="DN674" s="13"/>
      <c r="DO674" s="12"/>
      <c r="DP674" s="12"/>
      <c r="DQ674" s="12"/>
      <c r="DR674" s="12"/>
      <c r="DS674" s="12"/>
      <c r="DT674" s="2"/>
      <c r="DU674" s="2"/>
      <c r="DV674" s="12"/>
      <c r="DW674" s="12"/>
      <c r="DX674" s="2"/>
      <c r="DY674" s="2"/>
      <c r="DZ674" s="12"/>
      <c r="EA674" s="12"/>
      <c r="EB674" s="12"/>
      <c r="EC674" s="12"/>
      <c r="ED674" s="12"/>
    </row>
    <row r="675" spans="1:134" ht="12.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12"/>
      <c r="AC675" s="12"/>
      <c r="AD675" s="12"/>
      <c r="AE675" s="2"/>
      <c r="AF675" s="2"/>
      <c r="AG675" s="2"/>
      <c r="AH675" s="2"/>
      <c r="AI675" s="2"/>
      <c r="AJ675" s="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2"/>
      <c r="AY675" s="2"/>
      <c r="AZ675" s="2"/>
      <c r="BA675" s="2"/>
      <c r="BB675" s="2"/>
      <c r="BC675" s="2"/>
      <c r="BD675" s="2"/>
      <c r="BE675" s="2"/>
      <c r="BF675" s="12"/>
      <c r="BG675" s="1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152"/>
      <c r="BV675" s="155"/>
      <c r="BW675" s="12"/>
      <c r="BX675" s="12"/>
      <c r="BY675" s="12"/>
      <c r="BZ675" s="12"/>
      <c r="CA675" s="12"/>
      <c r="CB675" s="12"/>
      <c r="CC675" s="12"/>
      <c r="CD675" s="12"/>
      <c r="CE675" s="12"/>
      <c r="CF675" s="12"/>
      <c r="CG675" s="12"/>
      <c r="CH675" s="12"/>
      <c r="CI675" s="12"/>
      <c r="CJ675" s="12"/>
      <c r="CK675" s="12"/>
      <c r="CL675" s="12"/>
      <c r="CM675" s="12"/>
      <c r="CN675" s="12"/>
      <c r="CO675" s="12"/>
      <c r="CP675" s="12"/>
      <c r="CQ675" s="46"/>
      <c r="CR675" s="46"/>
      <c r="CS675" s="46"/>
      <c r="CT675" s="119"/>
      <c r="CU675" s="119"/>
      <c r="CV675" s="119"/>
      <c r="CW675" s="119"/>
      <c r="CX675" s="120"/>
      <c r="CY675" s="120"/>
      <c r="CZ675" s="120"/>
      <c r="DA675" s="120"/>
      <c r="DB675" s="120"/>
      <c r="DC675" s="120"/>
      <c r="DD675" s="120"/>
      <c r="DE675" s="120"/>
      <c r="DF675" s="120"/>
      <c r="DG675" s="2"/>
      <c r="DH675" s="2"/>
      <c r="DI675" s="2"/>
      <c r="DJ675" s="48"/>
      <c r="DK675" s="48"/>
      <c r="DL675" s="48"/>
      <c r="DM675" s="13"/>
      <c r="DN675" s="13"/>
      <c r="DO675" s="12"/>
      <c r="DP675" s="12"/>
      <c r="DQ675" s="12"/>
      <c r="DR675" s="12"/>
      <c r="DS675" s="12"/>
      <c r="DT675" s="2"/>
      <c r="DU675" s="2"/>
      <c r="DV675" s="12"/>
      <c r="DW675" s="12"/>
      <c r="DX675" s="2"/>
      <c r="DY675" s="2"/>
      <c r="DZ675" s="12"/>
      <c r="EA675" s="12"/>
      <c r="EB675" s="12"/>
      <c r="EC675" s="12"/>
      <c r="ED675" s="12"/>
    </row>
    <row r="676" spans="1:134" ht="12.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12"/>
      <c r="AC676" s="12"/>
      <c r="AD676" s="12"/>
      <c r="AE676" s="2"/>
      <c r="AF676" s="2"/>
      <c r="AG676" s="2"/>
      <c r="AH676" s="2"/>
      <c r="AI676" s="2"/>
      <c r="AJ676" s="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2"/>
      <c r="AY676" s="2"/>
      <c r="AZ676" s="2"/>
      <c r="BA676" s="2"/>
      <c r="BB676" s="2"/>
      <c r="BC676" s="2"/>
      <c r="BD676" s="2"/>
      <c r="BE676" s="2"/>
      <c r="BF676" s="12"/>
      <c r="BG676" s="1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152"/>
      <c r="BV676" s="155"/>
      <c r="BW676" s="12"/>
      <c r="BX676" s="12"/>
      <c r="BY676" s="12"/>
      <c r="BZ676" s="12"/>
      <c r="CA676" s="12"/>
      <c r="CB676" s="12"/>
      <c r="CC676" s="12"/>
      <c r="CD676" s="12"/>
      <c r="CE676" s="12"/>
      <c r="CF676" s="12"/>
      <c r="CG676" s="12"/>
      <c r="CH676" s="12"/>
      <c r="CI676" s="12"/>
      <c r="CJ676" s="12"/>
      <c r="CK676" s="12"/>
      <c r="CL676" s="12"/>
      <c r="CM676" s="12"/>
      <c r="CN676" s="12"/>
      <c r="CO676" s="12"/>
      <c r="CP676" s="12"/>
      <c r="CQ676" s="46"/>
      <c r="CR676" s="46"/>
      <c r="CS676" s="46"/>
      <c r="CT676" s="119"/>
      <c r="CU676" s="119"/>
      <c r="CV676" s="119"/>
      <c r="CW676" s="119"/>
      <c r="CX676" s="120"/>
      <c r="CY676" s="120"/>
      <c r="CZ676" s="120"/>
      <c r="DA676" s="120"/>
      <c r="DB676" s="120"/>
      <c r="DC676" s="120"/>
      <c r="DD676" s="120"/>
      <c r="DE676" s="120"/>
      <c r="DF676" s="120"/>
      <c r="DG676" s="2"/>
      <c r="DH676" s="2"/>
      <c r="DI676" s="2"/>
      <c r="DJ676" s="48"/>
      <c r="DK676" s="48"/>
      <c r="DL676" s="48"/>
      <c r="DM676" s="13"/>
      <c r="DN676" s="13"/>
      <c r="DO676" s="12"/>
      <c r="DP676" s="12"/>
      <c r="DQ676" s="12"/>
      <c r="DR676" s="12"/>
      <c r="DS676" s="12"/>
      <c r="DT676" s="2"/>
      <c r="DU676" s="2"/>
      <c r="DV676" s="12"/>
      <c r="DW676" s="12"/>
      <c r="DX676" s="2"/>
      <c r="DY676" s="2"/>
      <c r="DZ676" s="12"/>
      <c r="EA676" s="12"/>
      <c r="EB676" s="12"/>
      <c r="EC676" s="12"/>
      <c r="ED676" s="12"/>
    </row>
    <row r="677" spans="1:134" ht="12.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12"/>
      <c r="AC677" s="12"/>
      <c r="AD677" s="12"/>
      <c r="AE677" s="2"/>
      <c r="AF677" s="2"/>
      <c r="AG677" s="2"/>
      <c r="AH677" s="2"/>
      <c r="AI677" s="2"/>
      <c r="AJ677" s="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2"/>
      <c r="AY677" s="2"/>
      <c r="AZ677" s="2"/>
      <c r="BA677" s="2"/>
      <c r="BB677" s="2"/>
      <c r="BC677" s="2"/>
      <c r="BD677" s="2"/>
      <c r="BE677" s="2"/>
      <c r="BF677" s="12"/>
      <c r="BG677" s="1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152"/>
      <c r="BV677" s="155"/>
      <c r="BW677" s="12"/>
      <c r="BX677" s="12"/>
      <c r="BY677" s="12"/>
      <c r="BZ677" s="12"/>
      <c r="CA677" s="12"/>
      <c r="CB677" s="12"/>
      <c r="CC677" s="12"/>
      <c r="CD677" s="12"/>
      <c r="CE677" s="12"/>
      <c r="CF677" s="12"/>
      <c r="CG677" s="12"/>
      <c r="CH677" s="12"/>
      <c r="CI677" s="12"/>
      <c r="CJ677" s="12"/>
      <c r="CK677" s="12"/>
      <c r="CL677" s="12"/>
      <c r="CM677" s="12"/>
      <c r="CN677" s="12"/>
      <c r="CO677" s="12"/>
      <c r="CP677" s="12"/>
      <c r="CQ677" s="46"/>
      <c r="CR677" s="46"/>
      <c r="CS677" s="46"/>
      <c r="CT677" s="119"/>
      <c r="CU677" s="119"/>
      <c r="CV677" s="119"/>
      <c r="CW677" s="119"/>
      <c r="CX677" s="120"/>
      <c r="CY677" s="120"/>
      <c r="CZ677" s="120"/>
      <c r="DA677" s="120"/>
      <c r="DB677" s="120"/>
      <c r="DC677" s="120"/>
      <c r="DD677" s="120"/>
      <c r="DE677" s="120"/>
      <c r="DF677" s="120"/>
      <c r="DG677" s="2"/>
      <c r="DH677" s="2"/>
      <c r="DI677" s="2"/>
      <c r="DJ677" s="48"/>
      <c r="DK677" s="48"/>
      <c r="DL677" s="48"/>
      <c r="DM677" s="13"/>
      <c r="DN677" s="13"/>
      <c r="DO677" s="12"/>
      <c r="DP677" s="12"/>
      <c r="DQ677" s="12"/>
      <c r="DR677" s="12"/>
      <c r="DS677" s="12"/>
      <c r="DT677" s="2"/>
      <c r="DU677" s="2"/>
      <c r="DV677" s="12"/>
      <c r="DW677" s="12"/>
      <c r="DX677" s="2"/>
      <c r="DY677" s="2"/>
      <c r="DZ677" s="12"/>
      <c r="EA677" s="12"/>
      <c r="EB677" s="12"/>
      <c r="EC677" s="12"/>
      <c r="ED677" s="12"/>
    </row>
    <row r="678" spans="1:134" ht="12.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12"/>
      <c r="AC678" s="12"/>
      <c r="AD678" s="12"/>
      <c r="AE678" s="2"/>
      <c r="AF678" s="2"/>
      <c r="AG678" s="2"/>
      <c r="AH678" s="2"/>
      <c r="AI678" s="2"/>
      <c r="AJ678" s="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2"/>
      <c r="AY678" s="2"/>
      <c r="AZ678" s="2"/>
      <c r="BA678" s="2"/>
      <c r="BB678" s="2"/>
      <c r="BC678" s="2"/>
      <c r="BD678" s="2"/>
      <c r="BE678" s="2"/>
      <c r="BF678" s="12"/>
      <c r="BG678" s="1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152"/>
      <c r="BV678" s="155"/>
      <c r="BW678" s="12"/>
      <c r="BX678" s="12"/>
      <c r="BY678" s="12"/>
      <c r="BZ678" s="12"/>
      <c r="CA678" s="12"/>
      <c r="CB678" s="12"/>
      <c r="CC678" s="12"/>
      <c r="CD678" s="12"/>
      <c r="CE678" s="12"/>
      <c r="CF678" s="12"/>
      <c r="CG678" s="12"/>
      <c r="CH678" s="12"/>
      <c r="CI678" s="12"/>
      <c r="CJ678" s="12"/>
      <c r="CK678" s="12"/>
      <c r="CL678" s="12"/>
      <c r="CM678" s="12"/>
      <c r="CN678" s="12"/>
      <c r="CO678" s="12"/>
      <c r="CP678" s="12"/>
      <c r="CQ678" s="46"/>
      <c r="CR678" s="46"/>
      <c r="CS678" s="46"/>
      <c r="CT678" s="119"/>
      <c r="CU678" s="119"/>
      <c r="CV678" s="119"/>
      <c r="CW678" s="119"/>
      <c r="CX678" s="120"/>
      <c r="CY678" s="120"/>
      <c r="CZ678" s="120"/>
      <c r="DA678" s="120"/>
      <c r="DB678" s="120"/>
      <c r="DC678" s="120"/>
      <c r="DD678" s="120"/>
      <c r="DE678" s="120"/>
      <c r="DF678" s="120"/>
      <c r="DG678" s="2"/>
      <c r="DH678" s="2"/>
      <c r="DI678" s="2"/>
      <c r="DJ678" s="48"/>
      <c r="DK678" s="48"/>
      <c r="DL678" s="48"/>
      <c r="DM678" s="13"/>
      <c r="DN678" s="13"/>
      <c r="DO678" s="12"/>
      <c r="DP678" s="12"/>
      <c r="DQ678" s="12"/>
      <c r="DR678" s="12"/>
      <c r="DS678" s="12"/>
      <c r="DT678" s="2"/>
      <c r="DU678" s="2"/>
      <c r="DV678" s="12"/>
      <c r="DW678" s="12"/>
      <c r="DX678" s="2"/>
      <c r="DY678" s="2"/>
      <c r="DZ678" s="12"/>
      <c r="EA678" s="12"/>
      <c r="EB678" s="12"/>
      <c r="EC678" s="12"/>
      <c r="ED678" s="12"/>
    </row>
    <row r="679" spans="1:134" ht="12.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12"/>
      <c r="AC679" s="12"/>
      <c r="AD679" s="12"/>
      <c r="AE679" s="2"/>
      <c r="AF679" s="2"/>
      <c r="AG679" s="2"/>
      <c r="AH679" s="2"/>
      <c r="AI679" s="2"/>
      <c r="AJ679" s="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2"/>
      <c r="AY679" s="2"/>
      <c r="AZ679" s="2"/>
      <c r="BA679" s="2"/>
      <c r="BB679" s="2"/>
      <c r="BC679" s="2"/>
      <c r="BD679" s="2"/>
      <c r="BE679" s="2"/>
      <c r="BF679" s="12"/>
      <c r="BG679" s="1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152"/>
      <c r="BV679" s="155"/>
      <c r="BW679" s="12"/>
      <c r="BX679" s="12"/>
      <c r="BY679" s="12"/>
      <c r="BZ679" s="12"/>
      <c r="CA679" s="12"/>
      <c r="CB679" s="12"/>
      <c r="CC679" s="12"/>
      <c r="CD679" s="12"/>
      <c r="CE679" s="12"/>
      <c r="CF679" s="12"/>
      <c r="CG679" s="12"/>
      <c r="CH679" s="12"/>
      <c r="CI679" s="12"/>
      <c r="CJ679" s="12"/>
      <c r="CK679" s="12"/>
      <c r="CL679" s="12"/>
      <c r="CM679" s="12"/>
      <c r="CN679" s="12"/>
      <c r="CO679" s="12"/>
      <c r="CP679" s="12"/>
      <c r="CQ679" s="46"/>
      <c r="CR679" s="46"/>
      <c r="CS679" s="46"/>
      <c r="CT679" s="119"/>
      <c r="CU679" s="119"/>
      <c r="CV679" s="119"/>
      <c r="CW679" s="119"/>
      <c r="CX679" s="120"/>
      <c r="CY679" s="120"/>
      <c r="CZ679" s="120"/>
      <c r="DA679" s="120"/>
      <c r="DB679" s="120"/>
      <c r="DC679" s="120"/>
      <c r="DD679" s="120"/>
      <c r="DE679" s="120"/>
      <c r="DF679" s="120"/>
      <c r="DG679" s="2"/>
      <c r="DH679" s="2"/>
      <c r="DI679" s="2"/>
      <c r="DJ679" s="48"/>
      <c r="DK679" s="48"/>
      <c r="DL679" s="48"/>
      <c r="DM679" s="13"/>
      <c r="DN679" s="13"/>
      <c r="DO679" s="12"/>
      <c r="DP679" s="12"/>
      <c r="DQ679" s="12"/>
      <c r="DR679" s="12"/>
      <c r="DS679" s="12"/>
      <c r="DT679" s="2"/>
      <c r="DU679" s="2"/>
      <c r="DV679" s="12"/>
      <c r="DW679" s="12"/>
      <c r="DX679" s="2"/>
      <c r="DY679" s="2"/>
      <c r="DZ679" s="12"/>
      <c r="EA679" s="12"/>
      <c r="EB679" s="12"/>
      <c r="EC679" s="12"/>
      <c r="ED679" s="12"/>
    </row>
    <row r="680" spans="1:134" ht="12.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12"/>
      <c r="AC680" s="12"/>
      <c r="AD680" s="12"/>
      <c r="AE680" s="2"/>
      <c r="AF680" s="2"/>
      <c r="AG680" s="2"/>
      <c r="AH680" s="2"/>
      <c r="AI680" s="2"/>
      <c r="AJ680" s="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2"/>
      <c r="AY680" s="2"/>
      <c r="AZ680" s="2"/>
      <c r="BA680" s="2"/>
      <c r="BB680" s="2"/>
      <c r="BC680" s="2"/>
      <c r="BD680" s="2"/>
      <c r="BE680" s="2"/>
      <c r="BF680" s="12"/>
      <c r="BG680" s="1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152"/>
      <c r="BV680" s="155"/>
      <c r="BW680" s="12"/>
      <c r="BX680" s="12"/>
      <c r="BY680" s="12"/>
      <c r="BZ680" s="12"/>
      <c r="CA680" s="12"/>
      <c r="CB680" s="12"/>
      <c r="CC680" s="12"/>
      <c r="CD680" s="12"/>
      <c r="CE680" s="12"/>
      <c r="CF680" s="12"/>
      <c r="CG680" s="12"/>
      <c r="CH680" s="12"/>
      <c r="CI680" s="12"/>
      <c r="CJ680" s="12"/>
      <c r="CK680" s="12"/>
      <c r="CL680" s="12"/>
      <c r="CM680" s="12"/>
      <c r="CN680" s="12"/>
      <c r="CO680" s="12"/>
      <c r="CP680" s="12"/>
      <c r="CQ680" s="46"/>
      <c r="CR680" s="46"/>
      <c r="CS680" s="46"/>
      <c r="CT680" s="119"/>
      <c r="CU680" s="119"/>
      <c r="CV680" s="119"/>
      <c r="CW680" s="119"/>
      <c r="CX680" s="120"/>
      <c r="CY680" s="120"/>
      <c r="CZ680" s="120"/>
      <c r="DA680" s="120"/>
      <c r="DB680" s="120"/>
      <c r="DC680" s="120"/>
      <c r="DD680" s="120"/>
      <c r="DE680" s="120"/>
      <c r="DF680" s="120"/>
      <c r="DG680" s="2"/>
      <c r="DH680" s="2"/>
      <c r="DI680" s="2"/>
      <c r="DJ680" s="48"/>
      <c r="DK680" s="48"/>
      <c r="DL680" s="48"/>
      <c r="DM680" s="13"/>
      <c r="DN680" s="13"/>
      <c r="DO680" s="12"/>
      <c r="DP680" s="12"/>
      <c r="DQ680" s="12"/>
      <c r="DR680" s="12"/>
      <c r="DS680" s="12"/>
      <c r="DT680" s="2"/>
      <c r="DU680" s="2"/>
      <c r="DV680" s="12"/>
      <c r="DW680" s="12"/>
      <c r="DX680" s="2"/>
      <c r="DY680" s="2"/>
      <c r="DZ680" s="12"/>
      <c r="EA680" s="12"/>
      <c r="EB680" s="12"/>
      <c r="EC680" s="12"/>
      <c r="ED680" s="12"/>
    </row>
    <row r="681" spans="1:134" ht="12.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12"/>
      <c r="AC681" s="12"/>
      <c r="AD681" s="12"/>
      <c r="AE681" s="2"/>
      <c r="AF681" s="2"/>
      <c r="AG681" s="2"/>
      <c r="AH681" s="2"/>
      <c r="AI681" s="2"/>
      <c r="AJ681" s="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2"/>
      <c r="AY681" s="2"/>
      <c r="AZ681" s="2"/>
      <c r="BA681" s="2"/>
      <c r="BB681" s="2"/>
      <c r="BC681" s="2"/>
      <c r="BD681" s="2"/>
      <c r="BE681" s="2"/>
      <c r="BF681" s="12"/>
      <c r="BG681" s="1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152"/>
      <c r="BV681" s="155"/>
      <c r="BW681" s="12"/>
      <c r="BX681" s="12"/>
      <c r="BY681" s="12"/>
      <c r="BZ681" s="12"/>
      <c r="CA681" s="12"/>
      <c r="CB681" s="12"/>
      <c r="CC681" s="12"/>
      <c r="CD681" s="12"/>
      <c r="CE681" s="12"/>
      <c r="CF681" s="12"/>
      <c r="CG681" s="12"/>
      <c r="CH681" s="12"/>
      <c r="CI681" s="12"/>
      <c r="CJ681" s="12"/>
      <c r="CK681" s="12"/>
      <c r="CL681" s="12"/>
      <c r="CM681" s="12"/>
      <c r="CN681" s="12"/>
      <c r="CO681" s="12"/>
      <c r="CP681" s="12"/>
      <c r="CQ681" s="46"/>
      <c r="CR681" s="46"/>
      <c r="CS681" s="46"/>
      <c r="CT681" s="119"/>
      <c r="CU681" s="119"/>
      <c r="CV681" s="119"/>
      <c r="CW681" s="119"/>
      <c r="CX681" s="120"/>
      <c r="CY681" s="120"/>
      <c r="CZ681" s="120"/>
      <c r="DA681" s="120"/>
      <c r="DB681" s="120"/>
      <c r="DC681" s="120"/>
      <c r="DD681" s="120"/>
      <c r="DE681" s="120"/>
      <c r="DF681" s="120"/>
      <c r="DG681" s="2"/>
      <c r="DH681" s="2"/>
      <c r="DI681" s="2"/>
      <c r="DJ681" s="48"/>
      <c r="DK681" s="48"/>
      <c r="DL681" s="48"/>
      <c r="DM681" s="13"/>
      <c r="DN681" s="13"/>
      <c r="DO681" s="12"/>
      <c r="DP681" s="12"/>
      <c r="DQ681" s="12"/>
      <c r="DR681" s="12"/>
      <c r="DS681" s="12"/>
      <c r="DT681" s="2"/>
      <c r="DU681" s="2"/>
      <c r="DV681" s="12"/>
      <c r="DW681" s="12"/>
      <c r="DX681" s="2"/>
      <c r="DY681" s="2"/>
      <c r="DZ681" s="12"/>
      <c r="EA681" s="12"/>
      <c r="EB681" s="12"/>
      <c r="EC681" s="12"/>
      <c r="ED681" s="12"/>
    </row>
    <row r="682" spans="1:134" ht="12.5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12"/>
      <c r="AC682" s="12"/>
      <c r="AD682" s="12"/>
      <c r="AE682" s="2"/>
      <c r="AF682" s="2"/>
      <c r="AG682" s="2"/>
      <c r="AH682" s="2"/>
      <c r="AI682" s="2"/>
      <c r="AJ682" s="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2"/>
      <c r="AY682" s="2"/>
      <c r="AZ682" s="2"/>
      <c r="BA682" s="2"/>
      <c r="BB682" s="2"/>
      <c r="BC682" s="2"/>
      <c r="BD682" s="2"/>
      <c r="BE682" s="2"/>
      <c r="BF682" s="12"/>
      <c r="BG682" s="1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152"/>
      <c r="BV682" s="155"/>
      <c r="BW682" s="12"/>
      <c r="BX682" s="12"/>
      <c r="BY682" s="12"/>
      <c r="BZ682" s="12"/>
      <c r="CA682" s="12"/>
      <c r="CB682" s="12"/>
      <c r="CC682" s="12"/>
      <c r="CD682" s="12"/>
      <c r="CE682" s="12"/>
      <c r="CF682" s="12"/>
      <c r="CG682" s="12"/>
      <c r="CH682" s="12"/>
      <c r="CI682" s="12"/>
      <c r="CJ682" s="12"/>
      <c r="CK682" s="12"/>
      <c r="CL682" s="12"/>
      <c r="CM682" s="12"/>
      <c r="CN682" s="12"/>
      <c r="CO682" s="12"/>
      <c r="CP682" s="12"/>
      <c r="CQ682" s="46"/>
      <c r="CR682" s="46"/>
      <c r="CS682" s="46"/>
      <c r="CT682" s="119"/>
      <c r="CU682" s="119"/>
      <c r="CV682" s="119"/>
      <c r="CW682" s="119"/>
      <c r="CX682" s="120"/>
      <c r="CY682" s="120"/>
      <c r="CZ682" s="120"/>
      <c r="DA682" s="120"/>
      <c r="DB682" s="120"/>
      <c r="DC682" s="120"/>
      <c r="DD682" s="120"/>
      <c r="DE682" s="120"/>
      <c r="DF682" s="120"/>
      <c r="DG682" s="2"/>
      <c r="DH682" s="2"/>
      <c r="DI682" s="2"/>
      <c r="DJ682" s="48"/>
      <c r="DK682" s="48"/>
      <c r="DL682" s="48"/>
      <c r="DM682" s="13"/>
      <c r="DN682" s="13"/>
      <c r="DO682" s="12"/>
      <c r="DP682" s="12"/>
      <c r="DQ682" s="12"/>
      <c r="DR682" s="12"/>
      <c r="DS682" s="12"/>
      <c r="DT682" s="2"/>
      <c r="DU682" s="2"/>
      <c r="DV682" s="12"/>
      <c r="DW682" s="12"/>
      <c r="DX682" s="2"/>
      <c r="DY682" s="2"/>
      <c r="DZ682" s="12"/>
      <c r="EA682" s="12"/>
      <c r="EB682" s="12"/>
      <c r="EC682" s="12"/>
      <c r="ED682" s="12"/>
    </row>
    <row r="683" spans="1:134" ht="12.5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12"/>
      <c r="AC683" s="12"/>
      <c r="AD683" s="12"/>
      <c r="AE683" s="2"/>
      <c r="AF683" s="2"/>
      <c r="AG683" s="2"/>
      <c r="AH683" s="2"/>
      <c r="AI683" s="2"/>
      <c r="AJ683" s="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2"/>
      <c r="AY683" s="2"/>
      <c r="AZ683" s="2"/>
      <c r="BA683" s="2"/>
      <c r="BB683" s="2"/>
      <c r="BC683" s="2"/>
      <c r="BD683" s="2"/>
      <c r="BE683" s="2"/>
      <c r="BF683" s="12"/>
      <c r="BG683" s="1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152"/>
      <c r="BV683" s="155"/>
      <c r="BW683" s="12"/>
      <c r="BX683" s="12"/>
      <c r="BY683" s="12"/>
      <c r="BZ683" s="12"/>
      <c r="CA683" s="12"/>
      <c r="CB683" s="12"/>
      <c r="CC683" s="12"/>
      <c r="CD683" s="12"/>
      <c r="CE683" s="12"/>
      <c r="CF683" s="12"/>
      <c r="CG683" s="12"/>
      <c r="CH683" s="12"/>
      <c r="CI683" s="12"/>
      <c r="CJ683" s="12"/>
      <c r="CK683" s="12"/>
      <c r="CL683" s="12"/>
      <c r="CM683" s="12"/>
      <c r="CN683" s="12"/>
      <c r="CO683" s="12"/>
      <c r="CP683" s="12"/>
      <c r="CQ683" s="46"/>
      <c r="CR683" s="46"/>
      <c r="CS683" s="46"/>
      <c r="CT683" s="119"/>
      <c r="CU683" s="119"/>
      <c r="CV683" s="119"/>
      <c r="CW683" s="119"/>
      <c r="CX683" s="120"/>
      <c r="CY683" s="120"/>
      <c r="CZ683" s="120"/>
      <c r="DA683" s="120"/>
      <c r="DB683" s="120"/>
      <c r="DC683" s="120"/>
      <c r="DD683" s="120"/>
      <c r="DE683" s="120"/>
      <c r="DF683" s="120"/>
      <c r="DG683" s="2"/>
      <c r="DH683" s="2"/>
      <c r="DI683" s="2"/>
      <c r="DJ683" s="48"/>
      <c r="DK683" s="48"/>
      <c r="DL683" s="48"/>
      <c r="DM683" s="13"/>
      <c r="DN683" s="13"/>
      <c r="DO683" s="12"/>
      <c r="DP683" s="12"/>
      <c r="DQ683" s="12"/>
      <c r="DR683" s="12"/>
      <c r="DS683" s="12"/>
      <c r="DT683" s="2"/>
      <c r="DU683" s="2"/>
      <c r="DV683" s="12"/>
      <c r="DW683" s="12"/>
      <c r="DX683" s="2"/>
      <c r="DY683" s="2"/>
      <c r="DZ683" s="12"/>
      <c r="EA683" s="12"/>
      <c r="EB683" s="12"/>
      <c r="EC683" s="12"/>
      <c r="ED683" s="12"/>
    </row>
    <row r="684" spans="1:134" ht="12.5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12"/>
      <c r="AC684" s="12"/>
      <c r="AD684" s="12"/>
      <c r="AE684" s="2"/>
      <c r="AF684" s="2"/>
      <c r="AG684" s="2"/>
      <c r="AH684" s="2"/>
      <c r="AI684" s="2"/>
      <c r="AJ684" s="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2"/>
      <c r="AY684" s="2"/>
      <c r="AZ684" s="2"/>
      <c r="BA684" s="2"/>
      <c r="BB684" s="2"/>
      <c r="BC684" s="2"/>
      <c r="BD684" s="2"/>
      <c r="BE684" s="2"/>
      <c r="BF684" s="12"/>
      <c r="BG684" s="1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152"/>
      <c r="BV684" s="155"/>
      <c r="BW684" s="12"/>
      <c r="BX684" s="12"/>
      <c r="BY684" s="12"/>
      <c r="BZ684" s="12"/>
      <c r="CA684" s="12"/>
      <c r="CB684" s="12"/>
      <c r="CC684" s="12"/>
      <c r="CD684" s="12"/>
      <c r="CE684" s="12"/>
      <c r="CF684" s="12"/>
      <c r="CG684" s="12"/>
      <c r="CH684" s="12"/>
      <c r="CI684" s="12"/>
      <c r="CJ684" s="12"/>
      <c r="CK684" s="12"/>
      <c r="CL684" s="12"/>
      <c r="CM684" s="12"/>
      <c r="CN684" s="12"/>
      <c r="CO684" s="12"/>
      <c r="CP684" s="12"/>
      <c r="CQ684" s="46"/>
      <c r="CR684" s="46"/>
      <c r="CS684" s="46"/>
      <c r="CT684" s="119"/>
      <c r="CU684" s="119"/>
      <c r="CV684" s="119"/>
      <c r="CW684" s="119"/>
      <c r="CX684" s="120"/>
      <c r="CY684" s="120"/>
      <c r="CZ684" s="120"/>
      <c r="DA684" s="120"/>
      <c r="DB684" s="120"/>
      <c r="DC684" s="120"/>
      <c r="DD684" s="120"/>
      <c r="DE684" s="120"/>
      <c r="DF684" s="120"/>
      <c r="DG684" s="2"/>
      <c r="DH684" s="2"/>
      <c r="DI684" s="2"/>
      <c r="DJ684" s="48"/>
      <c r="DK684" s="48"/>
      <c r="DL684" s="48"/>
      <c r="DM684" s="13"/>
      <c r="DN684" s="13"/>
      <c r="DO684" s="12"/>
      <c r="DP684" s="12"/>
      <c r="DQ684" s="12"/>
      <c r="DR684" s="12"/>
      <c r="DS684" s="12"/>
      <c r="DT684" s="2"/>
      <c r="DU684" s="2"/>
      <c r="DV684" s="12"/>
      <c r="DW684" s="12"/>
      <c r="DX684" s="2"/>
      <c r="DY684" s="2"/>
      <c r="DZ684" s="12"/>
      <c r="EA684" s="12"/>
      <c r="EB684" s="12"/>
      <c r="EC684" s="12"/>
      <c r="ED684" s="12"/>
    </row>
    <row r="685" spans="1:134" ht="12.5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12"/>
      <c r="AC685" s="12"/>
      <c r="AD685" s="12"/>
      <c r="AE685" s="2"/>
      <c r="AF685" s="2"/>
      <c r="AG685" s="2"/>
      <c r="AH685" s="2"/>
      <c r="AI685" s="2"/>
      <c r="AJ685" s="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2"/>
      <c r="AY685" s="2"/>
      <c r="AZ685" s="2"/>
      <c r="BA685" s="2"/>
      <c r="BB685" s="2"/>
      <c r="BC685" s="2"/>
      <c r="BD685" s="2"/>
      <c r="BE685" s="2"/>
      <c r="BF685" s="12"/>
      <c r="BG685" s="1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152"/>
      <c r="BV685" s="155"/>
      <c r="BW685" s="12"/>
      <c r="BX685" s="12"/>
      <c r="BY685" s="12"/>
      <c r="BZ685" s="12"/>
      <c r="CA685" s="12"/>
      <c r="CB685" s="12"/>
      <c r="CC685" s="12"/>
      <c r="CD685" s="12"/>
      <c r="CE685" s="12"/>
      <c r="CF685" s="12"/>
      <c r="CG685" s="12"/>
      <c r="CH685" s="12"/>
      <c r="CI685" s="12"/>
      <c r="CJ685" s="12"/>
      <c r="CK685" s="12"/>
      <c r="CL685" s="12"/>
      <c r="CM685" s="12"/>
      <c r="CN685" s="12"/>
      <c r="CO685" s="12"/>
      <c r="CP685" s="12"/>
      <c r="CQ685" s="46"/>
      <c r="CR685" s="46"/>
      <c r="CS685" s="46"/>
      <c r="CT685" s="119"/>
      <c r="CU685" s="119"/>
      <c r="CV685" s="119"/>
      <c r="CW685" s="119"/>
      <c r="CX685" s="120"/>
      <c r="CY685" s="120"/>
      <c r="CZ685" s="120"/>
      <c r="DA685" s="120"/>
      <c r="DB685" s="120"/>
      <c r="DC685" s="120"/>
      <c r="DD685" s="120"/>
      <c r="DE685" s="120"/>
      <c r="DF685" s="120"/>
      <c r="DG685" s="2"/>
      <c r="DH685" s="2"/>
      <c r="DI685" s="2"/>
      <c r="DJ685" s="48"/>
      <c r="DK685" s="48"/>
      <c r="DL685" s="48"/>
      <c r="DM685" s="13"/>
      <c r="DN685" s="13"/>
      <c r="DO685" s="12"/>
      <c r="DP685" s="12"/>
      <c r="DQ685" s="12"/>
      <c r="DR685" s="12"/>
      <c r="DS685" s="12"/>
      <c r="DT685" s="2"/>
      <c r="DU685" s="2"/>
      <c r="DV685" s="12"/>
      <c r="DW685" s="12"/>
      <c r="DX685" s="2"/>
      <c r="DY685" s="2"/>
      <c r="DZ685" s="12"/>
      <c r="EA685" s="12"/>
      <c r="EB685" s="12"/>
      <c r="EC685" s="12"/>
      <c r="ED685" s="12"/>
    </row>
    <row r="686" spans="1:134" ht="12.5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12"/>
      <c r="AC686" s="12"/>
      <c r="AD686" s="12"/>
      <c r="AE686" s="2"/>
      <c r="AF686" s="2"/>
      <c r="AG686" s="2"/>
      <c r="AH686" s="2"/>
      <c r="AI686" s="2"/>
      <c r="AJ686" s="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2"/>
      <c r="AY686" s="2"/>
      <c r="AZ686" s="2"/>
      <c r="BA686" s="2"/>
      <c r="BB686" s="2"/>
      <c r="BC686" s="2"/>
      <c r="BD686" s="2"/>
      <c r="BE686" s="2"/>
      <c r="BF686" s="12"/>
      <c r="BG686" s="1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152"/>
      <c r="BV686" s="155"/>
      <c r="BW686" s="12"/>
      <c r="BX686" s="12"/>
      <c r="BY686" s="12"/>
      <c r="BZ686" s="12"/>
      <c r="CA686" s="12"/>
      <c r="CB686" s="12"/>
      <c r="CC686" s="12"/>
      <c r="CD686" s="12"/>
      <c r="CE686" s="12"/>
      <c r="CF686" s="12"/>
      <c r="CG686" s="12"/>
      <c r="CH686" s="12"/>
      <c r="CI686" s="12"/>
      <c r="CJ686" s="12"/>
      <c r="CK686" s="12"/>
      <c r="CL686" s="12"/>
      <c r="CM686" s="12"/>
      <c r="CN686" s="12"/>
      <c r="CO686" s="12"/>
      <c r="CP686" s="12"/>
      <c r="CQ686" s="46"/>
      <c r="CR686" s="46"/>
      <c r="CS686" s="46"/>
      <c r="CT686" s="119"/>
      <c r="CU686" s="119"/>
      <c r="CV686" s="119"/>
      <c r="CW686" s="119"/>
      <c r="CX686" s="120"/>
      <c r="CY686" s="120"/>
      <c r="CZ686" s="120"/>
      <c r="DA686" s="120"/>
      <c r="DB686" s="120"/>
      <c r="DC686" s="120"/>
      <c r="DD686" s="120"/>
      <c r="DE686" s="120"/>
      <c r="DF686" s="120"/>
      <c r="DG686" s="2"/>
      <c r="DH686" s="2"/>
      <c r="DI686" s="2"/>
      <c r="DJ686" s="48"/>
      <c r="DK686" s="48"/>
      <c r="DL686" s="48"/>
      <c r="DM686" s="13"/>
      <c r="DN686" s="13"/>
      <c r="DO686" s="12"/>
      <c r="DP686" s="12"/>
      <c r="DQ686" s="12"/>
      <c r="DR686" s="12"/>
      <c r="DS686" s="12"/>
      <c r="DT686" s="2"/>
      <c r="DU686" s="2"/>
      <c r="DV686" s="12"/>
      <c r="DW686" s="12"/>
      <c r="DX686" s="2"/>
      <c r="DY686" s="2"/>
      <c r="DZ686" s="12"/>
      <c r="EA686" s="12"/>
      <c r="EB686" s="12"/>
      <c r="EC686" s="12"/>
      <c r="ED686" s="12"/>
    </row>
    <row r="687" spans="1:134" ht="12.5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12"/>
      <c r="AC687" s="12"/>
      <c r="AD687" s="12"/>
      <c r="AE687" s="2"/>
      <c r="AF687" s="2"/>
      <c r="AG687" s="2"/>
      <c r="AH687" s="2"/>
      <c r="AI687" s="2"/>
      <c r="AJ687" s="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2"/>
      <c r="AY687" s="2"/>
      <c r="AZ687" s="2"/>
      <c r="BA687" s="2"/>
      <c r="BB687" s="2"/>
      <c r="BC687" s="2"/>
      <c r="BD687" s="2"/>
      <c r="BE687" s="2"/>
      <c r="BF687" s="12"/>
      <c r="BG687" s="1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152"/>
      <c r="BV687" s="155"/>
      <c r="BW687" s="12"/>
      <c r="BX687" s="12"/>
      <c r="BY687" s="12"/>
      <c r="BZ687" s="12"/>
      <c r="CA687" s="12"/>
      <c r="CB687" s="12"/>
      <c r="CC687" s="12"/>
      <c r="CD687" s="12"/>
      <c r="CE687" s="12"/>
      <c r="CF687" s="12"/>
      <c r="CG687" s="12"/>
      <c r="CH687" s="12"/>
      <c r="CI687" s="12"/>
      <c r="CJ687" s="12"/>
      <c r="CK687" s="12"/>
      <c r="CL687" s="12"/>
      <c r="CM687" s="12"/>
      <c r="CN687" s="12"/>
      <c r="CO687" s="12"/>
      <c r="CP687" s="12"/>
      <c r="CQ687" s="46"/>
      <c r="CR687" s="46"/>
      <c r="CS687" s="46"/>
      <c r="CT687" s="119"/>
      <c r="CU687" s="119"/>
      <c r="CV687" s="119"/>
      <c r="CW687" s="119"/>
      <c r="CX687" s="120"/>
      <c r="CY687" s="120"/>
      <c r="CZ687" s="120"/>
      <c r="DA687" s="120"/>
      <c r="DB687" s="120"/>
      <c r="DC687" s="120"/>
      <c r="DD687" s="120"/>
      <c r="DE687" s="120"/>
      <c r="DF687" s="120"/>
      <c r="DG687" s="2"/>
      <c r="DH687" s="2"/>
      <c r="DI687" s="2"/>
      <c r="DJ687" s="48"/>
      <c r="DK687" s="48"/>
      <c r="DL687" s="48"/>
      <c r="DM687" s="13"/>
      <c r="DN687" s="13"/>
      <c r="DO687" s="12"/>
      <c r="DP687" s="12"/>
      <c r="DQ687" s="12"/>
      <c r="DR687" s="12"/>
      <c r="DS687" s="12"/>
      <c r="DT687" s="2"/>
      <c r="DU687" s="2"/>
      <c r="DV687" s="12"/>
      <c r="DW687" s="12"/>
      <c r="DX687" s="2"/>
      <c r="DY687" s="2"/>
      <c r="DZ687" s="12"/>
      <c r="EA687" s="12"/>
      <c r="EB687" s="12"/>
      <c r="EC687" s="12"/>
      <c r="ED687" s="12"/>
    </row>
    <row r="688" spans="1:134" ht="12.5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12"/>
      <c r="AC688" s="12"/>
      <c r="AD688" s="12"/>
      <c r="AE688" s="2"/>
      <c r="AF688" s="2"/>
      <c r="AG688" s="2"/>
      <c r="AH688" s="2"/>
      <c r="AI688" s="2"/>
      <c r="AJ688" s="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2"/>
      <c r="AY688" s="2"/>
      <c r="AZ688" s="2"/>
      <c r="BA688" s="2"/>
      <c r="BB688" s="2"/>
      <c r="BC688" s="2"/>
      <c r="BD688" s="2"/>
      <c r="BE688" s="2"/>
      <c r="BF688" s="12"/>
      <c r="BG688" s="1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152"/>
      <c r="BV688" s="155"/>
      <c r="BW688" s="12"/>
      <c r="BX688" s="12"/>
      <c r="BY688" s="12"/>
      <c r="BZ688" s="12"/>
      <c r="CA688" s="12"/>
      <c r="CB688" s="12"/>
      <c r="CC688" s="12"/>
      <c r="CD688" s="12"/>
      <c r="CE688" s="12"/>
      <c r="CF688" s="12"/>
      <c r="CG688" s="12"/>
      <c r="CH688" s="12"/>
      <c r="CI688" s="12"/>
      <c r="CJ688" s="12"/>
      <c r="CK688" s="12"/>
      <c r="CL688" s="12"/>
      <c r="CM688" s="12"/>
      <c r="CN688" s="12"/>
      <c r="CO688" s="12"/>
      <c r="CP688" s="12"/>
      <c r="CQ688" s="46"/>
      <c r="CR688" s="46"/>
      <c r="CS688" s="46"/>
      <c r="CT688" s="119"/>
      <c r="CU688" s="119"/>
      <c r="CV688" s="119"/>
      <c r="CW688" s="119"/>
      <c r="CX688" s="120"/>
      <c r="CY688" s="120"/>
      <c r="CZ688" s="120"/>
      <c r="DA688" s="120"/>
      <c r="DB688" s="120"/>
      <c r="DC688" s="120"/>
      <c r="DD688" s="120"/>
      <c r="DE688" s="120"/>
      <c r="DF688" s="120"/>
      <c r="DG688" s="2"/>
      <c r="DH688" s="2"/>
      <c r="DI688" s="2"/>
      <c r="DJ688" s="48"/>
      <c r="DK688" s="48"/>
      <c r="DL688" s="48"/>
      <c r="DM688" s="13"/>
      <c r="DN688" s="13"/>
      <c r="DO688" s="12"/>
      <c r="DP688" s="12"/>
      <c r="DQ688" s="12"/>
      <c r="DR688" s="12"/>
      <c r="DS688" s="12"/>
      <c r="DT688" s="2"/>
      <c r="DU688" s="2"/>
      <c r="DV688" s="12"/>
      <c r="DW688" s="12"/>
      <c r="DX688" s="2"/>
      <c r="DY688" s="2"/>
      <c r="DZ688" s="12"/>
      <c r="EA688" s="12"/>
      <c r="EB688" s="12"/>
      <c r="EC688" s="12"/>
      <c r="ED688" s="12"/>
    </row>
    <row r="689" spans="1:134" ht="12.5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12"/>
      <c r="AC689" s="12"/>
      <c r="AD689" s="12"/>
      <c r="AE689" s="2"/>
      <c r="AF689" s="2"/>
      <c r="AG689" s="2"/>
      <c r="AH689" s="2"/>
      <c r="AI689" s="2"/>
      <c r="AJ689" s="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2"/>
      <c r="AY689" s="2"/>
      <c r="AZ689" s="2"/>
      <c r="BA689" s="2"/>
      <c r="BB689" s="2"/>
      <c r="BC689" s="2"/>
      <c r="BD689" s="2"/>
      <c r="BE689" s="2"/>
      <c r="BF689" s="12"/>
      <c r="BG689" s="1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152"/>
      <c r="BV689" s="155"/>
      <c r="BW689" s="12"/>
      <c r="BX689" s="12"/>
      <c r="BY689" s="12"/>
      <c r="BZ689" s="12"/>
      <c r="CA689" s="12"/>
      <c r="CB689" s="12"/>
      <c r="CC689" s="12"/>
      <c r="CD689" s="12"/>
      <c r="CE689" s="12"/>
      <c r="CF689" s="12"/>
      <c r="CG689" s="12"/>
      <c r="CH689" s="12"/>
      <c r="CI689" s="12"/>
      <c r="CJ689" s="12"/>
      <c r="CK689" s="12"/>
      <c r="CL689" s="12"/>
      <c r="CM689" s="12"/>
      <c r="CN689" s="12"/>
      <c r="CO689" s="12"/>
      <c r="CP689" s="12"/>
      <c r="CQ689" s="46"/>
      <c r="CR689" s="46"/>
      <c r="CS689" s="46"/>
      <c r="CT689" s="119"/>
      <c r="CU689" s="119"/>
      <c r="CV689" s="119"/>
      <c r="CW689" s="119"/>
      <c r="CX689" s="120"/>
      <c r="CY689" s="120"/>
      <c r="CZ689" s="120"/>
      <c r="DA689" s="120"/>
      <c r="DB689" s="120"/>
      <c r="DC689" s="120"/>
      <c r="DD689" s="120"/>
      <c r="DE689" s="120"/>
      <c r="DF689" s="120"/>
      <c r="DG689" s="2"/>
      <c r="DH689" s="2"/>
      <c r="DI689" s="2"/>
      <c r="DJ689" s="48"/>
      <c r="DK689" s="48"/>
      <c r="DL689" s="48"/>
      <c r="DM689" s="13"/>
      <c r="DN689" s="13"/>
      <c r="DO689" s="12"/>
      <c r="DP689" s="12"/>
      <c r="DQ689" s="12"/>
      <c r="DR689" s="12"/>
      <c r="DS689" s="12"/>
      <c r="DT689" s="2"/>
      <c r="DU689" s="2"/>
      <c r="DV689" s="12"/>
      <c r="DW689" s="12"/>
      <c r="DX689" s="2"/>
      <c r="DY689" s="2"/>
      <c r="DZ689" s="12"/>
      <c r="EA689" s="12"/>
      <c r="EB689" s="12"/>
      <c r="EC689" s="12"/>
      <c r="ED689" s="12"/>
    </row>
    <row r="690" spans="1:134" ht="12.5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12"/>
      <c r="AC690" s="12"/>
      <c r="AD690" s="12"/>
      <c r="AE690" s="2"/>
      <c r="AF690" s="2"/>
      <c r="AG690" s="2"/>
      <c r="AH690" s="2"/>
      <c r="AI690" s="2"/>
      <c r="AJ690" s="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2"/>
      <c r="AY690" s="2"/>
      <c r="AZ690" s="2"/>
      <c r="BA690" s="2"/>
      <c r="BB690" s="2"/>
      <c r="BC690" s="2"/>
      <c r="BD690" s="2"/>
      <c r="BE690" s="2"/>
      <c r="BF690" s="12"/>
      <c r="BG690" s="1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152"/>
      <c r="BV690" s="155"/>
      <c r="BW690" s="12"/>
      <c r="BX690" s="12"/>
      <c r="BY690" s="12"/>
      <c r="BZ690" s="12"/>
      <c r="CA690" s="12"/>
      <c r="CB690" s="12"/>
      <c r="CC690" s="12"/>
      <c r="CD690" s="12"/>
      <c r="CE690" s="12"/>
      <c r="CF690" s="12"/>
      <c r="CG690" s="12"/>
      <c r="CH690" s="12"/>
      <c r="CI690" s="12"/>
      <c r="CJ690" s="12"/>
      <c r="CK690" s="12"/>
      <c r="CL690" s="12"/>
      <c r="CM690" s="12"/>
      <c r="CN690" s="12"/>
      <c r="CO690" s="12"/>
      <c r="CP690" s="12"/>
      <c r="CQ690" s="46"/>
      <c r="CR690" s="46"/>
      <c r="CS690" s="46"/>
      <c r="CT690" s="119"/>
      <c r="CU690" s="119"/>
      <c r="CV690" s="119"/>
      <c r="CW690" s="119"/>
      <c r="CX690" s="120"/>
      <c r="CY690" s="120"/>
      <c r="CZ690" s="120"/>
      <c r="DA690" s="120"/>
      <c r="DB690" s="120"/>
      <c r="DC690" s="120"/>
      <c r="DD690" s="120"/>
      <c r="DE690" s="120"/>
      <c r="DF690" s="120"/>
      <c r="DG690" s="2"/>
      <c r="DH690" s="2"/>
      <c r="DI690" s="2"/>
      <c r="DJ690" s="48"/>
      <c r="DK690" s="48"/>
      <c r="DL690" s="48"/>
      <c r="DM690" s="13"/>
      <c r="DN690" s="13"/>
      <c r="DO690" s="12"/>
      <c r="DP690" s="12"/>
      <c r="DQ690" s="12"/>
      <c r="DR690" s="12"/>
      <c r="DS690" s="12"/>
      <c r="DT690" s="2"/>
      <c r="DU690" s="2"/>
      <c r="DV690" s="12"/>
      <c r="DW690" s="12"/>
      <c r="DX690" s="2"/>
      <c r="DY690" s="2"/>
      <c r="DZ690" s="12"/>
      <c r="EA690" s="12"/>
      <c r="EB690" s="12"/>
      <c r="EC690" s="12"/>
      <c r="ED690" s="12"/>
    </row>
    <row r="691" spans="1:134" ht="12.5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12"/>
      <c r="AC691" s="12"/>
      <c r="AD691" s="12"/>
      <c r="AE691" s="2"/>
      <c r="AF691" s="2"/>
      <c r="AG691" s="2"/>
      <c r="AH691" s="2"/>
      <c r="AI691" s="2"/>
      <c r="AJ691" s="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2"/>
      <c r="AY691" s="2"/>
      <c r="AZ691" s="2"/>
      <c r="BA691" s="2"/>
      <c r="BB691" s="2"/>
      <c r="BC691" s="2"/>
      <c r="BD691" s="2"/>
      <c r="BE691" s="2"/>
      <c r="BF691" s="12"/>
      <c r="BG691" s="1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152"/>
      <c r="BV691" s="155"/>
      <c r="BW691" s="12"/>
      <c r="BX691" s="12"/>
      <c r="BY691" s="12"/>
      <c r="BZ691" s="12"/>
      <c r="CA691" s="12"/>
      <c r="CB691" s="12"/>
      <c r="CC691" s="12"/>
      <c r="CD691" s="12"/>
      <c r="CE691" s="12"/>
      <c r="CF691" s="12"/>
      <c r="CG691" s="12"/>
      <c r="CH691" s="12"/>
      <c r="CI691" s="12"/>
      <c r="CJ691" s="12"/>
      <c r="CK691" s="12"/>
      <c r="CL691" s="12"/>
      <c r="CM691" s="12"/>
      <c r="CN691" s="12"/>
      <c r="CO691" s="12"/>
      <c r="CP691" s="12"/>
      <c r="CQ691" s="46"/>
      <c r="CR691" s="46"/>
      <c r="CS691" s="46"/>
      <c r="CT691" s="119"/>
      <c r="CU691" s="119"/>
      <c r="CV691" s="119"/>
      <c r="CW691" s="119"/>
      <c r="CX691" s="120"/>
      <c r="CY691" s="120"/>
      <c r="CZ691" s="120"/>
      <c r="DA691" s="120"/>
      <c r="DB691" s="120"/>
      <c r="DC691" s="120"/>
      <c r="DD691" s="120"/>
      <c r="DE691" s="120"/>
      <c r="DF691" s="120"/>
      <c r="DG691" s="2"/>
      <c r="DH691" s="2"/>
      <c r="DI691" s="2"/>
      <c r="DJ691" s="48"/>
      <c r="DK691" s="48"/>
      <c r="DL691" s="48"/>
      <c r="DM691" s="13"/>
      <c r="DN691" s="13"/>
      <c r="DO691" s="12"/>
      <c r="DP691" s="12"/>
      <c r="DQ691" s="12"/>
      <c r="DR691" s="12"/>
      <c r="DS691" s="12"/>
      <c r="DT691" s="2"/>
      <c r="DU691" s="2"/>
      <c r="DV691" s="12"/>
      <c r="DW691" s="12"/>
      <c r="DX691" s="2"/>
      <c r="DY691" s="2"/>
      <c r="DZ691" s="12"/>
      <c r="EA691" s="12"/>
      <c r="EB691" s="12"/>
      <c r="EC691" s="12"/>
      <c r="ED691" s="12"/>
    </row>
    <row r="692" spans="1:134" ht="12.5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12"/>
      <c r="AC692" s="12"/>
      <c r="AD692" s="12"/>
      <c r="AE692" s="2"/>
      <c r="AF692" s="2"/>
      <c r="AG692" s="2"/>
      <c r="AH692" s="2"/>
      <c r="AI692" s="2"/>
      <c r="AJ692" s="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2"/>
      <c r="AY692" s="2"/>
      <c r="AZ692" s="2"/>
      <c r="BA692" s="2"/>
      <c r="BB692" s="2"/>
      <c r="BC692" s="2"/>
      <c r="BD692" s="2"/>
      <c r="BE692" s="2"/>
      <c r="BF692" s="12"/>
      <c r="BG692" s="1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152"/>
      <c r="BV692" s="155"/>
      <c r="BW692" s="12"/>
      <c r="BX692" s="12"/>
      <c r="BY692" s="12"/>
      <c r="BZ692" s="12"/>
      <c r="CA692" s="12"/>
      <c r="CB692" s="12"/>
      <c r="CC692" s="12"/>
      <c r="CD692" s="12"/>
      <c r="CE692" s="12"/>
      <c r="CF692" s="12"/>
      <c r="CG692" s="12"/>
      <c r="CH692" s="12"/>
      <c r="CI692" s="12"/>
      <c r="CJ692" s="12"/>
      <c r="CK692" s="12"/>
      <c r="CL692" s="12"/>
      <c r="CM692" s="12"/>
      <c r="CN692" s="12"/>
      <c r="CO692" s="12"/>
      <c r="CP692" s="12"/>
      <c r="CQ692" s="46"/>
      <c r="CR692" s="46"/>
      <c r="CS692" s="46"/>
      <c r="CT692" s="119"/>
      <c r="CU692" s="119"/>
      <c r="CV692" s="119"/>
      <c r="CW692" s="119"/>
      <c r="CX692" s="120"/>
      <c r="CY692" s="120"/>
      <c r="CZ692" s="120"/>
      <c r="DA692" s="120"/>
      <c r="DB692" s="120"/>
      <c r="DC692" s="120"/>
      <c r="DD692" s="120"/>
      <c r="DE692" s="120"/>
      <c r="DF692" s="120"/>
      <c r="DG692" s="2"/>
      <c r="DH692" s="2"/>
      <c r="DI692" s="2"/>
      <c r="DJ692" s="48"/>
      <c r="DK692" s="48"/>
      <c r="DL692" s="48"/>
      <c r="DM692" s="13"/>
      <c r="DN692" s="13"/>
      <c r="DO692" s="12"/>
      <c r="DP692" s="12"/>
      <c r="DQ692" s="12"/>
      <c r="DR692" s="12"/>
      <c r="DS692" s="12"/>
      <c r="DT692" s="2"/>
      <c r="DU692" s="2"/>
      <c r="DV692" s="12"/>
      <c r="DW692" s="12"/>
      <c r="DX692" s="2"/>
      <c r="DY692" s="2"/>
      <c r="DZ692" s="12"/>
      <c r="EA692" s="12"/>
      <c r="EB692" s="12"/>
      <c r="EC692" s="12"/>
      <c r="ED692" s="12"/>
    </row>
    <row r="693" spans="1:134" ht="12.5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12"/>
      <c r="AC693" s="12"/>
      <c r="AD693" s="12"/>
      <c r="AE693" s="2"/>
      <c r="AF693" s="2"/>
      <c r="AG693" s="2"/>
      <c r="AH693" s="2"/>
      <c r="AI693" s="2"/>
      <c r="AJ693" s="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2"/>
      <c r="AY693" s="2"/>
      <c r="AZ693" s="2"/>
      <c r="BA693" s="2"/>
      <c r="BB693" s="2"/>
      <c r="BC693" s="2"/>
      <c r="BD693" s="2"/>
      <c r="BE693" s="2"/>
      <c r="BF693" s="12"/>
      <c r="BG693" s="1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152"/>
      <c r="BV693" s="155"/>
      <c r="BW693" s="12"/>
      <c r="BX693" s="12"/>
      <c r="BY693" s="12"/>
      <c r="BZ693" s="12"/>
      <c r="CA693" s="12"/>
      <c r="CB693" s="12"/>
      <c r="CC693" s="12"/>
      <c r="CD693" s="12"/>
      <c r="CE693" s="12"/>
      <c r="CF693" s="12"/>
      <c r="CG693" s="12"/>
      <c r="CH693" s="12"/>
      <c r="CI693" s="12"/>
      <c r="CJ693" s="12"/>
      <c r="CK693" s="12"/>
      <c r="CL693" s="12"/>
      <c r="CM693" s="12"/>
      <c r="CN693" s="12"/>
      <c r="CO693" s="12"/>
      <c r="CP693" s="12"/>
      <c r="CQ693" s="46"/>
      <c r="CR693" s="46"/>
      <c r="CS693" s="46"/>
      <c r="CT693" s="119"/>
      <c r="CU693" s="119"/>
      <c r="CV693" s="119"/>
      <c r="CW693" s="119"/>
      <c r="CX693" s="120"/>
      <c r="CY693" s="120"/>
      <c r="CZ693" s="120"/>
      <c r="DA693" s="120"/>
      <c r="DB693" s="120"/>
      <c r="DC693" s="120"/>
      <c r="DD693" s="120"/>
      <c r="DE693" s="120"/>
      <c r="DF693" s="120"/>
      <c r="DG693" s="2"/>
      <c r="DH693" s="2"/>
      <c r="DI693" s="2"/>
      <c r="DJ693" s="48"/>
      <c r="DK693" s="48"/>
      <c r="DL693" s="48"/>
      <c r="DM693" s="13"/>
      <c r="DN693" s="13"/>
      <c r="DO693" s="12"/>
      <c r="DP693" s="12"/>
      <c r="DQ693" s="12"/>
      <c r="DR693" s="12"/>
      <c r="DS693" s="12"/>
      <c r="DT693" s="2"/>
      <c r="DU693" s="2"/>
      <c r="DV693" s="12"/>
      <c r="DW693" s="12"/>
      <c r="DX693" s="2"/>
      <c r="DY693" s="2"/>
      <c r="DZ693" s="12"/>
      <c r="EA693" s="12"/>
      <c r="EB693" s="12"/>
      <c r="EC693" s="12"/>
      <c r="ED693" s="12"/>
    </row>
    <row r="694" spans="1:134" ht="12.5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12"/>
      <c r="AC694" s="12"/>
      <c r="AD694" s="12"/>
      <c r="AE694" s="2"/>
      <c r="AF694" s="2"/>
      <c r="AG694" s="2"/>
      <c r="AH694" s="2"/>
      <c r="AI694" s="2"/>
      <c r="AJ694" s="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2"/>
      <c r="AY694" s="2"/>
      <c r="AZ694" s="2"/>
      <c r="BA694" s="2"/>
      <c r="BB694" s="2"/>
      <c r="BC694" s="2"/>
      <c r="BD694" s="2"/>
      <c r="BE694" s="2"/>
      <c r="BF694" s="12"/>
      <c r="BG694" s="1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152"/>
      <c r="BV694" s="155"/>
      <c r="BW694" s="12"/>
      <c r="BX694" s="12"/>
      <c r="BY694" s="12"/>
      <c r="BZ694" s="12"/>
      <c r="CA694" s="12"/>
      <c r="CB694" s="12"/>
      <c r="CC694" s="12"/>
      <c r="CD694" s="12"/>
      <c r="CE694" s="12"/>
      <c r="CF694" s="12"/>
      <c r="CG694" s="12"/>
      <c r="CH694" s="12"/>
      <c r="CI694" s="12"/>
      <c r="CJ694" s="12"/>
      <c r="CK694" s="12"/>
      <c r="CL694" s="12"/>
      <c r="CM694" s="12"/>
      <c r="CN694" s="12"/>
      <c r="CO694" s="12"/>
      <c r="CP694" s="12"/>
      <c r="CQ694" s="46"/>
      <c r="CR694" s="46"/>
      <c r="CS694" s="46"/>
      <c r="CT694" s="119"/>
      <c r="CU694" s="119"/>
      <c r="CV694" s="119"/>
      <c r="CW694" s="119"/>
      <c r="CX694" s="120"/>
      <c r="CY694" s="120"/>
      <c r="CZ694" s="120"/>
      <c r="DA694" s="120"/>
      <c r="DB694" s="120"/>
      <c r="DC694" s="120"/>
      <c r="DD694" s="120"/>
      <c r="DE694" s="120"/>
      <c r="DF694" s="120"/>
      <c r="DG694" s="2"/>
      <c r="DH694" s="2"/>
      <c r="DI694" s="2"/>
      <c r="DJ694" s="48"/>
      <c r="DK694" s="48"/>
      <c r="DL694" s="48"/>
      <c r="DM694" s="13"/>
      <c r="DN694" s="13"/>
      <c r="DO694" s="12"/>
      <c r="DP694" s="12"/>
      <c r="DQ694" s="12"/>
      <c r="DR694" s="12"/>
      <c r="DS694" s="12"/>
      <c r="DT694" s="2"/>
      <c r="DU694" s="2"/>
      <c r="DV694" s="12"/>
      <c r="DW694" s="12"/>
      <c r="DX694" s="2"/>
      <c r="DY694" s="2"/>
      <c r="DZ694" s="12"/>
      <c r="EA694" s="12"/>
      <c r="EB694" s="12"/>
      <c r="EC694" s="12"/>
      <c r="ED694" s="12"/>
    </row>
    <row r="695" spans="1:134" ht="12.5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12"/>
      <c r="AC695" s="12"/>
      <c r="AD695" s="12"/>
      <c r="AE695" s="2"/>
      <c r="AF695" s="2"/>
      <c r="AG695" s="2"/>
      <c r="AH695" s="2"/>
      <c r="AI695" s="2"/>
      <c r="AJ695" s="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2"/>
      <c r="AY695" s="2"/>
      <c r="AZ695" s="2"/>
      <c r="BA695" s="2"/>
      <c r="BB695" s="2"/>
      <c r="BC695" s="2"/>
      <c r="BD695" s="2"/>
      <c r="BE695" s="2"/>
      <c r="BF695" s="12"/>
      <c r="BG695" s="1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152"/>
      <c r="BV695" s="155"/>
      <c r="BW695" s="12"/>
      <c r="BX695" s="12"/>
      <c r="BY695" s="12"/>
      <c r="BZ695" s="12"/>
      <c r="CA695" s="12"/>
      <c r="CB695" s="12"/>
      <c r="CC695" s="12"/>
      <c r="CD695" s="12"/>
      <c r="CE695" s="12"/>
      <c r="CF695" s="12"/>
      <c r="CG695" s="12"/>
      <c r="CH695" s="12"/>
      <c r="CI695" s="12"/>
      <c r="CJ695" s="12"/>
      <c r="CK695" s="12"/>
      <c r="CL695" s="12"/>
      <c r="CM695" s="12"/>
      <c r="CN695" s="12"/>
      <c r="CO695" s="12"/>
      <c r="CP695" s="12"/>
      <c r="CQ695" s="46"/>
      <c r="CR695" s="46"/>
      <c r="CS695" s="46"/>
      <c r="CT695" s="119"/>
      <c r="CU695" s="119"/>
      <c r="CV695" s="119"/>
      <c r="CW695" s="119"/>
      <c r="CX695" s="120"/>
      <c r="CY695" s="120"/>
      <c r="CZ695" s="120"/>
      <c r="DA695" s="120"/>
      <c r="DB695" s="120"/>
      <c r="DC695" s="120"/>
      <c r="DD695" s="120"/>
      <c r="DE695" s="120"/>
      <c r="DF695" s="120"/>
      <c r="DG695" s="2"/>
      <c r="DH695" s="2"/>
      <c r="DI695" s="2"/>
      <c r="DJ695" s="48"/>
      <c r="DK695" s="48"/>
      <c r="DL695" s="48"/>
      <c r="DM695" s="13"/>
      <c r="DN695" s="13"/>
      <c r="DO695" s="12"/>
      <c r="DP695" s="12"/>
      <c r="DQ695" s="12"/>
      <c r="DR695" s="12"/>
      <c r="DS695" s="12"/>
      <c r="DT695" s="2"/>
      <c r="DU695" s="2"/>
      <c r="DV695" s="12"/>
      <c r="DW695" s="12"/>
      <c r="DX695" s="2"/>
      <c r="DY695" s="2"/>
      <c r="DZ695" s="12"/>
      <c r="EA695" s="12"/>
      <c r="EB695" s="12"/>
      <c r="EC695" s="12"/>
      <c r="ED695" s="12"/>
    </row>
    <row r="696" spans="1:134" ht="12.5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12"/>
      <c r="AC696" s="12"/>
      <c r="AD696" s="12"/>
      <c r="AE696" s="2"/>
      <c r="AF696" s="2"/>
      <c r="AG696" s="2"/>
      <c r="AH696" s="2"/>
      <c r="AI696" s="2"/>
      <c r="AJ696" s="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2"/>
      <c r="AY696" s="2"/>
      <c r="AZ696" s="2"/>
      <c r="BA696" s="2"/>
      <c r="BB696" s="2"/>
      <c r="BC696" s="2"/>
      <c r="BD696" s="2"/>
      <c r="BE696" s="2"/>
      <c r="BF696" s="12"/>
      <c r="BG696" s="1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152"/>
      <c r="BV696" s="155"/>
      <c r="BW696" s="12"/>
      <c r="BX696" s="12"/>
      <c r="BY696" s="12"/>
      <c r="BZ696" s="12"/>
      <c r="CA696" s="12"/>
      <c r="CB696" s="12"/>
      <c r="CC696" s="12"/>
      <c r="CD696" s="12"/>
      <c r="CE696" s="12"/>
      <c r="CF696" s="12"/>
      <c r="CG696" s="12"/>
      <c r="CH696" s="12"/>
      <c r="CI696" s="12"/>
      <c r="CJ696" s="12"/>
      <c r="CK696" s="12"/>
      <c r="CL696" s="12"/>
      <c r="CM696" s="12"/>
      <c r="CN696" s="12"/>
      <c r="CO696" s="12"/>
      <c r="CP696" s="12"/>
      <c r="CQ696" s="46"/>
      <c r="CR696" s="46"/>
      <c r="CS696" s="46"/>
      <c r="CT696" s="119"/>
      <c r="CU696" s="119"/>
      <c r="CV696" s="119"/>
      <c r="CW696" s="119"/>
      <c r="CX696" s="120"/>
      <c r="CY696" s="120"/>
      <c r="CZ696" s="120"/>
      <c r="DA696" s="120"/>
      <c r="DB696" s="120"/>
      <c r="DC696" s="120"/>
      <c r="DD696" s="120"/>
      <c r="DE696" s="120"/>
      <c r="DF696" s="120"/>
      <c r="DG696" s="2"/>
      <c r="DH696" s="2"/>
      <c r="DI696" s="2"/>
      <c r="DJ696" s="48"/>
      <c r="DK696" s="48"/>
      <c r="DL696" s="48"/>
      <c r="DM696" s="13"/>
      <c r="DN696" s="13"/>
      <c r="DO696" s="12"/>
      <c r="DP696" s="12"/>
      <c r="DQ696" s="12"/>
      <c r="DR696" s="12"/>
      <c r="DS696" s="12"/>
      <c r="DT696" s="2"/>
      <c r="DU696" s="2"/>
      <c r="DV696" s="12"/>
      <c r="DW696" s="12"/>
      <c r="DX696" s="2"/>
      <c r="DY696" s="2"/>
      <c r="DZ696" s="12"/>
      <c r="EA696" s="12"/>
      <c r="EB696" s="12"/>
      <c r="EC696" s="12"/>
      <c r="ED696" s="12"/>
    </row>
    <row r="697" spans="1:134" ht="12.5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12"/>
      <c r="AC697" s="12"/>
      <c r="AD697" s="12"/>
      <c r="AE697" s="2"/>
      <c r="AF697" s="2"/>
      <c r="AG697" s="2"/>
      <c r="AH697" s="2"/>
      <c r="AI697" s="2"/>
      <c r="AJ697" s="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2"/>
      <c r="AY697" s="2"/>
      <c r="AZ697" s="2"/>
      <c r="BA697" s="2"/>
      <c r="BB697" s="2"/>
      <c r="BC697" s="2"/>
      <c r="BD697" s="2"/>
      <c r="BE697" s="2"/>
      <c r="BF697" s="12"/>
      <c r="BG697" s="1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152"/>
      <c r="BV697" s="155"/>
      <c r="BW697" s="12"/>
      <c r="BX697" s="12"/>
      <c r="BY697" s="12"/>
      <c r="BZ697" s="12"/>
      <c r="CA697" s="12"/>
      <c r="CB697" s="12"/>
      <c r="CC697" s="12"/>
      <c r="CD697" s="12"/>
      <c r="CE697" s="12"/>
      <c r="CF697" s="12"/>
      <c r="CG697" s="12"/>
      <c r="CH697" s="12"/>
      <c r="CI697" s="12"/>
      <c r="CJ697" s="12"/>
      <c r="CK697" s="12"/>
      <c r="CL697" s="12"/>
      <c r="CM697" s="12"/>
      <c r="CN697" s="12"/>
      <c r="CO697" s="12"/>
      <c r="CP697" s="12"/>
      <c r="CQ697" s="46"/>
      <c r="CR697" s="46"/>
      <c r="CS697" s="46"/>
      <c r="CT697" s="119"/>
      <c r="CU697" s="119"/>
      <c r="CV697" s="119"/>
      <c r="CW697" s="119"/>
      <c r="CX697" s="120"/>
      <c r="CY697" s="120"/>
      <c r="CZ697" s="120"/>
      <c r="DA697" s="120"/>
      <c r="DB697" s="120"/>
      <c r="DC697" s="120"/>
      <c r="DD697" s="120"/>
      <c r="DE697" s="120"/>
      <c r="DF697" s="120"/>
      <c r="DG697" s="2"/>
      <c r="DH697" s="2"/>
      <c r="DI697" s="2"/>
      <c r="DJ697" s="48"/>
      <c r="DK697" s="48"/>
      <c r="DL697" s="48"/>
      <c r="DM697" s="13"/>
      <c r="DN697" s="13"/>
      <c r="DO697" s="12"/>
      <c r="DP697" s="12"/>
      <c r="DQ697" s="12"/>
      <c r="DR697" s="12"/>
      <c r="DS697" s="12"/>
      <c r="DT697" s="2"/>
      <c r="DU697" s="2"/>
      <c r="DV697" s="12"/>
      <c r="DW697" s="12"/>
      <c r="DX697" s="2"/>
      <c r="DY697" s="2"/>
      <c r="DZ697" s="12"/>
      <c r="EA697" s="12"/>
      <c r="EB697" s="12"/>
      <c r="EC697" s="12"/>
      <c r="ED697" s="12"/>
    </row>
    <row r="698" spans="1:134" ht="12.5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12"/>
      <c r="AC698" s="12"/>
      <c r="AD698" s="12"/>
      <c r="AE698" s="2"/>
      <c r="AF698" s="2"/>
      <c r="AG698" s="2"/>
      <c r="AH698" s="2"/>
      <c r="AI698" s="2"/>
      <c r="AJ698" s="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2"/>
      <c r="AY698" s="2"/>
      <c r="AZ698" s="2"/>
      <c r="BA698" s="2"/>
      <c r="BB698" s="2"/>
      <c r="BC698" s="2"/>
      <c r="BD698" s="2"/>
      <c r="BE698" s="2"/>
      <c r="BF698" s="12"/>
      <c r="BG698" s="1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152"/>
      <c r="BV698" s="155"/>
      <c r="BW698" s="12"/>
      <c r="BX698" s="12"/>
      <c r="BY698" s="12"/>
      <c r="BZ698" s="12"/>
      <c r="CA698" s="12"/>
      <c r="CB698" s="12"/>
      <c r="CC698" s="12"/>
      <c r="CD698" s="12"/>
      <c r="CE698" s="12"/>
      <c r="CF698" s="12"/>
      <c r="CG698" s="12"/>
      <c r="CH698" s="12"/>
      <c r="CI698" s="12"/>
      <c r="CJ698" s="12"/>
      <c r="CK698" s="12"/>
      <c r="CL698" s="12"/>
      <c r="CM698" s="12"/>
      <c r="CN698" s="12"/>
      <c r="CO698" s="12"/>
      <c r="CP698" s="12"/>
      <c r="CQ698" s="46"/>
      <c r="CR698" s="46"/>
      <c r="CS698" s="46"/>
      <c r="CT698" s="119"/>
      <c r="CU698" s="119"/>
      <c r="CV698" s="119"/>
      <c r="CW698" s="119"/>
      <c r="CX698" s="120"/>
      <c r="CY698" s="120"/>
      <c r="CZ698" s="120"/>
      <c r="DA698" s="120"/>
      <c r="DB698" s="120"/>
      <c r="DC698" s="120"/>
      <c r="DD698" s="120"/>
      <c r="DE698" s="120"/>
      <c r="DF698" s="120"/>
      <c r="DG698" s="2"/>
      <c r="DH698" s="2"/>
      <c r="DI698" s="2"/>
      <c r="DJ698" s="48"/>
      <c r="DK698" s="48"/>
      <c r="DL698" s="48"/>
      <c r="DM698" s="13"/>
      <c r="DN698" s="13"/>
      <c r="DO698" s="12"/>
      <c r="DP698" s="12"/>
      <c r="DQ698" s="12"/>
      <c r="DR698" s="12"/>
      <c r="DS698" s="12"/>
      <c r="DT698" s="2"/>
      <c r="DU698" s="2"/>
      <c r="DV698" s="12"/>
      <c r="DW698" s="12"/>
      <c r="DX698" s="2"/>
      <c r="DY698" s="2"/>
      <c r="DZ698" s="12"/>
      <c r="EA698" s="12"/>
      <c r="EB698" s="12"/>
      <c r="EC698" s="12"/>
      <c r="ED698" s="12"/>
    </row>
    <row r="699" spans="1:134" ht="12.5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12"/>
      <c r="AC699" s="12"/>
      <c r="AD699" s="12"/>
      <c r="AE699" s="2"/>
      <c r="AF699" s="2"/>
      <c r="AG699" s="2"/>
      <c r="AH699" s="2"/>
      <c r="AI699" s="2"/>
      <c r="AJ699" s="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2"/>
      <c r="AY699" s="2"/>
      <c r="AZ699" s="2"/>
      <c r="BA699" s="2"/>
      <c r="BB699" s="2"/>
      <c r="BC699" s="2"/>
      <c r="BD699" s="2"/>
      <c r="BE699" s="2"/>
      <c r="BF699" s="12"/>
      <c r="BG699" s="1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152"/>
      <c r="BV699" s="155"/>
      <c r="BW699" s="12"/>
      <c r="BX699" s="12"/>
      <c r="BY699" s="12"/>
      <c r="BZ699" s="12"/>
      <c r="CA699" s="12"/>
      <c r="CB699" s="12"/>
      <c r="CC699" s="12"/>
      <c r="CD699" s="12"/>
      <c r="CE699" s="12"/>
      <c r="CF699" s="12"/>
      <c r="CG699" s="12"/>
      <c r="CH699" s="12"/>
      <c r="CI699" s="12"/>
      <c r="CJ699" s="12"/>
      <c r="CK699" s="12"/>
      <c r="CL699" s="12"/>
      <c r="CM699" s="12"/>
      <c r="CN699" s="12"/>
      <c r="CO699" s="12"/>
      <c r="CP699" s="12"/>
      <c r="CQ699" s="46"/>
      <c r="CR699" s="46"/>
      <c r="CS699" s="46"/>
      <c r="CT699" s="119"/>
      <c r="CU699" s="119"/>
      <c r="CV699" s="119"/>
      <c r="CW699" s="119"/>
      <c r="CX699" s="120"/>
      <c r="CY699" s="120"/>
      <c r="CZ699" s="120"/>
      <c r="DA699" s="120"/>
      <c r="DB699" s="120"/>
      <c r="DC699" s="120"/>
      <c r="DD699" s="120"/>
      <c r="DE699" s="120"/>
      <c r="DF699" s="120"/>
      <c r="DG699" s="2"/>
      <c r="DH699" s="2"/>
      <c r="DI699" s="2"/>
      <c r="DJ699" s="48"/>
      <c r="DK699" s="48"/>
      <c r="DL699" s="48"/>
      <c r="DM699" s="13"/>
      <c r="DN699" s="13"/>
      <c r="DO699" s="12"/>
      <c r="DP699" s="12"/>
      <c r="DQ699" s="12"/>
      <c r="DR699" s="12"/>
      <c r="DS699" s="12"/>
      <c r="DT699" s="2"/>
      <c r="DU699" s="2"/>
      <c r="DV699" s="12"/>
      <c r="DW699" s="12"/>
      <c r="DX699" s="2"/>
      <c r="DY699" s="2"/>
      <c r="DZ699" s="12"/>
      <c r="EA699" s="12"/>
      <c r="EB699" s="12"/>
      <c r="EC699" s="12"/>
      <c r="ED699" s="12"/>
    </row>
    <row r="700" spans="1:134" ht="12.5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12"/>
      <c r="AC700" s="12"/>
      <c r="AD700" s="12"/>
      <c r="AE700" s="2"/>
      <c r="AF700" s="2"/>
      <c r="AG700" s="2"/>
      <c r="AH700" s="2"/>
      <c r="AI700" s="2"/>
      <c r="AJ700" s="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2"/>
      <c r="AY700" s="2"/>
      <c r="AZ700" s="2"/>
      <c r="BA700" s="2"/>
      <c r="BB700" s="2"/>
      <c r="BC700" s="2"/>
      <c r="BD700" s="2"/>
      <c r="BE700" s="2"/>
      <c r="BF700" s="12"/>
      <c r="BG700" s="1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152"/>
      <c r="BV700" s="155"/>
      <c r="BW700" s="12"/>
      <c r="BX700" s="12"/>
      <c r="BY700" s="12"/>
      <c r="BZ700" s="12"/>
      <c r="CA700" s="12"/>
      <c r="CB700" s="12"/>
      <c r="CC700" s="12"/>
      <c r="CD700" s="12"/>
      <c r="CE700" s="12"/>
      <c r="CF700" s="12"/>
      <c r="CG700" s="12"/>
      <c r="CH700" s="12"/>
      <c r="CI700" s="12"/>
      <c r="CJ700" s="12"/>
      <c r="CK700" s="12"/>
      <c r="CL700" s="12"/>
      <c r="CM700" s="12"/>
      <c r="CN700" s="12"/>
      <c r="CO700" s="12"/>
      <c r="CP700" s="12"/>
      <c r="CQ700" s="46"/>
      <c r="CR700" s="46"/>
      <c r="CS700" s="46"/>
      <c r="CT700" s="119"/>
      <c r="CU700" s="119"/>
      <c r="CV700" s="119"/>
      <c r="CW700" s="119"/>
      <c r="CX700" s="120"/>
      <c r="CY700" s="120"/>
      <c r="CZ700" s="120"/>
      <c r="DA700" s="120"/>
      <c r="DB700" s="120"/>
      <c r="DC700" s="120"/>
      <c r="DD700" s="120"/>
      <c r="DE700" s="120"/>
      <c r="DF700" s="120"/>
      <c r="DG700" s="2"/>
      <c r="DH700" s="2"/>
      <c r="DI700" s="2"/>
      <c r="DJ700" s="48"/>
      <c r="DK700" s="48"/>
      <c r="DL700" s="48"/>
      <c r="DM700" s="13"/>
      <c r="DN700" s="13"/>
      <c r="DO700" s="12"/>
      <c r="DP700" s="12"/>
      <c r="DQ700" s="12"/>
      <c r="DR700" s="12"/>
      <c r="DS700" s="12"/>
      <c r="DT700" s="2"/>
      <c r="DU700" s="2"/>
      <c r="DV700" s="12"/>
      <c r="DW700" s="12"/>
      <c r="DX700" s="2"/>
      <c r="DY700" s="2"/>
      <c r="DZ700" s="12"/>
      <c r="EA700" s="12"/>
      <c r="EB700" s="12"/>
      <c r="EC700" s="12"/>
      <c r="ED700" s="12"/>
    </row>
    <row r="701" spans="1:134" ht="12.5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12"/>
      <c r="AC701" s="12"/>
      <c r="AD701" s="12"/>
      <c r="AE701" s="2"/>
      <c r="AF701" s="2"/>
      <c r="AG701" s="2"/>
      <c r="AH701" s="2"/>
      <c r="AI701" s="2"/>
      <c r="AJ701" s="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2"/>
      <c r="AY701" s="2"/>
      <c r="AZ701" s="2"/>
      <c r="BA701" s="2"/>
      <c r="BB701" s="2"/>
      <c r="BC701" s="2"/>
      <c r="BD701" s="2"/>
      <c r="BE701" s="2"/>
      <c r="BF701" s="12"/>
      <c r="BG701" s="1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152"/>
      <c r="BV701" s="155"/>
      <c r="BW701" s="12"/>
      <c r="BX701" s="12"/>
      <c r="BY701" s="12"/>
      <c r="BZ701" s="12"/>
      <c r="CA701" s="12"/>
      <c r="CB701" s="12"/>
      <c r="CC701" s="12"/>
      <c r="CD701" s="12"/>
      <c r="CE701" s="12"/>
      <c r="CF701" s="12"/>
      <c r="CG701" s="12"/>
      <c r="CH701" s="12"/>
      <c r="CI701" s="12"/>
      <c r="CJ701" s="12"/>
      <c r="CK701" s="12"/>
      <c r="CL701" s="12"/>
      <c r="CM701" s="12"/>
      <c r="CN701" s="12"/>
      <c r="CO701" s="12"/>
      <c r="CP701" s="12"/>
      <c r="CQ701" s="46"/>
      <c r="CR701" s="46"/>
      <c r="CS701" s="46"/>
      <c r="CT701" s="119"/>
      <c r="CU701" s="119"/>
      <c r="CV701" s="119"/>
      <c r="CW701" s="119"/>
      <c r="CX701" s="120"/>
      <c r="CY701" s="120"/>
      <c r="CZ701" s="120"/>
      <c r="DA701" s="120"/>
      <c r="DB701" s="120"/>
      <c r="DC701" s="120"/>
      <c r="DD701" s="120"/>
      <c r="DE701" s="120"/>
      <c r="DF701" s="120"/>
      <c r="DG701" s="2"/>
      <c r="DH701" s="2"/>
      <c r="DI701" s="2"/>
      <c r="DJ701" s="48"/>
      <c r="DK701" s="48"/>
      <c r="DL701" s="48"/>
      <c r="DM701" s="13"/>
      <c r="DN701" s="13"/>
      <c r="DO701" s="12"/>
      <c r="DP701" s="12"/>
      <c r="DQ701" s="12"/>
      <c r="DR701" s="12"/>
      <c r="DS701" s="12"/>
      <c r="DT701" s="2"/>
      <c r="DU701" s="2"/>
      <c r="DV701" s="12"/>
      <c r="DW701" s="12"/>
      <c r="DX701" s="2"/>
      <c r="DY701" s="2"/>
      <c r="DZ701" s="12"/>
      <c r="EA701" s="12"/>
      <c r="EB701" s="12"/>
      <c r="EC701" s="12"/>
      <c r="ED701" s="12"/>
    </row>
    <row r="702" spans="1:134" ht="12.5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12"/>
      <c r="AC702" s="12"/>
      <c r="AD702" s="12"/>
      <c r="AE702" s="2"/>
      <c r="AF702" s="2"/>
      <c r="AG702" s="2"/>
      <c r="AH702" s="2"/>
      <c r="AI702" s="2"/>
      <c r="AJ702" s="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2"/>
      <c r="AY702" s="2"/>
      <c r="AZ702" s="2"/>
      <c r="BA702" s="2"/>
      <c r="BB702" s="2"/>
      <c r="BC702" s="2"/>
      <c r="BD702" s="2"/>
      <c r="BE702" s="2"/>
      <c r="BF702" s="12"/>
      <c r="BG702" s="1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152"/>
      <c r="BV702" s="155"/>
      <c r="BW702" s="12"/>
      <c r="BX702" s="12"/>
      <c r="BY702" s="12"/>
      <c r="BZ702" s="12"/>
      <c r="CA702" s="12"/>
      <c r="CB702" s="12"/>
      <c r="CC702" s="12"/>
      <c r="CD702" s="12"/>
      <c r="CE702" s="12"/>
      <c r="CF702" s="12"/>
      <c r="CG702" s="12"/>
      <c r="CH702" s="12"/>
      <c r="CI702" s="12"/>
      <c r="CJ702" s="12"/>
      <c r="CK702" s="12"/>
      <c r="CL702" s="12"/>
      <c r="CM702" s="12"/>
      <c r="CN702" s="12"/>
      <c r="CO702" s="12"/>
      <c r="CP702" s="12"/>
      <c r="CQ702" s="46"/>
      <c r="CR702" s="46"/>
      <c r="CS702" s="46"/>
      <c r="CT702" s="119"/>
      <c r="CU702" s="119"/>
      <c r="CV702" s="119"/>
      <c r="CW702" s="119"/>
      <c r="CX702" s="120"/>
      <c r="CY702" s="120"/>
      <c r="CZ702" s="120"/>
      <c r="DA702" s="120"/>
      <c r="DB702" s="120"/>
      <c r="DC702" s="120"/>
      <c r="DD702" s="120"/>
      <c r="DE702" s="120"/>
      <c r="DF702" s="120"/>
      <c r="DG702" s="2"/>
      <c r="DH702" s="2"/>
      <c r="DI702" s="2"/>
      <c r="DJ702" s="48"/>
      <c r="DK702" s="48"/>
      <c r="DL702" s="48"/>
      <c r="DM702" s="13"/>
      <c r="DN702" s="13"/>
      <c r="DO702" s="12"/>
      <c r="DP702" s="12"/>
      <c r="DQ702" s="12"/>
      <c r="DR702" s="12"/>
      <c r="DS702" s="12"/>
      <c r="DT702" s="2"/>
      <c r="DU702" s="2"/>
      <c r="DV702" s="12"/>
      <c r="DW702" s="12"/>
      <c r="DX702" s="2"/>
      <c r="DY702" s="2"/>
      <c r="DZ702" s="12"/>
      <c r="EA702" s="12"/>
      <c r="EB702" s="12"/>
      <c r="EC702" s="12"/>
      <c r="ED702" s="12"/>
    </row>
    <row r="703" spans="1:134" ht="12.5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12"/>
      <c r="AC703" s="12"/>
      <c r="AD703" s="12"/>
      <c r="AE703" s="2"/>
      <c r="AF703" s="2"/>
      <c r="AG703" s="2"/>
      <c r="AH703" s="2"/>
      <c r="AI703" s="2"/>
      <c r="AJ703" s="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2"/>
      <c r="AY703" s="2"/>
      <c r="AZ703" s="2"/>
      <c r="BA703" s="2"/>
      <c r="BB703" s="2"/>
      <c r="BC703" s="2"/>
      <c r="BD703" s="2"/>
      <c r="BE703" s="2"/>
      <c r="BF703" s="12"/>
      <c r="BG703" s="1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152"/>
      <c r="BV703" s="155"/>
      <c r="BW703" s="12"/>
      <c r="BX703" s="12"/>
      <c r="BY703" s="12"/>
      <c r="BZ703" s="12"/>
      <c r="CA703" s="12"/>
      <c r="CB703" s="12"/>
      <c r="CC703" s="12"/>
      <c r="CD703" s="12"/>
      <c r="CE703" s="12"/>
      <c r="CF703" s="12"/>
      <c r="CG703" s="12"/>
      <c r="CH703" s="12"/>
      <c r="CI703" s="12"/>
      <c r="CJ703" s="12"/>
      <c r="CK703" s="12"/>
      <c r="CL703" s="12"/>
      <c r="CM703" s="12"/>
      <c r="CN703" s="12"/>
      <c r="CO703" s="12"/>
      <c r="CP703" s="12"/>
      <c r="CQ703" s="46"/>
      <c r="CR703" s="46"/>
      <c r="CS703" s="46"/>
      <c r="CT703" s="119"/>
      <c r="CU703" s="119"/>
      <c r="CV703" s="119"/>
      <c r="CW703" s="119"/>
      <c r="CX703" s="120"/>
      <c r="CY703" s="120"/>
      <c r="CZ703" s="120"/>
      <c r="DA703" s="120"/>
      <c r="DB703" s="120"/>
      <c r="DC703" s="120"/>
      <c r="DD703" s="120"/>
      <c r="DE703" s="120"/>
      <c r="DF703" s="120"/>
      <c r="DG703" s="2"/>
      <c r="DH703" s="2"/>
      <c r="DI703" s="2"/>
      <c r="DJ703" s="48"/>
      <c r="DK703" s="48"/>
      <c r="DL703" s="48"/>
      <c r="DM703" s="13"/>
      <c r="DN703" s="13"/>
      <c r="DO703" s="12"/>
      <c r="DP703" s="12"/>
      <c r="DQ703" s="12"/>
      <c r="DR703" s="12"/>
      <c r="DS703" s="12"/>
      <c r="DT703" s="2"/>
      <c r="DU703" s="2"/>
      <c r="DV703" s="12"/>
      <c r="DW703" s="12"/>
      <c r="DX703" s="2"/>
      <c r="DY703" s="2"/>
      <c r="DZ703" s="12"/>
      <c r="EA703" s="12"/>
      <c r="EB703" s="12"/>
      <c r="EC703" s="12"/>
      <c r="ED703" s="12"/>
    </row>
    <row r="704" spans="1:134" ht="12.5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12"/>
      <c r="AC704" s="12"/>
      <c r="AD704" s="12"/>
      <c r="AE704" s="2"/>
      <c r="AF704" s="2"/>
      <c r="AG704" s="2"/>
      <c r="AH704" s="2"/>
      <c r="AI704" s="2"/>
      <c r="AJ704" s="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2"/>
      <c r="AY704" s="2"/>
      <c r="AZ704" s="2"/>
      <c r="BA704" s="2"/>
      <c r="BB704" s="2"/>
      <c r="BC704" s="2"/>
      <c r="BD704" s="2"/>
      <c r="BE704" s="2"/>
      <c r="BF704" s="12"/>
      <c r="BG704" s="1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152"/>
      <c r="BV704" s="155"/>
      <c r="BW704" s="12"/>
      <c r="BX704" s="12"/>
      <c r="BY704" s="12"/>
      <c r="BZ704" s="12"/>
      <c r="CA704" s="12"/>
      <c r="CB704" s="12"/>
      <c r="CC704" s="12"/>
      <c r="CD704" s="12"/>
      <c r="CE704" s="12"/>
      <c r="CF704" s="12"/>
      <c r="CG704" s="12"/>
      <c r="CH704" s="12"/>
      <c r="CI704" s="12"/>
      <c r="CJ704" s="12"/>
      <c r="CK704" s="12"/>
      <c r="CL704" s="12"/>
      <c r="CM704" s="12"/>
      <c r="CN704" s="12"/>
      <c r="CO704" s="12"/>
      <c r="CP704" s="12"/>
      <c r="CQ704" s="46"/>
      <c r="CR704" s="46"/>
      <c r="CS704" s="46"/>
      <c r="CT704" s="119"/>
      <c r="CU704" s="119"/>
      <c r="CV704" s="119"/>
      <c r="CW704" s="119"/>
      <c r="CX704" s="120"/>
      <c r="CY704" s="120"/>
      <c r="CZ704" s="120"/>
      <c r="DA704" s="120"/>
      <c r="DB704" s="120"/>
      <c r="DC704" s="120"/>
      <c r="DD704" s="120"/>
      <c r="DE704" s="120"/>
      <c r="DF704" s="120"/>
      <c r="DG704" s="2"/>
      <c r="DH704" s="2"/>
      <c r="DI704" s="2"/>
      <c r="DJ704" s="48"/>
      <c r="DK704" s="48"/>
      <c r="DL704" s="48"/>
      <c r="DM704" s="13"/>
      <c r="DN704" s="13"/>
      <c r="DO704" s="12"/>
      <c r="DP704" s="12"/>
      <c r="DQ704" s="12"/>
      <c r="DR704" s="12"/>
      <c r="DS704" s="12"/>
      <c r="DT704" s="2"/>
      <c r="DU704" s="2"/>
      <c r="DV704" s="12"/>
      <c r="DW704" s="12"/>
      <c r="DX704" s="2"/>
      <c r="DY704" s="2"/>
      <c r="DZ704" s="12"/>
      <c r="EA704" s="12"/>
      <c r="EB704" s="12"/>
      <c r="EC704" s="12"/>
      <c r="ED704" s="12"/>
    </row>
    <row r="705" spans="1:134" ht="12.5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12"/>
      <c r="AC705" s="12"/>
      <c r="AD705" s="12"/>
      <c r="AE705" s="2"/>
      <c r="AF705" s="2"/>
      <c r="AG705" s="2"/>
      <c r="AH705" s="2"/>
      <c r="AI705" s="2"/>
      <c r="AJ705" s="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2"/>
      <c r="AY705" s="2"/>
      <c r="AZ705" s="2"/>
      <c r="BA705" s="2"/>
      <c r="BB705" s="2"/>
      <c r="BC705" s="2"/>
      <c r="BD705" s="2"/>
      <c r="BE705" s="2"/>
      <c r="BF705" s="12"/>
      <c r="BG705" s="1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152"/>
      <c r="BV705" s="155"/>
      <c r="BW705" s="12"/>
      <c r="BX705" s="12"/>
      <c r="BY705" s="12"/>
      <c r="BZ705" s="12"/>
      <c r="CA705" s="12"/>
      <c r="CB705" s="12"/>
      <c r="CC705" s="12"/>
      <c r="CD705" s="12"/>
      <c r="CE705" s="12"/>
      <c r="CF705" s="12"/>
      <c r="CG705" s="12"/>
      <c r="CH705" s="12"/>
      <c r="CI705" s="12"/>
      <c r="CJ705" s="12"/>
      <c r="CK705" s="12"/>
      <c r="CL705" s="12"/>
      <c r="CM705" s="12"/>
      <c r="CN705" s="12"/>
      <c r="CO705" s="12"/>
      <c r="CP705" s="12"/>
      <c r="CQ705" s="46"/>
      <c r="CR705" s="46"/>
      <c r="CS705" s="46"/>
      <c r="CT705" s="119"/>
      <c r="CU705" s="119"/>
      <c r="CV705" s="119"/>
      <c r="CW705" s="119"/>
      <c r="CX705" s="120"/>
      <c r="CY705" s="120"/>
      <c r="CZ705" s="120"/>
      <c r="DA705" s="120"/>
      <c r="DB705" s="120"/>
      <c r="DC705" s="120"/>
      <c r="DD705" s="120"/>
      <c r="DE705" s="120"/>
      <c r="DF705" s="120"/>
      <c r="DG705" s="2"/>
      <c r="DH705" s="2"/>
      <c r="DI705" s="2"/>
      <c r="DJ705" s="48"/>
      <c r="DK705" s="48"/>
      <c r="DL705" s="48"/>
      <c r="DM705" s="13"/>
      <c r="DN705" s="13"/>
      <c r="DO705" s="12"/>
      <c r="DP705" s="12"/>
      <c r="DQ705" s="12"/>
      <c r="DR705" s="12"/>
      <c r="DS705" s="12"/>
      <c r="DT705" s="2"/>
      <c r="DU705" s="2"/>
      <c r="DV705" s="12"/>
      <c r="DW705" s="12"/>
      <c r="DX705" s="2"/>
      <c r="DY705" s="2"/>
      <c r="DZ705" s="12"/>
      <c r="EA705" s="12"/>
      <c r="EB705" s="12"/>
      <c r="EC705" s="12"/>
      <c r="ED705" s="12"/>
    </row>
    <row r="706" spans="1:134" ht="12.5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12"/>
      <c r="AC706" s="12"/>
      <c r="AD706" s="12"/>
      <c r="AE706" s="2"/>
      <c r="AF706" s="2"/>
      <c r="AG706" s="2"/>
      <c r="AH706" s="2"/>
      <c r="AI706" s="2"/>
      <c r="AJ706" s="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2"/>
      <c r="AY706" s="2"/>
      <c r="AZ706" s="2"/>
      <c r="BA706" s="2"/>
      <c r="BB706" s="2"/>
      <c r="BC706" s="2"/>
      <c r="BD706" s="2"/>
      <c r="BE706" s="2"/>
      <c r="BF706" s="12"/>
      <c r="BG706" s="1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152"/>
      <c r="BV706" s="155"/>
      <c r="BW706" s="12"/>
      <c r="BX706" s="12"/>
      <c r="BY706" s="12"/>
      <c r="BZ706" s="12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46"/>
      <c r="CR706" s="46"/>
      <c r="CS706" s="46"/>
      <c r="CT706" s="119"/>
      <c r="CU706" s="119"/>
      <c r="CV706" s="119"/>
      <c r="CW706" s="119"/>
      <c r="CX706" s="120"/>
      <c r="CY706" s="120"/>
      <c r="CZ706" s="120"/>
      <c r="DA706" s="120"/>
      <c r="DB706" s="120"/>
      <c r="DC706" s="120"/>
      <c r="DD706" s="120"/>
      <c r="DE706" s="120"/>
      <c r="DF706" s="120"/>
      <c r="DG706" s="2"/>
      <c r="DH706" s="2"/>
      <c r="DI706" s="2"/>
      <c r="DJ706" s="48"/>
      <c r="DK706" s="48"/>
      <c r="DL706" s="48"/>
      <c r="DM706" s="13"/>
      <c r="DN706" s="13"/>
      <c r="DO706" s="12"/>
      <c r="DP706" s="12"/>
      <c r="DQ706" s="12"/>
      <c r="DR706" s="12"/>
      <c r="DS706" s="12"/>
      <c r="DT706" s="2"/>
      <c r="DU706" s="2"/>
      <c r="DV706" s="12"/>
      <c r="DW706" s="12"/>
      <c r="DX706" s="2"/>
      <c r="DY706" s="2"/>
      <c r="DZ706" s="12"/>
      <c r="EA706" s="12"/>
      <c r="EB706" s="12"/>
      <c r="EC706" s="12"/>
      <c r="ED706" s="12"/>
    </row>
    <row r="707" spans="1:134" ht="12.5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12"/>
      <c r="AC707" s="12"/>
      <c r="AD707" s="12"/>
      <c r="AE707" s="2"/>
      <c r="AF707" s="2"/>
      <c r="AG707" s="2"/>
      <c r="AH707" s="2"/>
      <c r="AI707" s="2"/>
      <c r="AJ707" s="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2"/>
      <c r="AY707" s="2"/>
      <c r="AZ707" s="2"/>
      <c r="BA707" s="2"/>
      <c r="BB707" s="2"/>
      <c r="BC707" s="2"/>
      <c r="BD707" s="2"/>
      <c r="BE707" s="2"/>
      <c r="BF707" s="12"/>
      <c r="BG707" s="1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152"/>
      <c r="BV707" s="155"/>
      <c r="BW707" s="12"/>
      <c r="BX707" s="12"/>
      <c r="BY707" s="12"/>
      <c r="BZ707" s="12"/>
      <c r="CA707" s="12"/>
      <c r="CB707" s="12"/>
      <c r="CC707" s="12"/>
      <c r="CD707" s="12"/>
      <c r="CE707" s="12"/>
      <c r="CF707" s="12"/>
      <c r="CG707" s="12"/>
      <c r="CH707" s="12"/>
      <c r="CI707" s="12"/>
      <c r="CJ707" s="12"/>
      <c r="CK707" s="12"/>
      <c r="CL707" s="12"/>
      <c r="CM707" s="12"/>
      <c r="CN707" s="12"/>
      <c r="CO707" s="12"/>
      <c r="CP707" s="12"/>
      <c r="CQ707" s="46"/>
      <c r="CR707" s="46"/>
      <c r="CS707" s="46"/>
      <c r="CT707" s="119"/>
      <c r="CU707" s="119"/>
      <c r="CV707" s="119"/>
      <c r="CW707" s="119"/>
      <c r="CX707" s="120"/>
      <c r="CY707" s="120"/>
      <c r="CZ707" s="120"/>
      <c r="DA707" s="120"/>
      <c r="DB707" s="120"/>
      <c r="DC707" s="120"/>
      <c r="DD707" s="120"/>
      <c r="DE707" s="120"/>
      <c r="DF707" s="120"/>
      <c r="DG707" s="2"/>
      <c r="DH707" s="2"/>
      <c r="DI707" s="2"/>
      <c r="DJ707" s="48"/>
      <c r="DK707" s="48"/>
      <c r="DL707" s="48"/>
      <c r="DM707" s="13"/>
      <c r="DN707" s="13"/>
      <c r="DO707" s="12"/>
      <c r="DP707" s="12"/>
      <c r="DQ707" s="12"/>
      <c r="DR707" s="12"/>
      <c r="DS707" s="12"/>
      <c r="DT707" s="2"/>
      <c r="DU707" s="2"/>
      <c r="DV707" s="12"/>
      <c r="DW707" s="12"/>
      <c r="DX707" s="2"/>
      <c r="DY707" s="2"/>
      <c r="DZ707" s="12"/>
      <c r="EA707" s="12"/>
      <c r="EB707" s="12"/>
      <c r="EC707" s="12"/>
      <c r="ED707" s="12"/>
    </row>
    <row r="708" spans="1:134" ht="12.5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12"/>
      <c r="AC708" s="12"/>
      <c r="AD708" s="12"/>
      <c r="AE708" s="2"/>
      <c r="AF708" s="2"/>
      <c r="AG708" s="2"/>
      <c r="AH708" s="2"/>
      <c r="AI708" s="2"/>
      <c r="AJ708" s="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2"/>
      <c r="AY708" s="2"/>
      <c r="AZ708" s="2"/>
      <c r="BA708" s="2"/>
      <c r="BB708" s="2"/>
      <c r="BC708" s="2"/>
      <c r="BD708" s="2"/>
      <c r="BE708" s="2"/>
      <c r="BF708" s="12"/>
      <c r="BG708" s="1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152"/>
      <c r="BV708" s="155"/>
      <c r="BW708" s="12"/>
      <c r="BX708" s="12"/>
      <c r="BY708" s="12"/>
      <c r="BZ708" s="12"/>
      <c r="CA708" s="12"/>
      <c r="CB708" s="12"/>
      <c r="CC708" s="12"/>
      <c r="CD708" s="12"/>
      <c r="CE708" s="12"/>
      <c r="CF708" s="12"/>
      <c r="CG708" s="12"/>
      <c r="CH708" s="12"/>
      <c r="CI708" s="12"/>
      <c r="CJ708" s="12"/>
      <c r="CK708" s="12"/>
      <c r="CL708" s="12"/>
      <c r="CM708" s="12"/>
      <c r="CN708" s="12"/>
      <c r="CO708" s="12"/>
      <c r="CP708" s="12"/>
      <c r="CQ708" s="46"/>
      <c r="CR708" s="46"/>
      <c r="CS708" s="46"/>
      <c r="CT708" s="119"/>
      <c r="CU708" s="119"/>
      <c r="CV708" s="119"/>
      <c r="CW708" s="119"/>
      <c r="CX708" s="120"/>
      <c r="CY708" s="120"/>
      <c r="CZ708" s="120"/>
      <c r="DA708" s="120"/>
      <c r="DB708" s="120"/>
      <c r="DC708" s="120"/>
      <c r="DD708" s="120"/>
      <c r="DE708" s="120"/>
      <c r="DF708" s="120"/>
      <c r="DG708" s="2"/>
      <c r="DH708" s="2"/>
      <c r="DI708" s="2"/>
      <c r="DJ708" s="48"/>
      <c r="DK708" s="48"/>
      <c r="DL708" s="48"/>
      <c r="DM708" s="13"/>
      <c r="DN708" s="13"/>
      <c r="DO708" s="12"/>
      <c r="DP708" s="12"/>
      <c r="DQ708" s="12"/>
      <c r="DR708" s="12"/>
      <c r="DS708" s="12"/>
      <c r="DT708" s="2"/>
      <c r="DU708" s="2"/>
      <c r="DV708" s="12"/>
      <c r="DW708" s="12"/>
      <c r="DX708" s="2"/>
      <c r="DY708" s="2"/>
      <c r="DZ708" s="12"/>
      <c r="EA708" s="12"/>
      <c r="EB708" s="12"/>
      <c r="EC708" s="12"/>
      <c r="ED708" s="12"/>
    </row>
    <row r="709" spans="1:134" ht="12.5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12"/>
      <c r="AC709" s="12"/>
      <c r="AD709" s="12"/>
      <c r="AE709" s="2"/>
      <c r="AF709" s="2"/>
      <c r="AG709" s="2"/>
      <c r="AH709" s="2"/>
      <c r="AI709" s="2"/>
      <c r="AJ709" s="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2"/>
      <c r="AY709" s="2"/>
      <c r="AZ709" s="2"/>
      <c r="BA709" s="2"/>
      <c r="BB709" s="2"/>
      <c r="BC709" s="2"/>
      <c r="BD709" s="2"/>
      <c r="BE709" s="2"/>
      <c r="BF709" s="12"/>
      <c r="BG709" s="1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152"/>
      <c r="BV709" s="155"/>
      <c r="BW709" s="12"/>
      <c r="BX709" s="12"/>
      <c r="BY709" s="12"/>
      <c r="BZ709" s="12"/>
      <c r="CA709" s="12"/>
      <c r="CB709" s="12"/>
      <c r="CC709" s="12"/>
      <c r="CD709" s="12"/>
      <c r="CE709" s="12"/>
      <c r="CF709" s="12"/>
      <c r="CG709" s="12"/>
      <c r="CH709" s="12"/>
      <c r="CI709" s="12"/>
      <c r="CJ709" s="12"/>
      <c r="CK709" s="12"/>
      <c r="CL709" s="12"/>
      <c r="CM709" s="12"/>
      <c r="CN709" s="12"/>
      <c r="CO709" s="12"/>
      <c r="CP709" s="12"/>
      <c r="CQ709" s="46"/>
      <c r="CR709" s="46"/>
      <c r="CS709" s="46"/>
      <c r="CT709" s="119"/>
      <c r="CU709" s="119"/>
      <c r="CV709" s="119"/>
      <c r="CW709" s="119"/>
      <c r="CX709" s="120"/>
      <c r="CY709" s="120"/>
      <c r="CZ709" s="120"/>
      <c r="DA709" s="120"/>
      <c r="DB709" s="120"/>
      <c r="DC709" s="120"/>
      <c r="DD709" s="120"/>
      <c r="DE709" s="120"/>
      <c r="DF709" s="120"/>
      <c r="DG709" s="2"/>
      <c r="DH709" s="2"/>
      <c r="DI709" s="2"/>
      <c r="DJ709" s="48"/>
      <c r="DK709" s="48"/>
      <c r="DL709" s="48"/>
      <c r="DM709" s="13"/>
      <c r="DN709" s="13"/>
      <c r="DO709" s="12"/>
      <c r="DP709" s="12"/>
      <c r="DQ709" s="12"/>
      <c r="DR709" s="12"/>
      <c r="DS709" s="12"/>
      <c r="DT709" s="2"/>
      <c r="DU709" s="2"/>
      <c r="DV709" s="12"/>
      <c r="DW709" s="12"/>
      <c r="DX709" s="2"/>
      <c r="DY709" s="2"/>
      <c r="DZ709" s="12"/>
      <c r="EA709" s="12"/>
      <c r="EB709" s="12"/>
      <c r="EC709" s="12"/>
      <c r="ED709" s="12"/>
    </row>
    <row r="710" spans="1:134" ht="12.5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12"/>
      <c r="AC710" s="12"/>
      <c r="AD710" s="12"/>
      <c r="AE710" s="2"/>
      <c r="AF710" s="2"/>
      <c r="AG710" s="2"/>
      <c r="AH710" s="2"/>
      <c r="AI710" s="2"/>
      <c r="AJ710" s="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2"/>
      <c r="AY710" s="2"/>
      <c r="AZ710" s="2"/>
      <c r="BA710" s="2"/>
      <c r="BB710" s="2"/>
      <c r="BC710" s="2"/>
      <c r="BD710" s="2"/>
      <c r="BE710" s="2"/>
      <c r="BF710" s="12"/>
      <c r="BG710" s="1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152"/>
      <c r="BV710" s="155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46"/>
      <c r="CR710" s="46"/>
      <c r="CS710" s="46"/>
      <c r="CT710" s="119"/>
      <c r="CU710" s="119"/>
      <c r="CV710" s="119"/>
      <c r="CW710" s="119"/>
      <c r="CX710" s="120"/>
      <c r="CY710" s="120"/>
      <c r="CZ710" s="120"/>
      <c r="DA710" s="120"/>
      <c r="DB710" s="120"/>
      <c r="DC710" s="120"/>
      <c r="DD710" s="120"/>
      <c r="DE710" s="120"/>
      <c r="DF710" s="120"/>
      <c r="DG710" s="2"/>
      <c r="DH710" s="2"/>
      <c r="DI710" s="2"/>
      <c r="DJ710" s="48"/>
      <c r="DK710" s="48"/>
      <c r="DL710" s="48"/>
      <c r="DM710" s="13"/>
      <c r="DN710" s="13"/>
      <c r="DO710" s="12"/>
      <c r="DP710" s="12"/>
      <c r="DQ710" s="12"/>
      <c r="DR710" s="12"/>
      <c r="DS710" s="12"/>
      <c r="DT710" s="2"/>
      <c r="DU710" s="2"/>
      <c r="DV710" s="12"/>
      <c r="DW710" s="12"/>
      <c r="DX710" s="2"/>
      <c r="DY710" s="2"/>
      <c r="DZ710" s="12"/>
      <c r="EA710" s="12"/>
      <c r="EB710" s="12"/>
      <c r="EC710" s="12"/>
      <c r="ED710" s="12"/>
    </row>
    <row r="711" spans="1:134" ht="12.5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12"/>
      <c r="AC711" s="12"/>
      <c r="AD711" s="12"/>
      <c r="AE711" s="2"/>
      <c r="AF711" s="2"/>
      <c r="AG711" s="2"/>
      <c r="AH711" s="2"/>
      <c r="AI711" s="2"/>
      <c r="AJ711" s="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2"/>
      <c r="AY711" s="2"/>
      <c r="AZ711" s="2"/>
      <c r="BA711" s="2"/>
      <c r="BB711" s="2"/>
      <c r="BC711" s="2"/>
      <c r="BD711" s="2"/>
      <c r="BE711" s="2"/>
      <c r="BF711" s="12"/>
      <c r="BG711" s="1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152"/>
      <c r="BV711" s="155"/>
      <c r="BW711" s="12"/>
      <c r="BX711" s="12"/>
      <c r="BY711" s="12"/>
      <c r="BZ711" s="12"/>
      <c r="CA711" s="12"/>
      <c r="CB711" s="12"/>
      <c r="CC711" s="12"/>
      <c r="CD711" s="12"/>
      <c r="CE711" s="12"/>
      <c r="CF711" s="12"/>
      <c r="CG711" s="12"/>
      <c r="CH711" s="12"/>
      <c r="CI711" s="12"/>
      <c r="CJ711" s="12"/>
      <c r="CK711" s="12"/>
      <c r="CL711" s="12"/>
      <c r="CM711" s="12"/>
      <c r="CN711" s="12"/>
      <c r="CO711" s="12"/>
      <c r="CP711" s="12"/>
      <c r="CQ711" s="46"/>
      <c r="CR711" s="46"/>
      <c r="CS711" s="46"/>
      <c r="CT711" s="119"/>
      <c r="CU711" s="119"/>
      <c r="CV711" s="119"/>
      <c r="CW711" s="119"/>
      <c r="CX711" s="120"/>
      <c r="CY711" s="120"/>
      <c r="CZ711" s="120"/>
      <c r="DA711" s="120"/>
      <c r="DB711" s="120"/>
      <c r="DC711" s="120"/>
      <c r="DD711" s="120"/>
      <c r="DE711" s="120"/>
      <c r="DF711" s="120"/>
      <c r="DG711" s="2"/>
      <c r="DH711" s="2"/>
      <c r="DI711" s="2"/>
      <c r="DJ711" s="48"/>
      <c r="DK711" s="48"/>
      <c r="DL711" s="48"/>
      <c r="DM711" s="13"/>
      <c r="DN711" s="13"/>
      <c r="DO711" s="12"/>
      <c r="DP711" s="12"/>
      <c r="DQ711" s="12"/>
      <c r="DR711" s="12"/>
      <c r="DS711" s="12"/>
      <c r="DT711" s="2"/>
      <c r="DU711" s="2"/>
      <c r="DV711" s="12"/>
      <c r="DW711" s="12"/>
      <c r="DX711" s="2"/>
      <c r="DY711" s="2"/>
      <c r="DZ711" s="12"/>
      <c r="EA711" s="12"/>
      <c r="EB711" s="12"/>
      <c r="EC711" s="12"/>
      <c r="ED711" s="12"/>
    </row>
    <row r="712" spans="1:134" ht="12.5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12"/>
      <c r="AC712" s="12"/>
      <c r="AD712" s="12"/>
      <c r="AE712" s="2"/>
      <c r="AF712" s="2"/>
      <c r="AG712" s="2"/>
      <c r="AH712" s="2"/>
      <c r="AI712" s="2"/>
      <c r="AJ712" s="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2"/>
      <c r="AY712" s="2"/>
      <c r="AZ712" s="2"/>
      <c r="BA712" s="2"/>
      <c r="BB712" s="2"/>
      <c r="BC712" s="2"/>
      <c r="BD712" s="2"/>
      <c r="BE712" s="2"/>
      <c r="BF712" s="12"/>
      <c r="BG712" s="1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152"/>
      <c r="BV712" s="155"/>
      <c r="BW712" s="12"/>
      <c r="BX712" s="12"/>
      <c r="BY712" s="12"/>
      <c r="BZ712" s="12"/>
      <c r="CA712" s="12"/>
      <c r="CB712" s="12"/>
      <c r="CC712" s="12"/>
      <c r="CD712" s="12"/>
      <c r="CE712" s="12"/>
      <c r="CF712" s="12"/>
      <c r="CG712" s="12"/>
      <c r="CH712" s="12"/>
      <c r="CI712" s="12"/>
      <c r="CJ712" s="12"/>
      <c r="CK712" s="12"/>
      <c r="CL712" s="12"/>
      <c r="CM712" s="12"/>
      <c r="CN712" s="12"/>
      <c r="CO712" s="12"/>
      <c r="CP712" s="12"/>
      <c r="CQ712" s="46"/>
      <c r="CR712" s="46"/>
      <c r="CS712" s="46"/>
      <c r="CT712" s="119"/>
      <c r="CU712" s="119"/>
      <c r="CV712" s="119"/>
      <c r="CW712" s="119"/>
      <c r="CX712" s="120"/>
      <c r="CY712" s="120"/>
      <c r="CZ712" s="120"/>
      <c r="DA712" s="120"/>
      <c r="DB712" s="120"/>
      <c r="DC712" s="120"/>
      <c r="DD712" s="120"/>
      <c r="DE712" s="120"/>
      <c r="DF712" s="120"/>
      <c r="DG712" s="2"/>
      <c r="DH712" s="2"/>
      <c r="DI712" s="2"/>
      <c r="DJ712" s="48"/>
      <c r="DK712" s="48"/>
      <c r="DL712" s="48"/>
      <c r="DM712" s="13"/>
      <c r="DN712" s="13"/>
      <c r="DO712" s="12"/>
      <c r="DP712" s="12"/>
      <c r="DQ712" s="12"/>
      <c r="DR712" s="12"/>
      <c r="DS712" s="12"/>
      <c r="DT712" s="2"/>
      <c r="DU712" s="2"/>
      <c r="DV712" s="12"/>
      <c r="DW712" s="12"/>
      <c r="DX712" s="2"/>
      <c r="DY712" s="2"/>
      <c r="DZ712" s="12"/>
      <c r="EA712" s="12"/>
      <c r="EB712" s="12"/>
      <c r="EC712" s="12"/>
      <c r="ED712" s="12"/>
    </row>
    <row r="713" spans="1:134" ht="12.5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12"/>
      <c r="AC713" s="12"/>
      <c r="AD713" s="12"/>
      <c r="AE713" s="2"/>
      <c r="AF713" s="2"/>
      <c r="AG713" s="2"/>
      <c r="AH713" s="2"/>
      <c r="AI713" s="2"/>
      <c r="AJ713" s="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2"/>
      <c r="AY713" s="2"/>
      <c r="AZ713" s="2"/>
      <c r="BA713" s="2"/>
      <c r="BB713" s="2"/>
      <c r="BC713" s="2"/>
      <c r="BD713" s="2"/>
      <c r="BE713" s="2"/>
      <c r="BF713" s="12"/>
      <c r="BG713" s="1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152"/>
      <c r="BV713" s="155"/>
      <c r="BW713" s="12"/>
      <c r="BX713" s="12"/>
      <c r="BY713" s="12"/>
      <c r="BZ713" s="12"/>
      <c r="CA713" s="12"/>
      <c r="CB713" s="12"/>
      <c r="CC713" s="12"/>
      <c r="CD713" s="12"/>
      <c r="CE713" s="12"/>
      <c r="CF713" s="12"/>
      <c r="CG713" s="12"/>
      <c r="CH713" s="12"/>
      <c r="CI713" s="12"/>
      <c r="CJ713" s="12"/>
      <c r="CK713" s="12"/>
      <c r="CL713" s="12"/>
      <c r="CM713" s="12"/>
      <c r="CN713" s="12"/>
      <c r="CO713" s="12"/>
      <c r="CP713" s="12"/>
      <c r="CQ713" s="46"/>
      <c r="CR713" s="46"/>
      <c r="CS713" s="46"/>
      <c r="CT713" s="119"/>
      <c r="CU713" s="119"/>
      <c r="CV713" s="119"/>
      <c r="CW713" s="119"/>
      <c r="CX713" s="120"/>
      <c r="CY713" s="120"/>
      <c r="CZ713" s="120"/>
      <c r="DA713" s="120"/>
      <c r="DB713" s="120"/>
      <c r="DC713" s="120"/>
      <c r="DD713" s="120"/>
      <c r="DE713" s="120"/>
      <c r="DF713" s="120"/>
      <c r="DG713" s="2"/>
      <c r="DH713" s="2"/>
      <c r="DI713" s="2"/>
      <c r="DJ713" s="48"/>
      <c r="DK713" s="48"/>
      <c r="DL713" s="48"/>
      <c r="DM713" s="13"/>
      <c r="DN713" s="13"/>
      <c r="DO713" s="12"/>
      <c r="DP713" s="12"/>
      <c r="DQ713" s="12"/>
      <c r="DR713" s="12"/>
      <c r="DS713" s="12"/>
      <c r="DT713" s="2"/>
      <c r="DU713" s="2"/>
      <c r="DV713" s="12"/>
      <c r="DW713" s="12"/>
      <c r="DX713" s="2"/>
      <c r="DY713" s="2"/>
      <c r="DZ713" s="12"/>
      <c r="EA713" s="12"/>
      <c r="EB713" s="12"/>
      <c r="EC713" s="12"/>
      <c r="ED713" s="12"/>
    </row>
    <row r="714" spans="1:134" ht="12.5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12"/>
      <c r="AC714" s="12"/>
      <c r="AD714" s="12"/>
      <c r="AE714" s="2"/>
      <c r="AF714" s="2"/>
      <c r="AG714" s="2"/>
      <c r="AH714" s="2"/>
      <c r="AI714" s="2"/>
      <c r="AJ714" s="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2"/>
      <c r="AY714" s="2"/>
      <c r="AZ714" s="2"/>
      <c r="BA714" s="2"/>
      <c r="BB714" s="2"/>
      <c r="BC714" s="2"/>
      <c r="BD714" s="2"/>
      <c r="BE714" s="2"/>
      <c r="BF714" s="12"/>
      <c r="BG714" s="1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152"/>
      <c r="BV714" s="155"/>
      <c r="BW714" s="12"/>
      <c r="BX714" s="12"/>
      <c r="BY714" s="12"/>
      <c r="BZ714" s="12"/>
      <c r="CA714" s="12"/>
      <c r="CB714" s="12"/>
      <c r="CC714" s="12"/>
      <c r="CD714" s="12"/>
      <c r="CE714" s="12"/>
      <c r="CF714" s="12"/>
      <c r="CG714" s="12"/>
      <c r="CH714" s="12"/>
      <c r="CI714" s="12"/>
      <c r="CJ714" s="12"/>
      <c r="CK714" s="12"/>
      <c r="CL714" s="12"/>
      <c r="CM714" s="12"/>
      <c r="CN714" s="12"/>
      <c r="CO714" s="12"/>
      <c r="CP714" s="12"/>
      <c r="CQ714" s="46"/>
      <c r="CR714" s="46"/>
      <c r="CS714" s="46"/>
      <c r="CT714" s="119"/>
      <c r="CU714" s="119"/>
      <c r="CV714" s="119"/>
      <c r="CW714" s="119"/>
      <c r="CX714" s="120"/>
      <c r="CY714" s="120"/>
      <c r="CZ714" s="120"/>
      <c r="DA714" s="120"/>
      <c r="DB714" s="120"/>
      <c r="DC714" s="120"/>
      <c r="DD714" s="120"/>
      <c r="DE714" s="120"/>
      <c r="DF714" s="120"/>
      <c r="DG714" s="2"/>
      <c r="DH714" s="2"/>
      <c r="DI714" s="2"/>
      <c r="DJ714" s="48"/>
      <c r="DK714" s="48"/>
      <c r="DL714" s="48"/>
      <c r="DM714" s="13"/>
      <c r="DN714" s="13"/>
      <c r="DO714" s="12"/>
      <c r="DP714" s="12"/>
      <c r="DQ714" s="12"/>
      <c r="DR714" s="12"/>
      <c r="DS714" s="12"/>
      <c r="DT714" s="2"/>
      <c r="DU714" s="2"/>
      <c r="DV714" s="12"/>
      <c r="DW714" s="12"/>
      <c r="DX714" s="2"/>
      <c r="DY714" s="2"/>
      <c r="DZ714" s="12"/>
      <c r="EA714" s="12"/>
      <c r="EB714" s="12"/>
      <c r="EC714" s="12"/>
      <c r="ED714" s="12"/>
    </row>
    <row r="715" spans="1:134" ht="12.5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12"/>
      <c r="AC715" s="12"/>
      <c r="AD715" s="12"/>
      <c r="AE715" s="2"/>
      <c r="AF715" s="2"/>
      <c r="AG715" s="2"/>
      <c r="AH715" s="2"/>
      <c r="AI715" s="2"/>
      <c r="AJ715" s="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2"/>
      <c r="AY715" s="2"/>
      <c r="AZ715" s="2"/>
      <c r="BA715" s="2"/>
      <c r="BB715" s="2"/>
      <c r="BC715" s="2"/>
      <c r="BD715" s="2"/>
      <c r="BE715" s="2"/>
      <c r="BF715" s="12"/>
      <c r="BG715" s="1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152"/>
      <c r="BV715" s="155"/>
      <c r="BW715" s="12"/>
      <c r="BX715" s="12"/>
      <c r="BY715" s="12"/>
      <c r="BZ715" s="12"/>
      <c r="CA715" s="12"/>
      <c r="CB715" s="12"/>
      <c r="CC715" s="12"/>
      <c r="CD715" s="12"/>
      <c r="CE715" s="12"/>
      <c r="CF715" s="12"/>
      <c r="CG715" s="12"/>
      <c r="CH715" s="12"/>
      <c r="CI715" s="12"/>
      <c r="CJ715" s="12"/>
      <c r="CK715" s="12"/>
      <c r="CL715" s="12"/>
      <c r="CM715" s="12"/>
      <c r="CN715" s="12"/>
      <c r="CO715" s="12"/>
      <c r="CP715" s="12"/>
      <c r="CQ715" s="46"/>
      <c r="CR715" s="46"/>
      <c r="CS715" s="46"/>
      <c r="CT715" s="119"/>
      <c r="CU715" s="119"/>
      <c r="CV715" s="119"/>
      <c r="CW715" s="119"/>
      <c r="CX715" s="120"/>
      <c r="CY715" s="120"/>
      <c r="CZ715" s="120"/>
      <c r="DA715" s="120"/>
      <c r="DB715" s="120"/>
      <c r="DC715" s="120"/>
      <c r="DD715" s="120"/>
      <c r="DE715" s="120"/>
      <c r="DF715" s="120"/>
      <c r="DG715" s="2"/>
      <c r="DH715" s="2"/>
      <c r="DI715" s="2"/>
      <c r="DJ715" s="48"/>
      <c r="DK715" s="48"/>
      <c r="DL715" s="48"/>
      <c r="DM715" s="13"/>
      <c r="DN715" s="13"/>
      <c r="DO715" s="12"/>
      <c r="DP715" s="12"/>
      <c r="DQ715" s="12"/>
      <c r="DR715" s="12"/>
      <c r="DS715" s="12"/>
      <c r="DT715" s="2"/>
      <c r="DU715" s="2"/>
      <c r="DV715" s="12"/>
      <c r="DW715" s="12"/>
      <c r="DX715" s="2"/>
      <c r="DY715" s="2"/>
      <c r="DZ715" s="12"/>
      <c r="EA715" s="12"/>
      <c r="EB715" s="12"/>
      <c r="EC715" s="12"/>
      <c r="ED715" s="12"/>
    </row>
    <row r="716" spans="1:134" ht="12.5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12"/>
      <c r="AC716" s="12"/>
      <c r="AD716" s="12"/>
      <c r="AE716" s="2"/>
      <c r="AF716" s="2"/>
      <c r="AG716" s="2"/>
      <c r="AH716" s="2"/>
      <c r="AI716" s="2"/>
      <c r="AJ716" s="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2"/>
      <c r="AY716" s="2"/>
      <c r="AZ716" s="2"/>
      <c r="BA716" s="2"/>
      <c r="BB716" s="2"/>
      <c r="BC716" s="2"/>
      <c r="BD716" s="2"/>
      <c r="BE716" s="2"/>
      <c r="BF716" s="12"/>
      <c r="BG716" s="1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152"/>
      <c r="BV716" s="155"/>
      <c r="BW716" s="12"/>
      <c r="BX716" s="12"/>
      <c r="BY716" s="12"/>
      <c r="BZ716" s="12"/>
      <c r="CA716" s="12"/>
      <c r="CB716" s="12"/>
      <c r="CC716" s="12"/>
      <c r="CD716" s="12"/>
      <c r="CE716" s="12"/>
      <c r="CF716" s="12"/>
      <c r="CG716" s="12"/>
      <c r="CH716" s="12"/>
      <c r="CI716" s="12"/>
      <c r="CJ716" s="12"/>
      <c r="CK716" s="12"/>
      <c r="CL716" s="12"/>
      <c r="CM716" s="12"/>
      <c r="CN716" s="12"/>
      <c r="CO716" s="12"/>
      <c r="CP716" s="12"/>
      <c r="CQ716" s="46"/>
      <c r="CR716" s="46"/>
      <c r="CS716" s="46"/>
      <c r="CT716" s="119"/>
      <c r="CU716" s="119"/>
      <c r="CV716" s="119"/>
      <c r="CW716" s="119"/>
      <c r="CX716" s="120"/>
      <c r="CY716" s="120"/>
      <c r="CZ716" s="120"/>
      <c r="DA716" s="120"/>
      <c r="DB716" s="120"/>
      <c r="DC716" s="120"/>
      <c r="DD716" s="120"/>
      <c r="DE716" s="120"/>
      <c r="DF716" s="120"/>
      <c r="DG716" s="2"/>
      <c r="DH716" s="2"/>
      <c r="DI716" s="2"/>
      <c r="DJ716" s="48"/>
      <c r="DK716" s="48"/>
      <c r="DL716" s="48"/>
      <c r="DM716" s="13"/>
      <c r="DN716" s="13"/>
      <c r="DO716" s="12"/>
      <c r="DP716" s="12"/>
      <c r="DQ716" s="12"/>
      <c r="DR716" s="12"/>
      <c r="DS716" s="12"/>
      <c r="DT716" s="2"/>
      <c r="DU716" s="2"/>
      <c r="DV716" s="12"/>
      <c r="DW716" s="12"/>
      <c r="DX716" s="2"/>
      <c r="DY716" s="2"/>
      <c r="DZ716" s="12"/>
      <c r="EA716" s="12"/>
      <c r="EB716" s="12"/>
      <c r="EC716" s="12"/>
      <c r="ED716" s="12"/>
    </row>
    <row r="717" spans="1:134" ht="12.5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12"/>
      <c r="AC717" s="12"/>
      <c r="AD717" s="12"/>
      <c r="AE717" s="2"/>
      <c r="AF717" s="2"/>
      <c r="AG717" s="2"/>
      <c r="AH717" s="2"/>
      <c r="AI717" s="2"/>
      <c r="AJ717" s="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2"/>
      <c r="AY717" s="2"/>
      <c r="AZ717" s="2"/>
      <c r="BA717" s="2"/>
      <c r="BB717" s="2"/>
      <c r="BC717" s="2"/>
      <c r="BD717" s="2"/>
      <c r="BE717" s="2"/>
      <c r="BF717" s="12"/>
      <c r="BG717" s="1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152"/>
      <c r="BV717" s="155"/>
      <c r="BW717" s="12"/>
      <c r="BX717" s="12"/>
      <c r="BY717" s="12"/>
      <c r="BZ717" s="12"/>
      <c r="CA717" s="12"/>
      <c r="CB717" s="12"/>
      <c r="CC717" s="12"/>
      <c r="CD717" s="12"/>
      <c r="CE717" s="12"/>
      <c r="CF717" s="12"/>
      <c r="CG717" s="12"/>
      <c r="CH717" s="12"/>
      <c r="CI717" s="12"/>
      <c r="CJ717" s="12"/>
      <c r="CK717" s="12"/>
      <c r="CL717" s="12"/>
      <c r="CM717" s="12"/>
      <c r="CN717" s="12"/>
      <c r="CO717" s="12"/>
      <c r="CP717" s="12"/>
      <c r="CQ717" s="46"/>
      <c r="CR717" s="46"/>
      <c r="CS717" s="46"/>
      <c r="CT717" s="119"/>
      <c r="CU717" s="119"/>
      <c r="CV717" s="119"/>
      <c r="CW717" s="119"/>
      <c r="CX717" s="120"/>
      <c r="CY717" s="120"/>
      <c r="CZ717" s="120"/>
      <c r="DA717" s="120"/>
      <c r="DB717" s="120"/>
      <c r="DC717" s="120"/>
      <c r="DD717" s="120"/>
      <c r="DE717" s="120"/>
      <c r="DF717" s="120"/>
      <c r="DG717" s="2"/>
      <c r="DH717" s="2"/>
      <c r="DI717" s="2"/>
      <c r="DJ717" s="48"/>
      <c r="DK717" s="48"/>
      <c r="DL717" s="48"/>
      <c r="DM717" s="13"/>
      <c r="DN717" s="13"/>
      <c r="DO717" s="12"/>
      <c r="DP717" s="12"/>
      <c r="DQ717" s="12"/>
      <c r="DR717" s="12"/>
      <c r="DS717" s="12"/>
      <c r="DT717" s="2"/>
      <c r="DU717" s="2"/>
      <c r="DV717" s="12"/>
      <c r="DW717" s="12"/>
      <c r="DX717" s="2"/>
      <c r="DY717" s="2"/>
      <c r="DZ717" s="12"/>
      <c r="EA717" s="12"/>
      <c r="EB717" s="12"/>
      <c r="EC717" s="12"/>
      <c r="ED717" s="12"/>
    </row>
    <row r="718" spans="1:134" ht="12.5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12"/>
      <c r="AC718" s="12"/>
      <c r="AD718" s="12"/>
      <c r="AE718" s="2"/>
      <c r="AF718" s="2"/>
      <c r="AG718" s="2"/>
      <c r="AH718" s="2"/>
      <c r="AI718" s="2"/>
      <c r="AJ718" s="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2"/>
      <c r="AY718" s="2"/>
      <c r="AZ718" s="2"/>
      <c r="BA718" s="2"/>
      <c r="BB718" s="2"/>
      <c r="BC718" s="2"/>
      <c r="BD718" s="2"/>
      <c r="BE718" s="2"/>
      <c r="BF718" s="12"/>
      <c r="BG718" s="1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152"/>
      <c r="BV718" s="155"/>
      <c r="BW718" s="12"/>
      <c r="BX718" s="12"/>
      <c r="BY718" s="12"/>
      <c r="BZ718" s="12"/>
      <c r="CA718" s="12"/>
      <c r="CB718" s="12"/>
      <c r="CC718" s="12"/>
      <c r="CD718" s="12"/>
      <c r="CE718" s="12"/>
      <c r="CF718" s="12"/>
      <c r="CG718" s="12"/>
      <c r="CH718" s="12"/>
      <c r="CI718" s="12"/>
      <c r="CJ718" s="12"/>
      <c r="CK718" s="12"/>
      <c r="CL718" s="12"/>
      <c r="CM718" s="12"/>
      <c r="CN718" s="12"/>
      <c r="CO718" s="12"/>
      <c r="CP718" s="12"/>
      <c r="CQ718" s="46"/>
      <c r="CR718" s="46"/>
      <c r="CS718" s="46"/>
      <c r="CT718" s="119"/>
      <c r="CU718" s="119"/>
      <c r="CV718" s="119"/>
      <c r="CW718" s="119"/>
      <c r="CX718" s="120"/>
      <c r="CY718" s="120"/>
      <c r="CZ718" s="120"/>
      <c r="DA718" s="120"/>
      <c r="DB718" s="120"/>
      <c r="DC718" s="120"/>
      <c r="DD718" s="120"/>
      <c r="DE718" s="120"/>
      <c r="DF718" s="120"/>
      <c r="DG718" s="2"/>
      <c r="DH718" s="2"/>
      <c r="DI718" s="2"/>
      <c r="DJ718" s="48"/>
      <c r="DK718" s="48"/>
      <c r="DL718" s="48"/>
      <c r="DM718" s="13"/>
      <c r="DN718" s="13"/>
      <c r="DO718" s="12"/>
      <c r="DP718" s="12"/>
      <c r="DQ718" s="12"/>
      <c r="DR718" s="12"/>
      <c r="DS718" s="12"/>
      <c r="DT718" s="2"/>
      <c r="DU718" s="2"/>
      <c r="DV718" s="12"/>
      <c r="DW718" s="12"/>
      <c r="DX718" s="2"/>
      <c r="DY718" s="2"/>
      <c r="DZ718" s="12"/>
      <c r="EA718" s="12"/>
      <c r="EB718" s="12"/>
      <c r="EC718" s="12"/>
      <c r="ED718" s="12"/>
    </row>
    <row r="719" spans="1:134" ht="12.5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12"/>
      <c r="AC719" s="12"/>
      <c r="AD719" s="12"/>
      <c r="AE719" s="2"/>
      <c r="AF719" s="2"/>
      <c r="AG719" s="2"/>
      <c r="AH719" s="2"/>
      <c r="AI719" s="2"/>
      <c r="AJ719" s="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2"/>
      <c r="AY719" s="2"/>
      <c r="AZ719" s="2"/>
      <c r="BA719" s="2"/>
      <c r="BB719" s="2"/>
      <c r="BC719" s="2"/>
      <c r="BD719" s="2"/>
      <c r="BE719" s="2"/>
      <c r="BF719" s="12"/>
      <c r="BG719" s="1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152"/>
      <c r="BV719" s="155"/>
      <c r="BW719" s="12"/>
      <c r="BX719" s="12"/>
      <c r="BY719" s="12"/>
      <c r="BZ719" s="12"/>
      <c r="CA719" s="12"/>
      <c r="CB719" s="12"/>
      <c r="CC719" s="12"/>
      <c r="CD719" s="12"/>
      <c r="CE719" s="12"/>
      <c r="CF719" s="12"/>
      <c r="CG719" s="12"/>
      <c r="CH719" s="12"/>
      <c r="CI719" s="12"/>
      <c r="CJ719" s="12"/>
      <c r="CK719" s="12"/>
      <c r="CL719" s="12"/>
      <c r="CM719" s="12"/>
      <c r="CN719" s="12"/>
      <c r="CO719" s="12"/>
      <c r="CP719" s="12"/>
      <c r="CQ719" s="46"/>
      <c r="CR719" s="46"/>
      <c r="CS719" s="46"/>
      <c r="CT719" s="119"/>
      <c r="CU719" s="119"/>
      <c r="CV719" s="119"/>
      <c r="CW719" s="119"/>
      <c r="CX719" s="120"/>
      <c r="CY719" s="120"/>
      <c r="CZ719" s="120"/>
      <c r="DA719" s="120"/>
      <c r="DB719" s="120"/>
      <c r="DC719" s="120"/>
      <c r="DD719" s="120"/>
      <c r="DE719" s="120"/>
      <c r="DF719" s="120"/>
      <c r="DG719" s="2"/>
      <c r="DH719" s="2"/>
      <c r="DI719" s="2"/>
      <c r="DJ719" s="48"/>
      <c r="DK719" s="48"/>
      <c r="DL719" s="48"/>
      <c r="DM719" s="13"/>
      <c r="DN719" s="13"/>
      <c r="DO719" s="12"/>
      <c r="DP719" s="12"/>
      <c r="DQ719" s="12"/>
      <c r="DR719" s="12"/>
      <c r="DS719" s="12"/>
      <c r="DT719" s="2"/>
      <c r="DU719" s="2"/>
      <c r="DV719" s="12"/>
      <c r="DW719" s="12"/>
      <c r="DX719" s="2"/>
      <c r="DY719" s="2"/>
      <c r="DZ719" s="12"/>
      <c r="EA719" s="12"/>
      <c r="EB719" s="12"/>
      <c r="EC719" s="12"/>
      <c r="ED719" s="12"/>
    </row>
    <row r="720" spans="1:134" ht="12.5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12"/>
      <c r="AC720" s="12"/>
      <c r="AD720" s="12"/>
      <c r="AE720" s="2"/>
      <c r="AF720" s="2"/>
      <c r="AG720" s="2"/>
      <c r="AH720" s="2"/>
      <c r="AI720" s="2"/>
      <c r="AJ720" s="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2"/>
      <c r="AY720" s="2"/>
      <c r="AZ720" s="2"/>
      <c r="BA720" s="2"/>
      <c r="BB720" s="2"/>
      <c r="BC720" s="2"/>
      <c r="BD720" s="2"/>
      <c r="BE720" s="2"/>
      <c r="BF720" s="12"/>
      <c r="BG720" s="1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152"/>
      <c r="BV720" s="155"/>
      <c r="BW720" s="12"/>
      <c r="BX720" s="12"/>
      <c r="BY720" s="12"/>
      <c r="BZ720" s="12"/>
      <c r="CA720" s="12"/>
      <c r="CB720" s="12"/>
      <c r="CC720" s="12"/>
      <c r="CD720" s="12"/>
      <c r="CE720" s="12"/>
      <c r="CF720" s="12"/>
      <c r="CG720" s="12"/>
      <c r="CH720" s="12"/>
      <c r="CI720" s="12"/>
      <c r="CJ720" s="12"/>
      <c r="CK720" s="12"/>
      <c r="CL720" s="12"/>
      <c r="CM720" s="12"/>
      <c r="CN720" s="12"/>
      <c r="CO720" s="12"/>
      <c r="CP720" s="12"/>
      <c r="CQ720" s="46"/>
      <c r="CR720" s="46"/>
      <c r="CS720" s="46"/>
      <c r="CT720" s="119"/>
      <c r="CU720" s="119"/>
      <c r="CV720" s="119"/>
      <c r="CW720" s="119"/>
      <c r="CX720" s="120"/>
      <c r="CY720" s="120"/>
      <c r="CZ720" s="120"/>
      <c r="DA720" s="120"/>
      <c r="DB720" s="120"/>
      <c r="DC720" s="120"/>
      <c r="DD720" s="120"/>
      <c r="DE720" s="120"/>
      <c r="DF720" s="120"/>
      <c r="DG720" s="2"/>
      <c r="DH720" s="2"/>
      <c r="DI720" s="2"/>
      <c r="DJ720" s="48"/>
      <c r="DK720" s="48"/>
      <c r="DL720" s="48"/>
      <c r="DM720" s="13"/>
      <c r="DN720" s="13"/>
      <c r="DO720" s="12"/>
      <c r="DP720" s="12"/>
      <c r="DQ720" s="12"/>
      <c r="DR720" s="12"/>
      <c r="DS720" s="12"/>
      <c r="DT720" s="2"/>
      <c r="DU720" s="2"/>
      <c r="DV720" s="12"/>
      <c r="DW720" s="12"/>
      <c r="DX720" s="2"/>
      <c r="DY720" s="2"/>
      <c r="DZ720" s="12"/>
      <c r="EA720" s="12"/>
      <c r="EB720" s="12"/>
      <c r="EC720" s="12"/>
      <c r="ED720" s="12"/>
    </row>
    <row r="721" spans="1:134" ht="12.5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12"/>
      <c r="AC721" s="12"/>
      <c r="AD721" s="12"/>
      <c r="AE721" s="2"/>
      <c r="AF721" s="2"/>
      <c r="AG721" s="2"/>
      <c r="AH721" s="2"/>
      <c r="AI721" s="2"/>
      <c r="AJ721" s="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2"/>
      <c r="AY721" s="2"/>
      <c r="AZ721" s="2"/>
      <c r="BA721" s="2"/>
      <c r="BB721" s="2"/>
      <c r="BC721" s="2"/>
      <c r="BD721" s="2"/>
      <c r="BE721" s="2"/>
      <c r="BF721" s="12"/>
      <c r="BG721" s="1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152"/>
      <c r="BV721" s="155"/>
      <c r="BW721" s="12"/>
      <c r="BX721" s="12"/>
      <c r="BY721" s="12"/>
      <c r="BZ721" s="12"/>
      <c r="CA721" s="12"/>
      <c r="CB721" s="12"/>
      <c r="CC721" s="12"/>
      <c r="CD721" s="12"/>
      <c r="CE721" s="12"/>
      <c r="CF721" s="12"/>
      <c r="CG721" s="12"/>
      <c r="CH721" s="12"/>
      <c r="CI721" s="12"/>
      <c r="CJ721" s="12"/>
      <c r="CK721" s="12"/>
      <c r="CL721" s="12"/>
      <c r="CM721" s="12"/>
      <c r="CN721" s="12"/>
      <c r="CO721" s="12"/>
      <c r="CP721" s="12"/>
      <c r="CQ721" s="46"/>
      <c r="CR721" s="46"/>
      <c r="CS721" s="46"/>
      <c r="CT721" s="119"/>
      <c r="CU721" s="119"/>
      <c r="CV721" s="119"/>
      <c r="CW721" s="119"/>
      <c r="CX721" s="120"/>
      <c r="CY721" s="120"/>
      <c r="CZ721" s="120"/>
      <c r="DA721" s="120"/>
      <c r="DB721" s="120"/>
      <c r="DC721" s="120"/>
      <c r="DD721" s="120"/>
      <c r="DE721" s="120"/>
      <c r="DF721" s="120"/>
      <c r="DG721" s="2"/>
      <c r="DH721" s="2"/>
      <c r="DI721" s="2"/>
      <c r="DJ721" s="48"/>
      <c r="DK721" s="48"/>
      <c r="DL721" s="48"/>
      <c r="DM721" s="13"/>
      <c r="DN721" s="13"/>
      <c r="DO721" s="12"/>
      <c r="DP721" s="12"/>
      <c r="DQ721" s="12"/>
      <c r="DR721" s="12"/>
      <c r="DS721" s="12"/>
      <c r="DT721" s="2"/>
      <c r="DU721" s="2"/>
      <c r="DV721" s="12"/>
      <c r="DW721" s="12"/>
      <c r="DX721" s="2"/>
      <c r="DY721" s="2"/>
      <c r="DZ721" s="12"/>
      <c r="EA721" s="12"/>
      <c r="EB721" s="12"/>
      <c r="EC721" s="12"/>
      <c r="ED721" s="12"/>
    </row>
    <row r="722" spans="1:134" ht="12.5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12"/>
      <c r="AC722" s="12"/>
      <c r="AD722" s="12"/>
      <c r="AE722" s="2"/>
      <c r="AF722" s="2"/>
      <c r="AG722" s="2"/>
      <c r="AH722" s="2"/>
      <c r="AI722" s="2"/>
      <c r="AJ722" s="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2"/>
      <c r="AY722" s="2"/>
      <c r="AZ722" s="2"/>
      <c r="BA722" s="2"/>
      <c r="BB722" s="2"/>
      <c r="BC722" s="2"/>
      <c r="BD722" s="2"/>
      <c r="BE722" s="2"/>
      <c r="BF722" s="12"/>
      <c r="BG722" s="1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152"/>
      <c r="BV722" s="155"/>
      <c r="BW722" s="12"/>
      <c r="BX722" s="12"/>
      <c r="BY722" s="12"/>
      <c r="BZ722" s="12"/>
      <c r="CA722" s="12"/>
      <c r="CB722" s="12"/>
      <c r="CC722" s="12"/>
      <c r="CD722" s="12"/>
      <c r="CE722" s="12"/>
      <c r="CF722" s="12"/>
      <c r="CG722" s="12"/>
      <c r="CH722" s="12"/>
      <c r="CI722" s="12"/>
      <c r="CJ722" s="12"/>
      <c r="CK722" s="12"/>
      <c r="CL722" s="12"/>
      <c r="CM722" s="12"/>
      <c r="CN722" s="12"/>
      <c r="CO722" s="12"/>
      <c r="CP722" s="12"/>
      <c r="CQ722" s="46"/>
      <c r="CR722" s="46"/>
      <c r="CS722" s="46"/>
      <c r="CT722" s="119"/>
      <c r="CU722" s="119"/>
      <c r="CV722" s="119"/>
      <c r="CW722" s="119"/>
      <c r="CX722" s="120"/>
      <c r="CY722" s="120"/>
      <c r="CZ722" s="120"/>
      <c r="DA722" s="120"/>
      <c r="DB722" s="120"/>
      <c r="DC722" s="120"/>
      <c r="DD722" s="120"/>
      <c r="DE722" s="120"/>
      <c r="DF722" s="120"/>
      <c r="DG722" s="2"/>
      <c r="DH722" s="2"/>
      <c r="DI722" s="2"/>
      <c r="DJ722" s="48"/>
      <c r="DK722" s="48"/>
      <c r="DL722" s="48"/>
      <c r="DM722" s="13"/>
      <c r="DN722" s="13"/>
      <c r="DO722" s="12"/>
      <c r="DP722" s="12"/>
      <c r="DQ722" s="12"/>
      <c r="DR722" s="12"/>
      <c r="DS722" s="12"/>
      <c r="DT722" s="2"/>
      <c r="DU722" s="2"/>
      <c r="DV722" s="12"/>
      <c r="DW722" s="12"/>
      <c r="DX722" s="2"/>
      <c r="DY722" s="2"/>
      <c r="DZ722" s="12"/>
      <c r="EA722" s="12"/>
      <c r="EB722" s="12"/>
      <c r="EC722" s="12"/>
      <c r="ED722" s="12"/>
    </row>
    <row r="723" spans="1:134" ht="12.5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12"/>
      <c r="AC723" s="12"/>
      <c r="AD723" s="12"/>
      <c r="AE723" s="2"/>
      <c r="AF723" s="2"/>
      <c r="AG723" s="2"/>
      <c r="AH723" s="2"/>
      <c r="AI723" s="2"/>
      <c r="AJ723" s="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2"/>
      <c r="AY723" s="2"/>
      <c r="AZ723" s="2"/>
      <c r="BA723" s="2"/>
      <c r="BB723" s="2"/>
      <c r="BC723" s="2"/>
      <c r="BD723" s="2"/>
      <c r="BE723" s="2"/>
      <c r="BF723" s="12"/>
      <c r="BG723" s="1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152"/>
      <c r="BV723" s="155"/>
      <c r="BW723" s="12"/>
      <c r="BX723" s="12"/>
      <c r="BY723" s="12"/>
      <c r="BZ723" s="12"/>
      <c r="CA723" s="12"/>
      <c r="CB723" s="12"/>
      <c r="CC723" s="12"/>
      <c r="CD723" s="12"/>
      <c r="CE723" s="12"/>
      <c r="CF723" s="12"/>
      <c r="CG723" s="12"/>
      <c r="CH723" s="12"/>
      <c r="CI723" s="12"/>
      <c r="CJ723" s="12"/>
      <c r="CK723" s="12"/>
      <c r="CL723" s="12"/>
      <c r="CM723" s="12"/>
      <c r="CN723" s="12"/>
      <c r="CO723" s="12"/>
      <c r="CP723" s="12"/>
      <c r="CQ723" s="46"/>
      <c r="CR723" s="46"/>
      <c r="CS723" s="46"/>
      <c r="CT723" s="119"/>
      <c r="CU723" s="119"/>
      <c r="CV723" s="119"/>
      <c r="CW723" s="119"/>
      <c r="CX723" s="120"/>
      <c r="CY723" s="120"/>
      <c r="CZ723" s="120"/>
      <c r="DA723" s="120"/>
      <c r="DB723" s="120"/>
      <c r="DC723" s="120"/>
      <c r="DD723" s="120"/>
      <c r="DE723" s="120"/>
      <c r="DF723" s="120"/>
      <c r="DG723" s="2"/>
      <c r="DH723" s="2"/>
      <c r="DI723" s="2"/>
      <c r="DJ723" s="48"/>
      <c r="DK723" s="48"/>
      <c r="DL723" s="48"/>
      <c r="DM723" s="13"/>
      <c r="DN723" s="13"/>
      <c r="DO723" s="12"/>
      <c r="DP723" s="12"/>
      <c r="DQ723" s="12"/>
      <c r="DR723" s="12"/>
      <c r="DS723" s="12"/>
      <c r="DT723" s="2"/>
      <c r="DU723" s="2"/>
      <c r="DV723" s="12"/>
      <c r="DW723" s="12"/>
      <c r="DX723" s="2"/>
      <c r="DY723" s="2"/>
      <c r="DZ723" s="12"/>
      <c r="EA723" s="12"/>
      <c r="EB723" s="12"/>
      <c r="EC723" s="12"/>
      <c r="ED723" s="12"/>
    </row>
    <row r="724" spans="1:134" ht="12.5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12"/>
      <c r="AC724" s="12"/>
      <c r="AD724" s="12"/>
      <c r="AE724" s="2"/>
      <c r="AF724" s="2"/>
      <c r="AG724" s="2"/>
      <c r="AH724" s="2"/>
      <c r="AI724" s="2"/>
      <c r="AJ724" s="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2"/>
      <c r="AY724" s="2"/>
      <c r="AZ724" s="2"/>
      <c r="BA724" s="2"/>
      <c r="BB724" s="2"/>
      <c r="BC724" s="2"/>
      <c r="BD724" s="2"/>
      <c r="BE724" s="2"/>
      <c r="BF724" s="12"/>
      <c r="BG724" s="1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152"/>
      <c r="BV724" s="155"/>
      <c r="BW724" s="12"/>
      <c r="BX724" s="12"/>
      <c r="BY724" s="12"/>
      <c r="BZ724" s="12"/>
      <c r="CA724" s="12"/>
      <c r="CB724" s="12"/>
      <c r="CC724" s="12"/>
      <c r="CD724" s="12"/>
      <c r="CE724" s="12"/>
      <c r="CF724" s="12"/>
      <c r="CG724" s="12"/>
      <c r="CH724" s="12"/>
      <c r="CI724" s="12"/>
      <c r="CJ724" s="12"/>
      <c r="CK724" s="12"/>
      <c r="CL724" s="12"/>
      <c r="CM724" s="12"/>
      <c r="CN724" s="12"/>
      <c r="CO724" s="12"/>
      <c r="CP724" s="12"/>
      <c r="CQ724" s="46"/>
      <c r="CR724" s="46"/>
      <c r="CS724" s="46"/>
      <c r="CT724" s="119"/>
      <c r="CU724" s="119"/>
      <c r="CV724" s="119"/>
      <c r="CW724" s="119"/>
      <c r="CX724" s="120"/>
      <c r="CY724" s="120"/>
      <c r="CZ724" s="120"/>
      <c r="DA724" s="120"/>
      <c r="DB724" s="120"/>
      <c r="DC724" s="120"/>
      <c r="DD724" s="120"/>
      <c r="DE724" s="120"/>
      <c r="DF724" s="120"/>
      <c r="DG724" s="2"/>
      <c r="DH724" s="2"/>
      <c r="DI724" s="2"/>
      <c r="DJ724" s="48"/>
      <c r="DK724" s="48"/>
      <c r="DL724" s="48"/>
      <c r="DM724" s="13"/>
      <c r="DN724" s="13"/>
      <c r="DO724" s="12"/>
      <c r="DP724" s="12"/>
      <c r="DQ724" s="12"/>
      <c r="DR724" s="12"/>
      <c r="DS724" s="12"/>
      <c r="DT724" s="2"/>
      <c r="DU724" s="2"/>
      <c r="DV724" s="12"/>
      <c r="DW724" s="12"/>
      <c r="DX724" s="2"/>
      <c r="DY724" s="2"/>
      <c r="DZ724" s="12"/>
      <c r="EA724" s="12"/>
      <c r="EB724" s="12"/>
      <c r="EC724" s="12"/>
      <c r="ED724" s="12"/>
    </row>
    <row r="725" spans="1:134" ht="12.5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12"/>
      <c r="AC725" s="12"/>
      <c r="AD725" s="12"/>
      <c r="AE725" s="2"/>
      <c r="AF725" s="2"/>
      <c r="AG725" s="2"/>
      <c r="AH725" s="2"/>
      <c r="AI725" s="2"/>
      <c r="AJ725" s="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2"/>
      <c r="AY725" s="2"/>
      <c r="AZ725" s="2"/>
      <c r="BA725" s="2"/>
      <c r="BB725" s="2"/>
      <c r="BC725" s="2"/>
      <c r="BD725" s="2"/>
      <c r="BE725" s="2"/>
      <c r="BF725" s="12"/>
      <c r="BG725" s="1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152"/>
      <c r="BV725" s="155"/>
      <c r="BW725" s="12"/>
      <c r="BX725" s="12"/>
      <c r="BY725" s="12"/>
      <c r="BZ725" s="12"/>
      <c r="CA725" s="12"/>
      <c r="CB725" s="12"/>
      <c r="CC725" s="12"/>
      <c r="CD725" s="12"/>
      <c r="CE725" s="12"/>
      <c r="CF725" s="12"/>
      <c r="CG725" s="12"/>
      <c r="CH725" s="12"/>
      <c r="CI725" s="12"/>
      <c r="CJ725" s="12"/>
      <c r="CK725" s="12"/>
      <c r="CL725" s="12"/>
      <c r="CM725" s="12"/>
      <c r="CN725" s="12"/>
      <c r="CO725" s="12"/>
      <c r="CP725" s="12"/>
      <c r="CQ725" s="46"/>
      <c r="CR725" s="46"/>
      <c r="CS725" s="46"/>
      <c r="CT725" s="119"/>
      <c r="CU725" s="119"/>
      <c r="CV725" s="119"/>
      <c r="CW725" s="119"/>
      <c r="CX725" s="120"/>
      <c r="CY725" s="120"/>
      <c r="CZ725" s="120"/>
      <c r="DA725" s="120"/>
      <c r="DB725" s="120"/>
      <c r="DC725" s="120"/>
      <c r="DD725" s="120"/>
      <c r="DE725" s="120"/>
      <c r="DF725" s="120"/>
      <c r="DG725" s="2"/>
      <c r="DH725" s="2"/>
      <c r="DI725" s="2"/>
      <c r="DJ725" s="48"/>
      <c r="DK725" s="48"/>
      <c r="DL725" s="48"/>
      <c r="DM725" s="13"/>
      <c r="DN725" s="13"/>
      <c r="DO725" s="12"/>
      <c r="DP725" s="12"/>
      <c r="DQ725" s="12"/>
      <c r="DR725" s="12"/>
      <c r="DS725" s="12"/>
      <c r="DT725" s="2"/>
      <c r="DU725" s="2"/>
      <c r="DV725" s="12"/>
      <c r="DW725" s="12"/>
      <c r="DX725" s="2"/>
      <c r="DY725" s="2"/>
      <c r="DZ725" s="12"/>
      <c r="EA725" s="12"/>
      <c r="EB725" s="12"/>
      <c r="EC725" s="12"/>
      <c r="ED725" s="12"/>
    </row>
    <row r="726" spans="1:134" ht="12.5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12"/>
      <c r="AC726" s="12"/>
      <c r="AD726" s="12"/>
      <c r="AE726" s="2"/>
      <c r="AF726" s="2"/>
      <c r="AG726" s="2"/>
      <c r="AH726" s="2"/>
      <c r="AI726" s="2"/>
      <c r="AJ726" s="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2"/>
      <c r="AY726" s="2"/>
      <c r="AZ726" s="2"/>
      <c r="BA726" s="2"/>
      <c r="BB726" s="2"/>
      <c r="BC726" s="2"/>
      <c r="BD726" s="2"/>
      <c r="BE726" s="2"/>
      <c r="BF726" s="12"/>
      <c r="BG726" s="1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152"/>
      <c r="BV726" s="155"/>
      <c r="BW726" s="12"/>
      <c r="BX726" s="12"/>
      <c r="BY726" s="12"/>
      <c r="BZ726" s="12"/>
      <c r="CA726" s="12"/>
      <c r="CB726" s="12"/>
      <c r="CC726" s="12"/>
      <c r="CD726" s="12"/>
      <c r="CE726" s="12"/>
      <c r="CF726" s="12"/>
      <c r="CG726" s="12"/>
      <c r="CH726" s="12"/>
      <c r="CI726" s="12"/>
      <c r="CJ726" s="12"/>
      <c r="CK726" s="12"/>
      <c r="CL726" s="12"/>
      <c r="CM726" s="12"/>
      <c r="CN726" s="12"/>
      <c r="CO726" s="12"/>
      <c r="CP726" s="12"/>
      <c r="CQ726" s="46"/>
      <c r="CR726" s="46"/>
      <c r="CS726" s="46"/>
      <c r="CT726" s="119"/>
      <c r="CU726" s="119"/>
      <c r="CV726" s="119"/>
      <c r="CW726" s="119"/>
      <c r="CX726" s="120"/>
      <c r="CY726" s="120"/>
      <c r="CZ726" s="120"/>
      <c r="DA726" s="120"/>
      <c r="DB726" s="120"/>
      <c r="DC726" s="120"/>
      <c r="DD726" s="120"/>
      <c r="DE726" s="120"/>
      <c r="DF726" s="120"/>
      <c r="DG726" s="2"/>
      <c r="DH726" s="2"/>
      <c r="DI726" s="2"/>
      <c r="DJ726" s="48"/>
      <c r="DK726" s="48"/>
      <c r="DL726" s="48"/>
      <c r="DM726" s="13"/>
      <c r="DN726" s="13"/>
      <c r="DO726" s="12"/>
      <c r="DP726" s="12"/>
      <c r="DQ726" s="12"/>
      <c r="DR726" s="12"/>
      <c r="DS726" s="12"/>
      <c r="DT726" s="2"/>
      <c r="DU726" s="2"/>
      <c r="DV726" s="12"/>
      <c r="DW726" s="12"/>
      <c r="DX726" s="2"/>
      <c r="DY726" s="2"/>
      <c r="DZ726" s="12"/>
      <c r="EA726" s="12"/>
      <c r="EB726" s="12"/>
      <c r="EC726" s="12"/>
      <c r="ED726" s="12"/>
    </row>
    <row r="727" spans="1:134" ht="12.5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12"/>
      <c r="AC727" s="12"/>
      <c r="AD727" s="12"/>
      <c r="AE727" s="2"/>
      <c r="AF727" s="2"/>
      <c r="AG727" s="2"/>
      <c r="AH727" s="2"/>
      <c r="AI727" s="2"/>
      <c r="AJ727" s="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2"/>
      <c r="AY727" s="2"/>
      <c r="AZ727" s="2"/>
      <c r="BA727" s="2"/>
      <c r="BB727" s="2"/>
      <c r="BC727" s="2"/>
      <c r="BD727" s="2"/>
      <c r="BE727" s="2"/>
      <c r="BF727" s="12"/>
      <c r="BG727" s="1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152"/>
      <c r="BV727" s="155"/>
      <c r="BW727" s="12"/>
      <c r="BX727" s="12"/>
      <c r="BY727" s="12"/>
      <c r="BZ727" s="12"/>
      <c r="CA727" s="12"/>
      <c r="CB727" s="12"/>
      <c r="CC727" s="12"/>
      <c r="CD727" s="12"/>
      <c r="CE727" s="12"/>
      <c r="CF727" s="12"/>
      <c r="CG727" s="12"/>
      <c r="CH727" s="12"/>
      <c r="CI727" s="12"/>
      <c r="CJ727" s="12"/>
      <c r="CK727" s="12"/>
      <c r="CL727" s="12"/>
      <c r="CM727" s="12"/>
      <c r="CN727" s="12"/>
      <c r="CO727" s="12"/>
      <c r="CP727" s="12"/>
      <c r="CQ727" s="46"/>
      <c r="CR727" s="46"/>
      <c r="CS727" s="46"/>
      <c r="CT727" s="119"/>
      <c r="CU727" s="119"/>
      <c r="CV727" s="119"/>
      <c r="CW727" s="119"/>
      <c r="CX727" s="120"/>
      <c r="CY727" s="120"/>
      <c r="CZ727" s="120"/>
      <c r="DA727" s="120"/>
      <c r="DB727" s="120"/>
      <c r="DC727" s="120"/>
      <c r="DD727" s="120"/>
      <c r="DE727" s="120"/>
      <c r="DF727" s="120"/>
      <c r="DG727" s="2"/>
      <c r="DH727" s="2"/>
      <c r="DI727" s="2"/>
      <c r="DJ727" s="48"/>
      <c r="DK727" s="48"/>
      <c r="DL727" s="48"/>
      <c r="DM727" s="13"/>
      <c r="DN727" s="13"/>
      <c r="DO727" s="12"/>
      <c r="DP727" s="12"/>
      <c r="DQ727" s="12"/>
      <c r="DR727" s="12"/>
      <c r="DS727" s="12"/>
      <c r="DT727" s="2"/>
      <c r="DU727" s="2"/>
      <c r="DV727" s="12"/>
      <c r="DW727" s="12"/>
      <c r="DX727" s="2"/>
      <c r="DY727" s="2"/>
      <c r="DZ727" s="12"/>
      <c r="EA727" s="12"/>
      <c r="EB727" s="12"/>
      <c r="EC727" s="12"/>
      <c r="ED727" s="12"/>
    </row>
    <row r="728" spans="1:134" ht="12.5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12"/>
      <c r="AC728" s="12"/>
      <c r="AD728" s="12"/>
      <c r="AE728" s="2"/>
      <c r="AF728" s="2"/>
      <c r="AG728" s="2"/>
      <c r="AH728" s="2"/>
      <c r="AI728" s="2"/>
      <c r="AJ728" s="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2"/>
      <c r="AY728" s="2"/>
      <c r="AZ728" s="2"/>
      <c r="BA728" s="2"/>
      <c r="BB728" s="2"/>
      <c r="BC728" s="2"/>
      <c r="BD728" s="2"/>
      <c r="BE728" s="2"/>
      <c r="BF728" s="12"/>
      <c r="BG728" s="1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152"/>
      <c r="BV728" s="155"/>
      <c r="BW728" s="12"/>
      <c r="BX728" s="12"/>
      <c r="BY728" s="12"/>
      <c r="BZ728" s="12"/>
      <c r="CA728" s="12"/>
      <c r="CB728" s="12"/>
      <c r="CC728" s="12"/>
      <c r="CD728" s="12"/>
      <c r="CE728" s="12"/>
      <c r="CF728" s="12"/>
      <c r="CG728" s="12"/>
      <c r="CH728" s="12"/>
      <c r="CI728" s="12"/>
      <c r="CJ728" s="12"/>
      <c r="CK728" s="12"/>
      <c r="CL728" s="12"/>
      <c r="CM728" s="12"/>
      <c r="CN728" s="12"/>
      <c r="CO728" s="12"/>
      <c r="CP728" s="12"/>
      <c r="CQ728" s="46"/>
      <c r="CR728" s="46"/>
      <c r="CS728" s="46"/>
      <c r="CT728" s="119"/>
      <c r="CU728" s="119"/>
      <c r="CV728" s="119"/>
      <c r="CW728" s="119"/>
      <c r="CX728" s="120"/>
      <c r="CY728" s="120"/>
      <c r="CZ728" s="120"/>
      <c r="DA728" s="120"/>
      <c r="DB728" s="120"/>
      <c r="DC728" s="120"/>
      <c r="DD728" s="120"/>
      <c r="DE728" s="120"/>
      <c r="DF728" s="120"/>
      <c r="DG728" s="2"/>
      <c r="DH728" s="2"/>
      <c r="DI728" s="2"/>
      <c r="DJ728" s="48"/>
      <c r="DK728" s="48"/>
      <c r="DL728" s="48"/>
      <c r="DM728" s="13"/>
      <c r="DN728" s="13"/>
      <c r="DO728" s="12"/>
      <c r="DP728" s="12"/>
      <c r="DQ728" s="12"/>
      <c r="DR728" s="12"/>
      <c r="DS728" s="12"/>
      <c r="DT728" s="2"/>
      <c r="DU728" s="2"/>
      <c r="DV728" s="12"/>
      <c r="DW728" s="12"/>
      <c r="DX728" s="2"/>
      <c r="DY728" s="2"/>
      <c r="DZ728" s="12"/>
      <c r="EA728" s="12"/>
      <c r="EB728" s="12"/>
      <c r="EC728" s="12"/>
      <c r="ED728" s="12"/>
    </row>
    <row r="729" spans="1:134" ht="12.5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12"/>
      <c r="AC729" s="12"/>
      <c r="AD729" s="12"/>
      <c r="AE729" s="2"/>
      <c r="AF729" s="2"/>
      <c r="AG729" s="2"/>
      <c r="AH729" s="2"/>
      <c r="AI729" s="2"/>
      <c r="AJ729" s="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2"/>
      <c r="AY729" s="2"/>
      <c r="AZ729" s="2"/>
      <c r="BA729" s="2"/>
      <c r="BB729" s="2"/>
      <c r="BC729" s="2"/>
      <c r="BD729" s="2"/>
      <c r="BE729" s="2"/>
      <c r="BF729" s="12"/>
      <c r="BG729" s="1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152"/>
      <c r="BV729" s="155"/>
      <c r="BW729" s="12"/>
      <c r="BX729" s="12"/>
      <c r="BY729" s="12"/>
      <c r="BZ729" s="12"/>
      <c r="CA729" s="12"/>
      <c r="CB729" s="12"/>
      <c r="CC729" s="12"/>
      <c r="CD729" s="12"/>
      <c r="CE729" s="12"/>
      <c r="CF729" s="12"/>
      <c r="CG729" s="12"/>
      <c r="CH729" s="12"/>
      <c r="CI729" s="12"/>
      <c r="CJ729" s="12"/>
      <c r="CK729" s="12"/>
      <c r="CL729" s="12"/>
      <c r="CM729" s="12"/>
      <c r="CN729" s="12"/>
      <c r="CO729" s="12"/>
      <c r="CP729" s="12"/>
      <c r="CQ729" s="46"/>
      <c r="CR729" s="46"/>
      <c r="CS729" s="46"/>
      <c r="CT729" s="119"/>
      <c r="CU729" s="119"/>
      <c r="CV729" s="119"/>
      <c r="CW729" s="119"/>
      <c r="CX729" s="120"/>
      <c r="CY729" s="120"/>
      <c r="CZ729" s="120"/>
      <c r="DA729" s="120"/>
      <c r="DB729" s="120"/>
      <c r="DC729" s="120"/>
      <c r="DD729" s="120"/>
      <c r="DE729" s="120"/>
      <c r="DF729" s="120"/>
      <c r="DG729" s="2"/>
      <c r="DH729" s="2"/>
      <c r="DI729" s="2"/>
      <c r="DJ729" s="48"/>
      <c r="DK729" s="48"/>
      <c r="DL729" s="48"/>
      <c r="DM729" s="13"/>
      <c r="DN729" s="13"/>
      <c r="DO729" s="12"/>
      <c r="DP729" s="12"/>
      <c r="DQ729" s="12"/>
      <c r="DR729" s="12"/>
      <c r="DS729" s="12"/>
      <c r="DT729" s="2"/>
      <c r="DU729" s="2"/>
      <c r="DV729" s="12"/>
      <c r="DW729" s="12"/>
      <c r="DX729" s="2"/>
      <c r="DY729" s="2"/>
      <c r="DZ729" s="12"/>
      <c r="EA729" s="12"/>
      <c r="EB729" s="12"/>
      <c r="EC729" s="12"/>
      <c r="ED729" s="12"/>
    </row>
    <row r="730" spans="1:134" ht="12.5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12"/>
      <c r="AC730" s="12"/>
      <c r="AD730" s="12"/>
      <c r="AE730" s="2"/>
      <c r="AF730" s="2"/>
      <c r="AG730" s="2"/>
      <c r="AH730" s="2"/>
      <c r="AI730" s="2"/>
      <c r="AJ730" s="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2"/>
      <c r="AY730" s="2"/>
      <c r="AZ730" s="2"/>
      <c r="BA730" s="2"/>
      <c r="BB730" s="2"/>
      <c r="BC730" s="2"/>
      <c r="BD730" s="2"/>
      <c r="BE730" s="2"/>
      <c r="BF730" s="12"/>
      <c r="BG730" s="1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152"/>
      <c r="BV730" s="155"/>
      <c r="BW730" s="12"/>
      <c r="BX730" s="12"/>
      <c r="BY730" s="12"/>
      <c r="BZ730" s="12"/>
      <c r="CA730" s="12"/>
      <c r="CB730" s="12"/>
      <c r="CC730" s="12"/>
      <c r="CD730" s="12"/>
      <c r="CE730" s="12"/>
      <c r="CF730" s="12"/>
      <c r="CG730" s="12"/>
      <c r="CH730" s="12"/>
      <c r="CI730" s="12"/>
      <c r="CJ730" s="12"/>
      <c r="CK730" s="12"/>
      <c r="CL730" s="12"/>
      <c r="CM730" s="12"/>
      <c r="CN730" s="12"/>
      <c r="CO730" s="12"/>
      <c r="CP730" s="12"/>
      <c r="CQ730" s="46"/>
      <c r="CR730" s="46"/>
      <c r="CS730" s="46"/>
      <c r="CT730" s="119"/>
      <c r="CU730" s="119"/>
      <c r="CV730" s="119"/>
      <c r="CW730" s="119"/>
      <c r="CX730" s="120"/>
      <c r="CY730" s="120"/>
      <c r="CZ730" s="120"/>
      <c r="DA730" s="120"/>
      <c r="DB730" s="120"/>
      <c r="DC730" s="120"/>
      <c r="DD730" s="120"/>
      <c r="DE730" s="120"/>
      <c r="DF730" s="120"/>
      <c r="DG730" s="2"/>
      <c r="DH730" s="2"/>
      <c r="DI730" s="2"/>
      <c r="DJ730" s="48"/>
      <c r="DK730" s="48"/>
      <c r="DL730" s="48"/>
      <c r="DM730" s="13"/>
      <c r="DN730" s="13"/>
      <c r="DO730" s="12"/>
      <c r="DP730" s="12"/>
      <c r="DQ730" s="12"/>
      <c r="DR730" s="12"/>
      <c r="DS730" s="12"/>
      <c r="DT730" s="2"/>
      <c r="DU730" s="2"/>
      <c r="DV730" s="12"/>
      <c r="DW730" s="12"/>
      <c r="DX730" s="2"/>
      <c r="DY730" s="2"/>
      <c r="DZ730" s="12"/>
      <c r="EA730" s="12"/>
      <c r="EB730" s="12"/>
      <c r="EC730" s="12"/>
      <c r="ED730" s="12"/>
    </row>
    <row r="731" spans="1:134" ht="12.5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12"/>
      <c r="AC731" s="12"/>
      <c r="AD731" s="12"/>
      <c r="AE731" s="2"/>
      <c r="AF731" s="2"/>
      <c r="AG731" s="2"/>
      <c r="AH731" s="2"/>
      <c r="AI731" s="2"/>
      <c r="AJ731" s="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2"/>
      <c r="AY731" s="2"/>
      <c r="AZ731" s="2"/>
      <c r="BA731" s="2"/>
      <c r="BB731" s="2"/>
      <c r="BC731" s="2"/>
      <c r="BD731" s="2"/>
      <c r="BE731" s="2"/>
      <c r="BF731" s="12"/>
      <c r="BG731" s="1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152"/>
      <c r="BV731" s="155"/>
      <c r="BW731" s="12"/>
      <c r="BX731" s="12"/>
      <c r="BY731" s="12"/>
      <c r="BZ731" s="12"/>
      <c r="CA731" s="12"/>
      <c r="CB731" s="12"/>
      <c r="CC731" s="12"/>
      <c r="CD731" s="12"/>
      <c r="CE731" s="12"/>
      <c r="CF731" s="12"/>
      <c r="CG731" s="12"/>
      <c r="CH731" s="12"/>
      <c r="CI731" s="12"/>
      <c r="CJ731" s="12"/>
      <c r="CK731" s="12"/>
      <c r="CL731" s="12"/>
      <c r="CM731" s="12"/>
      <c r="CN731" s="12"/>
      <c r="CO731" s="12"/>
      <c r="CP731" s="12"/>
      <c r="CQ731" s="46"/>
      <c r="CR731" s="46"/>
      <c r="CS731" s="46"/>
      <c r="CT731" s="119"/>
      <c r="CU731" s="119"/>
      <c r="CV731" s="119"/>
      <c r="CW731" s="119"/>
      <c r="CX731" s="120"/>
      <c r="CY731" s="120"/>
      <c r="CZ731" s="120"/>
      <c r="DA731" s="120"/>
      <c r="DB731" s="120"/>
      <c r="DC731" s="120"/>
      <c r="DD731" s="120"/>
      <c r="DE731" s="120"/>
      <c r="DF731" s="120"/>
      <c r="DG731" s="2"/>
      <c r="DH731" s="2"/>
      <c r="DI731" s="2"/>
      <c r="DJ731" s="48"/>
      <c r="DK731" s="48"/>
      <c r="DL731" s="48"/>
      <c r="DM731" s="13"/>
      <c r="DN731" s="13"/>
      <c r="DO731" s="12"/>
      <c r="DP731" s="12"/>
      <c r="DQ731" s="12"/>
      <c r="DR731" s="12"/>
      <c r="DS731" s="12"/>
      <c r="DT731" s="2"/>
      <c r="DU731" s="2"/>
      <c r="DV731" s="12"/>
      <c r="DW731" s="12"/>
      <c r="DX731" s="2"/>
      <c r="DY731" s="2"/>
      <c r="DZ731" s="12"/>
      <c r="EA731" s="12"/>
      <c r="EB731" s="12"/>
      <c r="EC731" s="12"/>
      <c r="ED731" s="12"/>
    </row>
    <row r="732" spans="1:134" ht="12.5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12"/>
      <c r="AC732" s="12"/>
      <c r="AD732" s="12"/>
      <c r="AE732" s="2"/>
      <c r="AF732" s="2"/>
      <c r="AG732" s="2"/>
      <c r="AH732" s="2"/>
      <c r="AI732" s="2"/>
      <c r="AJ732" s="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2"/>
      <c r="AY732" s="2"/>
      <c r="AZ732" s="2"/>
      <c r="BA732" s="2"/>
      <c r="BB732" s="2"/>
      <c r="BC732" s="2"/>
      <c r="BD732" s="2"/>
      <c r="BE732" s="2"/>
      <c r="BF732" s="12"/>
      <c r="BG732" s="1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152"/>
      <c r="BV732" s="155"/>
      <c r="BW732" s="12"/>
      <c r="BX732" s="12"/>
      <c r="BY732" s="12"/>
      <c r="BZ732" s="12"/>
      <c r="CA732" s="12"/>
      <c r="CB732" s="12"/>
      <c r="CC732" s="12"/>
      <c r="CD732" s="12"/>
      <c r="CE732" s="12"/>
      <c r="CF732" s="12"/>
      <c r="CG732" s="12"/>
      <c r="CH732" s="12"/>
      <c r="CI732" s="12"/>
      <c r="CJ732" s="12"/>
      <c r="CK732" s="12"/>
      <c r="CL732" s="12"/>
      <c r="CM732" s="12"/>
      <c r="CN732" s="12"/>
      <c r="CO732" s="12"/>
      <c r="CP732" s="12"/>
      <c r="CQ732" s="46"/>
      <c r="CR732" s="46"/>
      <c r="CS732" s="46"/>
      <c r="CT732" s="119"/>
      <c r="CU732" s="119"/>
      <c r="CV732" s="119"/>
      <c r="CW732" s="119"/>
      <c r="CX732" s="120"/>
      <c r="CY732" s="120"/>
      <c r="CZ732" s="120"/>
      <c r="DA732" s="120"/>
      <c r="DB732" s="120"/>
      <c r="DC732" s="120"/>
      <c r="DD732" s="120"/>
      <c r="DE732" s="120"/>
      <c r="DF732" s="120"/>
      <c r="DG732" s="2"/>
      <c r="DH732" s="2"/>
      <c r="DI732" s="2"/>
      <c r="DJ732" s="48"/>
      <c r="DK732" s="48"/>
      <c r="DL732" s="48"/>
      <c r="DM732" s="13"/>
      <c r="DN732" s="13"/>
      <c r="DO732" s="12"/>
      <c r="DP732" s="12"/>
      <c r="DQ732" s="12"/>
      <c r="DR732" s="12"/>
      <c r="DS732" s="12"/>
      <c r="DT732" s="2"/>
      <c r="DU732" s="2"/>
      <c r="DV732" s="12"/>
      <c r="DW732" s="12"/>
      <c r="DX732" s="2"/>
      <c r="DY732" s="2"/>
      <c r="DZ732" s="12"/>
      <c r="EA732" s="12"/>
      <c r="EB732" s="12"/>
      <c r="EC732" s="12"/>
      <c r="ED732" s="12"/>
    </row>
    <row r="733" spans="1:134" ht="12.5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12"/>
      <c r="AC733" s="12"/>
      <c r="AD733" s="12"/>
      <c r="AE733" s="2"/>
      <c r="AF733" s="2"/>
      <c r="AG733" s="2"/>
      <c r="AH733" s="2"/>
      <c r="AI733" s="2"/>
      <c r="AJ733" s="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2"/>
      <c r="AY733" s="2"/>
      <c r="AZ733" s="2"/>
      <c r="BA733" s="2"/>
      <c r="BB733" s="2"/>
      <c r="BC733" s="2"/>
      <c r="BD733" s="2"/>
      <c r="BE733" s="2"/>
      <c r="BF733" s="12"/>
      <c r="BG733" s="1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152"/>
      <c r="BV733" s="155"/>
      <c r="BW733" s="12"/>
      <c r="BX733" s="12"/>
      <c r="BY733" s="12"/>
      <c r="BZ733" s="12"/>
      <c r="CA733" s="12"/>
      <c r="CB733" s="12"/>
      <c r="CC733" s="12"/>
      <c r="CD733" s="12"/>
      <c r="CE733" s="12"/>
      <c r="CF733" s="12"/>
      <c r="CG733" s="12"/>
      <c r="CH733" s="12"/>
      <c r="CI733" s="12"/>
      <c r="CJ733" s="12"/>
      <c r="CK733" s="12"/>
      <c r="CL733" s="12"/>
      <c r="CM733" s="12"/>
      <c r="CN733" s="12"/>
      <c r="CO733" s="12"/>
      <c r="CP733" s="12"/>
      <c r="CQ733" s="46"/>
      <c r="CR733" s="46"/>
      <c r="CS733" s="46"/>
      <c r="CT733" s="119"/>
      <c r="CU733" s="119"/>
      <c r="CV733" s="119"/>
      <c r="CW733" s="119"/>
      <c r="CX733" s="120"/>
      <c r="CY733" s="120"/>
      <c r="CZ733" s="120"/>
      <c r="DA733" s="120"/>
      <c r="DB733" s="120"/>
      <c r="DC733" s="120"/>
      <c r="DD733" s="120"/>
      <c r="DE733" s="120"/>
      <c r="DF733" s="120"/>
      <c r="DG733" s="2"/>
      <c r="DH733" s="2"/>
      <c r="DI733" s="2"/>
      <c r="DJ733" s="48"/>
      <c r="DK733" s="48"/>
      <c r="DL733" s="48"/>
      <c r="DM733" s="13"/>
      <c r="DN733" s="13"/>
      <c r="DO733" s="12"/>
      <c r="DP733" s="12"/>
      <c r="DQ733" s="12"/>
      <c r="DR733" s="12"/>
      <c r="DS733" s="12"/>
      <c r="DT733" s="2"/>
      <c r="DU733" s="2"/>
      <c r="DV733" s="12"/>
      <c r="DW733" s="12"/>
      <c r="DX733" s="2"/>
      <c r="DY733" s="2"/>
      <c r="DZ733" s="12"/>
      <c r="EA733" s="12"/>
      <c r="EB733" s="12"/>
      <c r="EC733" s="12"/>
      <c r="ED733" s="12"/>
    </row>
    <row r="734" spans="1:134" ht="12.5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12"/>
      <c r="AC734" s="12"/>
      <c r="AD734" s="12"/>
      <c r="AE734" s="2"/>
      <c r="AF734" s="2"/>
      <c r="AG734" s="2"/>
      <c r="AH734" s="2"/>
      <c r="AI734" s="2"/>
      <c r="AJ734" s="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2"/>
      <c r="AY734" s="2"/>
      <c r="AZ734" s="2"/>
      <c r="BA734" s="2"/>
      <c r="BB734" s="2"/>
      <c r="BC734" s="2"/>
      <c r="BD734" s="2"/>
      <c r="BE734" s="2"/>
      <c r="BF734" s="12"/>
      <c r="BG734" s="1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152"/>
      <c r="BV734" s="155"/>
      <c r="BW734" s="12"/>
      <c r="BX734" s="12"/>
      <c r="BY734" s="12"/>
      <c r="BZ734" s="12"/>
      <c r="CA734" s="12"/>
      <c r="CB734" s="12"/>
      <c r="CC734" s="12"/>
      <c r="CD734" s="12"/>
      <c r="CE734" s="12"/>
      <c r="CF734" s="12"/>
      <c r="CG734" s="12"/>
      <c r="CH734" s="12"/>
      <c r="CI734" s="12"/>
      <c r="CJ734" s="12"/>
      <c r="CK734" s="12"/>
      <c r="CL734" s="12"/>
      <c r="CM734" s="12"/>
      <c r="CN734" s="12"/>
      <c r="CO734" s="12"/>
      <c r="CP734" s="12"/>
      <c r="CQ734" s="46"/>
      <c r="CR734" s="46"/>
      <c r="CS734" s="46"/>
      <c r="CT734" s="119"/>
      <c r="CU734" s="119"/>
      <c r="CV734" s="119"/>
      <c r="CW734" s="119"/>
      <c r="CX734" s="120"/>
      <c r="CY734" s="120"/>
      <c r="CZ734" s="120"/>
      <c r="DA734" s="120"/>
      <c r="DB734" s="120"/>
      <c r="DC734" s="120"/>
      <c r="DD734" s="120"/>
      <c r="DE734" s="120"/>
      <c r="DF734" s="120"/>
      <c r="DG734" s="2"/>
      <c r="DH734" s="2"/>
      <c r="DI734" s="2"/>
      <c r="DJ734" s="48"/>
      <c r="DK734" s="48"/>
      <c r="DL734" s="48"/>
      <c r="DM734" s="13"/>
      <c r="DN734" s="13"/>
      <c r="DO734" s="12"/>
      <c r="DP734" s="12"/>
      <c r="DQ734" s="12"/>
      <c r="DR734" s="12"/>
      <c r="DS734" s="12"/>
      <c r="DT734" s="2"/>
      <c r="DU734" s="2"/>
      <c r="DV734" s="12"/>
      <c r="DW734" s="12"/>
      <c r="DX734" s="2"/>
      <c r="DY734" s="2"/>
      <c r="DZ734" s="12"/>
      <c r="EA734" s="12"/>
      <c r="EB734" s="12"/>
      <c r="EC734" s="12"/>
      <c r="ED734" s="12"/>
    </row>
    <row r="735" spans="1:134" ht="12.5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12"/>
      <c r="AC735" s="12"/>
      <c r="AD735" s="12"/>
      <c r="AE735" s="2"/>
      <c r="AF735" s="2"/>
      <c r="AG735" s="2"/>
      <c r="AH735" s="2"/>
      <c r="AI735" s="2"/>
      <c r="AJ735" s="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2"/>
      <c r="AY735" s="2"/>
      <c r="AZ735" s="2"/>
      <c r="BA735" s="2"/>
      <c r="BB735" s="2"/>
      <c r="BC735" s="2"/>
      <c r="BD735" s="2"/>
      <c r="BE735" s="2"/>
      <c r="BF735" s="12"/>
      <c r="BG735" s="1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152"/>
      <c r="BV735" s="155"/>
      <c r="BW735" s="12"/>
      <c r="BX735" s="12"/>
      <c r="BY735" s="12"/>
      <c r="BZ735" s="12"/>
      <c r="CA735" s="12"/>
      <c r="CB735" s="12"/>
      <c r="CC735" s="12"/>
      <c r="CD735" s="12"/>
      <c r="CE735" s="12"/>
      <c r="CF735" s="12"/>
      <c r="CG735" s="12"/>
      <c r="CH735" s="12"/>
      <c r="CI735" s="12"/>
      <c r="CJ735" s="12"/>
      <c r="CK735" s="12"/>
      <c r="CL735" s="12"/>
      <c r="CM735" s="12"/>
      <c r="CN735" s="12"/>
      <c r="CO735" s="12"/>
      <c r="CP735" s="12"/>
      <c r="CQ735" s="46"/>
      <c r="CR735" s="46"/>
      <c r="CS735" s="46"/>
      <c r="CT735" s="119"/>
      <c r="CU735" s="119"/>
      <c r="CV735" s="119"/>
      <c r="CW735" s="119"/>
      <c r="CX735" s="120"/>
      <c r="CY735" s="120"/>
      <c r="CZ735" s="120"/>
      <c r="DA735" s="120"/>
      <c r="DB735" s="120"/>
      <c r="DC735" s="120"/>
      <c r="DD735" s="120"/>
      <c r="DE735" s="120"/>
      <c r="DF735" s="120"/>
      <c r="DG735" s="2"/>
      <c r="DH735" s="2"/>
      <c r="DI735" s="2"/>
      <c r="DJ735" s="48"/>
      <c r="DK735" s="48"/>
      <c r="DL735" s="48"/>
      <c r="DM735" s="13"/>
      <c r="DN735" s="13"/>
      <c r="DO735" s="12"/>
      <c r="DP735" s="12"/>
      <c r="DQ735" s="12"/>
      <c r="DR735" s="12"/>
      <c r="DS735" s="12"/>
      <c r="DT735" s="2"/>
      <c r="DU735" s="2"/>
      <c r="DV735" s="12"/>
      <c r="DW735" s="12"/>
      <c r="DX735" s="2"/>
      <c r="DY735" s="2"/>
      <c r="DZ735" s="12"/>
      <c r="EA735" s="12"/>
      <c r="EB735" s="12"/>
      <c r="EC735" s="12"/>
      <c r="ED735" s="12"/>
    </row>
    <row r="736" spans="1:134" ht="12.5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12"/>
      <c r="AC736" s="12"/>
      <c r="AD736" s="12"/>
      <c r="AE736" s="2"/>
      <c r="AF736" s="2"/>
      <c r="AG736" s="2"/>
      <c r="AH736" s="2"/>
      <c r="AI736" s="2"/>
      <c r="AJ736" s="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2"/>
      <c r="AY736" s="2"/>
      <c r="AZ736" s="2"/>
      <c r="BA736" s="2"/>
      <c r="BB736" s="2"/>
      <c r="BC736" s="2"/>
      <c r="BD736" s="2"/>
      <c r="BE736" s="2"/>
      <c r="BF736" s="12"/>
      <c r="BG736" s="1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152"/>
      <c r="BV736" s="155"/>
      <c r="BW736" s="12"/>
      <c r="BX736" s="12"/>
      <c r="BY736" s="12"/>
      <c r="BZ736" s="12"/>
      <c r="CA736" s="12"/>
      <c r="CB736" s="12"/>
      <c r="CC736" s="12"/>
      <c r="CD736" s="12"/>
      <c r="CE736" s="12"/>
      <c r="CF736" s="12"/>
      <c r="CG736" s="12"/>
      <c r="CH736" s="12"/>
      <c r="CI736" s="12"/>
      <c r="CJ736" s="12"/>
      <c r="CK736" s="12"/>
      <c r="CL736" s="12"/>
      <c r="CM736" s="12"/>
      <c r="CN736" s="12"/>
      <c r="CO736" s="12"/>
      <c r="CP736" s="12"/>
      <c r="CQ736" s="46"/>
      <c r="CR736" s="46"/>
      <c r="CS736" s="46"/>
      <c r="CT736" s="119"/>
      <c r="CU736" s="119"/>
      <c r="CV736" s="119"/>
      <c r="CW736" s="119"/>
      <c r="CX736" s="120"/>
      <c r="CY736" s="120"/>
      <c r="CZ736" s="120"/>
      <c r="DA736" s="120"/>
      <c r="DB736" s="120"/>
      <c r="DC736" s="120"/>
      <c r="DD736" s="120"/>
      <c r="DE736" s="120"/>
      <c r="DF736" s="120"/>
      <c r="DG736" s="2"/>
      <c r="DH736" s="2"/>
      <c r="DI736" s="2"/>
      <c r="DJ736" s="48"/>
      <c r="DK736" s="48"/>
      <c r="DL736" s="48"/>
      <c r="DM736" s="13"/>
      <c r="DN736" s="13"/>
      <c r="DO736" s="12"/>
      <c r="DP736" s="12"/>
      <c r="DQ736" s="12"/>
      <c r="DR736" s="12"/>
      <c r="DS736" s="12"/>
      <c r="DT736" s="2"/>
      <c r="DU736" s="2"/>
      <c r="DV736" s="12"/>
      <c r="DW736" s="12"/>
      <c r="DX736" s="2"/>
      <c r="DY736" s="2"/>
      <c r="DZ736" s="12"/>
      <c r="EA736" s="12"/>
      <c r="EB736" s="12"/>
      <c r="EC736" s="12"/>
      <c r="ED736" s="12"/>
    </row>
    <row r="737" spans="1:134" ht="12.5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12"/>
      <c r="AC737" s="12"/>
      <c r="AD737" s="12"/>
      <c r="AE737" s="2"/>
      <c r="AF737" s="2"/>
      <c r="AG737" s="2"/>
      <c r="AH737" s="2"/>
      <c r="AI737" s="2"/>
      <c r="AJ737" s="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2"/>
      <c r="AY737" s="2"/>
      <c r="AZ737" s="2"/>
      <c r="BA737" s="2"/>
      <c r="BB737" s="2"/>
      <c r="BC737" s="2"/>
      <c r="BD737" s="2"/>
      <c r="BE737" s="2"/>
      <c r="BF737" s="12"/>
      <c r="BG737" s="1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152"/>
      <c r="BV737" s="155"/>
      <c r="BW737" s="12"/>
      <c r="BX737" s="12"/>
      <c r="BY737" s="12"/>
      <c r="BZ737" s="12"/>
      <c r="CA737" s="12"/>
      <c r="CB737" s="12"/>
      <c r="CC737" s="12"/>
      <c r="CD737" s="12"/>
      <c r="CE737" s="12"/>
      <c r="CF737" s="12"/>
      <c r="CG737" s="12"/>
      <c r="CH737" s="12"/>
      <c r="CI737" s="12"/>
      <c r="CJ737" s="12"/>
      <c r="CK737" s="12"/>
      <c r="CL737" s="12"/>
      <c r="CM737" s="12"/>
      <c r="CN737" s="12"/>
      <c r="CO737" s="12"/>
      <c r="CP737" s="12"/>
      <c r="CQ737" s="46"/>
      <c r="CR737" s="46"/>
      <c r="CS737" s="46"/>
      <c r="CT737" s="119"/>
      <c r="CU737" s="119"/>
      <c r="CV737" s="119"/>
      <c r="CW737" s="119"/>
      <c r="CX737" s="120"/>
      <c r="CY737" s="120"/>
      <c r="CZ737" s="120"/>
      <c r="DA737" s="120"/>
      <c r="DB737" s="120"/>
      <c r="DC737" s="120"/>
      <c r="DD737" s="120"/>
      <c r="DE737" s="120"/>
      <c r="DF737" s="120"/>
      <c r="DG737" s="2"/>
      <c r="DH737" s="2"/>
      <c r="DI737" s="2"/>
      <c r="DJ737" s="48"/>
      <c r="DK737" s="48"/>
      <c r="DL737" s="48"/>
      <c r="DM737" s="13"/>
      <c r="DN737" s="13"/>
      <c r="DO737" s="12"/>
      <c r="DP737" s="12"/>
      <c r="DQ737" s="12"/>
      <c r="DR737" s="12"/>
      <c r="DS737" s="12"/>
      <c r="DT737" s="2"/>
      <c r="DU737" s="2"/>
      <c r="DV737" s="12"/>
      <c r="DW737" s="12"/>
      <c r="DX737" s="2"/>
      <c r="DY737" s="2"/>
      <c r="DZ737" s="12"/>
      <c r="EA737" s="12"/>
      <c r="EB737" s="12"/>
      <c r="EC737" s="12"/>
      <c r="ED737" s="12"/>
    </row>
    <row r="738" spans="1:134" ht="12.5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12"/>
      <c r="AC738" s="12"/>
      <c r="AD738" s="12"/>
      <c r="AE738" s="2"/>
      <c r="AF738" s="2"/>
      <c r="AG738" s="2"/>
      <c r="AH738" s="2"/>
      <c r="AI738" s="2"/>
      <c r="AJ738" s="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2"/>
      <c r="AY738" s="2"/>
      <c r="AZ738" s="2"/>
      <c r="BA738" s="2"/>
      <c r="BB738" s="2"/>
      <c r="BC738" s="2"/>
      <c r="BD738" s="2"/>
      <c r="BE738" s="2"/>
      <c r="BF738" s="12"/>
      <c r="BG738" s="1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152"/>
      <c r="BV738" s="155"/>
      <c r="BW738" s="12"/>
      <c r="BX738" s="12"/>
      <c r="BY738" s="12"/>
      <c r="BZ738" s="12"/>
      <c r="CA738" s="12"/>
      <c r="CB738" s="12"/>
      <c r="CC738" s="12"/>
      <c r="CD738" s="12"/>
      <c r="CE738" s="12"/>
      <c r="CF738" s="12"/>
      <c r="CG738" s="12"/>
      <c r="CH738" s="12"/>
      <c r="CI738" s="12"/>
      <c r="CJ738" s="12"/>
      <c r="CK738" s="12"/>
      <c r="CL738" s="12"/>
      <c r="CM738" s="12"/>
      <c r="CN738" s="12"/>
      <c r="CO738" s="12"/>
      <c r="CP738" s="12"/>
      <c r="CQ738" s="46"/>
      <c r="CR738" s="46"/>
      <c r="CS738" s="46"/>
      <c r="CT738" s="119"/>
      <c r="CU738" s="119"/>
      <c r="CV738" s="119"/>
      <c r="CW738" s="119"/>
      <c r="CX738" s="120"/>
      <c r="CY738" s="120"/>
      <c r="CZ738" s="120"/>
      <c r="DA738" s="120"/>
      <c r="DB738" s="120"/>
      <c r="DC738" s="120"/>
      <c r="DD738" s="120"/>
      <c r="DE738" s="120"/>
      <c r="DF738" s="120"/>
      <c r="DG738" s="2"/>
      <c r="DH738" s="2"/>
      <c r="DI738" s="2"/>
      <c r="DJ738" s="48"/>
      <c r="DK738" s="48"/>
      <c r="DL738" s="48"/>
      <c r="DM738" s="13"/>
      <c r="DN738" s="13"/>
      <c r="DO738" s="12"/>
      <c r="DP738" s="12"/>
      <c r="DQ738" s="12"/>
      <c r="DR738" s="12"/>
      <c r="DS738" s="12"/>
      <c r="DT738" s="2"/>
      <c r="DU738" s="2"/>
      <c r="DV738" s="12"/>
      <c r="DW738" s="12"/>
      <c r="DX738" s="2"/>
      <c r="DY738" s="2"/>
      <c r="DZ738" s="12"/>
      <c r="EA738" s="12"/>
      <c r="EB738" s="12"/>
      <c r="EC738" s="12"/>
      <c r="ED738" s="12"/>
    </row>
    <row r="739" spans="1:134" ht="12.5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12"/>
      <c r="AC739" s="12"/>
      <c r="AD739" s="12"/>
      <c r="AE739" s="2"/>
      <c r="AF739" s="2"/>
      <c r="AG739" s="2"/>
      <c r="AH739" s="2"/>
      <c r="AI739" s="2"/>
      <c r="AJ739" s="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2"/>
      <c r="AY739" s="2"/>
      <c r="AZ739" s="2"/>
      <c r="BA739" s="2"/>
      <c r="BB739" s="2"/>
      <c r="BC739" s="2"/>
      <c r="BD739" s="2"/>
      <c r="BE739" s="2"/>
      <c r="BF739" s="12"/>
      <c r="BG739" s="1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152"/>
      <c r="BV739" s="155"/>
      <c r="BW739" s="12"/>
      <c r="BX739" s="12"/>
      <c r="BY739" s="12"/>
      <c r="BZ739" s="12"/>
      <c r="CA739" s="12"/>
      <c r="CB739" s="12"/>
      <c r="CC739" s="12"/>
      <c r="CD739" s="12"/>
      <c r="CE739" s="12"/>
      <c r="CF739" s="12"/>
      <c r="CG739" s="12"/>
      <c r="CH739" s="12"/>
      <c r="CI739" s="12"/>
      <c r="CJ739" s="12"/>
      <c r="CK739" s="12"/>
      <c r="CL739" s="12"/>
      <c r="CM739" s="12"/>
      <c r="CN739" s="12"/>
      <c r="CO739" s="12"/>
      <c r="CP739" s="12"/>
      <c r="CQ739" s="46"/>
      <c r="CR739" s="46"/>
      <c r="CS739" s="46"/>
      <c r="CT739" s="119"/>
      <c r="CU739" s="119"/>
      <c r="CV739" s="119"/>
      <c r="CW739" s="119"/>
      <c r="CX739" s="120"/>
      <c r="CY739" s="120"/>
      <c r="CZ739" s="120"/>
      <c r="DA739" s="120"/>
      <c r="DB739" s="120"/>
      <c r="DC739" s="120"/>
      <c r="DD739" s="120"/>
      <c r="DE739" s="120"/>
      <c r="DF739" s="120"/>
      <c r="DG739" s="2"/>
      <c r="DH739" s="2"/>
      <c r="DI739" s="2"/>
      <c r="DJ739" s="48"/>
      <c r="DK739" s="48"/>
      <c r="DL739" s="48"/>
      <c r="DM739" s="13"/>
      <c r="DN739" s="13"/>
      <c r="DO739" s="12"/>
      <c r="DP739" s="12"/>
      <c r="DQ739" s="12"/>
      <c r="DR739" s="12"/>
      <c r="DS739" s="12"/>
      <c r="DT739" s="2"/>
      <c r="DU739" s="2"/>
      <c r="DV739" s="12"/>
      <c r="DW739" s="12"/>
      <c r="DX739" s="2"/>
      <c r="DY739" s="2"/>
      <c r="DZ739" s="12"/>
      <c r="EA739" s="12"/>
      <c r="EB739" s="12"/>
      <c r="EC739" s="12"/>
      <c r="ED739" s="12"/>
    </row>
    <row r="740" spans="1:134" ht="12.5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12"/>
      <c r="AC740" s="12"/>
      <c r="AD740" s="12"/>
      <c r="AE740" s="2"/>
      <c r="AF740" s="2"/>
      <c r="AG740" s="2"/>
      <c r="AH740" s="2"/>
      <c r="AI740" s="2"/>
      <c r="AJ740" s="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2"/>
      <c r="AY740" s="2"/>
      <c r="AZ740" s="2"/>
      <c r="BA740" s="2"/>
      <c r="BB740" s="2"/>
      <c r="BC740" s="2"/>
      <c r="BD740" s="2"/>
      <c r="BE740" s="2"/>
      <c r="BF740" s="12"/>
      <c r="BG740" s="1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152"/>
      <c r="BV740" s="155"/>
      <c r="BW740" s="12"/>
      <c r="BX740" s="12"/>
      <c r="BY740" s="12"/>
      <c r="BZ740" s="12"/>
      <c r="CA740" s="12"/>
      <c r="CB740" s="12"/>
      <c r="CC740" s="12"/>
      <c r="CD740" s="12"/>
      <c r="CE740" s="12"/>
      <c r="CF740" s="12"/>
      <c r="CG740" s="12"/>
      <c r="CH740" s="12"/>
      <c r="CI740" s="12"/>
      <c r="CJ740" s="12"/>
      <c r="CK740" s="12"/>
      <c r="CL740" s="12"/>
      <c r="CM740" s="12"/>
      <c r="CN740" s="12"/>
      <c r="CO740" s="12"/>
      <c r="CP740" s="12"/>
      <c r="CQ740" s="46"/>
      <c r="CR740" s="46"/>
      <c r="CS740" s="46"/>
      <c r="CT740" s="119"/>
      <c r="CU740" s="119"/>
      <c r="CV740" s="119"/>
      <c r="CW740" s="119"/>
      <c r="CX740" s="120"/>
      <c r="CY740" s="120"/>
      <c r="CZ740" s="120"/>
      <c r="DA740" s="120"/>
      <c r="DB740" s="120"/>
      <c r="DC740" s="120"/>
      <c r="DD740" s="120"/>
      <c r="DE740" s="120"/>
      <c r="DF740" s="120"/>
      <c r="DG740" s="2"/>
      <c r="DH740" s="2"/>
      <c r="DI740" s="2"/>
      <c r="DJ740" s="48"/>
      <c r="DK740" s="48"/>
      <c r="DL740" s="48"/>
      <c r="DM740" s="13"/>
      <c r="DN740" s="13"/>
      <c r="DO740" s="12"/>
      <c r="DP740" s="12"/>
      <c r="DQ740" s="12"/>
      <c r="DR740" s="12"/>
      <c r="DS740" s="12"/>
      <c r="DT740" s="2"/>
      <c r="DU740" s="2"/>
      <c r="DV740" s="12"/>
      <c r="DW740" s="12"/>
      <c r="DX740" s="2"/>
      <c r="DY740" s="2"/>
      <c r="DZ740" s="12"/>
      <c r="EA740" s="12"/>
      <c r="EB740" s="12"/>
      <c r="EC740" s="12"/>
      <c r="ED740" s="12"/>
    </row>
    <row r="741" spans="1:134" ht="12.5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12"/>
      <c r="AC741" s="12"/>
      <c r="AD741" s="12"/>
      <c r="AE741" s="2"/>
      <c r="AF741" s="2"/>
      <c r="AG741" s="2"/>
      <c r="AH741" s="2"/>
      <c r="AI741" s="2"/>
      <c r="AJ741" s="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2"/>
      <c r="AY741" s="2"/>
      <c r="AZ741" s="2"/>
      <c r="BA741" s="2"/>
      <c r="BB741" s="2"/>
      <c r="BC741" s="2"/>
      <c r="BD741" s="2"/>
      <c r="BE741" s="2"/>
      <c r="BF741" s="12"/>
      <c r="BG741" s="1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152"/>
      <c r="BV741" s="155"/>
      <c r="BW741" s="12"/>
      <c r="BX741" s="12"/>
      <c r="BY741" s="12"/>
      <c r="BZ741" s="12"/>
      <c r="CA741" s="12"/>
      <c r="CB741" s="12"/>
      <c r="CC741" s="12"/>
      <c r="CD741" s="12"/>
      <c r="CE741" s="12"/>
      <c r="CF741" s="12"/>
      <c r="CG741" s="12"/>
      <c r="CH741" s="12"/>
      <c r="CI741" s="12"/>
      <c r="CJ741" s="12"/>
      <c r="CK741" s="12"/>
      <c r="CL741" s="12"/>
      <c r="CM741" s="12"/>
      <c r="CN741" s="12"/>
      <c r="CO741" s="12"/>
      <c r="CP741" s="12"/>
      <c r="CQ741" s="46"/>
      <c r="CR741" s="46"/>
      <c r="CS741" s="46"/>
      <c r="CT741" s="119"/>
      <c r="CU741" s="119"/>
      <c r="CV741" s="119"/>
      <c r="CW741" s="119"/>
      <c r="CX741" s="120"/>
      <c r="CY741" s="120"/>
      <c r="CZ741" s="120"/>
      <c r="DA741" s="120"/>
      <c r="DB741" s="120"/>
      <c r="DC741" s="120"/>
      <c r="DD741" s="120"/>
      <c r="DE741" s="120"/>
      <c r="DF741" s="120"/>
      <c r="DG741" s="2"/>
      <c r="DH741" s="2"/>
      <c r="DI741" s="2"/>
      <c r="DJ741" s="48"/>
      <c r="DK741" s="48"/>
      <c r="DL741" s="48"/>
      <c r="DM741" s="13"/>
      <c r="DN741" s="13"/>
      <c r="DO741" s="12"/>
      <c r="DP741" s="12"/>
      <c r="DQ741" s="12"/>
      <c r="DR741" s="12"/>
      <c r="DS741" s="12"/>
      <c r="DT741" s="2"/>
      <c r="DU741" s="2"/>
      <c r="DV741" s="12"/>
      <c r="DW741" s="12"/>
      <c r="DX741" s="2"/>
      <c r="DY741" s="2"/>
      <c r="DZ741" s="12"/>
      <c r="EA741" s="12"/>
      <c r="EB741" s="12"/>
      <c r="EC741" s="12"/>
      <c r="ED741" s="12"/>
    </row>
    <row r="742" spans="1:134" ht="12.5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12"/>
      <c r="AC742" s="12"/>
      <c r="AD742" s="12"/>
      <c r="AE742" s="2"/>
      <c r="AF742" s="2"/>
      <c r="AG742" s="2"/>
      <c r="AH742" s="2"/>
      <c r="AI742" s="2"/>
      <c r="AJ742" s="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2"/>
      <c r="AY742" s="2"/>
      <c r="AZ742" s="2"/>
      <c r="BA742" s="2"/>
      <c r="BB742" s="2"/>
      <c r="BC742" s="2"/>
      <c r="BD742" s="2"/>
      <c r="BE742" s="2"/>
      <c r="BF742" s="12"/>
      <c r="BG742" s="1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152"/>
      <c r="BV742" s="155"/>
      <c r="BW742" s="12"/>
      <c r="BX742" s="12"/>
      <c r="BY742" s="12"/>
      <c r="BZ742" s="12"/>
      <c r="CA742" s="12"/>
      <c r="CB742" s="12"/>
      <c r="CC742" s="12"/>
      <c r="CD742" s="12"/>
      <c r="CE742" s="12"/>
      <c r="CF742" s="12"/>
      <c r="CG742" s="12"/>
      <c r="CH742" s="12"/>
      <c r="CI742" s="12"/>
      <c r="CJ742" s="12"/>
      <c r="CK742" s="12"/>
      <c r="CL742" s="12"/>
      <c r="CM742" s="12"/>
      <c r="CN742" s="12"/>
      <c r="CO742" s="12"/>
      <c r="CP742" s="12"/>
      <c r="CQ742" s="46"/>
      <c r="CR742" s="46"/>
      <c r="CS742" s="46"/>
      <c r="CT742" s="119"/>
      <c r="CU742" s="119"/>
      <c r="CV742" s="119"/>
      <c r="CW742" s="119"/>
      <c r="CX742" s="120"/>
      <c r="CY742" s="120"/>
      <c r="CZ742" s="120"/>
      <c r="DA742" s="120"/>
      <c r="DB742" s="120"/>
      <c r="DC742" s="120"/>
      <c r="DD742" s="120"/>
      <c r="DE742" s="120"/>
      <c r="DF742" s="120"/>
      <c r="DG742" s="2"/>
      <c r="DH742" s="2"/>
      <c r="DI742" s="2"/>
      <c r="DJ742" s="48"/>
      <c r="DK742" s="48"/>
      <c r="DL742" s="48"/>
      <c r="DM742" s="13"/>
      <c r="DN742" s="13"/>
      <c r="DO742" s="12"/>
      <c r="DP742" s="12"/>
      <c r="DQ742" s="12"/>
      <c r="DR742" s="12"/>
      <c r="DS742" s="12"/>
      <c r="DT742" s="2"/>
      <c r="DU742" s="2"/>
      <c r="DV742" s="12"/>
      <c r="DW742" s="12"/>
      <c r="DX742" s="2"/>
      <c r="DY742" s="2"/>
      <c r="DZ742" s="12"/>
      <c r="EA742" s="12"/>
      <c r="EB742" s="12"/>
      <c r="EC742" s="12"/>
      <c r="ED742" s="12"/>
    </row>
    <row r="743" spans="1:134" ht="12.5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12"/>
      <c r="AC743" s="12"/>
      <c r="AD743" s="12"/>
      <c r="AE743" s="2"/>
      <c r="AF743" s="2"/>
      <c r="AG743" s="2"/>
      <c r="AH743" s="2"/>
      <c r="AI743" s="2"/>
      <c r="AJ743" s="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2"/>
      <c r="AY743" s="2"/>
      <c r="AZ743" s="2"/>
      <c r="BA743" s="2"/>
      <c r="BB743" s="2"/>
      <c r="BC743" s="2"/>
      <c r="BD743" s="2"/>
      <c r="BE743" s="2"/>
      <c r="BF743" s="12"/>
      <c r="BG743" s="1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152"/>
      <c r="BV743" s="155"/>
      <c r="BW743" s="12"/>
      <c r="BX743" s="12"/>
      <c r="BY743" s="12"/>
      <c r="BZ743" s="12"/>
      <c r="CA743" s="12"/>
      <c r="CB743" s="12"/>
      <c r="CC743" s="12"/>
      <c r="CD743" s="12"/>
      <c r="CE743" s="12"/>
      <c r="CF743" s="12"/>
      <c r="CG743" s="12"/>
      <c r="CH743" s="12"/>
      <c r="CI743" s="12"/>
      <c r="CJ743" s="12"/>
      <c r="CK743" s="12"/>
      <c r="CL743" s="12"/>
      <c r="CM743" s="12"/>
      <c r="CN743" s="12"/>
      <c r="CO743" s="12"/>
      <c r="CP743" s="12"/>
      <c r="CQ743" s="46"/>
      <c r="CR743" s="46"/>
      <c r="CS743" s="46"/>
      <c r="CT743" s="119"/>
      <c r="CU743" s="119"/>
      <c r="CV743" s="119"/>
      <c r="CW743" s="119"/>
      <c r="CX743" s="120"/>
      <c r="CY743" s="120"/>
      <c r="CZ743" s="120"/>
      <c r="DA743" s="120"/>
      <c r="DB743" s="120"/>
      <c r="DC743" s="120"/>
      <c r="DD743" s="120"/>
      <c r="DE743" s="120"/>
      <c r="DF743" s="120"/>
      <c r="DG743" s="2"/>
      <c r="DH743" s="2"/>
      <c r="DI743" s="2"/>
      <c r="DJ743" s="48"/>
      <c r="DK743" s="48"/>
      <c r="DL743" s="48"/>
      <c r="DM743" s="13"/>
      <c r="DN743" s="13"/>
      <c r="DO743" s="12"/>
      <c r="DP743" s="12"/>
      <c r="DQ743" s="12"/>
      <c r="DR743" s="12"/>
      <c r="DS743" s="12"/>
      <c r="DT743" s="2"/>
      <c r="DU743" s="2"/>
      <c r="DV743" s="12"/>
      <c r="DW743" s="12"/>
      <c r="DX743" s="2"/>
      <c r="DY743" s="2"/>
      <c r="DZ743" s="12"/>
      <c r="EA743" s="12"/>
      <c r="EB743" s="12"/>
      <c r="EC743" s="12"/>
      <c r="ED743" s="12"/>
    </row>
    <row r="744" spans="1:134" ht="12.5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12"/>
      <c r="AC744" s="12"/>
      <c r="AD744" s="12"/>
      <c r="AE744" s="2"/>
      <c r="AF744" s="2"/>
      <c r="AG744" s="2"/>
      <c r="AH744" s="2"/>
      <c r="AI744" s="2"/>
      <c r="AJ744" s="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2"/>
      <c r="AY744" s="2"/>
      <c r="AZ744" s="2"/>
      <c r="BA744" s="2"/>
      <c r="BB744" s="2"/>
      <c r="BC744" s="2"/>
      <c r="BD744" s="2"/>
      <c r="BE744" s="2"/>
      <c r="BF744" s="12"/>
      <c r="BG744" s="1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152"/>
      <c r="BV744" s="155"/>
      <c r="BW744" s="12"/>
      <c r="BX744" s="12"/>
      <c r="BY744" s="12"/>
      <c r="BZ744" s="12"/>
      <c r="CA744" s="12"/>
      <c r="CB744" s="12"/>
      <c r="CC744" s="12"/>
      <c r="CD744" s="12"/>
      <c r="CE744" s="12"/>
      <c r="CF744" s="12"/>
      <c r="CG744" s="12"/>
      <c r="CH744" s="12"/>
      <c r="CI744" s="12"/>
      <c r="CJ744" s="12"/>
      <c r="CK744" s="12"/>
      <c r="CL744" s="12"/>
      <c r="CM744" s="12"/>
      <c r="CN744" s="12"/>
      <c r="CO744" s="12"/>
      <c r="CP744" s="12"/>
      <c r="CQ744" s="46"/>
      <c r="CR744" s="46"/>
      <c r="CS744" s="46"/>
      <c r="CT744" s="119"/>
      <c r="CU744" s="119"/>
      <c r="CV744" s="119"/>
      <c r="CW744" s="119"/>
      <c r="CX744" s="120"/>
      <c r="CY744" s="120"/>
      <c r="CZ744" s="120"/>
      <c r="DA744" s="120"/>
      <c r="DB744" s="120"/>
      <c r="DC744" s="120"/>
      <c r="DD744" s="120"/>
      <c r="DE744" s="120"/>
      <c r="DF744" s="120"/>
      <c r="DG744" s="2"/>
      <c r="DH744" s="2"/>
      <c r="DI744" s="2"/>
      <c r="DJ744" s="48"/>
      <c r="DK744" s="48"/>
      <c r="DL744" s="48"/>
      <c r="DM744" s="13"/>
      <c r="DN744" s="13"/>
      <c r="DO744" s="12"/>
      <c r="DP744" s="12"/>
      <c r="DQ744" s="12"/>
      <c r="DR744" s="12"/>
      <c r="DS744" s="12"/>
      <c r="DT744" s="2"/>
      <c r="DU744" s="2"/>
      <c r="DV744" s="12"/>
      <c r="DW744" s="12"/>
      <c r="DX744" s="2"/>
      <c r="DY744" s="2"/>
      <c r="DZ744" s="12"/>
      <c r="EA744" s="12"/>
      <c r="EB744" s="12"/>
      <c r="EC744" s="12"/>
      <c r="ED744" s="12"/>
    </row>
    <row r="745" spans="1:134" ht="12.5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12"/>
      <c r="AC745" s="12"/>
      <c r="AD745" s="12"/>
      <c r="AE745" s="2"/>
      <c r="AF745" s="2"/>
      <c r="AG745" s="2"/>
      <c r="AH745" s="2"/>
      <c r="AI745" s="2"/>
      <c r="AJ745" s="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2"/>
      <c r="AY745" s="2"/>
      <c r="AZ745" s="2"/>
      <c r="BA745" s="2"/>
      <c r="BB745" s="2"/>
      <c r="BC745" s="2"/>
      <c r="BD745" s="2"/>
      <c r="BE745" s="2"/>
      <c r="BF745" s="12"/>
      <c r="BG745" s="1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152"/>
      <c r="BV745" s="155"/>
      <c r="BW745" s="12"/>
      <c r="BX745" s="12"/>
      <c r="BY745" s="12"/>
      <c r="BZ745" s="12"/>
      <c r="CA745" s="12"/>
      <c r="CB745" s="12"/>
      <c r="CC745" s="12"/>
      <c r="CD745" s="12"/>
      <c r="CE745" s="12"/>
      <c r="CF745" s="12"/>
      <c r="CG745" s="12"/>
      <c r="CH745" s="12"/>
      <c r="CI745" s="12"/>
      <c r="CJ745" s="12"/>
      <c r="CK745" s="12"/>
      <c r="CL745" s="12"/>
      <c r="CM745" s="12"/>
      <c r="CN745" s="12"/>
      <c r="CO745" s="12"/>
      <c r="CP745" s="12"/>
      <c r="CQ745" s="46"/>
      <c r="CR745" s="46"/>
      <c r="CS745" s="46"/>
      <c r="CT745" s="119"/>
      <c r="CU745" s="119"/>
      <c r="CV745" s="119"/>
      <c r="CW745" s="119"/>
      <c r="CX745" s="120"/>
      <c r="CY745" s="120"/>
      <c r="CZ745" s="120"/>
      <c r="DA745" s="120"/>
      <c r="DB745" s="120"/>
      <c r="DC745" s="120"/>
      <c r="DD745" s="120"/>
      <c r="DE745" s="120"/>
      <c r="DF745" s="120"/>
      <c r="DG745" s="2"/>
      <c r="DH745" s="2"/>
      <c r="DI745" s="2"/>
      <c r="DJ745" s="48"/>
      <c r="DK745" s="48"/>
      <c r="DL745" s="48"/>
      <c r="DM745" s="13"/>
      <c r="DN745" s="13"/>
      <c r="DO745" s="12"/>
      <c r="DP745" s="12"/>
      <c r="DQ745" s="12"/>
      <c r="DR745" s="12"/>
      <c r="DS745" s="12"/>
      <c r="DT745" s="2"/>
      <c r="DU745" s="2"/>
      <c r="DV745" s="12"/>
      <c r="DW745" s="12"/>
      <c r="DX745" s="2"/>
      <c r="DY745" s="2"/>
      <c r="DZ745" s="12"/>
      <c r="EA745" s="12"/>
      <c r="EB745" s="12"/>
      <c r="EC745" s="12"/>
      <c r="ED745" s="12"/>
    </row>
    <row r="746" spans="1:134" ht="12.5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12"/>
      <c r="AC746" s="12"/>
      <c r="AD746" s="12"/>
      <c r="AE746" s="2"/>
      <c r="AF746" s="2"/>
      <c r="AG746" s="2"/>
      <c r="AH746" s="2"/>
      <c r="AI746" s="2"/>
      <c r="AJ746" s="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2"/>
      <c r="AY746" s="2"/>
      <c r="AZ746" s="2"/>
      <c r="BA746" s="2"/>
      <c r="BB746" s="2"/>
      <c r="BC746" s="2"/>
      <c r="BD746" s="2"/>
      <c r="BE746" s="2"/>
      <c r="BF746" s="12"/>
      <c r="BG746" s="1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152"/>
      <c r="BV746" s="155"/>
      <c r="BW746" s="12"/>
      <c r="BX746" s="12"/>
      <c r="BY746" s="12"/>
      <c r="BZ746" s="12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46"/>
      <c r="CR746" s="46"/>
      <c r="CS746" s="46"/>
      <c r="CT746" s="119"/>
      <c r="CU746" s="119"/>
      <c r="CV746" s="119"/>
      <c r="CW746" s="119"/>
      <c r="CX746" s="120"/>
      <c r="CY746" s="120"/>
      <c r="CZ746" s="120"/>
      <c r="DA746" s="120"/>
      <c r="DB746" s="120"/>
      <c r="DC746" s="120"/>
      <c r="DD746" s="120"/>
      <c r="DE746" s="120"/>
      <c r="DF746" s="120"/>
      <c r="DG746" s="2"/>
      <c r="DH746" s="2"/>
      <c r="DI746" s="2"/>
      <c r="DJ746" s="48"/>
      <c r="DK746" s="48"/>
      <c r="DL746" s="48"/>
      <c r="DM746" s="13"/>
      <c r="DN746" s="13"/>
      <c r="DO746" s="12"/>
      <c r="DP746" s="12"/>
      <c r="DQ746" s="12"/>
      <c r="DR746" s="12"/>
      <c r="DS746" s="12"/>
      <c r="DT746" s="2"/>
      <c r="DU746" s="2"/>
      <c r="DV746" s="12"/>
      <c r="DW746" s="12"/>
      <c r="DX746" s="2"/>
      <c r="DY746" s="2"/>
      <c r="DZ746" s="12"/>
      <c r="EA746" s="12"/>
      <c r="EB746" s="12"/>
      <c r="EC746" s="12"/>
      <c r="ED746" s="12"/>
    </row>
    <row r="747" spans="1:134" ht="12.5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12"/>
      <c r="AC747" s="12"/>
      <c r="AD747" s="12"/>
      <c r="AE747" s="2"/>
      <c r="AF747" s="2"/>
      <c r="AG747" s="2"/>
      <c r="AH747" s="2"/>
      <c r="AI747" s="2"/>
      <c r="AJ747" s="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2"/>
      <c r="AY747" s="2"/>
      <c r="AZ747" s="2"/>
      <c r="BA747" s="2"/>
      <c r="BB747" s="2"/>
      <c r="BC747" s="2"/>
      <c r="BD747" s="2"/>
      <c r="BE747" s="2"/>
      <c r="BF747" s="12"/>
      <c r="BG747" s="1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152"/>
      <c r="BV747" s="155"/>
      <c r="BW747" s="12"/>
      <c r="BX747" s="12"/>
      <c r="BY747" s="12"/>
      <c r="BZ747" s="12"/>
      <c r="CA747" s="12"/>
      <c r="CB747" s="12"/>
      <c r="CC747" s="12"/>
      <c r="CD747" s="12"/>
      <c r="CE747" s="12"/>
      <c r="CF747" s="12"/>
      <c r="CG747" s="12"/>
      <c r="CH747" s="12"/>
      <c r="CI747" s="12"/>
      <c r="CJ747" s="12"/>
      <c r="CK747" s="12"/>
      <c r="CL747" s="12"/>
      <c r="CM747" s="12"/>
      <c r="CN747" s="12"/>
      <c r="CO747" s="12"/>
      <c r="CP747" s="12"/>
      <c r="CQ747" s="46"/>
      <c r="CR747" s="46"/>
      <c r="CS747" s="46"/>
      <c r="CT747" s="119"/>
      <c r="CU747" s="119"/>
      <c r="CV747" s="119"/>
      <c r="CW747" s="119"/>
      <c r="CX747" s="120"/>
      <c r="CY747" s="120"/>
      <c r="CZ747" s="120"/>
      <c r="DA747" s="120"/>
      <c r="DB747" s="120"/>
      <c r="DC747" s="120"/>
      <c r="DD747" s="120"/>
      <c r="DE747" s="120"/>
      <c r="DF747" s="120"/>
      <c r="DG747" s="2"/>
      <c r="DH747" s="2"/>
      <c r="DI747" s="2"/>
      <c r="DJ747" s="48"/>
      <c r="DK747" s="48"/>
      <c r="DL747" s="48"/>
      <c r="DM747" s="13"/>
      <c r="DN747" s="13"/>
      <c r="DO747" s="12"/>
      <c r="DP747" s="12"/>
      <c r="DQ747" s="12"/>
      <c r="DR747" s="12"/>
      <c r="DS747" s="12"/>
      <c r="DT747" s="2"/>
      <c r="DU747" s="2"/>
      <c r="DV747" s="12"/>
      <c r="DW747" s="12"/>
      <c r="DX747" s="2"/>
      <c r="DY747" s="2"/>
      <c r="DZ747" s="12"/>
      <c r="EA747" s="12"/>
      <c r="EB747" s="12"/>
      <c r="EC747" s="12"/>
      <c r="ED747" s="12"/>
    </row>
    <row r="748" spans="1:134" ht="12.5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12"/>
      <c r="AC748" s="12"/>
      <c r="AD748" s="12"/>
      <c r="AE748" s="2"/>
      <c r="AF748" s="2"/>
      <c r="AG748" s="2"/>
      <c r="AH748" s="2"/>
      <c r="AI748" s="2"/>
      <c r="AJ748" s="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2"/>
      <c r="AY748" s="2"/>
      <c r="AZ748" s="2"/>
      <c r="BA748" s="2"/>
      <c r="BB748" s="2"/>
      <c r="BC748" s="2"/>
      <c r="BD748" s="2"/>
      <c r="BE748" s="2"/>
      <c r="BF748" s="12"/>
      <c r="BG748" s="1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152"/>
      <c r="BV748" s="155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46"/>
      <c r="CR748" s="46"/>
      <c r="CS748" s="46"/>
      <c r="CT748" s="119"/>
      <c r="CU748" s="119"/>
      <c r="CV748" s="119"/>
      <c r="CW748" s="119"/>
      <c r="CX748" s="120"/>
      <c r="CY748" s="120"/>
      <c r="CZ748" s="120"/>
      <c r="DA748" s="120"/>
      <c r="DB748" s="120"/>
      <c r="DC748" s="120"/>
      <c r="DD748" s="120"/>
      <c r="DE748" s="120"/>
      <c r="DF748" s="120"/>
      <c r="DG748" s="2"/>
      <c r="DH748" s="2"/>
      <c r="DI748" s="2"/>
      <c r="DJ748" s="48"/>
      <c r="DK748" s="48"/>
      <c r="DL748" s="48"/>
      <c r="DM748" s="13"/>
      <c r="DN748" s="13"/>
      <c r="DO748" s="12"/>
      <c r="DP748" s="12"/>
      <c r="DQ748" s="12"/>
      <c r="DR748" s="12"/>
      <c r="DS748" s="12"/>
      <c r="DT748" s="2"/>
      <c r="DU748" s="2"/>
      <c r="DV748" s="12"/>
      <c r="DW748" s="12"/>
      <c r="DX748" s="2"/>
      <c r="DY748" s="2"/>
      <c r="DZ748" s="12"/>
      <c r="EA748" s="12"/>
      <c r="EB748" s="12"/>
      <c r="EC748" s="12"/>
      <c r="ED748" s="12"/>
    </row>
    <row r="749" spans="1:134" ht="12.5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12"/>
      <c r="AC749" s="12"/>
      <c r="AD749" s="12"/>
      <c r="AE749" s="2"/>
      <c r="AF749" s="2"/>
      <c r="AG749" s="2"/>
      <c r="AH749" s="2"/>
      <c r="AI749" s="2"/>
      <c r="AJ749" s="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2"/>
      <c r="AY749" s="2"/>
      <c r="AZ749" s="2"/>
      <c r="BA749" s="2"/>
      <c r="BB749" s="2"/>
      <c r="BC749" s="2"/>
      <c r="BD749" s="2"/>
      <c r="BE749" s="2"/>
      <c r="BF749" s="12"/>
      <c r="BG749" s="1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152"/>
      <c r="BV749" s="155"/>
      <c r="BW749" s="12"/>
      <c r="BX749" s="12"/>
      <c r="BY749" s="12"/>
      <c r="BZ749" s="12"/>
      <c r="CA749" s="12"/>
      <c r="CB749" s="12"/>
      <c r="CC749" s="12"/>
      <c r="CD749" s="12"/>
      <c r="CE749" s="12"/>
      <c r="CF749" s="12"/>
      <c r="CG749" s="12"/>
      <c r="CH749" s="12"/>
      <c r="CI749" s="12"/>
      <c r="CJ749" s="12"/>
      <c r="CK749" s="12"/>
      <c r="CL749" s="12"/>
      <c r="CM749" s="12"/>
      <c r="CN749" s="12"/>
      <c r="CO749" s="12"/>
      <c r="CP749" s="12"/>
      <c r="CQ749" s="46"/>
      <c r="CR749" s="46"/>
      <c r="CS749" s="46"/>
      <c r="CT749" s="119"/>
      <c r="CU749" s="119"/>
      <c r="CV749" s="119"/>
      <c r="CW749" s="119"/>
      <c r="CX749" s="120"/>
      <c r="CY749" s="120"/>
      <c r="CZ749" s="120"/>
      <c r="DA749" s="120"/>
      <c r="DB749" s="120"/>
      <c r="DC749" s="120"/>
      <c r="DD749" s="120"/>
      <c r="DE749" s="120"/>
      <c r="DF749" s="120"/>
      <c r="DG749" s="2"/>
      <c r="DH749" s="2"/>
      <c r="DI749" s="2"/>
      <c r="DJ749" s="48"/>
      <c r="DK749" s="48"/>
      <c r="DL749" s="48"/>
      <c r="DM749" s="13"/>
      <c r="DN749" s="13"/>
      <c r="DO749" s="12"/>
      <c r="DP749" s="12"/>
      <c r="DQ749" s="12"/>
      <c r="DR749" s="12"/>
      <c r="DS749" s="12"/>
      <c r="DT749" s="2"/>
      <c r="DU749" s="2"/>
      <c r="DV749" s="12"/>
      <c r="DW749" s="12"/>
      <c r="DX749" s="2"/>
      <c r="DY749" s="2"/>
      <c r="DZ749" s="12"/>
      <c r="EA749" s="12"/>
      <c r="EB749" s="12"/>
      <c r="EC749" s="12"/>
      <c r="ED749" s="12"/>
    </row>
    <row r="750" spans="1:134" ht="12.5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12"/>
      <c r="AC750" s="12"/>
      <c r="AD750" s="12"/>
      <c r="AE750" s="2"/>
      <c r="AF750" s="2"/>
      <c r="AG750" s="2"/>
      <c r="AH750" s="2"/>
      <c r="AI750" s="2"/>
      <c r="AJ750" s="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2"/>
      <c r="AY750" s="2"/>
      <c r="AZ750" s="2"/>
      <c r="BA750" s="2"/>
      <c r="BB750" s="2"/>
      <c r="BC750" s="2"/>
      <c r="BD750" s="2"/>
      <c r="BE750" s="2"/>
      <c r="BF750" s="12"/>
      <c r="BG750" s="1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152"/>
      <c r="BV750" s="155"/>
      <c r="BW750" s="12"/>
      <c r="BX750" s="12"/>
      <c r="BY750" s="12"/>
      <c r="BZ750" s="12"/>
      <c r="CA750" s="12"/>
      <c r="CB750" s="12"/>
      <c r="CC750" s="12"/>
      <c r="CD750" s="12"/>
      <c r="CE750" s="12"/>
      <c r="CF750" s="12"/>
      <c r="CG750" s="12"/>
      <c r="CH750" s="12"/>
      <c r="CI750" s="12"/>
      <c r="CJ750" s="12"/>
      <c r="CK750" s="12"/>
      <c r="CL750" s="12"/>
      <c r="CM750" s="12"/>
      <c r="CN750" s="12"/>
      <c r="CO750" s="12"/>
      <c r="CP750" s="12"/>
      <c r="CQ750" s="46"/>
      <c r="CR750" s="46"/>
      <c r="CS750" s="46"/>
      <c r="CT750" s="119"/>
      <c r="CU750" s="119"/>
      <c r="CV750" s="119"/>
      <c r="CW750" s="119"/>
      <c r="CX750" s="120"/>
      <c r="CY750" s="120"/>
      <c r="CZ750" s="120"/>
      <c r="DA750" s="120"/>
      <c r="DB750" s="120"/>
      <c r="DC750" s="120"/>
      <c r="DD750" s="120"/>
      <c r="DE750" s="120"/>
      <c r="DF750" s="120"/>
      <c r="DG750" s="2"/>
      <c r="DH750" s="2"/>
      <c r="DI750" s="2"/>
      <c r="DJ750" s="48"/>
      <c r="DK750" s="48"/>
      <c r="DL750" s="48"/>
      <c r="DM750" s="13"/>
      <c r="DN750" s="13"/>
      <c r="DO750" s="12"/>
      <c r="DP750" s="12"/>
      <c r="DQ750" s="12"/>
      <c r="DR750" s="12"/>
      <c r="DS750" s="12"/>
      <c r="DT750" s="2"/>
      <c r="DU750" s="2"/>
      <c r="DV750" s="12"/>
      <c r="DW750" s="12"/>
      <c r="DX750" s="2"/>
      <c r="DY750" s="2"/>
      <c r="DZ750" s="12"/>
      <c r="EA750" s="12"/>
      <c r="EB750" s="12"/>
      <c r="EC750" s="12"/>
      <c r="ED750" s="12"/>
    </row>
    <row r="751" spans="1:134" ht="12.5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12"/>
      <c r="AC751" s="12"/>
      <c r="AD751" s="12"/>
      <c r="AE751" s="2"/>
      <c r="AF751" s="2"/>
      <c r="AG751" s="2"/>
      <c r="AH751" s="2"/>
      <c r="AI751" s="2"/>
      <c r="AJ751" s="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2"/>
      <c r="AY751" s="2"/>
      <c r="AZ751" s="2"/>
      <c r="BA751" s="2"/>
      <c r="BB751" s="2"/>
      <c r="BC751" s="2"/>
      <c r="BD751" s="2"/>
      <c r="BE751" s="2"/>
      <c r="BF751" s="12"/>
      <c r="BG751" s="1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152"/>
      <c r="BV751" s="155"/>
      <c r="BW751" s="12"/>
      <c r="BX751" s="12"/>
      <c r="BY751" s="12"/>
      <c r="BZ751" s="12"/>
      <c r="CA751" s="12"/>
      <c r="CB751" s="12"/>
      <c r="CC751" s="12"/>
      <c r="CD751" s="12"/>
      <c r="CE751" s="12"/>
      <c r="CF751" s="12"/>
      <c r="CG751" s="12"/>
      <c r="CH751" s="12"/>
      <c r="CI751" s="12"/>
      <c r="CJ751" s="12"/>
      <c r="CK751" s="12"/>
      <c r="CL751" s="12"/>
      <c r="CM751" s="12"/>
      <c r="CN751" s="12"/>
      <c r="CO751" s="12"/>
      <c r="CP751" s="12"/>
      <c r="CQ751" s="46"/>
      <c r="CR751" s="46"/>
      <c r="CS751" s="46"/>
      <c r="CT751" s="119"/>
      <c r="CU751" s="119"/>
      <c r="CV751" s="119"/>
      <c r="CW751" s="119"/>
      <c r="CX751" s="120"/>
      <c r="CY751" s="120"/>
      <c r="CZ751" s="120"/>
      <c r="DA751" s="120"/>
      <c r="DB751" s="120"/>
      <c r="DC751" s="120"/>
      <c r="DD751" s="120"/>
      <c r="DE751" s="120"/>
      <c r="DF751" s="120"/>
      <c r="DG751" s="2"/>
      <c r="DH751" s="2"/>
      <c r="DI751" s="2"/>
      <c r="DJ751" s="48"/>
      <c r="DK751" s="48"/>
      <c r="DL751" s="48"/>
      <c r="DM751" s="13"/>
      <c r="DN751" s="13"/>
      <c r="DO751" s="12"/>
      <c r="DP751" s="12"/>
      <c r="DQ751" s="12"/>
      <c r="DR751" s="12"/>
      <c r="DS751" s="12"/>
      <c r="DT751" s="2"/>
      <c r="DU751" s="2"/>
      <c r="DV751" s="12"/>
      <c r="DW751" s="12"/>
      <c r="DX751" s="2"/>
      <c r="DY751" s="2"/>
      <c r="DZ751" s="12"/>
      <c r="EA751" s="12"/>
      <c r="EB751" s="12"/>
      <c r="EC751" s="12"/>
      <c r="ED751" s="12"/>
    </row>
    <row r="752" spans="1:134" ht="12.5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12"/>
      <c r="AC752" s="12"/>
      <c r="AD752" s="12"/>
      <c r="AE752" s="2"/>
      <c r="AF752" s="2"/>
      <c r="AG752" s="2"/>
      <c r="AH752" s="2"/>
      <c r="AI752" s="2"/>
      <c r="AJ752" s="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2"/>
      <c r="AY752" s="2"/>
      <c r="AZ752" s="2"/>
      <c r="BA752" s="2"/>
      <c r="BB752" s="2"/>
      <c r="BC752" s="2"/>
      <c r="BD752" s="2"/>
      <c r="BE752" s="2"/>
      <c r="BF752" s="12"/>
      <c r="BG752" s="1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152"/>
      <c r="BV752" s="155"/>
      <c r="BW752" s="12"/>
      <c r="BX752" s="12"/>
      <c r="BY752" s="12"/>
      <c r="BZ752" s="12"/>
      <c r="CA752" s="12"/>
      <c r="CB752" s="12"/>
      <c r="CC752" s="12"/>
      <c r="CD752" s="12"/>
      <c r="CE752" s="12"/>
      <c r="CF752" s="12"/>
      <c r="CG752" s="12"/>
      <c r="CH752" s="12"/>
      <c r="CI752" s="12"/>
      <c r="CJ752" s="12"/>
      <c r="CK752" s="12"/>
      <c r="CL752" s="12"/>
      <c r="CM752" s="12"/>
      <c r="CN752" s="12"/>
      <c r="CO752" s="12"/>
      <c r="CP752" s="12"/>
      <c r="CQ752" s="46"/>
      <c r="CR752" s="46"/>
      <c r="CS752" s="46"/>
      <c r="CT752" s="119"/>
      <c r="CU752" s="119"/>
      <c r="CV752" s="119"/>
      <c r="CW752" s="119"/>
      <c r="CX752" s="120"/>
      <c r="CY752" s="120"/>
      <c r="CZ752" s="120"/>
      <c r="DA752" s="120"/>
      <c r="DB752" s="120"/>
      <c r="DC752" s="120"/>
      <c r="DD752" s="120"/>
      <c r="DE752" s="120"/>
      <c r="DF752" s="120"/>
      <c r="DG752" s="2"/>
      <c r="DH752" s="2"/>
      <c r="DI752" s="2"/>
      <c r="DJ752" s="48"/>
      <c r="DK752" s="48"/>
      <c r="DL752" s="48"/>
      <c r="DM752" s="13"/>
      <c r="DN752" s="13"/>
      <c r="DO752" s="12"/>
      <c r="DP752" s="12"/>
      <c r="DQ752" s="12"/>
      <c r="DR752" s="12"/>
      <c r="DS752" s="12"/>
      <c r="DT752" s="2"/>
      <c r="DU752" s="2"/>
      <c r="DV752" s="12"/>
      <c r="DW752" s="12"/>
      <c r="DX752" s="2"/>
      <c r="DY752" s="2"/>
      <c r="DZ752" s="12"/>
      <c r="EA752" s="12"/>
      <c r="EB752" s="12"/>
      <c r="EC752" s="12"/>
      <c r="ED752" s="12"/>
    </row>
    <row r="753" spans="1:134" ht="12.5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12"/>
      <c r="AC753" s="12"/>
      <c r="AD753" s="12"/>
      <c r="AE753" s="2"/>
      <c r="AF753" s="2"/>
      <c r="AG753" s="2"/>
      <c r="AH753" s="2"/>
      <c r="AI753" s="2"/>
      <c r="AJ753" s="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2"/>
      <c r="AY753" s="2"/>
      <c r="AZ753" s="2"/>
      <c r="BA753" s="2"/>
      <c r="BB753" s="2"/>
      <c r="BC753" s="2"/>
      <c r="BD753" s="2"/>
      <c r="BE753" s="2"/>
      <c r="BF753" s="12"/>
      <c r="BG753" s="1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152"/>
      <c r="BV753" s="155"/>
      <c r="BW753" s="12"/>
      <c r="BX753" s="12"/>
      <c r="BY753" s="12"/>
      <c r="BZ753" s="12"/>
      <c r="CA753" s="12"/>
      <c r="CB753" s="12"/>
      <c r="CC753" s="12"/>
      <c r="CD753" s="12"/>
      <c r="CE753" s="12"/>
      <c r="CF753" s="12"/>
      <c r="CG753" s="12"/>
      <c r="CH753" s="12"/>
      <c r="CI753" s="12"/>
      <c r="CJ753" s="12"/>
      <c r="CK753" s="12"/>
      <c r="CL753" s="12"/>
      <c r="CM753" s="12"/>
      <c r="CN753" s="12"/>
      <c r="CO753" s="12"/>
      <c r="CP753" s="12"/>
      <c r="CQ753" s="46"/>
      <c r="CR753" s="46"/>
      <c r="CS753" s="46"/>
      <c r="CT753" s="119"/>
      <c r="CU753" s="119"/>
      <c r="CV753" s="119"/>
      <c r="CW753" s="119"/>
      <c r="CX753" s="120"/>
      <c r="CY753" s="120"/>
      <c r="CZ753" s="120"/>
      <c r="DA753" s="120"/>
      <c r="DB753" s="120"/>
      <c r="DC753" s="120"/>
      <c r="DD753" s="120"/>
      <c r="DE753" s="120"/>
      <c r="DF753" s="120"/>
      <c r="DG753" s="2"/>
      <c r="DH753" s="2"/>
      <c r="DI753" s="2"/>
      <c r="DJ753" s="48"/>
      <c r="DK753" s="48"/>
      <c r="DL753" s="48"/>
      <c r="DM753" s="13"/>
      <c r="DN753" s="13"/>
      <c r="DO753" s="12"/>
      <c r="DP753" s="12"/>
      <c r="DQ753" s="12"/>
      <c r="DR753" s="12"/>
      <c r="DS753" s="12"/>
      <c r="DT753" s="2"/>
      <c r="DU753" s="2"/>
      <c r="DV753" s="12"/>
      <c r="DW753" s="12"/>
      <c r="DX753" s="2"/>
      <c r="DY753" s="2"/>
      <c r="DZ753" s="12"/>
      <c r="EA753" s="12"/>
      <c r="EB753" s="12"/>
      <c r="EC753" s="12"/>
      <c r="ED753" s="12"/>
    </row>
    <row r="754" spans="1:134" ht="12.5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12"/>
      <c r="AC754" s="12"/>
      <c r="AD754" s="12"/>
      <c r="AE754" s="2"/>
      <c r="AF754" s="2"/>
      <c r="AG754" s="2"/>
      <c r="AH754" s="2"/>
      <c r="AI754" s="2"/>
      <c r="AJ754" s="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2"/>
      <c r="AY754" s="2"/>
      <c r="AZ754" s="2"/>
      <c r="BA754" s="2"/>
      <c r="BB754" s="2"/>
      <c r="BC754" s="2"/>
      <c r="BD754" s="2"/>
      <c r="BE754" s="2"/>
      <c r="BF754" s="12"/>
      <c r="BG754" s="1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152"/>
      <c r="BV754" s="155"/>
      <c r="BW754" s="12"/>
      <c r="BX754" s="12"/>
      <c r="BY754" s="12"/>
      <c r="BZ754" s="12"/>
      <c r="CA754" s="12"/>
      <c r="CB754" s="12"/>
      <c r="CC754" s="12"/>
      <c r="CD754" s="12"/>
      <c r="CE754" s="12"/>
      <c r="CF754" s="12"/>
      <c r="CG754" s="12"/>
      <c r="CH754" s="12"/>
      <c r="CI754" s="12"/>
      <c r="CJ754" s="12"/>
      <c r="CK754" s="12"/>
      <c r="CL754" s="12"/>
      <c r="CM754" s="12"/>
      <c r="CN754" s="12"/>
      <c r="CO754" s="12"/>
      <c r="CP754" s="12"/>
      <c r="CQ754" s="46"/>
      <c r="CR754" s="46"/>
      <c r="CS754" s="46"/>
      <c r="CT754" s="119"/>
      <c r="CU754" s="119"/>
      <c r="CV754" s="119"/>
      <c r="CW754" s="119"/>
      <c r="CX754" s="120"/>
      <c r="CY754" s="120"/>
      <c r="CZ754" s="120"/>
      <c r="DA754" s="120"/>
      <c r="DB754" s="120"/>
      <c r="DC754" s="120"/>
      <c r="DD754" s="120"/>
      <c r="DE754" s="120"/>
      <c r="DF754" s="120"/>
      <c r="DG754" s="2"/>
      <c r="DH754" s="2"/>
      <c r="DI754" s="2"/>
      <c r="DJ754" s="48"/>
      <c r="DK754" s="48"/>
      <c r="DL754" s="48"/>
      <c r="DM754" s="13"/>
      <c r="DN754" s="13"/>
      <c r="DO754" s="12"/>
      <c r="DP754" s="12"/>
      <c r="DQ754" s="12"/>
      <c r="DR754" s="12"/>
      <c r="DS754" s="12"/>
      <c r="DT754" s="2"/>
      <c r="DU754" s="2"/>
      <c r="DV754" s="12"/>
      <c r="DW754" s="12"/>
      <c r="DX754" s="2"/>
      <c r="DY754" s="2"/>
      <c r="DZ754" s="12"/>
      <c r="EA754" s="12"/>
      <c r="EB754" s="12"/>
      <c r="EC754" s="12"/>
      <c r="ED754" s="12"/>
    </row>
    <row r="755" spans="1:134" ht="12.5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12"/>
      <c r="AC755" s="12"/>
      <c r="AD755" s="12"/>
      <c r="AE755" s="2"/>
      <c r="AF755" s="2"/>
      <c r="AG755" s="2"/>
      <c r="AH755" s="2"/>
      <c r="AI755" s="2"/>
      <c r="AJ755" s="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2"/>
      <c r="AY755" s="2"/>
      <c r="AZ755" s="2"/>
      <c r="BA755" s="2"/>
      <c r="BB755" s="2"/>
      <c r="BC755" s="2"/>
      <c r="BD755" s="2"/>
      <c r="BE755" s="2"/>
      <c r="BF755" s="12"/>
      <c r="BG755" s="1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152"/>
      <c r="BV755" s="155"/>
      <c r="BW755" s="12"/>
      <c r="BX755" s="12"/>
      <c r="BY755" s="12"/>
      <c r="BZ755" s="12"/>
      <c r="CA755" s="12"/>
      <c r="CB755" s="12"/>
      <c r="CC755" s="12"/>
      <c r="CD755" s="12"/>
      <c r="CE755" s="12"/>
      <c r="CF755" s="12"/>
      <c r="CG755" s="12"/>
      <c r="CH755" s="12"/>
      <c r="CI755" s="12"/>
      <c r="CJ755" s="12"/>
      <c r="CK755" s="12"/>
      <c r="CL755" s="12"/>
      <c r="CM755" s="12"/>
      <c r="CN755" s="12"/>
      <c r="CO755" s="12"/>
      <c r="CP755" s="12"/>
      <c r="CQ755" s="46"/>
      <c r="CR755" s="46"/>
      <c r="CS755" s="46"/>
      <c r="CT755" s="119"/>
      <c r="CU755" s="119"/>
      <c r="CV755" s="119"/>
      <c r="CW755" s="119"/>
      <c r="CX755" s="120"/>
      <c r="CY755" s="120"/>
      <c r="CZ755" s="120"/>
      <c r="DA755" s="120"/>
      <c r="DB755" s="120"/>
      <c r="DC755" s="120"/>
      <c r="DD755" s="120"/>
      <c r="DE755" s="120"/>
      <c r="DF755" s="120"/>
      <c r="DG755" s="2"/>
      <c r="DH755" s="2"/>
      <c r="DI755" s="2"/>
      <c r="DJ755" s="48"/>
      <c r="DK755" s="48"/>
      <c r="DL755" s="48"/>
      <c r="DM755" s="13"/>
      <c r="DN755" s="13"/>
      <c r="DO755" s="12"/>
      <c r="DP755" s="12"/>
      <c r="DQ755" s="12"/>
      <c r="DR755" s="12"/>
      <c r="DS755" s="12"/>
      <c r="DT755" s="2"/>
      <c r="DU755" s="2"/>
      <c r="DV755" s="12"/>
      <c r="DW755" s="12"/>
      <c r="DX755" s="2"/>
      <c r="DY755" s="2"/>
      <c r="DZ755" s="12"/>
      <c r="EA755" s="12"/>
      <c r="EB755" s="12"/>
      <c r="EC755" s="12"/>
      <c r="ED755" s="12"/>
    </row>
    <row r="756" spans="1:134" ht="12.5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12"/>
      <c r="AC756" s="12"/>
      <c r="AD756" s="12"/>
      <c r="AE756" s="2"/>
      <c r="AF756" s="2"/>
      <c r="AG756" s="2"/>
      <c r="AH756" s="2"/>
      <c r="AI756" s="2"/>
      <c r="AJ756" s="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2"/>
      <c r="AY756" s="2"/>
      <c r="AZ756" s="2"/>
      <c r="BA756" s="2"/>
      <c r="BB756" s="2"/>
      <c r="BC756" s="2"/>
      <c r="BD756" s="2"/>
      <c r="BE756" s="2"/>
      <c r="BF756" s="12"/>
      <c r="BG756" s="1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152"/>
      <c r="BV756" s="155"/>
      <c r="BW756" s="12"/>
      <c r="BX756" s="12"/>
      <c r="BY756" s="12"/>
      <c r="BZ756" s="12"/>
      <c r="CA756" s="12"/>
      <c r="CB756" s="12"/>
      <c r="CC756" s="12"/>
      <c r="CD756" s="12"/>
      <c r="CE756" s="12"/>
      <c r="CF756" s="12"/>
      <c r="CG756" s="12"/>
      <c r="CH756" s="12"/>
      <c r="CI756" s="12"/>
      <c r="CJ756" s="12"/>
      <c r="CK756" s="12"/>
      <c r="CL756" s="12"/>
      <c r="CM756" s="12"/>
      <c r="CN756" s="12"/>
      <c r="CO756" s="12"/>
      <c r="CP756" s="12"/>
      <c r="CQ756" s="46"/>
      <c r="CR756" s="46"/>
      <c r="CS756" s="46"/>
      <c r="CT756" s="119"/>
      <c r="CU756" s="119"/>
      <c r="CV756" s="119"/>
      <c r="CW756" s="119"/>
      <c r="CX756" s="120"/>
      <c r="CY756" s="120"/>
      <c r="CZ756" s="120"/>
      <c r="DA756" s="120"/>
      <c r="DB756" s="120"/>
      <c r="DC756" s="120"/>
      <c r="DD756" s="120"/>
      <c r="DE756" s="120"/>
      <c r="DF756" s="120"/>
      <c r="DG756" s="2"/>
      <c r="DH756" s="2"/>
      <c r="DI756" s="2"/>
      <c r="DJ756" s="48"/>
      <c r="DK756" s="48"/>
      <c r="DL756" s="48"/>
      <c r="DM756" s="13"/>
      <c r="DN756" s="13"/>
      <c r="DO756" s="12"/>
      <c r="DP756" s="12"/>
      <c r="DQ756" s="12"/>
      <c r="DR756" s="12"/>
      <c r="DS756" s="12"/>
      <c r="DT756" s="2"/>
      <c r="DU756" s="2"/>
      <c r="DV756" s="12"/>
      <c r="DW756" s="12"/>
      <c r="DX756" s="2"/>
      <c r="DY756" s="2"/>
      <c r="DZ756" s="12"/>
      <c r="EA756" s="12"/>
      <c r="EB756" s="12"/>
      <c r="EC756" s="12"/>
      <c r="ED756" s="12"/>
    </row>
    <row r="757" spans="1:134" ht="12.5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12"/>
      <c r="AC757" s="12"/>
      <c r="AD757" s="12"/>
      <c r="AE757" s="2"/>
      <c r="AF757" s="2"/>
      <c r="AG757" s="2"/>
      <c r="AH757" s="2"/>
      <c r="AI757" s="2"/>
      <c r="AJ757" s="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2"/>
      <c r="AY757" s="2"/>
      <c r="AZ757" s="2"/>
      <c r="BA757" s="2"/>
      <c r="BB757" s="2"/>
      <c r="BC757" s="2"/>
      <c r="BD757" s="2"/>
      <c r="BE757" s="2"/>
      <c r="BF757" s="12"/>
      <c r="BG757" s="1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152"/>
      <c r="BV757" s="155"/>
      <c r="BW757" s="12"/>
      <c r="BX757" s="12"/>
      <c r="BY757" s="12"/>
      <c r="BZ757" s="12"/>
      <c r="CA757" s="12"/>
      <c r="CB757" s="12"/>
      <c r="CC757" s="12"/>
      <c r="CD757" s="12"/>
      <c r="CE757" s="12"/>
      <c r="CF757" s="12"/>
      <c r="CG757" s="12"/>
      <c r="CH757" s="12"/>
      <c r="CI757" s="12"/>
      <c r="CJ757" s="12"/>
      <c r="CK757" s="12"/>
      <c r="CL757" s="12"/>
      <c r="CM757" s="12"/>
      <c r="CN757" s="12"/>
      <c r="CO757" s="12"/>
      <c r="CP757" s="12"/>
      <c r="CQ757" s="46"/>
      <c r="CR757" s="46"/>
      <c r="CS757" s="46"/>
      <c r="CT757" s="119"/>
      <c r="CU757" s="119"/>
      <c r="CV757" s="119"/>
      <c r="CW757" s="119"/>
      <c r="CX757" s="120"/>
      <c r="CY757" s="120"/>
      <c r="CZ757" s="120"/>
      <c r="DA757" s="120"/>
      <c r="DB757" s="120"/>
      <c r="DC757" s="120"/>
      <c r="DD757" s="120"/>
      <c r="DE757" s="120"/>
      <c r="DF757" s="120"/>
      <c r="DG757" s="2"/>
      <c r="DH757" s="2"/>
      <c r="DI757" s="2"/>
      <c r="DJ757" s="48"/>
      <c r="DK757" s="48"/>
      <c r="DL757" s="48"/>
      <c r="DM757" s="13"/>
      <c r="DN757" s="13"/>
      <c r="DO757" s="12"/>
      <c r="DP757" s="12"/>
      <c r="DQ757" s="12"/>
      <c r="DR757" s="12"/>
      <c r="DS757" s="12"/>
      <c r="DT757" s="2"/>
      <c r="DU757" s="2"/>
      <c r="DV757" s="12"/>
      <c r="DW757" s="12"/>
      <c r="DX757" s="2"/>
      <c r="DY757" s="2"/>
      <c r="DZ757" s="12"/>
      <c r="EA757" s="12"/>
      <c r="EB757" s="12"/>
      <c r="EC757" s="12"/>
      <c r="ED757" s="12"/>
    </row>
    <row r="758" spans="1:134" ht="12.5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12"/>
      <c r="AC758" s="12"/>
      <c r="AD758" s="12"/>
      <c r="AE758" s="2"/>
      <c r="AF758" s="2"/>
      <c r="AG758" s="2"/>
      <c r="AH758" s="2"/>
      <c r="AI758" s="2"/>
      <c r="AJ758" s="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2"/>
      <c r="AY758" s="2"/>
      <c r="AZ758" s="2"/>
      <c r="BA758" s="2"/>
      <c r="BB758" s="2"/>
      <c r="BC758" s="2"/>
      <c r="BD758" s="2"/>
      <c r="BE758" s="2"/>
      <c r="BF758" s="12"/>
      <c r="BG758" s="1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152"/>
      <c r="BV758" s="155"/>
      <c r="BW758" s="12"/>
      <c r="BX758" s="12"/>
      <c r="BY758" s="12"/>
      <c r="BZ758" s="12"/>
      <c r="CA758" s="12"/>
      <c r="CB758" s="12"/>
      <c r="CC758" s="12"/>
      <c r="CD758" s="12"/>
      <c r="CE758" s="12"/>
      <c r="CF758" s="12"/>
      <c r="CG758" s="12"/>
      <c r="CH758" s="12"/>
      <c r="CI758" s="12"/>
      <c r="CJ758" s="12"/>
      <c r="CK758" s="12"/>
      <c r="CL758" s="12"/>
      <c r="CM758" s="12"/>
      <c r="CN758" s="12"/>
      <c r="CO758" s="12"/>
      <c r="CP758" s="12"/>
      <c r="CQ758" s="46"/>
      <c r="CR758" s="46"/>
      <c r="CS758" s="46"/>
      <c r="CT758" s="119"/>
      <c r="CU758" s="119"/>
      <c r="CV758" s="119"/>
      <c r="CW758" s="119"/>
      <c r="CX758" s="120"/>
      <c r="CY758" s="120"/>
      <c r="CZ758" s="120"/>
      <c r="DA758" s="120"/>
      <c r="DB758" s="120"/>
      <c r="DC758" s="120"/>
      <c r="DD758" s="120"/>
      <c r="DE758" s="120"/>
      <c r="DF758" s="120"/>
      <c r="DG758" s="2"/>
      <c r="DH758" s="2"/>
      <c r="DI758" s="2"/>
      <c r="DJ758" s="48"/>
      <c r="DK758" s="48"/>
      <c r="DL758" s="48"/>
      <c r="DM758" s="13"/>
      <c r="DN758" s="13"/>
      <c r="DO758" s="12"/>
      <c r="DP758" s="12"/>
      <c r="DQ758" s="12"/>
      <c r="DR758" s="12"/>
      <c r="DS758" s="12"/>
      <c r="DT758" s="2"/>
      <c r="DU758" s="2"/>
      <c r="DV758" s="12"/>
      <c r="DW758" s="12"/>
      <c r="DX758" s="2"/>
      <c r="DY758" s="2"/>
      <c r="DZ758" s="12"/>
      <c r="EA758" s="12"/>
      <c r="EB758" s="12"/>
      <c r="EC758" s="12"/>
      <c r="ED758" s="12"/>
    </row>
    <row r="759" spans="1:134" ht="12.5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12"/>
      <c r="AC759" s="12"/>
      <c r="AD759" s="12"/>
      <c r="AE759" s="2"/>
      <c r="AF759" s="2"/>
      <c r="AG759" s="2"/>
      <c r="AH759" s="2"/>
      <c r="AI759" s="2"/>
      <c r="AJ759" s="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2"/>
      <c r="AY759" s="2"/>
      <c r="AZ759" s="2"/>
      <c r="BA759" s="2"/>
      <c r="BB759" s="2"/>
      <c r="BC759" s="2"/>
      <c r="BD759" s="2"/>
      <c r="BE759" s="2"/>
      <c r="BF759" s="12"/>
      <c r="BG759" s="1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152"/>
      <c r="BV759" s="155"/>
      <c r="BW759" s="12"/>
      <c r="BX759" s="12"/>
      <c r="BY759" s="12"/>
      <c r="BZ759" s="12"/>
      <c r="CA759" s="12"/>
      <c r="CB759" s="12"/>
      <c r="CC759" s="12"/>
      <c r="CD759" s="12"/>
      <c r="CE759" s="12"/>
      <c r="CF759" s="12"/>
      <c r="CG759" s="12"/>
      <c r="CH759" s="12"/>
      <c r="CI759" s="12"/>
      <c r="CJ759" s="12"/>
      <c r="CK759" s="12"/>
      <c r="CL759" s="12"/>
      <c r="CM759" s="12"/>
      <c r="CN759" s="12"/>
      <c r="CO759" s="12"/>
      <c r="CP759" s="12"/>
      <c r="CQ759" s="46"/>
      <c r="CR759" s="46"/>
      <c r="CS759" s="46"/>
      <c r="CT759" s="119"/>
      <c r="CU759" s="119"/>
      <c r="CV759" s="119"/>
      <c r="CW759" s="119"/>
      <c r="CX759" s="120"/>
      <c r="CY759" s="120"/>
      <c r="CZ759" s="120"/>
      <c r="DA759" s="120"/>
      <c r="DB759" s="120"/>
      <c r="DC759" s="120"/>
      <c r="DD759" s="120"/>
      <c r="DE759" s="120"/>
      <c r="DF759" s="120"/>
      <c r="DG759" s="2"/>
      <c r="DH759" s="2"/>
      <c r="DI759" s="2"/>
      <c r="DJ759" s="48"/>
      <c r="DK759" s="48"/>
      <c r="DL759" s="48"/>
      <c r="DM759" s="13"/>
      <c r="DN759" s="13"/>
      <c r="DO759" s="12"/>
      <c r="DP759" s="12"/>
      <c r="DQ759" s="12"/>
      <c r="DR759" s="12"/>
      <c r="DS759" s="12"/>
      <c r="DT759" s="2"/>
      <c r="DU759" s="2"/>
      <c r="DV759" s="12"/>
      <c r="DW759" s="12"/>
      <c r="DX759" s="2"/>
      <c r="DY759" s="2"/>
      <c r="DZ759" s="12"/>
      <c r="EA759" s="12"/>
      <c r="EB759" s="12"/>
      <c r="EC759" s="12"/>
      <c r="ED759" s="12"/>
    </row>
    <row r="760" spans="1:134" ht="12.5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12"/>
      <c r="AC760" s="12"/>
      <c r="AD760" s="12"/>
      <c r="AE760" s="2"/>
      <c r="AF760" s="2"/>
      <c r="AG760" s="2"/>
      <c r="AH760" s="2"/>
      <c r="AI760" s="2"/>
      <c r="AJ760" s="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2"/>
      <c r="AY760" s="2"/>
      <c r="AZ760" s="2"/>
      <c r="BA760" s="2"/>
      <c r="BB760" s="2"/>
      <c r="BC760" s="2"/>
      <c r="BD760" s="2"/>
      <c r="BE760" s="2"/>
      <c r="BF760" s="12"/>
      <c r="BG760" s="1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152"/>
      <c r="BV760" s="155"/>
      <c r="BW760" s="12"/>
      <c r="BX760" s="12"/>
      <c r="BY760" s="12"/>
      <c r="BZ760" s="12"/>
      <c r="CA760" s="12"/>
      <c r="CB760" s="12"/>
      <c r="CC760" s="12"/>
      <c r="CD760" s="12"/>
      <c r="CE760" s="12"/>
      <c r="CF760" s="12"/>
      <c r="CG760" s="12"/>
      <c r="CH760" s="12"/>
      <c r="CI760" s="12"/>
      <c r="CJ760" s="12"/>
      <c r="CK760" s="12"/>
      <c r="CL760" s="12"/>
      <c r="CM760" s="12"/>
      <c r="CN760" s="12"/>
      <c r="CO760" s="12"/>
      <c r="CP760" s="12"/>
      <c r="CQ760" s="46"/>
      <c r="CR760" s="46"/>
      <c r="CS760" s="46"/>
      <c r="CT760" s="119"/>
      <c r="CU760" s="119"/>
      <c r="CV760" s="119"/>
      <c r="CW760" s="119"/>
      <c r="CX760" s="120"/>
      <c r="CY760" s="120"/>
      <c r="CZ760" s="120"/>
      <c r="DA760" s="120"/>
      <c r="DB760" s="120"/>
      <c r="DC760" s="120"/>
      <c r="DD760" s="120"/>
      <c r="DE760" s="120"/>
      <c r="DF760" s="120"/>
      <c r="DG760" s="2"/>
      <c r="DH760" s="2"/>
      <c r="DI760" s="2"/>
      <c r="DJ760" s="48"/>
      <c r="DK760" s="48"/>
      <c r="DL760" s="48"/>
      <c r="DM760" s="13"/>
      <c r="DN760" s="13"/>
      <c r="DO760" s="12"/>
      <c r="DP760" s="12"/>
      <c r="DQ760" s="12"/>
      <c r="DR760" s="12"/>
      <c r="DS760" s="12"/>
      <c r="DT760" s="2"/>
      <c r="DU760" s="2"/>
      <c r="DV760" s="12"/>
      <c r="DW760" s="12"/>
      <c r="DX760" s="2"/>
      <c r="DY760" s="2"/>
      <c r="DZ760" s="12"/>
      <c r="EA760" s="12"/>
      <c r="EB760" s="12"/>
      <c r="EC760" s="12"/>
      <c r="ED760" s="12"/>
    </row>
    <row r="761" spans="1:134" ht="12.5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12"/>
      <c r="AC761" s="12"/>
      <c r="AD761" s="12"/>
      <c r="AE761" s="2"/>
      <c r="AF761" s="2"/>
      <c r="AG761" s="2"/>
      <c r="AH761" s="2"/>
      <c r="AI761" s="2"/>
      <c r="AJ761" s="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2"/>
      <c r="AY761" s="2"/>
      <c r="AZ761" s="2"/>
      <c r="BA761" s="2"/>
      <c r="BB761" s="2"/>
      <c r="BC761" s="2"/>
      <c r="BD761" s="2"/>
      <c r="BE761" s="2"/>
      <c r="BF761" s="12"/>
      <c r="BG761" s="1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152"/>
      <c r="BV761" s="155"/>
      <c r="BW761" s="12"/>
      <c r="BX761" s="12"/>
      <c r="BY761" s="12"/>
      <c r="BZ761" s="12"/>
      <c r="CA761" s="12"/>
      <c r="CB761" s="12"/>
      <c r="CC761" s="12"/>
      <c r="CD761" s="12"/>
      <c r="CE761" s="12"/>
      <c r="CF761" s="12"/>
      <c r="CG761" s="12"/>
      <c r="CH761" s="12"/>
      <c r="CI761" s="12"/>
      <c r="CJ761" s="12"/>
      <c r="CK761" s="12"/>
      <c r="CL761" s="12"/>
      <c r="CM761" s="12"/>
      <c r="CN761" s="12"/>
      <c r="CO761" s="12"/>
      <c r="CP761" s="12"/>
      <c r="CQ761" s="46"/>
      <c r="CR761" s="46"/>
      <c r="CS761" s="46"/>
      <c r="CT761" s="119"/>
      <c r="CU761" s="119"/>
      <c r="CV761" s="119"/>
      <c r="CW761" s="119"/>
      <c r="CX761" s="120"/>
      <c r="CY761" s="120"/>
      <c r="CZ761" s="120"/>
      <c r="DA761" s="120"/>
      <c r="DB761" s="120"/>
      <c r="DC761" s="120"/>
      <c r="DD761" s="120"/>
      <c r="DE761" s="120"/>
      <c r="DF761" s="120"/>
      <c r="DG761" s="2"/>
      <c r="DH761" s="2"/>
      <c r="DI761" s="2"/>
      <c r="DJ761" s="48"/>
      <c r="DK761" s="48"/>
      <c r="DL761" s="48"/>
      <c r="DM761" s="13"/>
      <c r="DN761" s="13"/>
      <c r="DO761" s="12"/>
      <c r="DP761" s="12"/>
      <c r="DQ761" s="12"/>
      <c r="DR761" s="12"/>
      <c r="DS761" s="12"/>
      <c r="DT761" s="2"/>
      <c r="DU761" s="2"/>
      <c r="DV761" s="12"/>
      <c r="DW761" s="12"/>
      <c r="DX761" s="2"/>
      <c r="DY761" s="2"/>
      <c r="DZ761" s="12"/>
      <c r="EA761" s="12"/>
      <c r="EB761" s="12"/>
      <c r="EC761" s="12"/>
      <c r="ED761" s="12"/>
    </row>
    <row r="762" spans="1:134" ht="12.5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12"/>
      <c r="AC762" s="12"/>
      <c r="AD762" s="12"/>
      <c r="AE762" s="2"/>
      <c r="AF762" s="2"/>
      <c r="AG762" s="2"/>
      <c r="AH762" s="2"/>
      <c r="AI762" s="2"/>
      <c r="AJ762" s="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2"/>
      <c r="AY762" s="2"/>
      <c r="AZ762" s="2"/>
      <c r="BA762" s="2"/>
      <c r="BB762" s="2"/>
      <c r="BC762" s="2"/>
      <c r="BD762" s="2"/>
      <c r="BE762" s="2"/>
      <c r="BF762" s="12"/>
      <c r="BG762" s="1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152"/>
      <c r="BV762" s="155"/>
      <c r="BW762" s="12"/>
      <c r="BX762" s="12"/>
      <c r="BY762" s="12"/>
      <c r="BZ762" s="12"/>
      <c r="CA762" s="12"/>
      <c r="CB762" s="12"/>
      <c r="CC762" s="12"/>
      <c r="CD762" s="12"/>
      <c r="CE762" s="12"/>
      <c r="CF762" s="12"/>
      <c r="CG762" s="12"/>
      <c r="CH762" s="12"/>
      <c r="CI762" s="12"/>
      <c r="CJ762" s="12"/>
      <c r="CK762" s="12"/>
      <c r="CL762" s="12"/>
      <c r="CM762" s="12"/>
      <c r="CN762" s="12"/>
      <c r="CO762" s="12"/>
      <c r="CP762" s="12"/>
      <c r="CQ762" s="46"/>
      <c r="CR762" s="46"/>
      <c r="CS762" s="46"/>
      <c r="CT762" s="119"/>
      <c r="CU762" s="119"/>
      <c r="CV762" s="119"/>
      <c r="CW762" s="119"/>
      <c r="CX762" s="120"/>
      <c r="CY762" s="120"/>
      <c r="CZ762" s="120"/>
      <c r="DA762" s="120"/>
      <c r="DB762" s="120"/>
      <c r="DC762" s="120"/>
      <c r="DD762" s="120"/>
      <c r="DE762" s="120"/>
      <c r="DF762" s="120"/>
      <c r="DG762" s="2"/>
      <c r="DH762" s="2"/>
      <c r="DI762" s="2"/>
      <c r="DJ762" s="48"/>
      <c r="DK762" s="48"/>
      <c r="DL762" s="48"/>
      <c r="DM762" s="13"/>
      <c r="DN762" s="13"/>
      <c r="DO762" s="12"/>
      <c r="DP762" s="12"/>
      <c r="DQ762" s="12"/>
      <c r="DR762" s="12"/>
      <c r="DS762" s="12"/>
      <c r="DT762" s="2"/>
      <c r="DU762" s="2"/>
      <c r="DV762" s="12"/>
      <c r="DW762" s="12"/>
      <c r="DX762" s="2"/>
      <c r="DY762" s="2"/>
      <c r="DZ762" s="12"/>
      <c r="EA762" s="12"/>
      <c r="EB762" s="12"/>
      <c r="EC762" s="12"/>
      <c r="ED762" s="12"/>
    </row>
    <row r="763" spans="1:134" ht="12.5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12"/>
      <c r="AC763" s="12"/>
      <c r="AD763" s="12"/>
      <c r="AE763" s="2"/>
      <c r="AF763" s="2"/>
      <c r="AG763" s="2"/>
      <c r="AH763" s="2"/>
      <c r="AI763" s="2"/>
      <c r="AJ763" s="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2"/>
      <c r="AY763" s="2"/>
      <c r="AZ763" s="2"/>
      <c r="BA763" s="2"/>
      <c r="BB763" s="2"/>
      <c r="BC763" s="2"/>
      <c r="BD763" s="2"/>
      <c r="BE763" s="2"/>
      <c r="BF763" s="12"/>
      <c r="BG763" s="1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152"/>
      <c r="BV763" s="155"/>
      <c r="BW763" s="12"/>
      <c r="BX763" s="12"/>
      <c r="BY763" s="12"/>
      <c r="BZ763" s="12"/>
      <c r="CA763" s="12"/>
      <c r="CB763" s="12"/>
      <c r="CC763" s="12"/>
      <c r="CD763" s="12"/>
      <c r="CE763" s="12"/>
      <c r="CF763" s="12"/>
      <c r="CG763" s="12"/>
      <c r="CH763" s="12"/>
      <c r="CI763" s="12"/>
      <c r="CJ763" s="12"/>
      <c r="CK763" s="12"/>
      <c r="CL763" s="12"/>
      <c r="CM763" s="12"/>
      <c r="CN763" s="12"/>
      <c r="CO763" s="12"/>
      <c r="CP763" s="12"/>
      <c r="CQ763" s="46"/>
      <c r="CR763" s="46"/>
      <c r="CS763" s="46"/>
      <c r="CT763" s="119"/>
      <c r="CU763" s="119"/>
      <c r="CV763" s="119"/>
      <c r="CW763" s="119"/>
      <c r="CX763" s="120"/>
      <c r="CY763" s="120"/>
      <c r="CZ763" s="120"/>
      <c r="DA763" s="120"/>
      <c r="DB763" s="120"/>
      <c r="DC763" s="120"/>
      <c r="DD763" s="120"/>
      <c r="DE763" s="120"/>
      <c r="DF763" s="120"/>
      <c r="DG763" s="2"/>
      <c r="DH763" s="2"/>
      <c r="DI763" s="2"/>
      <c r="DJ763" s="48"/>
      <c r="DK763" s="48"/>
      <c r="DL763" s="48"/>
      <c r="DM763" s="13"/>
      <c r="DN763" s="13"/>
      <c r="DO763" s="12"/>
      <c r="DP763" s="12"/>
      <c r="DQ763" s="12"/>
      <c r="DR763" s="12"/>
      <c r="DS763" s="12"/>
      <c r="DT763" s="2"/>
      <c r="DU763" s="2"/>
      <c r="DV763" s="12"/>
      <c r="DW763" s="12"/>
      <c r="DX763" s="2"/>
      <c r="DY763" s="2"/>
      <c r="DZ763" s="12"/>
      <c r="EA763" s="12"/>
      <c r="EB763" s="12"/>
      <c r="EC763" s="12"/>
      <c r="ED763" s="12"/>
    </row>
    <row r="764" spans="1:134" ht="12.5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12"/>
      <c r="AC764" s="12"/>
      <c r="AD764" s="12"/>
      <c r="AE764" s="2"/>
      <c r="AF764" s="2"/>
      <c r="AG764" s="2"/>
      <c r="AH764" s="2"/>
      <c r="AI764" s="2"/>
      <c r="AJ764" s="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2"/>
      <c r="AY764" s="2"/>
      <c r="AZ764" s="2"/>
      <c r="BA764" s="2"/>
      <c r="BB764" s="2"/>
      <c r="BC764" s="2"/>
      <c r="BD764" s="2"/>
      <c r="BE764" s="2"/>
      <c r="BF764" s="12"/>
      <c r="BG764" s="1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152"/>
      <c r="BV764" s="155"/>
      <c r="BW764" s="12"/>
      <c r="BX764" s="12"/>
      <c r="BY764" s="12"/>
      <c r="BZ764" s="12"/>
      <c r="CA764" s="12"/>
      <c r="CB764" s="12"/>
      <c r="CC764" s="12"/>
      <c r="CD764" s="12"/>
      <c r="CE764" s="12"/>
      <c r="CF764" s="12"/>
      <c r="CG764" s="12"/>
      <c r="CH764" s="12"/>
      <c r="CI764" s="12"/>
      <c r="CJ764" s="12"/>
      <c r="CK764" s="12"/>
      <c r="CL764" s="12"/>
      <c r="CM764" s="12"/>
      <c r="CN764" s="12"/>
      <c r="CO764" s="12"/>
      <c r="CP764" s="12"/>
      <c r="CQ764" s="46"/>
      <c r="CR764" s="46"/>
      <c r="CS764" s="46"/>
      <c r="CT764" s="119"/>
      <c r="CU764" s="119"/>
      <c r="CV764" s="119"/>
      <c r="CW764" s="119"/>
      <c r="CX764" s="120"/>
      <c r="CY764" s="120"/>
      <c r="CZ764" s="120"/>
      <c r="DA764" s="120"/>
      <c r="DB764" s="120"/>
      <c r="DC764" s="120"/>
      <c r="DD764" s="120"/>
      <c r="DE764" s="120"/>
      <c r="DF764" s="120"/>
      <c r="DG764" s="2"/>
      <c r="DH764" s="2"/>
      <c r="DI764" s="2"/>
      <c r="DJ764" s="48"/>
      <c r="DK764" s="48"/>
      <c r="DL764" s="48"/>
      <c r="DM764" s="13"/>
      <c r="DN764" s="13"/>
      <c r="DO764" s="12"/>
      <c r="DP764" s="12"/>
      <c r="DQ764" s="12"/>
      <c r="DR764" s="12"/>
      <c r="DS764" s="12"/>
      <c r="DT764" s="2"/>
      <c r="DU764" s="2"/>
      <c r="DV764" s="12"/>
      <c r="DW764" s="12"/>
      <c r="DX764" s="2"/>
      <c r="DY764" s="2"/>
      <c r="DZ764" s="12"/>
      <c r="EA764" s="12"/>
      <c r="EB764" s="12"/>
      <c r="EC764" s="12"/>
      <c r="ED764" s="12"/>
    </row>
    <row r="765" spans="1:134" ht="12.5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12"/>
      <c r="AC765" s="12"/>
      <c r="AD765" s="12"/>
      <c r="AE765" s="2"/>
      <c r="AF765" s="2"/>
      <c r="AG765" s="2"/>
      <c r="AH765" s="2"/>
      <c r="AI765" s="2"/>
      <c r="AJ765" s="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2"/>
      <c r="AY765" s="2"/>
      <c r="AZ765" s="2"/>
      <c r="BA765" s="2"/>
      <c r="BB765" s="2"/>
      <c r="BC765" s="2"/>
      <c r="BD765" s="2"/>
      <c r="BE765" s="2"/>
      <c r="BF765" s="12"/>
      <c r="BG765" s="1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152"/>
      <c r="BV765" s="155"/>
      <c r="BW765" s="12"/>
      <c r="BX765" s="12"/>
      <c r="BY765" s="12"/>
      <c r="BZ765" s="12"/>
      <c r="CA765" s="12"/>
      <c r="CB765" s="12"/>
      <c r="CC765" s="12"/>
      <c r="CD765" s="12"/>
      <c r="CE765" s="12"/>
      <c r="CF765" s="12"/>
      <c r="CG765" s="12"/>
      <c r="CH765" s="12"/>
      <c r="CI765" s="12"/>
      <c r="CJ765" s="12"/>
      <c r="CK765" s="12"/>
      <c r="CL765" s="12"/>
      <c r="CM765" s="12"/>
      <c r="CN765" s="12"/>
      <c r="CO765" s="12"/>
      <c r="CP765" s="12"/>
      <c r="CQ765" s="46"/>
      <c r="CR765" s="46"/>
      <c r="CS765" s="46"/>
      <c r="CT765" s="119"/>
      <c r="CU765" s="119"/>
      <c r="CV765" s="119"/>
      <c r="CW765" s="119"/>
      <c r="CX765" s="120"/>
      <c r="CY765" s="120"/>
      <c r="CZ765" s="120"/>
      <c r="DA765" s="120"/>
      <c r="DB765" s="120"/>
      <c r="DC765" s="120"/>
      <c r="DD765" s="120"/>
      <c r="DE765" s="120"/>
      <c r="DF765" s="120"/>
      <c r="DG765" s="2"/>
      <c r="DH765" s="2"/>
      <c r="DI765" s="2"/>
      <c r="DJ765" s="48"/>
      <c r="DK765" s="48"/>
      <c r="DL765" s="48"/>
      <c r="DM765" s="13"/>
      <c r="DN765" s="13"/>
      <c r="DO765" s="12"/>
      <c r="DP765" s="12"/>
      <c r="DQ765" s="12"/>
      <c r="DR765" s="12"/>
      <c r="DS765" s="12"/>
      <c r="DT765" s="2"/>
      <c r="DU765" s="2"/>
      <c r="DV765" s="12"/>
      <c r="DW765" s="12"/>
      <c r="DX765" s="2"/>
      <c r="DY765" s="2"/>
      <c r="DZ765" s="12"/>
      <c r="EA765" s="12"/>
      <c r="EB765" s="12"/>
      <c r="EC765" s="12"/>
      <c r="ED765" s="12"/>
    </row>
    <row r="766" spans="1:134" ht="12.5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12"/>
      <c r="AC766" s="12"/>
      <c r="AD766" s="12"/>
      <c r="AE766" s="2"/>
      <c r="AF766" s="2"/>
      <c r="AG766" s="2"/>
      <c r="AH766" s="2"/>
      <c r="AI766" s="2"/>
      <c r="AJ766" s="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2"/>
      <c r="AY766" s="2"/>
      <c r="AZ766" s="2"/>
      <c r="BA766" s="2"/>
      <c r="BB766" s="2"/>
      <c r="BC766" s="2"/>
      <c r="BD766" s="2"/>
      <c r="BE766" s="2"/>
      <c r="BF766" s="12"/>
      <c r="BG766" s="1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152"/>
      <c r="BV766" s="155"/>
      <c r="BW766" s="12"/>
      <c r="BX766" s="12"/>
      <c r="BY766" s="12"/>
      <c r="BZ766" s="12"/>
      <c r="CA766" s="12"/>
      <c r="CB766" s="12"/>
      <c r="CC766" s="12"/>
      <c r="CD766" s="12"/>
      <c r="CE766" s="12"/>
      <c r="CF766" s="12"/>
      <c r="CG766" s="12"/>
      <c r="CH766" s="12"/>
      <c r="CI766" s="12"/>
      <c r="CJ766" s="12"/>
      <c r="CK766" s="12"/>
      <c r="CL766" s="12"/>
      <c r="CM766" s="12"/>
      <c r="CN766" s="12"/>
      <c r="CO766" s="12"/>
      <c r="CP766" s="12"/>
      <c r="CQ766" s="46"/>
      <c r="CR766" s="46"/>
      <c r="CS766" s="46"/>
      <c r="CT766" s="119"/>
      <c r="CU766" s="119"/>
      <c r="CV766" s="119"/>
      <c r="CW766" s="119"/>
      <c r="CX766" s="120"/>
      <c r="CY766" s="120"/>
      <c r="CZ766" s="120"/>
      <c r="DA766" s="120"/>
      <c r="DB766" s="120"/>
      <c r="DC766" s="120"/>
      <c r="DD766" s="120"/>
      <c r="DE766" s="120"/>
      <c r="DF766" s="120"/>
      <c r="DG766" s="2"/>
      <c r="DH766" s="2"/>
      <c r="DI766" s="2"/>
      <c r="DJ766" s="48"/>
      <c r="DK766" s="48"/>
      <c r="DL766" s="48"/>
      <c r="DM766" s="13"/>
      <c r="DN766" s="13"/>
      <c r="DO766" s="12"/>
      <c r="DP766" s="12"/>
      <c r="DQ766" s="12"/>
      <c r="DR766" s="12"/>
      <c r="DS766" s="12"/>
      <c r="DT766" s="2"/>
      <c r="DU766" s="2"/>
      <c r="DV766" s="12"/>
      <c r="DW766" s="12"/>
      <c r="DX766" s="2"/>
      <c r="DY766" s="2"/>
      <c r="DZ766" s="12"/>
      <c r="EA766" s="12"/>
      <c r="EB766" s="12"/>
      <c r="EC766" s="12"/>
      <c r="ED766" s="12"/>
    </row>
    <row r="767" spans="1:134" ht="12.5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12"/>
      <c r="AC767" s="12"/>
      <c r="AD767" s="12"/>
      <c r="AE767" s="2"/>
      <c r="AF767" s="2"/>
      <c r="AG767" s="2"/>
      <c r="AH767" s="2"/>
      <c r="AI767" s="2"/>
      <c r="AJ767" s="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2"/>
      <c r="AY767" s="2"/>
      <c r="AZ767" s="2"/>
      <c r="BA767" s="2"/>
      <c r="BB767" s="2"/>
      <c r="BC767" s="2"/>
      <c r="BD767" s="2"/>
      <c r="BE767" s="2"/>
      <c r="BF767" s="12"/>
      <c r="BG767" s="1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152"/>
      <c r="BV767" s="155"/>
      <c r="BW767" s="12"/>
      <c r="BX767" s="12"/>
      <c r="BY767" s="12"/>
      <c r="BZ767" s="12"/>
      <c r="CA767" s="12"/>
      <c r="CB767" s="12"/>
      <c r="CC767" s="12"/>
      <c r="CD767" s="12"/>
      <c r="CE767" s="12"/>
      <c r="CF767" s="12"/>
      <c r="CG767" s="12"/>
      <c r="CH767" s="12"/>
      <c r="CI767" s="12"/>
      <c r="CJ767" s="12"/>
      <c r="CK767" s="12"/>
      <c r="CL767" s="12"/>
      <c r="CM767" s="12"/>
      <c r="CN767" s="12"/>
      <c r="CO767" s="12"/>
      <c r="CP767" s="12"/>
      <c r="CQ767" s="46"/>
      <c r="CR767" s="46"/>
      <c r="CS767" s="46"/>
      <c r="CT767" s="119"/>
      <c r="CU767" s="119"/>
      <c r="CV767" s="119"/>
      <c r="CW767" s="119"/>
      <c r="CX767" s="120"/>
      <c r="CY767" s="120"/>
      <c r="CZ767" s="120"/>
      <c r="DA767" s="120"/>
      <c r="DB767" s="120"/>
      <c r="DC767" s="120"/>
      <c r="DD767" s="120"/>
      <c r="DE767" s="120"/>
      <c r="DF767" s="120"/>
      <c r="DG767" s="2"/>
      <c r="DH767" s="2"/>
      <c r="DI767" s="2"/>
      <c r="DJ767" s="48"/>
      <c r="DK767" s="48"/>
      <c r="DL767" s="48"/>
      <c r="DM767" s="13"/>
      <c r="DN767" s="13"/>
      <c r="DO767" s="12"/>
      <c r="DP767" s="12"/>
      <c r="DQ767" s="12"/>
      <c r="DR767" s="12"/>
      <c r="DS767" s="12"/>
      <c r="DT767" s="2"/>
      <c r="DU767" s="2"/>
      <c r="DV767" s="12"/>
      <c r="DW767" s="12"/>
      <c r="DX767" s="2"/>
      <c r="DY767" s="2"/>
      <c r="DZ767" s="12"/>
      <c r="EA767" s="12"/>
      <c r="EB767" s="12"/>
      <c r="EC767" s="12"/>
      <c r="ED767" s="12"/>
    </row>
    <row r="768" spans="1:134" ht="12.5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12"/>
      <c r="AC768" s="12"/>
      <c r="AD768" s="12"/>
      <c r="AE768" s="2"/>
      <c r="AF768" s="2"/>
      <c r="AG768" s="2"/>
      <c r="AH768" s="2"/>
      <c r="AI768" s="2"/>
      <c r="AJ768" s="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2"/>
      <c r="AY768" s="2"/>
      <c r="AZ768" s="2"/>
      <c r="BA768" s="2"/>
      <c r="BB768" s="2"/>
      <c r="BC768" s="2"/>
      <c r="BD768" s="2"/>
      <c r="BE768" s="2"/>
      <c r="BF768" s="12"/>
      <c r="BG768" s="1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152"/>
      <c r="BV768" s="155"/>
      <c r="BW768" s="12"/>
      <c r="BX768" s="12"/>
      <c r="BY768" s="12"/>
      <c r="BZ768" s="12"/>
      <c r="CA768" s="12"/>
      <c r="CB768" s="12"/>
      <c r="CC768" s="12"/>
      <c r="CD768" s="12"/>
      <c r="CE768" s="12"/>
      <c r="CF768" s="12"/>
      <c r="CG768" s="12"/>
      <c r="CH768" s="12"/>
      <c r="CI768" s="12"/>
      <c r="CJ768" s="12"/>
      <c r="CK768" s="12"/>
      <c r="CL768" s="12"/>
      <c r="CM768" s="12"/>
      <c r="CN768" s="12"/>
      <c r="CO768" s="12"/>
      <c r="CP768" s="12"/>
      <c r="CQ768" s="46"/>
      <c r="CR768" s="46"/>
      <c r="CS768" s="46"/>
      <c r="CT768" s="119"/>
      <c r="CU768" s="119"/>
      <c r="CV768" s="119"/>
      <c r="CW768" s="119"/>
      <c r="CX768" s="120"/>
      <c r="CY768" s="120"/>
      <c r="CZ768" s="120"/>
      <c r="DA768" s="120"/>
      <c r="DB768" s="120"/>
      <c r="DC768" s="120"/>
      <c r="DD768" s="120"/>
      <c r="DE768" s="120"/>
      <c r="DF768" s="120"/>
      <c r="DG768" s="2"/>
      <c r="DH768" s="2"/>
      <c r="DI768" s="2"/>
      <c r="DJ768" s="48"/>
      <c r="DK768" s="48"/>
      <c r="DL768" s="48"/>
      <c r="DM768" s="13"/>
      <c r="DN768" s="13"/>
      <c r="DO768" s="12"/>
      <c r="DP768" s="12"/>
      <c r="DQ768" s="12"/>
      <c r="DR768" s="12"/>
      <c r="DS768" s="12"/>
      <c r="DT768" s="2"/>
      <c r="DU768" s="2"/>
      <c r="DV768" s="12"/>
      <c r="DW768" s="12"/>
      <c r="DX768" s="2"/>
      <c r="DY768" s="2"/>
      <c r="DZ768" s="12"/>
      <c r="EA768" s="12"/>
      <c r="EB768" s="12"/>
      <c r="EC768" s="12"/>
      <c r="ED768" s="12"/>
    </row>
    <row r="769" spans="1:134" ht="12.5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12"/>
      <c r="AC769" s="12"/>
      <c r="AD769" s="12"/>
      <c r="AE769" s="2"/>
      <c r="AF769" s="2"/>
      <c r="AG769" s="2"/>
      <c r="AH769" s="2"/>
      <c r="AI769" s="2"/>
      <c r="AJ769" s="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2"/>
      <c r="AY769" s="2"/>
      <c r="AZ769" s="2"/>
      <c r="BA769" s="2"/>
      <c r="BB769" s="2"/>
      <c r="BC769" s="2"/>
      <c r="BD769" s="2"/>
      <c r="BE769" s="2"/>
      <c r="BF769" s="12"/>
      <c r="BG769" s="1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152"/>
      <c r="BV769" s="155"/>
      <c r="BW769" s="12"/>
      <c r="BX769" s="12"/>
      <c r="BY769" s="12"/>
      <c r="BZ769" s="12"/>
      <c r="CA769" s="12"/>
      <c r="CB769" s="12"/>
      <c r="CC769" s="12"/>
      <c r="CD769" s="12"/>
      <c r="CE769" s="12"/>
      <c r="CF769" s="12"/>
      <c r="CG769" s="12"/>
      <c r="CH769" s="12"/>
      <c r="CI769" s="12"/>
      <c r="CJ769" s="12"/>
      <c r="CK769" s="12"/>
      <c r="CL769" s="12"/>
      <c r="CM769" s="12"/>
      <c r="CN769" s="12"/>
      <c r="CO769" s="12"/>
      <c r="CP769" s="12"/>
      <c r="CQ769" s="46"/>
      <c r="CR769" s="46"/>
      <c r="CS769" s="46"/>
      <c r="CT769" s="119"/>
      <c r="CU769" s="119"/>
      <c r="CV769" s="119"/>
      <c r="CW769" s="119"/>
      <c r="CX769" s="120"/>
      <c r="CY769" s="120"/>
      <c r="CZ769" s="120"/>
      <c r="DA769" s="120"/>
      <c r="DB769" s="120"/>
      <c r="DC769" s="120"/>
      <c r="DD769" s="120"/>
      <c r="DE769" s="120"/>
      <c r="DF769" s="120"/>
      <c r="DG769" s="2"/>
      <c r="DH769" s="2"/>
      <c r="DI769" s="2"/>
      <c r="DJ769" s="48"/>
      <c r="DK769" s="48"/>
      <c r="DL769" s="48"/>
      <c r="DM769" s="13"/>
      <c r="DN769" s="13"/>
      <c r="DO769" s="12"/>
      <c r="DP769" s="12"/>
      <c r="DQ769" s="12"/>
      <c r="DR769" s="12"/>
      <c r="DS769" s="12"/>
      <c r="DT769" s="2"/>
      <c r="DU769" s="2"/>
      <c r="DV769" s="12"/>
      <c r="DW769" s="12"/>
      <c r="DX769" s="2"/>
      <c r="DY769" s="2"/>
      <c r="DZ769" s="12"/>
      <c r="EA769" s="12"/>
      <c r="EB769" s="12"/>
      <c r="EC769" s="12"/>
      <c r="ED769" s="12"/>
    </row>
    <row r="770" spans="1:134" ht="12.5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12"/>
      <c r="AC770" s="12"/>
      <c r="AD770" s="12"/>
      <c r="AE770" s="2"/>
      <c r="AF770" s="2"/>
      <c r="AG770" s="2"/>
      <c r="AH770" s="2"/>
      <c r="AI770" s="2"/>
      <c r="AJ770" s="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2"/>
      <c r="AY770" s="2"/>
      <c r="AZ770" s="2"/>
      <c r="BA770" s="2"/>
      <c r="BB770" s="2"/>
      <c r="BC770" s="2"/>
      <c r="BD770" s="2"/>
      <c r="BE770" s="2"/>
      <c r="BF770" s="12"/>
      <c r="BG770" s="1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152"/>
      <c r="BV770" s="155"/>
      <c r="BW770" s="12"/>
      <c r="BX770" s="12"/>
      <c r="BY770" s="12"/>
      <c r="BZ770" s="12"/>
      <c r="CA770" s="12"/>
      <c r="CB770" s="12"/>
      <c r="CC770" s="12"/>
      <c r="CD770" s="12"/>
      <c r="CE770" s="12"/>
      <c r="CF770" s="12"/>
      <c r="CG770" s="12"/>
      <c r="CH770" s="12"/>
      <c r="CI770" s="12"/>
      <c r="CJ770" s="12"/>
      <c r="CK770" s="12"/>
      <c r="CL770" s="12"/>
      <c r="CM770" s="12"/>
      <c r="CN770" s="12"/>
      <c r="CO770" s="12"/>
      <c r="CP770" s="12"/>
      <c r="CQ770" s="46"/>
      <c r="CR770" s="46"/>
      <c r="CS770" s="46"/>
      <c r="CT770" s="119"/>
      <c r="CU770" s="119"/>
      <c r="CV770" s="119"/>
      <c r="CW770" s="119"/>
      <c r="CX770" s="120"/>
      <c r="CY770" s="120"/>
      <c r="CZ770" s="120"/>
      <c r="DA770" s="120"/>
      <c r="DB770" s="120"/>
      <c r="DC770" s="120"/>
      <c r="DD770" s="120"/>
      <c r="DE770" s="120"/>
      <c r="DF770" s="120"/>
      <c r="DG770" s="2"/>
      <c r="DH770" s="2"/>
      <c r="DI770" s="2"/>
      <c r="DJ770" s="48"/>
      <c r="DK770" s="48"/>
      <c r="DL770" s="48"/>
      <c r="DM770" s="13"/>
      <c r="DN770" s="13"/>
      <c r="DO770" s="12"/>
      <c r="DP770" s="12"/>
      <c r="DQ770" s="12"/>
      <c r="DR770" s="12"/>
      <c r="DS770" s="12"/>
      <c r="DT770" s="2"/>
      <c r="DU770" s="2"/>
      <c r="DV770" s="12"/>
      <c r="DW770" s="12"/>
      <c r="DX770" s="2"/>
      <c r="DY770" s="2"/>
      <c r="DZ770" s="12"/>
      <c r="EA770" s="12"/>
      <c r="EB770" s="12"/>
      <c r="EC770" s="12"/>
      <c r="ED770" s="12"/>
    </row>
    <row r="771" spans="1:134" ht="12.5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12"/>
      <c r="AC771" s="12"/>
      <c r="AD771" s="12"/>
      <c r="AE771" s="2"/>
      <c r="AF771" s="2"/>
      <c r="AG771" s="2"/>
      <c r="AH771" s="2"/>
      <c r="AI771" s="2"/>
      <c r="AJ771" s="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2"/>
      <c r="AY771" s="2"/>
      <c r="AZ771" s="2"/>
      <c r="BA771" s="2"/>
      <c r="BB771" s="2"/>
      <c r="BC771" s="2"/>
      <c r="BD771" s="2"/>
      <c r="BE771" s="2"/>
      <c r="BF771" s="12"/>
      <c r="BG771" s="1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152"/>
      <c r="BV771" s="155"/>
      <c r="BW771" s="12"/>
      <c r="BX771" s="12"/>
      <c r="BY771" s="12"/>
      <c r="BZ771" s="12"/>
      <c r="CA771" s="12"/>
      <c r="CB771" s="12"/>
      <c r="CC771" s="12"/>
      <c r="CD771" s="12"/>
      <c r="CE771" s="12"/>
      <c r="CF771" s="12"/>
      <c r="CG771" s="12"/>
      <c r="CH771" s="12"/>
      <c r="CI771" s="12"/>
      <c r="CJ771" s="12"/>
      <c r="CK771" s="12"/>
      <c r="CL771" s="12"/>
      <c r="CM771" s="12"/>
      <c r="CN771" s="12"/>
      <c r="CO771" s="12"/>
      <c r="CP771" s="12"/>
      <c r="CQ771" s="46"/>
      <c r="CR771" s="46"/>
      <c r="CS771" s="46"/>
      <c r="CT771" s="119"/>
      <c r="CU771" s="119"/>
      <c r="CV771" s="119"/>
      <c r="CW771" s="119"/>
      <c r="CX771" s="120"/>
      <c r="CY771" s="120"/>
      <c r="CZ771" s="120"/>
      <c r="DA771" s="120"/>
      <c r="DB771" s="120"/>
      <c r="DC771" s="120"/>
      <c r="DD771" s="120"/>
      <c r="DE771" s="120"/>
      <c r="DF771" s="120"/>
      <c r="DG771" s="2"/>
      <c r="DH771" s="2"/>
      <c r="DI771" s="2"/>
      <c r="DJ771" s="48"/>
      <c r="DK771" s="48"/>
      <c r="DL771" s="48"/>
      <c r="DM771" s="13"/>
      <c r="DN771" s="13"/>
      <c r="DO771" s="12"/>
      <c r="DP771" s="12"/>
      <c r="DQ771" s="12"/>
      <c r="DR771" s="12"/>
      <c r="DS771" s="12"/>
      <c r="DT771" s="2"/>
      <c r="DU771" s="2"/>
      <c r="DV771" s="12"/>
      <c r="DW771" s="12"/>
      <c r="DX771" s="2"/>
      <c r="DY771" s="2"/>
      <c r="DZ771" s="12"/>
      <c r="EA771" s="12"/>
      <c r="EB771" s="12"/>
      <c r="EC771" s="12"/>
      <c r="ED771" s="12"/>
    </row>
    <row r="772" spans="1:134" ht="12.5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12"/>
      <c r="AC772" s="12"/>
      <c r="AD772" s="12"/>
      <c r="AE772" s="2"/>
      <c r="AF772" s="2"/>
      <c r="AG772" s="2"/>
      <c r="AH772" s="2"/>
      <c r="AI772" s="2"/>
      <c r="AJ772" s="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2"/>
      <c r="AY772" s="2"/>
      <c r="AZ772" s="2"/>
      <c r="BA772" s="2"/>
      <c r="BB772" s="2"/>
      <c r="BC772" s="2"/>
      <c r="BD772" s="2"/>
      <c r="BE772" s="2"/>
      <c r="BF772" s="12"/>
      <c r="BG772" s="1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152"/>
      <c r="BV772" s="155"/>
      <c r="BW772" s="12"/>
      <c r="BX772" s="12"/>
      <c r="BY772" s="12"/>
      <c r="BZ772" s="12"/>
      <c r="CA772" s="12"/>
      <c r="CB772" s="12"/>
      <c r="CC772" s="12"/>
      <c r="CD772" s="12"/>
      <c r="CE772" s="12"/>
      <c r="CF772" s="12"/>
      <c r="CG772" s="12"/>
      <c r="CH772" s="12"/>
      <c r="CI772" s="12"/>
      <c r="CJ772" s="12"/>
      <c r="CK772" s="12"/>
      <c r="CL772" s="12"/>
      <c r="CM772" s="12"/>
      <c r="CN772" s="12"/>
      <c r="CO772" s="12"/>
      <c r="CP772" s="12"/>
      <c r="CQ772" s="46"/>
      <c r="CR772" s="46"/>
      <c r="CS772" s="46"/>
      <c r="CT772" s="119"/>
      <c r="CU772" s="119"/>
      <c r="CV772" s="119"/>
      <c r="CW772" s="119"/>
      <c r="CX772" s="120"/>
      <c r="CY772" s="120"/>
      <c r="CZ772" s="120"/>
      <c r="DA772" s="120"/>
      <c r="DB772" s="120"/>
      <c r="DC772" s="120"/>
      <c r="DD772" s="120"/>
      <c r="DE772" s="120"/>
      <c r="DF772" s="120"/>
      <c r="DG772" s="2"/>
      <c r="DH772" s="2"/>
      <c r="DI772" s="2"/>
      <c r="DJ772" s="48"/>
      <c r="DK772" s="48"/>
      <c r="DL772" s="48"/>
      <c r="DM772" s="13"/>
      <c r="DN772" s="13"/>
      <c r="DO772" s="12"/>
      <c r="DP772" s="12"/>
      <c r="DQ772" s="12"/>
      <c r="DR772" s="12"/>
      <c r="DS772" s="12"/>
      <c r="DT772" s="2"/>
      <c r="DU772" s="2"/>
      <c r="DV772" s="12"/>
      <c r="DW772" s="12"/>
      <c r="DX772" s="2"/>
      <c r="DY772" s="2"/>
      <c r="DZ772" s="12"/>
      <c r="EA772" s="12"/>
      <c r="EB772" s="12"/>
      <c r="EC772" s="12"/>
      <c r="ED772" s="12"/>
    </row>
    <row r="773" spans="1:134" ht="12.5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12"/>
      <c r="AC773" s="12"/>
      <c r="AD773" s="12"/>
      <c r="AE773" s="2"/>
      <c r="AF773" s="2"/>
      <c r="AG773" s="2"/>
      <c r="AH773" s="2"/>
      <c r="AI773" s="2"/>
      <c r="AJ773" s="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2"/>
      <c r="AY773" s="2"/>
      <c r="AZ773" s="2"/>
      <c r="BA773" s="2"/>
      <c r="BB773" s="2"/>
      <c r="BC773" s="2"/>
      <c r="BD773" s="2"/>
      <c r="BE773" s="2"/>
      <c r="BF773" s="12"/>
      <c r="BG773" s="1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152"/>
      <c r="BV773" s="155"/>
      <c r="BW773" s="12"/>
      <c r="BX773" s="12"/>
      <c r="BY773" s="12"/>
      <c r="BZ773" s="12"/>
      <c r="CA773" s="12"/>
      <c r="CB773" s="12"/>
      <c r="CC773" s="12"/>
      <c r="CD773" s="12"/>
      <c r="CE773" s="12"/>
      <c r="CF773" s="12"/>
      <c r="CG773" s="12"/>
      <c r="CH773" s="12"/>
      <c r="CI773" s="12"/>
      <c r="CJ773" s="12"/>
      <c r="CK773" s="12"/>
      <c r="CL773" s="12"/>
      <c r="CM773" s="12"/>
      <c r="CN773" s="12"/>
      <c r="CO773" s="12"/>
      <c r="CP773" s="12"/>
      <c r="CQ773" s="46"/>
      <c r="CR773" s="46"/>
      <c r="CS773" s="46"/>
      <c r="CT773" s="119"/>
      <c r="CU773" s="119"/>
      <c r="CV773" s="119"/>
      <c r="CW773" s="119"/>
      <c r="CX773" s="120"/>
      <c r="CY773" s="120"/>
      <c r="CZ773" s="120"/>
      <c r="DA773" s="120"/>
      <c r="DB773" s="120"/>
      <c r="DC773" s="120"/>
      <c r="DD773" s="120"/>
      <c r="DE773" s="120"/>
      <c r="DF773" s="120"/>
      <c r="DG773" s="2"/>
      <c r="DH773" s="2"/>
      <c r="DI773" s="2"/>
      <c r="DJ773" s="48"/>
      <c r="DK773" s="48"/>
      <c r="DL773" s="48"/>
      <c r="DM773" s="13"/>
      <c r="DN773" s="13"/>
      <c r="DO773" s="12"/>
      <c r="DP773" s="12"/>
      <c r="DQ773" s="12"/>
      <c r="DR773" s="12"/>
      <c r="DS773" s="12"/>
      <c r="DT773" s="2"/>
      <c r="DU773" s="2"/>
      <c r="DV773" s="12"/>
      <c r="DW773" s="12"/>
      <c r="DX773" s="2"/>
      <c r="DY773" s="2"/>
      <c r="DZ773" s="12"/>
      <c r="EA773" s="12"/>
      <c r="EB773" s="12"/>
      <c r="EC773" s="12"/>
      <c r="ED773" s="12"/>
    </row>
    <row r="774" spans="1:134" ht="12.5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12"/>
      <c r="AC774" s="12"/>
      <c r="AD774" s="12"/>
      <c r="AE774" s="2"/>
      <c r="AF774" s="2"/>
      <c r="AG774" s="2"/>
      <c r="AH774" s="2"/>
      <c r="AI774" s="2"/>
      <c r="AJ774" s="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2"/>
      <c r="AY774" s="2"/>
      <c r="AZ774" s="2"/>
      <c r="BA774" s="2"/>
      <c r="BB774" s="2"/>
      <c r="BC774" s="2"/>
      <c r="BD774" s="2"/>
      <c r="BE774" s="2"/>
      <c r="BF774" s="12"/>
      <c r="BG774" s="1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152"/>
      <c r="BV774" s="155"/>
      <c r="BW774" s="12"/>
      <c r="BX774" s="12"/>
      <c r="BY774" s="12"/>
      <c r="BZ774" s="12"/>
      <c r="CA774" s="12"/>
      <c r="CB774" s="12"/>
      <c r="CC774" s="12"/>
      <c r="CD774" s="12"/>
      <c r="CE774" s="12"/>
      <c r="CF774" s="12"/>
      <c r="CG774" s="12"/>
      <c r="CH774" s="12"/>
      <c r="CI774" s="12"/>
      <c r="CJ774" s="12"/>
      <c r="CK774" s="12"/>
      <c r="CL774" s="12"/>
      <c r="CM774" s="12"/>
      <c r="CN774" s="12"/>
      <c r="CO774" s="12"/>
      <c r="CP774" s="12"/>
      <c r="CQ774" s="46"/>
      <c r="CR774" s="46"/>
      <c r="CS774" s="46"/>
      <c r="CT774" s="119"/>
      <c r="CU774" s="119"/>
      <c r="CV774" s="119"/>
      <c r="CW774" s="119"/>
      <c r="CX774" s="120"/>
      <c r="CY774" s="120"/>
      <c r="CZ774" s="120"/>
      <c r="DA774" s="120"/>
      <c r="DB774" s="120"/>
      <c r="DC774" s="120"/>
      <c r="DD774" s="120"/>
      <c r="DE774" s="120"/>
      <c r="DF774" s="120"/>
      <c r="DG774" s="2"/>
      <c r="DH774" s="2"/>
      <c r="DI774" s="2"/>
      <c r="DJ774" s="48"/>
      <c r="DK774" s="48"/>
      <c r="DL774" s="48"/>
      <c r="DM774" s="13"/>
      <c r="DN774" s="13"/>
      <c r="DO774" s="12"/>
      <c r="DP774" s="12"/>
      <c r="DQ774" s="12"/>
      <c r="DR774" s="12"/>
      <c r="DS774" s="12"/>
      <c r="DT774" s="2"/>
      <c r="DU774" s="2"/>
      <c r="DV774" s="12"/>
      <c r="DW774" s="12"/>
      <c r="DX774" s="2"/>
      <c r="DY774" s="2"/>
      <c r="DZ774" s="12"/>
      <c r="EA774" s="12"/>
      <c r="EB774" s="12"/>
      <c r="EC774" s="12"/>
      <c r="ED774" s="12"/>
    </row>
    <row r="775" spans="1:134" ht="12.5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12"/>
      <c r="AC775" s="12"/>
      <c r="AD775" s="12"/>
      <c r="AE775" s="2"/>
      <c r="AF775" s="2"/>
      <c r="AG775" s="2"/>
      <c r="AH775" s="2"/>
      <c r="AI775" s="2"/>
      <c r="AJ775" s="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2"/>
      <c r="AY775" s="2"/>
      <c r="AZ775" s="2"/>
      <c r="BA775" s="2"/>
      <c r="BB775" s="2"/>
      <c r="BC775" s="2"/>
      <c r="BD775" s="2"/>
      <c r="BE775" s="2"/>
      <c r="BF775" s="12"/>
      <c r="BG775" s="1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152"/>
      <c r="BV775" s="155"/>
      <c r="BW775" s="12"/>
      <c r="BX775" s="12"/>
      <c r="BY775" s="12"/>
      <c r="BZ775" s="12"/>
      <c r="CA775" s="12"/>
      <c r="CB775" s="12"/>
      <c r="CC775" s="12"/>
      <c r="CD775" s="12"/>
      <c r="CE775" s="12"/>
      <c r="CF775" s="12"/>
      <c r="CG775" s="12"/>
      <c r="CH775" s="12"/>
      <c r="CI775" s="12"/>
      <c r="CJ775" s="12"/>
      <c r="CK775" s="12"/>
      <c r="CL775" s="12"/>
      <c r="CM775" s="12"/>
      <c r="CN775" s="12"/>
      <c r="CO775" s="12"/>
      <c r="CP775" s="12"/>
      <c r="CQ775" s="46"/>
      <c r="CR775" s="46"/>
      <c r="CS775" s="46"/>
      <c r="CT775" s="119"/>
      <c r="CU775" s="119"/>
      <c r="CV775" s="119"/>
      <c r="CW775" s="119"/>
      <c r="CX775" s="120"/>
      <c r="CY775" s="120"/>
      <c r="CZ775" s="120"/>
      <c r="DA775" s="120"/>
      <c r="DB775" s="120"/>
      <c r="DC775" s="120"/>
      <c r="DD775" s="120"/>
      <c r="DE775" s="120"/>
      <c r="DF775" s="120"/>
      <c r="DG775" s="2"/>
      <c r="DH775" s="2"/>
      <c r="DI775" s="2"/>
      <c r="DJ775" s="48"/>
      <c r="DK775" s="48"/>
      <c r="DL775" s="48"/>
      <c r="DM775" s="13"/>
      <c r="DN775" s="13"/>
      <c r="DO775" s="12"/>
      <c r="DP775" s="12"/>
      <c r="DQ775" s="12"/>
      <c r="DR775" s="12"/>
      <c r="DS775" s="12"/>
      <c r="DT775" s="2"/>
      <c r="DU775" s="2"/>
      <c r="DV775" s="12"/>
      <c r="DW775" s="12"/>
      <c r="DX775" s="2"/>
      <c r="DY775" s="2"/>
      <c r="DZ775" s="12"/>
      <c r="EA775" s="12"/>
      <c r="EB775" s="12"/>
      <c r="EC775" s="12"/>
      <c r="ED775" s="12"/>
    </row>
    <row r="776" spans="1:134" ht="12.5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12"/>
      <c r="AC776" s="12"/>
      <c r="AD776" s="12"/>
      <c r="AE776" s="2"/>
      <c r="AF776" s="2"/>
      <c r="AG776" s="2"/>
      <c r="AH776" s="2"/>
      <c r="AI776" s="2"/>
      <c r="AJ776" s="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2"/>
      <c r="AY776" s="2"/>
      <c r="AZ776" s="2"/>
      <c r="BA776" s="2"/>
      <c r="BB776" s="2"/>
      <c r="BC776" s="2"/>
      <c r="BD776" s="2"/>
      <c r="BE776" s="2"/>
      <c r="BF776" s="12"/>
      <c r="BG776" s="1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152"/>
      <c r="BV776" s="155"/>
      <c r="BW776" s="12"/>
      <c r="BX776" s="12"/>
      <c r="BY776" s="12"/>
      <c r="BZ776" s="12"/>
      <c r="CA776" s="12"/>
      <c r="CB776" s="12"/>
      <c r="CC776" s="12"/>
      <c r="CD776" s="12"/>
      <c r="CE776" s="12"/>
      <c r="CF776" s="12"/>
      <c r="CG776" s="12"/>
      <c r="CH776" s="12"/>
      <c r="CI776" s="12"/>
      <c r="CJ776" s="12"/>
      <c r="CK776" s="12"/>
      <c r="CL776" s="12"/>
      <c r="CM776" s="12"/>
      <c r="CN776" s="12"/>
      <c r="CO776" s="12"/>
      <c r="CP776" s="12"/>
      <c r="CQ776" s="46"/>
      <c r="CR776" s="46"/>
      <c r="CS776" s="46"/>
      <c r="CT776" s="119"/>
      <c r="CU776" s="119"/>
      <c r="CV776" s="119"/>
      <c r="CW776" s="119"/>
      <c r="CX776" s="120"/>
      <c r="CY776" s="120"/>
      <c r="CZ776" s="120"/>
      <c r="DA776" s="120"/>
      <c r="DB776" s="120"/>
      <c r="DC776" s="120"/>
      <c r="DD776" s="120"/>
      <c r="DE776" s="120"/>
      <c r="DF776" s="120"/>
      <c r="DG776" s="2"/>
      <c r="DH776" s="2"/>
      <c r="DI776" s="2"/>
      <c r="DJ776" s="48"/>
      <c r="DK776" s="48"/>
      <c r="DL776" s="48"/>
      <c r="DM776" s="13"/>
      <c r="DN776" s="13"/>
      <c r="DO776" s="12"/>
      <c r="DP776" s="12"/>
      <c r="DQ776" s="12"/>
      <c r="DR776" s="12"/>
      <c r="DS776" s="12"/>
      <c r="DT776" s="2"/>
      <c r="DU776" s="2"/>
      <c r="DV776" s="12"/>
      <c r="DW776" s="12"/>
      <c r="DX776" s="2"/>
      <c r="DY776" s="2"/>
      <c r="DZ776" s="12"/>
      <c r="EA776" s="12"/>
      <c r="EB776" s="12"/>
      <c r="EC776" s="12"/>
      <c r="ED776" s="12"/>
    </row>
    <row r="777" spans="1:134" ht="12.5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12"/>
      <c r="AC777" s="12"/>
      <c r="AD777" s="12"/>
      <c r="AE777" s="2"/>
      <c r="AF777" s="2"/>
      <c r="AG777" s="2"/>
      <c r="AH777" s="2"/>
      <c r="AI777" s="2"/>
      <c r="AJ777" s="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2"/>
      <c r="AY777" s="2"/>
      <c r="AZ777" s="2"/>
      <c r="BA777" s="2"/>
      <c r="BB777" s="2"/>
      <c r="BC777" s="2"/>
      <c r="BD777" s="2"/>
      <c r="BE777" s="2"/>
      <c r="BF777" s="12"/>
      <c r="BG777" s="1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152"/>
      <c r="BV777" s="155"/>
      <c r="BW777" s="12"/>
      <c r="BX777" s="12"/>
      <c r="BY777" s="12"/>
      <c r="BZ777" s="12"/>
      <c r="CA777" s="12"/>
      <c r="CB777" s="12"/>
      <c r="CC777" s="12"/>
      <c r="CD777" s="12"/>
      <c r="CE777" s="12"/>
      <c r="CF777" s="12"/>
      <c r="CG777" s="12"/>
      <c r="CH777" s="12"/>
      <c r="CI777" s="12"/>
      <c r="CJ777" s="12"/>
      <c r="CK777" s="12"/>
      <c r="CL777" s="12"/>
      <c r="CM777" s="12"/>
      <c r="CN777" s="12"/>
      <c r="CO777" s="12"/>
      <c r="CP777" s="12"/>
      <c r="CQ777" s="46"/>
      <c r="CR777" s="46"/>
      <c r="CS777" s="46"/>
      <c r="CT777" s="119"/>
      <c r="CU777" s="119"/>
      <c r="CV777" s="119"/>
      <c r="CW777" s="119"/>
      <c r="CX777" s="120"/>
      <c r="CY777" s="120"/>
      <c r="CZ777" s="120"/>
      <c r="DA777" s="120"/>
      <c r="DB777" s="120"/>
      <c r="DC777" s="120"/>
      <c r="DD777" s="120"/>
      <c r="DE777" s="120"/>
      <c r="DF777" s="120"/>
      <c r="DG777" s="2"/>
      <c r="DH777" s="2"/>
      <c r="DI777" s="2"/>
      <c r="DJ777" s="48"/>
      <c r="DK777" s="48"/>
      <c r="DL777" s="48"/>
      <c r="DM777" s="13"/>
      <c r="DN777" s="13"/>
      <c r="DO777" s="12"/>
      <c r="DP777" s="12"/>
      <c r="DQ777" s="12"/>
      <c r="DR777" s="12"/>
      <c r="DS777" s="12"/>
      <c r="DT777" s="2"/>
      <c r="DU777" s="2"/>
      <c r="DV777" s="12"/>
      <c r="DW777" s="12"/>
      <c r="DX777" s="2"/>
      <c r="DY777" s="2"/>
      <c r="DZ777" s="12"/>
      <c r="EA777" s="12"/>
      <c r="EB777" s="12"/>
      <c r="EC777" s="12"/>
      <c r="ED777" s="12"/>
    </row>
    <row r="778" spans="1:134" ht="12.5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12"/>
      <c r="AC778" s="12"/>
      <c r="AD778" s="12"/>
      <c r="AE778" s="2"/>
      <c r="AF778" s="2"/>
      <c r="AG778" s="2"/>
      <c r="AH778" s="2"/>
      <c r="AI778" s="2"/>
      <c r="AJ778" s="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2"/>
      <c r="AY778" s="2"/>
      <c r="AZ778" s="2"/>
      <c r="BA778" s="2"/>
      <c r="BB778" s="2"/>
      <c r="BC778" s="2"/>
      <c r="BD778" s="2"/>
      <c r="BE778" s="2"/>
      <c r="BF778" s="12"/>
      <c r="BG778" s="1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152"/>
      <c r="BV778" s="155"/>
      <c r="BW778" s="12"/>
      <c r="BX778" s="12"/>
      <c r="BY778" s="12"/>
      <c r="BZ778" s="12"/>
      <c r="CA778" s="12"/>
      <c r="CB778" s="12"/>
      <c r="CC778" s="12"/>
      <c r="CD778" s="12"/>
      <c r="CE778" s="12"/>
      <c r="CF778" s="12"/>
      <c r="CG778" s="12"/>
      <c r="CH778" s="12"/>
      <c r="CI778" s="12"/>
      <c r="CJ778" s="12"/>
      <c r="CK778" s="12"/>
      <c r="CL778" s="12"/>
      <c r="CM778" s="12"/>
      <c r="CN778" s="12"/>
      <c r="CO778" s="12"/>
      <c r="CP778" s="12"/>
      <c r="CQ778" s="46"/>
      <c r="CR778" s="46"/>
      <c r="CS778" s="46"/>
      <c r="CT778" s="119"/>
      <c r="CU778" s="119"/>
      <c r="CV778" s="119"/>
      <c r="CW778" s="119"/>
      <c r="CX778" s="120"/>
      <c r="CY778" s="120"/>
      <c r="CZ778" s="120"/>
      <c r="DA778" s="120"/>
      <c r="DB778" s="120"/>
      <c r="DC778" s="120"/>
      <c r="DD778" s="120"/>
      <c r="DE778" s="120"/>
      <c r="DF778" s="120"/>
      <c r="DG778" s="2"/>
      <c r="DH778" s="2"/>
      <c r="DI778" s="2"/>
      <c r="DJ778" s="48"/>
      <c r="DK778" s="48"/>
      <c r="DL778" s="48"/>
      <c r="DM778" s="13"/>
      <c r="DN778" s="13"/>
      <c r="DO778" s="12"/>
      <c r="DP778" s="12"/>
      <c r="DQ778" s="12"/>
      <c r="DR778" s="12"/>
      <c r="DS778" s="12"/>
      <c r="DT778" s="2"/>
      <c r="DU778" s="2"/>
      <c r="DV778" s="12"/>
      <c r="DW778" s="12"/>
      <c r="DX778" s="2"/>
      <c r="DY778" s="2"/>
      <c r="DZ778" s="12"/>
      <c r="EA778" s="12"/>
      <c r="EB778" s="12"/>
      <c r="EC778" s="12"/>
      <c r="ED778" s="12"/>
    </row>
    <row r="779" spans="1:134" ht="12.5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12"/>
      <c r="AC779" s="12"/>
      <c r="AD779" s="12"/>
      <c r="AE779" s="2"/>
      <c r="AF779" s="2"/>
      <c r="AG779" s="2"/>
      <c r="AH779" s="2"/>
      <c r="AI779" s="2"/>
      <c r="AJ779" s="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2"/>
      <c r="AY779" s="2"/>
      <c r="AZ779" s="2"/>
      <c r="BA779" s="2"/>
      <c r="BB779" s="2"/>
      <c r="BC779" s="2"/>
      <c r="BD779" s="2"/>
      <c r="BE779" s="2"/>
      <c r="BF779" s="12"/>
      <c r="BG779" s="1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152"/>
      <c r="BV779" s="155"/>
      <c r="BW779" s="12"/>
      <c r="BX779" s="12"/>
      <c r="BY779" s="12"/>
      <c r="BZ779" s="12"/>
      <c r="CA779" s="12"/>
      <c r="CB779" s="12"/>
      <c r="CC779" s="12"/>
      <c r="CD779" s="12"/>
      <c r="CE779" s="12"/>
      <c r="CF779" s="12"/>
      <c r="CG779" s="12"/>
      <c r="CH779" s="12"/>
      <c r="CI779" s="12"/>
      <c r="CJ779" s="12"/>
      <c r="CK779" s="12"/>
      <c r="CL779" s="12"/>
      <c r="CM779" s="12"/>
      <c r="CN779" s="12"/>
      <c r="CO779" s="12"/>
      <c r="CP779" s="12"/>
      <c r="CQ779" s="46"/>
      <c r="CR779" s="46"/>
      <c r="CS779" s="46"/>
      <c r="CT779" s="119"/>
      <c r="CU779" s="119"/>
      <c r="CV779" s="119"/>
      <c r="CW779" s="119"/>
      <c r="CX779" s="120"/>
      <c r="CY779" s="120"/>
      <c r="CZ779" s="120"/>
      <c r="DA779" s="120"/>
      <c r="DB779" s="120"/>
      <c r="DC779" s="120"/>
      <c r="DD779" s="120"/>
      <c r="DE779" s="120"/>
      <c r="DF779" s="120"/>
      <c r="DG779" s="2"/>
      <c r="DH779" s="2"/>
      <c r="DI779" s="2"/>
      <c r="DJ779" s="48"/>
      <c r="DK779" s="48"/>
      <c r="DL779" s="48"/>
      <c r="DM779" s="13"/>
      <c r="DN779" s="13"/>
      <c r="DO779" s="12"/>
      <c r="DP779" s="12"/>
      <c r="DQ779" s="12"/>
      <c r="DR779" s="12"/>
      <c r="DS779" s="12"/>
      <c r="DT779" s="2"/>
      <c r="DU779" s="2"/>
      <c r="DV779" s="12"/>
      <c r="DW779" s="12"/>
      <c r="DX779" s="2"/>
      <c r="DY779" s="2"/>
      <c r="DZ779" s="12"/>
      <c r="EA779" s="12"/>
      <c r="EB779" s="12"/>
      <c r="EC779" s="12"/>
      <c r="ED779" s="12"/>
    </row>
    <row r="780" spans="1:134" ht="12.5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12"/>
      <c r="AC780" s="12"/>
      <c r="AD780" s="12"/>
      <c r="AE780" s="2"/>
      <c r="AF780" s="2"/>
      <c r="AG780" s="2"/>
      <c r="AH780" s="2"/>
      <c r="AI780" s="2"/>
      <c r="AJ780" s="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2"/>
      <c r="AY780" s="2"/>
      <c r="AZ780" s="2"/>
      <c r="BA780" s="2"/>
      <c r="BB780" s="2"/>
      <c r="BC780" s="2"/>
      <c r="BD780" s="2"/>
      <c r="BE780" s="2"/>
      <c r="BF780" s="12"/>
      <c r="BG780" s="1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152"/>
      <c r="BV780" s="155"/>
      <c r="BW780" s="12"/>
      <c r="BX780" s="12"/>
      <c r="BY780" s="12"/>
      <c r="BZ780" s="12"/>
      <c r="CA780" s="12"/>
      <c r="CB780" s="12"/>
      <c r="CC780" s="12"/>
      <c r="CD780" s="12"/>
      <c r="CE780" s="12"/>
      <c r="CF780" s="12"/>
      <c r="CG780" s="12"/>
      <c r="CH780" s="12"/>
      <c r="CI780" s="12"/>
      <c r="CJ780" s="12"/>
      <c r="CK780" s="12"/>
      <c r="CL780" s="12"/>
      <c r="CM780" s="12"/>
      <c r="CN780" s="12"/>
      <c r="CO780" s="12"/>
      <c r="CP780" s="12"/>
      <c r="CQ780" s="46"/>
      <c r="CR780" s="46"/>
      <c r="CS780" s="46"/>
      <c r="CT780" s="119"/>
      <c r="CU780" s="119"/>
      <c r="CV780" s="119"/>
      <c r="CW780" s="119"/>
      <c r="CX780" s="120"/>
      <c r="CY780" s="120"/>
      <c r="CZ780" s="120"/>
      <c r="DA780" s="120"/>
      <c r="DB780" s="120"/>
      <c r="DC780" s="120"/>
      <c r="DD780" s="120"/>
      <c r="DE780" s="120"/>
      <c r="DF780" s="120"/>
      <c r="DG780" s="2"/>
      <c r="DH780" s="2"/>
      <c r="DI780" s="2"/>
      <c r="DJ780" s="48"/>
      <c r="DK780" s="48"/>
      <c r="DL780" s="48"/>
      <c r="DM780" s="13"/>
      <c r="DN780" s="13"/>
      <c r="DO780" s="12"/>
      <c r="DP780" s="12"/>
      <c r="DQ780" s="12"/>
      <c r="DR780" s="12"/>
      <c r="DS780" s="12"/>
      <c r="DT780" s="2"/>
      <c r="DU780" s="2"/>
      <c r="DV780" s="12"/>
      <c r="DW780" s="12"/>
      <c r="DX780" s="2"/>
      <c r="DY780" s="2"/>
      <c r="DZ780" s="12"/>
      <c r="EA780" s="12"/>
      <c r="EB780" s="12"/>
      <c r="EC780" s="12"/>
      <c r="ED780" s="12"/>
    </row>
    <row r="781" spans="1:134" ht="12.5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12"/>
      <c r="AC781" s="12"/>
      <c r="AD781" s="12"/>
      <c r="AE781" s="2"/>
      <c r="AF781" s="2"/>
      <c r="AG781" s="2"/>
      <c r="AH781" s="2"/>
      <c r="AI781" s="2"/>
      <c r="AJ781" s="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2"/>
      <c r="AY781" s="2"/>
      <c r="AZ781" s="2"/>
      <c r="BA781" s="2"/>
      <c r="BB781" s="2"/>
      <c r="BC781" s="2"/>
      <c r="BD781" s="2"/>
      <c r="BE781" s="2"/>
      <c r="BF781" s="12"/>
      <c r="BG781" s="1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152"/>
      <c r="BV781" s="155"/>
      <c r="BW781" s="12"/>
      <c r="BX781" s="12"/>
      <c r="BY781" s="12"/>
      <c r="BZ781" s="12"/>
      <c r="CA781" s="12"/>
      <c r="CB781" s="12"/>
      <c r="CC781" s="12"/>
      <c r="CD781" s="12"/>
      <c r="CE781" s="12"/>
      <c r="CF781" s="12"/>
      <c r="CG781" s="12"/>
      <c r="CH781" s="12"/>
      <c r="CI781" s="12"/>
      <c r="CJ781" s="12"/>
      <c r="CK781" s="12"/>
      <c r="CL781" s="12"/>
      <c r="CM781" s="12"/>
      <c r="CN781" s="12"/>
      <c r="CO781" s="12"/>
      <c r="CP781" s="12"/>
      <c r="CQ781" s="46"/>
      <c r="CR781" s="46"/>
      <c r="CS781" s="46"/>
      <c r="CT781" s="119"/>
      <c r="CU781" s="119"/>
      <c r="CV781" s="119"/>
      <c r="CW781" s="119"/>
      <c r="CX781" s="120"/>
      <c r="CY781" s="120"/>
      <c r="CZ781" s="120"/>
      <c r="DA781" s="120"/>
      <c r="DB781" s="120"/>
      <c r="DC781" s="120"/>
      <c r="DD781" s="120"/>
      <c r="DE781" s="120"/>
      <c r="DF781" s="120"/>
      <c r="DG781" s="2"/>
      <c r="DH781" s="2"/>
      <c r="DI781" s="2"/>
      <c r="DJ781" s="48"/>
      <c r="DK781" s="48"/>
      <c r="DL781" s="48"/>
      <c r="DM781" s="13"/>
      <c r="DN781" s="13"/>
      <c r="DO781" s="12"/>
      <c r="DP781" s="12"/>
      <c r="DQ781" s="12"/>
      <c r="DR781" s="12"/>
      <c r="DS781" s="12"/>
      <c r="DT781" s="2"/>
      <c r="DU781" s="2"/>
      <c r="DV781" s="12"/>
      <c r="DW781" s="12"/>
      <c r="DX781" s="2"/>
      <c r="DY781" s="2"/>
      <c r="DZ781" s="12"/>
      <c r="EA781" s="12"/>
      <c r="EB781" s="12"/>
      <c r="EC781" s="12"/>
      <c r="ED781" s="12"/>
    </row>
    <row r="782" spans="1:134" ht="12.5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12"/>
      <c r="AC782" s="12"/>
      <c r="AD782" s="12"/>
      <c r="AE782" s="2"/>
      <c r="AF782" s="2"/>
      <c r="AG782" s="2"/>
      <c r="AH782" s="2"/>
      <c r="AI782" s="2"/>
      <c r="AJ782" s="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2"/>
      <c r="AY782" s="2"/>
      <c r="AZ782" s="2"/>
      <c r="BA782" s="2"/>
      <c r="BB782" s="2"/>
      <c r="BC782" s="2"/>
      <c r="BD782" s="2"/>
      <c r="BE782" s="2"/>
      <c r="BF782" s="12"/>
      <c r="BG782" s="1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152"/>
      <c r="BV782" s="155"/>
      <c r="BW782" s="12"/>
      <c r="BX782" s="12"/>
      <c r="BY782" s="12"/>
      <c r="BZ782" s="12"/>
      <c r="CA782" s="12"/>
      <c r="CB782" s="12"/>
      <c r="CC782" s="12"/>
      <c r="CD782" s="12"/>
      <c r="CE782" s="12"/>
      <c r="CF782" s="12"/>
      <c r="CG782" s="12"/>
      <c r="CH782" s="12"/>
      <c r="CI782" s="12"/>
      <c r="CJ782" s="12"/>
      <c r="CK782" s="12"/>
      <c r="CL782" s="12"/>
      <c r="CM782" s="12"/>
      <c r="CN782" s="12"/>
      <c r="CO782" s="12"/>
      <c r="CP782" s="12"/>
      <c r="CQ782" s="46"/>
      <c r="CR782" s="46"/>
      <c r="CS782" s="46"/>
      <c r="CT782" s="119"/>
      <c r="CU782" s="119"/>
      <c r="CV782" s="119"/>
      <c r="CW782" s="119"/>
      <c r="CX782" s="120"/>
      <c r="CY782" s="120"/>
      <c r="CZ782" s="120"/>
      <c r="DA782" s="120"/>
      <c r="DB782" s="120"/>
      <c r="DC782" s="120"/>
      <c r="DD782" s="120"/>
      <c r="DE782" s="120"/>
      <c r="DF782" s="120"/>
      <c r="DG782" s="2"/>
      <c r="DH782" s="2"/>
      <c r="DI782" s="2"/>
      <c r="DJ782" s="48"/>
      <c r="DK782" s="48"/>
      <c r="DL782" s="48"/>
      <c r="DM782" s="13"/>
      <c r="DN782" s="13"/>
      <c r="DO782" s="12"/>
      <c r="DP782" s="12"/>
      <c r="DQ782" s="12"/>
      <c r="DR782" s="12"/>
      <c r="DS782" s="12"/>
      <c r="DT782" s="2"/>
      <c r="DU782" s="2"/>
      <c r="DV782" s="12"/>
      <c r="DW782" s="12"/>
      <c r="DX782" s="2"/>
      <c r="DY782" s="2"/>
      <c r="DZ782" s="12"/>
      <c r="EA782" s="12"/>
      <c r="EB782" s="12"/>
      <c r="EC782" s="12"/>
      <c r="ED782" s="12"/>
    </row>
    <row r="783" spans="1:134" ht="12.5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12"/>
      <c r="AC783" s="12"/>
      <c r="AD783" s="12"/>
      <c r="AE783" s="2"/>
      <c r="AF783" s="2"/>
      <c r="AG783" s="2"/>
      <c r="AH783" s="2"/>
      <c r="AI783" s="2"/>
      <c r="AJ783" s="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2"/>
      <c r="AY783" s="2"/>
      <c r="AZ783" s="2"/>
      <c r="BA783" s="2"/>
      <c r="BB783" s="2"/>
      <c r="BC783" s="2"/>
      <c r="BD783" s="2"/>
      <c r="BE783" s="2"/>
      <c r="BF783" s="12"/>
      <c r="BG783" s="1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152"/>
      <c r="BV783" s="155"/>
      <c r="BW783" s="12"/>
      <c r="BX783" s="12"/>
      <c r="BY783" s="12"/>
      <c r="BZ783" s="12"/>
      <c r="CA783" s="12"/>
      <c r="CB783" s="12"/>
      <c r="CC783" s="12"/>
      <c r="CD783" s="12"/>
      <c r="CE783" s="12"/>
      <c r="CF783" s="12"/>
      <c r="CG783" s="12"/>
      <c r="CH783" s="12"/>
      <c r="CI783" s="12"/>
      <c r="CJ783" s="12"/>
      <c r="CK783" s="12"/>
      <c r="CL783" s="12"/>
      <c r="CM783" s="12"/>
      <c r="CN783" s="12"/>
      <c r="CO783" s="12"/>
      <c r="CP783" s="12"/>
      <c r="CQ783" s="46"/>
      <c r="CR783" s="46"/>
      <c r="CS783" s="46"/>
      <c r="CT783" s="119"/>
      <c r="CU783" s="119"/>
      <c r="CV783" s="119"/>
      <c r="CW783" s="119"/>
      <c r="CX783" s="120"/>
      <c r="CY783" s="120"/>
      <c r="CZ783" s="120"/>
      <c r="DA783" s="120"/>
      <c r="DB783" s="120"/>
      <c r="DC783" s="120"/>
      <c r="DD783" s="120"/>
      <c r="DE783" s="120"/>
      <c r="DF783" s="120"/>
      <c r="DG783" s="2"/>
      <c r="DH783" s="2"/>
      <c r="DI783" s="2"/>
      <c r="DJ783" s="48"/>
      <c r="DK783" s="48"/>
      <c r="DL783" s="48"/>
      <c r="DM783" s="13"/>
      <c r="DN783" s="13"/>
      <c r="DO783" s="12"/>
      <c r="DP783" s="12"/>
      <c r="DQ783" s="12"/>
      <c r="DR783" s="12"/>
      <c r="DS783" s="12"/>
      <c r="DT783" s="2"/>
      <c r="DU783" s="2"/>
      <c r="DV783" s="12"/>
      <c r="DW783" s="12"/>
      <c r="DX783" s="2"/>
      <c r="DY783" s="2"/>
      <c r="DZ783" s="12"/>
      <c r="EA783" s="12"/>
      <c r="EB783" s="12"/>
      <c r="EC783" s="12"/>
      <c r="ED783" s="12"/>
    </row>
    <row r="784" spans="1:134" ht="12.5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12"/>
      <c r="AC784" s="12"/>
      <c r="AD784" s="12"/>
      <c r="AE784" s="2"/>
      <c r="AF784" s="2"/>
      <c r="AG784" s="2"/>
      <c r="AH784" s="2"/>
      <c r="AI784" s="2"/>
      <c r="AJ784" s="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2"/>
      <c r="AY784" s="2"/>
      <c r="AZ784" s="2"/>
      <c r="BA784" s="2"/>
      <c r="BB784" s="2"/>
      <c r="BC784" s="2"/>
      <c r="BD784" s="2"/>
      <c r="BE784" s="2"/>
      <c r="BF784" s="12"/>
      <c r="BG784" s="1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152"/>
      <c r="BV784" s="155"/>
      <c r="BW784" s="12"/>
      <c r="BX784" s="12"/>
      <c r="BY784" s="12"/>
      <c r="BZ784" s="12"/>
      <c r="CA784" s="12"/>
      <c r="CB784" s="12"/>
      <c r="CC784" s="12"/>
      <c r="CD784" s="12"/>
      <c r="CE784" s="12"/>
      <c r="CF784" s="12"/>
      <c r="CG784" s="12"/>
      <c r="CH784" s="12"/>
      <c r="CI784" s="12"/>
      <c r="CJ784" s="12"/>
      <c r="CK784" s="12"/>
      <c r="CL784" s="12"/>
      <c r="CM784" s="12"/>
      <c r="CN784" s="12"/>
      <c r="CO784" s="12"/>
      <c r="CP784" s="12"/>
      <c r="CQ784" s="46"/>
      <c r="CR784" s="46"/>
      <c r="CS784" s="46"/>
      <c r="CT784" s="119"/>
      <c r="CU784" s="119"/>
      <c r="CV784" s="119"/>
      <c r="CW784" s="119"/>
      <c r="CX784" s="120"/>
      <c r="CY784" s="120"/>
      <c r="CZ784" s="120"/>
      <c r="DA784" s="120"/>
      <c r="DB784" s="120"/>
      <c r="DC784" s="120"/>
      <c r="DD784" s="120"/>
      <c r="DE784" s="120"/>
      <c r="DF784" s="120"/>
      <c r="DG784" s="2"/>
      <c r="DH784" s="2"/>
      <c r="DI784" s="2"/>
      <c r="DJ784" s="48"/>
      <c r="DK784" s="48"/>
      <c r="DL784" s="48"/>
      <c r="DM784" s="13"/>
      <c r="DN784" s="13"/>
      <c r="DO784" s="12"/>
      <c r="DP784" s="12"/>
      <c r="DQ784" s="12"/>
      <c r="DR784" s="12"/>
      <c r="DS784" s="12"/>
      <c r="DT784" s="2"/>
      <c r="DU784" s="2"/>
      <c r="DV784" s="12"/>
      <c r="DW784" s="12"/>
      <c r="DX784" s="2"/>
      <c r="DY784" s="2"/>
      <c r="DZ784" s="12"/>
      <c r="EA784" s="12"/>
      <c r="EB784" s="12"/>
      <c r="EC784" s="12"/>
      <c r="ED784" s="12"/>
    </row>
    <row r="785" spans="1:134" ht="12.5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12"/>
      <c r="AC785" s="12"/>
      <c r="AD785" s="12"/>
      <c r="AE785" s="2"/>
      <c r="AF785" s="2"/>
      <c r="AG785" s="2"/>
      <c r="AH785" s="2"/>
      <c r="AI785" s="2"/>
      <c r="AJ785" s="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2"/>
      <c r="AY785" s="2"/>
      <c r="AZ785" s="2"/>
      <c r="BA785" s="2"/>
      <c r="BB785" s="2"/>
      <c r="BC785" s="2"/>
      <c r="BD785" s="2"/>
      <c r="BE785" s="2"/>
      <c r="BF785" s="12"/>
      <c r="BG785" s="1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152"/>
      <c r="BV785" s="155"/>
      <c r="BW785" s="12"/>
      <c r="BX785" s="12"/>
      <c r="BY785" s="12"/>
      <c r="BZ785" s="12"/>
      <c r="CA785" s="12"/>
      <c r="CB785" s="12"/>
      <c r="CC785" s="12"/>
      <c r="CD785" s="12"/>
      <c r="CE785" s="12"/>
      <c r="CF785" s="12"/>
      <c r="CG785" s="12"/>
      <c r="CH785" s="12"/>
      <c r="CI785" s="12"/>
      <c r="CJ785" s="12"/>
      <c r="CK785" s="12"/>
      <c r="CL785" s="12"/>
      <c r="CM785" s="12"/>
      <c r="CN785" s="12"/>
      <c r="CO785" s="12"/>
      <c r="CP785" s="12"/>
      <c r="CQ785" s="46"/>
      <c r="CR785" s="46"/>
      <c r="CS785" s="46"/>
      <c r="CT785" s="119"/>
      <c r="CU785" s="119"/>
      <c r="CV785" s="119"/>
      <c r="CW785" s="119"/>
      <c r="CX785" s="120"/>
      <c r="CY785" s="120"/>
      <c r="CZ785" s="120"/>
      <c r="DA785" s="120"/>
      <c r="DB785" s="120"/>
      <c r="DC785" s="120"/>
      <c r="DD785" s="120"/>
      <c r="DE785" s="120"/>
      <c r="DF785" s="120"/>
      <c r="DG785" s="2"/>
      <c r="DH785" s="2"/>
      <c r="DI785" s="2"/>
      <c r="DJ785" s="48"/>
      <c r="DK785" s="48"/>
      <c r="DL785" s="48"/>
      <c r="DM785" s="13"/>
      <c r="DN785" s="13"/>
      <c r="DO785" s="12"/>
      <c r="DP785" s="12"/>
      <c r="DQ785" s="12"/>
      <c r="DR785" s="12"/>
      <c r="DS785" s="12"/>
      <c r="DT785" s="2"/>
      <c r="DU785" s="2"/>
      <c r="DV785" s="12"/>
      <c r="DW785" s="12"/>
      <c r="DX785" s="2"/>
      <c r="DY785" s="2"/>
      <c r="DZ785" s="12"/>
      <c r="EA785" s="12"/>
      <c r="EB785" s="12"/>
      <c r="EC785" s="12"/>
      <c r="ED785" s="12"/>
    </row>
    <row r="786" spans="1:134" ht="12.5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12"/>
      <c r="AC786" s="12"/>
      <c r="AD786" s="12"/>
      <c r="AE786" s="2"/>
      <c r="AF786" s="2"/>
      <c r="AG786" s="2"/>
      <c r="AH786" s="2"/>
      <c r="AI786" s="2"/>
      <c r="AJ786" s="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2"/>
      <c r="AY786" s="2"/>
      <c r="AZ786" s="2"/>
      <c r="BA786" s="2"/>
      <c r="BB786" s="2"/>
      <c r="BC786" s="2"/>
      <c r="BD786" s="2"/>
      <c r="BE786" s="2"/>
      <c r="BF786" s="12"/>
      <c r="BG786" s="1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152"/>
      <c r="BV786" s="155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46"/>
      <c r="CR786" s="46"/>
      <c r="CS786" s="46"/>
      <c r="CT786" s="119"/>
      <c r="CU786" s="119"/>
      <c r="CV786" s="119"/>
      <c r="CW786" s="119"/>
      <c r="CX786" s="120"/>
      <c r="CY786" s="120"/>
      <c r="CZ786" s="120"/>
      <c r="DA786" s="120"/>
      <c r="DB786" s="120"/>
      <c r="DC786" s="120"/>
      <c r="DD786" s="120"/>
      <c r="DE786" s="120"/>
      <c r="DF786" s="120"/>
      <c r="DG786" s="2"/>
      <c r="DH786" s="2"/>
      <c r="DI786" s="2"/>
      <c r="DJ786" s="48"/>
      <c r="DK786" s="48"/>
      <c r="DL786" s="48"/>
      <c r="DM786" s="13"/>
      <c r="DN786" s="13"/>
      <c r="DO786" s="12"/>
      <c r="DP786" s="12"/>
      <c r="DQ786" s="12"/>
      <c r="DR786" s="12"/>
      <c r="DS786" s="12"/>
      <c r="DT786" s="2"/>
      <c r="DU786" s="2"/>
      <c r="DV786" s="12"/>
      <c r="DW786" s="12"/>
      <c r="DX786" s="2"/>
      <c r="DY786" s="2"/>
      <c r="DZ786" s="12"/>
      <c r="EA786" s="12"/>
      <c r="EB786" s="12"/>
      <c r="EC786" s="12"/>
      <c r="ED786" s="12"/>
    </row>
    <row r="787" spans="1:134" ht="12.5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12"/>
      <c r="AC787" s="12"/>
      <c r="AD787" s="12"/>
      <c r="AE787" s="2"/>
      <c r="AF787" s="2"/>
      <c r="AG787" s="2"/>
      <c r="AH787" s="2"/>
      <c r="AI787" s="2"/>
      <c r="AJ787" s="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2"/>
      <c r="AY787" s="2"/>
      <c r="AZ787" s="2"/>
      <c r="BA787" s="2"/>
      <c r="BB787" s="2"/>
      <c r="BC787" s="2"/>
      <c r="BD787" s="2"/>
      <c r="BE787" s="2"/>
      <c r="BF787" s="12"/>
      <c r="BG787" s="1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152"/>
      <c r="BV787" s="155"/>
      <c r="BW787" s="12"/>
      <c r="BX787" s="12"/>
      <c r="BY787" s="12"/>
      <c r="BZ787" s="12"/>
      <c r="CA787" s="12"/>
      <c r="CB787" s="12"/>
      <c r="CC787" s="12"/>
      <c r="CD787" s="12"/>
      <c r="CE787" s="12"/>
      <c r="CF787" s="12"/>
      <c r="CG787" s="12"/>
      <c r="CH787" s="12"/>
      <c r="CI787" s="12"/>
      <c r="CJ787" s="12"/>
      <c r="CK787" s="12"/>
      <c r="CL787" s="12"/>
      <c r="CM787" s="12"/>
      <c r="CN787" s="12"/>
      <c r="CO787" s="12"/>
      <c r="CP787" s="12"/>
      <c r="CQ787" s="46"/>
      <c r="CR787" s="46"/>
      <c r="CS787" s="46"/>
      <c r="CT787" s="119"/>
      <c r="CU787" s="119"/>
      <c r="CV787" s="119"/>
      <c r="CW787" s="119"/>
      <c r="CX787" s="120"/>
      <c r="CY787" s="120"/>
      <c r="CZ787" s="120"/>
      <c r="DA787" s="120"/>
      <c r="DB787" s="120"/>
      <c r="DC787" s="120"/>
      <c r="DD787" s="120"/>
      <c r="DE787" s="120"/>
      <c r="DF787" s="120"/>
      <c r="DG787" s="2"/>
      <c r="DH787" s="2"/>
      <c r="DI787" s="2"/>
      <c r="DJ787" s="48"/>
      <c r="DK787" s="48"/>
      <c r="DL787" s="48"/>
      <c r="DM787" s="13"/>
      <c r="DN787" s="13"/>
      <c r="DO787" s="12"/>
      <c r="DP787" s="12"/>
      <c r="DQ787" s="12"/>
      <c r="DR787" s="12"/>
      <c r="DS787" s="12"/>
      <c r="DT787" s="2"/>
      <c r="DU787" s="2"/>
      <c r="DV787" s="12"/>
      <c r="DW787" s="12"/>
      <c r="DX787" s="2"/>
      <c r="DY787" s="2"/>
      <c r="DZ787" s="12"/>
      <c r="EA787" s="12"/>
      <c r="EB787" s="12"/>
      <c r="EC787" s="12"/>
      <c r="ED787" s="12"/>
    </row>
    <row r="788" spans="1:134" ht="12.5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12"/>
      <c r="AC788" s="12"/>
      <c r="AD788" s="12"/>
      <c r="AE788" s="2"/>
      <c r="AF788" s="2"/>
      <c r="AG788" s="2"/>
      <c r="AH788" s="2"/>
      <c r="AI788" s="2"/>
      <c r="AJ788" s="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2"/>
      <c r="AY788" s="2"/>
      <c r="AZ788" s="2"/>
      <c r="BA788" s="2"/>
      <c r="BB788" s="2"/>
      <c r="BC788" s="2"/>
      <c r="BD788" s="2"/>
      <c r="BE788" s="2"/>
      <c r="BF788" s="12"/>
      <c r="BG788" s="1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152"/>
      <c r="BV788" s="155"/>
      <c r="BW788" s="12"/>
      <c r="BX788" s="12"/>
      <c r="BY788" s="12"/>
      <c r="BZ788" s="12"/>
      <c r="CA788" s="12"/>
      <c r="CB788" s="12"/>
      <c r="CC788" s="12"/>
      <c r="CD788" s="12"/>
      <c r="CE788" s="12"/>
      <c r="CF788" s="12"/>
      <c r="CG788" s="12"/>
      <c r="CH788" s="12"/>
      <c r="CI788" s="12"/>
      <c r="CJ788" s="12"/>
      <c r="CK788" s="12"/>
      <c r="CL788" s="12"/>
      <c r="CM788" s="12"/>
      <c r="CN788" s="12"/>
      <c r="CO788" s="12"/>
      <c r="CP788" s="12"/>
      <c r="CQ788" s="46"/>
      <c r="CR788" s="46"/>
      <c r="CS788" s="46"/>
      <c r="CT788" s="119"/>
      <c r="CU788" s="119"/>
      <c r="CV788" s="119"/>
      <c r="CW788" s="119"/>
      <c r="CX788" s="120"/>
      <c r="CY788" s="120"/>
      <c r="CZ788" s="120"/>
      <c r="DA788" s="120"/>
      <c r="DB788" s="120"/>
      <c r="DC788" s="120"/>
      <c r="DD788" s="120"/>
      <c r="DE788" s="120"/>
      <c r="DF788" s="120"/>
      <c r="DG788" s="2"/>
      <c r="DH788" s="2"/>
      <c r="DI788" s="2"/>
      <c r="DJ788" s="48"/>
      <c r="DK788" s="48"/>
      <c r="DL788" s="48"/>
      <c r="DM788" s="13"/>
      <c r="DN788" s="13"/>
      <c r="DO788" s="12"/>
      <c r="DP788" s="12"/>
      <c r="DQ788" s="12"/>
      <c r="DR788" s="12"/>
      <c r="DS788" s="12"/>
      <c r="DT788" s="2"/>
      <c r="DU788" s="2"/>
      <c r="DV788" s="12"/>
      <c r="DW788" s="12"/>
      <c r="DX788" s="2"/>
      <c r="DY788" s="2"/>
      <c r="DZ788" s="12"/>
      <c r="EA788" s="12"/>
      <c r="EB788" s="12"/>
      <c r="EC788" s="12"/>
      <c r="ED788" s="12"/>
    </row>
    <row r="789" spans="1:134" ht="12.5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12"/>
      <c r="AC789" s="12"/>
      <c r="AD789" s="12"/>
      <c r="AE789" s="2"/>
      <c r="AF789" s="2"/>
      <c r="AG789" s="2"/>
      <c r="AH789" s="2"/>
      <c r="AI789" s="2"/>
      <c r="AJ789" s="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2"/>
      <c r="AY789" s="2"/>
      <c r="AZ789" s="2"/>
      <c r="BA789" s="2"/>
      <c r="BB789" s="2"/>
      <c r="BC789" s="2"/>
      <c r="BD789" s="2"/>
      <c r="BE789" s="2"/>
      <c r="BF789" s="12"/>
      <c r="BG789" s="1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152"/>
      <c r="BV789" s="155"/>
      <c r="BW789" s="12"/>
      <c r="BX789" s="12"/>
      <c r="BY789" s="12"/>
      <c r="BZ789" s="12"/>
      <c r="CA789" s="12"/>
      <c r="CB789" s="12"/>
      <c r="CC789" s="12"/>
      <c r="CD789" s="12"/>
      <c r="CE789" s="12"/>
      <c r="CF789" s="12"/>
      <c r="CG789" s="12"/>
      <c r="CH789" s="12"/>
      <c r="CI789" s="12"/>
      <c r="CJ789" s="12"/>
      <c r="CK789" s="12"/>
      <c r="CL789" s="12"/>
      <c r="CM789" s="12"/>
      <c r="CN789" s="12"/>
      <c r="CO789" s="12"/>
      <c r="CP789" s="12"/>
      <c r="CQ789" s="46"/>
      <c r="CR789" s="46"/>
      <c r="CS789" s="46"/>
      <c r="CT789" s="119"/>
      <c r="CU789" s="119"/>
      <c r="CV789" s="119"/>
      <c r="CW789" s="119"/>
      <c r="CX789" s="120"/>
      <c r="CY789" s="120"/>
      <c r="CZ789" s="120"/>
      <c r="DA789" s="120"/>
      <c r="DB789" s="120"/>
      <c r="DC789" s="120"/>
      <c r="DD789" s="120"/>
      <c r="DE789" s="120"/>
      <c r="DF789" s="120"/>
      <c r="DG789" s="2"/>
      <c r="DH789" s="2"/>
      <c r="DI789" s="2"/>
      <c r="DJ789" s="48"/>
      <c r="DK789" s="48"/>
      <c r="DL789" s="48"/>
      <c r="DM789" s="13"/>
      <c r="DN789" s="13"/>
      <c r="DO789" s="12"/>
      <c r="DP789" s="12"/>
      <c r="DQ789" s="12"/>
      <c r="DR789" s="12"/>
      <c r="DS789" s="12"/>
      <c r="DT789" s="2"/>
      <c r="DU789" s="2"/>
      <c r="DV789" s="12"/>
      <c r="DW789" s="12"/>
      <c r="DX789" s="2"/>
      <c r="DY789" s="2"/>
      <c r="DZ789" s="12"/>
      <c r="EA789" s="12"/>
      <c r="EB789" s="12"/>
      <c r="EC789" s="12"/>
      <c r="ED789" s="12"/>
    </row>
    <row r="790" spans="1:134" ht="12.5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12"/>
      <c r="AC790" s="12"/>
      <c r="AD790" s="12"/>
      <c r="AE790" s="2"/>
      <c r="AF790" s="2"/>
      <c r="AG790" s="2"/>
      <c r="AH790" s="2"/>
      <c r="AI790" s="2"/>
      <c r="AJ790" s="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2"/>
      <c r="AY790" s="2"/>
      <c r="AZ790" s="2"/>
      <c r="BA790" s="2"/>
      <c r="BB790" s="2"/>
      <c r="BC790" s="2"/>
      <c r="BD790" s="2"/>
      <c r="BE790" s="2"/>
      <c r="BF790" s="12"/>
      <c r="BG790" s="1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152"/>
      <c r="BV790" s="155"/>
      <c r="BW790" s="12"/>
      <c r="BX790" s="12"/>
      <c r="BY790" s="12"/>
      <c r="BZ790" s="12"/>
      <c r="CA790" s="12"/>
      <c r="CB790" s="12"/>
      <c r="CC790" s="12"/>
      <c r="CD790" s="12"/>
      <c r="CE790" s="12"/>
      <c r="CF790" s="12"/>
      <c r="CG790" s="12"/>
      <c r="CH790" s="12"/>
      <c r="CI790" s="12"/>
      <c r="CJ790" s="12"/>
      <c r="CK790" s="12"/>
      <c r="CL790" s="12"/>
      <c r="CM790" s="12"/>
      <c r="CN790" s="12"/>
      <c r="CO790" s="12"/>
      <c r="CP790" s="12"/>
      <c r="CQ790" s="46"/>
      <c r="CR790" s="46"/>
      <c r="CS790" s="46"/>
      <c r="CT790" s="119"/>
      <c r="CU790" s="119"/>
      <c r="CV790" s="119"/>
      <c r="CW790" s="119"/>
      <c r="CX790" s="120"/>
      <c r="CY790" s="120"/>
      <c r="CZ790" s="120"/>
      <c r="DA790" s="120"/>
      <c r="DB790" s="120"/>
      <c r="DC790" s="120"/>
      <c r="DD790" s="120"/>
      <c r="DE790" s="120"/>
      <c r="DF790" s="120"/>
      <c r="DG790" s="2"/>
      <c r="DH790" s="2"/>
      <c r="DI790" s="2"/>
      <c r="DJ790" s="48"/>
      <c r="DK790" s="48"/>
      <c r="DL790" s="48"/>
      <c r="DM790" s="13"/>
      <c r="DN790" s="13"/>
      <c r="DO790" s="12"/>
      <c r="DP790" s="12"/>
      <c r="DQ790" s="12"/>
      <c r="DR790" s="12"/>
      <c r="DS790" s="12"/>
      <c r="DT790" s="2"/>
      <c r="DU790" s="2"/>
      <c r="DV790" s="12"/>
      <c r="DW790" s="12"/>
      <c r="DX790" s="2"/>
      <c r="DY790" s="2"/>
      <c r="DZ790" s="12"/>
      <c r="EA790" s="12"/>
      <c r="EB790" s="12"/>
      <c r="EC790" s="12"/>
      <c r="ED790" s="12"/>
    </row>
    <row r="791" spans="1:134" ht="12.5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12"/>
      <c r="AC791" s="12"/>
      <c r="AD791" s="12"/>
      <c r="AE791" s="2"/>
      <c r="AF791" s="2"/>
      <c r="AG791" s="2"/>
      <c r="AH791" s="2"/>
      <c r="AI791" s="2"/>
      <c r="AJ791" s="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2"/>
      <c r="AY791" s="2"/>
      <c r="AZ791" s="2"/>
      <c r="BA791" s="2"/>
      <c r="BB791" s="2"/>
      <c r="BC791" s="2"/>
      <c r="BD791" s="2"/>
      <c r="BE791" s="2"/>
      <c r="BF791" s="12"/>
      <c r="BG791" s="1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152"/>
      <c r="BV791" s="155"/>
      <c r="BW791" s="12"/>
      <c r="BX791" s="12"/>
      <c r="BY791" s="12"/>
      <c r="BZ791" s="12"/>
      <c r="CA791" s="12"/>
      <c r="CB791" s="12"/>
      <c r="CC791" s="12"/>
      <c r="CD791" s="12"/>
      <c r="CE791" s="12"/>
      <c r="CF791" s="12"/>
      <c r="CG791" s="12"/>
      <c r="CH791" s="12"/>
      <c r="CI791" s="12"/>
      <c r="CJ791" s="12"/>
      <c r="CK791" s="12"/>
      <c r="CL791" s="12"/>
      <c r="CM791" s="12"/>
      <c r="CN791" s="12"/>
      <c r="CO791" s="12"/>
      <c r="CP791" s="12"/>
      <c r="CQ791" s="46"/>
      <c r="CR791" s="46"/>
      <c r="CS791" s="46"/>
      <c r="CT791" s="119"/>
      <c r="CU791" s="119"/>
      <c r="CV791" s="119"/>
      <c r="CW791" s="119"/>
      <c r="CX791" s="120"/>
      <c r="CY791" s="120"/>
      <c r="CZ791" s="120"/>
      <c r="DA791" s="120"/>
      <c r="DB791" s="120"/>
      <c r="DC791" s="120"/>
      <c r="DD791" s="120"/>
      <c r="DE791" s="120"/>
      <c r="DF791" s="120"/>
      <c r="DG791" s="2"/>
      <c r="DH791" s="2"/>
      <c r="DI791" s="2"/>
      <c r="DJ791" s="48"/>
      <c r="DK791" s="48"/>
      <c r="DL791" s="48"/>
      <c r="DM791" s="13"/>
      <c r="DN791" s="13"/>
      <c r="DO791" s="12"/>
      <c r="DP791" s="12"/>
      <c r="DQ791" s="12"/>
      <c r="DR791" s="12"/>
      <c r="DS791" s="12"/>
      <c r="DT791" s="2"/>
      <c r="DU791" s="2"/>
      <c r="DV791" s="12"/>
      <c r="DW791" s="12"/>
      <c r="DX791" s="2"/>
      <c r="DY791" s="2"/>
      <c r="DZ791" s="12"/>
      <c r="EA791" s="12"/>
      <c r="EB791" s="12"/>
      <c r="EC791" s="12"/>
      <c r="ED791" s="12"/>
    </row>
    <row r="792" spans="1:134" ht="12.5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12"/>
      <c r="AC792" s="12"/>
      <c r="AD792" s="12"/>
      <c r="AE792" s="2"/>
      <c r="AF792" s="2"/>
      <c r="AG792" s="2"/>
      <c r="AH792" s="2"/>
      <c r="AI792" s="2"/>
      <c r="AJ792" s="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2"/>
      <c r="AY792" s="2"/>
      <c r="AZ792" s="2"/>
      <c r="BA792" s="2"/>
      <c r="BB792" s="2"/>
      <c r="BC792" s="2"/>
      <c r="BD792" s="2"/>
      <c r="BE792" s="2"/>
      <c r="BF792" s="12"/>
      <c r="BG792" s="1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152"/>
      <c r="BV792" s="155"/>
      <c r="BW792" s="12"/>
      <c r="BX792" s="12"/>
      <c r="BY792" s="12"/>
      <c r="BZ792" s="12"/>
      <c r="CA792" s="12"/>
      <c r="CB792" s="12"/>
      <c r="CC792" s="12"/>
      <c r="CD792" s="12"/>
      <c r="CE792" s="12"/>
      <c r="CF792" s="12"/>
      <c r="CG792" s="12"/>
      <c r="CH792" s="12"/>
      <c r="CI792" s="12"/>
      <c r="CJ792" s="12"/>
      <c r="CK792" s="12"/>
      <c r="CL792" s="12"/>
      <c r="CM792" s="12"/>
      <c r="CN792" s="12"/>
      <c r="CO792" s="12"/>
      <c r="CP792" s="12"/>
      <c r="CQ792" s="46"/>
      <c r="CR792" s="46"/>
      <c r="CS792" s="46"/>
      <c r="CT792" s="119"/>
      <c r="CU792" s="119"/>
      <c r="CV792" s="119"/>
      <c r="CW792" s="119"/>
      <c r="CX792" s="120"/>
      <c r="CY792" s="120"/>
      <c r="CZ792" s="120"/>
      <c r="DA792" s="120"/>
      <c r="DB792" s="120"/>
      <c r="DC792" s="120"/>
      <c r="DD792" s="120"/>
      <c r="DE792" s="120"/>
      <c r="DF792" s="120"/>
      <c r="DG792" s="2"/>
      <c r="DH792" s="2"/>
      <c r="DI792" s="2"/>
      <c r="DJ792" s="48"/>
      <c r="DK792" s="48"/>
      <c r="DL792" s="48"/>
      <c r="DM792" s="13"/>
      <c r="DN792" s="13"/>
      <c r="DO792" s="12"/>
      <c r="DP792" s="12"/>
      <c r="DQ792" s="12"/>
      <c r="DR792" s="12"/>
      <c r="DS792" s="12"/>
      <c r="DT792" s="2"/>
      <c r="DU792" s="2"/>
      <c r="DV792" s="12"/>
      <c r="DW792" s="12"/>
      <c r="DX792" s="2"/>
      <c r="DY792" s="2"/>
      <c r="DZ792" s="12"/>
      <c r="EA792" s="12"/>
      <c r="EB792" s="12"/>
      <c r="EC792" s="12"/>
      <c r="ED792" s="12"/>
    </row>
    <row r="793" spans="1:134" ht="12.5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12"/>
      <c r="AC793" s="12"/>
      <c r="AD793" s="12"/>
      <c r="AE793" s="2"/>
      <c r="AF793" s="2"/>
      <c r="AG793" s="2"/>
      <c r="AH793" s="2"/>
      <c r="AI793" s="2"/>
      <c r="AJ793" s="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2"/>
      <c r="AY793" s="2"/>
      <c r="AZ793" s="2"/>
      <c r="BA793" s="2"/>
      <c r="BB793" s="2"/>
      <c r="BC793" s="2"/>
      <c r="BD793" s="2"/>
      <c r="BE793" s="2"/>
      <c r="BF793" s="12"/>
      <c r="BG793" s="1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152"/>
      <c r="BV793" s="155"/>
      <c r="BW793" s="12"/>
      <c r="BX793" s="12"/>
      <c r="BY793" s="12"/>
      <c r="BZ793" s="12"/>
      <c r="CA793" s="12"/>
      <c r="CB793" s="12"/>
      <c r="CC793" s="12"/>
      <c r="CD793" s="12"/>
      <c r="CE793" s="12"/>
      <c r="CF793" s="12"/>
      <c r="CG793" s="12"/>
      <c r="CH793" s="12"/>
      <c r="CI793" s="12"/>
      <c r="CJ793" s="12"/>
      <c r="CK793" s="12"/>
      <c r="CL793" s="12"/>
      <c r="CM793" s="12"/>
      <c r="CN793" s="12"/>
      <c r="CO793" s="12"/>
      <c r="CP793" s="12"/>
      <c r="CQ793" s="46"/>
      <c r="CR793" s="46"/>
      <c r="CS793" s="46"/>
      <c r="CT793" s="119"/>
      <c r="CU793" s="119"/>
      <c r="CV793" s="119"/>
      <c r="CW793" s="119"/>
      <c r="CX793" s="120"/>
      <c r="CY793" s="120"/>
      <c r="CZ793" s="120"/>
      <c r="DA793" s="120"/>
      <c r="DB793" s="120"/>
      <c r="DC793" s="120"/>
      <c r="DD793" s="120"/>
      <c r="DE793" s="120"/>
      <c r="DF793" s="120"/>
      <c r="DG793" s="2"/>
      <c r="DH793" s="2"/>
      <c r="DI793" s="2"/>
      <c r="DJ793" s="48"/>
      <c r="DK793" s="48"/>
      <c r="DL793" s="48"/>
      <c r="DM793" s="13"/>
      <c r="DN793" s="13"/>
      <c r="DO793" s="12"/>
      <c r="DP793" s="12"/>
      <c r="DQ793" s="12"/>
      <c r="DR793" s="12"/>
      <c r="DS793" s="12"/>
      <c r="DT793" s="2"/>
      <c r="DU793" s="2"/>
      <c r="DV793" s="12"/>
      <c r="DW793" s="12"/>
      <c r="DX793" s="2"/>
      <c r="DY793" s="2"/>
      <c r="DZ793" s="12"/>
      <c r="EA793" s="12"/>
      <c r="EB793" s="12"/>
      <c r="EC793" s="12"/>
      <c r="ED793" s="12"/>
    </row>
    <row r="794" spans="1:134" ht="12.5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12"/>
      <c r="AC794" s="12"/>
      <c r="AD794" s="12"/>
      <c r="AE794" s="2"/>
      <c r="AF794" s="2"/>
      <c r="AG794" s="2"/>
      <c r="AH794" s="2"/>
      <c r="AI794" s="2"/>
      <c r="AJ794" s="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2"/>
      <c r="AY794" s="2"/>
      <c r="AZ794" s="2"/>
      <c r="BA794" s="2"/>
      <c r="BB794" s="2"/>
      <c r="BC794" s="2"/>
      <c r="BD794" s="2"/>
      <c r="BE794" s="2"/>
      <c r="BF794" s="12"/>
      <c r="BG794" s="1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152"/>
      <c r="BV794" s="155"/>
      <c r="BW794" s="12"/>
      <c r="BX794" s="12"/>
      <c r="BY794" s="12"/>
      <c r="BZ794" s="12"/>
      <c r="CA794" s="12"/>
      <c r="CB794" s="12"/>
      <c r="CC794" s="12"/>
      <c r="CD794" s="12"/>
      <c r="CE794" s="12"/>
      <c r="CF794" s="12"/>
      <c r="CG794" s="12"/>
      <c r="CH794" s="12"/>
      <c r="CI794" s="12"/>
      <c r="CJ794" s="12"/>
      <c r="CK794" s="12"/>
      <c r="CL794" s="12"/>
      <c r="CM794" s="12"/>
      <c r="CN794" s="12"/>
      <c r="CO794" s="12"/>
      <c r="CP794" s="12"/>
      <c r="CQ794" s="46"/>
      <c r="CR794" s="46"/>
      <c r="CS794" s="46"/>
      <c r="CT794" s="119"/>
      <c r="CU794" s="119"/>
      <c r="CV794" s="119"/>
      <c r="CW794" s="119"/>
      <c r="CX794" s="120"/>
      <c r="CY794" s="120"/>
      <c r="CZ794" s="120"/>
      <c r="DA794" s="120"/>
      <c r="DB794" s="120"/>
      <c r="DC794" s="120"/>
      <c r="DD794" s="120"/>
      <c r="DE794" s="120"/>
      <c r="DF794" s="120"/>
      <c r="DG794" s="2"/>
      <c r="DH794" s="2"/>
      <c r="DI794" s="2"/>
      <c r="DJ794" s="48"/>
      <c r="DK794" s="48"/>
      <c r="DL794" s="48"/>
      <c r="DM794" s="13"/>
      <c r="DN794" s="13"/>
      <c r="DO794" s="12"/>
      <c r="DP794" s="12"/>
      <c r="DQ794" s="12"/>
      <c r="DR794" s="12"/>
      <c r="DS794" s="12"/>
      <c r="DT794" s="2"/>
      <c r="DU794" s="2"/>
      <c r="DV794" s="12"/>
      <c r="DW794" s="12"/>
      <c r="DX794" s="2"/>
      <c r="DY794" s="2"/>
      <c r="DZ794" s="12"/>
      <c r="EA794" s="12"/>
      <c r="EB794" s="12"/>
      <c r="EC794" s="12"/>
      <c r="ED794" s="12"/>
    </row>
    <row r="795" spans="1:134" ht="12.5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12"/>
      <c r="AC795" s="12"/>
      <c r="AD795" s="12"/>
      <c r="AE795" s="2"/>
      <c r="AF795" s="2"/>
      <c r="AG795" s="2"/>
      <c r="AH795" s="2"/>
      <c r="AI795" s="2"/>
      <c r="AJ795" s="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2"/>
      <c r="AY795" s="2"/>
      <c r="AZ795" s="2"/>
      <c r="BA795" s="2"/>
      <c r="BB795" s="2"/>
      <c r="BC795" s="2"/>
      <c r="BD795" s="2"/>
      <c r="BE795" s="2"/>
      <c r="BF795" s="12"/>
      <c r="BG795" s="1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152"/>
      <c r="BV795" s="155"/>
      <c r="BW795" s="12"/>
      <c r="BX795" s="12"/>
      <c r="BY795" s="12"/>
      <c r="BZ795" s="12"/>
      <c r="CA795" s="12"/>
      <c r="CB795" s="12"/>
      <c r="CC795" s="12"/>
      <c r="CD795" s="12"/>
      <c r="CE795" s="12"/>
      <c r="CF795" s="12"/>
      <c r="CG795" s="12"/>
      <c r="CH795" s="12"/>
      <c r="CI795" s="12"/>
      <c r="CJ795" s="12"/>
      <c r="CK795" s="12"/>
      <c r="CL795" s="12"/>
      <c r="CM795" s="12"/>
      <c r="CN795" s="12"/>
      <c r="CO795" s="12"/>
      <c r="CP795" s="12"/>
      <c r="CQ795" s="46"/>
      <c r="CR795" s="46"/>
      <c r="CS795" s="46"/>
      <c r="CT795" s="119"/>
      <c r="CU795" s="119"/>
      <c r="CV795" s="119"/>
      <c r="CW795" s="119"/>
      <c r="CX795" s="120"/>
      <c r="CY795" s="120"/>
      <c r="CZ795" s="120"/>
      <c r="DA795" s="120"/>
      <c r="DB795" s="120"/>
      <c r="DC795" s="120"/>
      <c r="DD795" s="120"/>
      <c r="DE795" s="120"/>
      <c r="DF795" s="120"/>
      <c r="DG795" s="2"/>
      <c r="DH795" s="2"/>
      <c r="DI795" s="2"/>
      <c r="DJ795" s="48"/>
      <c r="DK795" s="48"/>
      <c r="DL795" s="48"/>
      <c r="DM795" s="13"/>
      <c r="DN795" s="13"/>
      <c r="DO795" s="12"/>
      <c r="DP795" s="12"/>
      <c r="DQ795" s="12"/>
      <c r="DR795" s="12"/>
      <c r="DS795" s="12"/>
      <c r="DT795" s="2"/>
      <c r="DU795" s="2"/>
      <c r="DV795" s="12"/>
      <c r="DW795" s="12"/>
      <c r="DX795" s="2"/>
      <c r="DY795" s="2"/>
      <c r="DZ795" s="12"/>
      <c r="EA795" s="12"/>
      <c r="EB795" s="12"/>
      <c r="EC795" s="12"/>
      <c r="ED795" s="12"/>
    </row>
    <row r="796" spans="1:134" ht="12.5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12"/>
      <c r="AC796" s="12"/>
      <c r="AD796" s="12"/>
      <c r="AE796" s="2"/>
      <c r="AF796" s="2"/>
      <c r="AG796" s="2"/>
      <c r="AH796" s="2"/>
      <c r="AI796" s="2"/>
      <c r="AJ796" s="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2"/>
      <c r="AY796" s="2"/>
      <c r="AZ796" s="2"/>
      <c r="BA796" s="2"/>
      <c r="BB796" s="2"/>
      <c r="BC796" s="2"/>
      <c r="BD796" s="2"/>
      <c r="BE796" s="2"/>
      <c r="BF796" s="12"/>
      <c r="BG796" s="1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152"/>
      <c r="BV796" s="155"/>
      <c r="BW796" s="12"/>
      <c r="BX796" s="12"/>
      <c r="BY796" s="12"/>
      <c r="BZ796" s="12"/>
      <c r="CA796" s="12"/>
      <c r="CB796" s="12"/>
      <c r="CC796" s="12"/>
      <c r="CD796" s="12"/>
      <c r="CE796" s="12"/>
      <c r="CF796" s="12"/>
      <c r="CG796" s="12"/>
      <c r="CH796" s="12"/>
      <c r="CI796" s="12"/>
      <c r="CJ796" s="12"/>
      <c r="CK796" s="12"/>
      <c r="CL796" s="12"/>
      <c r="CM796" s="12"/>
      <c r="CN796" s="12"/>
      <c r="CO796" s="12"/>
      <c r="CP796" s="12"/>
      <c r="CQ796" s="46"/>
      <c r="CR796" s="46"/>
      <c r="CS796" s="46"/>
      <c r="CT796" s="119"/>
      <c r="CU796" s="119"/>
      <c r="CV796" s="119"/>
      <c r="CW796" s="119"/>
      <c r="CX796" s="120"/>
      <c r="CY796" s="120"/>
      <c r="CZ796" s="120"/>
      <c r="DA796" s="120"/>
      <c r="DB796" s="120"/>
      <c r="DC796" s="120"/>
      <c r="DD796" s="120"/>
      <c r="DE796" s="120"/>
      <c r="DF796" s="120"/>
      <c r="DG796" s="2"/>
      <c r="DH796" s="2"/>
      <c r="DI796" s="2"/>
      <c r="DJ796" s="48"/>
      <c r="DK796" s="48"/>
      <c r="DL796" s="48"/>
      <c r="DM796" s="13"/>
      <c r="DN796" s="13"/>
      <c r="DO796" s="12"/>
      <c r="DP796" s="12"/>
      <c r="DQ796" s="12"/>
      <c r="DR796" s="12"/>
      <c r="DS796" s="12"/>
      <c r="DT796" s="2"/>
      <c r="DU796" s="2"/>
      <c r="DV796" s="12"/>
      <c r="DW796" s="12"/>
      <c r="DX796" s="2"/>
      <c r="DY796" s="2"/>
      <c r="DZ796" s="12"/>
      <c r="EA796" s="12"/>
      <c r="EB796" s="12"/>
      <c r="EC796" s="12"/>
      <c r="ED796" s="12"/>
    </row>
    <row r="797" spans="1:134" ht="12.5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12"/>
      <c r="AC797" s="12"/>
      <c r="AD797" s="12"/>
      <c r="AE797" s="2"/>
      <c r="AF797" s="2"/>
      <c r="AG797" s="2"/>
      <c r="AH797" s="2"/>
      <c r="AI797" s="2"/>
      <c r="AJ797" s="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2"/>
      <c r="AY797" s="2"/>
      <c r="AZ797" s="2"/>
      <c r="BA797" s="2"/>
      <c r="BB797" s="2"/>
      <c r="BC797" s="2"/>
      <c r="BD797" s="2"/>
      <c r="BE797" s="2"/>
      <c r="BF797" s="12"/>
      <c r="BG797" s="1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152"/>
      <c r="BV797" s="155"/>
      <c r="BW797" s="12"/>
      <c r="BX797" s="12"/>
      <c r="BY797" s="12"/>
      <c r="BZ797" s="12"/>
      <c r="CA797" s="12"/>
      <c r="CB797" s="12"/>
      <c r="CC797" s="12"/>
      <c r="CD797" s="12"/>
      <c r="CE797" s="12"/>
      <c r="CF797" s="12"/>
      <c r="CG797" s="12"/>
      <c r="CH797" s="12"/>
      <c r="CI797" s="12"/>
      <c r="CJ797" s="12"/>
      <c r="CK797" s="12"/>
      <c r="CL797" s="12"/>
      <c r="CM797" s="12"/>
      <c r="CN797" s="12"/>
      <c r="CO797" s="12"/>
      <c r="CP797" s="12"/>
      <c r="CQ797" s="46"/>
      <c r="CR797" s="46"/>
      <c r="CS797" s="46"/>
      <c r="CT797" s="119"/>
      <c r="CU797" s="119"/>
      <c r="CV797" s="119"/>
      <c r="CW797" s="119"/>
      <c r="CX797" s="120"/>
      <c r="CY797" s="120"/>
      <c r="CZ797" s="120"/>
      <c r="DA797" s="120"/>
      <c r="DB797" s="120"/>
      <c r="DC797" s="120"/>
      <c r="DD797" s="120"/>
      <c r="DE797" s="120"/>
      <c r="DF797" s="120"/>
      <c r="DG797" s="2"/>
      <c r="DH797" s="2"/>
      <c r="DI797" s="2"/>
      <c r="DJ797" s="48"/>
      <c r="DK797" s="48"/>
      <c r="DL797" s="48"/>
      <c r="DM797" s="13"/>
      <c r="DN797" s="13"/>
      <c r="DO797" s="12"/>
      <c r="DP797" s="12"/>
      <c r="DQ797" s="12"/>
      <c r="DR797" s="12"/>
      <c r="DS797" s="12"/>
      <c r="DT797" s="2"/>
      <c r="DU797" s="2"/>
      <c r="DV797" s="12"/>
      <c r="DW797" s="12"/>
      <c r="DX797" s="2"/>
      <c r="DY797" s="2"/>
      <c r="DZ797" s="12"/>
      <c r="EA797" s="12"/>
      <c r="EB797" s="12"/>
      <c r="EC797" s="12"/>
      <c r="ED797" s="12"/>
    </row>
    <row r="798" spans="1:134" ht="12.5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12"/>
      <c r="AC798" s="12"/>
      <c r="AD798" s="12"/>
      <c r="AE798" s="2"/>
      <c r="AF798" s="2"/>
      <c r="AG798" s="2"/>
      <c r="AH798" s="2"/>
      <c r="AI798" s="2"/>
      <c r="AJ798" s="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2"/>
      <c r="AY798" s="2"/>
      <c r="AZ798" s="2"/>
      <c r="BA798" s="2"/>
      <c r="BB798" s="2"/>
      <c r="BC798" s="2"/>
      <c r="BD798" s="2"/>
      <c r="BE798" s="2"/>
      <c r="BF798" s="12"/>
      <c r="BG798" s="1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152"/>
      <c r="BV798" s="155"/>
      <c r="BW798" s="12"/>
      <c r="BX798" s="12"/>
      <c r="BY798" s="12"/>
      <c r="BZ798" s="12"/>
      <c r="CA798" s="12"/>
      <c r="CB798" s="12"/>
      <c r="CC798" s="12"/>
      <c r="CD798" s="12"/>
      <c r="CE798" s="12"/>
      <c r="CF798" s="12"/>
      <c r="CG798" s="12"/>
      <c r="CH798" s="12"/>
      <c r="CI798" s="12"/>
      <c r="CJ798" s="12"/>
      <c r="CK798" s="12"/>
      <c r="CL798" s="12"/>
      <c r="CM798" s="12"/>
      <c r="CN798" s="12"/>
      <c r="CO798" s="12"/>
      <c r="CP798" s="12"/>
      <c r="CQ798" s="46"/>
      <c r="CR798" s="46"/>
      <c r="CS798" s="46"/>
      <c r="CT798" s="119"/>
      <c r="CU798" s="119"/>
      <c r="CV798" s="119"/>
      <c r="CW798" s="119"/>
      <c r="CX798" s="120"/>
      <c r="CY798" s="120"/>
      <c r="CZ798" s="120"/>
      <c r="DA798" s="120"/>
      <c r="DB798" s="120"/>
      <c r="DC798" s="120"/>
      <c r="DD798" s="120"/>
      <c r="DE798" s="120"/>
      <c r="DF798" s="120"/>
      <c r="DG798" s="2"/>
      <c r="DH798" s="2"/>
      <c r="DI798" s="2"/>
      <c r="DJ798" s="48"/>
      <c r="DK798" s="48"/>
      <c r="DL798" s="48"/>
      <c r="DM798" s="13"/>
      <c r="DN798" s="13"/>
      <c r="DO798" s="12"/>
      <c r="DP798" s="12"/>
      <c r="DQ798" s="12"/>
      <c r="DR798" s="12"/>
      <c r="DS798" s="12"/>
      <c r="DT798" s="2"/>
      <c r="DU798" s="2"/>
      <c r="DV798" s="12"/>
      <c r="DW798" s="12"/>
      <c r="DX798" s="2"/>
      <c r="DY798" s="2"/>
      <c r="DZ798" s="12"/>
      <c r="EA798" s="12"/>
      <c r="EB798" s="12"/>
      <c r="EC798" s="12"/>
      <c r="ED798" s="12"/>
    </row>
    <row r="799" spans="1:134" ht="12.5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12"/>
      <c r="AC799" s="12"/>
      <c r="AD799" s="12"/>
      <c r="AE799" s="2"/>
      <c r="AF799" s="2"/>
      <c r="AG799" s="2"/>
      <c r="AH799" s="2"/>
      <c r="AI799" s="2"/>
      <c r="AJ799" s="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2"/>
      <c r="AY799" s="2"/>
      <c r="AZ799" s="2"/>
      <c r="BA799" s="2"/>
      <c r="BB799" s="2"/>
      <c r="BC799" s="2"/>
      <c r="BD799" s="2"/>
      <c r="BE799" s="2"/>
      <c r="BF799" s="12"/>
      <c r="BG799" s="1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152"/>
      <c r="BV799" s="155"/>
      <c r="BW799" s="12"/>
      <c r="BX799" s="12"/>
      <c r="BY799" s="12"/>
      <c r="BZ799" s="12"/>
      <c r="CA799" s="12"/>
      <c r="CB799" s="12"/>
      <c r="CC799" s="12"/>
      <c r="CD799" s="12"/>
      <c r="CE799" s="12"/>
      <c r="CF799" s="12"/>
      <c r="CG799" s="12"/>
      <c r="CH799" s="12"/>
      <c r="CI799" s="12"/>
      <c r="CJ799" s="12"/>
      <c r="CK799" s="12"/>
      <c r="CL799" s="12"/>
      <c r="CM799" s="12"/>
      <c r="CN799" s="12"/>
      <c r="CO799" s="12"/>
      <c r="CP799" s="12"/>
      <c r="CQ799" s="46"/>
      <c r="CR799" s="46"/>
      <c r="CS799" s="46"/>
      <c r="CT799" s="119"/>
      <c r="CU799" s="119"/>
      <c r="CV799" s="119"/>
      <c r="CW799" s="119"/>
      <c r="CX799" s="120"/>
      <c r="CY799" s="120"/>
      <c r="CZ799" s="120"/>
      <c r="DA799" s="120"/>
      <c r="DB799" s="120"/>
      <c r="DC799" s="120"/>
      <c r="DD799" s="120"/>
      <c r="DE799" s="120"/>
      <c r="DF799" s="120"/>
      <c r="DG799" s="2"/>
      <c r="DH799" s="2"/>
      <c r="DI799" s="2"/>
      <c r="DJ799" s="48"/>
      <c r="DK799" s="48"/>
      <c r="DL799" s="48"/>
      <c r="DM799" s="13"/>
      <c r="DN799" s="13"/>
      <c r="DO799" s="12"/>
      <c r="DP799" s="12"/>
      <c r="DQ799" s="12"/>
      <c r="DR799" s="12"/>
      <c r="DS799" s="12"/>
      <c r="DT799" s="2"/>
      <c r="DU799" s="2"/>
      <c r="DV799" s="12"/>
      <c r="DW799" s="12"/>
      <c r="DX799" s="2"/>
      <c r="DY799" s="2"/>
      <c r="DZ799" s="12"/>
      <c r="EA799" s="12"/>
      <c r="EB799" s="12"/>
      <c r="EC799" s="12"/>
      <c r="ED799" s="12"/>
    </row>
    <row r="800" spans="1:134" ht="12.5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12"/>
      <c r="AC800" s="12"/>
      <c r="AD800" s="12"/>
      <c r="AE800" s="2"/>
      <c r="AF800" s="2"/>
      <c r="AG800" s="2"/>
      <c r="AH800" s="2"/>
      <c r="AI800" s="2"/>
      <c r="AJ800" s="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2"/>
      <c r="AY800" s="2"/>
      <c r="AZ800" s="2"/>
      <c r="BA800" s="2"/>
      <c r="BB800" s="2"/>
      <c r="BC800" s="2"/>
      <c r="BD800" s="2"/>
      <c r="BE800" s="2"/>
      <c r="BF800" s="12"/>
      <c r="BG800" s="1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152"/>
      <c r="BV800" s="155"/>
      <c r="BW800" s="12"/>
      <c r="BX800" s="12"/>
      <c r="BY800" s="12"/>
      <c r="BZ800" s="12"/>
      <c r="CA800" s="12"/>
      <c r="CB800" s="12"/>
      <c r="CC800" s="12"/>
      <c r="CD800" s="12"/>
      <c r="CE800" s="12"/>
      <c r="CF800" s="12"/>
      <c r="CG800" s="12"/>
      <c r="CH800" s="12"/>
      <c r="CI800" s="12"/>
      <c r="CJ800" s="12"/>
      <c r="CK800" s="12"/>
      <c r="CL800" s="12"/>
      <c r="CM800" s="12"/>
      <c r="CN800" s="12"/>
      <c r="CO800" s="12"/>
      <c r="CP800" s="12"/>
      <c r="CQ800" s="46"/>
      <c r="CR800" s="46"/>
      <c r="CS800" s="46"/>
      <c r="CT800" s="119"/>
      <c r="CU800" s="119"/>
      <c r="CV800" s="119"/>
      <c r="CW800" s="119"/>
      <c r="CX800" s="120"/>
      <c r="CY800" s="120"/>
      <c r="CZ800" s="120"/>
      <c r="DA800" s="120"/>
      <c r="DB800" s="120"/>
      <c r="DC800" s="120"/>
      <c r="DD800" s="120"/>
      <c r="DE800" s="120"/>
      <c r="DF800" s="120"/>
      <c r="DG800" s="2"/>
      <c r="DH800" s="2"/>
      <c r="DI800" s="2"/>
      <c r="DJ800" s="48"/>
      <c r="DK800" s="48"/>
      <c r="DL800" s="48"/>
      <c r="DM800" s="13"/>
      <c r="DN800" s="13"/>
      <c r="DO800" s="12"/>
      <c r="DP800" s="12"/>
      <c r="DQ800" s="12"/>
      <c r="DR800" s="12"/>
      <c r="DS800" s="12"/>
      <c r="DT800" s="2"/>
      <c r="DU800" s="2"/>
      <c r="DV800" s="12"/>
      <c r="DW800" s="12"/>
      <c r="DX800" s="2"/>
      <c r="DY800" s="2"/>
      <c r="DZ800" s="12"/>
      <c r="EA800" s="12"/>
      <c r="EB800" s="12"/>
      <c r="EC800" s="12"/>
      <c r="ED800" s="12"/>
    </row>
    <row r="801" spans="1:134" ht="12.5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12"/>
      <c r="AC801" s="12"/>
      <c r="AD801" s="12"/>
      <c r="AE801" s="2"/>
      <c r="AF801" s="2"/>
      <c r="AG801" s="2"/>
      <c r="AH801" s="2"/>
      <c r="AI801" s="2"/>
      <c r="AJ801" s="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2"/>
      <c r="AY801" s="2"/>
      <c r="AZ801" s="2"/>
      <c r="BA801" s="2"/>
      <c r="BB801" s="2"/>
      <c r="BC801" s="2"/>
      <c r="BD801" s="2"/>
      <c r="BE801" s="2"/>
      <c r="BF801" s="12"/>
      <c r="BG801" s="1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152"/>
      <c r="BV801" s="155"/>
      <c r="BW801" s="12"/>
      <c r="BX801" s="12"/>
      <c r="BY801" s="12"/>
      <c r="BZ801" s="12"/>
      <c r="CA801" s="12"/>
      <c r="CB801" s="12"/>
      <c r="CC801" s="12"/>
      <c r="CD801" s="12"/>
      <c r="CE801" s="12"/>
      <c r="CF801" s="12"/>
      <c r="CG801" s="12"/>
      <c r="CH801" s="12"/>
      <c r="CI801" s="12"/>
      <c r="CJ801" s="12"/>
      <c r="CK801" s="12"/>
      <c r="CL801" s="12"/>
      <c r="CM801" s="12"/>
      <c r="CN801" s="12"/>
      <c r="CO801" s="12"/>
      <c r="CP801" s="12"/>
      <c r="CQ801" s="46"/>
      <c r="CR801" s="46"/>
      <c r="CS801" s="46"/>
      <c r="CT801" s="119"/>
      <c r="CU801" s="119"/>
      <c r="CV801" s="119"/>
      <c r="CW801" s="119"/>
      <c r="CX801" s="120"/>
      <c r="CY801" s="120"/>
      <c r="CZ801" s="120"/>
      <c r="DA801" s="120"/>
      <c r="DB801" s="120"/>
      <c r="DC801" s="120"/>
      <c r="DD801" s="120"/>
      <c r="DE801" s="120"/>
      <c r="DF801" s="120"/>
      <c r="DG801" s="2"/>
      <c r="DH801" s="2"/>
      <c r="DI801" s="2"/>
      <c r="DJ801" s="48"/>
      <c r="DK801" s="48"/>
      <c r="DL801" s="48"/>
      <c r="DM801" s="13"/>
      <c r="DN801" s="13"/>
      <c r="DO801" s="12"/>
      <c r="DP801" s="12"/>
      <c r="DQ801" s="12"/>
      <c r="DR801" s="12"/>
      <c r="DS801" s="12"/>
      <c r="DT801" s="2"/>
      <c r="DU801" s="2"/>
      <c r="DV801" s="12"/>
      <c r="DW801" s="12"/>
      <c r="DX801" s="2"/>
      <c r="DY801" s="2"/>
      <c r="DZ801" s="12"/>
      <c r="EA801" s="12"/>
      <c r="EB801" s="12"/>
      <c r="EC801" s="12"/>
      <c r="ED801" s="12"/>
    </row>
    <row r="802" spans="1:134" ht="12.5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12"/>
      <c r="AC802" s="12"/>
      <c r="AD802" s="12"/>
      <c r="AE802" s="2"/>
      <c r="AF802" s="2"/>
      <c r="AG802" s="2"/>
      <c r="AH802" s="2"/>
      <c r="AI802" s="2"/>
      <c r="AJ802" s="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2"/>
      <c r="AY802" s="2"/>
      <c r="AZ802" s="2"/>
      <c r="BA802" s="2"/>
      <c r="BB802" s="2"/>
      <c r="BC802" s="2"/>
      <c r="BD802" s="2"/>
      <c r="BE802" s="2"/>
      <c r="BF802" s="12"/>
      <c r="BG802" s="1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152"/>
      <c r="BV802" s="155"/>
      <c r="BW802" s="12"/>
      <c r="BX802" s="12"/>
      <c r="BY802" s="12"/>
      <c r="BZ802" s="12"/>
      <c r="CA802" s="12"/>
      <c r="CB802" s="12"/>
      <c r="CC802" s="12"/>
      <c r="CD802" s="12"/>
      <c r="CE802" s="12"/>
      <c r="CF802" s="12"/>
      <c r="CG802" s="12"/>
      <c r="CH802" s="12"/>
      <c r="CI802" s="12"/>
      <c r="CJ802" s="12"/>
      <c r="CK802" s="12"/>
      <c r="CL802" s="12"/>
      <c r="CM802" s="12"/>
      <c r="CN802" s="12"/>
      <c r="CO802" s="12"/>
      <c r="CP802" s="12"/>
      <c r="CQ802" s="46"/>
      <c r="CR802" s="46"/>
      <c r="CS802" s="46"/>
      <c r="CT802" s="119"/>
      <c r="CU802" s="119"/>
      <c r="CV802" s="119"/>
      <c r="CW802" s="119"/>
      <c r="CX802" s="120"/>
      <c r="CY802" s="120"/>
      <c r="CZ802" s="120"/>
      <c r="DA802" s="120"/>
      <c r="DB802" s="120"/>
      <c r="DC802" s="120"/>
      <c r="DD802" s="120"/>
      <c r="DE802" s="120"/>
      <c r="DF802" s="120"/>
      <c r="DG802" s="2"/>
      <c r="DH802" s="2"/>
      <c r="DI802" s="2"/>
      <c r="DJ802" s="48"/>
      <c r="DK802" s="48"/>
      <c r="DL802" s="48"/>
      <c r="DM802" s="13"/>
      <c r="DN802" s="13"/>
      <c r="DO802" s="12"/>
      <c r="DP802" s="12"/>
      <c r="DQ802" s="12"/>
      <c r="DR802" s="12"/>
      <c r="DS802" s="12"/>
      <c r="DT802" s="2"/>
      <c r="DU802" s="2"/>
      <c r="DV802" s="12"/>
      <c r="DW802" s="12"/>
      <c r="DX802" s="2"/>
      <c r="DY802" s="2"/>
      <c r="DZ802" s="12"/>
      <c r="EA802" s="12"/>
      <c r="EB802" s="12"/>
      <c r="EC802" s="12"/>
      <c r="ED802" s="12"/>
    </row>
    <row r="803" spans="1:134" ht="12.5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12"/>
      <c r="AC803" s="12"/>
      <c r="AD803" s="12"/>
      <c r="AE803" s="2"/>
      <c r="AF803" s="2"/>
      <c r="AG803" s="2"/>
      <c r="AH803" s="2"/>
      <c r="AI803" s="2"/>
      <c r="AJ803" s="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2"/>
      <c r="AY803" s="2"/>
      <c r="AZ803" s="2"/>
      <c r="BA803" s="2"/>
      <c r="BB803" s="2"/>
      <c r="BC803" s="2"/>
      <c r="BD803" s="2"/>
      <c r="BE803" s="2"/>
      <c r="BF803" s="12"/>
      <c r="BG803" s="1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152"/>
      <c r="BV803" s="155"/>
      <c r="BW803" s="12"/>
      <c r="BX803" s="12"/>
      <c r="BY803" s="12"/>
      <c r="BZ803" s="12"/>
      <c r="CA803" s="12"/>
      <c r="CB803" s="12"/>
      <c r="CC803" s="12"/>
      <c r="CD803" s="12"/>
      <c r="CE803" s="12"/>
      <c r="CF803" s="12"/>
      <c r="CG803" s="12"/>
      <c r="CH803" s="12"/>
      <c r="CI803" s="12"/>
      <c r="CJ803" s="12"/>
      <c r="CK803" s="12"/>
      <c r="CL803" s="12"/>
      <c r="CM803" s="12"/>
      <c r="CN803" s="12"/>
      <c r="CO803" s="12"/>
      <c r="CP803" s="12"/>
      <c r="CQ803" s="46"/>
      <c r="CR803" s="46"/>
      <c r="CS803" s="46"/>
      <c r="CT803" s="119"/>
      <c r="CU803" s="119"/>
      <c r="CV803" s="119"/>
      <c r="CW803" s="119"/>
      <c r="CX803" s="120"/>
      <c r="CY803" s="120"/>
      <c r="CZ803" s="120"/>
      <c r="DA803" s="120"/>
      <c r="DB803" s="120"/>
      <c r="DC803" s="120"/>
      <c r="DD803" s="120"/>
      <c r="DE803" s="120"/>
      <c r="DF803" s="120"/>
      <c r="DG803" s="2"/>
      <c r="DH803" s="2"/>
      <c r="DI803" s="2"/>
      <c r="DJ803" s="48"/>
      <c r="DK803" s="48"/>
      <c r="DL803" s="48"/>
      <c r="DM803" s="13"/>
      <c r="DN803" s="13"/>
      <c r="DO803" s="12"/>
      <c r="DP803" s="12"/>
      <c r="DQ803" s="12"/>
      <c r="DR803" s="12"/>
      <c r="DS803" s="12"/>
      <c r="DT803" s="2"/>
      <c r="DU803" s="2"/>
      <c r="DV803" s="12"/>
      <c r="DW803" s="12"/>
      <c r="DX803" s="2"/>
      <c r="DY803" s="2"/>
      <c r="DZ803" s="12"/>
      <c r="EA803" s="12"/>
      <c r="EB803" s="12"/>
      <c r="EC803" s="12"/>
      <c r="ED803" s="12"/>
    </row>
    <row r="804" spans="1:134" ht="12.5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12"/>
      <c r="AC804" s="12"/>
      <c r="AD804" s="12"/>
      <c r="AE804" s="2"/>
      <c r="AF804" s="2"/>
      <c r="AG804" s="2"/>
      <c r="AH804" s="2"/>
      <c r="AI804" s="2"/>
      <c r="AJ804" s="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2"/>
      <c r="AY804" s="2"/>
      <c r="AZ804" s="2"/>
      <c r="BA804" s="2"/>
      <c r="BB804" s="2"/>
      <c r="BC804" s="2"/>
      <c r="BD804" s="2"/>
      <c r="BE804" s="2"/>
      <c r="BF804" s="12"/>
      <c r="BG804" s="1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152"/>
      <c r="BV804" s="155"/>
      <c r="BW804" s="12"/>
      <c r="BX804" s="12"/>
      <c r="BY804" s="12"/>
      <c r="BZ804" s="12"/>
      <c r="CA804" s="12"/>
      <c r="CB804" s="12"/>
      <c r="CC804" s="12"/>
      <c r="CD804" s="12"/>
      <c r="CE804" s="12"/>
      <c r="CF804" s="12"/>
      <c r="CG804" s="12"/>
      <c r="CH804" s="12"/>
      <c r="CI804" s="12"/>
      <c r="CJ804" s="12"/>
      <c r="CK804" s="12"/>
      <c r="CL804" s="12"/>
      <c r="CM804" s="12"/>
      <c r="CN804" s="12"/>
      <c r="CO804" s="12"/>
      <c r="CP804" s="12"/>
      <c r="CQ804" s="46"/>
      <c r="CR804" s="46"/>
      <c r="CS804" s="46"/>
      <c r="CT804" s="119"/>
      <c r="CU804" s="119"/>
      <c r="CV804" s="119"/>
      <c r="CW804" s="119"/>
      <c r="CX804" s="120"/>
      <c r="CY804" s="120"/>
      <c r="CZ804" s="120"/>
      <c r="DA804" s="120"/>
      <c r="DB804" s="120"/>
      <c r="DC804" s="120"/>
      <c r="DD804" s="120"/>
      <c r="DE804" s="120"/>
      <c r="DF804" s="120"/>
      <c r="DG804" s="2"/>
      <c r="DH804" s="2"/>
      <c r="DI804" s="2"/>
      <c r="DJ804" s="48"/>
      <c r="DK804" s="48"/>
      <c r="DL804" s="48"/>
      <c r="DM804" s="13"/>
      <c r="DN804" s="13"/>
      <c r="DO804" s="12"/>
      <c r="DP804" s="12"/>
      <c r="DQ804" s="12"/>
      <c r="DR804" s="12"/>
      <c r="DS804" s="12"/>
      <c r="DT804" s="2"/>
      <c r="DU804" s="2"/>
      <c r="DV804" s="12"/>
      <c r="DW804" s="12"/>
      <c r="DX804" s="2"/>
      <c r="DY804" s="2"/>
      <c r="DZ804" s="12"/>
      <c r="EA804" s="12"/>
      <c r="EB804" s="12"/>
      <c r="EC804" s="12"/>
      <c r="ED804" s="12"/>
    </row>
    <row r="805" spans="1:134" ht="12.5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12"/>
      <c r="AC805" s="12"/>
      <c r="AD805" s="12"/>
      <c r="AE805" s="2"/>
      <c r="AF805" s="2"/>
      <c r="AG805" s="2"/>
      <c r="AH805" s="2"/>
      <c r="AI805" s="2"/>
      <c r="AJ805" s="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2"/>
      <c r="AY805" s="2"/>
      <c r="AZ805" s="2"/>
      <c r="BA805" s="2"/>
      <c r="BB805" s="2"/>
      <c r="BC805" s="2"/>
      <c r="BD805" s="2"/>
      <c r="BE805" s="2"/>
      <c r="BF805" s="12"/>
      <c r="BG805" s="1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152"/>
      <c r="BV805" s="155"/>
      <c r="BW805" s="12"/>
      <c r="BX805" s="12"/>
      <c r="BY805" s="12"/>
      <c r="BZ805" s="12"/>
      <c r="CA805" s="12"/>
      <c r="CB805" s="12"/>
      <c r="CC805" s="12"/>
      <c r="CD805" s="12"/>
      <c r="CE805" s="12"/>
      <c r="CF805" s="12"/>
      <c r="CG805" s="12"/>
      <c r="CH805" s="12"/>
      <c r="CI805" s="12"/>
      <c r="CJ805" s="12"/>
      <c r="CK805" s="12"/>
      <c r="CL805" s="12"/>
      <c r="CM805" s="12"/>
      <c r="CN805" s="12"/>
      <c r="CO805" s="12"/>
      <c r="CP805" s="12"/>
      <c r="CQ805" s="46"/>
      <c r="CR805" s="46"/>
      <c r="CS805" s="46"/>
      <c r="CT805" s="119"/>
      <c r="CU805" s="119"/>
      <c r="CV805" s="119"/>
      <c r="CW805" s="119"/>
      <c r="CX805" s="120"/>
      <c r="CY805" s="120"/>
      <c r="CZ805" s="120"/>
      <c r="DA805" s="120"/>
      <c r="DB805" s="120"/>
      <c r="DC805" s="120"/>
      <c r="DD805" s="120"/>
      <c r="DE805" s="120"/>
      <c r="DF805" s="120"/>
      <c r="DG805" s="2"/>
      <c r="DH805" s="2"/>
      <c r="DI805" s="2"/>
      <c r="DJ805" s="48"/>
      <c r="DK805" s="48"/>
      <c r="DL805" s="48"/>
      <c r="DM805" s="13"/>
      <c r="DN805" s="13"/>
      <c r="DO805" s="12"/>
      <c r="DP805" s="12"/>
      <c r="DQ805" s="12"/>
      <c r="DR805" s="12"/>
      <c r="DS805" s="12"/>
      <c r="DT805" s="2"/>
      <c r="DU805" s="2"/>
      <c r="DV805" s="12"/>
      <c r="DW805" s="12"/>
      <c r="DX805" s="2"/>
      <c r="DY805" s="2"/>
      <c r="DZ805" s="12"/>
      <c r="EA805" s="12"/>
      <c r="EB805" s="12"/>
      <c r="EC805" s="12"/>
      <c r="ED805" s="12"/>
    </row>
    <row r="806" spans="1:134" ht="12.5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12"/>
      <c r="AC806" s="12"/>
      <c r="AD806" s="12"/>
      <c r="AE806" s="2"/>
      <c r="AF806" s="2"/>
      <c r="AG806" s="2"/>
      <c r="AH806" s="2"/>
      <c r="AI806" s="2"/>
      <c r="AJ806" s="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2"/>
      <c r="AY806" s="2"/>
      <c r="AZ806" s="2"/>
      <c r="BA806" s="2"/>
      <c r="BB806" s="2"/>
      <c r="BC806" s="2"/>
      <c r="BD806" s="2"/>
      <c r="BE806" s="2"/>
      <c r="BF806" s="12"/>
      <c r="BG806" s="1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152"/>
      <c r="BV806" s="155"/>
      <c r="BW806" s="12"/>
      <c r="BX806" s="12"/>
      <c r="BY806" s="12"/>
      <c r="BZ806" s="12"/>
      <c r="CA806" s="12"/>
      <c r="CB806" s="12"/>
      <c r="CC806" s="12"/>
      <c r="CD806" s="12"/>
      <c r="CE806" s="12"/>
      <c r="CF806" s="12"/>
      <c r="CG806" s="12"/>
      <c r="CH806" s="12"/>
      <c r="CI806" s="12"/>
      <c r="CJ806" s="12"/>
      <c r="CK806" s="12"/>
      <c r="CL806" s="12"/>
      <c r="CM806" s="12"/>
      <c r="CN806" s="12"/>
      <c r="CO806" s="12"/>
      <c r="CP806" s="12"/>
      <c r="CQ806" s="46"/>
      <c r="CR806" s="46"/>
      <c r="CS806" s="46"/>
      <c r="CT806" s="119"/>
      <c r="CU806" s="119"/>
      <c r="CV806" s="119"/>
      <c r="CW806" s="119"/>
      <c r="CX806" s="120"/>
      <c r="CY806" s="120"/>
      <c r="CZ806" s="120"/>
      <c r="DA806" s="120"/>
      <c r="DB806" s="120"/>
      <c r="DC806" s="120"/>
      <c r="DD806" s="120"/>
      <c r="DE806" s="120"/>
      <c r="DF806" s="120"/>
      <c r="DG806" s="2"/>
      <c r="DH806" s="2"/>
      <c r="DI806" s="2"/>
      <c r="DJ806" s="48"/>
      <c r="DK806" s="48"/>
      <c r="DL806" s="48"/>
      <c r="DM806" s="13"/>
      <c r="DN806" s="13"/>
      <c r="DO806" s="12"/>
      <c r="DP806" s="12"/>
      <c r="DQ806" s="12"/>
      <c r="DR806" s="12"/>
      <c r="DS806" s="12"/>
      <c r="DT806" s="2"/>
      <c r="DU806" s="2"/>
      <c r="DV806" s="12"/>
      <c r="DW806" s="12"/>
      <c r="DX806" s="2"/>
      <c r="DY806" s="2"/>
      <c r="DZ806" s="12"/>
      <c r="EA806" s="12"/>
      <c r="EB806" s="12"/>
      <c r="EC806" s="12"/>
      <c r="ED806" s="12"/>
    </row>
    <row r="807" spans="1:134" ht="12.5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12"/>
      <c r="AC807" s="12"/>
      <c r="AD807" s="12"/>
      <c r="AE807" s="2"/>
      <c r="AF807" s="2"/>
      <c r="AG807" s="2"/>
      <c r="AH807" s="2"/>
      <c r="AI807" s="2"/>
      <c r="AJ807" s="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2"/>
      <c r="AY807" s="2"/>
      <c r="AZ807" s="2"/>
      <c r="BA807" s="2"/>
      <c r="BB807" s="2"/>
      <c r="BC807" s="2"/>
      <c r="BD807" s="2"/>
      <c r="BE807" s="2"/>
      <c r="BF807" s="12"/>
      <c r="BG807" s="1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152"/>
      <c r="BV807" s="155"/>
      <c r="BW807" s="12"/>
      <c r="BX807" s="12"/>
      <c r="BY807" s="12"/>
      <c r="BZ807" s="12"/>
      <c r="CA807" s="12"/>
      <c r="CB807" s="12"/>
      <c r="CC807" s="12"/>
      <c r="CD807" s="12"/>
      <c r="CE807" s="12"/>
      <c r="CF807" s="12"/>
      <c r="CG807" s="12"/>
      <c r="CH807" s="12"/>
      <c r="CI807" s="12"/>
      <c r="CJ807" s="12"/>
      <c r="CK807" s="12"/>
      <c r="CL807" s="12"/>
      <c r="CM807" s="12"/>
      <c r="CN807" s="12"/>
      <c r="CO807" s="12"/>
      <c r="CP807" s="12"/>
      <c r="CQ807" s="46"/>
      <c r="CR807" s="46"/>
      <c r="CS807" s="46"/>
      <c r="CT807" s="119"/>
      <c r="CU807" s="119"/>
      <c r="CV807" s="119"/>
      <c r="CW807" s="119"/>
      <c r="CX807" s="120"/>
      <c r="CY807" s="120"/>
      <c r="CZ807" s="120"/>
      <c r="DA807" s="120"/>
      <c r="DB807" s="120"/>
      <c r="DC807" s="120"/>
      <c r="DD807" s="120"/>
      <c r="DE807" s="120"/>
      <c r="DF807" s="120"/>
      <c r="DG807" s="2"/>
      <c r="DH807" s="2"/>
      <c r="DI807" s="2"/>
      <c r="DJ807" s="48"/>
      <c r="DK807" s="48"/>
      <c r="DL807" s="48"/>
      <c r="DM807" s="13"/>
      <c r="DN807" s="13"/>
      <c r="DO807" s="12"/>
      <c r="DP807" s="12"/>
      <c r="DQ807" s="12"/>
      <c r="DR807" s="12"/>
      <c r="DS807" s="12"/>
      <c r="DT807" s="2"/>
      <c r="DU807" s="2"/>
      <c r="DV807" s="12"/>
      <c r="DW807" s="12"/>
      <c r="DX807" s="2"/>
      <c r="DY807" s="2"/>
      <c r="DZ807" s="12"/>
      <c r="EA807" s="12"/>
      <c r="EB807" s="12"/>
      <c r="EC807" s="12"/>
      <c r="ED807" s="12"/>
    </row>
    <row r="808" spans="1:134" ht="12.5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12"/>
      <c r="AC808" s="12"/>
      <c r="AD808" s="12"/>
      <c r="AE808" s="2"/>
      <c r="AF808" s="2"/>
      <c r="AG808" s="2"/>
      <c r="AH808" s="2"/>
      <c r="AI808" s="2"/>
      <c r="AJ808" s="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2"/>
      <c r="AY808" s="2"/>
      <c r="AZ808" s="2"/>
      <c r="BA808" s="2"/>
      <c r="BB808" s="2"/>
      <c r="BC808" s="2"/>
      <c r="BD808" s="2"/>
      <c r="BE808" s="2"/>
      <c r="BF808" s="12"/>
      <c r="BG808" s="1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152"/>
      <c r="BV808" s="155"/>
      <c r="BW808" s="12"/>
      <c r="BX808" s="12"/>
      <c r="BY808" s="12"/>
      <c r="BZ808" s="12"/>
      <c r="CA808" s="12"/>
      <c r="CB808" s="12"/>
      <c r="CC808" s="12"/>
      <c r="CD808" s="12"/>
      <c r="CE808" s="12"/>
      <c r="CF808" s="12"/>
      <c r="CG808" s="12"/>
      <c r="CH808" s="12"/>
      <c r="CI808" s="12"/>
      <c r="CJ808" s="12"/>
      <c r="CK808" s="12"/>
      <c r="CL808" s="12"/>
      <c r="CM808" s="12"/>
      <c r="CN808" s="12"/>
      <c r="CO808" s="12"/>
      <c r="CP808" s="12"/>
      <c r="CQ808" s="46"/>
      <c r="CR808" s="46"/>
      <c r="CS808" s="46"/>
      <c r="CT808" s="119"/>
      <c r="CU808" s="119"/>
      <c r="CV808" s="119"/>
      <c r="CW808" s="119"/>
      <c r="CX808" s="120"/>
      <c r="CY808" s="120"/>
      <c r="CZ808" s="120"/>
      <c r="DA808" s="120"/>
      <c r="DB808" s="120"/>
      <c r="DC808" s="120"/>
      <c r="DD808" s="120"/>
      <c r="DE808" s="120"/>
      <c r="DF808" s="120"/>
      <c r="DG808" s="2"/>
      <c r="DH808" s="2"/>
      <c r="DI808" s="2"/>
      <c r="DJ808" s="48"/>
      <c r="DK808" s="48"/>
      <c r="DL808" s="48"/>
      <c r="DM808" s="13"/>
      <c r="DN808" s="13"/>
      <c r="DO808" s="12"/>
      <c r="DP808" s="12"/>
      <c r="DQ808" s="12"/>
      <c r="DR808" s="12"/>
      <c r="DS808" s="12"/>
      <c r="DT808" s="2"/>
      <c r="DU808" s="2"/>
      <c r="DV808" s="12"/>
      <c r="DW808" s="12"/>
      <c r="DX808" s="2"/>
      <c r="DY808" s="2"/>
      <c r="DZ808" s="12"/>
      <c r="EA808" s="12"/>
      <c r="EB808" s="12"/>
      <c r="EC808" s="12"/>
      <c r="ED808" s="12"/>
    </row>
    <row r="809" spans="1:134" ht="12.5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12"/>
      <c r="AC809" s="12"/>
      <c r="AD809" s="12"/>
      <c r="AE809" s="2"/>
      <c r="AF809" s="2"/>
      <c r="AG809" s="2"/>
      <c r="AH809" s="2"/>
      <c r="AI809" s="2"/>
      <c r="AJ809" s="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2"/>
      <c r="AY809" s="2"/>
      <c r="AZ809" s="2"/>
      <c r="BA809" s="2"/>
      <c r="BB809" s="2"/>
      <c r="BC809" s="2"/>
      <c r="BD809" s="2"/>
      <c r="BE809" s="2"/>
      <c r="BF809" s="12"/>
      <c r="BG809" s="1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152"/>
      <c r="BV809" s="155"/>
      <c r="BW809" s="12"/>
      <c r="BX809" s="12"/>
      <c r="BY809" s="12"/>
      <c r="BZ809" s="12"/>
      <c r="CA809" s="12"/>
      <c r="CB809" s="12"/>
      <c r="CC809" s="12"/>
      <c r="CD809" s="12"/>
      <c r="CE809" s="12"/>
      <c r="CF809" s="12"/>
      <c r="CG809" s="12"/>
      <c r="CH809" s="12"/>
      <c r="CI809" s="12"/>
      <c r="CJ809" s="12"/>
      <c r="CK809" s="12"/>
      <c r="CL809" s="12"/>
      <c r="CM809" s="12"/>
      <c r="CN809" s="12"/>
      <c r="CO809" s="12"/>
      <c r="CP809" s="12"/>
      <c r="CQ809" s="46"/>
      <c r="CR809" s="46"/>
      <c r="CS809" s="46"/>
      <c r="CT809" s="119"/>
      <c r="CU809" s="119"/>
      <c r="CV809" s="119"/>
      <c r="CW809" s="119"/>
      <c r="CX809" s="120"/>
      <c r="CY809" s="120"/>
      <c r="CZ809" s="120"/>
      <c r="DA809" s="120"/>
      <c r="DB809" s="120"/>
      <c r="DC809" s="120"/>
      <c r="DD809" s="120"/>
      <c r="DE809" s="120"/>
      <c r="DF809" s="120"/>
      <c r="DG809" s="2"/>
      <c r="DH809" s="2"/>
      <c r="DI809" s="2"/>
      <c r="DJ809" s="48"/>
      <c r="DK809" s="48"/>
      <c r="DL809" s="48"/>
      <c r="DM809" s="13"/>
      <c r="DN809" s="13"/>
      <c r="DO809" s="12"/>
      <c r="DP809" s="12"/>
      <c r="DQ809" s="12"/>
      <c r="DR809" s="12"/>
      <c r="DS809" s="12"/>
      <c r="DT809" s="2"/>
      <c r="DU809" s="2"/>
      <c r="DV809" s="12"/>
      <c r="DW809" s="12"/>
      <c r="DX809" s="2"/>
      <c r="DY809" s="2"/>
      <c r="DZ809" s="12"/>
      <c r="EA809" s="12"/>
      <c r="EB809" s="12"/>
      <c r="EC809" s="12"/>
      <c r="ED809" s="12"/>
    </row>
    <row r="810" spans="1:134" ht="12.5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12"/>
      <c r="AC810" s="12"/>
      <c r="AD810" s="12"/>
      <c r="AE810" s="2"/>
      <c r="AF810" s="2"/>
      <c r="AG810" s="2"/>
      <c r="AH810" s="2"/>
      <c r="AI810" s="2"/>
      <c r="AJ810" s="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2"/>
      <c r="AY810" s="2"/>
      <c r="AZ810" s="2"/>
      <c r="BA810" s="2"/>
      <c r="BB810" s="2"/>
      <c r="BC810" s="2"/>
      <c r="BD810" s="2"/>
      <c r="BE810" s="2"/>
      <c r="BF810" s="12"/>
      <c r="BG810" s="1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152"/>
      <c r="BV810" s="155"/>
      <c r="BW810" s="12"/>
      <c r="BX810" s="12"/>
      <c r="BY810" s="12"/>
      <c r="BZ810" s="12"/>
      <c r="CA810" s="12"/>
      <c r="CB810" s="12"/>
      <c r="CC810" s="12"/>
      <c r="CD810" s="12"/>
      <c r="CE810" s="12"/>
      <c r="CF810" s="12"/>
      <c r="CG810" s="12"/>
      <c r="CH810" s="12"/>
      <c r="CI810" s="12"/>
      <c r="CJ810" s="12"/>
      <c r="CK810" s="12"/>
      <c r="CL810" s="12"/>
      <c r="CM810" s="12"/>
      <c r="CN810" s="12"/>
      <c r="CO810" s="12"/>
      <c r="CP810" s="12"/>
      <c r="CQ810" s="46"/>
      <c r="CR810" s="46"/>
      <c r="CS810" s="46"/>
      <c r="CT810" s="119"/>
      <c r="CU810" s="119"/>
      <c r="CV810" s="119"/>
      <c r="CW810" s="119"/>
      <c r="CX810" s="120"/>
      <c r="CY810" s="120"/>
      <c r="CZ810" s="120"/>
      <c r="DA810" s="120"/>
      <c r="DB810" s="120"/>
      <c r="DC810" s="120"/>
      <c r="DD810" s="120"/>
      <c r="DE810" s="120"/>
      <c r="DF810" s="120"/>
      <c r="DG810" s="2"/>
      <c r="DH810" s="2"/>
      <c r="DI810" s="2"/>
      <c r="DJ810" s="48"/>
      <c r="DK810" s="48"/>
      <c r="DL810" s="48"/>
      <c r="DM810" s="13"/>
      <c r="DN810" s="13"/>
      <c r="DO810" s="12"/>
      <c r="DP810" s="12"/>
      <c r="DQ810" s="12"/>
      <c r="DR810" s="12"/>
      <c r="DS810" s="12"/>
      <c r="DT810" s="2"/>
      <c r="DU810" s="2"/>
      <c r="DV810" s="12"/>
      <c r="DW810" s="12"/>
      <c r="DX810" s="2"/>
      <c r="DY810" s="2"/>
      <c r="DZ810" s="12"/>
      <c r="EA810" s="12"/>
      <c r="EB810" s="12"/>
      <c r="EC810" s="12"/>
      <c r="ED810" s="12"/>
    </row>
    <row r="811" spans="1:134" ht="12.5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12"/>
      <c r="AC811" s="12"/>
      <c r="AD811" s="12"/>
      <c r="AE811" s="2"/>
      <c r="AF811" s="2"/>
      <c r="AG811" s="2"/>
      <c r="AH811" s="2"/>
      <c r="AI811" s="2"/>
      <c r="AJ811" s="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2"/>
      <c r="AY811" s="2"/>
      <c r="AZ811" s="2"/>
      <c r="BA811" s="2"/>
      <c r="BB811" s="2"/>
      <c r="BC811" s="2"/>
      <c r="BD811" s="2"/>
      <c r="BE811" s="2"/>
      <c r="BF811" s="12"/>
      <c r="BG811" s="1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152"/>
      <c r="BV811" s="155"/>
      <c r="BW811" s="12"/>
      <c r="BX811" s="12"/>
      <c r="BY811" s="12"/>
      <c r="BZ811" s="12"/>
      <c r="CA811" s="12"/>
      <c r="CB811" s="12"/>
      <c r="CC811" s="12"/>
      <c r="CD811" s="12"/>
      <c r="CE811" s="12"/>
      <c r="CF811" s="12"/>
      <c r="CG811" s="12"/>
      <c r="CH811" s="12"/>
      <c r="CI811" s="12"/>
      <c r="CJ811" s="12"/>
      <c r="CK811" s="12"/>
      <c r="CL811" s="12"/>
      <c r="CM811" s="12"/>
      <c r="CN811" s="12"/>
      <c r="CO811" s="12"/>
      <c r="CP811" s="12"/>
      <c r="CQ811" s="46"/>
      <c r="CR811" s="46"/>
      <c r="CS811" s="46"/>
      <c r="CT811" s="119"/>
      <c r="CU811" s="119"/>
      <c r="CV811" s="119"/>
      <c r="CW811" s="119"/>
      <c r="CX811" s="120"/>
      <c r="CY811" s="120"/>
      <c r="CZ811" s="120"/>
      <c r="DA811" s="120"/>
      <c r="DB811" s="120"/>
      <c r="DC811" s="120"/>
      <c r="DD811" s="120"/>
      <c r="DE811" s="120"/>
      <c r="DF811" s="120"/>
      <c r="DG811" s="2"/>
      <c r="DH811" s="2"/>
      <c r="DI811" s="2"/>
      <c r="DJ811" s="48"/>
      <c r="DK811" s="48"/>
      <c r="DL811" s="48"/>
      <c r="DM811" s="13"/>
      <c r="DN811" s="13"/>
      <c r="DO811" s="12"/>
      <c r="DP811" s="12"/>
      <c r="DQ811" s="12"/>
      <c r="DR811" s="12"/>
      <c r="DS811" s="12"/>
      <c r="DT811" s="2"/>
      <c r="DU811" s="2"/>
      <c r="DV811" s="12"/>
      <c r="DW811" s="12"/>
      <c r="DX811" s="2"/>
      <c r="DY811" s="2"/>
      <c r="DZ811" s="12"/>
      <c r="EA811" s="12"/>
      <c r="EB811" s="12"/>
      <c r="EC811" s="12"/>
      <c r="ED811" s="12"/>
    </row>
    <row r="812" spans="1:134" ht="12.5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12"/>
      <c r="AC812" s="12"/>
      <c r="AD812" s="12"/>
      <c r="AE812" s="2"/>
      <c r="AF812" s="2"/>
      <c r="AG812" s="2"/>
      <c r="AH812" s="2"/>
      <c r="AI812" s="2"/>
      <c r="AJ812" s="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2"/>
      <c r="AY812" s="2"/>
      <c r="AZ812" s="2"/>
      <c r="BA812" s="2"/>
      <c r="BB812" s="2"/>
      <c r="BC812" s="2"/>
      <c r="BD812" s="2"/>
      <c r="BE812" s="2"/>
      <c r="BF812" s="12"/>
      <c r="BG812" s="1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152"/>
      <c r="BV812" s="155"/>
      <c r="BW812" s="12"/>
      <c r="BX812" s="12"/>
      <c r="BY812" s="12"/>
      <c r="BZ812" s="12"/>
      <c r="CA812" s="12"/>
      <c r="CB812" s="12"/>
      <c r="CC812" s="12"/>
      <c r="CD812" s="12"/>
      <c r="CE812" s="12"/>
      <c r="CF812" s="12"/>
      <c r="CG812" s="12"/>
      <c r="CH812" s="12"/>
      <c r="CI812" s="12"/>
      <c r="CJ812" s="12"/>
      <c r="CK812" s="12"/>
      <c r="CL812" s="12"/>
      <c r="CM812" s="12"/>
      <c r="CN812" s="12"/>
      <c r="CO812" s="12"/>
      <c r="CP812" s="12"/>
      <c r="CQ812" s="46"/>
      <c r="CR812" s="46"/>
      <c r="CS812" s="46"/>
      <c r="CT812" s="119"/>
      <c r="CU812" s="119"/>
      <c r="CV812" s="119"/>
      <c r="CW812" s="119"/>
      <c r="CX812" s="120"/>
      <c r="CY812" s="120"/>
      <c r="CZ812" s="120"/>
      <c r="DA812" s="120"/>
      <c r="DB812" s="120"/>
      <c r="DC812" s="120"/>
      <c r="DD812" s="120"/>
      <c r="DE812" s="120"/>
      <c r="DF812" s="120"/>
      <c r="DG812" s="2"/>
      <c r="DH812" s="2"/>
      <c r="DI812" s="2"/>
      <c r="DJ812" s="48"/>
      <c r="DK812" s="48"/>
      <c r="DL812" s="48"/>
      <c r="DM812" s="13"/>
      <c r="DN812" s="13"/>
      <c r="DO812" s="12"/>
      <c r="DP812" s="12"/>
      <c r="DQ812" s="12"/>
      <c r="DR812" s="12"/>
      <c r="DS812" s="12"/>
      <c r="DT812" s="2"/>
      <c r="DU812" s="2"/>
      <c r="DV812" s="12"/>
      <c r="DW812" s="12"/>
      <c r="DX812" s="2"/>
      <c r="DY812" s="2"/>
      <c r="DZ812" s="12"/>
      <c r="EA812" s="12"/>
      <c r="EB812" s="12"/>
      <c r="EC812" s="12"/>
      <c r="ED812" s="12"/>
    </row>
    <row r="813" spans="1:134" ht="12.5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12"/>
      <c r="AC813" s="12"/>
      <c r="AD813" s="12"/>
      <c r="AE813" s="2"/>
      <c r="AF813" s="2"/>
      <c r="AG813" s="2"/>
      <c r="AH813" s="2"/>
      <c r="AI813" s="2"/>
      <c r="AJ813" s="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2"/>
      <c r="AY813" s="2"/>
      <c r="AZ813" s="2"/>
      <c r="BA813" s="2"/>
      <c r="BB813" s="2"/>
      <c r="BC813" s="2"/>
      <c r="BD813" s="2"/>
      <c r="BE813" s="2"/>
      <c r="BF813" s="12"/>
      <c r="BG813" s="1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152"/>
      <c r="BV813" s="155"/>
      <c r="BW813" s="12"/>
      <c r="BX813" s="12"/>
      <c r="BY813" s="12"/>
      <c r="BZ813" s="12"/>
      <c r="CA813" s="12"/>
      <c r="CB813" s="12"/>
      <c r="CC813" s="12"/>
      <c r="CD813" s="12"/>
      <c r="CE813" s="12"/>
      <c r="CF813" s="12"/>
      <c r="CG813" s="12"/>
      <c r="CH813" s="12"/>
      <c r="CI813" s="12"/>
      <c r="CJ813" s="12"/>
      <c r="CK813" s="12"/>
      <c r="CL813" s="12"/>
      <c r="CM813" s="12"/>
      <c r="CN813" s="12"/>
      <c r="CO813" s="12"/>
      <c r="CP813" s="12"/>
      <c r="CQ813" s="46"/>
      <c r="CR813" s="46"/>
      <c r="CS813" s="46"/>
      <c r="CT813" s="119"/>
      <c r="CU813" s="119"/>
      <c r="CV813" s="119"/>
      <c r="CW813" s="119"/>
      <c r="CX813" s="120"/>
      <c r="CY813" s="120"/>
      <c r="CZ813" s="120"/>
      <c r="DA813" s="120"/>
      <c r="DB813" s="120"/>
      <c r="DC813" s="120"/>
      <c r="DD813" s="120"/>
      <c r="DE813" s="120"/>
      <c r="DF813" s="120"/>
      <c r="DG813" s="2"/>
      <c r="DH813" s="2"/>
      <c r="DI813" s="2"/>
      <c r="DJ813" s="48"/>
      <c r="DK813" s="48"/>
      <c r="DL813" s="48"/>
      <c r="DM813" s="13"/>
      <c r="DN813" s="13"/>
      <c r="DO813" s="12"/>
      <c r="DP813" s="12"/>
      <c r="DQ813" s="12"/>
      <c r="DR813" s="12"/>
      <c r="DS813" s="12"/>
      <c r="DT813" s="2"/>
      <c r="DU813" s="2"/>
      <c r="DV813" s="12"/>
      <c r="DW813" s="12"/>
      <c r="DX813" s="2"/>
      <c r="DY813" s="2"/>
      <c r="DZ813" s="12"/>
      <c r="EA813" s="12"/>
      <c r="EB813" s="12"/>
      <c r="EC813" s="12"/>
      <c r="ED813" s="12"/>
    </row>
    <row r="814" spans="1:134" ht="12.5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12"/>
      <c r="AC814" s="12"/>
      <c r="AD814" s="12"/>
      <c r="AE814" s="2"/>
      <c r="AF814" s="2"/>
      <c r="AG814" s="2"/>
      <c r="AH814" s="2"/>
      <c r="AI814" s="2"/>
      <c r="AJ814" s="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2"/>
      <c r="AY814" s="2"/>
      <c r="AZ814" s="2"/>
      <c r="BA814" s="2"/>
      <c r="BB814" s="2"/>
      <c r="BC814" s="2"/>
      <c r="BD814" s="2"/>
      <c r="BE814" s="2"/>
      <c r="BF814" s="12"/>
      <c r="BG814" s="1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152"/>
      <c r="BV814" s="155"/>
      <c r="BW814" s="12"/>
      <c r="BX814" s="12"/>
      <c r="BY814" s="12"/>
      <c r="BZ814" s="12"/>
      <c r="CA814" s="12"/>
      <c r="CB814" s="12"/>
      <c r="CC814" s="12"/>
      <c r="CD814" s="12"/>
      <c r="CE814" s="12"/>
      <c r="CF814" s="12"/>
      <c r="CG814" s="12"/>
      <c r="CH814" s="12"/>
      <c r="CI814" s="12"/>
      <c r="CJ814" s="12"/>
      <c r="CK814" s="12"/>
      <c r="CL814" s="12"/>
      <c r="CM814" s="12"/>
      <c r="CN814" s="12"/>
      <c r="CO814" s="12"/>
      <c r="CP814" s="12"/>
      <c r="CQ814" s="46"/>
      <c r="CR814" s="46"/>
      <c r="CS814" s="46"/>
      <c r="CT814" s="119"/>
      <c r="CU814" s="119"/>
      <c r="CV814" s="119"/>
      <c r="CW814" s="119"/>
      <c r="CX814" s="120"/>
      <c r="CY814" s="120"/>
      <c r="CZ814" s="120"/>
      <c r="DA814" s="120"/>
      <c r="DB814" s="120"/>
      <c r="DC814" s="120"/>
      <c r="DD814" s="120"/>
      <c r="DE814" s="120"/>
      <c r="DF814" s="120"/>
      <c r="DG814" s="2"/>
      <c r="DH814" s="2"/>
      <c r="DI814" s="2"/>
      <c r="DJ814" s="48"/>
      <c r="DK814" s="48"/>
      <c r="DL814" s="48"/>
      <c r="DM814" s="13"/>
      <c r="DN814" s="13"/>
      <c r="DO814" s="12"/>
      <c r="DP814" s="12"/>
      <c r="DQ814" s="12"/>
      <c r="DR814" s="12"/>
      <c r="DS814" s="12"/>
      <c r="DT814" s="2"/>
      <c r="DU814" s="2"/>
      <c r="DV814" s="12"/>
      <c r="DW814" s="12"/>
      <c r="DX814" s="2"/>
      <c r="DY814" s="2"/>
      <c r="DZ814" s="12"/>
      <c r="EA814" s="12"/>
      <c r="EB814" s="12"/>
      <c r="EC814" s="12"/>
      <c r="ED814" s="12"/>
    </row>
    <row r="815" spans="1:134" ht="12.5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12"/>
      <c r="AC815" s="12"/>
      <c r="AD815" s="12"/>
      <c r="AE815" s="2"/>
      <c r="AF815" s="2"/>
      <c r="AG815" s="2"/>
      <c r="AH815" s="2"/>
      <c r="AI815" s="2"/>
      <c r="AJ815" s="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2"/>
      <c r="AY815" s="2"/>
      <c r="AZ815" s="2"/>
      <c r="BA815" s="2"/>
      <c r="BB815" s="2"/>
      <c r="BC815" s="2"/>
      <c r="BD815" s="2"/>
      <c r="BE815" s="2"/>
      <c r="BF815" s="12"/>
      <c r="BG815" s="1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152"/>
      <c r="BV815" s="155"/>
      <c r="BW815" s="12"/>
      <c r="BX815" s="12"/>
      <c r="BY815" s="12"/>
      <c r="BZ815" s="12"/>
      <c r="CA815" s="12"/>
      <c r="CB815" s="12"/>
      <c r="CC815" s="12"/>
      <c r="CD815" s="12"/>
      <c r="CE815" s="12"/>
      <c r="CF815" s="12"/>
      <c r="CG815" s="12"/>
      <c r="CH815" s="12"/>
      <c r="CI815" s="12"/>
      <c r="CJ815" s="12"/>
      <c r="CK815" s="12"/>
      <c r="CL815" s="12"/>
      <c r="CM815" s="12"/>
      <c r="CN815" s="12"/>
      <c r="CO815" s="12"/>
      <c r="CP815" s="12"/>
      <c r="CQ815" s="46"/>
      <c r="CR815" s="46"/>
      <c r="CS815" s="46"/>
      <c r="CT815" s="119"/>
      <c r="CU815" s="119"/>
      <c r="CV815" s="119"/>
      <c r="CW815" s="119"/>
      <c r="CX815" s="120"/>
      <c r="CY815" s="120"/>
      <c r="CZ815" s="120"/>
      <c r="DA815" s="120"/>
      <c r="DB815" s="120"/>
      <c r="DC815" s="120"/>
      <c r="DD815" s="120"/>
      <c r="DE815" s="120"/>
      <c r="DF815" s="120"/>
      <c r="DG815" s="2"/>
      <c r="DH815" s="2"/>
      <c r="DI815" s="2"/>
      <c r="DJ815" s="48"/>
      <c r="DK815" s="48"/>
      <c r="DL815" s="48"/>
      <c r="DM815" s="13"/>
      <c r="DN815" s="13"/>
      <c r="DO815" s="12"/>
      <c r="DP815" s="12"/>
      <c r="DQ815" s="12"/>
      <c r="DR815" s="12"/>
      <c r="DS815" s="12"/>
      <c r="DT815" s="2"/>
      <c r="DU815" s="2"/>
      <c r="DV815" s="12"/>
      <c r="DW815" s="12"/>
      <c r="DX815" s="2"/>
      <c r="DY815" s="2"/>
      <c r="DZ815" s="12"/>
      <c r="EA815" s="12"/>
      <c r="EB815" s="12"/>
      <c r="EC815" s="12"/>
      <c r="ED815" s="12"/>
    </row>
    <row r="816" spans="1:134" ht="12.5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12"/>
      <c r="AC816" s="12"/>
      <c r="AD816" s="12"/>
      <c r="AE816" s="2"/>
      <c r="AF816" s="2"/>
      <c r="AG816" s="2"/>
      <c r="AH816" s="2"/>
      <c r="AI816" s="2"/>
      <c r="AJ816" s="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2"/>
      <c r="AY816" s="2"/>
      <c r="AZ816" s="2"/>
      <c r="BA816" s="2"/>
      <c r="BB816" s="2"/>
      <c r="BC816" s="2"/>
      <c r="BD816" s="2"/>
      <c r="BE816" s="2"/>
      <c r="BF816" s="12"/>
      <c r="BG816" s="1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152"/>
      <c r="BV816" s="155"/>
      <c r="BW816" s="12"/>
      <c r="BX816" s="12"/>
      <c r="BY816" s="12"/>
      <c r="BZ816" s="12"/>
      <c r="CA816" s="12"/>
      <c r="CB816" s="12"/>
      <c r="CC816" s="12"/>
      <c r="CD816" s="12"/>
      <c r="CE816" s="12"/>
      <c r="CF816" s="12"/>
      <c r="CG816" s="12"/>
      <c r="CH816" s="12"/>
      <c r="CI816" s="12"/>
      <c r="CJ816" s="12"/>
      <c r="CK816" s="12"/>
      <c r="CL816" s="12"/>
      <c r="CM816" s="12"/>
      <c r="CN816" s="12"/>
      <c r="CO816" s="12"/>
      <c r="CP816" s="12"/>
      <c r="CQ816" s="46"/>
      <c r="CR816" s="46"/>
      <c r="CS816" s="46"/>
      <c r="CT816" s="119"/>
      <c r="CU816" s="119"/>
      <c r="CV816" s="119"/>
      <c r="CW816" s="119"/>
      <c r="CX816" s="120"/>
      <c r="CY816" s="120"/>
      <c r="CZ816" s="120"/>
      <c r="DA816" s="120"/>
      <c r="DB816" s="120"/>
      <c r="DC816" s="120"/>
      <c r="DD816" s="120"/>
      <c r="DE816" s="120"/>
      <c r="DF816" s="120"/>
      <c r="DG816" s="2"/>
      <c r="DH816" s="2"/>
      <c r="DI816" s="2"/>
      <c r="DJ816" s="48"/>
      <c r="DK816" s="48"/>
      <c r="DL816" s="48"/>
      <c r="DM816" s="13"/>
      <c r="DN816" s="13"/>
      <c r="DO816" s="12"/>
      <c r="DP816" s="12"/>
      <c r="DQ816" s="12"/>
      <c r="DR816" s="12"/>
      <c r="DS816" s="12"/>
      <c r="DT816" s="2"/>
      <c r="DU816" s="2"/>
      <c r="DV816" s="12"/>
      <c r="DW816" s="12"/>
      <c r="DX816" s="2"/>
      <c r="DY816" s="2"/>
      <c r="DZ816" s="12"/>
      <c r="EA816" s="12"/>
      <c r="EB816" s="12"/>
      <c r="EC816" s="12"/>
      <c r="ED816" s="12"/>
    </row>
    <row r="817" spans="1:134" ht="12.5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12"/>
      <c r="AC817" s="12"/>
      <c r="AD817" s="12"/>
      <c r="AE817" s="2"/>
      <c r="AF817" s="2"/>
      <c r="AG817" s="2"/>
      <c r="AH817" s="2"/>
      <c r="AI817" s="2"/>
      <c r="AJ817" s="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2"/>
      <c r="AY817" s="2"/>
      <c r="AZ817" s="2"/>
      <c r="BA817" s="2"/>
      <c r="BB817" s="2"/>
      <c r="BC817" s="2"/>
      <c r="BD817" s="2"/>
      <c r="BE817" s="2"/>
      <c r="BF817" s="12"/>
      <c r="BG817" s="1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152"/>
      <c r="BV817" s="155"/>
      <c r="BW817" s="12"/>
      <c r="BX817" s="12"/>
      <c r="BY817" s="12"/>
      <c r="BZ817" s="12"/>
      <c r="CA817" s="12"/>
      <c r="CB817" s="12"/>
      <c r="CC817" s="12"/>
      <c r="CD817" s="12"/>
      <c r="CE817" s="12"/>
      <c r="CF817" s="12"/>
      <c r="CG817" s="12"/>
      <c r="CH817" s="12"/>
      <c r="CI817" s="12"/>
      <c r="CJ817" s="12"/>
      <c r="CK817" s="12"/>
      <c r="CL817" s="12"/>
      <c r="CM817" s="12"/>
      <c r="CN817" s="12"/>
      <c r="CO817" s="12"/>
      <c r="CP817" s="12"/>
      <c r="CQ817" s="46"/>
      <c r="CR817" s="46"/>
      <c r="CS817" s="46"/>
      <c r="CT817" s="119"/>
      <c r="CU817" s="119"/>
      <c r="CV817" s="119"/>
      <c r="CW817" s="119"/>
      <c r="CX817" s="120"/>
      <c r="CY817" s="120"/>
      <c r="CZ817" s="120"/>
      <c r="DA817" s="120"/>
      <c r="DB817" s="120"/>
      <c r="DC817" s="120"/>
      <c r="DD817" s="120"/>
      <c r="DE817" s="120"/>
      <c r="DF817" s="120"/>
      <c r="DG817" s="2"/>
      <c r="DH817" s="2"/>
      <c r="DI817" s="2"/>
      <c r="DJ817" s="48"/>
      <c r="DK817" s="48"/>
      <c r="DL817" s="48"/>
      <c r="DM817" s="13"/>
      <c r="DN817" s="13"/>
      <c r="DO817" s="12"/>
      <c r="DP817" s="12"/>
      <c r="DQ817" s="12"/>
      <c r="DR817" s="12"/>
      <c r="DS817" s="12"/>
      <c r="DT817" s="2"/>
      <c r="DU817" s="2"/>
      <c r="DV817" s="12"/>
      <c r="DW817" s="12"/>
      <c r="DX817" s="2"/>
      <c r="DY817" s="2"/>
      <c r="DZ817" s="12"/>
      <c r="EA817" s="12"/>
      <c r="EB817" s="12"/>
      <c r="EC817" s="12"/>
      <c r="ED817" s="12"/>
    </row>
    <row r="818" spans="1:134" ht="12.5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12"/>
      <c r="AC818" s="12"/>
      <c r="AD818" s="12"/>
      <c r="AE818" s="2"/>
      <c r="AF818" s="2"/>
      <c r="AG818" s="2"/>
      <c r="AH818" s="2"/>
      <c r="AI818" s="2"/>
      <c r="AJ818" s="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2"/>
      <c r="AY818" s="2"/>
      <c r="AZ818" s="2"/>
      <c r="BA818" s="2"/>
      <c r="BB818" s="2"/>
      <c r="BC818" s="2"/>
      <c r="BD818" s="2"/>
      <c r="BE818" s="2"/>
      <c r="BF818" s="12"/>
      <c r="BG818" s="1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152"/>
      <c r="BV818" s="155"/>
      <c r="BW818" s="12"/>
      <c r="BX818" s="12"/>
      <c r="BY818" s="12"/>
      <c r="BZ818" s="12"/>
      <c r="CA818" s="12"/>
      <c r="CB818" s="12"/>
      <c r="CC818" s="12"/>
      <c r="CD818" s="12"/>
      <c r="CE818" s="12"/>
      <c r="CF818" s="12"/>
      <c r="CG818" s="12"/>
      <c r="CH818" s="12"/>
      <c r="CI818" s="12"/>
      <c r="CJ818" s="12"/>
      <c r="CK818" s="12"/>
      <c r="CL818" s="12"/>
      <c r="CM818" s="12"/>
      <c r="CN818" s="12"/>
      <c r="CO818" s="12"/>
      <c r="CP818" s="12"/>
      <c r="CQ818" s="46"/>
      <c r="CR818" s="46"/>
      <c r="CS818" s="46"/>
      <c r="CT818" s="119"/>
      <c r="CU818" s="119"/>
      <c r="CV818" s="119"/>
      <c r="CW818" s="119"/>
      <c r="CX818" s="120"/>
      <c r="CY818" s="120"/>
      <c r="CZ818" s="120"/>
      <c r="DA818" s="120"/>
      <c r="DB818" s="120"/>
      <c r="DC818" s="120"/>
      <c r="DD818" s="120"/>
      <c r="DE818" s="120"/>
      <c r="DF818" s="120"/>
      <c r="DG818" s="2"/>
      <c r="DH818" s="2"/>
      <c r="DI818" s="2"/>
      <c r="DJ818" s="48"/>
      <c r="DK818" s="48"/>
      <c r="DL818" s="48"/>
      <c r="DM818" s="13"/>
      <c r="DN818" s="13"/>
      <c r="DO818" s="12"/>
      <c r="DP818" s="12"/>
      <c r="DQ818" s="12"/>
      <c r="DR818" s="12"/>
      <c r="DS818" s="12"/>
      <c r="DT818" s="2"/>
      <c r="DU818" s="2"/>
      <c r="DV818" s="12"/>
      <c r="DW818" s="12"/>
      <c r="DX818" s="2"/>
      <c r="DY818" s="2"/>
      <c r="DZ818" s="12"/>
      <c r="EA818" s="12"/>
      <c r="EB818" s="12"/>
      <c r="EC818" s="12"/>
      <c r="ED818" s="12"/>
    </row>
    <row r="819" spans="1:134" ht="12.5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12"/>
      <c r="AC819" s="12"/>
      <c r="AD819" s="12"/>
      <c r="AE819" s="2"/>
      <c r="AF819" s="2"/>
      <c r="AG819" s="2"/>
      <c r="AH819" s="2"/>
      <c r="AI819" s="2"/>
      <c r="AJ819" s="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2"/>
      <c r="AY819" s="2"/>
      <c r="AZ819" s="2"/>
      <c r="BA819" s="2"/>
      <c r="BB819" s="2"/>
      <c r="BC819" s="2"/>
      <c r="BD819" s="2"/>
      <c r="BE819" s="2"/>
      <c r="BF819" s="12"/>
      <c r="BG819" s="1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152"/>
      <c r="BV819" s="155"/>
      <c r="BW819" s="12"/>
      <c r="BX819" s="12"/>
      <c r="BY819" s="12"/>
      <c r="BZ819" s="12"/>
      <c r="CA819" s="12"/>
      <c r="CB819" s="12"/>
      <c r="CC819" s="12"/>
      <c r="CD819" s="12"/>
      <c r="CE819" s="12"/>
      <c r="CF819" s="12"/>
      <c r="CG819" s="12"/>
      <c r="CH819" s="12"/>
      <c r="CI819" s="12"/>
      <c r="CJ819" s="12"/>
      <c r="CK819" s="12"/>
      <c r="CL819" s="12"/>
      <c r="CM819" s="12"/>
      <c r="CN819" s="12"/>
      <c r="CO819" s="12"/>
      <c r="CP819" s="12"/>
      <c r="CQ819" s="46"/>
      <c r="CR819" s="46"/>
      <c r="CS819" s="46"/>
      <c r="CT819" s="119"/>
      <c r="CU819" s="119"/>
      <c r="CV819" s="119"/>
      <c r="CW819" s="119"/>
      <c r="CX819" s="120"/>
      <c r="CY819" s="120"/>
      <c r="CZ819" s="120"/>
      <c r="DA819" s="120"/>
      <c r="DB819" s="120"/>
      <c r="DC819" s="120"/>
      <c r="DD819" s="120"/>
      <c r="DE819" s="120"/>
      <c r="DF819" s="120"/>
      <c r="DG819" s="2"/>
      <c r="DH819" s="2"/>
      <c r="DI819" s="2"/>
      <c r="DJ819" s="48"/>
      <c r="DK819" s="48"/>
      <c r="DL819" s="48"/>
      <c r="DM819" s="13"/>
      <c r="DN819" s="13"/>
      <c r="DO819" s="12"/>
      <c r="DP819" s="12"/>
      <c r="DQ819" s="12"/>
      <c r="DR819" s="12"/>
      <c r="DS819" s="12"/>
      <c r="DT819" s="2"/>
      <c r="DU819" s="2"/>
      <c r="DV819" s="12"/>
      <c r="DW819" s="12"/>
      <c r="DX819" s="2"/>
      <c r="DY819" s="2"/>
      <c r="DZ819" s="12"/>
      <c r="EA819" s="12"/>
      <c r="EB819" s="12"/>
      <c r="EC819" s="12"/>
      <c r="ED819" s="12"/>
    </row>
    <row r="820" spans="1:134" ht="12.5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12"/>
      <c r="AC820" s="12"/>
      <c r="AD820" s="12"/>
      <c r="AE820" s="2"/>
      <c r="AF820" s="2"/>
      <c r="AG820" s="2"/>
      <c r="AH820" s="2"/>
      <c r="AI820" s="2"/>
      <c r="AJ820" s="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2"/>
      <c r="AY820" s="2"/>
      <c r="AZ820" s="2"/>
      <c r="BA820" s="2"/>
      <c r="BB820" s="2"/>
      <c r="BC820" s="2"/>
      <c r="BD820" s="2"/>
      <c r="BE820" s="2"/>
      <c r="BF820" s="12"/>
      <c r="BG820" s="1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152"/>
      <c r="BV820" s="155"/>
      <c r="BW820" s="12"/>
      <c r="BX820" s="12"/>
      <c r="BY820" s="12"/>
      <c r="BZ820" s="12"/>
      <c r="CA820" s="12"/>
      <c r="CB820" s="12"/>
      <c r="CC820" s="12"/>
      <c r="CD820" s="12"/>
      <c r="CE820" s="12"/>
      <c r="CF820" s="12"/>
      <c r="CG820" s="12"/>
      <c r="CH820" s="12"/>
      <c r="CI820" s="12"/>
      <c r="CJ820" s="12"/>
      <c r="CK820" s="12"/>
      <c r="CL820" s="12"/>
      <c r="CM820" s="12"/>
      <c r="CN820" s="12"/>
      <c r="CO820" s="12"/>
      <c r="CP820" s="12"/>
      <c r="CQ820" s="46"/>
      <c r="CR820" s="46"/>
      <c r="CS820" s="46"/>
      <c r="CT820" s="119"/>
      <c r="CU820" s="119"/>
      <c r="CV820" s="119"/>
      <c r="CW820" s="119"/>
      <c r="CX820" s="120"/>
      <c r="CY820" s="120"/>
      <c r="CZ820" s="120"/>
      <c r="DA820" s="120"/>
      <c r="DB820" s="120"/>
      <c r="DC820" s="120"/>
      <c r="DD820" s="120"/>
      <c r="DE820" s="120"/>
      <c r="DF820" s="120"/>
      <c r="DG820" s="2"/>
      <c r="DH820" s="2"/>
      <c r="DI820" s="2"/>
      <c r="DJ820" s="48"/>
      <c r="DK820" s="48"/>
      <c r="DL820" s="48"/>
      <c r="DM820" s="13"/>
      <c r="DN820" s="13"/>
      <c r="DO820" s="12"/>
      <c r="DP820" s="12"/>
      <c r="DQ820" s="12"/>
      <c r="DR820" s="12"/>
      <c r="DS820" s="12"/>
      <c r="DT820" s="2"/>
      <c r="DU820" s="2"/>
      <c r="DV820" s="12"/>
      <c r="DW820" s="12"/>
      <c r="DX820" s="2"/>
      <c r="DY820" s="2"/>
      <c r="DZ820" s="12"/>
      <c r="EA820" s="12"/>
      <c r="EB820" s="12"/>
      <c r="EC820" s="12"/>
      <c r="ED820" s="12"/>
    </row>
    <row r="821" spans="1:134" ht="12.5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12"/>
      <c r="AC821" s="12"/>
      <c r="AD821" s="12"/>
      <c r="AE821" s="2"/>
      <c r="AF821" s="2"/>
      <c r="AG821" s="2"/>
      <c r="AH821" s="2"/>
      <c r="AI821" s="2"/>
      <c r="AJ821" s="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2"/>
      <c r="AY821" s="2"/>
      <c r="AZ821" s="2"/>
      <c r="BA821" s="2"/>
      <c r="BB821" s="2"/>
      <c r="BC821" s="2"/>
      <c r="BD821" s="2"/>
      <c r="BE821" s="2"/>
      <c r="BF821" s="12"/>
      <c r="BG821" s="1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152"/>
      <c r="BV821" s="155"/>
      <c r="BW821" s="12"/>
      <c r="BX821" s="12"/>
      <c r="BY821" s="12"/>
      <c r="BZ821" s="12"/>
      <c r="CA821" s="12"/>
      <c r="CB821" s="12"/>
      <c r="CC821" s="12"/>
      <c r="CD821" s="12"/>
      <c r="CE821" s="12"/>
      <c r="CF821" s="12"/>
      <c r="CG821" s="12"/>
      <c r="CH821" s="12"/>
      <c r="CI821" s="12"/>
      <c r="CJ821" s="12"/>
      <c r="CK821" s="12"/>
      <c r="CL821" s="12"/>
      <c r="CM821" s="12"/>
      <c r="CN821" s="12"/>
      <c r="CO821" s="12"/>
      <c r="CP821" s="12"/>
      <c r="CQ821" s="46"/>
      <c r="CR821" s="46"/>
      <c r="CS821" s="46"/>
      <c r="CT821" s="119"/>
      <c r="CU821" s="119"/>
      <c r="CV821" s="119"/>
      <c r="CW821" s="119"/>
      <c r="CX821" s="120"/>
      <c r="CY821" s="120"/>
      <c r="CZ821" s="120"/>
      <c r="DA821" s="120"/>
      <c r="DB821" s="120"/>
      <c r="DC821" s="120"/>
      <c r="DD821" s="120"/>
      <c r="DE821" s="120"/>
      <c r="DF821" s="120"/>
      <c r="DG821" s="2"/>
      <c r="DH821" s="2"/>
      <c r="DI821" s="2"/>
      <c r="DJ821" s="48"/>
      <c r="DK821" s="48"/>
      <c r="DL821" s="48"/>
      <c r="DM821" s="13"/>
      <c r="DN821" s="13"/>
      <c r="DO821" s="12"/>
      <c r="DP821" s="12"/>
      <c r="DQ821" s="12"/>
      <c r="DR821" s="12"/>
      <c r="DS821" s="12"/>
      <c r="DT821" s="2"/>
      <c r="DU821" s="2"/>
      <c r="DV821" s="12"/>
      <c r="DW821" s="12"/>
      <c r="DX821" s="2"/>
      <c r="DY821" s="2"/>
      <c r="DZ821" s="12"/>
      <c r="EA821" s="12"/>
      <c r="EB821" s="12"/>
      <c r="EC821" s="12"/>
      <c r="ED821" s="12"/>
    </row>
    <row r="822" spans="1:134" ht="12.5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12"/>
      <c r="AC822" s="12"/>
      <c r="AD822" s="12"/>
      <c r="AE822" s="2"/>
      <c r="AF822" s="2"/>
      <c r="AG822" s="2"/>
      <c r="AH822" s="2"/>
      <c r="AI822" s="2"/>
      <c r="AJ822" s="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2"/>
      <c r="AY822" s="2"/>
      <c r="AZ822" s="2"/>
      <c r="BA822" s="2"/>
      <c r="BB822" s="2"/>
      <c r="BC822" s="2"/>
      <c r="BD822" s="2"/>
      <c r="BE822" s="2"/>
      <c r="BF822" s="12"/>
      <c r="BG822" s="1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152"/>
      <c r="BV822" s="155"/>
      <c r="BW822" s="12"/>
      <c r="BX822" s="12"/>
      <c r="BY822" s="12"/>
      <c r="BZ822" s="12"/>
      <c r="CA822" s="12"/>
      <c r="CB822" s="12"/>
      <c r="CC822" s="12"/>
      <c r="CD822" s="12"/>
      <c r="CE822" s="12"/>
      <c r="CF822" s="12"/>
      <c r="CG822" s="12"/>
      <c r="CH822" s="12"/>
      <c r="CI822" s="12"/>
      <c r="CJ822" s="12"/>
      <c r="CK822" s="12"/>
      <c r="CL822" s="12"/>
      <c r="CM822" s="12"/>
      <c r="CN822" s="12"/>
      <c r="CO822" s="12"/>
      <c r="CP822" s="12"/>
      <c r="CQ822" s="46"/>
      <c r="CR822" s="46"/>
      <c r="CS822" s="46"/>
      <c r="CT822" s="119"/>
      <c r="CU822" s="119"/>
      <c r="CV822" s="119"/>
      <c r="CW822" s="119"/>
      <c r="CX822" s="120"/>
      <c r="CY822" s="120"/>
      <c r="CZ822" s="120"/>
      <c r="DA822" s="120"/>
      <c r="DB822" s="120"/>
      <c r="DC822" s="120"/>
      <c r="DD822" s="120"/>
      <c r="DE822" s="120"/>
      <c r="DF822" s="120"/>
      <c r="DG822" s="2"/>
      <c r="DH822" s="2"/>
      <c r="DI822" s="2"/>
      <c r="DJ822" s="48"/>
      <c r="DK822" s="48"/>
      <c r="DL822" s="48"/>
      <c r="DM822" s="13"/>
      <c r="DN822" s="13"/>
      <c r="DO822" s="12"/>
      <c r="DP822" s="12"/>
      <c r="DQ822" s="12"/>
      <c r="DR822" s="12"/>
      <c r="DS822" s="12"/>
      <c r="DT822" s="2"/>
      <c r="DU822" s="2"/>
      <c r="DV822" s="12"/>
      <c r="DW822" s="12"/>
      <c r="DX822" s="2"/>
      <c r="DY822" s="2"/>
      <c r="DZ822" s="12"/>
      <c r="EA822" s="12"/>
      <c r="EB822" s="12"/>
      <c r="EC822" s="12"/>
      <c r="ED822" s="12"/>
    </row>
    <row r="823" spans="1:134" ht="12.5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12"/>
      <c r="AC823" s="12"/>
      <c r="AD823" s="12"/>
      <c r="AE823" s="2"/>
      <c r="AF823" s="2"/>
      <c r="AG823" s="2"/>
      <c r="AH823" s="2"/>
      <c r="AI823" s="2"/>
      <c r="AJ823" s="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2"/>
      <c r="AY823" s="2"/>
      <c r="AZ823" s="2"/>
      <c r="BA823" s="2"/>
      <c r="BB823" s="2"/>
      <c r="BC823" s="2"/>
      <c r="BD823" s="2"/>
      <c r="BE823" s="2"/>
      <c r="BF823" s="12"/>
      <c r="BG823" s="1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152"/>
      <c r="BV823" s="155"/>
      <c r="BW823" s="12"/>
      <c r="BX823" s="12"/>
      <c r="BY823" s="12"/>
      <c r="BZ823" s="12"/>
      <c r="CA823" s="12"/>
      <c r="CB823" s="12"/>
      <c r="CC823" s="12"/>
      <c r="CD823" s="12"/>
      <c r="CE823" s="12"/>
      <c r="CF823" s="12"/>
      <c r="CG823" s="12"/>
      <c r="CH823" s="12"/>
      <c r="CI823" s="12"/>
      <c r="CJ823" s="12"/>
      <c r="CK823" s="12"/>
      <c r="CL823" s="12"/>
      <c r="CM823" s="12"/>
      <c r="CN823" s="12"/>
      <c r="CO823" s="12"/>
      <c r="CP823" s="12"/>
      <c r="CQ823" s="46"/>
      <c r="CR823" s="46"/>
      <c r="CS823" s="46"/>
      <c r="CT823" s="119"/>
      <c r="CU823" s="119"/>
      <c r="CV823" s="119"/>
      <c r="CW823" s="119"/>
      <c r="CX823" s="120"/>
      <c r="CY823" s="120"/>
      <c r="CZ823" s="120"/>
      <c r="DA823" s="120"/>
      <c r="DB823" s="120"/>
      <c r="DC823" s="120"/>
      <c r="DD823" s="120"/>
      <c r="DE823" s="120"/>
      <c r="DF823" s="120"/>
      <c r="DG823" s="2"/>
      <c r="DH823" s="2"/>
      <c r="DI823" s="2"/>
      <c r="DJ823" s="48"/>
      <c r="DK823" s="48"/>
      <c r="DL823" s="48"/>
      <c r="DM823" s="13"/>
      <c r="DN823" s="13"/>
      <c r="DO823" s="12"/>
      <c r="DP823" s="12"/>
      <c r="DQ823" s="12"/>
      <c r="DR823" s="12"/>
      <c r="DS823" s="12"/>
      <c r="DT823" s="2"/>
      <c r="DU823" s="2"/>
      <c r="DV823" s="12"/>
      <c r="DW823" s="12"/>
      <c r="DX823" s="2"/>
      <c r="DY823" s="2"/>
      <c r="DZ823" s="12"/>
      <c r="EA823" s="12"/>
      <c r="EB823" s="12"/>
      <c r="EC823" s="12"/>
      <c r="ED823" s="12"/>
    </row>
    <row r="824" spans="1:134" ht="12.5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12"/>
      <c r="AC824" s="12"/>
      <c r="AD824" s="12"/>
      <c r="AE824" s="2"/>
      <c r="AF824" s="2"/>
      <c r="AG824" s="2"/>
      <c r="AH824" s="2"/>
      <c r="AI824" s="2"/>
      <c r="AJ824" s="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2"/>
      <c r="AY824" s="2"/>
      <c r="AZ824" s="2"/>
      <c r="BA824" s="2"/>
      <c r="BB824" s="2"/>
      <c r="BC824" s="2"/>
      <c r="BD824" s="2"/>
      <c r="BE824" s="2"/>
      <c r="BF824" s="12"/>
      <c r="BG824" s="1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152"/>
      <c r="BV824" s="155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46"/>
      <c r="CR824" s="46"/>
      <c r="CS824" s="46"/>
      <c r="CT824" s="119"/>
      <c r="CU824" s="119"/>
      <c r="CV824" s="119"/>
      <c r="CW824" s="119"/>
      <c r="CX824" s="120"/>
      <c r="CY824" s="120"/>
      <c r="CZ824" s="120"/>
      <c r="DA824" s="120"/>
      <c r="DB824" s="120"/>
      <c r="DC824" s="120"/>
      <c r="DD824" s="120"/>
      <c r="DE824" s="120"/>
      <c r="DF824" s="120"/>
      <c r="DG824" s="2"/>
      <c r="DH824" s="2"/>
      <c r="DI824" s="2"/>
      <c r="DJ824" s="48"/>
      <c r="DK824" s="48"/>
      <c r="DL824" s="48"/>
      <c r="DM824" s="13"/>
      <c r="DN824" s="13"/>
      <c r="DO824" s="12"/>
      <c r="DP824" s="12"/>
      <c r="DQ824" s="12"/>
      <c r="DR824" s="12"/>
      <c r="DS824" s="12"/>
      <c r="DT824" s="2"/>
      <c r="DU824" s="2"/>
      <c r="DV824" s="12"/>
      <c r="DW824" s="12"/>
      <c r="DX824" s="2"/>
      <c r="DY824" s="2"/>
      <c r="DZ824" s="12"/>
      <c r="EA824" s="12"/>
      <c r="EB824" s="12"/>
      <c r="EC824" s="12"/>
      <c r="ED824" s="12"/>
    </row>
    <row r="825" spans="1:134" ht="12.5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12"/>
      <c r="AC825" s="12"/>
      <c r="AD825" s="12"/>
      <c r="AE825" s="2"/>
      <c r="AF825" s="2"/>
      <c r="AG825" s="2"/>
      <c r="AH825" s="2"/>
      <c r="AI825" s="2"/>
      <c r="AJ825" s="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2"/>
      <c r="AY825" s="2"/>
      <c r="AZ825" s="2"/>
      <c r="BA825" s="2"/>
      <c r="BB825" s="2"/>
      <c r="BC825" s="2"/>
      <c r="BD825" s="2"/>
      <c r="BE825" s="2"/>
      <c r="BF825" s="12"/>
      <c r="BG825" s="1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152"/>
      <c r="BV825" s="155"/>
      <c r="BW825" s="12"/>
      <c r="BX825" s="12"/>
      <c r="BY825" s="12"/>
      <c r="BZ825" s="12"/>
      <c r="CA825" s="12"/>
      <c r="CB825" s="12"/>
      <c r="CC825" s="12"/>
      <c r="CD825" s="12"/>
      <c r="CE825" s="12"/>
      <c r="CF825" s="12"/>
      <c r="CG825" s="12"/>
      <c r="CH825" s="12"/>
      <c r="CI825" s="12"/>
      <c r="CJ825" s="12"/>
      <c r="CK825" s="12"/>
      <c r="CL825" s="12"/>
      <c r="CM825" s="12"/>
      <c r="CN825" s="12"/>
      <c r="CO825" s="12"/>
      <c r="CP825" s="12"/>
      <c r="CQ825" s="46"/>
      <c r="CR825" s="46"/>
      <c r="CS825" s="46"/>
      <c r="CT825" s="119"/>
      <c r="CU825" s="119"/>
      <c r="CV825" s="119"/>
      <c r="CW825" s="119"/>
      <c r="CX825" s="120"/>
      <c r="CY825" s="120"/>
      <c r="CZ825" s="120"/>
      <c r="DA825" s="120"/>
      <c r="DB825" s="120"/>
      <c r="DC825" s="120"/>
      <c r="DD825" s="120"/>
      <c r="DE825" s="120"/>
      <c r="DF825" s="120"/>
      <c r="DG825" s="2"/>
      <c r="DH825" s="2"/>
      <c r="DI825" s="2"/>
      <c r="DJ825" s="48"/>
      <c r="DK825" s="48"/>
      <c r="DL825" s="48"/>
      <c r="DM825" s="13"/>
      <c r="DN825" s="13"/>
      <c r="DO825" s="12"/>
      <c r="DP825" s="12"/>
      <c r="DQ825" s="12"/>
      <c r="DR825" s="12"/>
      <c r="DS825" s="12"/>
      <c r="DT825" s="2"/>
      <c r="DU825" s="2"/>
      <c r="DV825" s="12"/>
      <c r="DW825" s="12"/>
      <c r="DX825" s="2"/>
      <c r="DY825" s="2"/>
      <c r="DZ825" s="12"/>
      <c r="EA825" s="12"/>
      <c r="EB825" s="12"/>
      <c r="EC825" s="12"/>
      <c r="ED825" s="12"/>
    </row>
    <row r="826" spans="1:134" ht="12.5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12"/>
      <c r="AC826" s="12"/>
      <c r="AD826" s="12"/>
      <c r="AE826" s="2"/>
      <c r="AF826" s="2"/>
      <c r="AG826" s="2"/>
      <c r="AH826" s="2"/>
      <c r="AI826" s="2"/>
      <c r="AJ826" s="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2"/>
      <c r="AY826" s="2"/>
      <c r="AZ826" s="2"/>
      <c r="BA826" s="2"/>
      <c r="BB826" s="2"/>
      <c r="BC826" s="2"/>
      <c r="BD826" s="2"/>
      <c r="BE826" s="2"/>
      <c r="BF826" s="12"/>
      <c r="BG826" s="1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152"/>
      <c r="BV826" s="155"/>
      <c r="BW826" s="12"/>
      <c r="BX826" s="12"/>
      <c r="BY826" s="12"/>
      <c r="BZ826" s="12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46"/>
      <c r="CR826" s="46"/>
      <c r="CS826" s="46"/>
      <c r="CT826" s="119"/>
      <c r="CU826" s="119"/>
      <c r="CV826" s="119"/>
      <c r="CW826" s="119"/>
      <c r="CX826" s="120"/>
      <c r="CY826" s="120"/>
      <c r="CZ826" s="120"/>
      <c r="DA826" s="120"/>
      <c r="DB826" s="120"/>
      <c r="DC826" s="120"/>
      <c r="DD826" s="120"/>
      <c r="DE826" s="120"/>
      <c r="DF826" s="120"/>
      <c r="DG826" s="2"/>
      <c r="DH826" s="2"/>
      <c r="DI826" s="2"/>
      <c r="DJ826" s="48"/>
      <c r="DK826" s="48"/>
      <c r="DL826" s="48"/>
      <c r="DM826" s="13"/>
      <c r="DN826" s="13"/>
      <c r="DO826" s="12"/>
      <c r="DP826" s="12"/>
      <c r="DQ826" s="12"/>
      <c r="DR826" s="12"/>
      <c r="DS826" s="12"/>
      <c r="DT826" s="2"/>
      <c r="DU826" s="2"/>
      <c r="DV826" s="12"/>
      <c r="DW826" s="12"/>
      <c r="DX826" s="2"/>
      <c r="DY826" s="2"/>
      <c r="DZ826" s="12"/>
      <c r="EA826" s="12"/>
      <c r="EB826" s="12"/>
      <c r="EC826" s="12"/>
      <c r="ED826" s="12"/>
    </row>
    <row r="827" spans="1:134" ht="12.5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12"/>
      <c r="AC827" s="12"/>
      <c r="AD827" s="12"/>
      <c r="AE827" s="2"/>
      <c r="AF827" s="2"/>
      <c r="AG827" s="2"/>
      <c r="AH827" s="2"/>
      <c r="AI827" s="2"/>
      <c r="AJ827" s="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2"/>
      <c r="AY827" s="2"/>
      <c r="AZ827" s="2"/>
      <c r="BA827" s="2"/>
      <c r="BB827" s="2"/>
      <c r="BC827" s="2"/>
      <c r="BD827" s="2"/>
      <c r="BE827" s="2"/>
      <c r="BF827" s="12"/>
      <c r="BG827" s="1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152"/>
      <c r="BV827" s="155"/>
      <c r="BW827" s="12"/>
      <c r="BX827" s="12"/>
      <c r="BY827" s="12"/>
      <c r="BZ827" s="12"/>
      <c r="CA827" s="12"/>
      <c r="CB827" s="12"/>
      <c r="CC827" s="12"/>
      <c r="CD827" s="12"/>
      <c r="CE827" s="12"/>
      <c r="CF827" s="12"/>
      <c r="CG827" s="12"/>
      <c r="CH827" s="12"/>
      <c r="CI827" s="12"/>
      <c r="CJ827" s="12"/>
      <c r="CK827" s="12"/>
      <c r="CL827" s="12"/>
      <c r="CM827" s="12"/>
      <c r="CN827" s="12"/>
      <c r="CO827" s="12"/>
      <c r="CP827" s="12"/>
      <c r="CQ827" s="46"/>
      <c r="CR827" s="46"/>
      <c r="CS827" s="46"/>
      <c r="CT827" s="119"/>
      <c r="CU827" s="119"/>
      <c r="CV827" s="119"/>
      <c r="CW827" s="119"/>
      <c r="CX827" s="120"/>
      <c r="CY827" s="120"/>
      <c r="CZ827" s="120"/>
      <c r="DA827" s="120"/>
      <c r="DB827" s="120"/>
      <c r="DC827" s="120"/>
      <c r="DD827" s="120"/>
      <c r="DE827" s="120"/>
      <c r="DF827" s="120"/>
      <c r="DG827" s="2"/>
      <c r="DH827" s="2"/>
      <c r="DI827" s="2"/>
      <c r="DJ827" s="48"/>
      <c r="DK827" s="48"/>
      <c r="DL827" s="48"/>
      <c r="DM827" s="13"/>
      <c r="DN827" s="13"/>
      <c r="DO827" s="12"/>
      <c r="DP827" s="12"/>
      <c r="DQ827" s="12"/>
      <c r="DR827" s="12"/>
      <c r="DS827" s="12"/>
      <c r="DT827" s="2"/>
      <c r="DU827" s="2"/>
      <c r="DV827" s="12"/>
      <c r="DW827" s="12"/>
      <c r="DX827" s="2"/>
      <c r="DY827" s="2"/>
      <c r="DZ827" s="12"/>
      <c r="EA827" s="12"/>
      <c r="EB827" s="12"/>
      <c r="EC827" s="12"/>
      <c r="ED827" s="12"/>
    </row>
    <row r="828" spans="1:134" ht="12.5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12"/>
      <c r="AC828" s="12"/>
      <c r="AD828" s="12"/>
      <c r="AE828" s="2"/>
      <c r="AF828" s="2"/>
      <c r="AG828" s="2"/>
      <c r="AH828" s="2"/>
      <c r="AI828" s="2"/>
      <c r="AJ828" s="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2"/>
      <c r="AY828" s="2"/>
      <c r="AZ828" s="2"/>
      <c r="BA828" s="2"/>
      <c r="BB828" s="2"/>
      <c r="BC828" s="2"/>
      <c r="BD828" s="2"/>
      <c r="BE828" s="2"/>
      <c r="BF828" s="12"/>
      <c r="BG828" s="1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152"/>
      <c r="BV828" s="155"/>
      <c r="BW828" s="12"/>
      <c r="BX828" s="12"/>
      <c r="BY828" s="12"/>
      <c r="BZ828" s="12"/>
      <c r="CA828" s="12"/>
      <c r="CB828" s="12"/>
      <c r="CC828" s="12"/>
      <c r="CD828" s="12"/>
      <c r="CE828" s="12"/>
      <c r="CF828" s="12"/>
      <c r="CG828" s="12"/>
      <c r="CH828" s="12"/>
      <c r="CI828" s="12"/>
      <c r="CJ828" s="12"/>
      <c r="CK828" s="12"/>
      <c r="CL828" s="12"/>
      <c r="CM828" s="12"/>
      <c r="CN828" s="12"/>
      <c r="CO828" s="12"/>
      <c r="CP828" s="12"/>
      <c r="CQ828" s="46"/>
      <c r="CR828" s="46"/>
      <c r="CS828" s="46"/>
      <c r="CT828" s="119"/>
      <c r="CU828" s="119"/>
      <c r="CV828" s="119"/>
      <c r="CW828" s="119"/>
      <c r="CX828" s="120"/>
      <c r="CY828" s="120"/>
      <c r="CZ828" s="120"/>
      <c r="DA828" s="120"/>
      <c r="DB828" s="120"/>
      <c r="DC828" s="120"/>
      <c r="DD828" s="120"/>
      <c r="DE828" s="120"/>
      <c r="DF828" s="120"/>
      <c r="DG828" s="2"/>
      <c r="DH828" s="2"/>
      <c r="DI828" s="2"/>
      <c r="DJ828" s="48"/>
      <c r="DK828" s="48"/>
      <c r="DL828" s="48"/>
      <c r="DM828" s="13"/>
      <c r="DN828" s="13"/>
      <c r="DO828" s="12"/>
      <c r="DP828" s="12"/>
      <c r="DQ828" s="12"/>
      <c r="DR828" s="12"/>
      <c r="DS828" s="12"/>
      <c r="DT828" s="2"/>
      <c r="DU828" s="2"/>
      <c r="DV828" s="12"/>
      <c r="DW828" s="12"/>
      <c r="DX828" s="2"/>
      <c r="DY828" s="2"/>
      <c r="DZ828" s="12"/>
      <c r="EA828" s="12"/>
      <c r="EB828" s="12"/>
      <c r="EC828" s="12"/>
      <c r="ED828" s="12"/>
    </row>
    <row r="829" spans="1:134" ht="12.5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12"/>
      <c r="AC829" s="12"/>
      <c r="AD829" s="12"/>
      <c r="AE829" s="2"/>
      <c r="AF829" s="2"/>
      <c r="AG829" s="2"/>
      <c r="AH829" s="2"/>
      <c r="AI829" s="2"/>
      <c r="AJ829" s="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2"/>
      <c r="AY829" s="2"/>
      <c r="AZ829" s="2"/>
      <c r="BA829" s="2"/>
      <c r="BB829" s="2"/>
      <c r="BC829" s="2"/>
      <c r="BD829" s="2"/>
      <c r="BE829" s="2"/>
      <c r="BF829" s="12"/>
      <c r="BG829" s="1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152"/>
      <c r="BV829" s="155"/>
      <c r="BW829" s="12"/>
      <c r="BX829" s="12"/>
      <c r="BY829" s="12"/>
      <c r="BZ829" s="12"/>
      <c r="CA829" s="12"/>
      <c r="CB829" s="12"/>
      <c r="CC829" s="12"/>
      <c r="CD829" s="12"/>
      <c r="CE829" s="12"/>
      <c r="CF829" s="12"/>
      <c r="CG829" s="12"/>
      <c r="CH829" s="12"/>
      <c r="CI829" s="12"/>
      <c r="CJ829" s="12"/>
      <c r="CK829" s="12"/>
      <c r="CL829" s="12"/>
      <c r="CM829" s="12"/>
      <c r="CN829" s="12"/>
      <c r="CO829" s="12"/>
      <c r="CP829" s="12"/>
      <c r="CQ829" s="46"/>
      <c r="CR829" s="46"/>
      <c r="CS829" s="46"/>
      <c r="CT829" s="119"/>
      <c r="CU829" s="119"/>
      <c r="CV829" s="119"/>
      <c r="CW829" s="119"/>
      <c r="CX829" s="120"/>
      <c r="CY829" s="120"/>
      <c r="CZ829" s="120"/>
      <c r="DA829" s="120"/>
      <c r="DB829" s="120"/>
      <c r="DC829" s="120"/>
      <c r="DD829" s="120"/>
      <c r="DE829" s="120"/>
      <c r="DF829" s="120"/>
      <c r="DG829" s="2"/>
      <c r="DH829" s="2"/>
      <c r="DI829" s="2"/>
      <c r="DJ829" s="48"/>
      <c r="DK829" s="48"/>
      <c r="DL829" s="48"/>
      <c r="DM829" s="13"/>
      <c r="DN829" s="13"/>
      <c r="DO829" s="12"/>
      <c r="DP829" s="12"/>
      <c r="DQ829" s="12"/>
      <c r="DR829" s="12"/>
      <c r="DS829" s="12"/>
      <c r="DT829" s="2"/>
      <c r="DU829" s="2"/>
      <c r="DV829" s="12"/>
      <c r="DW829" s="12"/>
      <c r="DX829" s="2"/>
      <c r="DY829" s="2"/>
      <c r="DZ829" s="12"/>
      <c r="EA829" s="12"/>
      <c r="EB829" s="12"/>
      <c r="EC829" s="12"/>
      <c r="ED829" s="12"/>
    </row>
    <row r="830" spans="1:134" ht="12.5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12"/>
      <c r="AC830" s="12"/>
      <c r="AD830" s="12"/>
      <c r="AE830" s="2"/>
      <c r="AF830" s="2"/>
      <c r="AG830" s="2"/>
      <c r="AH830" s="2"/>
      <c r="AI830" s="2"/>
      <c r="AJ830" s="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2"/>
      <c r="AY830" s="2"/>
      <c r="AZ830" s="2"/>
      <c r="BA830" s="2"/>
      <c r="BB830" s="2"/>
      <c r="BC830" s="2"/>
      <c r="BD830" s="2"/>
      <c r="BE830" s="2"/>
      <c r="BF830" s="12"/>
      <c r="BG830" s="1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152"/>
      <c r="BV830" s="155"/>
      <c r="BW830" s="12"/>
      <c r="BX830" s="12"/>
      <c r="BY830" s="12"/>
      <c r="BZ830" s="12"/>
      <c r="CA830" s="12"/>
      <c r="CB830" s="12"/>
      <c r="CC830" s="12"/>
      <c r="CD830" s="12"/>
      <c r="CE830" s="12"/>
      <c r="CF830" s="12"/>
      <c r="CG830" s="12"/>
      <c r="CH830" s="12"/>
      <c r="CI830" s="12"/>
      <c r="CJ830" s="12"/>
      <c r="CK830" s="12"/>
      <c r="CL830" s="12"/>
      <c r="CM830" s="12"/>
      <c r="CN830" s="12"/>
      <c r="CO830" s="12"/>
      <c r="CP830" s="12"/>
      <c r="CQ830" s="46"/>
      <c r="CR830" s="46"/>
      <c r="CS830" s="46"/>
      <c r="CT830" s="119"/>
      <c r="CU830" s="119"/>
      <c r="CV830" s="119"/>
      <c r="CW830" s="119"/>
      <c r="CX830" s="120"/>
      <c r="CY830" s="120"/>
      <c r="CZ830" s="120"/>
      <c r="DA830" s="120"/>
      <c r="DB830" s="120"/>
      <c r="DC830" s="120"/>
      <c r="DD830" s="120"/>
      <c r="DE830" s="120"/>
      <c r="DF830" s="120"/>
      <c r="DG830" s="2"/>
      <c r="DH830" s="2"/>
      <c r="DI830" s="2"/>
      <c r="DJ830" s="48"/>
      <c r="DK830" s="48"/>
      <c r="DL830" s="48"/>
      <c r="DM830" s="13"/>
      <c r="DN830" s="13"/>
      <c r="DO830" s="12"/>
      <c r="DP830" s="12"/>
      <c r="DQ830" s="12"/>
      <c r="DR830" s="12"/>
      <c r="DS830" s="12"/>
      <c r="DT830" s="2"/>
      <c r="DU830" s="2"/>
      <c r="DV830" s="12"/>
      <c r="DW830" s="12"/>
      <c r="DX830" s="2"/>
      <c r="DY830" s="2"/>
      <c r="DZ830" s="12"/>
      <c r="EA830" s="12"/>
      <c r="EB830" s="12"/>
      <c r="EC830" s="12"/>
      <c r="ED830" s="12"/>
    </row>
    <row r="831" spans="1:134" ht="12.5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12"/>
      <c r="AC831" s="12"/>
      <c r="AD831" s="12"/>
      <c r="AE831" s="2"/>
      <c r="AF831" s="2"/>
      <c r="AG831" s="2"/>
      <c r="AH831" s="2"/>
      <c r="AI831" s="2"/>
      <c r="AJ831" s="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2"/>
      <c r="AY831" s="2"/>
      <c r="AZ831" s="2"/>
      <c r="BA831" s="2"/>
      <c r="BB831" s="2"/>
      <c r="BC831" s="2"/>
      <c r="BD831" s="2"/>
      <c r="BE831" s="2"/>
      <c r="BF831" s="12"/>
      <c r="BG831" s="1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152"/>
      <c r="BV831" s="155"/>
      <c r="BW831" s="12"/>
      <c r="BX831" s="12"/>
      <c r="BY831" s="12"/>
      <c r="BZ831" s="12"/>
      <c r="CA831" s="12"/>
      <c r="CB831" s="12"/>
      <c r="CC831" s="12"/>
      <c r="CD831" s="12"/>
      <c r="CE831" s="12"/>
      <c r="CF831" s="12"/>
      <c r="CG831" s="12"/>
      <c r="CH831" s="12"/>
      <c r="CI831" s="12"/>
      <c r="CJ831" s="12"/>
      <c r="CK831" s="12"/>
      <c r="CL831" s="12"/>
      <c r="CM831" s="12"/>
      <c r="CN831" s="12"/>
      <c r="CO831" s="12"/>
      <c r="CP831" s="12"/>
      <c r="CQ831" s="46"/>
      <c r="CR831" s="46"/>
      <c r="CS831" s="46"/>
      <c r="CT831" s="119"/>
      <c r="CU831" s="119"/>
      <c r="CV831" s="119"/>
      <c r="CW831" s="119"/>
      <c r="CX831" s="120"/>
      <c r="CY831" s="120"/>
      <c r="CZ831" s="120"/>
      <c r="DA831" s="120"/>
      <c r="DB831" s="120"/>
      <c r="DC831" s="120"/>
      <c r="DD831" s="120"/>
      <c r="DE831" s="120"/>
      <c r="DF831" s="120"/>
      <c r="DG831" s="2"/>
      <c r="DH831" s="2"/>
      <c r="DI831" s="2"/>
      <c r="DJ831" s="48"/>
      <c r="DK831" s="48"/>
      <c r="DL831" s="48"/>
      <c r="DM831" s="13"/>
      <c r="DN831" s="13"/>
      <c r="DO831" s="12"/>
      <c r="DP831" s="12"/>
      <c r="DQ831" s="12"/>
      <c r="DR831" s="12"/>
      <c r="DS831" s="12"/>
      <c r="DT831" s="2"/>
      <c r="DU831" s="2"/>
      <c r="DV831" s="12"/>
      <c r="DW831" s="12"/>
      <c r="DX831" s="2"/>
      <c r="DY831" s="2"/>
      <c r="DZ831" s="12"/>
      <c r="EA831" s="12"/>
      <c r="EB831" s="12"/>
      <c r="EC831" s="12"/>
      <c r="ED831" s="12"/>
    </row>
    <row r="832" spans="1:134" ht="12.5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12"/>
      <c r="AC832" s="12"/>
      <c r="AD832" s="12"/>
      <c r="AE832" s="2"/>
      <c r="AF832" s="2"/>
      <c r="AG832" s="2"/>
      <c r="AH832" s="2"/>
      <c r="AI832" s="2"/>
      <c r="AJ832" s="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2"/>
      <c r="AY832" s="2"/>
      <c r="AZ832" s="2"/>
      <c r="BA832" s="2"/>
      <c r="BB832" s="2"/>
      <c r="BC832" s="2"/>
      <c r="BD832" s="2"/>
      <c r="BE832" s="2"/>
      <c r="BF832" s="12"/>
      <c r="BG832" s="1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152"/>
      <c r="BV832" s="155"/>
      <c r="BW832" s="12"/>
      <c r="BX832" s="12"/>
      <c r="BY832" s="12"/>
      <c r="BZ832" s="12"/>
      <c r="CA832" s="12"/>
      <c r="CB832" s="12"/>
      <c r="CC832" s="12"/>
      <c r="CD832" s="12"/>
      <c r="CE832" s="12"/>
      <c r="CF832" s="12"/>
      <c r="CG832" s="12"/>
      <c r="CH832" s="12"/>
      <c r="CI832" s="12"/>
      <c r="CJ832" s="12"/>
      <c r="CK832" s="12"/>
      <c r="CL832" s="12"/>
      <c r="CM832" s="12"/>
      <c r="CN832" s="12"/>
      <c r="CO832" s="12"/>
      <c r="CP832" s="12"/>
      <c r="CQ832" s="46"/>
      <c r="CR832" s="46"/>
      <c r="CS832" s="46"/>
      <c r="CT832" s="119"/>
      <c r="CU832" s="119"/>
      <c r="CV832" s="119"/>
      <c r="CW832" s="119"/>
      <c r="CX832" s="120"/>
      <c r="CY832" s="120"/>
      <c r="CZ832" s="120"/>
      <c r="DA832" s="120"/>
      <c r="DB832" s="120"/>
      <c r="DC832" s="120"/>
      <c r="DD832" s="120"/>
      <c r="DE832" s="120"/>
      <c r="DF832" s="120"/>
      <c r="DG832" s="2"/>
      <c r="DH832" s="2"/>
      <c r="DI832" s="2"/>
      <c r="DJ832" s="48"/>
      <c r="DK832" s="48"/>
      <c r="DL832" s="48"/>
      <c r="DM832" s="13"/>
      <c r="DN832" s="13"/>
      <c r="DO832" s="12"/>
      <c r="DP832" s="12"/>
      <c r="DQ832" s="12"/>
      <c r="DR832" s="12"/>
      <c r="DS832" s="12"/>
      <c r="DT832" s="2"/>
      <c r="DU832" s="2"/>
      <c r="DV832" s="12"/>
      <c r="DW832" s="12"/>
      <c r="DX832" s="2"/>
      <c r="DY832" s="2"/>
      <c r="DZ832" s="12"/>
      <c r="EA832" s="12"/>
      <c r="EB832" s="12"/>
      <c r="EC832" s="12"/>
      <c r="ED832" s="12"/>
    </row>
    <row r="833" spans="1:134" ht="12.5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12"/>
      <c r="AC833" s="12"/>
      <c r="AD833" s="12"/>
      <c r="AE833" s="2"/>
      <c r="AF833" s="2"/>
      <c r="AG833" s="2"/>
      <c r="AH833" s="2"/>
      <c r="AI833" s="2"/>
      <c r="AJ833" s="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2"/>
      <c r="AY833" s="2"/>
      <c r="AZ833" s="2"/>
      <c r="BA833" s="2"/>
      <c r="BB833" s="2"/>
      <c r="BC833" s="2"/>
      <c r="BD833" s="2"/>
      <c r="BE833" s="2"/>
      <c r="BF833" s="12"/>
      <c r="BG833" s="1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152"/>
      <c r="BV833" s="155"/>
      <c r="BW833" s="12"/>
      <c r="BX833" s="12"/>
      <c r="BY833" s="12"/>
      <c r="BZ833" s="12"/>
      <c r="CA833" s="12"/>
      <c r="CB833" s="12"/>
      <c r="CC833" s="12"/>
      <c r="CD833" s="12"/>
      <c r="CE833" s="12"/>
      <c r="CF833" s="12"/>
      <c r="CG833" s="12"/>
      <c r="CH833" s="12"/>
      <c r="CI833" s="12"/>
      <c r="CJ833" s="12"/>
      <c r="CK833" s="12"/>
      <c r="CL833" s="12"/>
      <c r="CM833" s="12"/>
      <c r="CN833" s="12"/>
      <c r="CO833" s="12"/>
      <c r="CP833" s="12"/>
      <c r="CQ833" s="46"/>
      <c r="CR833" s="46"/>
      <c r="CS833" s="46"/>
      <c r="CT833" s="119"/>
      <c r="CU833" s="119"/>
      <c r="CV833" s="119"/>
      <c r="CW833" s="119"/>
      <c r="CX833" s="120"/>
      <c r="CY833" s="120"/>
      <c r="CZ833" s="120"/>
      <c r="DA833" s="120"/>
      <c r="DB833" s="120"/>
      <c r="DC833" s="120"/>
      <c r="DD833" s="120"/>
      <c r="DE833" s="120"/>
      <c r="DF833" s="120"/>
      <c r="DG833" s="2"/>
      <c r="DH833" s="2"/>
      <c r="DI833" s="2"/>
      <c r="DJ833" s="48"/>
      <c r="DK833" s="48"/>
      <c r="DL833" s="48"/>
      <c r="DM833" s="13"/>
      <c r="DN833" s="13"/>
      <c r="DO833" s="12"/>
      <c r="DP833" s="12"/>
      <c r="DQ833" s="12"/>
      <c r="DR833" s="12"/>
      <c r="DS833" s="12"/>
      <c r="DT833" s="2"/>
      <c r="DU833" s="2"/>
      <c r="DV833" s="12"/>
      <c r="DW833" s="12"/>
      <c r="DX833" s="2"/>
      <c r="DY833" s="2"/>
      <c r="DZ833" s="12"/>
      <c r="EA833" s="12"/>
      <c r="EB833" s="12"/>
      <c r="EC833" s="12"/>
      <c r="ED833" s="12"/>
    </row>
    <row r="834" spans="1:134" ht="12.5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12"/>
      <c r="AC834" s="12"/>
      <c r="AD834" s="12"/>
      <c r="AE834" s="2"/>
      <c r="AF834" s="2"/>
      <c r="AG834" s="2"/>
      <c r="AH834" s="2"/>
      <c r="AI834" s="2"/>
      <c r="AJ834" s="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2"/>
      <c r="AY834" s="2"/>
      <c r="AZ834" s="2"/>
      <c r="BA834" s="2"/>
      <c r="BB834" s="2"/>
      <c r="BC834" s="2"/>
      <c r="BD834" s="2"/>
      <c r="BE834" s="2"/>
      <c r="BF834" s="12"/>
      <c r="BG834" s="1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152"/>
      <c r="BV834" s="155"/>
      <c r="BW834" s="12"/>
      <c r="BX834" s="12"/>
      <c r="BY834" s="12"/>
      <c r="BZ834" s="12"/>
      <c r="CA834" s="12"/>
      <c r="CB834" s="12"/>
      <c r="CC834" s="12"/>
      <c r="CD834" s="12"/>
      <c r="CE834" s="12"/>
      <c r="CF834" s="12"/>
      <c r="CG834" s="12"/>
      <c r="CH834" s="12"/>
      <c r="CI834" s="12"/>
      <c r="CJ834" s="12"/>
      <c r="CK834" s="12"/>
      <c r="CL834" s="12"/>
      <c r="CM834" s="12"/>
      <c r="CN834" s="12"/>
      <c r="CO834" s="12"/>
      <c r="CP834" s="12"/>
      <c r="CQ834" s="46"/>
      <c r="CR834" s="46"/>
      <c r="CS834" s="46"/>
      <c r="CT834" s="119"/>
      <c r="CU834" s="119"/>
      <c r="CV834" s="119"/>
      <c r="CW834" s="119"/>
      <c r="CX834" s="120"/>
      <c r="CY834" s="120"/>
      <c r="CZ834" s="120"/>
      <c r="DA834" s="120"/>
      <c r="DB834" s="120"/>
      <c r="DC834" s="120"/>
      <c r="DD834" s="120"/>
      <c r="DE834" s="120"/>
      <c r="DF834" s="120"/>
      <c r="DG834" s="2"/>
      <c r="DH834" s="2"/>
      <c r="DI834" s="2"/>
      <c r="DJ834" s="48"/>
      <c r="DK834" s="48"/>
      <c r="DL834" s="48"/>
      <c r="DM834" s="13"/>
      <c r="DN834" s="13"/>
      <c r="DO834" s="12"/>
      <c r="DP834" s="12"/>
      <c r="DQ834" s="12"/>
      <c r="DR834" s="12"/>
      <c r="DS834" s="12"/>
      <c r="DT834" s="2"/>
      <c r="DU834" s="2"/>
      <c r="DV834" s="12"/>
      <c r="DW834" s="12"/>
      <c r="DX834" s="2"/>
      <c r="DY834" s="2"/>
      <c r="DZ834" s="12"/>
      <c r="EA834" s="12"/>
      <c r="EB834" s="12"/>
      <c r="EC834" s="12"/>
      <c r="ED834" s="12"/>
    </row>
    <row r="835" spans="1:134" ht="12.5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12"/>
      <c r="AC835" s="12"/>
      <c r="AD835" s="12"/>
      <c r="AE835" s="2"/>
      <c r="AF835" s="2"/>
      <c r="AG835" s="2"/>
      <c r="AH835" s="2"/>
      <c r="AI835" s="2"/>
      <c r="AJ835" s="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2"/>
      <c r="AY835" s="2"/>
      <c r="AZ835" s="2"/>
      <c r="BA835" s="2"/>
      <c r="BB835" s="2"/>
      <c r="BC835" s="2"/>
      <c r="BD835" s="2"/>
      <c r="BE835" s="2"/>
      <c r="BF835" s="12"/>
      <c r="BG835" s="1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152"/>
      <c r="BV835" s="155"/>
      <c r="BW835" s="12"/>
      <c r="BX835" s="12"/>
      <c r="BY835" s="12"/>
      <c r="BZ835" s="12"/>
      <c r="CA835" s="12"/>
      <c r="CB835" s="12"/>
      <c r="CC835" s="12"/>
      <c r="CD835" s="12"/>
      <c r="CE835" s="12"/>
      <c r="CF835" s="12"/>
      <c r="CG835" s="12"/>
      <c r="CH835" s="12"/>
      <c r="CI835" s="12"/>
      <c r="CJ835" s="12"/>
      <c r="CK835" s="12"/>
      <c r="CL835" s="12"/>
      <c r="CM835" s="12"/>
      <c r="CN835" s="12"/>
      <c r="CO835" s="12"/>
      <c r="CP835" s="12"/>
      <c r="CQ835" s="46"/>
      <c r="CR835" s="46"/>
      <c r="CS835" s="46"/>
      <c r="CT835" s="119"/>
      <c r="CU835" s="119"/>
      <c r="CV835" s="119"/>
      <c r="CW835" s="119"/>
      <c r="CX835" s="120"/>
      <c r="CY835" s="120"/>
      <c r="CZ835" s="120"/>
      <c r="DA835" s="120"/>
      <c r="DB835" s="120"/>
      <c r="DC835" s="120"/>
      <c r="DD835" s="120"/>
      <c r="DE835" s="120"/>
      <c r="DF835" s="120"/>
      <c r="DG835" s="2"/>
      <c r="DH835" s="2"/>
      <c r="DI835" s="2"/>
      <c r="DJ835" s="48"/>
      <c r="DK835" s="48"/>
      <c r="DL835" s="48"/>
      <c r="DM835" s="13"/>
      <c r="DN835" s="13"/>
      <c r="DO835" s="12"/>
      <c r="DP835" s="12"/>
      <c r="DQ835" s="12"/>
      <c r="DR835" s="12"/>
      <c r="DS835" s="12"/>
      <c r="DT835" s="2"/>
      <c r="DU835" s="2"/>
      <c r="DV835" s="12"/>
      <c r="DW835" s="12"/>
      <c r="DX835" s="2"/>
      <c r="DY835" s="2"/>
      <c r="DZ835" s="12"/>
      <c r="EA835" s="12"/>
      <c r="EB835" s="12"/>
      <c r="EC835" s="12"/>
      <c r="ED835" s="12"/>
    </row>
    <row r="836" spans="1:134" ht="12.5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12"/>
      <c r="AC836" s="12"/>
      <c r="AD836" s="12"/>
      <c r="AE836" s="2"/>
      <c r="AF836" s="2"/>
      <c r="AG836" s="2"/>
      <c r="AH836" s="2"/>
      <c r="AI836" s="2"/>
      <c r="AJ836" s="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2"/>
      <c r="AY836" s="2"/>
      <c r="AZ836" s="2"/>
      <c r="BA836" s="2"/>
      <c r="BB836" s="2"/>
      <c r="BC836" s="2"/>
      <c r="BD836" s="2"/>
      <c r="BE836" s="2"/>
      <c r="BF836" s="12"/>
      <c r="BG836" s="1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152"/>
      <c r="BV836" s="155"/>
      <c r="BW836" s="12"/>
      <c r="BX836" s="12"/>
      <c r="BY836" s="12"/>
      <c r="BZ836" s="12"/>
      <c r="CA836" s="12"/>
      <c r="CB836" s="12"/>
      <c r="CC836" s="12"/>
      <c r="CD836" s="12"/>
      <c r="CE836" s="12"/>
      <c r="CF836" s="12"/>
      <c r="CG836" s="12"/>
      <c r="CH836" s="12"/>
      <c r="CI836" s="12"/>
      <c r="CJ836" s="12"/>
      <c r="CK836" s="12"/>
      <c r="CL836" s="12"/>
      <c r="CM836" s="12"/>
      <c r="CN836" s="12"/>
      <c r="CO836" s="12"/>
      <c r="CP836" s="12"/>
      <c r="CQ836" s="46"/>
      <c r="CR836" s="46"/>
      <c r="CS836" s="46"/>
      <c r="CT836" s="119"/>
      <c r="CU836" s="119"/>
      <c r="CV836" s="119"/>
      <c r="CW836" s="119"/>
      <c r="CX836" s="120"/>
      <c r="CY836" s="120"/>
      <c r="CZ836" s="120"/>
      <c r="DA836" s="120"/>
      <c r="DB836" s="120"/>
      <c r="DC836" s="120"/>
      <c r="DD836" s="120"/>
      <c r="DE836" s="120"/>
      <c r="DF836" s="120"/>
      <c r="DG836" s="2"/>
      <c r="DH836" s="2"/>
      <c r="DI836" s="2"/>
      <c r="DJ836" s="48"/>
      <c r="DK836" s="48"/>
      <c r="DL836" s="48"/>
      <c r="DM836" s="13"/>
      <c r="DN836" s="13"/>
      <c r="DO836" s="12"/>
      <c r="DP836" s="12"/>
      <c r="DQ836" s="12"/>
      <c r="DR836" s="12"/>
      <c r="DS836" s="12"/>
      <c r="DT836" s="2"/>
      <c r="DU836" s="2"/>
      <c r="DV836" s="12"/>
      <c r="DW836" s="12"/>
      <c r="DX836" s="2"/>
      <c r="DY836" s="2"/>
      <c r="DZ836" s="12"/>
      <c r="EA836" s="12"/>
      <c r="EB836" s="12"/>
      <c r="EC836" s="12"/>
      <c r="ED836" s="12"/>
    </row>
    <row r="837" spans="1:134" ht="12.5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12"/>
      <c r="AC837" s="12"/>
      <c r="AD837" s="12"/>
      <c r="AE837" s="2"/>
      <c r="AF837" s="2"/>
      <c r="AG837" s="2"/>
      <c r="AH837" s="2"/>
      <c r="AI837" s="2"/>
      <c r="AJ837" s="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2"/>
      <c r="AY837" s="2"/>
      <c r="AZ837" s="2"/>
      <c r="BA837" s="2"/>
      <c r="BB837" s="2"/>
      <c r="BC837" s="2"/>
      <c r="BD837" s="2"/>
      <c r="BE837" s="2"/>
      <c r="BF837" s="12"/>
      <c r="BG837" s="1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152"/>
      <c r="BV837" s="155"/>
      <c r="BW837" s="12"/>
      <c r="BX837" s="12"/>
      <c r="BY837" s="12"/>
      <c r="BZ837" s="12"/>
      <c r="CA837" s="12"/>
      <c r="CB837" s="12"/>
      <c r="CC837" s="12"/>
      <c r="CD837" s="12"/>
      <c r="CE837" s="12"/>
      <c r="CF837" s="12"/>
      <c r="CG837" s="12"/>
      <c r="CH837" s="12"/>
      <c r="CI837" s="12"/>
      <c r="CJ837" s="12"/>
      <c r="CK837" s="12"/>
      <c r="CL837" s="12"/>
      <c r="CM837" s="12"/>
      <c r="CN837" s="12"/>
      <c r="CO837" s="12"/>
      <c r="CP837" s="12"/>
      <c r="CQ837" s="46"/>
      <c r="CR837" s="46"/>
      <c r="CS837" s="46"/>
      <c r="CT837" s="119"/>
      <c r="CU837" s="119"/>
      <c r="CV837" s="119"/>
      <c r="CW837" s="119"/>
      <c r="CX837" s="120"/>
      <c r="CY837" s="120"/>
      <c r="CZ837" s="120"/>
      <c r="DA837" s="120"/>
      <c r="DB837" s="120"/>
      <c r="DC837" s="120"/>
      <c r="DD837" s="120"/>
      <c r="DE837" s="120"/>
      <c r="DF837" s="120"/>
      <c r="DG837" s="2"/>
      <c r="DH837" s="2"/>
      <c r="DI837" s="2"/>
      <c r="DJ837" s="48"/>
      <c r="DK837" s="48"/>
      <c r="DL837" s="48"/>
      <c r="DM837" s="13"/>
      <c r="DN837" s="13"/>
      <c r="DO837" s="12"/>
      <c r="DP837" s="12"/>
      <c r="DQ837" s="12"/>
      <c r="DR837" s="12"/>
      <c r="DS837" s="12"/>
      <c r="DT837" s="2"/>
      <c r="DU837" s="2"/>
      <c r="DV837" s="12"/>
      <c r="DW837" s="12"/>
      <c r="DX837" s="2"/>
      <c r="DY837" s="2"/>
      <c r="DZ837" s="12"/>
      <c r="EA837" s="12"/>
      <c r="EB837" s="12"/>
      <c r="EC837" s="12"/>
      <c r="ED837" s="12"/>
    </row>
    <row r="838" spans="1:134" ht="12.5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12"/>
      <c r="AC838" s="12"/>
      <c r="AD838" s="12"/>
      <c r="AE838" s="2"/>
      <c r="AF838" s="2"/>
      <c r="AG838" s="2"/>
      <c r="AH838" s="2"/>
      <c r="AI838" s="2"/>
      <c r="AJ838" s="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2"/>
      <c r="AY838" s="2"/>
      <c r="AZ838" s="2"/>
      <c r="BA838" s="2"/>
      <c r="BB838" s="2"/>
      <c r="BC838" s="2"/>
      <c r="BD838" s="2"/>
      <c r="BE838" s="2"/>
      <c r="BF838" s="12"/>
      <c r="BG838" s="1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152"/>
      <c r="BV838" s="155"/>
      <c r="BW838" s="12"/>
      <c r="BX838" s="12"/>
      <c r="BY838" s="12"/>
      <c r="BZ838" s="12"/>
      <c r="CA838" s="12"/>
      <c r="CB838" s="12"/>
      <c r="CC838" s="12"/>
      <c r="CD838" s="12"/>
      <c r="CE838" s="12"/>
      <c r="CF838" s="12"/>
      <c r="CG838" s="12"/>
      <c r="CH838" s="12"/>
      <c r="CI838" s="12"/>
      <c r="CJ838" s="12"/>
      <c r="CK838" s="12"/>
      <c r="CL838" s="12"/>
      <c r="CM838" s="12"/>
      <c r="CN838" s="12"/>
      <c r="CO838" s="12"/>
      <c r="CP838" s="12"/>
      <c r="CQ838" s="46"/>
      <c r="CR838" s="46"/>
      <c r="CS838" s="46"/>
      <c r="CT838" s="119"/>
      <c r="CU838" s="119"/>
      <c r="CV838" s="119"/>
      <c r="CW838" s="119"/>
      <c r="CX838" s="120"/>
      <c r="CY838" s="120"/>
      <c r="CZ838" s="120"/>
      <c r="DA838" s="120"/>
      <c r="DB838" s="120"/>
      <c r="DC838" s="120"/>
      <c r="DD838" s="120"/>
      <c r="DE838" s="120"/>
      <c r="DF838" s="120"/>
      <c r="DG838" s="2"/>
      <c r="DH838" s="2"/>
      <c r="DI838" s="2"/>
      <c r="DJ838" s="48"/>
      <c r="DK838" s="48"/>
      <c r="DL838" s="48"/>
      <c r="DM838" s="13"/>
      <c r="DN838" s="13"/>
      <c r="DO838" s="12"/>
      <c r="DP838" s="12"/>
      <c r="DQ838" s="12"/>
      <c r="DR838" s="12"/>
      <c r="DS838" s="12"/>
      <c r="DT838" s="2"/>
      <c r="DU838" s="2"/>
      <c r="DV838" s="12"/>
      <c r="DW838" s="12"/>
      <c r="DX838" s="2"/>
      <c r="DY838" s="2"/>
      <c r="DZ838" s="12"/>
      <c r="EA838" s="12"/>
      <c r="EB838" s="12"/>
      <c r="EC838" s="12"/>
      <c r="ED838" s="12"/>
    </row>
    <row r="839" spans="1:134" ht="12.5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12"/>
      <c r="AC839" s="12"/>
      <c r="AD839" s="12"/>
      <c r="AE839" s="2"/>
      <c r="AF839" s="2"/>
      <c r="AG839" s="2"/>
      <c r="AH839" s="2"/>
      <c r="AI839" s="2"/>
      <c r="AJ839" s="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2"/>
      <c r="AY839" s="2"/>
      <c r="AZ839" s="2"/>
      <c r="BA839" s="2"/>
      <c r="BB839" s="2"/>
      <c r="BC839" s="2"/>
      <c r="BD839" s="2"/>
      <c r="BE839" s="2"/>
      <c r="BF839" s="12"/>
      <c r="BG839" s="1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152"/>
      <c r="BV839" s="155"/>
      <c r="BW839" s="12"/>
      <c r="BX839" s="12"/>
      <c r="BY839" s="12"/>
      <c r="BZ839" s="12"/>
      <c r="CA839" s="12"/>
      <c r="CB839" s="12"/>
      <c r="CC839" s="12"/>
      <c r="CD839" s="12"/>
      <c r="CE839" s="12"/>
      <c r="CF839" s="12"/>
      <c r="CG839" s="12"/>
      <c r="CH839" s="12"/>
      <c r="CI839" s="12"/>
      <c r="CJ839" s="12"/>
      <c r="CK839" s="12"/>
      <c r="CL839" s="12"/>
      <c r="CM839" s="12"/>
      <c r="CN839" s="12"/>
      <c r="CO839" s="12"/>
      <c r="CP839" s="12"/>
      <c r="CQ839" s="46"/>
      <c r="CR839" s="46"/>
      <c r="CS839" s="46"/>
      <c r="CT839" s="119"/>
      <c r="CU839" s="119"/>
      <c r="CV839" s="119"/>
      <c r="CW839" s="119"/>
      <c r="CX839" s="120"/>
      <c r="CY839" s="120"/>
      <c r="CZ839" s="120"/>
      <c r="DA839" s="120"/>
      <c r="DB839" s="120"/>
      <c r="DC839" s="120"/>
      <c r="DD839" s="120"/>
      <c r="DE839" s="120"/>
      <c r="DF839" s="120"/>
      <c r="DG839" s="2"/>
      <c r="DH839" s="2"/>
      <c r="DI839" s="2"/>
      <c r="DJ839" s="48"/>
      <c r="DK839" s="48"/>
      <c r="DL839" s="48"/>
      <c r="DM839" s="13"/>
      <c r="DN839" s="13"/>
      <c r="DO839" s="12"/>
      <c r="DP839" s="12"/>
      <c r="DQ839" s="12"/>
      <c r="DR839" s="12"/>
      <c r="DS839" s="12"/>
      <c r="DT839" s="2"/>
      <c r="DU839" s="2"/>
      <c r="DV839" s="12"/>
      <c r="DW839" s="12"/>
      <c r="DX839" s="2"/>
      <c r="DY839" s="2"/>
      <c r="DZ839" s="12"/>
      <c r="EA839" s="12"/>
      <c r="EB839" s="12"/>
      <c r="EC839" s="12"/>
      <c r="ED839" s="12"/>
    </row>
    <row r="840" spans="1:134" ht="12.5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12"/>
      <c r="AC840" s="12"/>
      <c r="AD840" s="12"/>
      <c r="AE840" s="2"/>
      <c r="AF840" s="2"/>
      <c r="AG840" s="2"/>
      <c r="AH840" s="2"/>
      <c r="AI840" s="2"/>
      <c r="AJ840" s="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2"/>
      <c r="AY840" s="2"/>
      <c r="AZ840" s="2"/>
      <c r="BA840" s="2"/>
      <c r="BB840" s="2"/>
      <c r="BC840" s="2"/>
      <c r="BD840" s="2"/>
      <c r="BE840" s="2"/>
      <c r="BF840" s="12"/>
      <c r="BG840" s="1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152"/>
      <c r="BV840" s="155"/>
      <c r="BW840" s="12"/>
      <c r="BX840" s="12"/>
      <c r="BY840" s="12"/>
      <c r="BZ840" s="12"/>
      <c r="CA840" s="12"/>
      <c r="CB840" s="12"/>
      <c r="CC840" s="12"/>
      <c r="CD840" s="12"/>
      <c r="CE840" s="12"/>
      <c r="CF840" s="12"/>
      <c r="CG840" s="12"/>
      <c r="CH840" s="12"/>
      <c r="CI840" s="12"/>
      <c r="CJ840" s="12"/>
      <c r="CK840" s="12"/>
      <c r="CL840" s="12"/>
      <c r="CM840" s="12"/>
      <c r="CN840" s="12"/>
      <c r="CO840" s="12"/>
      <c r="CP840" s="12"/>
      <c r="CQ840" s="46"/>
      <c r="CR840" s="46"/>
      <c r="CS840" s="46"/>
      <c r="CT840" s="119"/>
      <c r="CU840" s="119"/>
      <c r="CV840" s="119"/>
      <c r="CW840" s="119"/>
      <c r="CX840" s="120"/>
      <c r="CY840" s="120"/>
      <c r="CZ840" s="120"/>
      <c r="DA840" s="120"/>
      <c r="DB840" s="120"/>
      <c r="DC840" s="120"/>
      <c r="DD840" s="120"/>
      <c r="DE840" s="120"/>
      <c r="DF840" s="120"/>
      <c r="DG840" s="2"/>
      <c r="DH840" s="2"/>
      <c r="DI840" s="2"/>
      <c r="DJ840" s="48"/>
      <c r="DK840" s="48"/>
      <c r="DL840" s="48"/>
      <c r="DM840" s="13"/>
      <c r="DN840" s="13"/>
      <c r="DO840" s="12"/>
      <c r="DP840" s="12"/>
      <c r="DQ840" s="12"/>
      <c r="DR840" s="12"/>
      <c r="DS840" s="12"/>
      <c r="DT840" s="2"/>
      <c r="DU840" s="2"/>
      <c r="DV840" s="12"/>
      <c r="DW840" s="12"/>
      <c r="DX840" s="2"/>
      <c r="DY840" s="2"/>
      <c r="DZ840" s="12"/>
      <c r="EA840" s="12"/>
      <c r="EB840" s="12"/>
      <c r="EC840" s="12"/>
      <c r="ED840" s="12"/>
    </row>
    <row r="841" spans="1:134" ht="12.5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12"/>
      <c r="AC841" s="12"/>
      <c r="AD841" s="12"/>
      <c r="AE841" s="2"/>
      <c r="AF841" s="2"/>
      <c r="AG841" s="2"/>
      <c r="AH841" s="2"/>
      <c r="AI841" s="2"/>
      <c r="AJ841" s="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2"/>
      <c r="AY841" s="2"/>
      <c r="AZ841" s="2"/>
      <c r="BA841" s="2"/>
      <c r="BB841" s="2"/>
      <c r="BC841" s="2"/>
      <c r="BD841" s="2"/>
      <c r="BE841" s="2"/>
      <c r="BF841" s="12"/>
      <c r="BG841" s="1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152"/>
      <c r="BV841" s="155"/>
      <c r="BW841" s="12"/>
      <c r="BX841" s="12"/>
      <c r="BY841" s="12"/>
      <c r="BZ841" s="12"/>
      <c r="CA841" s="12"/>
      <c r="CB841" s="12"/>
      <c r="CC841" s="12"/>
      <c r="CD841" s="12"/>
      <c r="CE841" s="12"/>
      <c r="CF841" s="12"/>
      <c r="CG841" s="12"/>
      <c r="CH841" s="12"/>
      <c r="CI841" s="12"/>
      <c r="CJ841" s="12"/>
      <c r="CK841" s="12"/>
      <c r="CL841" s="12"/>
      <c r="CM841" s="12"/>
      <c r="CN841" s="12"/>
      <c r="CO841" s="12"/>
      <c r="CP841" s="12"/>
      <c r="CQ841" s="46"/>
      <c r="CR841" s="46"/>
      <c r="CS841" s="46"/>
      <c r="CT841" s="119"/>
      <c r="CU841" s="119"/>
      <c r="CV841" s="119"/>
      <c r="CW841" s="119"/>
      <c r="CX841" s="120"/>
      <c r="CY841" s="120"/>
      <c r="CZ841" s="120"/>
      <c r="DA841" s="120"/>
      <c r="DB841" s="120"/>
      <c r="DC841" s="120"/>
      <c r="DD841" s="120"/>
      <c r="DE841" s="120"/>
      <c r="DF841" s="120"/>
      <c r="DG841" s="2"/>
      <c r="DH841" s="2"/>
      <c r="DI841" s="2"/>
      <c r="DJ841" s="48"/>
      <c r="DK841" s="48"/>
      <c r="DL841" s="48"/>
      <c r="DM841" s="13"/>
      <c r="DN841" s="13"/>
      <c r="DO841" s="12"/>
      <c r="DP841" s="12"/>
      <c r="DQ841" s="12"/>
      <c r="DR841" s="12"/>
      <c r="DS841" s="12"/>
      <c r="DT841" s="2"/>
      <c r="DU841" s="2"/>
      <c r="DV841" s="12"/>
      <c r="DW841" s="12"/>
      <c r="DX841" s="2"/>
      <c r="DY841" s="2"/>
      <c r="DZ841" s="12"/>
      <c r="EA841" s="12"/>
      <c r="EB841" s="12"/>
      <c r="EC841" s="12"/>
      <c r="ED841" s="12"/>
    </row>
    <row r="842" spans="1:134" ht="12.5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12"/>
      <c r="AC842" s="12"/>
      <c r="AD842" s="12"/>
      <c r="AE842" s="2"/>
      <c r="AF842" s="2"/>
      <c r="AG842" s="2"/>
      <c r="AH842" s="2"/>
      <c r="AI842" s="2"/>
      <c r="AJ842" s="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2"/>
      <c r="AY842" s="2"/>
      <c r="AZ842" s="2"/>
      <c r="BA842" s="2"/>
      <c r="BB842" s="2"/>
      <c r="BC842" s="2"/>
      <c r="BD842" s="2"/>
      <c r="BE842" s="2"/>
      <c r="BF842" s="12"/>
      <c r="BG842" s="1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152"/>
      <c r="BV842" s="155"/>
      <c r="BW842" s="12"/>
      <c r="BX842" s="12"/>
      <c r="BY842" s="12"/>
      <c r="BZ842" s="12"/>
      <c r="CA842" s="12"/>
      <c r="CB842" s="12"/>
      <c r="CC842" s="12"/>
      <c r="CD842" s="12"/>
      <c r="CE842" s="12"/>
      <c r="CF842" s="12"/>
      <c r="CG842" s="12"/>
      <c r="CH842" s="12"/>
      <c r="CI842" s="12"/>
      <c r="CJ842" s="12"/>
      <c r="CK842" s="12"/>
      <c r="CL842" s="12"/>
      <c r="CM842" s="12"/>
      <c r="CN842" s="12"/>
      <c r="CO842" s="12"/>
      <c r="CP842" s="12"/>
      <c r="CQ842" s="46"/>
      <c r="CR842" s="46"/>
      <c r="CS842" s="46"/>
      <c r="CT842" s="119"/>
      <c r="CU842" s="119"/>
      <c r="CV842" s="119"/>
      <c r="CW842" s="119"/>
      <c r="CX842" s="120"/>
      <c r="CY842" s="120"/>
      <c r="CZ842" s="120"/>
      <c r="DA842" s="120"/>
      <c r="DB842" s="120"/>
      <c r="DC842" s="120"/>
      <c r="DD842" s="120"/>
      <c r="DE842" s="120"/>
      <c r="DF842" s="120"/>
      <c r="DG842" s="2"/>
      <c r="DH842" s="2"/>
      <c r="DI842" s="2"/>
      <c r="DJ842" s="48"/>
      <c r="DK842" s="48"/>
      <c r="DL842" s="48"/>
      <c r="DM842" s="13"/>
      <c r="DN842" s="13"/>
      <c r="DO842" s="12"/>
      <c r="DP842" s="12"/>
      <c r="DQ842" s="12"/>
      <c r="DR842" s="12"/>
      <c r="DS842" s="12"/>
      <c r="DT842" s="2"/>
      <c r="DU842" s="2"/>
      <c r="DV842" s="12"/>
      <c r="DW842" s="12"/>
      <c r="DX842" s="2"/>
      <c r="DY842" s="2"/>
      <c r="DZ842" s="12"/>
      <c r="EA842" s="12"/>
      <c r="EB842" s="12"/>
      <c r="EC842" s="12"/>
      <c r="ED842" s="12"/>
    </row>
    <row r="843" spans="1:134" ht="12.5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12"/>
      <c r="AC843" s="12"/>
      <c r="AD843" s="12"/>
      <c r="AE843" s="2"/>
      <c r="AF843" s="2"/>
      <c r="AG843" s="2"/>
      <c r="AH843" s="2"/>
      <c r="AI843" s="2"/>
      <c r="AJ843" s="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2"/>
      <c r="AY843" s="2"/>
      <c r="AZ843" s="2"/>
      <c r="BA843" s="2"/>
      <c r="BB843" s="2"/>
      <c r="BC843" s="2"/>
      <c r="BD843" s="2"/>
      <c r="BE843" s="2"/>
      <c r="BF843" s="12"/>
      <c r="BG843" s="1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152"/>
      <c r="BV843" s="155"/>
      <c r="BW843" s="12"/>
      <c r="BX843" s="12"/>
      <c r="BY843" s="12"/>
      <c r="BZ843" s="12"/>
      <c r="CA843" s="12"/>
      <c r="CB843" s="12"/>
      <c r="CC843" s="12"/>
      <c r="CD843" s="12"/>
      <c r="CE843" s="12"/>
      <c r="CF843" s="12"/>
      <c r="CG843" s="12"/>
      <c r="CH843" s="12"/>
      <c r="CI843" s="12"/>
      <c r="CJ843" s="12"/>
      <c r="CK843" s="12"/>
      <c r="CL843" s="12"/>
      <c r="CM843" s="12"/>
      <c r="CN843" s="12"/>
      <c r="CO843" s="12"/>
      <c r="CP843" s="12"/>
      <c r="CQ843" s="46"/>
      <c r="CR843" s="46"/>
      <c r="CS843" s="46"/>
      <c r="CT843" s="119"/>
      <c r="CU843" s="119"/>
      <c r="CV843" s="119"/>
      <c r="CW843" s="119"/>
      <c r="CX843" s="120"/>
      <c r="CY843" s="120"/>
      <c r="CZ843" s="120"/>
      <c r="DA843" s="120"/>
      <c r="DB843" s="120"/>
      <c r="DC843" s="120"/>
      <c r="DD843" s="120"/>
      <c r="DE843" s="120"/>
      <c r="DF843" s="120"/>
      <c r="DG843" s="2"/>
      <c r="DH843" s="2"/>
      <c r="DI843" s="2"/>
      <c r="DJ843" s="48"/>
      <c r="DK843" s="48"/>
      <c r="DL843" s="48"/>
      <c r="DM843" s="13"/>
      <c r="DN843" s="13"/>
      <c r="DO843" s="12"/>
      <c r="DP843" s="12"/>
      <c r="DQ843" s="12"/>
      <c r="DR843" s="12"/>
      <c r="DS843" s="12"/>
      <c r="DT843" s="2"/>
      <c r="DU843" s="2"/>
      <c r="DV843" s="12"/>
      <c r="DW843" s="12"/>
      <c r="DX843" s="2"/>
      <c r="DY843" s="2"/>
      <c r="DZ843" s="12"/>
      <c r="EA843" s="12"/>
      <c r="EB843" s="12"/>
      <c r="EC843" s="12"/>
      <c r="ED843" s="12"/>
    </row>
    <row r="844" spans="1:134" ht="12.5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12"/>
      <c r="AC844" s="12"/>
      <c r="AD844" s="12"/>
      <c r="AE844" s="2"/>
      <c r="AF844" s="2"/>
      <c r="AG844" s="2"/>
      <c r="AH844" s="2"/>
      <c r="AI844" s="2"/>
      <c r="AJ844" s="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2"/>
      <c r="AY844" s="2"/>
      <c r="AZ844" s="2"/>
      <c r="BA844" s="2"/>
      <c r="BB844" s="2"/>
      <c r="BC844" s="2"/>
      <c r="BD844" s="2"/>
      <c r="BE844" s="2"/>
      <c r="BF844" s="12"/>
      <c r="BG844" s="1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152"/>
      <c r="BV844" s="155"/>
      <c r="BW844" s="12"/>
      <c r="BX844" s="12"/>
      <c r="BY844" s="12"/>
      <c r="BZ844" s="12"/>
      <c r="CA844" s="12"/>
      <c r="CB844" s="12"/>
      <c r="CC844" s="12"/>
      <c r="CD844" s="12"/>
      <c r="CE844" s="12"/>
      <c r="CF844" s="12"/>
      <c r="CG844" s="12"/>
      <c r="CH844" s="12"/>
      <c r="CI844" s="12"/>
      <c r="CJ844" s="12"/>
      <c r="CK844" s="12"/>
      <c r="CL844" s="12"/>
      <c r="CM844" s="12"/>
      <c r="CN844" s="12"/>
      <c r="CO844" s="12"/>
      <c r="CP844" s="12"/>
      <c r="CQ844" s="46"/>
      <c r="CR844" s="46"/>
      <c r="CS844" s="46"/>
      <c r="CT844" s="119"/>
      <c r="CU844" s="119"/>
      <c r="CV844" s="119"/>
      <c r="CW844" s="119"/>
      <c r="CX844" s="120"/>
      <c r="CY844" s="120"/>
      <c r="CZ844" s="120"/>
      <c r="DA844" s="120"/>
      <c r="DB844" s="120"/>
      <c r="DC844" s="120"/>
      <c r="DD844" s="120"/>
      <c r="DE844" s="120"/>
      <c r="DF844" s="120"/>
      <c r="DG844" s="2"/>
      <c r="DH844" s="2"/>
      <c r="DI844" s="2"/>
      <c r="DJ844" s="48"/>
      <c r="DK844" s="48"/>
      <c r="DL844" s="48"/>
      <c r="DM844" s="13"/>
      <c r="DN844" s="13"/>
      <c r="DO844" s="12"/>
      <c r="DP844" s="12"/>
      <c r="DQ844" s="12"/>
      <c r="DR844" s="12"/>
      <c r="DS844" s="12"/>
      <c r="DT844" s="2"/>
      <c r="DU844" s="2"/>
      <c r="DV844" s="12"/>
      <c r="DW844" s="12"/>
      <c r="DX844" s="2"/>
      <c r="DY844" s="2"/>
      <c r="DZ844" s="12"/>
      <c r="EA844" s="12"/>
      <c r="EB844" s="12"/>
      <c r="EC844" s="12"/>
      <c r="ED844" s="12"/>
    </row>
    <row r="845" spans="1:134" ht="12.5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12"/>
      <c r="AC845" s="12"/>
      <c r="AD845" s="12"/>
      <c r="AE845" s="2"/>
      <c r="AF845" s="2"/>
      <c r="AG845" s="2"/>
      <c r="AH845" s="2"/>
      <c r="AI845" s="2"/>
      <c r="AJ845" s="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2"/>
      <c r="AY845" s="2"/>
      <c r="AZ845" s="2"/>
      <c r="BA845" s="2"/>
      <c r="BB845" s="2"/>
      <c r="BC845" s="2"/>
      <c r="BD845" s="2"/>
      <c r="BE845" s="2"/>
      <c r="BF845" s="12"/>
      <c r="BG845" s="1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152"/>
      <c r="BV845" s="155"/>
      <c r="BW845" s="12"/>
      <c r="BX845" s="12"/>
      <c r="BY845" s="12"/>
      <c r="BZ845" s="12"/>
      <c r="CA845" s="12"/>
      <c r="CB845" s="12"/>
      <c r="CC845" s="12"/>
      <c r="CD845" s="12"/>
      <c r="CE845" s="12"/>
      <c r="CF845" s="12"/>
      <c r="CG845" s="12"/>
      <c r="CH845" s="12"/>
      <c r="CI845" s="12"/>
      <c r="CJ845" s="12"/>
      <c r="CK845" s="12"/>
      <c r="CL845" s="12"/>
      <c r="CM845" s="12"/>
      <c r="CN845" s="12"/>
      <c r="CO845" s="12"/>
      <c r="CP845" s="12"/>
      <c r="CQ845" s="46"/>
      <c r="CR845" s="46"/>
      <c r="CS845" s="46"/>
      <c r="CT845" s="119"/>
      <c r="CU845" s="119"/>
      <c r="CV845" s="119"/>
      <c r="CW845" s="119"/>
      <c r="CX845" s="120"/>
      <c r="CY845" s="120"/>
      <c r="CZ845" s="120"/>
      <c r="DA845" s="120"/>
      <c r="DB845" s="120"/>
      <c r="DC845" s="120"/>
      <c r="DD845" s="120"/>
      <c r="DE845" s="120"/>
      <c r="DF845" s="120"/>
      <c r="DG845" s="2"/>
      <c r="DH845" s="2"/>
      <c r="DI845" s="2"/>
      <c r="DJ845" s="48"/>
      <c r="DK845" s="48"/>
      <c r="DL845" s="48"/>
      <c r="DM845" s="13"/>
      <c r="DN845" s="13"/>
      <c r="DO845" s="12"/>
      <c r="DP845" s="12"/>
      <c r="DQ845" s="12"/>
      <c r="DR845" s="12"/>
      <c r="DS845" s="12"/>
      <c r="DT845" s="2"/>
      <c r="DU845" s="2"/>
      <c r="DV845" s="12"/>
      <c r="DW845" s="12"/>
      <c r="DX845" s="2"/>
      <c r="DY845" s="2"/>
      <c r="DZ845" s="12"/>
      <c r="EA845" s="12"/>
      <c r="EB845" s="12"/>
      <c r="EC845" s="12"/>
      <c r="ED845" s="12"/>
    </row>
    <row r="846" spans="1:134" ht="12.5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12"/>
      <c r="AC846" s="12"/>
      <c r="AD846" s="12"/>
      <c r="AE846" s="2"/>
      <c r="AF846" s="2"/>
      <c r="AG846" s="2"/>
      <c r="AH846" s="2"/>
      <c r="AI846" s="2"/>
      <c r="AJ846" s="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2"/>
      <c r="AY846" s="2"/>
      <c r="AZ846" s="2"/>
      <c r="BA846" s="2"/>
      <c r="BB846" s="2"/>
      <c r="BC846" s="2"/>
      <c r="BD846" s="2"/>
      <c r="BE846" s="2"/>
      <c r="BF846" s="12"/>
      <c r="BG846" s="1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152"/>
      <c r="BV846" s="155"/>
      <c r="BW846" s="12"/>
      <c r="BX846" s="12"/>
      <c r="BY846" s="12"/>
      <c r="BZ846" s="12"/>
      <c r="CA846" s="12"/>
      <c r="CB846" s="12"/>
      <c r="CC846" s="12"/>
      <c r="CD846" s="12"/>
      <c r="CE846" s="12"/>
      <c r="CF846" s="12"/>
      <c r="CG846" s="12"/>
      <c r="CH846" s="12"/>
      <c r="CI846" s="12"/>
      <c r="CJ846" s="12"/>
      <c r="CK846" s="12"/>
      <c r="CL846" s="12"/>
      <c r="CM846" s="12"/>
      <c r="CN846" s="12"/>
      <c r="CO846" s="12"/>
      <c r="CP846" s="12"/>
      <c r="CQ846" s="46"/>
      <c r="CR846" s="46"/>
      <c r="CS846" s="46"/>
      <c r="CT846" s="119"/>
      <c r="CU846" s="119"/>
      <c r="CV846" s="119"/>
      <c r="CW846" s="119"/>
      <c r="CX846" s="120"/>
      <c r="CY846" s="120"/>
      <c r="CZ846" s="120"/>
      <c r="DA846" s="120"/>
      <c r="DB846" s="120"/>
      <c r="DC846" s="120"/>
      <c r="DD846" s="120"/>
      <c r="DE846" s="120"/>
      <c r="DF846" s="120"/>
      <c r="DG846" s="2"/>
      <c r="DH846" s="2"/>
      <c r="DI846" s="2"/>
      <c r="DJ846" s="48"/>
      <c r="DK846" s="48"/>
      <c r="DL846" s="48"/>
      <c r="DM846" s="13"/>
      <c r="DN846" s="13"/>
      <c r="DO846" s="12"/>
      <c r="DP846" s="12"/>
      <c r="DQ846" s="12"/>
      <c r="DR846" s="12"/>
      <c r="DS846" s="12"/>
      <c r="DT846" s="2"/>
      <c r="DU846" s="2"/>
      <c r="DV846" s="12"/>
      <c r="DW846" s="12"/>
      <c r="DX846" s="2"/>
      <c r="DY846" s="2"/>
      <c r="DZ846" s="12"/>
      <c r="EA846" s="12"/>
      <c r="EB846" s="12"/>
      <c r="EC846" s="12"/>
      <c r="ED846" s="12"/>
    </row>
    <row r="847" spans="1:134" ht="12.5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12"/>
      <c r="AC847" s="12"/>
      <c r="AD847" s="12"/>
      <c r="AE847" s="2"/>
      <c r="AF847" s="2"/>
      <c r="AG847" s="2"/>
      <c r="AH847" s="2"/>
      <c r="AI847" s="2"/>
      <c r="AJ847" s="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2"/>
      <c r="AY847" s="2"/>
      <c r="AZ847" s="2"/>
      <c r="BA847" s="2"/>
      <c r="BB847" s="2"/>
      <c r="BC847" s="2"/>
      <c r="BD847" s="2"/>
      <c r="BE847" s="2"/>
      <c r="BF847" s="12"/>
      <c r="BG847" s="1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152"/>
      <c r="BV847" s="155"/>
      <c r="BW847" s="12"/>
      <c r="BX847" s="12"/>
      <c r="BY847" s="12"/>
      <c r="BZ847" s="12"/>
      <c r="CA847" s="12"/>
      <c r="CB847" s="12"/>
      <c r="CC847" s="12"/>
      <c r="CD847" s="12"/>
      <c r="CE847" s="12"/>
      <c r="CF847" s="12"/>
      <c r="CG847" s="12"/>
      <c r="CH847" s="12"/>
      <c r="CI847" s="12"/>
      <c r="CJ847" s="12"/>
      <c r="CK847" s="12"/>
      <c r="CL847" s="12"/>
      <c r="CM847" s="12"/>
      <c r="CN847" s="12"/>
      <c r="CO847" s="12"/>
      <c r="CP847" s="12"/>
      <c r="CQ847" s="46"/>
      <c r="CR847" s="46"/>
      <c r="CS847" s="46"/>
      <c r="CT847" s="119"/>
      <c r="CU847" s="119"/>
      <c r="CV847" s="119"/>
      <c r="CW847" s="119"/>
      <c r="CX847" s="120"/>
      <c r="CY847" s="120"/>
      <c r="CZ847" s="120"/>
      <c r="DA847" s="120"/>
      <c r="DB847" s="120"/>
      <c r="DC847" s="120"/>
      <c r="DD847" s="120"/>
      <c r="DE847" s="120"/>
      <c r="DF847" s="120"/>
      <c r="DG847" s="2"/>
      <c r="DH847" s="2"/>
      <c r="DI847" s="2"/>
      <c r="DJ847" s="48"/>
      <c r="DK847" s="48"/>
      <c r="DL847" s="48"/>
      <c r="DM847" s="13"/>
      <c r="DN847" s="13"/>
      <c r="DO847" s="12"/>
      <c r="DP847" s="12"/>
      <c r="DQ847" s="12"/>
      <c r="DR847" s="12"/>
      <c r="DS847" s="12"/>
      <c r="DT847" s="2"/>
      <c r="DU847" s="2"/>
      <c r="DV847" s="12"/>
      <c r="DW847" s="12"/>
      <c r="DX847" s="2"/>
      <c r="DY847" s="2"/>
      <c r="DZ847" s="12"/>
      <c r="EA847" s="12"/>
      <c r="EB847" s="12"/>
      <c r="EC847" s="12"/>
      <c r="ED847" s="12"/>
    </row>
    <row r="848" spans="1:134" ht="12.5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12"/>
      <c r="AC848" s="12"/>
      <c r="AD848" s="12"/>
      <c r="AE848" s="2"/>
      <c r="AF848" s="2"/>
      <c r="AG848" s="2"/>
      <c r="AH848" s="2"/>
      <c r="AI848" s="2"/>
      <c r="AJ848" s="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2"/>
      <c r="AY848" s="2"/>
      <c r="AZ848" s="2"/>
      <c r="BA848" s="2"/>
      <c r="BB848" s="2"/>
      <c r="BC848" s="2"/>
      <c r="BD848" s="2"/>
      <c r="BE848" s="2"/>
      <c r="BF848" s="12"/>
      <c r="BG848" s="1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152"/>
      <c r="BV848" s="155"/>
      <c r="BW848" s="12"/>
      <c r="BX848" s="12"/>
      <c r="BY848" s="12"/>
      <c r="BZ848" s="12"/>
      <c r="CA848" s="12"/>
      <c r="CB848" s="12"/>
      <c r="CC848" s="12"/>
      <c r="CD848" s="12"/>
      <c r="CE848" s="12"/>
      <c r="CF848" s="12"/>
      <c r="CG848" s="12"/>
      <c r="CH848" s="12"/>
      <c r="CI848" s="12"/>
      <c r="CJ848" s="12"/>
      <c r="CK848" s="12"/>
      <c r="CL848" s="12"/>
      <c r="CM848" s="12"/>
      <c r="CN848" s="12"/>
      <c r="CO848" s="12"/>
      <c r="CP848" s="12"/>
      <c r="CQ848" s="46"/>
      <c r="CR848" s="46"/>
      <c r="CS848" s="46"/>
      <c r="CT848" s="119"/>
      <c r="CU848" s="119"/>
      <c r="CV848" s="119"/>
      <c r="CW848" s="119"/>
      <c r="CX848" s="120"/>
      <c r="CY848" s="120"/>
      <c r="CZ848" s="120"/>
      <c r="DA848" s="120"/>
      <c r="DB848" s="120"/>
      <c r="DC848" s="120"/>
      <c r="DD848" s="120"/>
      <c r="DE848" s="120"/>
      <c r="DF848" s="120"/>
      <c r="DG848" s="2"/>
      <c r="DH848" s="2"/>
      <c r="DI848" s="2"/>
      <c r="DJ848" s="48"/>
      <c r="DK848" s="48"/>
      <c r="DL848" s="48"/>
      <c r="DM848" s="13"/>
      <c r="DN848" s="13"/>
      <c r="DO848" s="12"/>
      <c r="DP848" s="12"/>
      <c r="DQ848" s="12"/>
      <c r="DR848" s="12"/>
      <c r="DS848" s="12"/>
      <c r="DT848" s="2"/>
      <c r="DU848" s="2"/>
      <c r="DV848" s="12"/>
      <c r="DW848" s="12"/>
      <c r="DX848" s="2"/>
      <c r="DY848" s="2"/>
      <c r="DZ848" s="12"/>
      <c r="EA848" s="12"/>
      <c r="EB848" s="12"/>
      <c r="EC848" s="12"/>
      <c r="ED848" s="12"/>
    </row>
    <row r="849" spans="1:134" ht="12.5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12"/>
      <c r="AC849" s="12"/>
      <c r="AD849" s="12"/>
      <c r="AE849" s="2"/>
      <c r="AF849" s="2"/>
      <c r="AG849" s="2"/>
      <c r="AH849" s="2"/>
      <c r="AI849" s="2"/>
      <c r="AJ849" s="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2"/>
      <c r="AY849" s="2"/>
      <c r="AZ849" s="2"/>
      <c r="BA849" s="2"/>
      <c r="BB849" s="2"/>
      <c r="BC849" s="2"/>
      <c r="BD849" s="2"/>
      <c r="BE849" s="2"/>
      <c r="BF849" s="12"/>
      <c r="BG849" s="1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152"/>
      <c r="BV849" s="155"/>
      <c r="BW849" s="12"/>
      <c r="BX849" s="12"/>
      <c r="BY849" s="12"/>
      <c r="BZ849" s="12"/>
      <c r="CA849" s="12"/>
      <c r="CB849" s="12"/>
      <c r="CC849" s="12"/>
      <c r="CD849" s="12"/>
      <c r="CE849" s="12"/>
      <c r="CF849" s="12"/>
      <c r="CG849" s="12"/>
      <c r="CH849" s="12"/>
      <c r="CI849" s="12"/>
      <c r="CJ849" s="12"/>
      <c r="CK849" s="12"/>
      <c r="CL849" s="12"/>
      <c r="CM849" s="12"/>
      <c r="CN849" s="12"/>
      <c r="CO849" s="12"/>
      <c r="CP849" s="12"/>
      <c r="CQ849" s="46"/>
      <c r="CR849" s="46"/>
      <c r="CS849" s="46"/>
      <c r="CT849" s="119"/>
      <c r="CU849" s="119"/>
      <c r="CV849" s="119"/>
      <c r="CW849" s="119"/>
      <c r="CX849" s="120"/>
      <c r="CY849" s="120"/>
      <c r="CZ849" s="120"/>
      <c r="DA849" s="120"/>
      <c r="DB849" s="120"/>
      <c r="DC849" s="120"/>
      <c r="DD849" s="120"/>
      <c r="DE849" s="120"/>
      <c r="DF849" s="120"/>
      <c r="DG849" s="2"/>
      <c r="DH849" s="2"/>
      <c r="DI849" s="2"/>
      <c r="DJ849" s="48"/>
      <c r="DK849" s="48"/>
      <c r="DL849" s="48"/>
      <c r="DM849" s="13"/>
      <c r="DN849" s="13"/>
      <c r="DO849" s="12"/>
      <c r="DP849" s="12"/>
      <c r="DQ849" s="12"/>
      <c r="DR849" s="12"/>
      <c r="DS849" s="12"/>
      <c r="DT849" s="2"/>
      <c r="DU849" s="2"/>
      <c r="DV849" s="12"/>
      <c r="DW849" s="12"/>
      <c r="DX849" s="2"/>
      <c r="DY849" s="2"/>
      <c r="DZ849" s="12"/>
      <c r="EA849" s="12"/>
      <c r="EB849" s="12"/>
      <c r="EC849" s="12"/>
      <c r="ED849" s="12"/>
    </row>
    <row r="850" spans="1:134" ht="12.5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12"/>
      <c r="AC850" s="12"/>
      <c r="AD850" s="12"/>
      <c r="AE850" s="2"/>
      <c r="AF850" s="2"/>
      <c r="AG850" s="2"/>
      <c r="AH850" s="2"/>
      <c r="AI850" s="2"/>
      <c r="AJ850" s="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2"/>
      <c r="AY850" s="2"/>
      <c r="AZ850" s="2"/>
      <c r="BA850" s="2"/>
      <c r="BB850" s="2"/>
      <c r="BC850" s="2"/>
      <c r="BD850" s="2"/>
      <c r="BE850" s="2"/>
      <c r="BF850" s="12"/>
      <c r="BG850" s="1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152"/>
      <c r="BV850" s="155"/>
      <c r="BW850" s="12"/>
      <c r="BX850" s="12"/>
      <c r="BY850" s="12"/>
      <c r="BZ850" s="12"/>
      <c r="CA850" s="12"/>
      <c r="CB850" s="12"/>
      <c r="CC850" s="12"/>
      <c r="CD850" s="12"/>
      <c r="CE850" s="12"/>
      <c r="CF850" s="12"/>
      <c r="CG850" s="12"/>
      <c r="CH850" s="12"/>
      <c r="CI850" s="12"/>
      <c r="CJ850" s="12"/>
      <c r="CK850" s="12"/>
      <c r="CL850" s="12"/>
      <c r="CM850" s="12"/>
      <c r="CN850" s="12"/>
      <c r="CO850" s="12"/>
      <c r="CP850" s="12"/>
      <c r="CQ850" s="46"/>
      <c r="CR850" s="46"/>
      <c r="CS850" s="46"/>
      <c r="CT850" s="119"/>
      <c r="CU850" s="119"/>
      <c r="CV850" s="119"/>
      <c r="CW850" s="119"/>
      <c r="CX850" s="120"/>
      <c r="CY850" s="120"/>
      <c r="CZ850" s="120"/>
      <c r="DA850" s="120"/>
      <c r="DB850" s="120"/>
      <c r="DC850" s="120"/>
      <c r="DD850" s="120"/>
      <c r="DE850" s="120"/>
      <c r="DF850" s="120"/>
      <c r="DG850" s="2"/>
      <c r="DH850" s="2"/>
      <c r="DI850" s="2"/>
      <c r="DJ850" s="48"/>
      <c r="DK850" s="48"/>
      <c r="DL850" s="48"/>
      <c r="DM850" s="13"/>
      <c r="DN850" s="13"/>
      <c r="DO850" s="12"/>
      <c r="DP850" s="12"/>
      <c r="DQ850" s="12"/>
      <c r="DR850" s="12"/>
      <c r="DS850" s="12"/>
      <c r="DT850" s="2"/>
      <c r="DU850" s="2"/>
      <c r="DV850" s="12"/>
      <c r="DW850" s="12"/>
      <c r="DX850" s="2"/>
      <c r="DY850" s="2"/>
      <c r="DZ850" s="12"/>
      <c r="EA850" s="12"/>
      <c r="EB850" s="12"/>
      <c r="EC850" s="12"/>
      <c r="ED850" s="12"/>
    </row>
    <row r="851" spans="1:134" ht="12.5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12"/>
      <c r="AC851" s="12"/>
      <c r="AD851" s="12"/>
      <c r="AE851" s="2"/>
      <c r="AF851" s="2"/>
      <c r="AG851" s="2"/>
      <c r="AH851" s="2"/>
      <c r="AI851" s="2"/>
      <c r="AJ851" s="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2"/>
      <c r="AY851" s="2"/>
      <c r="AZ851" s="2"/>
      <c r="BA851" s="2"/>
      <c r="BB851" s="2"/>
      <c r="BC851" s="2"/>
      <c r="BD851" s="2"/>
      <c r="BE851" s="2"/>
      <c r="BF851" s="12"/>
      <c r="BG851" s="1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152"/>
      <c r="BV851" s="155"/>
      <c r="BW851" s="12"/>
      <c r="BX851" s="12"/>
      <c r="BY851" s="12"/>
      <c r="BZ851" s="12"/>
      <c r="CA851" s="12"/>
      <c r="CB851" s="12"/>
      <c r="CC851" s="12"/>
      <c r="CD851" s="12"/>
      <c r="CE851" s="12"/>
      <c r="CF851" s="12"/>
      <c r="CG851" s="12"/>
      <c r="CH851" s="12"/>
      <c r="CI851" s="12"/>
      <c r="CJ851" s="12"/>
      <c r="CK851" s="12"/>
      <c r="CL851" s="12"/>
      <c r="CM851" s="12"/>
      <c r="CN851" s="12"/>
      <c r="CO851" s="12"/>
      <c r="CP851" s="12"/>
      <c r="CQ851" s="46"/>
      <c r="CR851" s="46"/>
      <c r="CS851" s="46"/>
      <c r="CT851" s="119"/>
      <c r="CU851" s="119"/>
      <c r="CV851" s="119"/>
      <c r="CW851" s="119"/>
      <c r="CX851" s="120"/>
      <c r="CY851" s="120"/>
      <c r="CZ851" s="120"/>
      <c r="DA851" s="120"/>
      <c r="DB851" s="120"/>
      <c r="DC851" s="120"/>
      <c r="DD851" s="120"/>
      <c r="DE851" s="120"/>
      <c r="DF851" s="120"/>
      <c r="DG851" s="2"/>
      <c r="DH851" s="2"/>
      <c r="DI851" s="2"/>
      <c r="DJ851" s="48"/>
      <c r="DK851" s="48"/>
      <c r="DL851" s="48"/>
      <c r="DM851" s="13"/>
      <c r="DN851" s="13"/>
      <c r="DO851" s="12"/>
      <c r="DP851" s="12"/>
      <c r="DQ851" s="12"/>
      <c r="DR851" s="12"/>
      <c r="DS851" s="12"/>
      <c r="DT851" s="2"/>
      <c r="DU851" s="2"/>
      <c r="DV851" s="12"/>
      <c r="DW851" s="12"/>
      <c r="DX851" s="2"/>
      <c r="DY851" s="2"/>
      <c r="DZ851" s="12"/>
      <c r="EA851" s="12"/>
      <c r="EB851" s="12"/>
      <c r="EC851" s="12"/>
      <c r="ED851" s="12"/>
    </row>
    <row r="852" spans="1:134" ht="12.5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12"/>
      <c r="AC852" s="12"/>
      <c r="AD852" s="12"/>
      <c r="AE852" s="2"/>
      <c r="AF852" s="2"/>
      <c r="AG852" s="2"/>
      <c r="AH852" s="2"/>
      <c r="AI852" s="2"/>
      <c r="AJ852" s="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2"/>
      <c r="AY852" s="2"/>
      <c r="AZ852" s="2"/>
      <c r="BA852" s="2"/>
      <c r="BB852" s="2"/>
      <c r="BC852" s="2"/>
      <c r="BD852" s="2"/>
      <c r="BE852" s="2"/>
      <c r="BF852" s="12"/>
      <c r="BG852" s="1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152"/>
      <c r="BV852" s="155"/>
      <c r="BW852" s="12"/>
      <c r="BX852" s="12"/>
      <c r="BY852" s="12"/>
      <c r="BZ852" s="12"/>
      <c r="CA852" s="12"/>
      <c r="CB852" s="12"/>
      <c r="CC852" s="12"/>
      <c r="CD852" s="12"/>
      <c r="CE852" s="12"/>
      <c r="CF852" s="12"/>
      <c r="CG852" s="12"/>
      <c r="CH852" s="12"/>
      <c r="CI852" s="12"/>
      <c r="CJ852" s="12"/>
      <c r="CK852" s="12"/>
      <c r="CL852" s="12"/>
      <c r="CM852" s="12"/>
      <c r="CN852" s="12"/>
      <c r="CO852" s="12"/>
      <c r="CP852" s="12"/>
      <c r="CQ852" s="46"/>
      <c r="CR852" s="46"/>
      <c r="CS852" s="46"/>
      <c r="CT852" s="119"/>
      <c r="CU852" s="119"/>
      <c r="CV852" s="119"/>
      <c r="CW852" s="119"/>
      <c r="CX852" s="120"/>
      <c r="CY852" s="120"/>
      <c r="CZ852" s="120"/>
      <c r="DA852" s="120"/>
      <c r="DB852" s="120"/>
      <c r="DC852" s="120"/>
      <c r="DD852" s="120"/>
      <c r="DE852" s="120"/>
      <c r="DF852" s="120"/>
      <c r="DG852" s="2"/>
      <c r="DH852" s="2"/>
      <c r="DI852" s="2"/>
      <c r="DJ852" s="48"/>
      <c r="DK852" s="48"/>
      <c r="DL852" s="48"/>
      <c r="DM852" s="13"/>
      <c r="DN852" s="13"/>
      <c r="DO852" s="12"/>
      <c r="DP852" s="12"/>
      <c r="DQ852" s="12"/>
      <c r="DR852" s="12"/>
      <c r="DS852" s="12"/>
      <c r="DT852" s="2"/>
      <c r="DU852" s="2"/>
      <c r="DV852" s="12"/>
      <c r="DW852" s="12"/>
      <c r="DX852" s="2"/>
      <c r="DY852" s="2"/>
      <c r="DZ852" s="12"/>
      <c r="EA852" s="12"/>
      <c r="EB852" s="12"/>
      <c r="EC852" s="12"/>
      <c r="ED852" s="12"/>
    </row>
    <row r="853" spans="1:134" ht="12.5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12"/>
      <c r="AC853" s="12"/>
      <c r="AD853" s="12"/>
      <c r="AE853" s="2"/>
      <c r="AF853" s="2"/>
      <c r="AG853" s="2"/>
      <c r="AH853" s="2"/>
      <c r="AI853" s="2"/>
      <c r="AJ853" s="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2"/>
      <c r="AY853" s="2"/>
      <c r="AZ853" s="2"/>
      <c r="BA853" s="2"/>
      <c r="BB853" s="2"/>
      <c r="BC853" s="2"/>
      <c r="BD853" s="2"/>
      <c r="BE853" s="2"/>
      <c r="BF853" s="12"/>
      <c r="BG853" s="1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152"/>
      <c r="BV853" s="155"/>
      <c r="BW853" s="12"/>
      <c r="BX853" s="12"/>
      <c r="BY853" s="12"/>
      <c r="BZ853" s="12"/>
      <c r="CA853" s="12"/>
      <c r="CB853" s="12"/>
      <c r="CC853" s="12"/>
      <c r="CD853" s="12"/>
      <c r="CE853" s="12"/>
      <c r="CF853" s="12"/>
      <c r="CG853" s="12"/>
      <c r="CH853" s="12"/>
      <c r="CI853" s="12"/>
      <c r="CJ853" s="12"/>
      <c r="CK853" s="12"/>
      <c r="CL853" s="12"/>
      <c r="CM853" s="12"/>
      <c r="CN853" s="12"/>
      <c r="CO853" s="12"/>
      <c r="CP853" s="12"/>
      <c r="CQ853" s="46"/>
      <c r="CR853" s="46"/>
      <c r="CS853" s="46"/>
      <c r="CT853" s="119"/>
      <c r="CU853" s="119"/>
      <c r="CV853" s="119"/>
      <c r="CW853" s="119"/>
      <c r="CX853" s="120"/>
      <c r="CY853" s="120"/>
      <c r="CZ853" s="120"/>
      <c r="DA853" s="120"/>
      <c r="DB853" s="120"/>
      <c r="DC853" s="120"/>
      <c r="DD853" s="120"/>
      <c r="DE853" s="120"/>
      <c r="DF853" s="120"/>
      <c r="DG853" s="2"/>
      <c r="DH853" s="2"/>
      <c r="DI853" s="2"/>
      <c r="DJ853" s="48"/>
      <c r="DK853" s="48"/>
      <c r="DL853" s="48"/>
      <c r="DM853" s="13"/>
      <c r="DN853" s="13"/>
      <c r="DO853" s="12"/>
      <c r="DP853" s="12"/>
      <c r="DQ853" s="12"/>
      <c r="DR853" s="12"/>
      <c r="DS853" s="12"/>
      <c r="DT853" s="2"/>
      <c r="DU853" s="2"/>
      <c r="DV853" s="12"/>
      <c r="DW853" s="12"/>
      <c r="DX853" s="2"/>
      <c r="DY853" s="2"/>
      <c r="DZ853" s="12"/>
      <c r="EA853" s="12"/>
      <c r="EB853" s="12"/>
      <c r="EC853" s="12"/>
      <c r="ED853" s="12"/>
    </row>
    <row r="854" spans="1:134" ht="12.5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12"/>
      <c r="AC854" s="12"/>
      <c r="AD854" s="12"/>
      <c r="AE854" s="2"/>
      <c r="AF854" s="2"/>
      <c r="AG854" s="2"/>
      <c r="AH854" s="2"/>
      <c r="AI854" s="2"/>
      <c r="AJ854" s="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2"/>
      <c r="AY854" s="2"/>
      <c r="AZ854" s="2"/>
      <c r="BA854" s="2"/>
      <c r="BB854" s="2"/>
      <c r="BC854" s="2"/>
      <c r="BD854" s="2"/>
      <c r="BE854" s="2"/>
      <c r="BF854" s="12"/>
      <c r="BG854" s="1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152"/>
      <c r="BV854" s="155"/>
      <c r="BW854" s="12"/>
      <c r="BX854" s="12"/>
      <c r="BY854" s="12"/>
      <c r="BZ854" s="12"/>
      <c r="CA854" s="12"/>
      <c r="CB854" s="12"/>
      <c r="CC854" s="12"/>
      <c r="CD854" s="12"/>
      <c r="CE854" s="12"/>
      <c r="CF854" s="12"/>
      <c r="CG854" s="12"/>
      <c r="CH854" s="12"/>
      <c r="CI854" s="12"/>
      <c r="CJ854" s="12"/>
      <c r="CK854" s="12"/>
      <c r="CL854" s="12"/>
      <c r="CM854" s="12"/>
      <c r="CN854" s="12"/>
      <c r="CO854" s="12"/>
      <c r="CP854" s="12"/>
      <c r="CQ854" s="46"/>
      <c r="CR854" s="46"/>
      <c r="CS854" s="46"/>
      <c r="CT854" s="119"/>
      <c r="CU854" s="119"/>
      <c r="CV854" s="119"/>
      <c r="CW854" s="119"/>
      <c r="CX854" s="120"/>
      <c r="CY854" s="120"/>
      <c r="CZ854" s="120"/>
      <c r="DA854" s="120"/>
      <c r="DB854" s="120"/>
      <c r="DC854" s="120"/>
      <c r="DD854" s="120"/>
      <c r="DE854" s="120"/>
      <c r="DF854" s="120"/>
      <c r="DG854" s="2"/>
      <c r="DH854" s="2"/>
      <c r="DI854" s="2"/>
      <c r="DJ854" s="48"/>
      <c r="DK854" s="48"/>
      <c r="DL854" s="48"/>
      <c r="DM854" s="13"/>
      <c r="DN854" s="13"/>
      <c r="DO854" s="12"/>
      <c r="DP854" s="12"/>
      <c r="DQ854" s="12"/>
      <c r="DR854" s="12"/>
      <c r="DS854" s="12"/>
      <c r="DT854" s="2"/>
      <c r="DU854" s="2"/>
      <c r="DV854" s="12"/>
      <c r="DW854" s="12"/>
      <c r="DX854" s="2"/>
      <c r="DY854" s="2"/>
      <c r="DZ854" s="12"/>
      <c r="EA854" s="12"/>
      <c r="EB854" s="12"/>
      <c r="EC854" s="12"/>
      <c r="ED854" s="12"/>
    </row>
    <row r="855" spans="1:134" ht="12.5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12"/>
      <c r="AC855" s="12"/>
      <c r="AD855" s="12"/>
      <c r="AE855" s="2"/>
      <c r="AF855" s="2"/>
      <c r="AG855" s="2"/>
      <c r="AH855" s="2"/>
      <c r="AI855" s="2"/>
      <c r="AJ855" s="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2"/>
      <c r="AY855" s="2"/>
      <c r="AZ855" s="2"/>
      <c r="BA855" s="2"/>
      <c r="BB855" s="2"/>
      <c r="BC855" s="2"/>
      <c r="BD855" s="2"/>
      <c r="BE855" s="2"/>
      <c r="BF855" s="12"/>
      <c r="BG855" s="1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152"/>
      <c r="BV855" s="155"/>
      <c r="BW855" s="12"/>
      <c r="BX855" s="12"/>
      <c r="BY855" s="12"/>
      <c r="BZ855" s="12"/>
      <c r="CA855" s="12"/>
      <c r="CB855" s="12"/>
      <c r="CC855" s="12"/>
      <c r="CD855" s="12"/>
      <c r="CE855" s="12"/>
      <c r="CF855" s="12"/>
      <c r="CG855" s="12"/>
      <c r="CH855" s="12"/>
      <c r="CI855" s="12"/>
      <c r="CJ855" s="12"/>
      <c r="CK855" s="12"/>
      <c r="CL855" s="12"/>
      <c r="CM855" s="12"/>
      <c r="CN855" s="12"/>
      <c r="CO855" s="12"/>
      <c r="CP855" s="12"/>
      <c r="CQ855" s="46"/>
      <c r="CR855" s="46"/>
      <c r="CS855" s="46"/>
      <c r="CT855" s="119"/>
      <c r="CU855" s="119"/>
      <c r="CV855" s="119"/>
      <c r="CW855" s="119"/>
      <c r="CX855" s="120"/>
      <c r="CY855" s="120"/>
      <c r="CZ855" s="120"/>
      <c r="DA855" s="120"/>
      <c r="DB855" s="120"/>
      <c r="DC855" s="120"/>
      <c r="DD855" s="120"/>
      <c r="DE855" s="120"/>
      <c r="DF855" s="120"/>
      <c r="DG855" s="2"/>
      <c r="DH855" s="2"/>
      <c r="DI855" s="2"/>
      <c r="DJ855" s="48"/>
      <c r="DK855" s="48"/>
      <c r="DL855" s="48"/>
      <c r="DM855" s="13"/>
      <c r="DN855" s="13"/>
      <c r="DO855" s="12"/>
      <c r="DP855" s="12"/>
      <c r="DQ855" s="12"/>
      <c r="DR855" s="12"/>
      <c r="DS855" s="12"/>
      <c r="DT855" s="2"/>
      <c r="DU855" s="2"/>
      <c r="DV855" s="12"/>
      <c r="DW855" s="12"/>
      <c r="DX855" s="2"/>
      <c r="DY855" s="2"/>
      <c r="DZ855" s="12"/>
      <c r="EA855" s="12"/>
      <c r="EB855" s="12"/>
      <c r="EC855" s="12"/>
      <c r="ED855" s="12"/>
    </row>
    <row r="856" spans="1:134" ht="12.5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12"/>
      <c r="AC856" s="12"/>
      <c r="AD856" s="12"/>
      <c r="AE856" s="2"/>
      <c r="AF856" s="2"/>
      <c r="AG856" s="2"/>
      <c r="AH856" s="2"/>
      <c r="AI856" s="2"/>
      <c r="AJ856" s="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2"/>
      <c r="AY856" s="2"/>
      <c r="AZ856" s="2"/>
      <c r="BA856" s="2"/>
      <c r="BB856" s="2"/>
      <c r="BC856" s="2"/>
      <c r="BD856" s="2"/>
      <c r="BE856" s="2"/>
      <c r="BF856" s="12"/>
      <c r="BG856" s="1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152"/>
      <c r="BV856" s="155"/>
      <c r="BW856" s="12"/>
      <c r="BX856" s="12"/>
      <c r="BY856" s="12"/>
      <c r="BZ856" s="12"/>
      <c r="CA856" s="12"/>
      <c r="CB856" s="12"/>
      <c r="CC856" s="12"/>
      <c r="CD856" s="12"/>
      <c r="CE856" s="12"/>
      <c r="CF856" s="12"/>
      <c r="CG856" s="12"/>
      <c r="CH856" s="12"/>
      <c r="CI856" s="12"/>
      <c r="CJ856" s="12"/>
      <c r="CK856" s="12"/>
      <c r="CL856" s="12"/>
      <c r="CM856" s="12"/>
      <c r="CN856" s="12"/>
      <c r="CO856" s="12"/>
      <c r="CP856" s="12"/>
      <c r="CQ856" s="46"/>
      <c r="CR856" s="46"/>
      <c r="CS856" s="46"/>
      <c r="CT856" s="119"/>
      <c r="CU856" s="119"/>
      <c r="CV856" s="119"/>
      <c r="CW856" s="119"/>
      <c r="CX856" s="120"/>
      <c r="CY856" s="120"/>
      <c r="CZ856" s="120"/>
      <c r="DA856" s="120"/>
      <c r="DB856" s="120"/>
      <c r="DC856" s="120"/>
      <c r="DD856" s="120"/>
      <c r="DE856" s="120"/>
      <c r="DF856" s="120"/>
      <c r="DG856" s="2"/>
      <c r="DH856" s="2"/>
      <c r="DI856" s="2"/>
      <c r="DJ856" s="48"/>
      <c r="DK856" s="48"/>
      <c r="DL856" s="48"/>
      <c r="DM856" s="13"/>
      <c r="DN856" s="13"/>
      <c r="DO856" s="12"/>
      <c r="DP856" s="12"/>
      <c r="DQ856" s="12"/>
      <c r="DR856" s="12"/>
      <c r="DS856" s="12"/>
      <c r="DT856" s="2"/>
      <c r="DU856" s="2"/>
      <c r="DV856" s="12"/>
      <c r="DW856" s="12"/>
      <c r="DX856" s="2"/>
      <c r="DY856" s="2"/>
      <c r="DZ856" s="12"/>
      <c r="EA856" s="12"/>
      <c r="EB856" s="12"/>
      <c r="EC856" s="12"/>
      <c r="ED856" s="12"/>
    </row>
    <row r="857" spans="1:134" ht="12.5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12"/>
      <c r="AC857" s="12"/>
      <c r="AD857" s="12"/>
      <c r="AE857" s="2"/>
      <c r="AF857" s="2"/>
      <c r="AG857" s="2"/>
      <c r="AH857" s="2"/>
      <c r="AI857" s="2"/>
      <c r="AJ857" s="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2"/>
      <c r="AY857" s="2"/>
      <c r="AZ857" s="2"/>
      <c r="BA857" s="2"/>
      <c r="BB857" s="2"/>
      <c r="BC857" s="2"/>
      <c r="BD857" s="2"/>
      <c r="BE857" s="2"/>
      <c r="BF857" s="12"/>
      <c r="BG857" s="1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152"/>
      <c r="BV857" s="155"/>
      <c r="BW857" s="12"/>
      <c r="BX857" s="12"/>
      <c r="BY857" s="12"/>
      <c r="BZ857" s="12"/>
      <c r="CA857" s="12"/>
      <c r="CB857" s="12"/>
      <c r="CC857" s="12"/>
      <c r="CD857" s="12"/>
      <c r="CE857" s="12"/>
      <c r="CF857" s="12"/>
      <c r="CG857" s="12"/>
      <c r="CH857" s="12"/>
      <c r="CI857" s="12"/>
      <c r="CJ857" s="12"/>
      <c r="CK857" s="12"/>
      <c r="CL857" s="12"/>
      <c r="CM857" s="12"/>
      <c r="CN857" s="12"/>
      <c r="CO857" s="12"/>
      <c r="CP857" s="12"/>
      <c r="CQ857" s="46"/>
      <c r="CR857" s="46"/>
      <c r="CS857" s="46"/>
      <c r="CT857" s="119"/>
      <c r="CU857" s="119"/>
      <c r="CV857" s="119"/>
      <c r="CW857" s="119"/>
      <c r="CX857" s="120"/>
      <c r="CY857" s="120"/>
      <c r="CZ857" s="120"/>
      <c r="DA857" s="120"/>
      <c r="DB857" s="120"/>
      <c r="DC857" s="120"/>
      <c r="DD857" s="120"/>
      <c r="DE857" s="120"/>
      <c r="DF857" s="120"/>
      <c r="DG857" s="2"/>
      <c r="DH857" s="2"/>
      <c r="DI857" s="2"/>
      <c r="DJ857" s="48"/>
      <c r="DK857" s="48"/>
      <c r="DL857" s="48"/>
      <c r="DM857" s="13"/>
      <c r="DN857" s="13"/>
      <c r="DO857" s="12"/>
      <c r="DP857" s="12"/>
      <c r="DQ857" s="12"/>
      <c r="DR857" s="12"/>
      <c r="DS857" s="12"/>
      <c r="DT857" s="2"/>
      <c r="DU857" s="2"/>
      <c r="DV857" s="12"/>
      <c r="DW857" s="12"/>
      <c r="DX857" s="2"/>
      <c r="DY857" s="2"/>
      <c r="DZ857" s="12"/>
      <c r="EA857" s="12"/>
      <c r="EB857" s="12"/>
      <c r="EC857" s="12"/>
      <c r="ED857" s="12"/>
    </row>
    <row r="858" spans="1:134" ht="12.5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12"/>
      <c r="AC858" s="12"/>
      <c r="AD858" s="12"/>
      <c r="AE858" s="2"/>
      <c r="AF858" s="2"/>
      <c r="AG858" s="2"/>
      <c r="AH858" s="2"/>
      <c r="AI858" s="2"/>
      <c r="AJ858" s="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2"/>
      <c r="AY858" s="2"/>
      <c r="AZ858" s="2"/>
      <c r="BA858" s="2"/>
      <c r="BB858" s="2"/>
      <c r="BC858" s="2"/>
      <c r="BD858" s="2"/>
      <c r="BE858" s="2"/>
      <c r="BF858" s="12"/>
      <c r="BG858" s="1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152"/>
      <c r="BV858" s="155"/>
      <c r="BW858" s="12"/>
      <c r="BX858" s="12"/>
      <c r="BY858" s="12"/>
      <c r="BZ858" s="12"/>
      <c r="CA858" s="12"/>
      <c r="CB858" s="12"/>
      <c r="CC858" s="12"/>
      <c r="CD858" s="12"/>
      <c r="CE858" s="12"/>
      <c r="CF858" s="12"/>
      <c r="CG858" s="12"/>
      <c r="CH858" s="12"/>
      <c r="CI858" s="12"/>
      <c r="CJ858" s="12"/>
      <c r="CK858" s="12"/>
      <c r="CL858" s="12"/>
      <c r="CM858" s="12"/>
      <c r="CN858" s="12"/>
      <c r="CO858" s="12"/>
      <c r="CP858" s="12"/>
      <c r="CQ858" s="46"/>
      <c r="CR858" s="46"/>
      <c r="CS858" s="46"/>
      <c r="CT858" s="119"/>
      <c r="CU858" s="119"/>
      <c r="CV858" s="119"/>
      <c r="CW858" s="119"/>
      <c r="CX858" s="120"/>
      <c r="CY858" s="120"/>
      <c r="CZ858" s="120"/>
      <c r="DA858" s="120"/>
      <c r="DB858" s="120"/>
      <c r="DC858" s="120"/>
      <c r="DD858" s="120"/>
      <c r="DE858" s="120"/>
      <c r="DF858" s="120"/>
      <c r="DG858" s="2"/>
      <c r="DH858" s="2"/>
      <c r="DI858" s="2"/>
      <c r="DJ858" s="48"/>
      <c r="DK858" s="48"/>
      <c r="DL858" s="48"/>
      <c r="DM858" s="13"/>
      <c r="DN858" s="13"/>
      <c r="DO858" s="12"/>
      <c r="DP858" s="12"/>
      <c r="DQ858" s="12"/>
      <c r="DR858" s="12"/>
      <c r="DS858" s="12"/>
      <c r="DT858" s="2"/>
      <c r="DU858" s="2"/>
      <c r="DV858" s="12"/>
      <c r="DW858" s="12"/>
      <c r="DX858" s="2"/>
      <c r="DY858" s="2"/>
      <c r="DZ858" s="12"/>
      <c r="EA858" s="12"/>
      <c r="EB858" s="12"/>
      <c r="EC858" s="12"/>
      <c r="ED858" s="12"/>
    </row>
    <row r="859" spans="1:134" ht="12.5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12"/>
      <c r="AC859" s="12"/>
      <c r="AD859" s="12"/>
      <c r="AE859" s="2"/>
      <c r="AF859" s="2"/>
      <c r="AG859" s="2"/>
      <c r="AH859" s="2"/>
      <c r="AI859" s="2"/>
      <c r="AJ859" s="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2"/>
      <c r="AY859" s="2"/>
      <c r="AZ859" s="2"/>
      <c r="BA859" s="2"/>
      <c r="BB859" s="2"/>
      <c r="BC859" s="2"/>
      <c r="BD859" s="2"/>
      <c r="BE859" s="2"/>
      <c r="BF859" s="12"/>
      <c r="BG859" s="1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152"/>
      <c r="BV859" s="155"/>
      <c r="BW859" s="12"/>
      <c r="BX859" s="12"/>
      <c r="BY859" s="12"/>
      <c r="BZ859" s="12"/>
      <c r="CA859" s="12"/>
      <c r="CB859" s="12"/>
      <c r="CC859" s="12"/>
      <c r="CD859" s="12"/>
      <c r="CE859" s="12"/>
      <c r="CF859" s="12"/>
      <c r="CG859" s="12"/>
      <c r="CH859" s="12"/>
      <c r="CI859" s="12"/>
      <c r="CJ859" s="12"/>
      <c r="CK859" s="12"/>
      <c r="CL859" s="12"/>
      <c r="CM859" s="12"/>
      <c r="CN859" s="12"/>
      <c r="CO859" s="12"/>
      <c r="CP859" s="12"/>
      <c r="CQ859" s="46"/>
      <c r="CR859" s="46"/>
      <c r="CS859" s="46"/>
      <c r="CT859" s="119"/>
      <c r="CU859" s="119"/>
      <c r="CV859" s="119"/>
      <c r="CW859" s="119"/>
      <c r="CX859" s="120"/>
      <c r="CY859" s="120"/>
      <c r="CZ859" s="120"/>
      <c r="DA859" s="120"/>
      <c r="DB859" s="120"/>
      <c r="DC859" s="120"/>
      <c r="DD859" s="120"/>
      <c r="DE859" s="120"/>
      <c r="DF859" s="120"/>
      <c r="DG859" s="2"/>
      <c r="DH859" s="2"/>
      <c r="DI859" s="2"/>
      <c r="DJ859" s="48"/>
      <c r="DK859" s="48"/>
      <c r="DL859" s="48"/>
      <c r="DM859" s="13"/>
      <c r="DN859" s="13"/>
      <c r="DO859" s="12"/>
      <c r="DP859" s="12"/>
      <c r="DQ859" s="12"/>
      <c r="DR859" s="12"/>
      <c r="DS859" s="12"/>
      <c r="DT859" s="2"/>
      <c r="DU859" s="2"/>
      <c r="DV859" s="12"/>
      <c r="DW859" s="12"/>
      <c r="DX859" s="2"/>
      <c r="DY859" s="2"/>
      <c r="DZ859" s="12"/>
      <c r="EA859" s="12"/>
      <c r="EB859" s="12"/>
      <c r="EC859" s="12"/>
      <c r="ED859" s="12"/>
    </row>
    <row r="860" spans="1:134" ht="12.5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12"/>
      <c r="AC860" s="12"/>
      <c r="AD860" s="12"/>
      <c r="AE860" s="2"/>
      <c r="AF860" s="2"/>
      <c r="AG860" s="2"/>
      <c r="AH860" s="2"/>
      <c r="AI860" s="2"/>
      <c r="AJ860" s="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2"/>
      <c r="AY860" s="2"/>
      <c r="AZ860" s="2"/>
      <c r="BA860" s="2"/>
      <c r="BB860" s="2"/>
      <c r="BC860" s="2"/>
      <c r="BD860" s="2"/>
      <c r="BE860" s="2"/>
      <c r="BF860" s="12"/>
      <c r="BG860" s="1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152"/>
      <c r="BV860" s="155"/>
      <c r="BW860" s="12"/>
      <c r="BX860" s="12"/>
      <c r="BY860" s="12"/>
      <c r="BZ860" s="12"/>
      <c r="CA860" s="12"/>
      <c r="CB860" s="12"/>
      <c r="CC860" s="12"/>
      <c r="CD860" s="12"/>
      <c r="CE860" s="12"/>
      <c r="CF860" s="12"/>
      <c r="CG860" s="12"/>
      <c r="CH860" s="12"/>
      <c r="CI860" s="12"/>
      <c r="CJ860" s="12"/>
      <c r="CK860" s="12"/>
      <c r="CL860" s="12"/>
      <c r="CM860" s="12"/>
      <c r="CN860" s="12"/>
      <c r="CO860" s="12"/>
      <c r="CP860" s="12"/>
      <c r="CQ860" s="46"/>
      <c r="CR860" s="46"/>
      <c r="CS860" s="46"/>
      <c r="CT860" s="119"/>
      <c r="CU860" s="119"/>
      <c r="CV860" s="119"/>
      <c r="CW860" s="119"/>
      <c r="CX860" s="120"/>
      <c r="CY860" s="120"/>
      <c r="CZ860" s="120"/>
      <c r="DA860" s="120"/>
      <c r="DB860" s="120"/>
      <c r="DC860" s="120"/>
      <c r="DD860" s="120"/>
      <c r="DE860" s="120"/>
      <c r="DF860" s="120"/>
      <c r="DG860" s="2"/>
      <c r="DH860" s="2"/>
      <c r="DI860" s="2"/>
      <c r="DJ860" s="48"/>
      <c r="DK860" s="48"/>
      <c r="DL860" s="48"/>
      <c r="DM860" s="13"/>
      <c r="DN860" s="13"/>
      <c r="DO860" s="12"/>
      <c r="DP860" s="12"/>
      <c r="DQ860" s="12"/>
      <c r="DR860" s="12"/>
      <c r="DS860" s="12"/>
      <c r="DT860" s="2"/>
      <c r="DU860" s="2"/>
      <c r="DV860" s="12"/>
      <c r="DW860" s="12"/>
      <c r="DX860" s="2"/>
      <c r="DY860" s="2"/>
      <c r="DZ860" s="12"/>
      <c r="EA860" s="12"/>
      <c r="EB860" s="12"/>
      <c r="EC860" s="12"/>
      <c r="ED860" s="12"/>
    </row>
    <row r="861" spans="1:134" ht="12.5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12"/>
      <c r="AC861" s="12"/>
      <c r="AD861" s="12"/>
      <c r="AE861" s="2"/>
      <c r="AF861" s="2"/>
      <c r="AG861" s="2"/>
      <c r="AH861" s="2"/>
      <c r="AI861" s="2"/>
      <c r="AJ861" s="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2"/>
      <c r="AY861" s="2"/>
      <c r="AZ861" s="2"/>
      <c r="BA861" s="2"/>
      <c r="BB861" s="2"/>
      <c r="BC861" s="2"/>
      <c r="BD861" s="2"/>
      <c r="BE861" s="2"/>
      <c r="BF861" s="12"/>
      <c r="BG861" s="1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152"/>
      <c r="BV861" s="155"/>
      <c r="BW861" s="12"/>
      <c r="BX861" s="12"/>
      <c r="BY861" s="12"/>
      <c r="BZ861" s="12"/>
      <c r="CA861" s="12"/>
      <c r="CB861" s="12"/>
      <c r="CC861" s="12"/>
      <c r="CD861" s="12"/>
      <c r="CE861" s="12"/>
      <c r="CF861" s="12"/>
      <c r="CG861" s="12"/>
      <c r="CH861" s="12"/>
      <c r="CI861" s="12"/>
      <c r="CJ861" s="12"/>
      <c r="CK861" s="12"/>
      <c r="CL861" s="12"/>
      <c r="CM861" s="12"/>
      <c r="CN861" s="12"/>
      <c r="CO861" s="12"/>
      <c r="CP861" s="12"/>
      <c r="CQ861" s="46"/>
      <c r="CR861" s="46"/>
      <c r="CS861" s="46"/>
      <c r="CT861" s="119"/>
      <c r="CU861" s="119"/>
      <c r="CV861" s="119"/>
      <c r="CW861" s="119"/>
      <c r="CX861" s="120"/>
      <c r="CY861" s="120"/>
      <c r="CZ861" s="120"/>
      <c r="DA861" s="120"/>
      <c r="DB861" s="120"/>
      <c r="DC861" s="120"/>
      <c r="DD861" s="120"/>
      <c r="DE861" s="120"/>
      <c r="DF861" s="120"/>
      <c r="DG861" s="2"/>
      <c r="DH861" s="2"/>
      <c r="DI861" s="2"/>
      <c r="DJ861" s="48"/>
      <c r="DK861" s="48"/>
      <c r="DL861" s="48"/>
      <c r="DM861" s="13"/>
      <c r="DN861" s="13"/>
      <c r="DO861" s="12"/>
      <c r="DP861" s="12"/>
      <c r="DQ861" s="12"/>
      <c r="DR861" s="12"/>
      <c r="DS861" s="12"/>
      <c r="DT861" s="2"/>
      <c r="DU861" s="2"/>
      <c r="DV861" s="12"/>
      <c r="DW861" s="12"/>
      <c r="DX861" s="2"/>
      <c r="DY861" s="2"/>
      <c r="DZ861" s="12"/>
      <c r="EA861" s="12"/>
      <c r="EB861" s="12"/>
      <c r="EC861" s="12"/>
      <c r="ED861" s="12"/>
    </row>
    <row r="862" spans="1:134" ht="12.5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12"/>
      <c r="AC862" s="12"/>
      <c r="AD862" s="12"/>
      <c r="AE862" s="2"/>
      <c r="AF862" s="2"/>
      <c r="AG862" s="2"/>
      <c r="AH862" s="2"/>
      <c r="AI862" s="2"/>
      <c r="AJ862" s="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2"/>
      <c r="AY862" s="2"/>
      <c r="AZ862" s="2"/>
      <c r="BA862" s="2"/>
      <c r="BB862" s="2"/>
      <c r="BC862" s="2"/>
      <c r="BD862" s="2"/>
      <c r="BE862" s="2"/>
      <c r="BF862" s="12"/>
      <c r="BG862" s="1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152"/>
      <c r="BV862" s="155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46"/>
      <c r="CR862" s="46"/>
      <c r="CS862" s="46"/>
      <c r="CT862" s="119"/>
      <c r="CU862" s="119"/>
      <c r="CV862" s="119"/>
      <c r="CW862" s="119"/>
      <c r="CX862" s="120"/>
      <c r="CY862" s="120"/>
      <c r="CZ862" s="120"/>
      <c r="DA862" s="120"/>
      <c r="DB862" s="120"/>
      <c r="DC862" s="120"/>
      <c r="DD862" s="120"/>
      <c r="DE862" s="120"/>
      <c r="DF862" s="120"/>
      <c r="DG862" s="2"/>
      <c r="DH862" s="2"/>
      <c r="DI862" s="2"/>
      <c r="DJ862" s="48"/>
      <c r="DK862" s="48"/>
      <c r="DL862" s="48"/>
      <c r="DM862" s="13"/>
      <c r="DN862" s="13"/>
      <c r="DO862" s="12"/>
      <c r="DP862" s="12"/>
      <c r="DQ862" s="12"/>
      <c r="DR862" s="12"/>
      <c r="DS862" s="12"/>
      <c r="DT862" s="2"/>
      <c r="DU862" s="2"/>
      <c r="DV862" s="12"/>
      <c r="DW862" s="12"/>
      <c r="DX862" s="2"/>
      <c r="DY862" s="2"/>
      <c r="DZ862" s="12"/>
      <c r="EA862" s="12"/>
      <c r="EB862" s="12"/>
      <c r="EC862" s="12"/>
      <c r="ED862" s="12"/>
    </row>
    <row r="863" spans="1:134" ht="12.5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12"/>
      <c r="AC863" s="12"/>
      <c r="AD863" s="12"/>
      <c r="AE863" s="2"/>
      <c r="AF863" s="2"/>
      <c r="AG863" s="2"/>
      <c r="AH863" s="2"/>
      <c r="AI863" s="2"/>
      <c r="AJ863" s="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2"/>
      <c r="AY863" s="2"/>
      <c r="AZ863" s="2"/>
      <c r="BA863" s="2"/>
      <c r="BB863" s="2"/>
      <c r="BC863" s="2"/>
      <c r="BD863" s="2"/>
      <c r="BE863" s="2"/>
      <c r="BF863" s="12"/>
      <c r="BG863" s="1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152"/>
      <c r="BV863" s="155"/>
      <c r="BW863" s="12"/>
      <c r="BX863" s="12"/>
      <c r="BY863" s="12"/>
      <c r="BZ863" s="12"/>
      <c r="CA863" s="12"/>
      <c r="CB863" s="12"/>
      <c r="CC863" s="12"/>
      <c r="CD863" s="12"/>
      <c r="CE863" s="12"/>
      <c r="CF863" s="12"/>
      <c r="CG863" s="12"/>
      <c r="CH863" s="12"/>
      <c r="CI863" s="12"/>
      <c r="CJ863" s="12"/>
      <c r="CK863" s="12"/>
      <c r="CL863" s="12"/>
      <c r="CM863" s="12"/>
      <c r="CN863" s="12"/>
      <c r="CO863" s="12"/>
      <c r="CP863" s="12"/>
      <c r="CQ863" s="46"/>
      <c r="CR863" s="46"/>
      <c r="CS863" s="46"/>
      <c r="CT863" s="119"/>
      <c r="CU863" s="119"/>
      <c r="CV863" s="119"/>
      <c r="CW863" s="119"/>
      <c r="CX863" s="120"/>
      <c r="CY863" s="120"/>
      <c r="CZ863" s="120"/>
      <c r="DA863" s="120"/>
      <c r="DB863" s="120"/>
      <c r="DC863" s="120"/>
      <c r="DD863" s="120"/>
      <c r="DE863" s="120"/>
      <c r="DF863" s="120"/>
      <c r="DG863" s="2"/>
      <c r="DH863" s="2"/>
      <c r="DI863" s="2"/>
      <c r="DJ863" s="48"/>
      <c r="DK863" s="48"/>
      <c r="DL863" s="48"/>
      <c r="DM863" s="13"/>
      <c r="DN863" s="13"/>
      <c r="DO863" s="12"/>
      <c r="DP863" s="12"/>
      <c r="DQ863" s="12"/>
      <c r="DR863" s="12"/>
      <c r="DS863" s="12"/>
      <c r="DT863" s="2"/>
      <c r="DU863" s="2"/>
      <c r="DV863" s="12"/>
      <c r="DW863" s="12"/>
      <c r="DX863" s="2"/>
      <c r="DY863" s="2"/>
      <c r="DZ863" s="12"/>
      <c r="EA863" s="12"/>
      <c r="EB863" s="12"/>
      <c r="EC863" s="12"/>
      <c r="ED863" s="12"/>
    </row>
    <row r="864" spans="1:134" ht="12.5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12"/>
      <c r="AC864" s="12"/>
      <c r="AD864" s="12"/>
      <c r="AE864" s="2"/>
      <c r="AF864" s="2"/>
      <c r="AG864" s="2"/>
      <c r="AH864" s="2"/>
      <c r="AI864" s="2"/>
      <c r="AJ864" s="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2"/>
      <c r="AY864" s="2"/>
      <c r="AZ864" s="2"/>
      <c r="BA864" s="2"/>
      <c r="BB864" s="2"/>
      <c r="BC864" s="2"/>
      <c r="BD864" s="2"/>
      <c r="BE864" s="2"/>
      <c r="BF864" s="12"/>
      <c r="BG864" s="1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152"/>
      <c r="BV864" s="155"/>
      <c r="BW864" s="12"/>
      <c r="BX864" s="12"/>
      <c r="BY864" s="12"/>
      <c r="BZ864" s="12"/>
      <c r="CA864" s="12"/>
      <c r="CB864" s="12"/>
      <c r="CC864" s="12"/>
      <c r="CD864" s="12"/>
      <c r="CE864" s="12"/>
      <c r="CF864" s="12"/>
      <c r="CG864" s="12"/>
      <c r="CH864" s="12"/>
      <c r="CI864" s="12"/>
      <c r="CJ864" s="12"/>
      <c r="CK864" s="12"/>
      <c r="CL864" s="12"/>
      <c r="CM864" s="12"/>
      <c r="CN864" s="12"/>
      <c r="CO864" s="12"/>
      <c r="CP864" s="12"/>
      <c r="CQ864" s="46"/>
      <c r="CR864" s="46"/>
      <c r="CS864" s="46"/>
      <c r="CT864" s="119"/>
      <c r="CU864" s="119"/>
      <c r="CV864" s="119"/>
      <c r="CW864" s="119"/>
      <c r="CX864" s="120"/>
      <c r="CY864" s="120"/>
      <c r="CZ864" s="120"/>
      <c r="DA864" s="120"/>
      <c r="DB864" s="120"/>
      <c r="DC864" s="120"/>
      <c r="DD864" s="120"/>
      <c r="DE864" s="120"/>
      <c r="DF864" s="120"/>
      <c r="DG864" s="2"/>
      <c r="DH864" s="2"/>
      <c r="DI864" s="2"/>
      <c r="DJ864" s="48"/>
      <c r="DK864" s="48"/>
      <c r="DL864" s="48"/>
      <c r="DM864" s="13"/>
      <c r="DN864" s="13"/>
      <c r="DO864" s="12"/>
      <c r="DP864" s="12"/>
      <c r="DQ864" s="12"/>
      <c r="DR864" s="12"/>
      <c r="DS864" s="12"/>
      <c r="DT864" s="2"/>
      <c r="DU864" s="2"/>
      <c r="DV864" s="12"/>
      <c r="DW864" s="12"/>
      <c r="DX864" s="2"/>
      <c r="DY864" s="2"/>
      <c r="DZ864" s="12"/>
      <c r="EA864" s="12"/>
      <c r="EB864" s="12"/>
      <c r="EC864" s="12"/>
      <c r="ED864" s="12"/>
    </row>
    <row r="865" spans="1:134" ht="12.5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12"/>
      <c r="AC865" s="12"/>
      <c r="AD865" s="12"/>
      <c r="AE865" s="2"/>
      <c r="AF865" s="2"/>
      <c r="AG865" s="2"/>
      <c r="AH865" s="2"/>
      <c r="AI865" s="2"/>
      <c r="AJ865" s="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2"/>
      <c r="AY865" s="2"/>
      <c r="AZ865" s="2"/>
      <c r="BA865" s="2"/>
      <c r="BB865" s="2"/>
      <c r="BC865" s="2"/>
      <c r="BD865" s="2"/>
      <c r="BE865" s="2"/>
      <c r="BF865" s="12"/>
      <c r="BG865" s="1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152"/>
      <c r="BV865" s="155"/>
      <c r="BW865" s="12"/>
      <c r="BX865" s="12"/>
      <c r="BY865" s="12"/>
      <c r="BZ865" s="12"/>
      <c r="CA865" s="12"/>
      <c r="CB865" s="12"/>
      <c r="CC865" s="12"/>
      <c r="CD865" s="12"/>
      <c r="CE865" s="12"/>
      <c r="CF865" s="12"/>
      <c r="CG865" s="12"/>
      <c r="CH865" s="12"/>
      <c r="CI865" s="12"/>
      <c r="CJ865" s="12"/>
      <c r="CK865" s="12"/>
      <c r="CL865" s="12"/>
      <c r="CM865" s="12"/>
      <c r="CN865" s="12"/>
      <c r="CO865" s="12"/>
      <c r="CP865" s="12"/>
      <c r="CQ865" s="46"/>
      <c r="CR865" s="46"/>
      <c r="CS865" s="46"/>
      <c r="CT865" s="119"/>
      <c r="CU865" s="119"/>
      <c r="CV865" s="119"/>
      <c r="CW865" s="119"/>
      <c r="CX865" s="120"/>
      <c r="CY865" s="120"/>
      <c r="CZ865" s="120"/>
      <c r="DA865" s="120"/>
      <c r="DB865" s="120"/>
      <c r="DC865" s="120"/>
      <c r="DD865" s="120"/>
      <c r="DE865" s="120"/>
      <c r="DF865" s="120"/>
      <c r="DG865" s="2"/>
      <c r="DH865" s="2"/>
      <c r="DI865" s="2"/>
      <c r="DJ865" s="48"/>
      <c r="DK865" s="48"/>
      <c r="DL865" s="48"/>
      <c r="DM865" s="13"/>
      <c r="DN865" s="13"/>
      <c r="DO865" s="12"/>
      <c r="DP865" s="12"/>
      <c r="DQ865" s="12"/>
      <c r="DR865" s="12"/>
      <c r="DS865" s="12"/>
      <c r="DT865" s="2"/>
      <c r="DU865" s="2"/>
      <c r="DV865" s="12"/>
      <c r="DW865" s="12"/>
      <c r="DX865" s="2"/>
      <c r="DY865" s="2"/>
      <c r="DZ865" s="12"/>
      <c r="EA865" s="12"/>
      <c r="EB865" s="12"/>
      <c r="EC865" s="12"/>
      <c r="ED865" s="12"/>
    </row>
    <row r="866" spans="1:134" ht="12.5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12"/>
      <c r="AC866" s="12"/>
      <c r="AD866" s="12"/>
      <c r="AE866" s="2"/>
      <c r="AF866" s="2"/>
      <c r="AG866" s="2"/>
      <c r="AH866" s="2"/>
      <c r="AI866" s="2"/>
      <c r="AJ866" s="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2"/>
      <c r="AY866" s="2"/>
      <c r="AZ866" s="2"/>
      <c r="BA866" s="2"/>
      <c r="BB866" s="2"/>
      <c r="BC866" s="2"/>
      <c r="BD866" s="2"/>
      <c r="BE866" s="2"/>
      <c r="BF866" s="12"/>
      <c r="BG866" s="1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152"/>
      <c r="BV866" s="155"/>
      <c r="BW866" s="12"/>
      <c r="BX866" s="12"/>
      <c r="BY866" s="12"/>
      <c r="BZ866" s="12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46"/>
      <c r="CR866" s="46"/>
      <c r="CS866" s="46"/>
      <c r="CT866" s="119"/>
      <c r="CU866" s="119"/>
      <c r="CV866" s="119"/>
      <c r="CW866" s="119"/>
      <c r="CX866" s="120"/>
      <c r="CY866" s="120"/>
      <c r="CZ866" s="120"/>
      <c r="DA866" s="120"/>
      <c r="DB866" s="120"/>
      <c r="DC866" s="120"/>
      <c r="DD866" s="120"/>
      <c r="DE866" s="120"/>
      <c r="DF866" s="120"/>
      <c r="DG866" s="2"/>
      <c r="DH866" s="2"/>
      <c r="DI866" s="2"/>
      <c r="DJ866" s="48"/>
      <c r="DK866" s="48"/>
      <c r="DL866" s="48"/>
      <c r="DM866" s="13"/>
      <c r="DN866" s="13"/>
      <c r="DO866" s="12"/>
      <c r="DP866" s="12"/>
      <c r="DQ866" s="12"/>
      <c r="DR866" s="12"/>
      <c r="DS866" s="12"/>
      <c r="DT866" s="2"/>
      <c r="DU866" s="2"/>
      <c r="DV866" s="12"/>
      <c r="DW866" s="12"/>
      <c r="DX866" s="2"/>
      <c r="DY866" s="2"/>
      <c r="DZ866" s="12"/>
      <c r="EA866" s="12"/>
      <c r="EB866" s="12"/>
      <c r="EC866" s="12"/>
      <c r="ED866" s="12"/>
    </row>
    <row r="867" spans="1:134" ht="12.5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12"/>
      <c r="AC867" s="12"/>
      <c r="AD867" s="12"/>
      <c r="AE867" s="2"/>
      <c r="AF867" s="2"/>
      <c r="AG867" s="2"/>
      <c r="AH867" s="2"/>
      <c r="AI867" s="2"/>
      <c r="AJ867" s="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2"/>
      <c r="AY867" s="2"/>
      <c r="AZ867" s="2"/>
      <c r="BA867" s="2"/>
      <c r="BB867" s="2"/>
      <c r="BC867" s="2"/>
      <c r="BD867" s="2"/>
      <c r="BE867" s="2"/>
      <c r="BF867" s="12"/>
      <c r="BG867" s="1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152"/>
      <c r="BV867" s="155"/>
      <c r="BW867" s="12"/>
      <c r="BX867" s="12"/>
      <c r="BY867" s="12"/>
      <c r="BZ867" s="12"/>
      <c r="CA867" s="12"/>
      <c r="CB867" s="12"/>
      <c r="CC867" s="12"/>
      <c r="CD867" s="12"/>
      <c r="CE867" s="12"/>
      <c r="CF867" s="12"/>
      <c r="CG867" s="12"/>
      <c r="CH867" s="12"/>
      <c r="CI867" s="12"/>
      <c r="CJ867" s="12"/>
      <c r="CK867" s="12"/>
      <c r="CL867" s="12"/>
      <c r="CM867" s="12"/>
      <c r="CN867" s="12"/>
      <c r="CO867" s="12"/>
      <c r="CP867" s="12"/>
      <c r="CQ867" s="46"/>
      <c r="CR867" s="46"/>
      <c r="CS867" s="46"/>
      <c r="CT867" s="119"/>
      <c r="CU867" s="119"/>
      <c r="CV867" s="119"/>
      <c r="CW867" s="119"/>
      <c r="CX867" s="120"/>
      <c r="CY867" s="120"/>
      <c r="CZ867" s="120"/>
      <c r="DA867" s="120"/>
      <c r="DB867" s="120"/>
      <c r="DC867" s="120"/>
      <c r="DD867" s="120"/>
      <c r="DE867" s="120"/>
      <c r="DF867" s="120"/>
      <c r="DG867" s="2"/>
      <c r="DH867" s="2"/>
      <c r="DI867" s="2"/>
      <c r="DJ867" s="48"/>
      <c r="DK867" s="48"/>
      <c r="DL867" s="48"/>
      <c r="DM867" s="13"/>
      <c r="DN867" s="13"/>
      <c r="DO867" s="12"/>
      <c r="DP867" s="12"/>
      <c r="DQ867" s="12"/>
      <c r="DR867" s="12"/>
      <c r="DS867" s="12"/>
      <c r="DT867" s="2"/>
      <c r="DU867" s="2"/>
      <c r="DV867" s="12"/>
      <c r="DW867" s="12"/>
      <c r="DX867" s="2"/>
      <c r="DY867" s="2"/>
      <c r="DZ867" s="12"/>
      <c r="EA867" s="12"/>
      <c r="EB867" s="12"/>
      <c r="EC867" s="12"/>
      <c r="ED867" s="12"/>
    </row>
    <row r="868" spans="1:134" ht="12.5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12"/>
      <c r="AC868" s="12"/>
      <c r="AD868" s="12"/>
      <c r="AE868" s="2"/>
      <c r="AF868" s="2"/>
      <c r="AG868" s="2"/>
      <c r="AH868" s="2"/>
      <c r="AI868" s="2"/>
      <c r="AJ868" s="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2"/>
      <c r="AY868" s="2"/>
      <c r="AZ868" s="2"/>
      <c r="BA868" s="2"/>
      <c r="BB868" s="2"/>
      <c r="BC868" s="2"/>
      <c r="BD868" s="2"/>
      <c r="BE868" s="2"/>
      <c r="BF868" s="12"/>
      <c r="BG868" s="1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152"/>
      <c r="BV868" s="155"/>
      <c r="BW868" s="12"/>
      <c r="BX868" s="12"/>
      <c r="BY868" s="12"/>
      <c r="BZ868" s="12"/>
      <c r="CA868" s="12"/>
      <c r="CB868" s="12"/>
      <c r="CC868" s="12"/>
      <c r="CD868" s="12"/>
      <c r="CE868" s="12"/>
      <c r="CF868" s="12"/>
      <c r="CG868" s="12"/>
      <c r="CH868" s="12"/>
      <c r="CI868" s="12"/>
      <c r="CJ868" s="12"/>
      <c r="CK868" s="12"/>
      <c r="CL868" s="12"/>
      <c r="CM868" s="12"/>
      <c r="CN868" s="12"/>
      <c r="CO868" s="12"/>
      <c r="CP868" s="12"/>
      <c r="CQ868" s="46"/>
      <c r="CR868" s="46"/>
      <c r="CS868" s="46"/>
      <c r="CT868" s="119"/>
      <c r="CU868" s="119"/>
      <c r="CV868" s="119"/>
      <c r="CW868" s="119"/>
      <c r="CX868" s="120"/>
      <c r="CY868" s="120"/>
      <c r="CZ868" s="120"/>
      <c r="DA868" s="120"/>
      <c r="DB868" s="120"/>
      <c r="DC868" s="120"/>
      <c r="DD868" s="120"/>
      <c r="DE868" s="120"/>
      <c r="DF868" s="120"/>
      <c r="DG868" s="2"/>
      <c r="DH868" s="2"/>
      <c r="DI868" s="2"/>
      <c r="DJ868" s="48"/>
      <c r="DK868" s="48"/>
      <c r="DL868" s="48"/>
      <c r="DM868" s="13"/>
      <c r="DN868" s="13"/>
      <c r="DO868" s="12"/>
      <c r="DP868" s="12"/>
      <c r="DQ868" s="12"/>
      <c r="DR868" s="12"/>
      <c r="DS868" s="12"/>
      <c r="DT868" s="2"/>
      <c r="DU868" s="2"/>
      <c r="DV868" s="12"/>
      <c r="DW868" s="12"/>
      <c r="DX868" s="2"/>
      <c r="DY868" s="2"/>
      <c r="DZ868" s="12"/>
      <c r="EA868" s="12"/>
      <c r="EB868" s="12"/>
      <c r="EC868" s="12"/>
      <c r="ED868" s="12"/>
    </row>
    <row r="869" spans="1:134" ht="12.5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12"/>
      <c r="AC869" s="12"/>
      <c r="AD869" s="12"/>
      <c r="AE869" s="2"/>
      <c r="AF869" s="2"/>
      <c r="AG869" s="2"/>
      <c r="AH869" s="2"/>
      <c r="AI869" s="2"/>
      <c r="AJ869" s="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2"/>
      <c r="AY869" s="2"/>
      <c r="AZ869" s="2"/>
      <c r="BA869" s="2"/>
      <c r="BB869" s="2"/>
      <c r="BC869" s="2"/>
      <c r="BD869" s="2"/>
      <c r="BE869" s="2"/>
      <c r="BF869" s="12"/>
      <c r="BG869" s="1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152"/>
      <c r="BV869" s="155"/>
      <c r="BW869" s="12"/>
      <c r="BX869" s="12"/>
      <c r="BY869" s="12"/>
      <c r="BZ869" s="12"/>
      <c r="CA869" s="12"/>
      <c r="CB869" s="12"/>
      <c r="CC869" s="12"/>
      <c r="CD869" s="12"/>
      <c r="CE869" s="12"/>
      <c r="CF869" s="12"/>
      <c r="CG869" s="12"/>
      <c r="CH869" s="12"/>
      <c r="CI869" s="12"/>
      <c r="CJ869" s="12"/>
      <c r="CK869" s="12"/>
      <c r="CL869" s="12"/>
      <c r="CM869" s="12"/>
      <c r="CN869" s="12"/>
      <c r="CO869" s="12"/>
      <c r="CP869" s="12"/>
      <c r="CQ869" s="46"/>
      <c r="CR869" s="46"/>
      <c r="CS869" s="46"/>
      <c r="CT869" s="119"/>
      <c r="CU869" s="119"/>
      <c r="CV869" s="119"/>
      <c r="CW869" s="119"/>
      <c r="CX869" s="120"/>
      <c r="CY869" s="120"/>
      <c r="CZ869" s="120"/>
      <c r="DA869" s="120"/>
      <c r="DB869" s="120"/>
      <c r="DC869" s="120"/>
      <c r="DD869" s="120"/>
      <c r="DE869" s="120"/>
      <c r="DF869" s="120"/>
      <c r="DG869" s="2"/>
      <c r="DH869" s="2"/>
      <c r="DI869" s="2"/>
      <c r="DJ869" s="48"/>
      <c r="DK869" s="48"/>
      <c r="DL869" s="48"/>
      <c r="DM869" s="13"/>
      <c r="DN869" s="13"/>
      <c r="DO869" s="12"/>
      <c r="DP869" s="12"/>
      <c r="DQ869" s="12"/>
      <c r="DR869" s="12"/>
      <c r="DS869" s="12"/>
      <c r="DT869" s="2"/>
      <c r="DU869" s="2"/>
      <c r="DV869" s="12"/>
      <c r="DW869" s="12"/>
      <c r="DX869" s="2"/>
      <c r="DY869" s="2"/>
      <c r="DZ869" s="12"/>
      <c r="EA869" s="12"/>
      <c r="EB869" s="12"/>
      <c r="EC869" s="12"/>
      <c r="ED869" s="12"/>
    </row>
    <row r="870" spans="1:134" ht="12.5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12"/>
      <c r="AC870" s="12"/>
      <c r="AD870" s="12"/>
      <c r="AE870" s="2"/>
      <c r="AF870" s="2"/>
      <c r="AG870" s="2"/>
      <c r="AH870" s="2"/>
      <c r="AI870" s="2"/>
      <c r="AJ870" s="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2"/>
      <c r="AY870" s="2"/>
      <c r="AZ870" s="2"/>
      <c r="BA870" s="2"/>
      <c r="BB870" s="2"/>
      <c r="BC870" s="2"/>
      <c r="BD870" s="2"/>
      <c r="BE870" s="2"/>
      <c r="BF870" s="12"/>
      <c r="BG870" s="1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152"/>
      <c r="BV870" s="155"/>
      <c r="BW870" s="12"/>
      <c r="BX870" s="12"/>
      <c r="BY870" s="12"/>
      <c r="BZ870" s="12"/>
      <c r="CA870" s="12"/>
      <c r="CB870" s="12"/>
      <c r="CC870" s="12"/>
      <c r="CD870" s="12"/>
      <c r="CE870" s="12"/>
      <c r="CF870" s="12"/>
      <c r="CG870" s="12"/>
      <c r="CH870" s="12"/>
      <c r="CI870" s="12"/>
      <c r="CJ870" s="12"/>
      <c r="CK870" s="12"/>
      <c r="CL870" s="12"/>
      <c r="CM870" s="12"/>
      <c r="CN870" s="12"/>
      <c r="CO870" s="12"/>
      <c r="CP870" s="12"/>
      <c r="CQ870" s="46"/>
      <c r="CR870" s="46"/>
      <c r="CS870" s="46"/>
      <c r="CT870" s="119"/>
      <c r="CU870" s="119"/>
      <c r="CV870" s="119"/>
      <c r="CW870" s="119"/>
      <c r="CX870" s="120"/>
      <c r="CY870" s="120"/>
      <c r="CZ870" s="120"/>
      <c r="DA870" s="120"/>
      <c r="DB870" s="120"/>
      <c r="DC870" s="120"/>
      <c r="DD870" s="120"/>
      <c r="DE870" s="120"/>
      <c r="DF870" s="120"/>
      <c r="DG870" s="2"/>
      <c r="DH870" s="2"/>
      <c r="DI870" s="2"/>
      <c r="DJ870" s="48"/>
      <c r="DK870" s="48"/>
      <c r="DL870" s="48"/>
      <c r="DM870" s="13"/>
      <c r="DN870" s="13"/>
      <c r="DO870" s="12"/>
      <c r="DP870" s="12"/>
      <c r="DQ870" s="12"/>
      <c r="DR870" s="12"/>
      <c r="DS870" s="12"/>
      <c r="DT870" s="2"/>
      <c r="DU870" s="2"/>
      <c r="DV870" s="12"/>
      <c r="DW870" s="12"/>
      <c r="DX870" s="2"/>
      <c r="DY870" s="2"/>
      <c r="DZ870" s="12"/>
      <c r="EA870" s="12"/>
      <c r="EB870" s="12"/>
      <c r="EC870" s="12"/>
      <c r="ED870" s="12"/>
    </row>
    <row r="871" spans="1:134" ht="12.5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12"/>
      <c r="AC871" s="12"/>
      <c r="AD871" s="12"/>
      <c r="AE871" s="2"/>
      <c r="AF871" s="2"/>
      <c r="AG871" s="2"/>
      <c r="AH871" s="2"/>
      <c r="AI871" s="2"/>
      <c r="AJ871" s="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2"/>
      <c r="AY871" s="2"/>
      <c r="AZ871" s="2"/>
      <c r="BA871" s="2"/>
      <c r="BB871" s="2"/>
      <c r="BC871" s="2"/>
      <c r="BD871" s="2"/>
      <c r="BE871" s="2"/>
      <c r="BF871" s="12"/>
      <c r="BG871" s="1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152"/>
      <c r="BV871" s="155"/>
      <c r="BW871" s="12"/>
      <c r="BX871" s="12"/>
      <c r="BY871" s="12"/>
      <c r="BZ871" s="12"/>
      <c r="CA871" s="12"/>
      <c r="CB871" s="12"/>
      <c r="CC871" s="12"/>
      <c r="CD871" s="12"/>
      <c r="CE871" s="12"/>
      <c r="CF871" s="12"/>
      <c r="CG871" s="12"/>
      <c r="CH871" s="12"/>
      <c r="CI871" s="12"/>
      <c r="CJ871" s="12"/>
      <c r="CK871" s="12"/>
      <c r="CL871" s="12"/>
      <c r="CM871" s="12"/>
      <c r="CN871" s="12"/>
      <c r="CO871" s="12"/>
      <c r="CP871" s="12"/>
      <c r="CQ871" s="46"/>
      <c r="CR871" s="46"/>
      <c r="CS871" s="46"/>
      <c r="CT871" s="119"/>
      <c r="CU871" s="119"/>
      <c r="CV871" s="119"/>
      <c r="CW871" s="119"/>
      <c r="CX871" s="120"/>
      <c r="CY871" s="120"/>
      <c r="CZ871" s="120"/>
      <c r="DA871" s="120"/>
      <c r="DB871" s="120"/>
      <c r="DC871" s="120"/>
      <c r="DD871" s="120"/>
      <c r="DE871" s="120"/>
      <c r="DF871" s="120"/>
      <c r="DG871" s="2"/>
      <c r="DH871" s="2"/>
      <c r="DI871" s="2"/>
      <c r="DJ871" s="48"/>
      <c r="DK871" s="48"/>
      <c r="DL871" s="48"/>
      <c r="DM871" s="13"/>
      <c r="DN871" s="13"/>
      <c r="DO871" s="12"/>
      <c r="DP871" s="12"/>
      <c r="DQ871" s="12"/>
      <c r="DR871" s="12"/>
      <c r="DS871" s="12"/>
      <c r="DT871" s="2"/>
      <c r="DU871" s="2"/>
      <c r="DV871" s="12"/>
      <c r="DW871" s="12"/>
      <c r="DX871" s="2"/>
      <c r="DY871" s="2"/>
      <c r="DZ871" s="12"/>
      <c r="EA871" s="12"/>
      <c r="EB871" s="12"/>
      <c r="EC871" s="12"/>
      <c r="ED871" s="12"/>
    </row>
    <row r="872" spans="1:134" ht="12.5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12"/>
      <c r="AC872" s="12"/>
      <c r="AD872" s="12"/>
      <c r="AE872" s="2"/>
      <c r="AF872" s="2"/>
      <c r="AG872" s="2"/>
      <c r="AH872" s="2"/>
      <c r="AI872" s="2"/>
      <c r="AJ872" s="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2"/>
      <c r="AY872" s="2"/>
      <c r="AZ872" s="2"/>
      <c r="BA872" s="2"/>
      <c r="BB872" s="2"/>
      <c r="BC872" s="2"/>
      <c r="BD872" s="2"/>
      <c r="BE872" s="2"/>
      <c r="BF872" s="12"/>
      <c r="BG872" s="1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152"/>
      <c r="BV872" s="155"/>
      <c r="BW872" s="12"/>
      <c r="BX872" s="12"/>
      <c r="BY872" s="12"/>
      <c r="BZ872" s="12"/>
      <c r="CA872" s="12"/>
      <c r="CB872" s="12"/>
      <c r="CC872" s="12"/>
      <c r="CD872" s="12"/>
      <c r="CE872" s="12"/>
      <c r="CF872" s="12"/>
      <c r="CG872" s="12"/>
      <c r="CH872" s="12"/>
      <c r="CI872" s="12"/>
      <c r="CJ872" s="12"/>
      <c r="CK872" s="12"/>
      <c r="CL872" s="12"/>
      <c r="CM872" s="12"/>
      <c r="CN872" s="12"/>
      <c r="CO872" s="12"/>
      <c r="CP872" s="12"/>
      <c r="CQ872" s="46"/>
      <c r="CR872" s="46"/>
      <c r="CS872" s="46"/>
      <c r="CT872" s="119"/>
      <c r="CU872" s="119"/>
      <c r="CV872" s="119"/>
      <c r="CW872" s="119"/>
      <c r="CX872" s="120"/>
      <c r="CY872" s="120"/>
      <c r="CZ872" s="120"/>
      <c r="DA872" s="120"/>
      <c r="DB872" s="120"/>
      <c r="DC872" s="120"/>
      <c r="DD872" s="120"/>
      <c r="DE872" s="120"/>
      <c r="DF872" s="120"/>
      <c r="DG872" s="2"/>
      <c r="DH872" s="2"/>
      <c r="DI872" s="2"/>
      <c r="DJ872" s="48"/>
      <c r="DK872" s="48"/>
      <c r="DL872" s="48"/>
      <c r="DM872" s="13"/>
      <c r="DN872" s="13"/>
      <c r="DO872" s="12"/>
      <c r="DP872" s="12"/>
      <c r="DQ872" s="12"/>
      <c r="DR872" s="12"/>
      <c r="DS872" s="12"/>
      <c r="DT872" s="2"/>
      <c r="DU872" s="2"/>
      <c r="DV872" s="12"/>
      <c r="DW872" s="12"/>
      <c r="DX872" s="2"/>
      <c r="DY872" s="2"/>
      <c r="DZ872" s="12"/>
      <c r="EA872" s="12"/>
      <c r="EB872" s="12"/>
      <c r="EC872" s="12"/>
      <c r="ED872" s="12"/>
    </row>
    <row r="873" spans="1:134" ht="12.5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12"/>
      <c r="AC873" s="12"/>
      <c r="AD873" s="12"/>
      <c r="AE873" s="2"/>
      <c r="AF873" s="2"/>
      <c r="AG873" s="2"/>
      <c r="AH873" s="2"/>
      <c r="AI873" s="2"/>
      <c r="AJ873" s="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2"/>
      <c r="AY873" s="2"/>
      <c r="AZ873" s="2"/>
      <c r="BA873" s="2"/>
      <c r="BB873" s="2"/>
      <c r="BC873" s="2"/>
      <c r="BD873" s="2"/>
      <c r="BE873" s="2"/>
      <c r="BF873" s="12"/>
      <c r="BG873" s="1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152"/>
      <c r="BV873" s="155"/>
      <c r="BW873" s="12"/>
      <c r="BX873" s="12"/>
      <c r="BY873" s="12"/>
      <c r="BZ873" s="12"/>
      <c r="CA873" s="12"/>
      <c r="CB873" s="12"/>
      <c r="CC873" s="12"/>
      <c r="CD873" s="12"/>
      <c r="CE873" s="12"/>
      <c r="CF873" s="12"/>
      <c r="CG873" s="12"/>
      <c r="CH873" s="12"/>
      <c r="CI873" s="12"/>
      <c r="CJ873" s="12"/>
      <c r="CK873" s="12"/>
      <c r="CL873" s="12"/>
      <c r="CM873" s="12"/>
      <c r="CN873" s="12"/>
      <c r="CO873" s="12"/>
      <c r="CP873" s="12"/>
      <c r="CQ873" s="46"/>
      <c r="CR873" s="46"/>
      <c r="CS873" s="46"/>
      <c r="CT873" s="119"/>
      <c r="CU873" s="119"/>
      <c r="CV873" s="119"/>
      <c r="CW873" s="119"/>
      <c r="CX873" s="120"/>
      <c r="CY873" s="120"/>
      <c r="CZ873" s="120"/>
      <c r="DA873" s="120"/>
      <c r="DB873" s="120"/>
      <c r="DC873" s="120"/>
      <c r="DD873" s="120"/>
      <c r="DE873" s="120"/>
      <c r="DF873" s="120"/>
      <c r="DG873" s="2"/>
      <c r="DH873" s="2"/>
      <c r="DI873" s="2"/>
      <c r="DJ873" s="48"/>
      <c r="DK873" s="48"/>
      <c r="DL873" s="48"/>
      <c r="DM873" s="13"/>
      <c r="DN873" s="13"/>
      <c r="DO873" s="12"/>
      <c r="DP873" s="12"/>
      <c r="DQ873" s="12"/>
      <c r="DR873" s="12"/>
      <c r="DS873" s="12"/>
      <c r="DT873" s="2"/>
      <c r="DU873" s="2"/>
      <c r="DV873" s="12"/>
      <c r="DW873" s="12"/>
      <c r="DX873" s="2"/>
      <c r="DY873" s="2"/>
      <c r="DZ873" s="12"/>
      <c r="EA873" s="12"/>
      <c r="EB873" s="12"/>
      <c r="EC873" s="12"/>
      <c r="ED873" s="12"/>
    </row>
    <row r="874" spans="1:134" ht="12.5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12"/>
      <c r="AC874" s="12"/>
      <c r="AD874" s="12"/>
      <c r="AE874" s="2"/>
      <c r="AF874" s="2"/>
      <c r="AG874" s="2"/>
      <c r="AH874" s="2"/>
      <c r="AI874" s="2"/>
      <c r="AJ874" s="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2"/>
      <c r="AY874" s="2"/>
      <c r="AZ874" s="2"/>
      <c r="BA874" s="2"/>
      <c r="BB874" s="2"/>
      <c r="BC874" s="2"/>
      <c r="BD874" s="2"/>
      <c r="BE874" s="2"/>
      <c r="BF874" s="12"/>
      <c r="BG874" s="1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152"/>
      <c r="BV874" s="155"/>
      <c r="BW874" s="12"/>
      <c r="BX874" s="12"/>
      <c r="BY874" s="12"/>
      <c r="BZ874" s="12"/>
      <c r="CA874" s="12"/>
      <c r="CB874" s="12"/>
      <c r="CC874" s="12"/>
      <c r="CD874" s="12"/>
      <c r="CE874" s="12"/>
      <c r="CF874" s="12"/>
      <c r="CG874" s="12"/>
      <c r="CH874" s="12"/>
      <c r="CI874" s="12"/>
      <c r="CJ874" s="12"/>
      <c r="CK874" s="12"/>
      <c r="CL874" s="12"/>
      <c r="CM874" s="12"/>
      <c r="CN874" s="12"/>
      <c r="CO874" s="12"/>
      <c r="CP874" s="12"/>
      <c r="CQ874" s="46"/>
      <c r="CR874" s="46"/>
      <c r="CS874" s="46"/>
      <c r="CT874" s="119"/>
      <c r="CU874" s="119"/>
      <c r="CV874" s="119"/>
      <c r="CW874" s="119"/>
      <c r="CX874" s="120"/>
      <c r="CY874" s="120"/>
      <c r="CZ874" s="120"/>
      <c r="DA874" s="120"/>
      <c r="DB874" s="120"/>
      <c r="DC874" s="120"/>
      <c r="DD874" s="120"/>
      <c r="DE874" s="120"/>
      <c r="DF874" s="120"/>
      <c r="DG874" s="2"/>
      <c r="DH874" s="2"/>
      <c r="DI874" s="2"/>
      <c r="DJ874" s="48"/>
      <c r="DK874" s="48"/>
      <c r="DL874" s="48"/>
      <c r="DM874" s="13"/>
      <c r="DN874" s="13"/>
      <c r="DO874" s="12"/>
      <c r="DP874" s="12"/>
      <c r="DQ874" s="12"/>
      <c r="DR874" s="12"/>
      <c r="DS874" s="12"/>
      <c r="DT874" s="2"/>
      <c r="DU874" s="2"/>
      <c r="DV874" s="12"/>
      <c r="DW874" s="12"/>
      <c r="DX874" s="2"/>
      <c r="DY874" s="2"/>
      <c r="DZ874" s="12"/>
      <c r="EA874" s="12"/>
      <c r="EB874" s="12"/>
      <c r="EC874" s="12"/>
      <c r="ED874" s="12"/>
    </row>
    <row r="875" spans="1:134" ht="12.5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12"/>
      <c r="AC875" s="12"/>
      <c r="AD875" s="12"/>
      <c r="AE875" s="2"/>
      <c r="AF875" s="2"/>
      <c r="AG875" s="2"/>
      <c r="AH875" s="2"/>
      <c r="AI875" s="2"/>
      <c r="AJ875" s="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2"/>
      <c r="AY875" s="2"/>
      <c r="AZ875" s="2"/>
      <c r="BA875" s="2"/>
      <c r="BB875" s="2"/>
      <c r="BC875" s="2"/>
      <c r="BD875" s="2"/>
      <c r="BE875" s="2"/>
      <c r="BF875" s="12"/>
      <c r="BG875" s="1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152"/>
      <c r="BV875" s="155"/>
      <c r="BW875" s="12"/>
      <c r="BX875" s="12"/>
      <c r="BY875" s="12"/>
      <c r="BZ875" s="12"/>
      <c r="CA875" s="12"/>
      <c r="CB875" s="12"/>
      <c r="CC875" s="12"/>
      <c r="CD875" s="12"/>
      <c r="CE875" s="12"/>
      <c r="CF875" s="12"/>
      <c r="CG875" s="12"/>
      <c r="CH875" s="12"/>
      <c r="CI875" s="12"/>
      <c r="CJ875" s="12"/>
      <c r="CK875" s="12"/>
      <c r="CL875" s="12"/>
      <c r="CM875" s="12"/>
      <c r="CN875" s="12"/>
      <c r="CO875" s="12"/>
      <c r="CP875" s="12"/>
      <c r="CQ875" s="46"/>
      <c r="CR875" s="46"/>
      <c r="CS875" s="46"/>
      <c r="CT875" s="119"/>
      <c r="CU875" s="119"/>
      <c r="CV875" s="119"/>
      <c r="CW875" s="119"/>
      <c r="CX875" s="120"/>
      <c r="CY875" s="120"/>
      <c r="CZ875" s="120"/>
      <c r="DA875" s="120"/>
      <c r="DB875" s="120"/>
      <c r="DC875" s="120"/>
      <c r="DD875" s="120"/>
      <c r="DE875" s="120"/>
      <c r="DF875" s="120"/>
      <c r="DG875" s="2"/>
      <c r="DH875" s="2"/>
      <c r="DI875" s="2"/>
      <c r="DJ875" s="48"/>
      <c r="DK875" s="48"/>
      <c r="DL875" s="48"/>
      <c r="DM875" s="13"/>
      <c r="DN875" s="13"/>
      <c r="DO875" s="12"/>
      <c r="DP875" s="12"/>
      <c r="DQ875" s="12"/>
      <c r="DR875" s="12"/>
      <c r="DS875" s="12"/>
      <c r="DT875" s="2"/>
      <c r="DU875" s="2"/>
      <c r="DV875" s="12"/>
      <c r="DW875" s="12"/>
      <c r="DX875" s="2"/>
      <c r="DY875" s="2"/>
      <c r="DZ875" s="12"/>
      <c r="EA875" s="12"/>
      <c r="EB875" s="12"/>
      <c r="EC875" s="12"/>
      <c r="ED875" s="12"/>
    </row>
    <row r="876" spans="1:134" ht="12.5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12"/>
      <c r="AC876" s="12"/>
      <c r="AD876" s="12"/>
      <c r="AE876" s="2"/>
      <c r="AF876" s="2"/>
      <c r="AG876" s="2"/>
      <c r="AH876" s="2"/>
      <c r="AI876" s="2"/>
      <c r="AJ876" s="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2"/>
      <c r="AY876" s="2"/>
      <c r="AZ876" s="2"/>
      <c r="BA876" s="2"/>
      <c r="BB876" s="2"/>
      <c r="BC876" s="2"/>
      <c r="BD876" s="2"/>
      <c r="BE876" s="2"/>
      <c r="BF876" s="12"/>
      <c r="BG876" s="1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152"/>
      <c r="BV876" s="155"/>
      <c r="BW876" s="12"/>
      <c r="BX876" s="12"/>
      <c r="BY876" s="12"/>
      <c r="BZ876" s="12"/>
      <c r="CA876" s="12"/>
      <c r="CB876" s="12"/>
      <c r="CC876" s="12"/>
      <c r="CD876" s="12"/>
      <c r="CE876" s="12"/>
      <c r="CF876" s="12"/>
      <c r="CG876" s="12"/>
      <c r="CH876" s="12"/>
      <c r="CI876" s="12"/>
      <c r="CJ876" s="12"/>
      <c r="CK876" s="12"/>
      <c r="CL876" s="12"/>
      <c r="CM876" s="12"/>
      <c r="CN876" s="12"/>
      <c r="CO876" s="12"/>
      <c r="CP876" s="12"/>
      <c r="CQ876" s="46"/>
      <c r="CR876" s="46"/>
      <c r="CS876" s="46"/>
      <c r="CT876" s="119"/>
      <c r="CU876" s="119"/>
      <c r="CV876" s="119"/>
      <c r="CW876" s="119"/>
      <c r="CX876" s="120"/>
      <c r="CY876" s="120"/>
      <c r="CZ876" s="120"/>
      <c r="DA876" s="120"/>
      <c r="DB876" s="120"/>
      <c r="DC876" s="120"/>
      <c r="DD876" s="120"/>
      <c r="DE876" s="120"/>
      <c r="DF876" s="120"/>
      <c r="DG876" s="2"/>
      <c r="DH876" s="2"/>
      <c r="DI876" s="2"/>
      <c r="DJ876" s="48"/>
      <c r="DK876" s="48"/>
      <c r="DL876" s="48"/>
      <c r="DM876" s="13"/>
      <c r="DN876" s="13"/>
      <c r="DO876" s="12"/>
      <c r="DP876" s="12"/>
      <c r="DQ876" s="12"/>
      <c r="DR876" s="12"/>
      <c r="DS876" s="12"/>
      <c r="DT876" s="2"/>
      <c r="DU876" s="2"/>
      <c r="DV876" s="12"/>
      <c r="DW876" s="12"/>
      <c r="DX876" s="2"/>
      <c r="DY876" s="2"/>
      <c r="DZ876" s="12"/>
      <c r="EA876" s="12"/>
      <c r="EB876" s="12"/>
      <c r="EC876" s="12"/>
      <c r="ED876" s="12"/>
    </row>
  </sheetData>
  <autoFilter ref="A5:EG88" xr:uid="{00000000-0001-0000-0700-000000000000}"/>
  <customSheetViews>
    <customSheetView guid="{462E7138-4027-4DBE-9B78-22C8A7307EB7}" filter="1" showAutoFilter="1">
      <pageMargins left="0.7" right="0.7" top="0.75" bottom="0.75" header="0.3" footer="0.3"/>
      <autoFilter ref="A5:EB3031" xr:uid="{37D62A7F-764A-4046-95FE-4442D9256726}"/>
    </customSheetView>
    <customSheetView guid="{CE422D35-2171-41A7-8C6A-6D0F62B2E971}" filter="1" showAutoFilter="1">
      <pageMargins left="0.7" right="0.7" top="0.75" bottom="0.75" header="0.3" footer="0.3"/>
      <autoFilter ref="A5:EB3377" xr:uid="{A94219DD-5812-427F-81B2-77C061881AE0}"/>
    </customSheetView>
    <customSheetView guid="{16235030-164F-40BD-99D5-7573AF44E29C}" filter="1" showAutoFilter="1">
      <pageMargins left="0.7" right="0.7" top="0.75" bottom="0.75" header="0.3" footer="0.3"/>
      <autoFilter ref="A5:EB3377" xr:uid="{EE48F647-EA74-4BB8-8AB8-A05DAD503F6C}">
        <filterColumn colId="0">
          <filters>
            <filter val="GENART"/>
          </filters>
        </filterColumn>
      </autoFilter>
    </customSheetView>
    <customSheetView guid="{B2612DC3-682A-407E-A0D5-AA5067B40F37}" filter="1" showAutoFilter="1">
      <pageMargins left="0.7" right="0.7" top="0.75" bottom="0.75" header="0.3" footer="0.3"/>
      <autoFilter ref="A5:EB3031" xr:uid="{8ED5A1EF-866C-4D7D-8E0A-56D6F7500F22}"/>
    </customSheetView>
    <customSheetView guid="{E9FA287B-C5D3-4330-942F-7F67594F4642}" filter="1" showAutoFilter="1">
      <pageMargins left="0.7" right="0.7" top="0.75" bottom="0.75" header="0.3" footer="0.3"/>
      <autoFilter ref="A5:EB3031" xr:uid="{F4BE4891-2376-4A04-B45E-1E91F7D48DA2}"/>
    </customSheetView>
    <customSheetView guid="{B69C2AF0-12B4-47BC-BE1C-46866B4BF7BB}" filter="1" showAutoFilter="1">
      <pageMargins left="0.7" right="0.7" top="0.75" bottom="0.75" header="0.3" footer="0.3"/>
      <autoFilter ref="A5:EB3031" xr:uid="{960CEBEA-1655-45DE-8459-2B5BB0F7915E}"/>
    </customSheetView>
    <customSheetView guid="{6C964100-4821-49A7-B147-1C80DB78D69C}" filter="1" showAutoFilter="1">
      <pageMargins left="0.7" right="0.7" top="0.75" bottom="0.75" header="0.3" footer="0.3"/>
      <autoFilter ref="A5:EB3377" xr:uid="{A31726FE-25AA-4C5B-8F93-1F487755D503}">
        <filterColumn colId="0">
          <filters>
            <filter val="CONNECT ADS"/>
            <filter val="ENTRAVISION"/>
            <filter val="GENART"/>
          </filters>
        </filterColumn>
        <filterColumn colId="72">
          <filters blank="1">
            <filter val="1.00"/>
            <filter val="16.00"/>
            <filter val="2.00"/>
            <filter val="21.00"/>
            <filter val="3.00"/>
            <filter val="4.00"/>
            <filter val="5.00"/>
            <filter val="6.00"/>
            <filter val="7.00"/>
            <filter val="8.00"/>
            <filter val="num_of_Standard_lines"/>
          </filters>
        </filterColumn>
      </autoFilter>
    </customSheetView>
    <customSheetView guid="{981A91C9-12E4-431F-9537-7B7CAB62EE09}" filter="1" showAutoFilter="1">
      <pageMargins left="0.7" right="0.7" top="0.75" bottom="0.75" header="0.3" footer="0.3"/>
      <autoFilter ref="A5:EB3031" xr:uid="{26C1ECC9-4ED6-4008-9229-99A170F3A3E1}"/>
    </customSheetView>
    <customSheetView guid="{E5BF3091-E97E-4CAE-84B0-34C584EBDC55}" filter="1" showAutoFilter="1">
      <pageMargins left="0.7" right="0.7" top="0.75" bottom="0.75" header="0.3" footer="0.3"/>
      <autoFilter ref="A5:EB3031" xr:uid="{D574394B-3043-4905-913A-25566984FC0D}"/>
    </customSheetView>
    <customSheetView guid="{071D4DFF-1795-4453-834A-4CA02E1CDBC9}" filter="1" showAutoFilter="1">
      <pageMargins left="0.7" right="0.7" top="0.75" bottom="0.75" header="0.3" footer="0.3"/>
      <autoFilter ref="A5:EB3031" xr:uid="{CAE61E0F-E4D4-4747-948F-E45E21888AC7}"/>
    </customSheetView>
    <customSheetView guid="{45BF9CB2-84D8-47DE-A361-D68A940956A6}" filter="1" showAutoFilter="1">
      <pageMargins left="0.7" right="0.7" top="0.75" bottom="0.75" header="0.3" footer="0.3"/>
      <autoFilter ref="A5:EB3031" xr:uid="{15E5A6FF-F807-462F-B2C8-789A229E7447}"/>
    </customSheetView>
  </customSheetViews>
  <mergeCells count="6">
    <mergeCell ref="EC4:ED4"/>
    <mergeCell ref="A4:B4"/>
    <mergeCell ref="DI4:DO4"/>
    <mergeCell ref="DQ4:DT4"/>
    <mergeCell ref="DU4:DX4"/>
    <mergeCell ref="DY4:EB4"/>
  </mergeCells>
  <conditionalFormatting sqref="B1:B876">
    <cfRule type="expression" dxfId="19" priority="2">
      <formula>COUNTIF(B:B,B1)&gt;1</formula>
    </cfRule>
  </conditionalFormatting>
  <conditionalFormatting sqref="G1:G876">
    <cfRule type="expression" dxfId="18" priority="3">
      <formula>COUNTIF(G:G,G1)&gt;1</formula>
    </cfRule>
  </conditionalFormatting>
  <conditionalFormatting sqref="DJ1:DM1 E1:E2 K1:K2 M1:Q2 F2:J2 L2 DG6:EA876">
    <cfRule type="cellIs" dxfId="17" priority="1" operator="equal">
      <formula>"Miss"</formula>
    </cfRule>
  </conditionalFormatting>
  <hyperlinks>
    <hyperlink ref="BV6" r:id="rId1" xr:uid="{00000000-0004-0000-0700-000044000000}"/>
    <hyperlink ref="BV7" r:id="rId2" xr:uid="{00000000-0004-0000-0700-000059000000}"/>
    <hyperlink ref="BV8" r:id="rId3" xr:uid="{00000000-0004-0000-0700-00006B000000}"/>
    <hyperlink ref="BV9" r:id="rId4" xr:uid="{00000000-0004-0000-0700-000088000000}"/>
    <hyperlink ref="BV10" r:id="rId5" xr:uid="{00000000-0004-0000-0700-0000B4000000}"/>
    <hyperlink ref="BV11" r:id="rId6" xr:uid="{00000000-0004-0000-0700-0000DD000000}"/>
    <hyperlink ref="BV12" r:id="rId7" xr:uid="{00000000-0004-0000-0700-000022010000}"/>
    <hyperlink ref="BV13" r:id="rId8" xr:uid="{00000000-0004-0000-0700-00003D010000}"/>
    <hyperlink ref="BV14" r:id="rId9" xr:uid="{00000000-0004-0000-0700-000075010000}"/>
    <hyperlink ref="BV15" r:id="rId10" xr:uid="{00000000-0004-0000-0700-000012020000}"/>
    <hyperlink ref="BV16" r:id="rId11" xr:uid="{00000000-0004-0000-0700-00002D020000}"/>
    <hyperlink ref="BV17" r:id="rId12" xr:uid="{00000000-0004-0000-0700-000060030000}"/>
    <hyperlink ref="BV18" r:id="rId13" xr:uid="{00000000-0004-0000-0700-000061030000}"/>
    <hyperlink ref="BV19" r:id="rId14" xr:uid="{00000000-0004-0000-0700-000062030000}"/>
    <hyperlink ref="BV20" r:id="rId15" xr:uid="{00000000-0004-0000-0700-0000C5030000}"/>
    <hyperlink ref="BV21" r:id="rId16" xr:uid="{00000000-0004-0000-0700-0000CD030000}"/>
    <hyperlink ref="BV22" r:id="rId17" xr:uid="{00000000-0004-0000-0700-0000D2030000}"/>
    <hyperlink ref="BV23" r:id="rId18" xr:uid="{00000000-0004-0000-0700-000008040000}"/>
    <hyperlink ref="BV24" r:id="rId19" xr:uid="{00000000-0004-0000-0700-00001F040000}"/>
    <hyperlink ref="BV25" r:id="rId20" xr:uid="{00000000-0004-0000-0700-000041040000}"/>
    <hyperlink ref="BV26" r:id="rId21" xr:uid="{00000000-0004-0000-0700-000047040000}"/>
    <hyperlink ref="BV27" r:id="rId22" xr:uid="{00000000-0004-0000-0700-000061040000}"/>
    <hyperlink ref="BV28" r:id="rId23" xr:uid="{00000000-0004-0000-0700-0000AD040000}"/>
    <hyperlink ref="BV29" r:id="rId24" xr:uid="{00000000-0004-0000-0700-0000B7040000}"/>
    <hyperlink ref="BV30" r:id="rId25" xr:uid="{00000000-0004-0000-0700-0000C8040000}"/>
    <hyperlink ref="BV31" r:id="rId26" xr:uid="{00000000-0004-0000-0700-0000EB040000}"/>
    <hyperlink ref="BV32" r:id="rId27" xr:uid="{00000000-0004-0000-0700-00000F050000}"/>
    <hyperlink ref="BV33" r:id="rId28" xr:uid="{00000000-0004-0000-0700-00002B050000}"/>
    <hyperlink ref="BV34" r:id="rId29" xr:uid="{00000000-0004-0000-0700-00002C050000}"/>
    <hyperlink ref="BV35" r:id="rId30" xr:uid="{00000000-0004-0000-0700-000036050000}"/>
    <hyperlink ref="BV36" r:id="rId31" xr:uid="{00000000-0004-0000-0700-000038050000}"/>
    <hyperlink ref="BV37" r:id="rId32" xr:uid="{00000000-0004-0000-0700-00005A050000}"/>
    <hyperlink ref="BV38" r:id="rId33" xr:uid="{00000000-0004-0000-0700-00005B050000}"/>
    <hyperlink ref="BV39" r:id="rId34" xr:uid="{00000000-0004-0000-0700-00005C050000}"/>
    <hyperlink ref="BV40" r:id="rId35" xr:uid="{00000000-0004-0000-0700-00005E050000}"/>
    <hyperlink ref="BV41" r:id="rId36" xr:uid="{00000000-0004-0000-0700-000093050000}"/>
    <hyperlink ref="BV42" r:id="rId37" xr:uid="{00000000-0004-0000-0700-000094050000}"/>
    <hyperlink ref="BV43" r:id="rId38" xr:uid="{00000000-0004-0000-0700-0000B2050000}"/>
    <hyperlink ref="BV44" r:id="rId39" xr:uid="{00000000-0004-0000-0700-0000B5050000}"/>
    <hyperlink ref="BV45" r:id="rId40" xr:uid="{00000000-0004-0000-0700-0000CD050000}"/>
    <hyperlink ref="BV46" r:id="rId41" xr:uid="{00000000-0004-0000-0700-0000D0050000}"/>
    <hyperlink ref="BV47" r:id="rId42" xr:uid="{00000000-0004-0000-0700-000016060000}"/>
    <hyperlink ref="BV48" r:id="rId43" xr:uid="{00000000-0004-0000-0700-000017060000}"/>
    <hyperlink ref="BV49" r:id="rId44" xr:uid="{00000000-0004-0000-0700-000035060000}"/>
    <hyperlink ref="BV50" r:id="rId45" xr:uid="{00000000-0004-0000-0700-00004C060000}"/>
    <hyperlink ref="BV51" r:id="rId46" xr:uid="{00000000-0004-0000-0700-00007B060000}"/>
    <hyperlink ref="BV52" r:id="rId47" xr:uid="{00000000-0004-0000-0700-000093060000}"/>
    <hyperlink ref="BV53" r:id="rId48" xr:uid="{00000000-0004-0000-0700-00009C060000}"/>
    <hyperlink ref="BV54" r:id="rId49" xr:uid="{00000000-0004-0000-0700-0000DC060000}"/>
    <hyperlink ref="BV55" r:id="rId50" xr:uid="{00000000-0004-0000-0700-0000F2060000}"/>
    <hyperlink ref="BV56" r:id="rId51" xr:uid="{00000000-0004-0000-0700-0000F3060000}"/>
    <hyperlink ref="BV57" r:id="rId52" xr:uid="{00000000-0004-0000-0700-0000F4060000}"/>
    <hyperlink ref="BV58" r:id="rId53" xr:uid="{00000000-0004-0000-0700-000033070000}"/>
    <hyperlink ref="BV59" r:id="rId54" xr:uid="{00000000-0004-0000-0700-000034070000}"/>
    <hyperlink ref="BV60" r:id="rId55" xr:uid="{00000000-0004-0000-0700-000037070000}"/>
    <hyperlink ref="BV61" r:id="rId56" xr:uid="{00000000-0004-0000-0700-000059070000}"/>
    <hyperlink ref="BV62" r:id="rId57" xr:uid="{00000000-0004-0000-0700-00006D070000}"/>
    <hyperlink ref="BV63" r:id="rId58" xr:uid="{00000000-0004-0000-0700-000071070000}"/>
    <hyperlink ref="BV64" r:id="rId59" xr:uid="{00000000-0004-0000-0700-00008F070000}"/>
    <hyperlink ref="BV65" r:id="rId60" xr:uid="{00000000-0004-0000-0700-000091070000}"/>
    <hyperlink ref="BV66" r:id="rId61" xr:uid="{00000000-0004-0000-0700-0000B0070000}"/>
    <hyperlink ref="BV67" r:id="rId62" xr:uid="{00000000-0004-0000-0700-0000DF070000}"/>
    <hyperlink ref="BV68" r:id="rId63" xr:uid="{00000000-0004-0000-0700-0000E6070000}"/>
    <hyperlink ref="BV69" r:id="rId64" xr:uid="{00000000-0004-0000-0700-0000EB070000}"/>
    <hyperlink ref="BV70" r:id="rId65" xr:uid="{00000000-0004-0000-0700-000007080000}"/>
    <hyperlink ref="BV71" r:id="rId66" xr:uid="{00000000-0004-0000-0700-000014080000}"/>
    <hyperlink ref="BV72" r:id="rId67" xr:uid="{00000000-0004-0000-0700-000015080000}"/>
    <hyperlink ref="BV73" r:id="rId68" xr:uid="{00000000-0004-0000-0700-000086080000}"/>
    <hyperlink ref="BV74" r:id="rId69" xr:uid="{00000000-0004-0000-0700-0000A9080000}"/>
    <hyperlink ref="BV75" r:id="rId70" xr:uid="{00000000-0004-0000-0700-0000AA080000}"/>
    <hyperlink ref="BV76" r:id="rId71" xr:uid="{00000000-0004-0000-0700-0000AB080000}"/>
    <hyperlink ref="BV77" r:id="rId72" xr:uid="{00000000-0004-0000-0700-0000C2080000}"/>
    <hyperlink ref="BV78" r:id="rId73" xr:uid="{00000000-0004-0000-0700-0000C5080000}"/>
    <hyperlink ref="BV79" r:id="rId74" xr:uid="{00000000-0004-0000-0700-0000C6080000}"/>
    <hyperlink ref="BV80" r:id="rId75" xr:uid="{00000000-0004-0000-0700-0000DF080000}"/>
    <hyperlink ref="BV81" r:id="rId76" xr:uid="{00000000-0004-0000-0700-0000E0080000}"/>
    <hyperlink ref="BV82" r:id="rId77" xr:uid="{00000000-0004-0000-0700-0000E3080000}"/>
    <hyperlink ref="BV83" r:id="rId78" xr:uid="{00000000-0004-0000-0700-0000F3080000}"/>
    <hyperlink ref="BV84" r:id="rId79" xr:uid="{00000000-0004-0000-0700-000011090000}"/>
    <hyperlink ref="BV85" r:id="rId80" xr:uid="{00000000-0004-0000-0700-000060090000}"/>
    <hyperlink ref="BV86" r:id="rId81" xr:uid="{00000000-0004-0000-0700-000079090000}"/>
    <hyperlink ref="BV87" r:id="rId82" xr:uid="{00000000-0004-0000-0700-00008B090000}"/>
    <hyperlink ref="BV88" r:id="rId83" xr:uid="{00000000-0004-0000-0700-000094090000}"/>
  </hyperlinks>
  <pageMargins left="0.7" right="0.7" top="0.75" bottom="0.75" header="0.3" footer="0.3"/>
  <legacyDrawing r:id="rId8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C27BA0"/>
    <outlinePr summaryBelow="0" summaryRight="0"/>
  </sheetPr>
  <dimension ref="A1:BG89"/>
  <sheetViews>
    <sheetView tabSelected="1" topLeftCell="AO1" zoomScale="98" zoomScaleNormal="98" workbookViewId="0">
      <pane ySplit="7" topLeftCell="A8" activePane="bottomLeft" state="frozen"/>
      <selection pane="bottomLeft" activeCell="BB5" sqref="BB5"/>
    </sheetView>
  </sheetViews>
  <sheetFormatPr defaultColWidth="12.6328125" defaultRowHeight="15.75" customHeight="1" outlineLevelCol="1" x14ac:dyDescent="0.25"/>
  <cols>
    <col min="1" max="1" width="8.90625" customWidth="1"/>
    <col min="2" max="2" width="13.36328125" customWidth="1"/>
    <col min="3" max="3" width="10.08984375" customWidth="1"/>
    <col min="4" max="4" width="12.90625" customWidth="1"/>
    <col min="5" max="5" width="11.1796875" hidden="1" customWidth="1"/>
    <col min="6" max="6" width="25.453125" customWidth="1"/>
    <col min="7" max="7" width="12.1796875" customWidth="1"/>
    <col min="8" max="8" width="13.453125" customWidth="1" outlineLevel="1"/>
    <col min="9" max="9" width="8.453125" customWidth="1" outlineLevel="1"/>
    <col min="10" max="10" width="10.81640625" customWidth="1" outlineLevel="1"/>
    <col min="11" max="11" width="7.1796875" customWidth="1" outlineLevel="1"/>
    <col min="12" max="12" width="10.90625" customWidth="1" outlineLevel="1"/>
    <col min="13" max="13" width="19.81640625" customWidth="1"/>
    <col min="14" max="14" width="8.6328125" customWidth="1"/>
    <col min="15" max="15" width="7.6328125" customWidth="1"/>
    <col min="16" max="16" width="13" customWidth="1"/>
    <col min="17" max="18" width="13" customWidth="1" outlineLevel="1"/>
    <col min="19" max="20" width="10.81640625" customWidth="1" outlineLevel="1"/>
    <col min="21" max="21" width="12.6328125" customWidth="1" outlineLevel="1"/>
    <col min="22" max="22" width="10.81640625" customWidth="1" outlineLevel="1"/>
    <col min="23" max="25" width="10.453125" customWidth="1" outlineLevel="1"/>
    <col min="26" max="26" width="27" customWidth="1"/>
    <col min="27" max="28" width="15.1796875" customWidth="1"/>
    <col min="29" max="30" width="12.6328125" outlineLevel="1"/>
    <col min="31" max="32" width="9.6328125" customWidth="1" outlineLevel="1"/>
    <col min="33" max="38" width="10.81640625" customWidth="1" outlineLevel="1"/>
    <col min="39" max="43" width="12.453125" customWidth="1" outlineLevel="1"/>
    <col min="44" max="44" width="7.453125" customWidth="1" outlineLevel="1"/>
    <col min="45" max="45" width="11.81640625" customWidth="1" outlineLevel="1"/>
    <col min="46" max="46" width="12.90625" customWidth="1" outlineLevel="1"/>
    <col min="47" max="47" width="11.81640625" customWidth="1" outlineLevel="1"/>
    <col min="48" max="48" width="11.81640625" hidden="1" customWidth="1" outlineLevel="1"/>
    <col min="49" max="49" width="13.36328125" customWidth="1"/>
    <col min="50" max="52" width="10.1796875" customWidth="1" outlineLevel="1"/>
    <col min="53" max="53" width="12.6328125" customWidth="1"/>
    <col min="54" max="54" width="12.6328125" outlineLevel="1"/>
    <col min="55" max="55" width="12.6328125" customWidth="1" outlineLevel="1"/>
    <col min="56" max="56" width="14.90625" customWidth="1"/>
    <col min="57" max="57" width="12.6328125" outlineLevel="1"/>
    <col min="58" max="58" width="11.453125" customWidth="1"/>
    <col min="59" max="59" width="11.453125" customWidth="1" outlineLevel="1"/>
  </cols>
  <sheetData>
    <row r="1" spans="1:59" ht="13" x14ac:dyDescent="0.3">
      <c r="A1" s="11" t="s">
        <v>15</v>
      </c>
      <c r="B1" s="2"/>
      <c r="C1" s="2"/>
      <c r="D1" s="2"/>
      <c r="E1" s="2"/>
      <c r="F1" s="2"/>
      <c r="G1" s="18" t="s">
        <v>1500</v>
      </c>
      <c r="H1" s="18"/>
      <c r="I1" s="2"/>
      <c r="J1" s="46"/>
      <c r="K1" s="2"/>
      <c r="L1" s="46"/>
      <c r="M1" s="46"/>
      <c r="N1" s="2"/>
      <c r="O1" s="2"/>
      <c r="P1" s="10"/>
      <c r="Q1" s="10"/>
      <c r="R1" s="10"/>
      <c r="S1" s="10"/>
      <c r="T1" s="10"/>
      <c r="U1" s="10"/>
      <c r="V1" s="10"/>
      <c r="W1" s="10"/>
      <c r="X1" s="10"/>
      <c r="Y1" s="10"/>
      <c r="Z1" s="44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12"/>
      <c r="AN1" s="12"/>
      <c r="AO1" s="12"/>
      <c r="AP1" s="12"/>
      <c r="AQ1" s="12"/>
      <c r="AR1" s="2"/>
      <c r="AS1" s="12"/>
      <c r="AT1" s="12"/>
      <c r="AU1" s="12"/>
      <c r="AV1" s="12"/>
      <c r="AW1" s="12"/>
      <c r="AX1" s="12"/>
      <c r="AY1" s="12"/>
      <c r="AZ1" s="12"/>
      <c r="BA1" s="41"/>
      <c r="BB1" s="12"/>
      <c r="BC1" s="12"/>
      <c r="BD1" s="12"/>
      <c r="BE1" s="12"/>
      <c r="BF1" s="19">
        <f>COLUMN(BF1)</f>
        <v>58</v>
      </c>
      <c r="BG1" s="17">
        <v>46087.746527777781</v>
      </c>
    </row>
    <row r="2" spans="1:59" ht="13" x14ac:dyDescent="0.25">
      <c r="A2" s="165"/>
      <c r="B2" s="2"/>
      <c r="C2" s="2"/>
      <c r="D2" s="2"/>
      <c r="E2" s="2"/>
      <c r="F2" s="2"/>
      <c r="G2" s="16">
        <f>COUNTA(G8:G89)</f>
        <v>82</v>
      </c>
      <c r="H2" s="16"/>
      <c r="I2" s="2"/>
      <c r="J2" s="46"/>
      <c r="K2" s="2"/>
      <c r="L2" s="46"/>
      <c r="M2" s="46"/>
      <c r="N2" s="2"/>
      <c r="O2" s="2"/>
      <c r="P2" s="10"/>
      <c r="Q2" s="10"/>
      <c r="R2" s="10"/>
      <c r="S2" s="5"/>
      <c r="T2" s="5"/>
      <c r="U2" s="5"/>
      <c r="V2" s="5"/>
      <c r="W2" s="5"/>
      <c r="X2" s="5"/>
      <c r="Y2" s="5"/>
      <c r="Z2" s="5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12"/>
      <c r="AN2" s="12"/>
      <c r="AO2" s="12"/>
      <c r="AP2" s="12"/>
      <c r="AQ2" s="12"/>
      <c r="AR2" s="2"/>
      <c r="AS2" s="12"/>
      <c r="AT2" s="12"/>
      <c r="AU2" s="12"/>
      <c r="AV2" s="12"/>
      <c r="AW2" s="12"/>
      <c r="AX2" s="166">
        <f>SUM(AX6:AX89)</f>
        <v>-22928.14</v>
      </c>
      <c r="AY2" s="166"/>
      <c r="AZ2" s="166"/>
      <c r="BA2" s="41"/>
      <c r="BB2" s="12"/>
      <c r="BC2" s="166">
        <f>SUM(BC6:BC89)</f>
        <v>0</v>
      </c>
      <c r="BD2" s="12"/>
      <c r="BE2" s="166">
        <f>SUM(BE6:BE89)</f>
        <v>-3.9999999920837581E-2</v>
      </c>
      <c r="BF2" s="2"/>
      <c r="BG2" s="2"/>
    </row>
    <row r="3" spans="1:59" ht="12.5" x14ac:dyDescent="0.25">
      <c r="A3" s="167"/>
      <c r="B3" s="168"/>
      <c r="C3" s="168"/>
      <c r="D3" s="168"/>
      <c r="E3" s="168"/>
      <c r="F3" s="168"/>
      <c r="G3" s="169"/>
      <c r="H3" s="169"/>
      <c r="I3" s="168"/>
      <c r="J3" s="170"/>
      <c r="K3" s="168"/>
      <c r="L3" s="170"/>
      <c r="M3" s="170"/>
      <c r="N3" s="168"/>
      <c r="O3" s="168"/>
      <c r="P3" s="171"/>
      <c r="Q3" s="171"/>
      <c r="R3" s="171"/>
      <c r="S3" s="5"/>
      <c r="T3" s="5"/>
      <c r="U3" s="5"/>
      <c r="V3" s="5"/>
      <c r="W3" s="5"/>
      <c r="X3" s="5"/>
      <c r="Y3" s="5"/>
      <c r="Z3" s="5"/>
      <c r="AA3" s="168"/>
      <c r="AB3" s="168"/>
      <c r="AC3" s="168"/>
      <c r="AD3" s="168"/>
      <c r="AE3" s="168"/>
      <c r="AF3" s="168"/>
      <c r="AG3" s="168"/>
      <c r="AH3" s="168"/>
      <c r="AI3" s="168"/>
      <c r="AJ3" s="168"/>
      <c r="AK3" s="168"/>
      <c r="AL3" s="168"/>
      <c r="AM3" s="172"/>
      <c r="AN3" s="172"/>
      <c r="AO3" s="172"/>
      <c r="AP3" s="172"/>
      <c r="AQ3" s="172"/>
      <c r="AR3" s="173" t="s">
        <v>18</v>
      </c>
      <c r="AS3" s="173" t="s">
        <v>19</v>
      </c>
      <c r="AT3" s="173" t="s">
        <v>19</v>
      </c>
      <c r="AU3" s="173"/>
      <c r="AV3" s="173"/>
      <c r="AW3" s="172"/>
      <c r="AX3" s="173" t="s">
        <v>21</v>
      </c>
      <c r="AY3" s="173"/>
      <c r="AZ3" s="173" t="s">
        <v>1501</v>
      </c>
      <c r="BA3" s="174"/>
      <c r="BB3" s="172"/>
      <c r="BC3" s="173" t="s">
        <v>22</v>
      </c>
      <c r="BD3" s="172"/>
      <c r="BE3" s="175" t="s">
        <v>572</v>
      </c>
      <c r="BF3" s="168"/>
      <c r="BG3" s="168"/>
    </row>
    <row r="4" spans="1:59" ht="13" x14ac:dyDescent="0.3">
      <c r="A4" s="176" t="s">
        <v>4</v>
      </c>
      <c r="B4" s="177"/>
      <c r="C4" s="177"/>
      <c r="D4" s="177"/>
      <c r="E4" s="177"/>
      <c r="F4" s="177"/>
      <c r="G4" s="177"/>
      <c r="H4" s="177"/>
      <c r="I4" s="177"/>
      <c r="J4" s="178"/>
      <c r="K4" s="177"/>
      <c r="L4" s="178"/>
      <c r="M4" s="178"/>
      <c r="N4" s="177"/>
      <c r="O4" s="177"/>
      <c r="P4" s="177"/>
      <c r="Q4" s="177"/>
      <c r="R4" s="177"/>
      <c r="S4" s="177"/>
      <c r="T4" s="177"/>
      <c r="U4" s="177"/>
      <c r="V4" s="177"/>
      <c r="W4" s="177"/>
      <c r="X4" s="177"/>
      <c r="Y4" s="177"/>
      <c r="Z4" s="179"/>
      <c r="AA4" s="311" t="s">
        <v>2</v>
      </c>
      <c r="AB4" s="304"/>
      <c r="AC4" s="304"/>
      <c r="AD4" s="304"/>
      <c r="AE4" s="304"/>
      <c r="AF4" s="304"/>
      <c r="AG4" s="304"/>
      <c r="AH4" s="304"/>
      <c r="AI4" s="304"/>
      <c r="AJ4" s="304"/>
      <c r="AK4" s="304"/>
      <c r="AL4" s="304"/>
      <c r="AM4" s="304"/>
      <c r="AN4" s="304"/>
      <c r="AO4" s="304"/>
      <c r="AP4" s="304"/>
      <c r="AQ4" s="304"/>
      <c r="AR4" s="304"/>
      <c r="AS4" s="304"/>
      <c r="AT4" s="304"/>
      <c r="AU4" s="180"/>
      <c r="AV4" s="180"/>
      <c r="AW4" s="312" t="s">
        <v>3</v>
      </c>
      <c r="AX4" s="304"/>
      <c r="AY4" s="181"/>
      <c r="AZ4" s="181"/>
      <c r="BA4" s="313" t="s">
        <v>5</v>
      </c>
      <c r="BB4" s="304"/>
      <c r="BC4" s="304"/>
      <c r="BD4" s="314" t="s">
        <v>6</v>
      </c>
      <c r="BE4" s="304"/>
      <c r="BF4" s="303" t="s">
        <v>8</v>
      </c>
      <c r="BG4" s="304"/>
    </row>
    <row r="5" spans="1:59" ht="52" x14ac:dyDescent="0.25">
      <c r="A5" s="182" t="s">
        <v>1502</v>
      </c>
      <c r="B5" s="30" t="s">
        <v>30</v>
      </c>
      <c r="C5" s="30" t="s">
        <v>29</v>
      </c>
      <c r="D5" s="30" t="s">
        <v>410</v>
      </c>
      <c r="E5" s="30" t="s">
        <v>1503</v>
      </c>
      <c r="F5" s="30" t="s">
        <v>1504</v>
      </c>
      <c r="G5" s="30" t="s">
        <v>28</v>
      </c>
      <c r="H5" s="30" t="s">
        <v>669</v>
      </c>
      <c r="I5" s="33" t="s">
        <v>1505</v>
      </c>
      <c r="J5" s="183" t="s">
        <v>1506</v>
      </c>
      <c r="K5" s="28" t="s">
        <v>1507</v>
      </c>
      <c r="L5" s="183" t="s">
        <v>1508</v>
      </c>
      <c r="M5" s="183" t="s">
        <v>586</v>
      </c>
      <c r="N5" s="28" t="s">
        <v>1509</v>
      </c>
      <c r="O5" s="33" t="s">
        <v>45</v>
      </c>
      <c r="P5" s="28" t="s">
        <v>40</v>
      </c>
      <c r="Q5" s="28" t="s">
        <v>57</v>
      </c>
      <c r="R5" s="28" t="s">
        <v>1510</v>
      </c>
      <c r="S5" s="28" t="s">
        <v>1511</v>
      </c>
      <c r="T5" s="33" t="s">
        <v>1512</v>
      </c>
      <c r="U5" s="28" t="s">
        <v>58</v>
      </c>
      <c r="V5" s="33" t="s">
        <v>401</v>
      </c>
      <c r="W5" s="33" t="s">
        <v>1513</v>
      </c>
      <c r="X5" s="28" t="s">
        <v>1514</v>
      </c>
      <c r="Y5" s="29" t="s">
        <v>1515</v>
      </c>
      <c r="Z5" s="113" t="s">
        <v>56</v>
      </c>
      <c r="AA5" s="24" t="s">
        <v>35</v>
      </c>
      <c r="AB5" s="24" t="s">
        <v>36</v>
      </c>
      <c r="AC5" s="24" t="s">
        <v>447</v>
      </c>
      <c r="AD5" s="24" t="s">
        <v>37</v>
      </c>
      <c r="AE5" s="184" t="s">
        <v>52</v>
      </c>
      <c r="AF5" s="184" t="s">
        <v>586</v>
      </c>
      <c r="AG5" s="184" t="s">
        <v>1516</v>
      </c>
      <c r="AH5" s="24" t="s">
        <v>623</v>
      </c>
      <c r="AI5" s="24" t="s">
        <v>45</v>
      </c>
      <c r="AJ5" s="24" t="s">
        <v>38</v>
      </c>
      <c r="AK5" s="24" t="s">
        <v>39</v>
      </c>
      <c r="AL5" s="24" t="s">
        <v>44</v>
      </c>
      <c r="AM5" s="25" t="s">
        <v>43</v>
      </c>
      <c r="AN5" s="25" t="s">
        <v>1517</v>
      </c>
      <c r="AO5" s="25" t="s">
        <v>1518</v>
      </c>
      <c r="AP5" s="25" t="s">
        <v>1514</v>
      </c>
      <c r="AQ5" s="25" t="s">
        <v>1515</v>
      </c>
      <c r="AR5" s="36" t="s">
        <v>1519</v>
      </c>
      <c r="AS5" s="27" t="s">
        <v>1520</v>
      </c>
      <c r="AT5" s="27" t="s">
        <v>1521</v>
      </c>
      <c r="AU5" s="27" t="s">
        <v>1522</v>
      </c>
      <c r="AV5" s="27" t="s">
        <v>1523</v>
      </c>
      <c r="AW5" s="26" t="s">
        <v>14</v>
      </c>
      <c r="AX5" s="27" t="s">
        <v>1524</v>
      </c>
      <c r="AY5" s="27" t="s">
        <v>1525</v>
      </c>
      <c r="AZ5" s="26" t="s">
        <v>56</v>
      </c>
      <c r="BA5" s="185" t="s">
        <v>413</v>
      </c>
      <c r="BB5" s="35" t="s">
        <v>14</v>
      </c>
      <c r="BC5" s="27" t="s">
        <v>1526</v>
      </c>
      <c r="BD5" s="37" t="s">
        <v>14</v>
      </c>
      <c r="BE5" s="27" t="s">
        <v>1527</v>
      </c>
      <c r="BF5" s="39" t="s">
        <v>66</v>
      </c>
      <c r="BG5" s="39" t="s">
        <v>67</v>
      </c>
    </row>
    <row r="6" spans="1:59" ht="12.5" x14ac:dyDescent="0.25">
      <c r="A6" s="151" t="s">
        <v>1528</v>
      </c>
      <c r="B6" s="42" t="s">
        <v>428</v>
      </c>
      <c r="C6" s="42" t="s">
        <v>429</v>
      </c>
      <c r="D6" s="42" t="s">
        <v>430</v>
      </c>
      <c r="E6" s="42" t="s">
        <v>1529</v>
      </c>
      <c r="F6" s="42" t="s">
        <v>1530</v>
      </c>
      <c r="G6" s="42" t="s">
        <v>1497</v>
      </c>
      <c r="H6" s="42" t="s">
        <v>685</v>
      </c>
      <c r="I6" s="42" t="s">
        <v>1531</v>
      </c>
      <c r="J6" s="42" t="s">
        <v>431</v>
      </c>
      <c r="K6" s="42" t="s">
        <v>1532</v>
      </c>
      <c r="L6" s="42" t="s">
        <v>1533</v>
      </c>
      <c r="M6" s="42" t="s">
        <v>1534</v>
      </c>
      <c r="N6" s="40" t="s">
        <v>1535</v>
      </c>
      <c r="O6" s="42" t="s">
        <v>684</v>
      </c>
      <c r="P6" s="154" t="s">
        <v>82</v>
      </c>
      <c r="Q6" s="154" t="s">
        <v>91</v>
      </c>
      <c r="R6" s="154" t="s">
        <v>1536</v>
      </c>
      <c r="S6" s="154" t="s">
        <v>83</v>
      </c>
      <c r="T6" s="154" t="s">
        <v>1537</v>
      </c>
      <c r="U6" s="154" t="s">
        <v>92</v>
      </c>
      <c r="V6" s="154" t="s">
        <v>1538</v>
      </c>
      <c r="W6" s="154" t="s">
        <v>1539</v>
      </c>
      <c r="X6" s="154" t="s">
        <v>1540</v>
      </c>
      <c r="Y6" s="154" t="s">
        <v>1541</v>
      </c>
      <c r="Z6" s="42" t="s">
        <v>84</v>
      </c>
      <c r="AA6" s="42" t="s">
        <v>678</v>
      </c>
      <c r="AB6" s="42" t="s">
        <v>69</v>
      </c>
      <c r="AC6" s="42" t="s">
        <v>466</v>
      </c>
      <c r="AD6" s="42" t="s">
        <v>70</v>
      </c>
      <c r="AE6" s="42" t="s">
        <v>75</v>
      </c>
      <c r="AF6" s="42" t="s">
        <v>680</v>
      </c>
      <c r="AG6" s="40" t="s">
        <v>1516</v>
      </c>
      <c r="AH6" s="40" t="s">
        <v>682</v>
      </c>
      <c r="AI6" s="40" t="s">
        <v>90</v>
      </c>
      <c r="AJ6" s="42" t="s">
        <v>88</v>
      </c>
      <c r="AK6" s="42" t="s">
        <v>89</v>
      </c>
      <c r="AL6" s="42" t="s">
        <v>681</v>
      </c>
      <c r="AM6" s="154" t="s">
        <v>71</v>
      </c>
      <c r="AN6" s="154" t="s">
        <v>1542</v>
      </c>
      <c r="AO6" s="154" t="s">
        <v>1543</v>
      </c>
      <c r="AP6" s="154" t="s">
        <v>1544</v>
      </c>
      <c r="AQ6" s="154" t="s">
        <v>1545</v>
      </c>
      <c r="AR6" s="154" t="s">
        <v>1546</v>
      </c>
      <c r="AS6" s="153" t="s">
        <v>1547</v>
      </c>
      <c r="AT6" s="153" t="s">
        <v>1548</v>
      </c>
      <c r="AU6" s="153" t="s">
        <v>1549</v>
      </c>
      <c r="AV6" s="40" t="s">
        <v>1550</v>
      </c>
      <c r="AW6" s="153" t="s">
        <v>79</v>
      </c>
      <c r="AX6" s="153" t="s">
        <v>1551</v>
      </c>
      <c r="AY6" s="153" t="s">
        <v>1552</v>
      </c>
      <c r="AZ6" s="153" t="s">
        <v>81</v>
      </c>
      <c r="BA6" s="42" t="s">
        <v>1553</v>
      </c>
      <c r="BB6" s="154" t="s">
        <v>86</v>
      </c>
      <c r="BC6" s="154" t="s">
        <v>1554</v>
      </c>
      <c r="BD6" s="46" t="s">
        <v>87</v>
      </c>
      <c r="BE6" s="46" t="s">
        <v>1555</v>
      </c>
      <c r="BF6" s="2"/>
      <c r="BG6" s="2"/>
    </row>
    <row r="7" spans="1:59" ht="12.5" x14ac:dyDescent="0.25">
      <c r="A7" s="151" t="s">
        <v>1528</v>
      </c>
      <c r="B7" s="42" t="s">
        <v>428</v>
      </c>
      <c r="C7" s="42" t="s">
        <v>429</v>
      </c>
      <c r="D7" s="42" t="s">
        <v>430</v>
      </c>
      <c r="E7" s="42" t="s">
        <v>1529</v>
      </c>
      <c r="F7" s="42" t="s">
        <v>1530</v>
      </c>
      <c r="G7" s="42" t="s">
        <v>1497</v>
      </c>
      <c r="H7" s="42" t="s">
        <v>685</v>
      </c>
      <c r="I7" s="42" t="s">
        <v>1531</v>
      </c>
      <c r="J7" s="42" t="s">
        <v>431</v>
      </c>
      <c r="K7" s="42" t="s">
        <v>1532</v>
      </c>
      <c r="L7" s="42" t="s">
        <v>1533</v>
      </c>
      <c r="M7" s="42" t="s">
        <v>1534</v>
      </c>
      <c r="N7" s="42" t="s">
        <v>1535</v>
      </c>
      <c r="O7" s="42" t="s">
        <v>684</v>
      </c>
      <c r="P7" s="154" t="s">
        <v>82</v>
      </c>
      <c r="Q7" s="154" t="s">
        <v>91</v>
      </c>
      <c r="R7" s="154" t="s">
        <v>1536</v>
      </c>
      <c r="S7" s="154" t="s">
        <v>83</v>
      </c>
      <c r="T7" s="154" t="s">
        <v>1537</v>
      </c>
      <c r="U7" s="154" t="s">
        <v>92</v>
      </c>
      <c r="V7" s="154" t="s">
        <v>1538</v>
      </c>
      <c r="W7" s="154" t="s">
        <v>1539</v>
      </c>
      <c r="X7" s="154" t="s">
        <v>1540</v>
      </c>
      <c r="Y7" s="154" t="s">
        <v>1541</v>
      </c>
      <c r="Z7" s="42" t="s">
        <v>84</v>
      </c>
      <c r="AA7" s="42" t="s">
        <v>678</v>
      </c>
      <c r="AB7" s="42" t="s">
        <v>69</v>
      </c>
      <c r="AC7" s="42" t="s">
        <v>466</v>
      </c>
      <c r="AD7" s="42" t="s">
        <v>70</v>
      </c>
      <c r="AE7" s="42" t="s">
        <v>75</v>
      </c>
      <c r="AF7" s="42" t="s">
        <v>680</v>
      </c>
      <c r="AG7" s="42" t="s">
        <v>1556</v>
      </c>
      <c r="AH7" s="42" t="s">
        <v>677</v>
      </c>
      <c r="AI7" s="42" t="s">
        <v>90</v>
      </c>
      <c r="AJ7" s="42" t="s">
        <v>88</v>
      </c>
      <c r="AK7" s="42" t="s">
        <v>89</v>
      </c>
      <c r="AL7" s="42" t="s">
        <v>681</v>
      </c>
      <c r="AM7" s="154" t="s">
        <v>71</v>
      </c>
      <c r="AN7" s="154" t="s">
        <v>1542</v>
      </c>
      <c r="AO7" s="154" t="s">
        <v>1543</v>
      </c>
      <c r="AP7" s="154" t="s">
        <v>1544</v>
      </c>
      <c r="AQ7" s="154" t="s">
        <v>1545</v>
      </c>
      <c r="AR7" s="154" t="s">
        <v>1546</v>
      </c>
      <c r="AS7" s="153" t="s">
        <v>1547</v>
      </c>
      <c r="AT7" s="153" t="s">
        <v>1548</v>
      </c>
      <c r="AU7" s="153" t="s">
        <v>1549</v>
      </c>
      <c r="AV7" s="153" t="s">
        <v>1550</v>
      </c>
      <c r="AW7" s="153" t="s">
        <v>79</v>
      </c>
      <c r="AX7" s="153" t="s">
        <v>1551</v>
      </c>
      <c r="AY7" s="153" t="s">
        <v>1557</v>
      </c>
      <c r="AZ7" s="153" t="s">
        <v>81</v>
      </c>
      <c r="BA7" s="42" t="s">
        <v>1553</v>
      </c>
      <c r="BB7" s="154" t="s">
        <v>86</v>
      </c>
      <c r="BC7" s="154" t="s">
        <v>1554</v>
      </c>
      <c r="BD7" s="46" t="s">
        <v>87</v>
      </c>
      <c r="BE7" s="46" t="s">
        <v>1555</v>
      </c>
      <c r="BF7" s="2"/>
      <c r="BG7" s="2"/>
    </row>
    <row r="8" spans="1:59" ht="12.5" x14ac:dyDescent="0.25">
      <c r="A8" s="186">
        <v>46054</v>
      </c>
      <c r="B8" s="43" t="s">
        <v>103</v>
      </c>
      <c r="C8" s="43" t="s">
        <v>107</v>
      </c>
      <c r="D8" s="43" t="s">
        <v>105</v>
      </c>
      <c r="E8" s="43">
        <v>3050535</v>
      </c>
      <c r="F8" s="43" t="s">
        <v>1562</v>
      </c>
      <c r="G8" s="43" t="s">
        <v>121</v>
      </c>
      <c r="H8" s="43" t="s">
        <v>121</v>
      </c>
      <c r="I8" s="43"/>
      <c r="J8" s="42" t="s">
        <v>471</v>
      </c>
      <c r="K8" s="43"/>
      <c r="L8" s="42" t="s">
        <v>1558</v>
      </c>
      <c r="M8" s="42" t="s">
        <v>687</v>
      </c>
      <c r="N8" s="43"/>
      <c r="O8" s="45" t="s">
        <v>111</v>
      </c>
      <c r="P8" s="13">
        <v>2687841.46</v>
      </c>
      <c r="Q8" s="13"/>
      <c r="R8" s="13"/>
      <c r="S8" s="13"/>
      <c r="T8" s="13" t="s">
        <v>111</v>
      </c>
      <c r="U8" s="13">
        <v>1624732.97</v>
      </c>
      <c r="V8" s="13">
        <v>39.549999999999997</v>
      </c>
      <c r="W8" s="13">
        <v>0</v>
      </c>
      <c r="X8" s="13"/>
      <c r="Y8" s="13"/>
      <c r="Z8" s="45"/>
      <c r="AA8" s="42" t="s">
        <v>107</v>
      </c>
      <c r="AB8" s="42" t="s">
        <v>436</v>
      </c>
      <c r="AC8" s="42" t="s">
        <v>107</v>
      </c>
      <c r="AD8" s="45" t="s">
        <v>436</v>
      </c>
      <c r="AE8" s="45">
        <v>1</v>
      </c>
      <c r="AF8" s="45" t="s">
        <v>687</v>
      </c>
      <c r="AG8" s="45" t="s">
        <v>723</v>
      </c>
      <c r="AH8" s="45" t="s">
        <v>93</v>
      </c>
      <c r="AI8" s="45" t="s">
        <v>111</v>
      </c>
      <c r="AJ8" s="45">
        <v>2687841.46</v>
      </c>
      <c r="AK8" s="45">
        <v>2687841.46</v>
      </c>
      <c r="AL8" s="45" t="s">
        <v>111</v>
      </c>
      <c r="AM8" s="13">
        <v>2687841.46</v>
      </c>
      <c r="AN8" s="13"/>
      <c r="AO8" s="13"/>
      <c r="AP8" s="13"/>
      <c r="AQ8" s="13"/>
      <c r="AR8" s="13" t="s">
        <v>99</v>
      </c>
      <c r="AS8" s="48">
        <v>0</v>
      </c>
      <c r="AT8" s="48">
        <v>0</v>
      </c>
      <c r="AU8" s="48"/>
      <c r="AV8" s="48" t="s">
        <v>1559</v>
      </c>
      <c r="AW8" s="48">
        <v>2687841.45</v>
      </c>
      <c r="AX8" s="48">
        <v>0.01</v>
      </c>
      <c r="AY8" s="48" t="s">
        <v>1560</v>
      </c>
      <c r="AZ8" s="48"/>
      <c r="BA8" s="45" t="s">
        <v>16</v>
      </c>
      <c r="BB8" s="13"/>
      <c r="BC8" s="13"/>
      <c r="BD8" s="12">
        <v>1624732.96</v>
      </c>
      <c r="BE8" s="12">
        <v>1.0000000009313226E-2</v>
      </c>
      <c r="BF8" s="2"/>
      <c r="BG8" s="2"/>
    </row>
    <row r="9" spans="1:59" ht="12.5" x14ac:dyDescent="0.25">
      <c r="A9" s="186">
        <v>46054</v>
      </c>
      <c r="B9" s="43" t="s">
        <v>103</v>
      </c>
      <c r="C9" s="43" t="s">
        <v>107</v>
      </c>
      <c r="D9" s="43" t="s">
        <v>105</v>
      </c>
      <c r="E9" s="43">
        <v>3050535</v>
      </c>
      <c r="F9" s="43" t="s">
        <v>1562</v>
      </c>
      <c r="G9" s="43" t="s">
        <v>113</v>
      </c>
      <c r="H9" s="43" t="s">
        <v>113</v>
      </c>
      <c r="I9" s="43"/>
      <c r="J9" s="42" t="s">
        <v>468</v>
      </c>
      <c r="K9" s="43"/>
      <c r="L9" s="42" t="s">
        <v>1558</v>
      </c>
      <c r="M9" s="42" t="s">
        <v>687</v>
      </c>
      <c r="N9" s="43"/>
      <c r="O9" s="45" t="s">
        <v>111</v>
      </c>
      <c r="P9" s="13">
        <v>3855555.79</v>
      </c>
      <c r="Q9" s="13"/>
      <c r="R9" s="13"/>
      <c r="S9" s="13"/>
      <c r="T9" s="13" t="s">
        <v>111</v>
      </c>
      <c r="U9" s="13">
        <v>2330587.09</v>
      </c>
      <c r="V9" s="13">
        <v>39.549999999999997</v>
      </c>
      <c r="W9" s="13">
        <v>0</v>
      </c>
      <c r="X9" s="13"/>
      <c r="Y9" s="13"/>
      <c r="Z9" s="45"/>
      <c r="AA9" s="42" t="s">
        <v>107</v>
      </c>
      <c r="AB9" s="42" t="s">
        <v>436</v>
      </c>
      <c r="AC9" s="42" t="s">
        <v>107</v>
      </c>
      <c r="AD9" s="45" t="s">
        <v>436</v>
      </c>
      <c r="AE9" s="45">
        <v>1</v>
      </c>
      <c r="AF9" s="45" t="s">
        <v>687</v>
      </c>
      <c r="AG9" s="45" t="s">
        <v>723</v>
      </c>
      <c r="AH9" s="45" t="s">
        <v>93</v>
      </c>
      <c r="AI9" s="45" t="s">
        <v>111</v>
      </c>
      <c r="AJ9" s="45">
        <v>3855555.79</v>
      </c>
      <c r="AK9" s="45">
        <v>3855555.79</v>
      </c>
      <c r="AL9" s="45" t="s">
        <v>111</v>
      </c>
      <c r="AM9" s="13">
        <v>3855555.79</v>
      </c>
      <c r="AN9" s="13"/>
      <c r="AO9" s="13"/>
      <c r="AP9" s="13"/>
      <c r="AQ9" s="13"/>
      <c r="AR9" s="13" t="s">
        <v>99</v>
      </c>
      <c r="AS9" s="48">
        <v>0</v>
      </c>
      <c r="AT9" s="48">
        <v>0</v>
      </c>
      <c r="AU9" s="48"/>
      <c r="AV9" s="48" t="s">
        <v>1559</v>
      </c>
      <c r="AW9" s="48">
        <v>3855555.78</v>
      </c>
      <c r="AX9" s="48">
        <v>0.01</v>
      </c>
      <c r="AY9" s="48" t="s">
        <v>1560</v>
      </c>
      <c r="AZ9" s="48"/>
      <c r="BA9" s="45" t="s">
        <v>16</v>
      </c>
      <c r="BB9" s="13"/>
      <c r="BC9" s="13"/>
      <c r="BD9" s="12">
        <v>2330587.08</v>
      </c>
      <c r="BE9" s="12">
        <v>9.9999997764825821E-3</v>
      </c>
      <c r="BF9" s="2"/>
      <c r="BG9" s="2"/>
    </row>
    <row r="10" spans="1:59" ht="12.5" x14ac:dyDescent="0.25">
      <c r="A10" s="186">
        <v>46054</v>
      </c>
      <c r="B10" s="43" t="s">
        <v>103</v>
      </c>
      <c r="C10" s="43" t="s">
        <v>107</v>
      </c>
      <c r="D10" s="43" t="s">
        <v>105</v>
      </c>
      <c r="E10" s="43">
        <v>3050535</v>
      </c>
      <c r="F10" s="43" t="s">
        <v>1562</v>
      </c>
      <c r="G10" s="43" t="s">
        <v>129</v>
      </c>
      <c r="H10" s="43" t="s">
        <v>129</v>
      </c>
      <c r="I10" s="43"/>
      <c r="J10" s="42" t="s">
        <v>473</v>
      </c>
      <c r="K10" s="43"/>
      <c r="L10" s="42" t="s">
        <v>1558</v>
      </c>
      <c r="M10" s="42" t="s">
        <v>687</v>
      </c>
      <c r="N10" s="43"/>
      <c r="O10" s="45" t="s">
        <v>111</v>
      </c>
      <c r="P10" s="13">
        <v>1269863.22</v>
      </c>
      <c r="Q10" s="13"/>
      <c r="R10" s="13"/>
      <c r="S10" s="13"/>
      <c r="T10" s="13" t="s">
        <v>111</v>
      </c>
      <c r="U10" s="13">
        <v>767600.57</v>
      </c>
      <c r="V10" s="13">
        <v>39.549999999999997</v>
      </c>
      <c r="W10" s="13">
        <v>0</v>
      </c>
      <c r="X10" s="13"/>
      <c r="Y10" s="13"/>
      <c r="Z10" s="45"/>
      <c r="AA10" s="42" t="s">
        <v>107</v>
      </c>
      <c r="AB10" s="42" t="s">
        <v>436</v>
      </c>
      <c r="AC10" s="42" t="s">
        <v>107</v>
      </c>
      <c r="AD10" s="45" t="s">
        <v>436</v>
      </c>
      <c r="AE10" s="45">
        <v>1</v>
      </c>
      <c r="AF10" s="45" t="s">
        <v>687</v>
      </c>
      <c r="AG10" s="45" t="s">
        <v>723</v>
      </c>
      <c r="AH10" s="45" t="s">
        <v>93</v>
      </c>
      <c r="AI10" s="45" t="s">
        <v>111</v>
      </c>
      <c r="AJ10" s="45">
        <v>1269863.22</v>
      </c>
      <c r="AK10" s="45">
        <v>1269863.22</v>
      </c>
      <c r="AL10" s="45" t="s">
        <v>111</v>
      </c>
      <c r="AM10" s="13">
        <v>1269863.22</v>
      </c>
      <c r="AN10" s="13"/>
      <c r="AO10" s="13"/>
      <c r="AP10" s="13"/>
      <c r="AQ10" s="13"/>
      <c r="AR10" s="13" t="s">
        <v>99</v>
      </c>
      <c r="AS10" s="48">
        <v>0</v>
      </c>
      <c r="AT10" s="48">
        <v>0</v>
      </c>
      <c r="AU10" s="48"/>
      <c r="AV10" s="48" t="s">
        <v>1559</v>
      </c>
      <c r="AW10" s="48">
        <v>1269863.23</v>
      </c>
      <c r="AX10" s="48">
        <v>-0.01</v>
      </c>
      <c r="AY10" s="48" t="s">
        <v>1560</v>
      </c>
      <c r="AZ10" s="48"/>
      <c r="BA10" s="45" t="s">
        <v>16</v>
      </c>
      <c r="BB10" s="13"/>
      <c r="BC10" s="13"/>
      <c r="BD10" s="12">
        <v>767600.57</v>
      </c>
      <c r="BE10" s="12">
        <v>0</v>
      </c>
      <c r="BF10" s="2"/>
      <c r="BG10" s="2"/>
    </row>
    <row r="11" spans="1:59" ht="12.5" x14ac:dyDescent="0.25">
      <c r="A11" s="186">
        <v>46054</v>
      </c>
      <c r="B11" s="43" t="s">
        <v>103</v>
      </c>
      <c r="C11" s="43" t="s">
        <v>107</v>
      </c>
      <c r="D11" s="43" t="s">
        <v>105</v>
      </c>
      <c r="E11" s="43">
        <v>3050535</v>
      </c>
      <c r="F11" s="43" t="s">
        <v>1562</v>
      </c>
      <c r="G11" s="43" t="s">
        <v>137</v>
      </c>
      <c r="H11" s="43" t="s">
        <v>137</v>
      </c>
      <c r="I11" s="43"/>
      <c r="J11" s="42" t="s">
        <v>475</v>
      </c>
      <c r="K11" s="43"/>
      <c r="L11" s="42" t="s">
        <v>1558</v>
      </c>
      <c r="M11" s="42" t="s">
        <v>687</v>
      </c>
      <c r="N11" s="43"/>
      <c r="O11" s="45" t="s">
        <v>111</v>
      </c>
      <c r="P11" s="13">
        <v>81926.990000000005</v>
      </c>
      <c r="Q11" s="13"/>
      <c r="R11" s="13"/>
      <c r="S11" s="13"/>
      <c r="T11" s="13" t="s">
        <v>111</v>
      </c>
      <c r="U11" s="13">
        <v>49522.81</v>
      </c>
      <c r="V11" s="13">
        <v>39.549999999999997</v>
      </c>
      <c r="W11" s="13">
        <v>0</v>
      </c>
      <c r="X11" s="13"/>
      <c r="Y11" s="13"/>
      <c r="Z11" s="45"/>
      <c r="AA11" s="42" t="s">
        <v>107</v>
      </c>
      <c r="AB11" s="42" t="s">
        <v>436</v>
      </c>
      <c r="AC11" s="42" t="s">
        <v>107</v>
      </c>
      <c r="AD11" s="45" t="s">
        <v>436</v>
      </c>
      <c r="AE11" s="45">
        <v>1</v>
      </c>
      <c r="AF11" s="45" t="s">
        <v>687</v>
      </c>
      <c r="AG11" s="45" t="s">
        <v>723</v>
      </c>
      <c r="AH11" s="45" t="s">
        <v>93</v>
      </c>
      <c r="AI11" s="45" t="s">
        <v>111</v>
      </c>
      <c r="AJ11" s="45">
        <v>81926.990000000005</v>
      </c>
      <c r="AK11" s="45">
        <v>81926.990000000005</v>
      </c>
      <c r="AL11" s="45" t="s">
        <v>111</v>
      </c>
      <c r="AM11" s="13">
        <v>81926.990000000005</v>
      </c>
      <c r="AN11" s="13"/>
      <c r="AO11" s="13"/>
      <c r="AP11" s="13"/>
      <c r="AQ11" s="13"/>
      <c r="AR11" s="13" t="s">
        <v>99</v>
      </c>
      <c r="AS11" s="48">
        <v>0</v>
      </c>
      <c r="AT11" s="48">
        <v>0</v>
      </c>
      <c r="AU11" s="48"/>
      <c r="AV11" s="48" t="s">
        <v>1559</v>
      </c>
      <c r="AW11" s="48">
        <v>81926.98</v>
      </c>
      <c r="AX11" s="48">
        <v>0.01</v>
      </c>
      <c r="AY11" s="48" t="s">
        <v>1560</v>
      </c>
      <c r="AZ11" s="48"/>
      <c r="BA11" s="45" t="s">
        <v>16</v>
      </c>
      <c r="BB11" s="13"/>
      <c r="BC11" s="13"/>
      <c r="BD11" s="12">
        <v>49522.81</v>
      </c>
      <c r="BE11" s="12">
        <v>0</v>
      </c>
      <c r="BF11" s="2"/>
      <c r="BG11" s="2"/>
    </row>
    <row r="12" spans="1:59" ht="12.5" x14ac:dyDescent="0.25">
      <c r="A12" s="186">
        <v>46054</v>
      </c>
      <c r="B12" s="43" t="s">
        <v>103</v>
      </c>
      <c r="C12" s="43" t="s">
        <v>107</v>
      </c>
      <c r="D12" s="43" t="s">
        <v>105</v>
      </c>
      <c r="E12" s="43">
        <v>3050535</v>
      </c>
      <c r="F12" s="43" t="s">
        <v>1562</v>
      </c>
      <c r="G12" s="43" t="s">
        <v>279</v>
      </c>
      <c r="H12" s="43" t="s">
        <v>279</v>
      </c>
      <c r="I12" s="43"/>
      <c r="J12" s="42" t="s">
        <v>516</v>
      </c>
      <c r="K12" s="43"/>
      <c r="L12" s="42" t="s">
        <v>1558</v>
      </c>
      <c r="M12" s="42" t="s">
        <v>687</v>
      </c>
      <c r="N12" s="43"/>
      <c r="O12" s="45" t="s">
        <v>111</v>
      </c>
      <c r="P12" s="13">
        <v>4109964.98</v>
      </c>
      <c r="Q12" s="13"/>
      <c r="R12" s="13"/>
      <c r="S12" s="13"/>
      <c r="T12" s="13" t="s">
        <v>111</v>
      </c>
      <c r="U12" s="13">
        <v>2484371.08</v>
      </c>
      <c r="V12" s="13">
        <v>39.549999999999997</v>
      </c>
      <c r="W12" s="13">
        <v>0</v>
      </c>
      <c r="X12" s="13"/>
      <c r="Y12" s="13"/>
      <c r="Z12" s="45"/>
      <c r="AA12" s="42" t="s">
        <v>107</v>
      </c>
      <c r="AB12" s="42" t="s">
        <v>436</v>
      </c>
      <c r="AC12" s="42" t="s">
        <v>107</v>
      </c>
      <c r="AD12" s="45" t="s">
        <v>436</v>
      </c>
      <c r="AE12" s="45">
        <v>1</v>
      </c>
      <c r="AF12" s="45" t="s">
        <v>687</v>
      </c>
      <c r="AG12" s="45" t="s">
        <v>708</v>
      </c>
      <c r="AH12" s="45" t="s">
        <v>93</v>
      </c>
      <c r="AI12" s="45" t="s">
        <v>111</v>
      </c>
      <c r="AJ12" s="45">
        <v>4109964.98</v>
      </c>
      <c r="AK12" s="45">
        <v>4109964.98</v>
      </c>
      <c r="AL12" s="45" t="s">
        <v>111</v>
      </c>
      <c r="AM12" s="13">
        <v>4109964.98</v>
      </c>
      <c r="AN12" s="13"/>
      <c r="AO12" s="13"/>
      <c r="AP12" s="13"/>
      <c r="AQ12" s="13"/>
      <c r="AR12" s="13" t="s">
        <v>99</v>
      </c>
      <c r="AS12" s="48">
        <v>0</v>
      </c>
      <c r="AT12" s="48">
        <v>0</v>
      </c>
      <c r="AU12" s="48"/>
      <c r="AV12" s="48" t="s">
        <v>1559</v>
      </c>
      <c r="AW12" s="48">
        <v>4109964.98</v>
      </c>
      <c r="AX12" s="48">
        <v>0</v>
      </c>
      <c r="AY12" s="48" t="s">
        <v>1560</v>
      </c>
      <c r="AZ12" s="48"/>
      <c r="BA12" s="45" t="s">
        <v>16</v>
      </c>
      <c r="BB12" s="13"/>
      <c r="BC12" s="13"/>
      <c r="BD12" s="12">
        <v>2484371.08</v>
      </c>
      <c r="BE12" s="12">
        <v>0</v>
      </c>
      <c r="BF12" s="2"/>
      <c r="BG12" s="2"/>
    </row>
    <row r="13" spans="1:59" ht="12.5" x14ac:dyDescent="0.25">
      <c r="A13" s="186">
        <v>46054</v>
      </c>
      <c r="B13" s="43" t="s">
        <v>103</v>
      </c>
      <c r="C13" s="43" t="s">
        <v>107</v>
      </c>
      <c r="D13" s="43" t="s">
        <v>105</v>
      </c>
      <c r="E13" s="43">
        <v>3050535</v>
      </c>
      <c r="F13" s="43" t="s">
        <v>1562</v>
      </c>
      <c r="G13" s="43" t="s">
        <v>350</v>
      </c>
      <c r="H13" s="43" t="s">
        <v>350</v>
      </c>
      <c r="I13" s="43"/>
      <c r="J13" s="42" t="s">
        <v>537</v>
      </c>
      <c r="K13" s="43"/>
      <c r="L13" s="42" t="s">
        <v>1558</v>
      </c>
      <c r="M13" s="42" t="s">
        <v>687</v>
      </c>
      <c r="N13" s="43"/>
      <c r="O13" s="45" t="s">
        <v>111</v>
      </c>
      <c r="P13" s="13">
        <v>4558905.76</v>
      </c>
      <c r="Q13" s="13"/>
      <c r="R13" s="13"/>
      <c r="S13" s="13"/>
      <c r="T13" s="13" t="s">
        <v>111</v>
      </c>
      <c r="U13" s="13">
        <v>3555946.49</v>
      </c>
      <c r="V13" s="13">
        <v>22</v>
      </c>
      <c r="W13" s="13">
        <v>0</v>
      </c>
      <c r="X13" s="13"/>
      <c r="Y13" s="13"/>
      <c r="Z13" s="45"/>
      <c r="AA13" s="42" t="s">
        <v>107</v>
      </c>
      <c r="AB13" s="42" t="s">
        <v>436</v>
      </c>
      <c r="AC13" s="42" t="s">
        <v>107</v>
      </c>
      <c r="AD13" s="45" t="s">
        <v>436</v>
      </c>
      <c r="AE13" s="45">
        <v>1</v>
      </c>
      <c r="AF13" s="45" t="s">
        <v>687</v>
      </c>
      <c r="AG13" s="45" t="s">
        <v>708</v>
      </c>
      <c r="AH13" s="45" t="s">
        <v>93</v>
      </c>
      <c r="AI13" s="45" t="s">
        <v>111</v>
      </c>
      <c r="AJ13" s="45">
        <v>4558905.76</v>
      </c>
      <c r="AK13" s="45">
        <v>4558905.76</v>
      </c>
      <c r="AL13" s="45" t="s">
        <v>111</v>
      </c>
      <c r="AM13" s="13">
        <v>4558905.76</v>
      </c>
      <c r="AN13" s="13"/>
      <c r="AO13" s="13"/>
      <c r="AP13" s="13"/>
      <c r="AQ13" s="13"/>
      <c r="AR13" s="13" t="s">
        <v>99</v>
      </c>
      <c r="AS13" s="48">
        <v>0</v>
      </c>
      <c r="AT13" s="48">
        <v>0</v>
      </c>
      <c r="AU13" s="48"/>
      <c r="AV13" s="48" t="s">
        <v>1559</v>
      </c>
      <c r="AW13" s="48">
        <v>4558905.76</v>
      </c>
      <c r="AX13" s="48">
        <v>0</v>
      </c>
      <c r="AY13" s="48" t="s">
        <v>1560</v>
      </c>
      <c r="AZ13" s="48"/>
      <c r="BA13" s="45" t="s">
        <v>16</v>
      </c>
      <c r="BB13" s="13"/>
      <c r="BC13" s="13"/>
      <c r="BD13" s="12">
        <v>3555946.49</v>
      </c>
      <c r="BE13" s="12">
        <v>0</v>
      </c>
      <c r="BF13" s="2"/>
      <c r="BG13" s="2"/>
    </row>
    <row r="14" spans="1:59" ht="12.5" x14ac:dyDescent="0.25">
      <c r="A14" s="186">
        <v>46054</v>
      </c>
      <c r="B14" s="43" t="s">
        <v>103</v>
      </c>
      <c r="C14" s="43" t="s">
        <v>107</v>
      </c>
      <c r="D14" s="43" t="s">
        <v>105</v>
      </c>
      <c r="E14" s="43">
        <v>3050535</v>
      </c>
      <c r="F14" s="43" t="s">
        <v>1562</v>
      </c>
      <c r="G14" s="43" t="s">
        <v>197</v>
      </c>
      <c r="H14" s="43" t="s">
        <v>197</v>
      </c>
      <c r="I14" s="43"/>
      <c r="J14" s="42" t="s">
        <v>493</v>
      </c>
      <c r="K14" s="43"/>
      <c r="L14" s="42" t="s">
        <v>1558</v>
      </c>
      <c r="M14" s="42" t="s">
        <v>687</v>
      </c>
      <c r="N14" s="43"/>
      <c r="O14" s="45" t="s">
        <v>111</v>
      </c>
      <c r="P14" s="13">
        <v>9005104.1400000006</v>
      </c>
      <c r="Q14" s="13"/>
      <c r="R14" s="13"/>
      <c r="S14" s="13"/>
      <c r="T14" s="13" t="s">
        <v>111</v>
      </c>
      <c r="U14" s="13">
        <v>5443360.3200000003</v>
      </c>
      <c r="V14" s="13">
        <v>39.549999999999997</v>
      </c>
      <c r="W14" s="13">
        <v>0</v>
      </c>
      <c r="X14" s="13"/>
      <c r="Y14" s="13"/>
      <c r="Z14" s="45"/>
      <c r="AA14" s="42" t="s">
        <v>107</v>
      </c>
      <c r="AB14" s="42" t="s">
        <v>436</v>
      </c>
      <c r="AC14" s="42" t="s">
        <v>107</v>
      </c>
      <c r="AD14" s="45" t="s">
        <v>436</v>
      </c>
      <c r="AE14" s="45">
        <v>1</v>
      </c>
      <c r="AF14" s="45" t="s">
        <v>687</v>
      </c>
      <c r="AG14" s="45" t="s">
        <v>708</v>
      </c>
      <c r="AH14" s="45" t="s">
        <v>93</v>
      </c>
      <c r="AI14" s="45" t="s">
        <v>111</v>
      </c>
      <c r="AJ14" s="45">
        <v>9005104.1400000006</v>
      </c>
      <c r="AK14" s="45">
        <v>9005104.1400000006</v>
      </c>
      <c r="AL14" s="45" t="s">
        <v>111</v>
      </c>
      <c r="AM14" s="13">
        <v>9005104.1400000006</v>
      </c>
      <c r="AN14" s="13"/>
      <c r="AO14" s="13"/>
      <c r="AP14" s="13"/>
      <c r="AQ14" s="13"/>
      <c r="AR14" s="13" t="s">
        <v>99</v>
      </c>
      <c r="AS14" s="48">
        <v>0</v>
      </c>
      <c r="AT14" s="48">
        <v>0</v>
      </c>
      <c r="AU14" s="48"/>
      <c r="AV14" s="48" t="s">
        <v>1559</v>
      </c>
      <c r="AW14" s="48">
        <v>9005104.1400000006</v>
      </c>
      <c r="AX14" s="48">
        <v>0</v>
      </c>
      <c r="AY14" s="48" t="s">
        <v>1560</v>
      </c>
      <c r="AZ14" s="48"/>
      <c r="BA14" s="45" t="s">
        <v>16</v>
      </c>
      <c r="BB14" s="13"/>
      <c r="BC14" s="13"/>
      <c r="BD14" s="12">
        <v>5443360.3300000001</v>
      </c>
      <c r="BE14" s="12">
        <v>-9.9999997764825821E-3</v>
      </c>
      <c r="BF14" s="2"/>
      <c r="BG14" s="2"/>
    </row>
    <row r="15" spans="1:59" ht="12.5" x14ac:dyDescent="0.25">
      <c r="A15" s="186">
        <v>46054</v>
      </c>
      <c r="B15" s="43" t="s">
        <v>103</v>
      </c>
      <c r="C15" s="43" t="s">
        <v>107</v>
      </c>
      <c r="D15" s="43" t="s">
        <v>105</v>
      </c>
      <c r="E15" s="43">
        <v>3050535</v>
      </c>
      <c r="F15" s="43" t="s">
        <v>1562</v>
      </c>
      <c r="G15" s="43" t="s">
        <v>224</v>
      </c>
      <c r="H15" s="43" t="s">
        <v>224</v>
      </c>
      <c r="I15" s="43"/>
      <c r="J15" s="42" t="s">
        <v>500</v>
      </c>
      <c r="K15" s="43"/>
      <c r="L15" s="42" t="s">
        <v>1558</v>
      </c>
      <c r="M15" s="42" t="s">
        <v>687</v>
      </c>
      <c r="N15" s="43"/>
      <c r="O15" s="45" t="s">
        <v>111</v>
      </c>
      <c r="P15" s="13">
        <v>2414312.9700000002</v>
      </c>
      <c r="Q15" s="13"/>
      <c r="R15" s="13"/>
      <c r="S15" s="13"/>
      <c r="T15" s="13" t="s">
        <v>111</v>
      </c>
      <c r="U15" s="13">
        <v>1459391.84</v>
      </c>
      <c r="V15" s="13">
        <v>39.549999999999997</v>
      </c>
      <c r="W15" s="13">
        <v>0</v>
      </c>
      <c r="X15" s="13"/>
      <c r="Y15" s="13"/>
      <c r="Z15" s="45"/>
      <c r="AA15" s="42" t="s">
        <v>107</v>
      </c>
      <c r="AB15" s="42" t="s">
        <v>436</v>
      </c>
      <c r="AC15" s="42" t="s">
        <v>107</v>
      </c>
      <c r="AD15" s="45" t="s">
        <v>436</v>
      </c>
      <c r="AE15" s="45">
        <v>1</v>
      </c>
      <c r="AF15" s="45" t="s">
        <v>687</v>
      </c>
      <c r="AG15" s="45" t="s">
        <v>708</v>
      </c>
      <c r="AH15" s="45" t="s">
        <v>93</v>
      </c>
      <c r="AI15" s="45" t="s">
        <v>111</v>
      </c>
      <c r="AJ15" s="45">
        <v>2414312.9700000002</v>
      </c>
      <c r="AK15" s="45">
        <v>2414312.9700000002</v>
      </c>
      <c r="AL15" s="45" t="s">
        <v>111</v>
      </c>
      <c r="AM15" s="13">
        <v>2414312.9700000002</v>
      </c>
      <c r="AN15" s="13"/>
      <c r="AO15" s="13"/>
      <c r="AP15" s="13"/>
      <c r="AQ15" s="13"/>
      <c r="AR15" s="13" t="s">
        <v>99</v>
      </c>
      <c r="AS15" s="48">
        <v>0</v>
      </c>
      <c r="AT15" s="48">
        <v>0</v>
      </c>
      <c r="AU15" s="48"/>
      <c r="AV15" s="48" t="s">
        <v>1559</v>
      </c>
      <c r="AW15" s="48">
        <v>2414312.9700000002</v>
      </c>
      <c r="AX15" s="48">
        <v>0</v>
      </c>
      <c r="AY15" s="48" t="s">
        <v>1560</v>
      </c>
      <c r="AZ15" s="48"/>
      <c r="BA15" s="45" t="s">
        <v>16</v>
      </c>
      <c r="BB15" s="13"/>
      <c r="BC15" s="13"/>
      <c r="BD15" s="12">
        <v>1459391.83</v>
      </c>
      <c r="BE15" s="12">
        <v>1.0000000009313226E-2</v>
      </c>
      <c r="BF15" s="2"/>
      <c r="BG15" s="2"/>
    </row>
    <row r="16" spans="1:59" ht="12.5" x14ac:dyDescent="0.25">
      <c r="A16" s="186">
        <v>46054</v>
      </c>
      <c r="B16" s="43" t="s">
        <v>103</v>
      </c>
      <c r="C16" s="43" t="s">
        <v>107</v>
      </c>
      <c r="D16" s="43" t="s">
        <v>105</v>
      </c>
      <c r="E16" s="43">
        <v>3050535</v>
      </c>
      <c r="F16" s="43" t="s">
        <v>1562</v>
      </c>
      <c r="G16" s="43" t="s">
        <v>236</v>
      </c>
      <c r="H16" s="43" t="s">
        <v>236</v>
      </c>
      <c r="I16" s="43"/>
      <c r="J16" s="42" t="s">
        <v>504</v>
      </c>
      <c r="K16" s="43"/>
      <c r="L16" s="42" t="s">
        <v>1558</v>
      </c>
      <c r="M16" s="42" t="s">
        <v>687</v>
      </c>
      <c r="N16" s="43"/>
      <c r="O16" s="45" t="s">
        <v>111</v>
      </c>
      <c r="P16" s="13">
        <v>1699231.77</v>
      </c>
      <c r="Q16" s="13"/>
      <c r="R16" s="13"/>
      <c r="S16" s="13"/>
      <c r="T16" s="13" t="s">
        <v>111</v>
      </c>
      <c r="U16" s="13">
        <v>1027143.13</v>
      </c>
      <c r="V16" s="13">
        <v>39.549999999999997</v>
      </c>
      <c r="W16" s="13">
        <v>0</v>
      </c>
      <c r="X16" s="13"/>
      <c r="Y16" s="13"/>
      <c r="Z16" s="45"/>
      <c r="AA16" s="42" t="s">
        <v>107</v>
      </c>
      <c r="AB16" s="42" t="s">
        <v>436</v>
      </c>
      <c r="AC16" s="42" t="s">
        <v>107</v>
      </c>
      <c r="AD16" s="45" t="s">
        <v>436</v>
      </c>
      <c r="AE16" s="45">
        <v>1</v>
      </c>
      <c r="AF16" s="45" t="s">
        <v>687</v>
      </c>
      <c r="AG16" s="45" t="s">
        <v>708</v>
      </c>
      <c r="AH16" s="45" t="s">
        <v>93</v>
      </c>
      <c r="AI16" s="45" t="s">
        <v>111</v>
      </c>
      <c r="AJ16" s="45">
        <v>1699231.77</v>
      </c>
      <c r="AK16" s="45">
        <v>1699231.77</v>
      </c>
      <c r="AL16" s="45" t="s">
        <v>111</v>
      </c>
      <c r="AM16" s="13">
        <v>1699231.77</v>
      </c>
      <c r="AN16" s="13"/>
      <c r="AO16" s="13"/>
      <c r="AP16" s="13"/>
      <c r="AQ16" s="13"/>
      <c r="AR16" s="13" t="s">
        <v>99</v>
      </c>
      <c r="AS16" s="48">
        <v>0</v>
      </c>
      <c r="AT16" s="48">
        <v>0</v>
      </c>
      <c r="AU16" s="48"/>
      <c r="AV16" s="48" t="s">
        <v>1559</v>
      </c>
      <c r="AW16" s="48">
        <v>1699231.78</v>
      </c>
      <c r="AX16" s="48">
        <v>-0.01</v>
      </c>
      <c r="AY16" s="48" t="s">
        <v>1560</v>
      </c>
      <c r="AZ16" s="48"/>
      <c r="BA16" s="45" t="s">
        <v>16</v>
      </c>
      <c r="BB16" s="13"/>
      <c r="BC16" s="13"/>
      <c r="BD16" s="12">
        <v>1027143.13</v>
      </c>
      <c r="BE16" s="12">
        <v>0</v>
      </c>
      <c r="BF16" s="2"/>
      <c r="BG16" s="2"/>
    </row>
    <row r="17" spans="1:59" ht="12.5" x14ac:dyDescent="0.25">
      <c r="A17" s="186">
        <v>46054</v>
      </c>
      <c r="B17" s="43" t="s">
        <v>103</v>
      </c>
      <c r="C17" s="43" t="s">
        <v>107</v>
      </c>
      <c r="D17" s="43" t="s">
        <v>105</v>
      </c>
      <c r="E17" s="43">
        <v>3050535</v>
      </c>
      <c r="F17" s="43" t="s">
        <v>1562</v>
      </c>
      <c r="G17" s="43" t="s">
        <v>125</v>
      </c>
      <c r="H17" s="43" t="s">
        <v>125</v>
      </c>
      <c r="I17" s="43"/>
      <c r="J17" s="42" t="s">
        <v>472</v>
      </c>
      <c r="K17" s="43"/>
      <c r="L17" s="42" t="s">
        <v>1558</v>
      </c>
      <c r="M17" s="42" t="s">
        <v>687</v>
      </c>
      <c r="N17" s="43"/>
      <c r="O17" s="45" t="s">
        <v>111</v>
      </c>
      <c r="P17" s="13">
        <v>1055530.21</v>
      </c>
      <c r="Q17" s="13"/>
      <c r="R17" s="13"/>
      <c r="S17" s="13"/>
      <c r="T17" s="13" t="s">
        <v>111</v>
      </c>
      <c r="U17" s="13">
        <v>638041.63</v>
      </c>
      <c r="V17" s="13">
        <v>39.549999999999997</v>
      </c>
      <c r="W17" s="13">
        <v>0</v>
      </c>
      <c r="X17" s="13"/>
      <c r="Y17" s="13"/>
      <c r="Z17" s="45"/>
      <c r="AA17" s="42" t="s">
        <v>107</v>
      </c>
      <c r="AB17" s="42" t="s">
        <v>436</v>
      </c>
      <c r="AC17" s="42" t="s">
        <v>107</v>
      </c>
      <c r="AD17" s="45" t="s">
        <v>436</v>
      </c>
      <c r="AE17" s="45">
        <v>1</v>
      </c>
      <c r="AF17" s="45" t="s">
        <v>687</v>
      </c>
      <c r="AG17" s="45" t="s">
        <v>708</v>
      </c>
      <c r="AH17" s="45" t="s">
        <v>93</v>
      </c>
      <c r="AI17" s="45" t="s">
        <v>111</v>
      </c>
      <c r="AJ17" s="45">
        <v>1055530.21</v>
      </c>
      <c r="AK17" s="45">
        <v>1055530.21</v>
      </c>
      <c r="AL17" s="45" t="s">
        <v>111</v>
      </c>
      <c r="AM17" s="13">
        <v>1055530.21</v>
      </c>
      <c r="AN17" s="13"/>
      <c r="AO17" s="13"/>
      <c r="AP17" s="13"/>
      <c r="AQ17" s="13"/>
      <c r="AR17" s="13" t="s">
        <v>99</v>
      </c>
      <c r="AS17" s="48">
        <v>0</v>
      </c>
      <c r="AT17" s="48">
        <v>0</v>
      </c>
      <c r="AU17" s="48"/>
      <c r="AV17" s="48" t="s">
        <v>1559</v>
      </c>
      <c r="AW17" s="48">
        <v>1055530.2</v>
      </c>
      <c r="AX17" s="48">
        <v>0.01</v>
      </c>
      <c r="AY17" s="48" t="s">
        <v>1560</v>
      </c>
      <c r="AZ17" s="48"/>
      <c r="BA17" s="45" t="s">
        <v>16</v>
      </c>
      <c r="BB17" s="13"/>
      <c r="BC17" s="13"/>
      <c r="BD17" s="12">
        <v>638041.62</v>
      </c>
      <c r="BE17" s="12">
        <v>1.0000000009313226E-2</v>
      </c>
      <c r="BF17" s="2"/>
      <c r="BG17" s="2"/>
    </row>
    <row r="18" spans="1:59" ht="12.5" x14ac:dyDescent="0.25">
      <c r="A18" s="186">
        <v>46054</v>
      </c>
      <c r="B18" s="43" t="s">
        <v>103</v>
      </c>
      <c r="C18" s="43" t="s">
        <v>107</v>
      </c>
      <c r="D18" s="43" t="s">
        <v>105</v>
      </c>
      <c r="E18" s="43">
        <v>3050535</v>
      </c>
      <c r="F18" s="43" t="s">
        <v>1562</v>
      </c>
      <c r="G18" s="43" t="s">
        <v>397</v>
      </c>
      <c r="H18" s="43" t="s">
        <v>397</v>
      </c>
      <c r="I18" s="43"/>
      <c r="J18" s="42" t="s">
        <v>552</v>
      </c>
      <c r="K18" s="43"/>
      <c r="L18" s="42" t="s">
        <v>1558</v>
      </c>
      <c r="M18" s="42" t="s">
        <v>687</v>
      </c>
      <c r="N18" s="43"/>
      <c r="O18" s="45" t="s">
        <v>111</v>
      </c>
      <c r="P18" s="13">
        <v>1065199.8799999999</v>
      </c>
      <c r="Q18" s="13"/>
      <c r="R18" s="13"/>
      <c r="S18" s="13"/>
      <c r="T18" s="13" t="s">
        <v>111</v>
      </c>
      <c r="U18" s="13">
        <v>830855.91</v>
      </c>
      <c r="V18" s="13">
        <v>22</v>
      </c>
      <c r="W18" s="13">
        <v>0</v>
      </c>
      <c r="X18" s="13"/>
      <c r="Y18" s="13"/>
      <c r="Z18" s="45"/>
      <c r="AA18" s="42" t="s">
        <v>107</v>
      </c>
      <c r="AB18" s="42" t="s">
        <v>436</v>
      </c>
      <c r="AC18" s="42" t="s">
        <v>107</v>
      </c>
      <c r="AD18" s="45" t="s">
        <v>436</v>
      </c>
      <c r="AE18" s="45">
        <v>1</v>
      </c>
      <c r="AF18" s="45" t="s">
        <v>687</v>
      </c>
      <c r="AG18" s="45" t="s">
        <v>708</v>
      </c>
      <c r="AH18" s="45" t="s">
        <v>93</v>
      </c>
      <c r="AI18" s="45" t="s">
        <v>111</v>
      </c>
      <c r="AJ18" s="45">
        <v>1065199.8799999999</v>
      </c>
      <c r="AK18" s="45">
        <v>1065199.8799999999</v>
      </c>
      <c r="AL18" s="45" t="s">
        <v>111</v>
      </c>
      <c r="AM18" s="13">
        <v>1065199.8799999999</v>
      </c>
      <c r="AN18" s="13"/>
      <c r="AO18" s="13"/>
      <c r="AP18" s="13"/>
      <c r="AQ18" s="13"/>
      <c r="AR18" s="13" t="s">
        <v>99</v>
      </c>
      <c r="AS18" s="48">
        <v>0</v>
      </c>
      <c r="AT18" s="48">
        <v>0</v>
      </c>
      <c r="AU18" s="48"/>
      <c r="AV18" s="48" t="s">
        <v>1559</v>
      </c>
      <c r="AW18" s="48">
        <v>1065199.8799999999</v>
      </c>
      <c r="AX18" s="48">
        <v>0</v>
      </c>
      <c r="AY18" s="48" t="s">
        <v>1560</v>
      </c>
      <c r="AZ18" s="48"/>
      <c r="BA18" s="45" t="s">
        <v>16</v>
      </c>
      <c r="BB18" s="13"/>
      <c r="BC18" s="13"/>
      <c r="BD18" s="12">
        <v>830855.91</v>
      </c>
      <c r="BE18" s="12">
        <v>0</v>
      </c>
      <c r="BF18" s="2"/>
      <c r="BG18" s="2"/>
    </row>
    <row r="19" spans="1:59" ht="12.5" x14ac:dyDescent="0.25">
      <c r="A19" s="186">
        <v>46054</v>
      </c>
      <c r="B19" s="43" t="s">
        <v>103</v>
      </c>
      <c r="C19" s="43" t="s">
        <v>107</v>
      </c>
      <c r="D19" s="43" t="s">
        <v>105</v>
      </c>
      <c r="E19" s="43">
        <v>3050535</v>
      </c>
      <c r="F19" s="43" t="s">
        <v>1562</v>
      </c>
      <c r="G19" s="43" t="s">
        <v>390</v>
      </c>
      <c r="H19" s="43" t="s">
        <v>390</v>
      </c>
      <c r="I19" s="43"/>
      <c r="J19" s="42" t="s">
        <v>549</v>
      </c>
      <c r="K19" s="43"/>
      <c r="L19" s="42" t="s">
        <v>1558</v>
      </c>
      <c r="M19" s="42" t="s">
        <v>687</v>
      </c>
      <c r="N19" s="43"/>
      <c r="O19" s="45" t="s">
        <v>111</v>
      </c>
      <c r="P19" s="13">
        <v>343.25</v>
      </c>
      <c r="Q19" s="13"/>
      <c r="R19" s="13"/>
      <c r="S19" s="13"/>
      <c r="T19" s="13" t="s">
        <v>111</v>
      </c>
      <c r="U19" s="13">
        <v>267.73</v>
      </c>
      <c r="V19" s="13">
        <v>22</v>
      </c>
      <c r="W19" s="13">
        <v>0</v>
      </c>
      <c r="X19" s="13"/>
      <c r="Y19" s="13"/>
      <c r="Z19" s="45"/>
      <c r="AA19" s="42" t="s">
        <v>107</v>
      </c>
      <c r="AB19" s="42" t="s">
        <v>436</v>
      </c>
      <c r="AC19" s="42" t="s">
        <v>107</v>
      </c>
      <c r="AD19" s="45" t="s">
        <v>436</v>
      </c>
      <c r="AE19" s="45">
        <v>1</v>
      </c>
      <c r="AF19" s="45" t="s">
        <v>687</v>
      </c>
      <c r="AG19" s="45" t="s">
        <v>708</v>
      </c>
      <c r="AH19" s="45" t="s">
        <v>93</v>
      </c>
      <c r="AI19" s="45" t="s">
        <v>111</v>
      </c>
      <c r="AJ19" s="45">
        <v>343.25</v>
      </c>
      <c r="AK19" s="45">
        <v>343.25</v>
      </c>
      <c r="AL19" s="45" t="s">
        <v>111</v>
      </c>
      <c r="AM19" s="13">
        <v>343.25</v>
      </c>
      <c r="AN19" s="13"/>
      <c r="AO19" s="13"/>
      <c r="AP19" s="13"/>
      <c r="AQ19" s="13"/>
      <c r="AR19" s="13" t="s">
        <v>99</v>
      </c>
      <c r="AS19" s="48">
        <v>0</v>
      </c>
      <c r="AT19" s="48">
        <v>0</v>
      </c>
      <c r="AU19" s="48"/>
      <c r="AV19" s="48" t="s">
        <v>1559</v>
      </c>
      <c r="AW19" s="48">
        <v>343.25</v>
      </c>
      <c r="AX19" s="48">
        <v>0</v>
      </c>
      <c r="AY19" s="48" t="s">
        <v>1560</v>
      </c>
      <c r="AZ19" s="48"/>
      <c r="BA19" s="45" t="s">
        <v>16</v>
      </c>
      <c r="BB19" s="13"/>
      <c r="BC19" s="13"/>
      <c r="BD19" s="12">
        <v>267.73</v>
      </c>
      <c r="BE19" s="12">
        <v>0</v>
      </c>
      <c r="BF19" s="2"/>
      <c r="BG19" s="2"/>
    </row>
    <row r="20" spans="1:59" ht="12.5" x14ac:dyDescent="0.25">
      <c r="A20" s="186">
        <v>46054</v>
      </c>
      <c r="B20" s="43" t="s">
        <v>103</v>
      </c>
      <c r="C20" s="43" t="s">
        <v>107</v>
      </c>
      <c r="D20" s="43" t="s">
        <v>105</v>
      </c>
      <c r="E20" s="43">
        <v>3050535</v>
      </c>
      <c r="F20" s="43" t="s">
        <v>1562</v>
      </c>
      <c r="G20" s="43" t="s">
        <v>311</v>
      </c>
      <c r="H20" s="43" t="s">
        <v>311</v>
      </c>
      <c r="I20" s="43"/>
      <c r="J20" s="42" t="s">
        <v>526</v>
      </c>
      <c r="K20" s="43"/>
      <c r="L20" s="42" t="s">
        <v>1558</v>
      </c>
      <c r="M20" s="42" t="s">
        <v>687</v>
      </c>
      <c r="N20" s="43"/>
      <c r="O20" s="45" t="s">
        <v>111</v>
      </c>
      <c r="P20" s="13">
        <v>12365642.550000001</v>
      </c>
      <c r="Q20" s="13"/>
      <c r="R20" s="13"/>
      <c r="S20" s="13"/>
      <c r="T20" s="13" t="s">
        <v>111</v>
      </c>
      <c r="U20" s="13">
        <v>7474721.7800000003</v>
      </c>
      <c r="V20" s="13">
        <v>39.549999999999997</v>
      </c>
      <c r="W20" s="13">
        <v>0</v>
      </c>
      <c r="X20" s="13"/>
      <c r="Y20" s="13"/>
      <c r="Z20" s="45"/>
      <c r="AA20" s="42" t="s">
        <v>107</v>
      </c>
      <c r="AB20" s="42" t="s">
        <v>436</v>
      </c>
      <c r="AC20" s="42" t="s">
        <v>107</v>
      </c>
      <c r="AD20" s="45" t="s">
        <v>436</v>
      </c>
      <c r="AE20" s="45">
        <v>1</v>
      </c>
      <c r="AF20" s="45" t="s">
        <v>687</v>
      </c>
      <c r="AG20" s="45" t="s">
        <v>708</v>
      </c>
      <c r="AH20" s="45" t="s">
        <v>93</v>
      </c>
      <c r="AI20" s="45" t="s">
        <v>111</v>
      </c>
      <c r="AJ20" s="45">
        <v>12365642.550000001</v>
      </c>
      <c r="AK20" s="45">
        <v>12365642.550000001</v>
      </c>
      <c r="AL20" s="45" t="s">
        <v>111</v>
      </c>
      <c r="AM20" s="13">
        <v>12365642.550000001</v>
      </c>
      <c r="AN20" s="13"/>
      <c r="AO20" s="13"/>
      <c r="AP20" s="13"/>
      <c r="AQ20" s="13"/>
      <c r="AR20" s="13" t="s">
        <v>99</v>
      </c>
      <c r="AS20" s="48">
        <v>0</v>
      </c>
      <c r="AT20" s="48">
        <v>0</v>
      </c>
      <c r="AU20" s="48"/>
      <c r="AV20" s="48" t="s">
        <v>1559</v>
      </c>
      <c r="AW20" s="48">
        <v>12365642.550000001</v>
      </c>
      <c r="AX20" s="48">
        <v>0</v>
      </c>
      <c r="AY20" s="48" t="s">
        <v>1560</v>
      </c>
      <c r="AZ20" s="48"/>
      <c r="BA20" s="45" t="s">
        <v>16</v>
      </c>
      <c r="BB20" s="13"/>
      <c r="BC20" s="13"/>
      <c r="BD20" s="12">
        <v>7474721.7800000003</v>
      </c>
      <c r="BE20" s="12">
        <v>0</v>
      </c>
      <c r="BF20" s="2"/>
      <c r="BG20" s="2"/>
    </row>
    <row r="21" spans="1:59" ht="12.5" x14ac:dyDescent="0.25">
      <c r="A21" s="186">
        <v>46054</v>
      </c>
      <c r="B21" s="43" t="s">
        <v>103</v>
      </c>
      <c r="C21" s="43" t="s">
        <v>107</v>
      </c>
      <c r="D21" s="43" t="s">
        <v>105</v>
      </c>
      <c r="E21" s="43">
        <v>3050535</v>
      </c>
      <c r="F21" s="43" t="s">
        <v>1562</v>
      </c>
      <c r="G21" s="43" t="s">
        <v>165</v>
      </c>
      <c r="H21" s="43" t="s">
        <v>165</v>
      </c>
      <c r="I21" s="43"/>
      <c r="J21" s="42" t="s">
        <v>483</v>
      </c>
      <c r="K21" s="43"/>
      <c r="L21" s="42" t="s">
        <v>1558</v>
      </c>
      <c r="M21" s="42" t="s">
        <v>687</v>
      </c>
      <c r="N21" s="43"/>
      <c r="O21" s="45" t="s">
        <v>111</v>
      </c>
      <c r="P21" s="13">
        <v>718276.95</v>
      </c>
      <c r="Q21" s="13"/>
      <c r="R21" s="13"/>
      <c r="S21" s="13"/>
      <c r="T21" s="13" t="s">
        <v>111</v>
      </c>
      <c r="U21" s="13">
        <v>434180.46</v>
      </c>
      <c r="V21" s="13">
        <v>39.549999999999997</v>
      </c>
      <c r="W21" s="13">
        <v>0</v>
      </c>
      <c r="X21" s="13"/>
      <c r="Y21" s="13"/>
      <c r="Z21" s="45"/>
      <c r="AA21" s="42" t="s">
        <v>107</v>
      </c>
      <c r="AB21" s="42" t="s">
        <v>436</v>
      </c>
      <c r="AC21" s="42" t="s">
        <v>107</v>
      </c>
      <c r="AD21" s="45" t="s">
        <v>436</v>
      </c>
      <c r="AE21" s="45">
        <v>1</v>
      </c>
      <c r="AF21" s="45" t="s">
        <v>687</v>
      </c>
      <c r="AG21" s="45" t="s">
        <v>708</v>
      </c>
      <c r="AH21" s="45" t="s">
        <v>93</v>
      </c>
      <c r="AI21" s="45" t="s">
        <v>111</v>
      </c>
      <c r="AJ21" s="45">
        <v>718276.95</v>
      </c>
      <c r="AK21" s="45">
        <v>718276.95</v>
      </c>
      <c r="AL21" s="45" t="s">
        <v>111</v>
      </c>
      <c r="AM21" s="13">
        <v>718276.95</v>
      </c>
      <c r="AN21" s="13"/>
      <c r="AO21" s="13"/>
      <c r="AP21" s="13"/>
      <c r="AQ21" s="13"/>
      <c r="AR21" s="13" t="s">
        <v>99</v>
      </c>
      <c r="AS21" s="48">
        <v>0</v>
      </c>
      <c r="AT21" s="48">
        <v>0</v>
      </c>
      <c r="AU21" s="48"/>
      <c r="AV21" s="48" t="s">
        <v>1559</v>
      </c>
      <c r="AW21" s="48">
        <v>718276.95</v>
      </c>
      <c r="AX21" s="48">
        <v>0</v>
      </c>
      <c r="AY21" s="48" t="s">
        <v>1560</v>
      </c>
      <c r="AZ21" s="48"/>
      <c r="BA21" s="45" t="s">
        <v>16</v>
      </c>
      <c r="BB21" s="13"/>
      <c r="BC21" s="13"/>
      <c r="BD21" s="12">
        <v>434180.46</v>
      </c>
      <c r="BE21" s="12">
        <v>0</v>
      </c>
      <c r="BF21" s="2"/>
      <c r="BG21" s="2"/>
    </row>
    <row r="22" spans="1:59" ht="12.5" x14ac:dyDescent="0.25">
      <c r="A22" s="186">
        <v>46054</v>
      </c>
      <c r="B22" s="43" t="s">
        <v>103</v>
      </c>
      <c r="C22" s="43" t="s">
        <v>107</v>
      </c>
      <c r="D22" s="43" t="s">
        <v>105</v>
      </c>
      <c r="E22" s="43">
        <v>3050535</v>
      </c>
      <c r="F22" s="43" t="s">
        <v>1562</v>
      </c>
      <c r="G22" s="43" t="s">
        <v>193</v>
      </c>
      <c r="H22" s="43" t="s">
        <v>193</v>
      </c>
      <c r="I22" s="43"/>
      <c r="J22" s="42" t="s">
        <v>492</v>
      </c>
      <c r="K22" s="43"/>
      <c r="L22" s="42" t="s">
        <v>1558</v>
      </c>
      <c r="M22" s="42" t="s">
        <v>687</v>
      </c>
      <c r="N22" s="43"/>
      <c r="O22" s="45" t="s">
        <v>111</v>
      </c>
      <c r="P22" s="13">
        <v>6912000</v>
      </c>
      <c r="Q22" s="13"/>
      <c r="R22" s="13"/>
      <c r="S22" s="13"/>
      <c r="T22" s="13" t="s">
        <v>111</v>
      </c>
      <c r="U22" s="13">
        <v>4178131.18</v>
      </c>
      <c r="V22" s="13">
        <v>39.549999999999997</v>
      </c>
      <c r="W22" s="13">
        <v>0</v>
      </c>
      <c r="X22" s="13"/>
      <c r="Y22" s="13"/>
      <c r="Z22" s="45"/>
      <c r="AA22" s="42" t="s">
        <v>107</v>
      </c>
      <c r="AB22" s="42" t="s">
        <v>436</v>
      </c>
      <c r="AC22" s="42" t="s">
        <v>107</v>
      </c>
      <c r="AD22" s="45" t="s">
        <v>436</v>
      </c>
      <c r="AE22" s="45">
        <v>1</v>
      </c>
      <c r="AF22" s="45" t="s">
        <v>687</v>
      </c>
      <c r="AG22" s="45" t="s">
        <v>708</v>
      </c>
      <c r="AH22" s="45" t="s">
        <v>93</v>
      </c>
      <c r="AI22" s="45" t="s">
        <v>111</v>
      </c>
      <c r="AJ22" s="45">
        <v>6912000</v>
      </c>
      <c r="AK22" s="45">
        <v>6912000</v>
      </c>
      <c r="AL22" s="45" t="s">
        <v>111</v>
      </c>
      <c r="AM22" s="13">
        <v>6912000</v>
      </c>
      <c r="AN22" s="13"/>
      <c r="AO22" s="13"/>
      <c r="AP22" s="13"/>
      <c r="AQ22" s="13"/>
      <c r="AR22" s="13" t="s">
        <v>99</v>
      </c>
      <c r="AS22" s="48">
        <v>0</v>
      </c>
      <c r="AT22" s="48">
        <v>0</v>
      </c>
      <c r="AU22" s="48"/>
      <c r="AV22" s="48" t="s">
        <v>1559</v>
      </c>
      <c r="AW22" s="48">
        <v>6912000</v>
      </c>
      <c r="AX22" s="48">
        <v>0</v>
      </c>
      <c r="AY22" s="48" t="s">
        <v>1560</v>
      </c>
      <c r="AZ22" s="48"/>
      <c r="BA22" s="45" t="s">
        <v>16</v>
      </c>
      <c r="BB22" s="13"/>
      <c r="BC22" s="13"/>
      <c r="BD22" s="12">
        <v>4178131.18</v>
      </c>
      <c r="BE22" s="12">
        <v>0</v>
      </c>
      <c r="BF22" s="2"/>
      <c r="BG22" s="2"/>
    </row>
    <row r="23" spans="1:59" ht="12.5" x14ac:dyDescent="0.25">
      <c r="A23" s="186">
        <v>46054</v>
      </c>
      <c r="B23" s="43" t="s">
        <v>103</v>
      </c>
      <c r="C23" s="43" t="s">
        <v>107</v>
      </c>
      <c r="D23" s="43" t="s">
        <v>105</v>
      </c>
      <c r="E23" s="43">
        <v>3050535</v>
      </c>
      <c r="F23" s="43" t="s">
        <v>1562</v>
      </c>
      <c r="G23" s="43" t="s">
        <v>254</v>
      </c>
      <c r="H23" s="43" t="s">
        <v>254</v>
      </c>
      <c r="I23" s="43"/>
      <c r="J23" s="42" t="s">
        <v>509</v>
      </c>
      <c r="K23" s="43"/>
      <c r="L23" s="42" t="s">
        <v>1558</v>
      </c>
      <c r="M23" s="42" t="s">
        <v>687</v>
      </c>
      <c r="N23" s="43"/>
      <c r="O23" s="45" t="s">
        <v>111</v>
      </c>
      <c r="P23" s="13">
        <v>1651074.28</v>
      </c>
      <c r="Q23" s="13"/>
      <c r="R23" s="13"/>
      <c r="S23" s="13"/>
      <c r="T23" s="13" t="s">
        <v>111</v>
      </c>
      <c r="U23" s="13">
        <v>998033.13</v>
      </c>
      <c r="V23" s="13">
        <v>39.549999999999997</v>
      </c>
      <c r="W23" s="13">
        <v>0</v>
      </c>
      <c r="X23" s="13"/>
      <c r="Y23" s="13"/>
      <c r="Z23" s="45"/>
      <c r="AA23" s="42" t="s">
        <v>107</v>
      </c>
      <c r="AB23" s="42" t="s">
        <v>436</v>
      </c>
      <c r="AC23" s="42" t="s">
        <v>107</v>
      </c>
      <c r="AD23" s="45" t="s">
        <v>436</v>
      </c>
      <c r="AE23" s="45">
        <v>1</v>
      </c>
      <c r="AF23" s="45" t="s">
        <v>687</v>
      </c>
      <c r="AG23" s="45" t="s">
        <v>708</v>
      </c>
      <c r="AH23" s="45" t="s">
        <v>93</v>
      </c>
      <c r="AI23" s="45" t="s">
        <v>111</v>
      </c>
      <c r="AJ23" s="45">
        <v>1651074.28</v>
      </c>
      <c r="AK23" s="45">
        <v>1651074.28</v>
      </c>
      <c r="AL23" s="45" t="s">
        <v>111</v>
      </c>
      <c r="AM23" s="13">
        <v>1651074.28</v>
      </c>
      <c r="AN23" s="13"/>
      <c r="AO23" s="13"/>
      <c r="AP23" s="13"/>
      <c r="AQ23" s="13"/>
      <c r="AR23" s="13" t="s">
        <v>99</v>
      </c>
      <c r="AS23" s="48">
        <v>0</v>
      </c>
      <c r="AT23" s="48">
        <v>0</v>
      </c>
      <c r="AU23" s="48"/>
      <c r="AV23" s="48" t="s">
        <v>1559</v>
      </c>
      <c r="AW23" s="48">
        <v>1651074.27</v>
      </c>
      <c r="AX23" s="48">
        <v>0.01</v>
      </c>
      <c r="AY23" s="48" t="s">
        <v>1560</v>
      </c>
      <c r="AZ23" s="48"/>
      <c r="BA23" s="45" t="s">
        <v>16</v>
      </c>
      <c r="BB23" s="13"/>
      <c r="BC23" s="13"/>
      <c r="BD23" s="12">
        <v>998033.13</v>
      </c>
      <c r="BE23" s="12">
        <v>0</v>
      </c>
      <c r="BF23" s="2"/>
      <c r="BG23" s="2"/>
    </row>
    <row r="24" spans="1:59" ht="12.5" x14ac:dyDescent="0.25">
      <c r="A24" s="186">
        <v>46054</v>
      </c>
      <c r="B24" s="43" t="s">
        <v>103</v>
      </c>
      <c r="C24" s="43" t="s">
        <v>107</v>
      </c>
      <c r="D24" s="43" t="s">
        <v>105</v>
      </c>
      <c r="E24" s="43">
        <v>3050535</v>
      </c>
      <c r="F24" s="43" t="s">
        <v>1562</v>
      </c>
      <c r="G24" s="43" t="s">
        <v>185</v>
      </c>
      <c r="H24" s="43" t="s">
        <v>185</v>
      </c>
      <c r="I24" s="43"/>
      <c r="J24" s="42" t="s">
        <v>490</v>
      </c>
      <c r="K24" s="43"/>
      <c r="L24" s="42" t="s">
        <v>1558</v>
      </c>
      <c r="M24" s="42" t="s">
        <v>687</v>
      </c>
      <c r="N24" s="43"/>
      <c r="O24" s="45" t="s">
        <v>111</v>
      </c>
      <c r="P24" s="13">
        <v>6210184.3200000003</v>
      </c>
      <c r="Q24" s="13"/>
      <c r="R24" s="13"/>
      <c r="S24" s="13"/>
      <c r="T24" s="13" t="s">
        <v>111</v>
      </c>
      <c r="U24" s="13">
        <v>3753901.17</v>
      </c>
      <c r="V24" s="13">
        <v>39.549999999999997</v>
      </c>
      <c r="W24" s="13">
        <v>0</v>
      </c>
      <c r="X24" s="13"/>
      <c r="Y24" s="13"/>
      <c r="Z24" s="45"/>
      <c r="AA24" s="42" t="s">
        <v>107</v>
      </c>
      <c r="AB24" s="42" t="s">
        <v>436</v>
      </c>
      <c r="AC24" s="42" t="s">
        <v>107</v>
      </c>
      <c r="AD24" s="45" t="s">
        <v>436</v>
      </c>
      <c r="AE24" s="45">
        <v>1</v>
      </c>
      <c r="AF24" s="45" t="s">
        <v>687</v>
      </c>
      <c r="AG24" s="45" t="s">
        <v>708</v>
      </c>
      <c r="AH24" s="45" t="s">
        <v>93</v>
      </c>
      <c r="AI24" s="45" t="s">
        <v>111</v>
      </c>
      <c r="AJ24" s="45">
        <v>6210184.3200000003</v>
      </c>
      <c r="AK24" s="45">
        <v>6210184.3200000003</v>
      </c>
      <c r="AL24" s="45" t="s">
        <v>111</v>
      </c>
      <c r="AM24" s="13">
        <v>6210184.3200000003</v>
      </c>
      <c r="AN24" s="13"/>
      <c r="AO24" s="13"/>
      <c r="AP24" s="13"/>
      <c r="AQ24" s="13"/>
      <c r="AR24" s="13" t="s">
        <v>99</v>
      </c>
      <c r="AS24" s="48">
        <v>0</v>
      </c>
      <c r="AT24" s="48">
        <v>0</v>
      </c>
      <c r="AU24" s="48"/>
      <c r="AV24" s="48" t="s">
        <v>1559</v>
      </c>
      <c r="AW24" s="48">
        <v>6210184.3099999996</v>
      </c>
      <c r="AX24" s="48">
        <v>0.01</v>
      </c>
      <c r="AY24" s="48" t="s">
        <v>1560</v>
      </c>
      <c r="AZ24" s="48"/>
      <c r="BA24" s="45" t="s">
        <v>16</v>
      </c>
      <c r="BB24" s="13"/>
      <c r="BC24" s="13"/>
      <c r="BD24" s="12">
        <v>3753901.16</v>
      </c>
      <c r="BE24" s="12">
        <v>9.9999997764825821E-3</v>
      </c>
      <c r="BF24" s="2"/>
      <c r="BG24" s="2"/>
    </row>
    <row r="25" spans="1:59" ht="12.5" x14ac:dyDescent="0.25">
      <c r="A25" s="186">
        <v>46054</v>
      </c>
      <c r="B25" s="43" t="s">
        <v>103</v>
      </c>
      <c r="C25" s="43" t="s">
        <v>107</v>
      </c>
      <c r="D25" s="43" t="s">
        <v>105</v>
      </c>
      <c r="E25" s="43">
        <v>3050535</v>
      </c>
      <c r="F25" s="43" t="s">
        <v>1562</v>
      </c>
      <c r="G25" s="43" t="s">
        <v>133</v>
      </c>
      <c r="H25" s="43" t="s">
        <v>133</v>
      </c>
      <c r="I25" s="43"/>
      <c r="J25" s="42" t="s">
        <v>474</v>
      </c>
      <c r="K25" s="43"/>
      <c r="L25" s="42" t="s">
        <v>1558</v>
      </c>
      <c r="M25" s="42" t="s">
        <v>687</v>
      </c>
      <c r="N25" s="43"/>
      <c r="O25" s="45" t="s">
        <v>111</v>
      </c>
      <c r="P25" s="13">
        <v>1900327.95</v>
      </c>
      <c r="Q25" s="13"/>
      <c r="R25" s="13"/>
      <c r="S25" s="13"/>
      <c r="T25" s="13" t="s">
        <v>111</v>
      </c>
      <c r="U25" s="13">
        <v>1148700.74</v>
      </c>
      <c r="V25" s="13">
        <v>39.549999999999997</v>
      </c>
      <c r="W25" s="13">
        <v>0</v>
      </c>
      <c r="X25" s="13"/>
      <c r="Y25" s="13"/>
      <c r="Z25" s="45"/>
      <c r="AA25" s="42" t="s">
        <v>107</v>
      </c>
      <c r="AB25" s="42" t="s">
        <v>436</v>
      </c>
      <c r="AC25" s="42" t="s">
        <v>107</v>
      </c>
      <c r="AD25" s="45" t="s">
        <v>436</v>
      </c>
      <c r="AE25" s="45">
        <v>1</v>
      </c>
      <c r="AF25" s="45" t="s">
        <v>687</v>
      </c>
      <c r="AG25" s="45" t="s">
        <v>708</v>
      </c>
      <c r="AH25" s="45" t="s">
        <v>93</v>
      </c>
      <c r="AI25" s="45" t="s">
        <v>111</v>
      </c>
      <c r="AJ25" s="45">
        <v>1900327.95</v>
      </c>
      <c r="AK25" s="45">
        <v>1900327.95</v>
      </c>
      <c r="AL25" s="45" t="s">
        <v>111</v>
      </c>
      <c r="AM25" s="13">
        <v>1900327.95</v>
      </c>
      <c r="AN25" s="13"/>
      <c r="AO25" s="13"/>
      <c r="AP25" s="13"/>
      <c r="AQ25" s="13"/>
      <c r="AR25" s="13" t="s">
        <v>99</v>
      </c>
      <c r="AS25" s="48">
        <v>0</v>
      </c>
      <c r="AT25" s="48">
        <v>0</v>
      </c>
      <c r="AU25" s="48"/>
      <c r="AV25" s="48" t="s">
        <v>1559</v>
      </c>
      <c r="AW25" s="48">
        <v>1900327.94</v>
      </c>
      <c r="AX25" s="48">
        <v>0.01</v>
      </c>
      <c r="AY25" s="48" t="s">
        <v>1560</v>
      </c>
      <c r="AZ25" s="48"/>
      <c r="BA25" s="45" t="s">
        <v>16</v>
      </c>
      <c r="BB25" s="13"/>
      <c r="BC25" s="13"/>
      <c r="BD25" s="12">
        <v>1148700.73</v>
      </c>
      <c r="BE25" s="12">
        <v>1.0000000009313226E-2</v>
      </c>
      <c r="BF25" s="2"/>
      <c r="BG25" s="2"/>
    </row>
    <row r="26" spans="1:59" ht="12.5" x14ac:dyDescent="0.25">
      <c r="A26" s="186">
        <v>46054</v>
      </c>
      <c r="B26" s="43" t="s">
        <v>103</v>
      </c>
      <c r="C26" s="43" t="s">
        <v>107</v>
      </c>
      <c r="D26" s="43" t="s">
        <v>105</v>
      </c>
      <c r="E26" s="43">
        <v>3050535</v>
      </c>
      <c r="F26" s="43" t="s">
        <v>1562</v>
      </c>
      <c r="G26" s="43" t="s">
        <v>318</v>
      </c>
      <c r="H26" s="43" t="s">
        <v>318</v>
      </c>
      <c r="I26" s="43"/>
      <c r="J26" s="42" t="s">
        <v>528</v>
      </c>
      <c r="K26" s="43"/>
      <c r="L26" s="42" t="s">
        <v>1558</v>
      </c>
      <c r="M26" s="42" t="s">
        <v>687</v>
      </c>
      <c r="N26" s="43"/>
      <c r="O26" s="45" t="s">
        <v>111</v>
      </c>
      <c r="P26" s="13">
        <v>4396289.4000000004</v>
      </c>
      <c r="Q26" s="13"/>
      <c r="R26" s="13"/>
      <c r="S26" s="13"/>
      <c r="T26" s="13" t="s">
        <v>111</v>
      </c>
      <c r="U26" s="13">
        <v>3429105.73</v>
      </c>
      <c r="V26" s="13">
        <v>22</v>
      </c>
      <c r="W26" s="13">
        <v>0</v>
      </c>
      <c r="X26" s="13"/>
      <c r="Y26" s="13"/>
      <c r="Z26" s="45"/>
      <c r="AA26" s="42" t="s">
        <v>107</v>
      </c>
      <c r="AB26" s="42" t="s">
        <v>436</v>
      </c>
      <c r="AC26" s="42" t="s">
        <v>107</v>
      </c>
      <c r="AD26" s="45" t="s">
        <v>436</v>
      </c>
      <c r="AE26" s="45">
        <v>1</v>
      </c>
      <c r="AF26" s="45" t="s">
        <v>687</v>
      </c>
      <c r="AG26" s="45" t="s">
        <v>708</v>
      </c>
      <c r="AH26" s="45" t="s">
        <v>93</v>
      </c>
      <c r="AI26" s="45" t="s">
        <v>111</v>
      </c>
      <c r="AJ26" s="45">
        <v>4396289.4000000004</v>
      </c>
      <c r="AK26" s="45">
        <v>4396289.4000000004</v>
      </c>
      <c r="AL26" s="45" t="s">
        <v>111</v>
      </c>
      <c r="AM26" s="13">
        <v>4396289.4000000004</v>
      </c>
      <c r="AN26" s="13"/>
      <c r="AO26" s="13"/>
      <c r="AP26" s="13"/>
      <c r="AQ26" s="13"/>
      <c r="AR26" s="13" t="s">
        <v>99</v>
      </c>
      <c r="AS26" s="48">
        <v>0</v>
      </c>
      <c r="AT26" s="48">
        <v>0</v>
      </c>
      <c r="AU26" s="48"/>
      <c r="AV26" s="48" t="s">
        <v>1559</v>
      </c>
      <c r="AW26" s="48">
        <v>4396289.4000000004</v>
      </c>
      <c r="AX26" s="48">
        <v>0</v>
      </c>
      <c r="AY26" s="48" t="s">
        <v>1560</v>
      </c>
      <c r="AZ26" s="48"/>
      <c r="BA26" s="45" t="s">
        <v>16</v>
      </c>
      <c r="BB26" s="13"/>
      <c r="BC26" s="13"/>
      <c r="BD26" s="12">
        <v>3429105.73</v>
      </c>
      <c r="BE26" s="12">
        <v>0</v>
      </c>
      <c r="BF26" s="2"/>
      <c r="BG26" s="2"/>
    </row>
    <row r="27" spans="1:59" ht="12.5" x14ac:dyDescent="0.25">
      <c r="A27" s="186">
        <v>46054</v>
      </c>
      <c r="B27" s="43" t="s">
        <v>103</v>
      </c>
      <c r="C27" s="43" t="s">
        <v>107</v>
      </c>
      <c r="D27" s="43" t="s">
        <v>105</v>
      </c>
      <c r="E27" s="43">
        <v>3050535</v>
      </c>
      <c r="F27" s="43" t="s">
        <v>1562</v>
      </c>
      <c r="G27" s="43" t="s">
        <v>106</v>
      </c>
      <c r="H27" s="43" t="s">
        <v>106</v>
      </c>
      <c r="I27" s="43"/>
      <c r="J27" s="42" t="s">
        <v>467</v>
      </c>
      <c r="K27" s="43"/>
      <c r="L27" s="42" t="s">
        <v>1558</v>
      </c>
      <c r="M27" s="42" t="s">
        <v>687</v>
      </c>
      <c r="N27" s="43"/>
      <c r="O27" s="45" t="s">
        <v>111</v>
      </c>
      <c r="P27" s="13">
        <v>911867.62</v>
      </c>
      <c r="Q27" s="13"/>
      <c r="R27" s="13"/>
      <c r="S27" s="13"/>
      <c r="T27" s="13" t="s">
        <v>111</v>
      </c>
      <c r="U27" s="13">
        <v>551201.18000000005</v>
      </c>
      <c r="V27" s="13">
        <v>39.549999999999997</v>
      </c>
      <c r="W27" s="13">
        <v>0</v>
      </c>
      <c r="X27" s="13"/>
      <c r="Y27" s="13"/>
      <c r="Z27" s="45"/>
      <c r="AA27" s="42" t="s">
        <v>107</v>
      </c>
      <c r="AB27" s="42" t="s">
        <v>436</v>
      </c>
      <c r="AC27" s="42" t="s">
        <v>435</v>
      </c>
      <c r="AD27" s="45" t="s">
        <v>433</v>
      </c>
      <c r="AE27" s="45">
        <v>1</v>
      </c>
      <c r="AF27" s="45" t="s">
        <v>687</v>
      </c>
      <c r="AG27" s="45" t="s">
        <v>708</v>
      </c>
      <c r="AH27" s="45" t="s">
        <v>93</v>
      </c>
      <c r="AI27" s="45" t="s">
        <v>111</v>
      </c>
      <c r="AJ27" s="45">
        <v>911867.62</v>
      </c>
      <c r="AK27" s="45">
        <v>911867.62</v>
      </c>
      <c r="AL27" s="45" t="s">
        <v>111</v>
      </c>
      <c r="AM27" s="13">
        <v>911867.62</v>
      </c>
      <c r="AN27" s="13"/>
      <c r="AO27" s="13"/>
      <c r="AP27" s="13"/>
      <c r="AQ27" s="13"/>
      <c r="AR27" s="13" t="s">
        <v>99</v>
      </c>
      <c r="AS27" s="48">
        <v>0</v>
      </c>
      <c r="AT27" s="48">
        <v>0</v>
      </c>
      <c r="AU27" s="48"/>
      <c r="AV27" s="48" t="s">
        <v>1559</v>
      </c>
      <c r="AW27" s="48">
        <v>911867.62</v>
      </c>
      <c r="AX27" s="48">
        <v>0</v>
      </c>
      <c r="AY27" s="48" t="s">
        <v>1560</v>
      </c>
      <c r="AZ27" s="48"/>
      <c r="BA27" s="45" t="s">
        <v>16</v>
      </c>
      <c r="BB27" s="13"/>
      <c r="BC27" s="13"/>
      <c r="BD27" s="12">
        <v>551201.18000000005</v>
      </c>
      <c r="BE27" s="12">
        <v>0</v>
      </c>
      <c r="BF27" s="2"/>
      <c r="BG27" s="2"/>
    </row>
    <row r="28" spans="1:59" ht="12.5" x14ac:dyDescent="0.25">
      <c r="A28" s="186">
        <v>46054</v>
      </c>
      <c r="B28" s="43" t="s">
        <v>103</v>
      </c>
      <c r="C28" s="43" t="s">
        <v>107</v>
      </c>
      <c r="D28" s="43" t="s">
        <v>105</v>
      </c>
      <c r="E28" s="43">
        <v>3050535</v>
      </c>
      <c r="F28" s="43" t="s">
        <v>1562</v>
      </c>
      <c r="G28" s="43" t="s">
        <v>151</v>
      </c>
      <c r="H28" s="43" t="s">
        <v>151</v>
      </c>
      <c r="I28" s="43"/>
      <c r="J28" s="42" t="s">
        <v>478</v>
      </c>
      <c r="K28" s="43"/>
      <c r="L28" s="42" t="s">
        <v>1558</v>
      </c>
      <c r="M28" s="42" t="s">
        <v>687</v>
      </c>
      <c r="N28" s="43"/>
      <c r="O28" s="45" t="s">
        <v>111</v>
      </c>
      <c r="P28" s="13">
        <v>2007664.48</v>
      </c>
      <c r="Q28" s="13"/>
      <c r="R28" s="13"/>
      <c r="S28" s="13"/>
      <c r="T28" s="13" t="s">
        <v>111</v>
      </c>
      <c r="U28" s="13">
        <v>1213582.99</v>
      </c>
      <c r="V28" s="13">
        <v>39.549999999999997</v>
      </c>
      <c r="W28" s="13">
        <v>0</v>
      </c>
      <c r="X28" s="13"/>
      <c r="Y28" s="13"/>
      <c r="Z28" s="45"/>
      <c r="AA28" s="42" t="s">
        <v>107</v>
      </c>
      <c r="AB28" s="42" t="s">
        <v>436</v>
      </c>
      <c r="AC28" s="42" t="s">
        <v>107</v>
      </c>
      <c r="AD28" s="45" t="s">
        <v>436</v>
      </c>
      <c r="AE28" s="45">
        <v>1</v>
      </c>
      <c r="AF28" s="45" t="s">
        <v>687</v>
      </c>
      <c r="AG28" s="45" t="s">
        <v>708</v>
      </c>
      <c r="AH28" s="45" t="s">
        <v>93</v>
      </c>
      <c r="AI28" s="45" t="s">
        <v>111</v>
      </c>
      <c r="AJ28" s="45">
        <v>2007664.48</v>
      </c>
      <c r="AK28" s="45">
        <v>2007664.48</v>
      </c>
      <c r="AL28" s="45" t="s">
        <v>111</v>
      </c>
      <c r="AM28" s="13">
        <v>2007664.48</v>
      </c>
      <c r="AN28" s="13"/>
      <c r="AO28" s="13"/>
      <c r="AP28" s="13"/>
      <c r="AQ28" s="13"/>
      <c r="AR28" s="13" t="s">
        <v>99</v>
      </c>
      <c r="AS28" s="48">
        <v>0</v>
      </c>
      <c r="AT28" s="48">
        <v>0</v>
      </c>
      <c r="AU28" s="48"/>
      <c r="AV28" s="48" t="s">
        <v>1559</v>
      </c>
      <c r="AW28" s="48">
        <v>2007664.47</v>
      </c>
      <c r="AX28" s="48">
        <v>0.01</v>
      </c>
      <c r="AY28" s="48" t="s">
        <v>1560</v>
      </c>
      <c r="AZ28" s="48"/>
      <c r="BA28" s="45" t="s">
        <v>16</v>
      </c>
      <c r="BB28" s="13"/>
      <c r="BC28" s="13"/>
      <c r="BD28" s="12">
        <v>1213582.99</v>
      </c>
      <c r="BE28" s="12">
        <v>0</v>
      </c>
      <c r="BF28" s="2"/>
      <c r="BG28" s="2"/>
    </row>
    <row r="29" spans="1:59" ht="12.5" x14ac:dyDescent="0.25">
      <c r="A29" s="186">
        <v>46054</v>
      </c>
      <c r="B29" s="43" t="s">
        <v>103</v>
      </c>
      <c r="C29" s="43" t="s">
        <v>107</v>
      </c>
      <c r="D29" s="43" t="s">
        <v>105</v>
      </c>
      <c r="E29" s="43">
        <v>3050535</v>
      </c>
      <c r="F29" s="43" t="s">
        <v>1562</v>
      </c>
      <c r="G29" s="43" t="s">
        <v>141</v>
      </c>
      <c r="H29" s="43" t="s">
        <v>141</v>
      </c>
      <c r="I29" s="43"/>
      <c r="J29" s="42" t="s">
        <v>476</v>
      </c>
      <c r="K29" s="43"/>
      <c r="L29" s="42" t="s">
        <v>1558</v>
      </c>
      <c r="M29" s="42" t="s">
        <v>687</v>
      </c>
      <c r="N29" s="43"/>
      <c r="O29" s="45" t="s">
        <v>111</v>
      </c>
      <c r="P29" s="13">
        <v>16336337.960000001</v>
      </c>
      <c r="Q29" s="13"/>
      <c r="R29" s="13"/>
      <c r="S29" s="13"/>
      <c r="T29" s="13" t="s">
        <v>111</v>
      </c>
      <c r="U29" s="13">
        <v>10782309.779999999</v>
      </c>
      <c r="V29" s="13">
        <v>34</v>
      </c>
      <c r="W29" s="13">
        <v>0</v>
      </c>
      <c r="X29" s="13"/>
      <c r="Y29" s="13"/>
      <c r="Z29" s="45"/>
      <c r="AA29" s="42" t="s">
        <v>107</v>
      </c>
      <c r="AB29" s="42" t="s">
        <v>436</v>
      </c>
      <c r="AC29" s="42" t="s">
        <v>107</v>
      </c>
      <c r="AD29" s="45" t="s">
        <v>436</v>
      </c>
      <c r="AE29" s="45">
        <v>1</v>
      </c>
      <c r="AF29" s="45" t="s">
        <v>687</v>
      </c>
      <c r="AG29" s="45" t="s">
        <v>743</v>
      </c>
      <c r="AH29" s="45" t="s">
        <v>93</v>
      </c>
      <c r="AI29" s="45" t="s">
        <v>111</v>
      </c>
      <c r="AJ29" s="45">
        <v>16336337.960000001</v>
      </c>
      <c r="AK29" s="45">
        <v>16336337.960000001</v>
      </c>
      <c r="AL29" s="45" t="s">
        <v>111</v>
      </c>
      <c r="AM29" s="13">
        <v>16336337.960000001</v>
      </c>
      <c r="AN29" s="13"/>
      <c r="AO29" s="13"/>
      <c r="AP29" s="13"/>
      <c r="AQ29" s="13"/>
      <c r="AR29" s="13" t="s">
        <v>99</v>
      </c>
      <c r="AS29" s="48">
        <v>0</v>
      </c>
      <c r="AT29" s="48">
        <v>0</v>
      </c>
      <c r="AU29" s="48"/>
      <c r="AV29" s="48" t="s">
        <v>1559</v>
      </c>
      <c r="AW29" s="48"/>
      <c r="AX29" s="48"/>
      <c r="AY29" s="48" t="s">
        <v>1561</v>
      </c>
      <c r="AZ29" s="48"/>
      <c r="BA29" s="45" t="s">
        <v>16</v>
      </c>
      <c r="BB29" s="13"/>
      <c r="BC29" s="13"/>
      <c r="BD29" s="12">
        <v>10782309.779999999</v>
      </c>
      <c r="BE29" s="12">
        <v>0</v>
      </c>
      <c r="BF29" s="2"/>
      <c r="BG29" s="2"/>
    </row>
    <row r="30" spans="1:59" ht="12.5" x14ac:dyDescent="0.25">
      <c r="A30" s="186">
        <v>46054</v>
      </c>
      <c r="B30" s="43" t="s">
        <v>103</v>
      </c>
      <c r="C30" s="43" t="s">
        <v>107</v>
      </c>
      <c r="D30" s="43" t="s">
        <v>105</v>
      </c>
      <c r="E30" s="43">
        <v>3050535</v>
      </c>
      <c r="F30" s="43" t="s">
        <v>1562</v>
      </c>
      <c r="G30" s="43" t="s">
        <v>179</v>
      </c>
      <c r="H30" s="43" t="s">
        <v>179</v>
      </c>
      <c r="I30" s="43"/>
      <c r="J30" s="42" t="s">
        <v>487</v>
      </c>
      <c r="K30" s="43"/>
      <c r="L30" s="42" t="s">
        <v>1558</v>
      </c>
      <c r="M30" s="42" t="s">
        <v>687</v>
      </c>
      <c r="N30" s="43"/>
      <c r="O30" s="45" t="s">
        <v>111</v>
      </c>
      <c r="P30" s="13">
        <v>2304000</v>
      </c>
      <c r="Q30" s="13"/>
      <c r="R30" s="13"/>
      <c r="S30" s="13"/>
      <c r="T30" s="13" t="s">
        <v>111</v>
      </c>
      <c r="U30" s="13">
        <v>1520686.0800000001</v>
      </c>
      <c r="V30" s="13">
        <v>34</v>
      </c>
      <c r="W30" s="13">
        <v>0</v>
      </c>
      <c r="X30" s="13"/>
      <c r="Y30" s="13"/>
      <c r="Z30" s="45"/>
      <c r="AA30" s="42" t="s">
        <v>107</v>
      </c>
      <c r="AB30" s="42" t="s">
        <v>436</v>
      </c>
      <c r="AC30" s="42" t="s">
        <v>107</v>
      </c>
      <c r="AD30" s="45" t="s">
        <v>436</v>
      </c>
      <c r="AE30" s="45">
        <v>1</v>
      </c>
      <c r="AF30" s="45" t="s">
        <v>687</v>
      </c>
      <c r="AG30" s="45" t="s">
        <v>937</v>
      </c>
      <c r="AH30" s="45" t="s">
        <v>93</v>
      </c>
      <c r="AI30" s="45" t="s">
        <v>111</v>
      </c>
      <c r="AJ30" s="45">
        <v>2304000</v>
      </c>
      <c r="AK30" s="45">
        <v>2304000</v>
      </c>
      <c r="AL30" s="45" t="s">
        <v>111</v>
      </c>
      <c r="AM30" s="13">
        <v>2304000</v>
      </c>
      <c r="AN30" s="13"/>
      <c r="AO30" s="13"/>
      <c r="AP30" s="13"/>
      <c r="AQ30" s="13"/>
      <c r="AR30" s="13" t="s">
        <v>99</v>
      </c>
      <c r="AS30" s="48">
        <v>0</v>
      </c>
      <c r="AT30" s="48">
        <v>0</v>
      </c>
      <c r="AU30" s="48"/>
      <c r="AV30" s="48" t="s">
        <v>1559</v>
      </c>
      <c r="AW30" s="48"/>
      <c r="AX30" s="48"/>
      <c r="AY30" s="48" t="s">
        <v>1561</v>
      </c>
      <c r="AZ30" s="48"/>
      <c r="BA30" s="45" t="s">
        <v>16</v>
      </c>
      <c r="BB30" s="13"/>
      <c r="BC30" s="13"/>
      <c r="BD30" s="12">
        <v>1520686.0800000001</v>
      </c>
      <c r="BE30" s="12">
        <v>0</v>
      </c>
      <c r="BF30" s="2"/>
      <c r="BG30" s="2"/>
    </row>
    <row r="31" spans="1:59" ht="12.5" x14ac:dyDescent="0.25">
      <c r="A31" s="186">
        <v>46054</v>
      </c>
      <c r="B31" s="43" t="s">
        <v>103</v>
      </c>
      <c r="C31" s="43" t="s">
        <v>107</v>
      </c>
      <c r="D31" s="43" t="s">
        <v>105</v>
      </c>
      <c r="E31" s="43">
        <v>3050535</v>
      </c>
      <c r="F31" s="43" t="s">
        <v>1562</v>
      </c>
      <c r="G31" s="43" t="s">
        <v>272</v>
      </c>
      <c r="H31" s="43" t="s">
        <v>272</v>
      </c>
      <c r="I31" s="43"/>
      <c r="J31" s="42" t="s">
        <v>514</v>
      </c>
      <c r="K31" s="43"/>
      <c r="L31" s="42" t="s">
        <v>1558</v>
      </c>
      <c r="M31" s="42" t="s">
        <v>687</v>
      </c>
      <c r="N31" s="43"/>
      <c r="O31" s="45" t="s">
        <v>111</v>
      </c>
      <c r="P31" s="13">
        <v>1745729.16</v>
      </c>
      <c r="Q31" s="13"/>
      <c r="R31" s="13"/>
      <c r="S31" s="13"/>
      <c r="T31" s="13" t="s">
        <v>111</v>
      </c>
      <c r="U31" s="13">
        <v>1152216.1599999999</v>
      </c>
      <c r="V31" s="13">
        <v>34</v>
      </c>
      <c r="W31" s="13">
        <v>0</v>
      </c>
      <c r="X31" s="13"/>
      <c r="Y31" s="13"/>
      <c r="Z31" s="45"/>
      <c r="AA31" s="42" t="s">
        <v>107</v>
      </c>
      <c r="AB31" s="42" t="s">
        <v>436</v>
      </c>
      <c r="AC31" s="42" t="s">
        <v>107</v>
      </c>
      <c r="AD31" s="45" t="s">
        <v>436</v>
      </c>
      <c r="AE31" s="45">
        <v>1</v>
      </c>
      <c r="AF31" s="45" t="s">
        <v>687</v>
      </c>
      <c r="AG31" s="45" t="s">
        <v>937</v>
      </c>
      <c r="AH31" s="45" t="s">
        <v>93</v>
      </c>
      <c r="AI31" s="45" t="s">
        <v>111</v>
      </c>
      <c r="AJ31" s="45">
        <v>1745729.16</v>
      </c>
      <c r="AK31" s="45">
        <v>1745729.16</v>
      </c>
      <c r="AL31" s="45" t="s">
        <v>111</v>
      </c>
      <c r="AM31" s="13">
        <v>1745729.16</v>
      </c>
      <c r="AN31" s="13"/>
      <c r="AO31" s="13"/>
      <c r="AP31" s="13"/>
      <c r="AQ31" s="13"/>
      <c r="AR31" s="13" t="s">
        <v>99</v>
      </c>
      <c r="AS31" s="48">
        <v>0</v>
      </c>
      <c r="AT31" s="48">
        <v>0</v>
      </c>
      <c r="AU31" s="48"/>
      <c r="AV31" s="48" t="s">
        <v>1559</v>
      </c>
      <c r="AW31" s="48"/>
      <c r="AX31" s="48"/>
      <c r="AY31" s="48" t="s">
        <v>1561</v>
      </c>
      <c r="AZ31" s="48"/>
      <c r="BA31" s="45" t="s">
        <v>16</v>
      </c>
      <c r="BB31" s="13"/>
      <c r="BC31" s="13"/>
      <c r="BD31" s="12">
        <v>1152216.1599999999</v>
      </c>
      <c r="BE31" s="12">
        <v>0</v>
      </c>
      <c r="BF31" s="2"/>
      <c r="BG31" s="2"/>
    </row>
    <row r="32" spans="1:59" ht="12.5" x14ac:dyDescent="0.25">
      <c r="A32" s="186">
        <v>46054</v>
      </c>
      <c r="B32" s="43" t="s">
        <v>103</v>
      </c>
      <c r="C32" s="43" t="s">
        <v>107</v>
      </c>
      <c r="D32" s="43" t="s">
        <v>105</v>
      </c>
      <c r="E32" s="43">
        <v>3050535</v>
      </c>
      <c r="F32" s="43" t="s">
        <v>1562</v>
      </c>
      <c r="G32" s="43" t="s">
        <v>266</v>
      </c>
      <c r="H32" s="43" t="s">
        <v>266</v>
      </c>
      <c r="I32" s="43"/>
      <c r="J32" s="42" t="s">
        <v>512</v>
      </c>
      <c r="K32" s="43"/>
      <c r="L32" s="42" t="s">
        <v>1558</v>
      </c>
      <c r="M32" s="42" t="s">
        <v>687</v>
      </c>
      <c r="N32" s="43"/>
      <c r="O32" s="45" t="s">
        <v>111</v>
      </c>
      <c r="P32" s="13">
        <v>8088113.9100000001</v>
      </c>
      <c r="Q32" s="13"/>
      <c r="R32" s="13"/>
      <c r="S32" s="13"/>
      <c r="T32" s="13" t="s">
        <v>111</v>
      </c>
      <c r="U32" s="13">
        <v>5338316.9400000004</v>
      </c>
      <c r="V32" s="13">
        <v>34</v>
      </c>
      <c r="W32" s="13">
        <v>0</v>
      </c>
      <c r="X32" s="13"/>
      <c r="Y32" s="13"/>
      <c r="Z32" s="45"/>
      <c r="AA32" s="42" t="s">
        <v>107</v>
      </c>
      <c r="AB32" s="42" t="s">
        <v>436</v>
      </c>
      <c r="AC32" s="42" t="s">
        <v>107</v>
      </c>
      <c r="AD32" s="45" t="s">
        <v>436</v>
      </c>
      <c r="AE32" s="45">
        <v>1</v>
      </c>
      <c r="AF32" s="45" t="s">
        <v>687</v>
      </c>
      <c r="AG32" s="45" t="s">
        <v>937</v>
      </c>
      <c r="AH32" s="45" t="s">
        <v>93</v>
      </c>
      <c r="AI32" s="45" t="s">
        <v>111</v>
      </c>
      <c r="AJ32" s="45">
        <v>8088113.9100000001</v>
      </c>
      <c r="AK32" s="45">
        <v>8088113.9100000001</v>
      </c>
      <c r="AL32" s="45" t="s">
        <v>111</v>
      </c>
      <c r="AM32" s="13">
        <v>8088113.9100000001</v>
      </c>
      <c r="AN32" s="13"/>
      <c r="AO32" s="13"/>
      <c r="AP32" s="13"/>
      <c r="AQ32" s="13"/>
      <c r="AR32" s="13" t="s">
        <v>99</v>
      </c>
      <c r="AS32" s="48">
        <v>0</v>
      </c>
      <c r="AT32" s="48">
        <v>0</v>
      </c>
      <c r="AU32" s="48"/>
      <c r="AV32" s="48" t="s">
        <v>1559</v>
      </c>
      <c r="AW32" s="48"/>
      <c r="AX32" s="48"/>
      <c r="AY32" s="48" t="s">
        <v>1561</v>
      </c>
      <c r="AZ32" s="48"/>
      <c r="BA32" s="45" t="s">
        <v>16</v>
      </c>
      <c r="BB32" s="13"/>
      <c r="BC32" s="13"/>
      <c r="BD32" s="12">
        <v>5338316.9400000004</v>
      </c>
      <c r="BE32" s="12">
        <v>0</v>
      </c>
      <c r="BF32" s="2"/>
      <c r="BG32" s="2"/>
    </row>
    <row r="33" spans="1:59" ht="12.5" x14ac:dyDescent="0.25">
      <c r="A33" s="186">
        <v>46054</v>
      </c>
      <c r="B33" s="43" t="s">
        <v>103</v>
      </c>
      <c r="C33" s="43" t="s">
        <v>107</v>
      </c>
      <c r="D33" s="43" t="s">
        <v>105</v>
      </c>
      <c r="E33" s="43">
        <v>3050535</v>
      </c>
      <c r="F33" s="43" t="s">
        <v>1562</v>
      </c>
      <c r="G33" s="43" t="s">
        <v>211</v>
      </c>
      <c r="H33" s="43" t="s">
        <v>211</v>
      </c>
      <c r="I33" s="43"/>
      <c r="J33" s="42" t="s">
        <v>496</v>
      </c>
      <c r="K33" s="43"/>
      <c r="L33" s="42" t="s">
        <v>1558</v>
      </c>
      <c r="M33" s="42" t="s">
        <v>687</v>
      </c>
      <c r="N33" s="43"/>
      <c r="O33" s="45" t="s">
        <v>111</v>
      </c>
      <c r="P33" s="13">
        <v>1952420.44</v>
      </c>
      <c r="Q33" s="13"/>
      <c r="R33" s="13"/>
      <c r="S33" s="13"/>
      <c r="T33" s="13" t="s">
        <v>111</v>
      </c>
      <c r="U33" s="13">
        <v>1288636.54</v>
      </c>
      <c r="V33" s="13">
        <v>34</v>
      </c>
      <c r="W33" s="13">
        <v>0</v>
      </c>
      <c r="X33" s="13"/>
      <c r="Y33" s="13"/>
      <c r="Z33" s="45"/>
      <c r="AA33" s="42" t="s">
        <v>107</v>
      </c>
      <c r="AB33" s="42" t="s">
        <v>436</v>
      </c>
      <c r="AC33" s="42" t="s">
        <v>107</v>
      </c>
      <c r="AD33" s="45" t="s">
        <v>436</v>
      </c>
      <c r="AE33" s="45">
        <v>1</v>
      </c>
      <c r="AF33" s="45" t="s">
        <v>687</v>
      </c>
      <c r="AG33" s="45" t="s">
        <v>937</v>
      </c>
      <c r="AH33" s="45" t="s">
        <v>93</v>
      </c>
      <c r="AI33" s="45" t="s">
        <v>111</v>
      </c>
      <c r="AJ33" s="45">
        <v>1952420.44</v>
      </c>
      <c r="AK33" s="45">
        <v>1952420.44</v>
      </c>
      <c r="AL33" s="45" t="s">
        <v>111</v>
      </c>
      <c r="AM33" s="13">
        <v>1952420.44</v>
      </c>
      <c r="AN33" s="13"/>
      <c r="AO33" s="13"/>
      <c r="AP33" s="13"/>
      <c r="AQ33" s="13"/>
      <c r="AR33" s="13" t="s">
        <v>99</v>
      </c>
      <c r="AS33" s="48">
        <v>0</v>
      </c>
      <c r="AT33" s="48">
        <v>0</v>
      </c>
      <c r="AU33" s="48"/>
      <c r="AV33" s="48" t="s">
        <v>1559</v>
      </c>
      <c r="AW33" s="48"/>
      <c r="AX33" s="48"/>
      <c r="AY33" s="48" t="s">
        <v>1561</v>
      </c>
      <c r="AZ33" s="48"/>
      <c r="BA33" s="45" t="s">
        <v>16</v>
      </c>
      <c r="BB33" s="13"/>
      <c r="BC33" s="13"/>
      <c r="BD33" s="12">
        <v>1288636.54</v>
      </c>
      <c r="BE33" s="12">
        <v>0</v>
      </c>
      <c r="BF33" s="2"/>
      <c r="BG33" s="2"/>
    </row>
    <row r="34" spans="1:59" ht="12.5" x14ac:dyDescent="0.25">
      <c r="A34" s="186">
        <v>46054</v>
      </c>
      <c r="B34" s="43" t="s">
        <v>103</v>
      </c>
      <c r="C34" s="43" t="s">
        <v>107</v>
      </c>
      <c r="D34" s="43" t="s">
        <v>105</v>
      </c>
      <c r="E34" s="43">
        <v>3050535</v>
      </c>
      <c r="F34" s="43" t="s">
        <v>1562</v>
      </c>
      <c r="G34" s="43" t="s">
        <v>370</v>
      </c>
      <c r="H34" s="43" t="s">
        <v>370</v>
      </c>
      <c r="I34" s="43"/>
      <c r="J34" s="42" t="s">
        <v>543</v>
      </c>
      <c r="K34" s="43"/>
      <c r="L34" s="42" t="s">
        <v>1558</v>
      </c>
      <c r="M34" s="42" t="s">
        <v>687</v>
      </c>
      <c r="N34" s="43"/>
      <c r="O34" s="45" t="s">
        <v>111</v>
      </c>
      <c r="P34" s="13">
        <v>6195989.9900000002</v>
      </c>
      <c r="Q34" s="13"/>
      <c r="R34" s="13"/>
      <c r="S34" s="13"/>
      <c r="T34" s="13" t="s">
        <v>111</v>
      </c>
      <c r="U34" s="13">
        <v>4832872.2</v>
      </c>
      <c r="V34" s="13">
        <v>22</v>
      </c>
      <c r="W34" s="13">
        <v>0</v>
      </c>
      <c r="X34" s="13"/>
      <c r="Y34" s="13"/>
      <c r="Z34" s="45"/>
      <c r="AA34" s="42" t="s">
        <v>107</v>
      </c>
      <c r="AB34" s="42" t="s">
        <v>436</v>
      </c>
      <c r="AC34" s="42" t="s">
        <v>107</v>
      </c>
      <c r="AD34" s="45" t="s">
        <v>436</v>
      </c>
      <c r="AE34" s="45">
        <v>1</v>
      </c>
      <c r="AF34" s="45" t="s">
        <v>687</v>
      </c>
      <c r="AG34" s="45" t="s">
        <v>771</v>
      </c>
      <c r="AH34" s="45" t="s">
        <v>93</v>
      </c>
      <c r="AI34" s="45" t="s">
        <v>111</v>
      </c>
      <c r="AJ34" s="45">
        <v>6195989.9900000002</v>
      </c>
      <c r="AK34" s="45">
        <v>6195989.9900000002</v>
      </c>
      <c r="AL34" s="45" t="s">
        <v>111</v>
      </c>
      <c r="AM34" s="13">
        <v>6195989.9900000002</v>
      </c>
      <c r="AN34" s="13"/>
      <c r="AO34" s="13"/>
      <c r="AP34" s="13"/>
      <c r="AQ34" s="13"/>
      <c r="AR34" s="13" t="s">
        <v>99</v>
      </c>
      <c r="AS34" s="48">
        <v>0</v>
      </c>
      <c r="AT34" s="48">
        <v>0</v>
      </c>
      <c r="AU34" s="48"/>
      <c r="AV34" s="48" t="s">
        <v>1559</v>
      </c>
      <c r="AW34" s="48">
        <v>6200280.3600000003</v>
      </c>
      <c r="AX34" s="48">
        <v>-4290.37</v>
      </c>
      <c r="AY34" s="48" t="s">
        <v>1560</v>
      </c>
      <c r="AZ34" s="48" t="s">
        <v>206</v>
      </c>
      <c r="BA34" s="45" t="s">
        <v>16</v>
      </c>
      <c r="BB34" s="13"/>
      <c r="BC34" s="13"/>
      <c r="BD34" s="12">
        <v>4832872.2</v>
      </c>
      <c r="BE34" s="12">
        <v>0</v>
      </c>
      <c r="BF34" s="2"/>
      <c r="BG34" s="2"/>
    </row>
    <row r="35" spans="1:59" ht="12.5" x14ac:dyDescent="0.25">
      <c r="A35" s="186">
        <v>46054</v>
      </c>
      <c r="B35" s="43" t="s">
        <v>103</v>
      </c>
      <c r="C35" s="43" t="s">
        <v>107</v>
      </c>
      <c r="D35" s="43" t="s">
        <v>105</v>
      </c>
      <c r="E35" s="43">
        <v>3050535</v>
      </c>
      <c r="F35" s="43" t="s">
        <v>1562</v>
      </c>
      <c r="G35" s="43" t="s">
        <v>353</v>
      </c>
      <c r="H35" s="43" t="s">
        <v>353</v>
      </c>
      <c r="I35" s="43"/>
      <c r="J35" s="42" t="s">
        <v>538</v>
      </c>
      <c r="K35" s="43"/>
      <c r="L35" s="42" t="s">
        <v>1558</v>
      </c>
      <c r="M35" s="42" t="s">
        <v>687</v>
      </c>
      <c r="N35" s="43"/>
      <c r="O35" s="45" t="s">
        <v>111</v>
      </c>
      <c r="P35" s="13">
        <v>22444.51</v>
      </c>
      <c r="Q35" s="13"/>
      <c r="R35" s="13"/>
      <c r="S35" s="13"/>
      <c r="T35" s="13" t="s">
        <v>111</v>
      </c>
      <c r="U35" s="13">
        <v>17506.72</v>
      </c>
      <c r="V35" s="13">
        <v>22</v>
      </c>
      <c r="W35" s="13">
        <v>0</v>
      </c>
      <c r="X35" s="13"/>
      <c r="Y35" s="13"/>
      <c r="Z35" s="45"/>
      <c r="AA35" s="42" t="s">
        <v>107</v>
      </c>
      <c r="AB35" s="42" t="s">
        <v>436</v>
      </c>
      <c r="AC35" s="42" t="s">
        <v>107</v>
      </c>
      <c r="AD35" s="45" t="s">
        <v>436</v>
      </c>
      <c r="AE35" s="45">
        <v>1</v>
      </c>
      <c r="AF35" s="45" t="s">
        <v>687</v>
      </c>
      <c r="AG35" s="45" t="s">
        <v>771</v>
      </c>
      <c r="AH35" s="45" t="s">
        <v>93</v>
      </c>
      <c r="AI35" s="45" t="s">
        <v>111</v>
      </c>
      <c r="AJ35" s="45">
        <v>22444.51</v>
      </c>
      <c r="AK35" s="45">
        <v>22444.51</v>
      </c>
      <c r="AL35" s="45" t="s">
        <v>111</v>
      </c>
      <c r="AM35" s="13">
        <v>22444.51</v>
      </c>
      <c r="AN35" s="13"/>
      <c r="AO35" s="13"/>
      <c r="AP35" s="13"/>
      <c r="AQ35" s="13"/>
      <c r="AR35" s="13" t="s">
        <v>99</v>
      </c>
      <c r="AS35" s="48">
        <v>0</v>
      </c>
      <c r="AT35" s="48">
        <v>0</v>
      </c>
      <c r="AU35" s="48"/>
      <c r="AV35" s="48" t="s">
        <v>1559</v>
      </c>
      <c r="AW35" s="48">
        <v>22444.51</v>
      </c>
      <c r="AX35" s="48">
        <v>0</v>
      </c>
      <c r="AY35" s="48" t="s">
        <v>1560</v>
      </c>
      <c r="AZ35" s="48"/>
      <c r="BA35" s="45" t="s">
        <v>16</v>
      </c>
      <c r="BB35" s="13"/>
      <c r="BC35" s="13"/>
      <c r="BD35" s="12">
        <v>17506.72</v>
      </c>
      <c r="BE35" s="12">
        <v>0</v>
      </c>
      <c r="BF35" s="2"/>
      <c r="BG35" s="2"/>
    </row>
    <row r="36" spans="1:59" ht="12.5" x14ac:dyDescent="0.25">
      <c r="A36" s="186">
        <v>46054</v>
      </c>
      <c r="B36" s="43" t="s">
        <v>103</v>
      </c>
      <c r="C36" s="43" t="s">
        <v>107</v>
      </c>
      <c r="D36" s="43" t="s">
        <v>105</v>
      </c>
      <c r="E36" s="43">
        <v>3050535</v>
      </c>
      <c r="F36" s="43" t="s">
        <v>1562</v>
      </c>
      <c r="G36" s="43" t="s">
        <v>230</v>
      </c>
      <c r="H36" s="43" t="s">
        <v>230</v>
      </c>
      <c r="I36" s="43"/>
      <c r="J36" s="42" t="s">
        <v>502</v>
      </c>
      <c r="K36" s="43"/>
      <c r="L36" s="42" t="s">
        <v>1558</v>
      </c>
      <c r="M36" s="42" t="s">
        <v>687</v>
      </c>
      <c r="N36" s="43"/>
      <c r="O36" s="45" t="s">
        <v>111</v>
      </c>
      <c r="P36" s="13">
        <v>893323.9</v>
      </c>
      <c r="Q36" s="13"/>
      <c r="R36" s="13"/>
      <c r="S36" s="13"/>
      <c r="T36" s="13" t="s">
        <v>111</v>
      </c>
      <c r="U36" s="13">
        <v>539991.97</v>
      </c>
      <c r="V36" s="13">
        <v>39.549999999999997</v>
      </c>
      <c r="W36" s="13">
        <v>0</v>
      </c>
      <c r="X36" s="13"/>
      <c r="Y36" s="13"/>
      <c r="Z36" s="45"/>
      <c r="AA36" s="42" t="s">
        <v>107</v>
      </c>
      <c r="AB36" s="42" t="s">
        <v>436</v>
      </c>
      <c r="AC36" s="42" t="s">
        <v>107</v>
      </c>
      <c r="AD36" s="45" t="s">
        <v>436</v>
      </c>
      <c r="AE36" s="45">
        <v>1</v>
      </c>
      <c r="AF36" s="45" t="s">
        <v>687</v>
      </c>
      <c r="AG36" s="45" t="s">
        <v>771</v>
      </c>
      <c r="AH36" s="45" t="s">
        <v>93</v>
      </c>
      <c r="AI36" s="45" t="s">
        <v>111</v>
      </c>
      <c r="AJ36" s="45">
        <v>893323.9</v>
      </c>
      <c r="AK36" s="45">
        <v>893323.9</v>
      </c>
      <c r="AL36" s="45" t="s">
        <v>111</v>
      </c>
      <c r="AM36" s="13">
        <v>893323.9</v>
      </c>
      <c r="AN36" s="13"/>
      <c r="AO36" s="13"/>
      <c r="AP36" s="13"/>
      <c r="AQ36" s="13"/>
      <c r="AR36" s="13" t="s">
        <v>99</v>
      </c>
      <c r="AS36" s="48">
        <v>0</v>
      </c>
      <c r="AT36" s="48">
        <v>0</v>
      </c>
      <c r="AU36" s="48"/>
      <c r="AV36" s="48" t="s">
        <v>1559</v>
      </c>
      <c r="AW36" s="48">
        <v>893323.9</v>
      </c>
      <c r="AX36" s="48">
        <v>0</v>
      </c>
      <c r="AY36" s="48" t="s">
        <v>1560</v>
      </c>
      <c r="AZ36" s="48"/>
      <c r="BA36" s="45" t="s">
        <v>16</v>
      </c>
      <c r="BB36" s="13"/>
      <c r="BC36" s="13"/>
      <c r="BD36" s="12">
        <v>539991.96</v>
      </c>
      <c r="BE36" s="12">
        <v>1.0000000009313226E-2</v>
      </c>
      <c r="BF36" s="2"/>
      <c r="BG36" s="2"/>
    </row>
    <row r="37" spans="1:59" ht="12.5" x14ac:dyDescent="0.25">
      <c r="A37" s="186">
        <v>46054</v>
      </c>
      <c r="B37" s="43" t="s">
        <v>103</v>
      </c>
      <c r="C37" s="43" t="s">
        <v>107</v>
      </c>
      <c r="D37" s="43" t="s">
        <v>105</v>
      </c>
      <c r="E37" s="43">
        <v>3050535</v>
      </c>
      <c r="F37" s="43" t="s">
        <v>1562</v>
      </c>
      <c r="G37" s="43" t="s">
        <v>207</v>
      </c>
      <c r="H37" s="43" t="s">
        <v>207</v>
      </c>
      <c r="I37" s="43"/>
      <c r="J37" s="42" t="s">
        <v>495</v>
      </c>
      <c r="K37" s="43"/>
      <c r="L37" s="42" t="s">
        <v>1558</v>
      </c>
      <c r="M37" s="42" t="s">
        <v>687</v>
      </c>
      <c r="N37" s="43"/>
      <c r="O37" s="45" t="s">
        <v>111</v>
      </c>
      <c r="P37" s="13">
        <v>1677857.16</v>
      </c>
      <c r="Q37" s="13"/>
      <c r="R37" s="13"/>
      <c r="S37" s="13"/>
      <c r="T37" s="13" t="s">
        <v>111</v>
      </c>
      <c r="U37" s="13">
        <v>1014222.71</v>
      </c>
      <c r="V37" s="13">
        <v>39.549999999999997</v>
      </c>
      <c r="W37" s="13">
        <v>0</v>
      </c>
      <c r="X37" s="13"/>
      <c r="Y37" s="13"/>
      <c r="Z37" s="45"/>
      <c r="AA37" s="42" t="s">
        <v>107</v>
      </c>
      <c r="AB37" s="42" t="s">
        <v>436</v>
      </c>
      <c r="AC37" s="42" t="s">
        <v>107</v>
      </c>
      <c r="AD37" s="45" t="s">
        <v>436</v>
      </c>
      <c r="AE37" s="45">
        <v>1</v>
      </c>
      <c r="AF37" s="45" t="s">
        <v>687</v>
      </c>
      <c r="AG37" s="45" t="s">
        <v>771</v>
      </c>
      <c r="AH37" s="45" t="s">
        <v>93</v>
      </c>
      <c r="AI37" s="45" t="s">
        <v>111</v>
      </c>
      <c r="AJ37" s="45">
        <v>1677857.16</v>
      </c>
      <c r="AK37" s="45">
        <v>1677857.16</v>
      </c>
      <c r="AL37" s="45" t="s">
        <v>111</v>
      </c>
      <c r="AM37" s="13">
        <v>1677857.16</v>
      </c>
      <c r="AN37" s="13"/>
      <c r="AO37" s="13"/>
      <c r="AP37" s="13"/>
      <c r="AQ37" s="13"/>
      <c r="AR37" s="13" t="s">
        <v>99</v>
      </c>
      <c r="AS37" s="48">
        <v>0</v>
      </c>
      <c r="AT37" s="48">
        <v>0</v>
      </c>
      <c r="AU37" s="48"/>
      <c r="AV37" s="48" t="s">
        <v>1559</v>
      </c>
      <c r="AW37" s="48">
        <v>1677857.16</v>
      </c>
      <c r="AX37" s="48">
        <v>0</v>
      </c>
      <c r="AY37" s="48" t="s">
        <v>1560</v>
      </c>
      <c r="AZ37" s="48"/>
      <c r="BA37" s="45" t="s">
        <v>16</v>
      </c>
      <c r="BB37" s="13"/>
      <c r="BC37" s="13"/>
      <c r="BD37" s="12">
        <v>1014222.71</v>
      </c>
      <c r="BE37" s="12">
        <v>0</v>
      </c>
      <c r="BF37" s="2"/>
      <c r="BG37" s="2"/>
    </row>
    <row r="38" spans="1:59" ht="12.5" x14ac:dyDescent="0.25">
      <c r="A38" s="186">
        <v>46054</v>
      </c>
      <c r="B38" s="43" t="s">
        <v>103</v>
      </c>
      <c r="C38" s="43" t="s">
        <v>107</v>
      </c>
      <c r="D38" s="43" t="s">
        <v>105</v>
      </c>
      <c r="E38" s="43">
        <v>3050535</v>
      </c>
      <c r="F38" s="43" t="s">
        <v>1562</v>
      </c>
      <c r="G38" s="43" t="s">
        <v>247</v>
      </c>
      <c r="H38" s="43" t="s">
        <v>247</v>
      </c>
      <c r="I38" s="43"/>
      <c r="J38" s="42" t="s">
        <v>507</v>
      </c>
      <c r="K38" s="43"/>
      <c r="L38" s="42" t="s">
        <v>1558</v>
      </c>
      <c r="M38" s="42" t="s">
        <v>687</v>
      </c>
      <c r="N38" s="43"/>
      <c r="O38" s="45" t="s">
        <v>111</v>
      </c>
      <c r="P38" s="13">
        <v>7779983.4400000004</v>
      </c>
      <c r="Q38" s="13"/>
      <c r="R38" s="13"/>
      <c r="S38" s="13"/>
      <c r="T38" s="13" t="s">
        <v>111</v>
      </c>
      <c r="U38" s="13">
        <v>4702805.49</v>
      </c>
      <c r="V38" s="13">
        <v>39.549999999999997</v>
      </c>
      <c r="W38" s="13">
        <v>0</v>
      </c>
      <c r="X38" s="13"/>
      <c r="Y38" s="13"/>
      <c r="Z38" s="45"/>
      <c r="AA38" s="42" t="s">
        <v>107</v>
      </c>
      <c r="AB38" s="42" t="s">
        <v>436</v>
      </c>
      <c r="AC38" s="42" t="s">
        <v>107</v>
      </c>
      <c r="AD38" s="45" t="s">
        <v>436</v>
      </c>
      <c r="AE38" s="45">
        <v>1</v>
      </c>
      <c r="AF38" s="45" t="s">
        <v>687</v>
      </c>
      <c r="AG38" s="45" t="s">
        <v>771</v>
      </c>
      <c r="AH38" s="45" t="s">
        <v>93</v>
      </c>
      <c r="AI38" s="45" t="s">
        <v>111</v>
      </c>
      <c r="AJ38" s="45">
        <v>7779983.4400000004</v>
      </c>
      <c r="AK38" s="45">
        <v>7779983.4400000004</v>
      </c>
      <c r="AL38" s="45" t="s">
        <v>111</v>
      </c>
      <c r="AM38" s="13">
        <v>7779983.4400000004</v>
      </c>
      <c r="AN38" s="13"/>
      <c r="AO38" s="13"/>
      <c r="AP38" s="13"/>
      <c r="AQ38" s="13"/>
      <c r="AR38" s="13" t="s">
        <v>99</v>
      </c>
      <c r="AS38" s="48">
        <v>0</v>
      </c>
      <c r="AT38" s="48">
        <v>0</v>
      </c>
      <c r="AU38" s="48"/>
      <c r="AV38" s="48" t="s">
        <v>1559</v>
      </c>
      <c r="AW38" s="48">
        <v>7779983.4400000004</v>
      </c>
      <c r="AX38" s="48">
        <v>0</v>
      </c>
      <c r="AY38" s="48" t="s">
        <v>1560</v>
      </c>
      <c r="AZ38" s="48"/>
      <c r="BA38" s="45" t="s">
        <v>16</v>
      </c>
      <c r="BB38" s="13"/>
      <c r="BC38" s="13"/>
      <c r="BD38" s="12">
        <v>4702805.49</v>
      </c>
      <c r="BE38" s="12">
        <v>0</v>
      </c>
      <c r="BF38" s="2"/>
      <c r="BG38" s="2"/>
    </row>
    <row r="39" spans="1:59" ht="12.5" x14ac:dyDescent="0.25">
      <c r="A39" s="186">
        <v>46054</v>
      </c>
      <c r="B39" s="43" t="s">
        <v>103</v>
      </c>
      <c r="C39" s="43" t="s">
        <v>107</v>
      </c>
      <c r="D39" s="43" t="s">
        <v>105</v>
      </c>
      <c r="E39" s="43">
        <v>3050535</v>
      </c>
      <c r="F39" s="43" t="s">
        <v>1562</v>
      </c>
      <c r="G39" s="43" t="s">
        <v>227</v>
      </c>
      <c r="H39" s="43" t="s">
        <v>227</v>
      </c>
      <c r="I39" s="43"/>
      <c r="J39" s="42" t="s">
        <v>501</v>
      </c>
      <c r="K39" s="43"/>
      <c r="L39" s="42" t="s">
        <v>1558</v>
      </c>
      <c r="M39" s="42" t="s">
        <v>687</v>
      </c>
      <c r="N39" s="43"/>
      <c r="O39" s="45" t="s">
        <v>111</v>
      </c>
      <c r="P39" s="13">
        <v>3962972.34</v>
      </c>
      <c r="Q39" s="13"/>
      <c r="R39" s="13"/>
      <c r="S39" s="13"/>
      <c r="T39" s="13" t="s">
        <v>111</v>
      </c>
      <c r="U39" s="13">
        <v>2395517.7000000002</v>
      </c>
      <c r="V39" s="13">
        <v>39.549999999999997</v>
      </c>
      <c r="W39" s="13">
        <v>0</v>
      </c>
      <c r="X39" s="13"/>
      <c r="Y39" s="13"/>
      <c r="Z39" s="45"/>
      <c r="AA39" s="42" t="s">
        <v>107</v>
      </c>
      <c r="AB39" s="42" t="s">
        <v>436</v>
      </c>
      <c r="AC39" s="42" t="s">
        <v>107</v>
      </c>
      <c r="AD39" s="45" t="s">
        <v>436</v>
      </c>
      <c r="AE39" s="45">
        <v>1</v>
      </c>
      <c r="AF39" s="45" t="s">
        <v>687</v>
      </c>
      <c r="AG39" s="45" t="s">
        <v>771</v>
      </c>
      <c r="AH39" s="45" t="s">
        <v>93</v>
      </c>
      <c r="AI39" s="45" t="s">
        <v>111</v>
      </c>
      <c r="AJ39" s="45">
        <v>3962972.34</v>
      </c>
      <c r="AK39" s="45">
        <v>3962972.34</v>
      </c>
      <c r="AL39" s="45" t="s">
        <v>111</v>
      </c>
      <c r="AM39" s="13">
        <v>3962972.34</v>
      </c>
      <c r="AN39" s="13"/>
      <c r="AO39" s="13"/>
      <c r="AP39" s="13"/>
      <c r="AQ39" s="13"/>
      <c r="AR39" s="13" t="s">
        <v>99</v>
      </c>
      <c r="AS39" s="48">
        <v>0</v>
      </c>
      <c r="AT39" s="48">
        <v>0</v>
      </c>
      <c r="AU39" s="48"/>
      <c r="AV39" s="48" t="s">
        <v>1559</v>
      </c>
      <c r="AW39" s="48">
        <v>3962972.35</v>
      </c>
      <c r="AX39" s="48">
        <v>-0.01</v>
      </c>
      <c r="AY39" s="48" t="s">
        <v>1560</v>
      </c>
      <c r="AZ39" s="48"/>
      <c r="BA39" s="45" t="s">
        <v>16</v>
      </c>
      <c r="BB39" s="13"/>
      <c r="BC39" s="13"/>
      <c r="BD39" s="12">
        <v>2395517.71</v>
      </c>
      <c r="BE39" s="12">
        <v>-9.9999997764825821E-3</v>
      </c>
      <c r="BF39" s="2"/>
      <c r="BG39" s="2"/>
    </row>
    <row r="40" spans="1:59" ht="12.5" x14ac:dyDescent="0.25">
      <c r="A40" s="186">
        <v>46054</v>
      </c>
      <c r="B40" s="43" t="s">
        <v>103</v>
      </c>
      <c r="C40" s="43" t="s">
        <v>107</v>
      </c>
      <c r="D40" s="43" t="s">
        <v>105</v>
      </c>
      <c r="E40" s="43">
        <v>3050535</v>
      </c>
      <c r="F40" s="43" t="s">
        <v>1562</v>
      </c>
      <c r="G40" s="43" t="s">
        <v>384</v>
      </c>
      <c r="H40" s="43" t="s">
        <v>384</v>
      </c>
      <c r="I40" s="43"/>
      <c r="J40" s="42" t="s">
        <v>547</v>
      </c>
      <c r="K40" s="43"/>
      <c r="L40" s="42" t="s">
        <v>1558</v>
      </c>
      <c r="M40" s="42" t="s">
        <v>687</v>
      </c>
      <c r="N40" s="43"/>
      <c r="O40" s="45" t="s">
        <v>111</v>
      </c>
      <c r="P40" s="13">
        <v>232244.92</v>
      </c>
      <c r="Q40" s="13"/>
      <c r="R40" s="13"/>
      <c r="S40" s="13"/>
      <c r="T40" s="13" t="s">
        <v>111</v>
      </c>
      <c r="U40" s="13">
        <v>181151.04</v>
      </c>
      <c r="V40" s="13">
        <v>22</v>
      </c>
      <c r="W40" s="13">
        <v>0</v>
      </c>
      <c r="X40" s="13"/>
      <c r="Y40" s="13"/>
      <c r="Z40" s="45"/>
      <c r="AA40" s="42" t="s">
        <v>107</v>
      </c>
      <c r="AB40" s="42" t="s">
        <v>436</v>
      </c>
      <c r="AC40" s="42" t="s">
        <v>107</v>
      </c>
      <c r="AD40" s="45" t="s">
        <v>436</v>
      </c>
      <c r="AE40" s="45">
        <v>1</v>
      </c>
      <c r="AF40" s="45" t="s">
        <v>687</v>
      </c>
      <c r="AG40" s="45" t="s">
        <v>771</v>
      </c>
      <c r="AH40" s="45" t="s">
        <v>93</v>
      </c>
      <c r="AI40" s="45" t="s">
        <v>111</v>
      </c>
      <c r="AJ40" s="45">
        <v>232244.92</v>
      </c>
      <c r="AK40" s="45">
        <v>232244.92</v>
      </c>
      <c r="AL40" s="45" t="s">
        <v>111</v>
      </c>
      <c r="AM40" s="13">
        <v>232244.92</v>
      </c>
      <c r="AN40" s="13"/>
      <c r="AO40" s="13"/>
      <c r="AP40" s="13"/>
      <c r="AQ40" s="13"/>
      <c r="AR40" s="13" t="s">
        <v>99</v>
      </c>
      <c r="AS40" s="48">
        <v>0</v>
      </c>
      <c r="AT40" s="48">
        <v>0</v>
      </c>
      <c r="AU40" s="48"/>
      <c r="AV40" s="48" t="s">
        <v>1559</v>
      </c>
      <c r="AW40" s="48">
        <v>232244.92</v>
      </c>
      <c r="AX40" s="48">
        <v>0</v>
      </c>
      <c r="AY40" s="48" t="s">
        <v>1560</v>
      </c>
      <c r="AZ40" s="48"/>
      <c r="BA40" s="45" t="s">
        <v>16</v>
      </c>
      <c r="BB40" s="13"/>
      <c r="BC40" s="13"/>
      <c r="BD40" s="12">
        <v>181151.04</v>
      </c>
      <c r="BE40" s="12">
        <v>0</v>
      </c>
      <c r="BF40" s="2"/>
      <c r="BG40" s="2"/>
    </row>
    <row r="41" spans="1:59" ht="12.5" x14ac:dyDescent="0.25">
      <c r="A41" s="186">
        <v>46054</v>
      </c>
      <c r="B41" s="43" t="s">
        <v>103</v>
      </c>
      <c r="C41" s="43" t="s">
        <v>107</v>
      </c>
      <c r="D41" s="43" t="s">
        <v>105</v>
      </c>
      <c r="E41" s="43">
        <v>3050535</v>
      </c>
      <c r="F41" s="43" t="s">
        <v>1562</v>
      </c>
      <c r="G41" s="43" t="s">
        <v>155</v>
      </c>
      <c r="H41" s="43" t="s">
        <v>155</v>
      </c>
      <c r="I41" s="43"/>
      <c r="J41" s="42" t="s">
        <v>479</v>
      </c>
      <c r="K41" s="43"/>
      <c r="L41" s="42" t="s">
        <v>1558</v>
      </c>
      <c r="M41" s="42" t="s">
        <v>687</v>
      </c>
      <c r="N41" s="43"/>
      <c r="O41" s="45" t="s">
        <v>111</v>
      </c>
      <c r="P41" s="13">
        <v>3110400</v>
      </c>
      <c r="Q41" s="13"/>
      <c r="R41" s="13"/>
      <c r="S41" s="13"/>
      <c r="T41" s="13" t="s">
        <v>111</v>
      </c>
      <c r="U41" s="13">
        <v>1880159.04</v>
      </c>
      <c r="V41" s="13">
        <v>39.549999999999997</v>
      </c>
      <c r="W41" s="13">
        <v>0</v>
      </c>
      <c r="X41" s="13"/>
      <c r="Y41" s="13"/>
      <c r="Z41" s="45"/>
      <c r="AA41" s="42" t="s">
        <v>107</v>
      </c>
      <c r="AB41" s="42" t="s">
        <v>436</v>
      </c>
      <c r="AC41" s="42" t="s">
        <v>107</v>
      </c>
      <c r="AD41" s="45" t="s">
        <v>436</v>
      </c>
      <c r="AE41" s="45">
        <v>1</v>
      </c>
      <c r="AF41" s="45" t="s">
        <v>687</v>
      </c>
      <c r="AG41" s="45" t="s">
        <v>771</v>
      </c>
      <c r="AH41" s="45" t="s">
        <v>93</v>
      </c>
      <c r="AI41" s="45" t="s">
        <v>111</v>
      </c>
      <c r="AJ41" s="45">
        <v>3110400</v>
      </c>
      <c r="AK41" s="45">
        <v>3110400</v>
      </c>
      <c r="AL41" s="45" t="s">
        <v>111</v>
      </c>
      <c r="AM41" s="13">
        <v>3110400</v>
      </c>
      <c r="AN41" s="13"/>
      <c r="AO41" s="13"/>
      <c r="AP41" s="13"/>
      <c r="AQ41" s="13"/>
      <c r="AR41" s="13" t="s">
        <v>99</v>
      </c>
      <c r="AS41" s="48">
        <v>0</v>
      </c>
      <c r="AT41" s="48">
        <v>0</v>
      </c>
      <c r="AU41" s="48"/>
      <c r="AV41" s="48" t="s">
        <v>1559</v>
      </c>
      <c r="AW41" s="48">
        <v>3110400</v>
      </c>
      <c r="AX41" s="48">
        <v>0</v>
      </c>
      <c r="AY41" s="48" t="s">
        <v>1560</v>
      </c>
      <c r="AZ41" s="48"/>
      <c r="BA41" s="45" t="s">
        <v>16</v>
      </c>
      <c r="BB41" s="13"/>
      <c r="BC41" s="13"/>
      <c r="BD41" s="12">
        <v>1880159.04</v>
      </c>
      <c r="BE41" s="12">
        <v>0</v>
      </c>
      <c r="BF41" s="2"/>
      <c r="BG41" s="2"/>
    </row>
    <row r="42" spans="1:59" ht="12.5" x14ac:dyDescent="0.25">
      <c r="A42" s="186">
        <v>46054</v>
      </c>
      <c r="B42" s="43" t="s">
        <v>103</v>
      </c>
      <c r="C42" s="43" t="s">
        <v>107</v>
      </c>
      <c r="D42" s="43" t="s">
        <v>105</v>
      </c>
      <c r="E42" s="43">
        <v>3050535</v>
      </c>
      <c r="F42" s="43" t="s">
        <v>1562</v>
      </c>
      <c r="G42" s="43" t="s">
        <v>293</v>
      </c>
      <c r="H42" s="43" t="s">
        <v>293</v>
      </c>
      <c r="I42" s="43"/>
      <c r="J42" s="42" t="s">
        <v>520</v>
      </c>
      <c r="K42" s="43"/>
      <c r="L42" s="42" t="s">
        <v>1558</v>
      </c>
      <c r="M42" s="42" t="s">
        <v>687</v>
      </c>
      <c r="N42" s="43"/>
      <c r="O42" s="45" t="s">
        <v>111</v>
      </c>
      <c r="P42" s="13">
        <v>3110400</v>
      </c>
      <c r="Q42" s="13"/>
      <c r="R42" s="13"/>
      <c r="S42" s="13"/>
      <c r="T42" s="13" t="s">
        <v>111</v>
      </c>
      <c r="U42" s="13">
        <v>1880159.04</v>
      </c>
      <c r="V42" s="13">
        <v>39.549999999999997</v>
      </c>
      <c r="W42" s="13">
        <v>0</v>
      </c>
      <c r="X42" s="13"/>
      <c r="Y42" s="13"/>
      <c r="Z42" s="45"/>
      <c r="AA42" s="42" t="s">
        <v>107</v>
      </c>
      <c r="AB42" s="42" t="s">
        <v>436</v>
      </c>
      <c r="AC42" s="42" t="s">
        <v>107</v>
      </c>
      <c r="AD42" s="45" t="s">
        <v>436</v>
      </c>
      <c r="AE42" s="45">
        <v>1</v>
      </c>
      <c r="AF42" s="45" t="s">
        <v>687</v>
      </c>
      <c r="AG42" s="45" t="s">
        <v>771</v>
      </c>
      <c r="AH42" s="45" t="s">
        <v>93</v>
      </c>
      <c r="AI42" s="45" t="s">
        <v>111</v>
      </c>
      <c r="AJ42" s="45">
        <v>3110400</v>
      </c>
      <c r="AK42" s="45">
        <v>3110400</v>
      </c>
      <c r="AL42" s="45" t="s">
        <v>111</v>
      </c>
      <c r="AM42" s="13">
        <v>3110400</v>
      </c>
      <c r="AN42" s="13"/>
      <c r="AO42" s="13"/>
      <c r="AP42" s="13"/>
      <c r="AQ42" s="13"/>
      <c r="AR42" s="13" t="s">
        <v>99</v>
      </c>
      <c r="AS42" s="48">
        <v>0</v>
      </c>
      <c r="AT42" s="48">
        <v>0</v>
      </c>
      <c r="AU42" s="48"/>
      <c r="AV42" s="48" t="s">
        <v>1559</v>
      </c>
      <c r="AW42" s="48">
        <v>3110400</v>
      </c>
      <c r="AX42" s="48">
        <v>0</v>
      </c>
      <c r="AY42" s="48" t="s">
        <v>1560</v>
      </c>
      <c r="AZ42" s="48"/>
      <c r="BA42" s="45" t="s">
        <v>16</v>
      </c>
      <c r="BB42" s="13"/>
      <c r="BC42" s="13"/>
      <c r="BD42" s="12">
        <v>1880159.04</v>
      </c>
      <c r="BE42" s="12">
        <v>0</v>
      </c>
      <c r="BF42" s="2"/>
      <c r="BG42" s="2"/>
    </row>
    <row r="43" spans="1:59" ht="12.5" x14ac:dyDescent="0.25">
      <c r="A43" s="186">
        <v>46054</v>
      </c>
      <c r="B43" s="43" t="s">
        <v>103</v>
      </c>
      <c r="C43" s="43" t="s">
        <v>107</v>
      </c>
      <c r="D43" s="43" t="s">
        <v>105</v>
      </c>
      <c r="E43" s="43">
        <v>3050535</v>
      </c>
      <c r="F43" s="43" t="s">
        <v>1562</v>
      </c>
      <c r="G43" s="43" t="s">
        <v>239</v>
      </c>
      <c r="H43" s="43" t="s">
        <v>239</v>
      </c>
      <c r="I43" s="43"/>
      <c r="J43" s="42" t="s">
        <v>505</v>
      </c>
      <c r="K43" s="43"/>
      <c r="L43" s="42" t="s">
        <v>1558</v>
      </c>
      <c r="M43" s="42" t="s">
        <v>687</v>
      </c>
      <c r="N43" s="43"/>
      <c r="O43" s="45" t="s">
        <v>111</v>
      </c>
      <c r="P43" s="13">
        <v>4381827.87</v>
      </c>
      <c r="Q43" s="13"/>
      <c r="R43" s="13"/>
      <c r="S43" s="13"/>
      <c r="T43" s="13" t="s">
        <v>111</v>
      </c>
      <c r="U43" s="13">
        <v>2648705.4</v>
      </c>
      <c r="V43" s="13">
        <v>39.549999999999997</v>
      </c>
      <c r="W43" s="13">
        <v>0</v>
      </c>
      <c r="X43" s="13"/>
      <c r="Y43" s="13"/>
      <c r="Z43" s="45" t="s">
        <v>206</v>
      </c>
      <c r="AA43" s="42" t="s">
        <v>107</v>
      </c>
      <c r="AB43" s="42" t="s">
        <v>436</v>
      </c>
      <c r="AC43" s="42" t="s">
        <v>107</v>
      </c>
      <c r="AD43" s="45" t="s">
        <v>436</v>
      </c>
      <c r="AE43" s="45">
        <v>1</v>
      </c>
      <c r="AF43" s="45" t="s">
        <v>687</v>
      </c>
      <c r="AG43" s="45" t="s">
        <v>771</v>
      </c>
      <c r="AH43" s="45" t="s">
        <v>93</v>
      </c>
      <c r="AI43" s="45" t="s">
        <v>111</v>
      </c>
      <c r="AJ43" s="45">
        <v>4381827.7699999996</v>
      </c>
      <c r="AK43" s="45">
        <v>4381827.7699999996</v>
      </c>
      <c r="AL43" s="45" t="s">
        <v>111</v>
      </c>
      <c r="AM43" s="13">
        <v>4381827.7699999996</v>
      </c>
      <c r="AN43" s="13"/>
      <c r="AO43" s="13"/>
      <c r="AP43" s="13"/>
      <c r="AQ43" s="13"/>
      <c r="AR43" s="13" t="s">
        <v>99</v>
      </c>
      <c r="AS43" s="48">
        <v>0.1</v>
      </c>
      <c r="AT43" s="48">
        <v>0.1</v>
      </c>
      <c r="AU43" s="48"/>
      <c r="AV43" s="48" t="s">
        <v>1559</v>
      </c>
      <c r="AW43" s="48">
        <v>4387094.46</v>
      </c>
      <c r="AX43" s="48">
        <v>-5266.59</v>
      </c>
      <c r="AY43" s="48" t="s">
        <v>1560</v>
      </c>
      <c r="AZ43" s="48" t="s">
        <v>206</v>
      </c>
      <c r="BA43" s="45" t="s">
        <v>16</v>
      </c>
      <c r="BB43" s="13"/>
      <c r="BC43" s="13"/>
      <c r="BD43" s="12">
        <v>2648705.4</v>
      </c>
      <c r="BE43" s="12">
        <v>0</v>
      </c>
      <c r="BF43" s="2"/>
      <c r="BG43" s="2"/>
    </row>
    <row r="44" spans="1:59" ht="12.5" x14ac:dyDescent="0.25">
      <c r="A44" s="186">
        <v>46054</v>
      </c>
      <c r="B44" s="43" t="s">
        <v>103</v>
      </c>
      <c r="C44" s="43" t="s">
        <v>107</v>
      </c>
      <c r="D44" s="43" t="s">
        <v>105</v>
      </c>
      <c r="E44" s="43">
        <v>3050535</v>
      </c>
      <c r="F44" s="43" t="s">
        <v>1562</v>
      </c>
      <c r="G44" s="43" t="s">
        <v>359</v>
      </c>
      <c r="H44" s="43" t="s">
        <v>359</v>
      </c>
      <c r="I44" s="43"/>
      <c r="J44" s="42" t="s">
        <v>540</v>
      </c>
      <c r="K44" s="43"/>
      <c r="L44" s="42" t="s">
        <v>1558</v>
      </c>
      <c r="M44" s="42" t="s">
        <v>687</v>
      </c>
      <c r="N44" s="43"/>
      <c r="O44" s="45" t="s">
        <v>111</v>
      </c>
      <c r="P44" s="13">
        <v>2113734.34</v>
      </c>
      <c r="Q44" s="13"/>
      <c r="R44" s="13"/>
      <c r="S44" s="13"/>
      <c r="T44" s="13" t="s">
        <v>111</v>
      </c>
      <c r="U44" s="13">
        <v>1648712.78</v>
      </c>
      <c r="V44" s="13">
        <v>22</v>
      </c>
      <c r="W44" s="13">
        <v>0</v>
      </c>
      <c r="X44" s="13"/>
      <c r="Y44" s="13"/>
      <c r="Z44" s="45"/>
      <c r="AA44" s="42" t="s">
        <v>107</v>
      </c>
      <c r="AB44" s="42" t="s">
        <v>436</v>
      </c>
      <c r="AC44" s="42" t="s">
        <v>107</v>
      </c>
      <c r="AD44" s="45" t="s">
        <v>436</v>
      </c>
      <c r="AE44" s="45">
        <v>1</v>
      </c>
      <c r="AF44" s="45" t="s">
        <v>687</v>
      </c>
      <c r="AG44" s="45" t="s">
        <v>771</v>
      </c>
      <c r="AH44" s="45" t="s">
        <v>93</v>
      </c>
      <c r="AI44" s="45" t="s">
        <v>111</v>
      </c>
      <c r="AJ44" s="45">
        <v>2113734.34</v>
      </c>
      <c r="AK44" s="45">
        <v>2113734.34</v>
      </c>
      <c r="AL44" s="45" t="s">
        <v>111</v>
      </c>
      <c r="AM44" s="13">
        <v>2113734.34</v>
      </c>
      <c r="AN44" s="13"/>
      <c r="AO44" s="13"/>
      <c r="AP44" s="13"/>
      <c r="AQ44" s="13"/>
      <c r="AR44" s="13" t="s">
        <v>99</v>
      </c>
      <c r="AS44" s="48">
        <v>0</v>
      </c>
      <c r="AT44" s="48">
        <v>0</v>
      </c>
      <c r="AU44" s="48"/>
      <c r="AV44" s="48" t="s">
        <v>1559</v>
      </c>
      <c r="AW44" s="48">
        <v>2113734.34</v>
      </c>
      <c r="AX44" s="48">
        <v>0</v>
      </c>
      <c r="AY44" s="48" t="s">
        <v>1560</v>
      </c>
      <c r="AZ44" s="48"/>
      <c r="BA44" s="45" t="s">
        <v>16</v>
      </c>
      <c r="BB44" s="13"/>
      <c r="BC44" s="13"/>
      <c r="BD44" s="12">
        <v>1648712.79</v>
      </c>
      <c r="BE44" s="12">
        <v>-1.0000000009313226E-2</v>
      </c>
      <c r="BF44" s="2"/>
      <c r="BG44" s="2"/>
    </row>
    <row r="45" spans="1:59" ht="12.5" x14ac:dyDescent="0.25">
      <c r="A45" s="186">
        <v>46054</v>
      </c>
      <c r="B45" s="43" t="s">
        <v>103</v>
      </c>
      <c r="C45" s="43" t="s">
        <v>107</v>
      </c>
      <c r="D45" s="43" t="s">
        <v>105</v>
      </c>
      <c r="E45" s="43">
        <v>3050535</v>
      </c>
      <c r="F45" s="43" t="s">
        <v>1562</v>
      </c>
      <c r="G45" s="43" t="s">
        <v>387</v>
      </c>
      <c r="H45" s="43" t="s">
        <v>387</v>
      </c>
      <c r="I45" s="43"/>
      <c r="J45" s="42" t="s">
        <v>548</v>
      </c>
      <c r="K45" s="43"/>
      <c r="L45" s="42" t="s">
        <v>1558</v>
      </c>
      <c r="M45" s="42" t="s">
        <v>687</v>
      </c>
      <c r="N45" s="43"/>
      <c r="O45" s="45" t="s">
        <v>111</v>
      </c>
      <c r="P45" s="13">
        <v>298515.78999999998</v>
      </c>
      <c r="Q45" s="13"/>
      <c r="R45" s="13"/>
      <c r="S45" s="13"/>
      <c r="T45" s="13" t="s">
        <v>111</v>
      </c>
      <c r="U45" s="13">
        <v>232842.32</v>
      </c>
      <c r="V45" s="13">
        <v>22</v>
      </c>
      <c r="W45" s="13">
        <v>0</v>
      </c>
      <c r="X45" s="13"/>
      <c r="Y45" s="13"/>
      <c r="Z45" s="45"/>
      <c r="AA45" s="42" t="s">
        <v>107</v>
      </c>
      <c r="AB45" s="42" t="s">
        <v>436</v>
      </c>
      <c r="AC45" s="42" t="s">
        <v>107</v>
      </c>
      <c r="AD45" s="45" t="s">
        <v>436</v>
      </c>
      <c r="AE45" s="45">
        <v>1</v>
      </c>
      <c r="AF45" s="45" t="s">
        <v>687</v>
      </c>
      <c r="AG45" s="45" t="s">
        <v>771</v>
      </c>
      <c r="AH45" s="45" t="s">
        <v>93</v>
      </c>
      <c r="AI45" s="45" t="s">
        <v>111</v>
      </c>
      <c r="AJ45" s="45">
        <v>298515.78999999998</v>
      </c>
      <c r="AK45" s="45">
        <v>298515.78999999998</v>
      </c>
      <c r="AL45" s="45" t="s">
        <v>111</v>
      </c>
      <c r="AM45" s="13">
        <v>298515.78999999998</v>
      </c>
      <c r="AN45" s="13"/>
      <c r="AO45" s="13"/>
      <c r="AP45" s="13"/>
      <c r="AQ45" s="13"/>
      <c r="AR45" s="13" t="s">
        <v>99</v>
      </c>
      <c r="AS45" s="48">
        <v>0</v>
      </c>
      <c r="AT45" s="48">
        <v>0</v>
      </c>
      <c r="AU45" s="48"/>
      <c r="AV45" s="48" t="s">
        <v>1559</v>
      </c>
      <c r="AW45" s="48">
        <v>298515.78999999998</v>
      </c>
      <c r="AX45" s="48">
        <v>0</v>
      </c>
      <c r="AY45" s="48" t="s">
        <v>1560</v>
      </c>
      <c r="AZ45" s="48"/>
      <c r="BA45" s="45" t="s">
        <v>16</v>
      </c>
      <c r="BB45" s="13"/>
      <c r="BC45" s="13"/>
      <c r="BD45" s="12">
        <v>232842.32</v>
      </c>
      <c r="BE45" s="12">
        <v>0</v>
      </c>
      <c r="BF45" s="2"/>
      <c r="BG45" s="2"/>
    </row>
    <row r="46" spans="1:59" ht="12.5" x14ac:dyDescent="0.25">
      <c r="A46" s="186">
        <v>46054</v>
      </c>
      <c r="B46" s="43" t="s">
        <v>103</v>
      </c>
      <c r="C46" s="43" t="s">
        <v>107</v>
      </c>
      <c r="D46" s="43" t="s">
        <v>105</v>
      </c>
      <c r="E46" s="43">
        <v>3050535</v>
      </c>
      <c r="F46" s="43" t="s">
        <v>1562</v>
      </c>
      <c r="G46" s="43" t="s">
        <v>391</v>
      </c>
      <c r="H46" s="43" t="s">
        <v>391</v>
      </c>
      <c r="I46" s="43"/>
      <c r="J46" s="42" t="s">
        <v>550</v>
      </c>
      <c r="K46" s="43"/>
      <c r="L46" s="42" t="s">
        <v>1558</v>
      </c>
      <c r="M46" s="42" t="s">
        <v>687</v>
      </c>
      <c r="N46" s="43"/>
      <c r="O46" s="45" t="s">
        <v>111</v>
      </c>
      <c r="P46" s="13">
        <v>1585096.5</v>
      </c>
      <c r="Q46" s="13"/>
      <c r="R46" s="13"/>
      <c r="S46" s="13"/>
      <c r="T46" s="13" t="s">
        <v>111</v>
      </c>
      <c r="U46" s="13">
        <v>1236375.27</v>
      </c>
      <c r="V46" s="13">
        <v>22</v>
      </c>
      <c r="W46" s="13">
        <v>0</v>
      </c>
      <c r="X46" s="13"/>
      <c r="Y46" s="13"/>
      <c r="Z46" s="45"/>
      <c r="AA46" s="42" t="s">
        <v>107</v>
      </c>
      <c r="AB46" s="42" t="s">
        <v>436</v>
      </c>
      <c r="AC46" s="42" t="s">
        <v>107</v>
      </c>
      <c r="AD46" s="45" t="s">
        <v>436</v>
      </c>
      <c r="AE46" s="45">
        <v>1</v>
      </c>
      <c r="AF46" s="45" t="s">
        <v>687</v>
      </c>
      <c r="AG46" s="45" t="s">
        <v>771</v>
      </c>
      <c r="AH46" s="45" t="s">
        <v>93</v>
      </c>
      <c r="AI46" s="45" t="s">
        <v>111</v>
      </c>
      <c r="AJ46" s="45">
        <v>1585096.5</v>
      </c>
      <c r="AK46" s="45">
        <v>1585096.5</v>
      </c>
      <c r="AL46" s="45" t="s">
        <v>111</v>
      </c>
      <c r="AM46" s="13">
        <v>1585096.5</v>
      </c>
      <c r="AN46" s="13"/>
      <c r="AO46" s="13"/>
      <c r="AP46" s="13"/>
      <c r="AQ46" s="13"/>
      <c r="AR46" s="13" t="s">
        <v>99</v>
      </c>
      <c r="AS46" s="48">
        <v>0</v>
      </c>
      <c r="AT46" s="48">
        <v>0</v>
      </c>
      <c r="AU46" s="48"/>
      <c r="AV46" s="48" t="s">
        <v>1559</v>
      </c>
      <c r="AW46" s="48">
        <v>1585096.5</v>
      </c>
      <c r="AX46" s="48">
        <v>0</v>
      </c>
      <c r="AY46" s="48" t="s">
        <v>1560</v>
      </c>
      <c r="AZ46" s="48"/>
      <c r="BA46" s="45" t="s">
        <v>16</v>
      </c>
      <c r="BB46" s="13"/>
      <c r="BC46" s="13"/>
      <c r="BD46" s="12">
        <v>1236375.27</v>
      </c>
      <c r="BE46" s="12">
        <v>0</v>
      </c>
      <c r="BF46" s="2"/>
      <c r="BG46" s="2"/>
    </row>
    <row r="47" spans="1:59" ht="12.5" x14ac:dyDescent="0.25">
      <c r="A47" s="186">
        <v>46054</v>
      </c>
      <c r="B47" s="43" t="s">
        <v>103</v>
      </c>
      <c r="C47" s="43" t="s">
        <v>107</v>
      </c>
      <c r="D47" s="43" t="s">
        <v>105</v>
      </c>
      <c r="E47" s="43">
        <v>3050535</v>
      </c>
      <c r="F47" s="43" t="s">
        <v>1562</v>
      </c>
      <c r="G47" s="43" t="s">
        <v>159</v>
      </c>
      <c r="H47" s="43" t="s">
        <v>159</v>
      </c>
      <c r="I47" s="43"/>
      <c r="J47" s="42" t="s">
        <v>480</v>
      </c>
      <c r="K47" s="43"/>
      <c r="L47" s="42" t="s">
        <v>1558</v>
      </c>
      <c r="M47" s="42" t="s">
        <v>687</v>
      </c>
      <c r="N47" s="43"/>
      <c r="O47" s="45" t="s">
        <v>111</v>
      </c>
      <c r="P47" s="13">
        <v>3110400</v>
      </c>
      <c r="Q47" s="13"/>
      <c r="R47" s="13"/>
      <c r="S47" s="13"/>
      <c r="T47" s="13" t="s">
        <v>111</v>
      </c>
      <c r="U47" s="13">
        <v>1880159.04</v>
      </c>
      <c r="V47" s="13">
        <v>39.549999999999997</v>
      </c>
      <c r="W47" s="13">
        <v>0</v>
      </c>
      <c r="X47" s="13"/>
      <c r="Y47" s="13"/>
      <c r="Z47" s="45"/>
      <c r="AA47" s="42" t="s">
        <v>107</v>
      </c>
      <c r="AB47" s="42" t="s">
        <v>436</v>
      </c>
      <c r="AC47" s="42" t="s">
        <v>107</v>
      </c>
      <c r="AD47" s="45" t="s">
        <v>436</v>
      </c>
      <c r="AE47" s="45">
        <v>1</v>
      </c>
      <c r="AF47" s="45" t="s">
        <v>687</v>
      </c>
      <c r="AG47" s="45" t="s">
        <v>771</v>
      </c>
      <c r="AH47" s="45" t="s">
        <v>93</v>
      </c>
      <c r="AI47" s="45" t="s">
        <v>111</v>
      </c>
      <c r="AJ47" s="45">
        <v>3110400</v>
      </c>
      <c r="AK47" s="45">
        <v>3110400</v>
      </c>
      <c r="AL47" s="45" t="s">
        <v>111</v>
      </c>
      <c r="AM47" s="13">
        <v>3110400</v>
      </c>
      <c r="AN47" s="13"/>
      <c r="AO47" s="13"/>
      <c r="AP47" s="13"/>
      <c r="AQ47" s="13"/>
      <c r="AR47" s="13" t="s">
        <v>99</v>
      </c>
      <c r="AS47" s="48">
        <v>0</v>
      </c>
      <c r="AT47" s="48">
        <v>0</v>
      </c>
      <c r="AU47" s="48"/>
      <c r="AV47" s="48" t="s">
        <v>1559</v>
      </c>
      <c r="AW47" s="48">
        <v>3110400</v>
      </c>
      <c r="AX47" s="48">
        <v>0</v>
      </c>
      <c r="AY47" s="48" t="s">
        <v>1560</v>
      </c>
      <c r="AZ47" s="48"/>
      <c r="BA47" s="45" t="s">
        <v>16</v>
      </c>
      <c r="BB47" s="13"/>
      <c r="BC47" s="13"/>
      <c r="BD47" s="12">
        <v>1880159.04</v>
      </c>
      <c r="BE47" s="12">
        <v>0</v>
      </c>
      <c r="BF47" s="2"/>
      <c r="BG47" s="2"/>
    </row>
    <row r="48" spans="1:59" ht="12.5" x14ac:dyDescent="0.25">
      <c r="A48" s="186">
        <v>46054</v>
      </c>
      <c r="B48" s="43" t="s">
        <v>103</v>
      </c>
      <c r="C48" s="43" t="s">
        <v>107</v>
      </c>
      <c r="D48" s="43" t="s">
        <v>105</v>
      </c>
      <c r="E48" s="43">
        <v>3050535</v>
      </c>
      <c r="F48" s="43" t="s">
        <v>1562</v>
      </c>
      <c r="G48" s="43" t="s">
        <v>233</v>
      </c>
      <c r="H48" s="43" t="s">
        <v>233</v>
      </c>
      <c r="I48" s="43"/>
      <c r="J48" s="42" t="s">
        <v>503</v>
      </c>
      <c r="K48" s="43"/>
      <c r="L48" s="42" t="s">
        <v>1558</v>
      </c>
      <c r="M48" s="42" t="s">
        <v>687</v>
      </c>
      <c r="N48" s="43"/>
      <c r="O48" s="45" t="s">
        <v>111</v>
      </c>
      <c r="P48" s="13">
        <v>4055968.32</v>
      </c>
      <c r="Q48" s="13"/>
      <c r="R48" s="13"/>
      <c r="S48" s="13"/>
      <c r="T48" s="13" t="s">
        <v>111</v>
      </c>
      <c r="U48" s="13">
        <v>2451731.44</v>
      </c>
      <c r="V48" s="13">
        <v>39.549999999999997</v>
      </c>
      <c r="W48" s="13">
        <v>0</v>
      </c>
      <c r="X48" s="13"/>
      <c r="Y48" s="13"/>
      <c r="Z48" s="45"/>
      <c r="AA48" s="42" t="s">
        <v>107</v>
      </c>
      <c r="AB48" s="42" t="s">
        <v>436</v>
      </c>
      <c r="AC48" s="42" t="s">
        <v>107</v>
      </c>
      <c r="AD48" s="45" t="s">
        <v>436</v>
      </c>
      <c r="AE48" s="45">
        <v>1</v>
      </c>
      <c r="AF48" s="45" t="s">
        <v>687</v>
      </c>
      <c r="AG48" s="45" t="s">
        <v>771</v>
      </c>
      <c r="AH48" s="45" t="s">
        <v>93</v>
      </c>
      <c r="AI48" s="45" t="s">
        <v>111</v>
      </c>
      <c r="AJ48" s="45">
        <v>4055968.32</v>
      </c>
      <c r="AK48" s="45">
        <v>4055968.32</v>
      </c>
      <c r="AL48" s="45" t="s">
        <v>111</v>
      </c>
      <c r="AM48" s="13">
        <v>4055968.32</v>
      </c>
      <c r="AN48" s="13"/>
      <c r="AO48" s="13"/>
      <c r="AP48" s="13"/>
      <c r="AQ48" s="13"/>
      <c r="AR48" s="13" t="s">
        <v>99</v>
      </c>
      <c r="AS48" s="48">
        <v>0</v>
      </c>
      <c r="AT48" s="48">
        <v>0</v>
      </c>
      <c r="AU48" s="48"/>
      <c r="AV48" s="48" t="s">
        <v>1559</v>
      </c>
      <c r="AW48" s="48">
        <v>4055968.33</v>
      </c>
      <c r="AX48" s="48">
        <v>-0.01</v>
      </c>
      <c r="AY48" s="48" t="s">
        <v>1560</v>
      </c>
      <c r="AZ48" s="48"/>
      <c r="BA48" s="45" t="s">
        <v>16</v>
      </c>
      <c r="BB48" s="13"/>
      <c r="BC48" s="13"/>
      <c r="BD48" s="12">
        <v>2451731.4500000002</v>
      </c>
      <c r="BE48" s="12">
        <v>-1.0000000242143869E-2</v>
      </c>
      <c r="BF48" s="2"/>
      <c r="BG48" s="2"/>
    </row>
    <row r="49" spans="1:59" ht="12.5" x14ac:dyDescent="0.25">
      <c r="A49" s="186">
        <v>46054</v>
      </c>
      <c r="B49" s="43" t="s">
        <v>103</v>
      </c>
      <c r="C49" s="43" t="s">
        <v>107</v>
      </c>
      <c r="D49" s="43" t="s">
        <v>105</v>
      </c>
      <c r="E49" s="43">
        <v>3050535</v>
      </c>
      <c r="F49" s="43" t="s">
        <v>1562</v>
      </c>
      <c r="G49" s="43" t="s">
        <v>290</v>
      </c>
      <c r="H49" s="43" t="s">
        <v>290</v>
      </c>
      <c r="I49" s="43"/>
      <c r="J49" s="42" t="s">
        <v>519</v>
      </c>
      <c r="K49" s="43"/>
      <c r="L49" s="42" t="s">
        <v>1558</v>
      </c>
      <c r="M49" s="42" t="s">
        <v>687</v>
      </c>
      <c r="N49" s="43"/>
      <c r="O49" s="45" t="s">
        <v>111</v>
      </c>
      <c r="P49" s="13">
        <v>1419697.03</v>
      </c>
      <c r="Q49" s="13"/>
      <c r="R49" s="13"/>
      <c r="S49" s="13"/>
      <c r="T49" s="13" t="s">
        <v>111</v>
      </c>
      <c r="U49" s="13">
        <v>858171.36</v>
      </c>
      <c r="V49" s="13">
        <v>39.549999999999997</v>
      </c>
      <c r="W49" s="13">
        <v>0</v>
      </c>
      <c r="X49" s="13"/>
      <c r="Y49" s="13"/>
      <c r="Z49" s="45"/>
      <c r="AA49" s="42" t="s">
        <v>107</v>
      </c>
      <c r="AB49" s="42" t="s">
        <v>436</v>
      </c>
      <c r="AC49" s="42" t="s">
        <v>107</v>
      </c>
      <c r="AD49" s="45" t="s">
        <v>436</v>
      </c>
      <c r="AE49" s="45">
        <v>1</v>
      </c>
      <c r="AF49" s="45" t="s">
        <v>687</v>
      </c>
      <c r="AG49" s="45" t="s">
        <v>771</v>
      </c>
      <c r="AH49" s="45" t="s">
        <v>93</v>
      </c>
      <c r="AI49" s="45" t="s">
        <v>111</v>
      </c>
      <c r="AJ49" s="45">
        <v>1419697.03</v>
      </c>
      <c r="AK49" s="45">
        <v>1419697.03</v>
      </c>
      <c r="AL49" s="45" t="s">
        <v>111</v>
      </c>
      <c r="AM49" s="13">
        <v>1419697.03</v>
      </c>
      <c r="AN49" s="13"/>
      <c r="AO49" s="13"/>
      <c r="AP49" s="13"/>
      <c r="AQ49" s="13"/>
      <c r="AR49" s="13" t="s">
        <v>99</v>
      </c>
      <c r="AS49" s="48">
        <v>0</v>
      </c>
      <c r="AT49" s="48">
        <v>0</v>
      </c>
      <c r="AU49" s="48"/>
      <c r="AV49" s="48" t="s">
        <v>1559</v>
      </c>
      <c r="AW49" s="48">
        <v>1419697.04</v>
      </c>
      <c r="AX49" s="48">
        <v>-0.01</v>
      </c>
      <c r="AY49" s="48" t="s">
        <v>1560</v>
      </c>
      <c r="AZ49" s="48"/>
      <c r="BA49" s="45" t="s">
        <v>16</v>
      </c>
      <c r="BB49" s="13"/>
      <c r="BC49" s="13"/>
      <c r="BD49" s="12">
        <v>858171.37</v>
      </c>
      <c r="BE49" s="12">
        <v>-1.0000000009313226E-2</v>
      </c>
      <c r="BF49" s="2"/>
      <c r="BG49" s="2"/>
    </row>
    <row r="50" spans="1:59" ht="12.5" x14ac:dyDescent="0.25">
      <c r="A50" s="186">
        <v>46054</v>
      </c>
      <c r="B50" s="43" t="s">
        <v>103</v>
      </c>
      <c r="C50" s="43" t="s">
        <v>107</v>
      </c>
      <c r="D50" s="43" t="s">
        <v>105</v>
      </c>
      <c r="E50" s="43">
        <v>3050535</v>
      </c>
      <c r="F50" s="43" t="s">
        <v>1562</v>
      </c>
      <c r="G50" s="43" t="s">
        <v>377</v>
      </c>
      <c r="H50" s="43" t="s">
        <v>377</v>
      </c>
      <c r="I50" s="43"/>
      <c r="J50" s="42" t="s">
        <v>545</v>
      </c>
      <c r="K50" s="43"/>
      <c r="L50" s="42" t="s">
        <v>1558</v>
      </c>
      <c r="M50" s="42" t="s">
        <v>687</v>
      </c>
      <c r="N50" s="43"/>
      <c r="O50" s="45" t="s">
        <v>111</v>
      </c>
      <c r="P50" s="13">
        <v>2300000</v>
      </c>
      <c r="Q50" s="13"/>
      <c r="R50" s="13"/>
      <c r="S50" s="13"/>
      <c r="T50" s="13" t="s">
        <v>111</v>
      </c>
      <c r="U50" s="13">
        <v>1793999.99</v>
      </c>
      <c r="V50" s="13">
        <v>22</v>
      </c>
      <c r="W50" s="13">
        <v>0</v>
      </c>
      <c r="X50" s="13"/>
      <c r="Y50" s="13"/>
      <c r="Z50" s="45"/>
      <c r="AA50" s="42" t="s">
        <v>107</v>
      </c>
      <c r="AB50" s="42" t="s">
        <v>436</v>
      </c>
      <c r="AC50" s="42" t="s">
        <v>107</v>
      </c>
      <c r="AD50" s="45" t="s">
        <v>436</v>
      </c>
      <c r="AE50" s="45">
        <v>1</v>
      </c>
      <c r="AF50" s="45" t="s">
        <v>687</v>
      </c>
      <c r="AG50" s="45" t="s">
        <v>771</v>
      </c>
      <c r="AH50" s="45" t="s">
        <v>93</v>
      </c>
      <c r="AI50" s="45" t="s">
        <v>111</v>
      </c>
      <c r="AJ50" s="45">
        <v>2300000</v>
      </c>
      <c r="AK50" s="45">
        <v>2300000</v>
      </c>
      <c r="AL50" s="45" t="s">
        <v>111</v>
      </c>
      <c r="AM50" s="13">
        <v>2300000</v>
      </c>
      <c r="AN50" s="13"/>
      <c r="AO50" s="13"/>
      <c r="AP50" s="13"/>
      <c r="AQ50" s="13"/>
      <c r="AR50" s="13" t="s">
        <v>99</v>
      </c>
      <c r="AS50" s="48">
        <v>0</v>
      </c>
      <c r="AT50" s="48">
        <v>0</v>
      </c>
      <c r="AU50" s="48"/>
      <c r="AV50" s="48" t="s">
        <v>1559</v>
      </c>
      <c r="AW50" s="48">
        <v>2302160.9300000002</v>
      </c>
      <c r="AX50" s="48">
        <v>-2160.9299999999998</v>
      </c>
      <c r="AY50" s="48" t="s">
        <v>1560</v>
      </c>
      <c r="AZ50" s="48" t="s">
        <v>206</v>
      </c>
      <c r="BA50" s="45" t="s">
        <v>16</v>
      </c>
      <c r="BB50" s="13"/>
      <c r="BC50" s="13"/>
      <c r="BD50" s="12">
        <v>1794000</v>
      </c>
      <c r="BE50" s="12">
        <v>-1.0000000009313226E-2</v>
      </c>
      <c r="BF50" s="2"/>
      <c r="BG50" s="2"/>
    </row>
    <row r="51" spans="1:59" ht="12.5" x14ac:dyDescent="0.25">
      <c r="A51" s="186">
        <v>46054</v>
      </c>
      <c r="B51" s="43" t="s">
        <v>103</v>
      </c>
      <c r="C51" s="43" t="s">
        <v>107</v>
      </c>
      <c r="D51" s="43" t="s">
        <v>105</v>
      </c>
      <c r="E51" s="43">
        <v>3050535</v>
      </c>
      <c r="F51" s="43" t="s">
        <v>1562</v>
      </c>
      <c r="G51" s="43" t="s">
        <v>325</v>
      </c>
      <c r="H51" s="43" t="s">
        <v>325</v>
      </c>
      <c r="I51" s="43"/>
      <c r="J51" s="42" t="s">
        <v>530</v>
      </c>
      <c r="K51" s="43"/>
      <c r="L51" s="42" t="s">
        <v>1558</v>
      </c>
      <c r="M51" s="42" t="s">
        <v>687</v>
      </c>
      <c r="N51" s="43"/>
      <c r="O51" s="45" t="s">
        <v>111</v>
      </c>
      <c r="P51" s="13">
        <v>4000000</v>
      </c>
      <c r="Q51" s="13"/>
      <c r="R51" s="13"/>
      <c r="S51" s="13"/>
      <c r="T51" s="13" t="s">
        <v>111</v>
      </c>
      <c r="U51" s="13">
        <v>2417900</v>
      </c>
      <c r="V51" s="13">
        <v>39.549999999999997</v>
      </c>
      <c r="W51" s="13">
        <v>0</v>
      </c>
      <c r="X51" s="13"/>
      <c r="Y51" s="13"/>
      <c r="Z51" s="45"/>
      <c r="AA51" s="42" t="s">
        <v>107</v>
      </c>
      <c r="AB51" s="42" t="s">
        <v>436</v>
      </c>
      <c r="AC51" s="42" t="s">
        <v>107</v>
      </c>
      <c r="AD51" s="45" t="s">
        <v>436</v>
      </c>
      <c r="AE51" s="45">
        <v>1</v>
      </c>
      <c r="AF51" s="45" t="s">
        <v>687</v>
      </c>
      <c r="AG51" s="45" t="s">
        <v>874</v>
      </c>
      <c r="AH51" s="45" t="s">
        <v>93</v>
      </c>
      <c r="AI51" s="45" t="s">
        <v>111</v>
      </c>
      <c r="AJ51" s="45">
        <v>4000000</v>
      </c>
      <c r="AK51" s="45">
        <v>4000000</v>
      </c>
      <c r="AL51" s="45" t="s">
        <v>111</v>
      </c>
      <c r="AM51" s="13">
        <v>4000000</v>
      </c>
      <c r="AN51" s="13"/>
      <c r="AO51" s="13"/>
      <c r="AP51" s="13"/>
      <c r="AQ51" s="13"/>
      <c r="AR51" s="13" t="s">
        <v>99</v>
      </c>
      <c r="AS51" s="48">
        <v>0</v>
      </c>
      <c r="AT51" s="48">
        <v>0</v>
      </c>
      <c r="AU51" s="48"/>
      <c r="AV51" s="48" t="s">
        <v>1559</v>
      </c>
      <c r="AW51" s="48">
        <v>4002572.21</v>
      </c>
      <c r="AX51" s="48">
        <v>-2572.21</v>
      </c>
      <c r="AY51" s="48" t="s">
        <v>1560</v>
      </c>
      <c r="AZ51" s="48" t="s">
        <v>206</v>
      </c>
      <c r="BA51" s="45" t="s">
        <v>16</v>
      </c>
      <c r="BB51" s="13"/>
      <c r="BC51" s="13"/>
      <c r="BD51" s="12">
        <v>2417900</v>
      </c>
      <c r="BE51" s="12">
        <v>0</v>
      </c>
      <c r="BF51" s="2"/>
      <c r="BG51" s="2"/>
    </row>
    <row r="52" spans="1:59" ht="12.5" x14ac:dyDescent="0.25">
      <c r="A52" s="186">
        <v>46054</v>
      </c>
      <c r="B52" s="43" t="s">
        <v>103</v>
      </c>
      <c r="C52" s="43" t="s">
        <v>521</v>
      </c>
      <c r="D52" s="43" t="s">
        <v>105</v>
      </c>
      <c r="E52" s="43">
        <v>3050535</v>
      </c>
      <c r="F52" s="43" t="s">
        <v>1562</v>
      </c>
      <c r="G52" s="43" t="s">
        <v>296</v>
      </c>
      <c r="H52" s="43" t="s">
        <v>296</v>
      </c>
      <c r="I52" s="43"/>
      <c r="J52" s="42" t="s">
        <v>522</v>
      </c>
      <c r="K52" s="43"/>
      <c r="L52" s="42" t="s">
        <v>1558</v>
      </c>
      <c r="M52" s="42" t="s">
        <v>687</v>
      </c>
      <c r="N52" s="43"/>
      <c r="O52" s="45" t="s">
        <v>95</v>
      </c>
      <c r="P52" s="13">
        <v>8.35</v>
      </c>
      <c r="Q52" s="13"/>
      <c r="R52" s="13"/>
      <c r="S52" s="13"/>
      <c r="T52" s="13" t="s">
        <v>95</v>
      </c>
      <c r="U52" s="13">
        <v>7.1</v>
      </c>
      <c r="V52" s="13">
        <v>15</v>
      </c>
      <c r="W52" s="13">
        <v>0</v>
      </c>
      <c r="X52" s="13"/>
      <c r="Y52" s="13"/>
      <c r="Z52" s="45"/>
      <c r="AA52" s="42" t="s">
        <v>107</v>
      </c>
      <c r="AB52" s="42" t="s">
        <v>436</v>
      </c>
      <c r="AC52" s="42" t="s">
        <v>107</v>
      </c>
      <c r="AD52" s="45" t="s">
        <v>436</v>
      </c>
      <c r="AE52" s="45">
        <v>1</v>
      </c>
      <c r="AF52" s="45" t="s">
        <v>687</v>
      </c>
      <c r="AG52" s="45" t="s">
        <v>874</v>
      </c>
      <c r="AH52" s="45" t="s">
        <v>93</v>
      </c>
      <c r="AI52" s="45" t="s">
        <v>95</v>
      </c>
      <c r="AJ52" s="45">
        <v>8.35</v>
      </c>
      <c r="AK52" s="45">
        <v>8.35</v>
      </c>
      <c r="AL52" s="45" t="s">
        <v>95</v>
      </c>
      <c r="AM52" s="13">
        <v>8.35</v>
      </c>
      <c r="AN52" s="13"/>
      <c r="AO52" s="13"/>
      <c r="AP52" s="13"/>
      <c r="AQ52" s="13"/>
      <c r="AR52" s="13" t="s">
        <v>99</v>
      </c>
      <c r="AS52" s="48">
        <v>0</v>
      </c>
      <c r="AT52" s="48">
        <v>0</v>
      </c>
      <c r="AU52" s="48"/>
      <c r="AV52" s="48" t="s">
        <v>1559</v>
      </c>
      <c r="AW52" s="48">
        <v>8.35</v>
      </c>
      <c r="AX52" s="48">
        <v>0</v>
      </c>
      <c r="AY52" s="48" t="s">
        <v>1560</v>
      </c>
      <c r="AZ52" s="48"/>
      <c r="BA52" s="45" t="s">
        <v>16</v>
      </c>
      <c r="BB52" s="13"/>
      <c r="BC52" s="13"/>
      <c r="BD52" s="12">
        <v>7.1</v>
      </c>
      <c r="BE52" s="12">
        <v>0</v>
      </c>
      <c r="BF52" s="2"/>
      <c r="BG52" s="2"/>
    </row>
    <row r="53" spans="1:59" ht="12.5" x14ac:dyDescent="0.25">
      <c r="A53" s="186">
        <v>46054</v>
      </c>
      <c r="B53" s="43" t="s">
        <v>103</v>
      </c>
      <c r="C53" s="43" t="s">
        <v>107</v>
      </c>
      <c r="D53" s="43" t="s">
        <v>105</v>
      </c>
      <c r="E53" s="43">
        <v>3050535</v>
      </c>
      <c r="F53" s="43" t="s">
        <v>1562</v>
      </c>
      <c r="G53" s="43" t="s">
        <v>218</v>
      </c>
      <c r="H53" s="43" t="s">
        <v>218</v>
      </c>
      <c r="I53" s="43"/>
      <c r="J53" s="42" t="s">
        <v>498</v>
      </c>
      <c r="K53" s="43"/>
      <c r="L53" s="42" t="s">
        <v>1558</v>
      </c>
      <c r="M53" s="42" t="s">
        <v>687</v>
      </c>
      <c r="N53" s="43"/>
      <c r="O53" s="45" t="s">
        <v>111</v>
      </c>
      <c r="P53" s="13">
        <v>894756.91</v>
      </c>
      <c r="Q53" s="13"/>
      <c r="R53" s="13"/>
      <c r="S53" s="13"/>
      <c r="T53" s="13" t="s">
        <v>111</v>
      </c>
      <c r="U53" s="13">
        <v>540858.18000000005</v>
      </c>
      <c r="V53" s="13">
        <v>39.549999999999997</v>
      </c>
      <c r="W53" s="13">
        <v>0</v>
      </c>
      <c r="X53" s="13"/>
      <c r="Y53" s="13"/>
      <c r="Z53" s="45"/>
      <c r="AA53" s="42" t="s">
        <v>107</v>
      </c>
      <c r="AB53" s="42" t="s">
        <v>436</v>
      </c>
      <c r="AC53" s="42" t="s">
        <v>107</v>
      </c>
      <c r="AD53" s="45" t="s">
        <v>436</v>
      </c>
      <c r="AE53" s="45">
        <v>1</v>
      </c>
      <c r="AF53" s="45" t="s">
        <v>687</v>
      </c>
      <c r="AG53" s="45" t="s">
        <v>874</v>
      </c>
      <c r="AH53" s="45" t="s">
        <v>93</v>
      </c>
      <c r="AI53" s="45" t="s">
        <v>111</v>
      </c>
      <c r="AJ53" s="45">
        <v>894756.91</v>
      </c>
      <c r="AK53" s="45">
        <v>894756.91</v>
      </c>
      <c r="AL53" s="45" t="s">
        <v>111</v>
      </c>
      <c r="AM53" s="13">
        <v>894756.91</v>
      </c>
      <c r="AN53" s="13"/>
      <c r="AO53" s="13"/>
      <c r="AP53" s="13"/>
      <c r="AQ53" s="13"/>
      <c r="AR53" s="13" t="s">
        <v>99</v>
      </c>
      <c r="AS53" s="48">
        <v>0</v>
      </c>
      <c r="AT53" s="48">
        <v>0</v>
      </c>
      <c r="AU53" s="48"/>
      <c r="AV53" s="48" t="s">
        <v>1559</v>
      </c>
      <c r="AW53" s="48">
        <v>894756.92</v>
      </c>
      <c r="AX53" s="48">
        <v>-0.01</v>
      </c>
      <c r="AY53" s="48" t="s">
        <v>1560</v>
      </c>
      <c r="AZ53" s="48"/>
      <c r="BA53" s="45" t="s">
        <v>16</v>
      </c>
      <c r="BB53" s="13"/>
      <c r="BC53" s="13"/>
      <c r="BD53" s="12">
        <v>540858.18999999994</v>
      </c>
      <c r="BE53" s="12">
        <v>-9.9999998928979039E-3</v>
      </c>
      <c r="BF53" s="2"/>
      <c r="BG53" s="2"/>
    </row>
    <row r="54" spans="1:59" ht="12.5" x14ac:dyDescent="0.25">
      <c r="A54" s="186">
        <v>46054</v>
      </c>
      <c r="B54" s="43" t="s">
        <v>103</v>
      </c>
      <c r="C54" s="43" t="s">
        <v>107</v>
      </c>
      <c r="D54" s="43" t="s">
        <v>105</v>
      </c>
      <c r="E54" s="43">
        <v>3050535</v>
      </c>
      <c r="F54" s="43" t="s">
        <v>1562</v>
      </c>
      <c r="G54" s="43" t="s">
        <v>343</v>
      </c>
      <c r="H54" s="43" t="s">
        <v>343</v>
      </c>
      <c r="I54" s="43"/>
      <c r="J54" s="42" t="s">
        <v>535</v>
      </c>
      <c r="K54" s="43"/>
      <c r="L54" s="42" t="s">
        <v>1558</v>
      </c>
      <c r="M54" s="42" t="s">
        <v>687</v>
      </c>
      <c r="N54" s="43"/>
      <c r="O54" s="45" t="s">
        <v>111</v>
      </c>
      <c r="P54" s="13">
        <v>2906163.1</v>
      </c>
      <c r="Q54" s="13"/>
      <c r="R54" s="13"/>
      <c r="S54" s="13"/>
      <c r="T54" s="13" t="s">
        <v>111</v>
      </c>
      <c r="U54" s="13">
        <v>2266807.2200000002</v>
      </c>
      <c r="V54" s="13">
        <v>22</v>
      </c>
      <c r="W54" s="13">
        <v>0</v>
      </c>
      <c r="X54" s="13"/>
      <c r="Y54" s="13"/>
      <c r="Z54" s="45"/>
      <c r="AA54" s="42" t="s">
        <v>107</v>
      </c>
      <c r="AB54" s="42" t="s">
        <v>436</v>
      </c>
      <c r="AC54" s="42" t="s">
        <v>107</v>
      </c>
      <c r="AD54" s="45" t="s">
        <v>436</v>
      </c>
      <c r="AE54" s="45">
        <v>1</v>
      </c>
      <c r="AF54" s="45" t="s">
        <v>687</v>
      </c>
      <c r="AG54" s="45" t="s">
        <v>874</v>
      </c>
      <c r="AH54" s="45" t="s">
        <v>93</v>
      </c>
      <c r="AI54" s="45" t="s">
        <v>111</v>
      </c>
      <c r="AJ54" s="45">
        <v>2906163.1</v>
      </c>
      <c r="AK54" s="45">
        <v>2906163.1</v>
      </c>
      <c r="AL54" s="45" t="s">
        <v>111</v>
      </c>
      <c r="AM54" s="13">
        <v>2906163.1</v>
      </c>
      <c r="AN54" s="13"/>
      <c r="AO54" s="13"/>
      <c r="AP54" s="13"/>
      <c r="AQ54" s="13"/>
      <c r="AR54" s="13" t="s">
        <v>99</v>
      </c>
      <c r="AS54" s="48">
        <v>0</v>
      </c>
      <c r="AT54" s="48">
        <v>0</v>
      </c>
      <c r="AU54" s="48"/>
      <c r="AV54" s="48" t="s">
        <v>1559</v>
      </c>
      <c r="AW54" s="48">
        <v>2906163.1</v>
      </c>
      <c r="AX54" s="48">
        <v>0</v>
      </c>
      <c r="AY54" s="48" t="s">
        <v>1560</v>
      </c>
      <c r="AZ54" s="48"/>
      <c r="BA54" s="45" t="s">
        <v>16</v>
      </c>
      <c r="BB54" s="13"/>
      <c r="BC54" s="13"/>
      <c r="BD54" s="12">
        <v>2266807.2200000002</v>
      </c>
      <c r="BE54" s="12">
        <v>0</v>
      </c>
      <c r="BF54" s="2"/>
      <c r="BG54" s="2"/>
    </row>
    <row r="55" spans="1:59" ht="12.5" x14ac:dyDescent="0.25">
      <c r="A55" s="186">
        <v>46054</v>
      </c>
      <c r="B55" s="43" t="s">
        <v>103</v>
      </c>
      <c r="C55" s="43" t="s">
        <v>521</v>
      </c>
      <c r="D55" s="43" t="s">
        <v>105</v>
      </c>
      <c r="E55" s="43">
        <v>3050535</v>
      </c>
      <c r="F55" s="43" t="s">
        <v>1562</v>
      </c>
      <c r="G55" s="43" t="s">
        <v>300</v>
      </c>
      <c r="H55" s="43" t="s">
        <v>300</v>
      </c>
      <c r="I55" s="43"/>
      <c r="J55" s="42" t="s">
        <v>523</v>
      </c>
      <c r="K55" s="43"/>
      <c r="L55" s="42" t="s">
        <v>1558</v>
      </c>
      <c r="M55" s="42" t="s">
        <v>687</v>
      </c>
      <c r="N55" s="43"/>
      <c r="O55" s="45" t="s">
        <v>95</v>
      </c>
      <c r="P55" s="13">
        <v>1722</v>
      </c>
      <c r="Q55" s="13"/>
      <c r="R55" s="13"/>
      <c r="S55" s="13"/>
      <c r="T55" s="13" t="s">
        <v>95</v>
      </c>
      <c r="U55" s="13">
        <v>1463.7</v>
      </c>
      <c r="V55" s="13">
        <v>15</v>
      </c>
      <c r="W55" s="13">
        <v>0</v>
      </c>
      <c r="X55" s="13"/>
      <c r="Y55" s="13"/>
      <c r="Z55" s="45"/>
      <c r="AA55" s="42" t="s">
        <v>107</v>
      </c>
      <c r="AB55" s="42" t="s">
        <v>436</v>
      </c>
      <c r="AC55" s="42" t="s">
        <v>107</v>
      </c>
      <c r="AD55" s="45" t="s">
        <v>436</v>
      </c>
      <c r="AE55" s="45">
        <v>1</v>
      </c>
      <c r="AF55" s="45" t="s">
        <v>687</v>
      </c>
      <c r="AG55" s="45" t="s">
        <v>874</v>
      </c>
      <c r="AH55" s="45" t="s">
        <v>93</v>
      </c>
      <c r="AI55" s="45" t="s">
        <v>95</v>
      </c>
      <c r="AJ55" s="45">
        <v>1722</v>
      </c>
      <c r="AK55" s="45">
        <v>1722</v>
      </c>
      <c r="AL55" s="45" t="s">
        <v>95</v>
      </c>
      <c r="AM55" s="13">
        <v>1722</v>
      </c>
      <c r="AN55" s="13"/>
      <c r="AO55" s="13"/>
      <c r="AP55" s="13"/>
      <c r="AQ55" s="13"/>
      <c r="AR55" s="13" t="s">
        <v>99</v>
      </c>
      <c r="AS55" s="48">
        <v>0</v>
      </c>
      <c r="AT55" s="48">
        <v>0</v>
      </c>
      <c r="AU55" s="48"/>
      <c r="AV55" s="48" t="s">
        <v>1559</v>
      </c>
      <c r="AW55" s="48">
        <v>1722</v>
      </c>
      <c r="AX55" s="48">
        <v>0</v>
      </c>
      <c r="AY55" s="48" t="s">
        <v>1560</v>
      </c>
      <c r="AZ55" s="48"/>
      <c r="BA55" s="45" t="s">
        <v>16</v>
      </c>
      <c r="BB55" s="13"/>
      <c r="BC55" s="13"/>
      <c r="BD55" s="12">
        <v>1463.7</v>
      </c>
      <c r="BE55" s="12">
        <v>0</v>
      </c>
      <c r="BF55" s="2"/>
      <c r="BG55" s="2"/>
    </row>
    <row r="56" spans="1:59" ht="12.5" x14ac:dyDescent="0.25">
      <c r="A56" s="186">
        <v>46054</v>
      </c>
      <c r="B56" s="43" t="s">
        <v>103</v>
      </c>
      <c r="C56" s="43" t="s">
        <v>107</v>
      </c>
      <c r="D56" s="43" t="s">
        <v>105</v>
      </c>
      <c r="E56" s="43">
        <v>3050535</v>
      </c>
      <c r="F56" s="43" t="s">
        <v>1562</v>
      </c>
      <c r="G56" s="43" t="s">
        <v>347</v>
      </c>
      <c r="H56" s="43" t="s">
        <v>347</v>
      </c>
      <c r="I56" s="43"/>
      <c r="J56" s="42" t="s">
        <v>536</v>
      </c>
      <c r="K56" s="43"/>
      <c r="L56" s="42" t="s">
        <v>1558</v>
      </c>
      <c r="M56" s="42" t="s">
        <v>687</v>
      </c>
      <c r="N56" s="43"/>
      <c r="O56" s="45" t="s">
        <v>111</v>
      </c>
      <c r="P56" s="13">
        <v>2327584.0699999998</v>
      </c>
      <c r="Q56" s="13"/>
      <c r="R56" s="13"/>
      <c r="S56" s="13"/>
      <c r="T56" s="13" t="s">
        <v>111</v>
      </c>
      <c r="U56" s="13">
        <v>1815515.57</v>
      </c>
      <c r="V56" s="13">
        <v>22</v>
      </c>
      <c r="W56" s="13">
        <v>0</v>
      </c>
      <c r="X56" s="13"/>
      <c r="Y56" s="13"/>
      <c r="Z56" s="45"/>
      <c r="AA56" s="42" t="s">
        <v>107</v>
      </c>
      <c r="AB56" s="42" t="s">
        <v>436</v>
      </c>
      <c r="AC56" s="42" t="s">
        <v>107</v>
      </c>
      <c r="AD56" s="45" t="s">
        <v>436</v>
      </c>
      <c r="AE56" s="45">
        <v>1</v>
      </c>
      <c r="AF56" s="45" t="s">
        <v>687</v>
      </c>
      <c r="AG56" s="45" t="s">
        <v>874</v>
      </c>
      <c r="AH56" s="45" t="s">
        <v>93</v>
      </c>
      <c r="AI56" s="45" t="s">
        <v>111</v>
      </c>
      <c r="AJ56" s="45">
        <v>2327584.0699999998</v>
      </c>
      <c r="AK56" s="45">
        <v>2327584.0699999998</v>
      </c>
      <c r="AL56" s="45" t="s">
        <v>111</v>
      </c>
      <c r="AM56" s="13">
        <v>2327584.0699999998</v>
      </c>
      <c r="AN56" s="13"/>
      <c r="AO56" s="13"/>
      <c r="AP56" s="13"/>
      <c r="AQ56" s="13"/>
      <c r="AR56" s="13" t="s">
        <v>99</v>
      </c>
      <c r="AS56" s="48">
        <v>0</v>
      </c>
      <c r="AT56" s="48">
        <v>0</v>
      </c>
      <c r="AU56" s="48"/>
      <c r="AV56" s="48" t="s">
        <v>1559</v>
      </c>
      <c r="AW56" s="48">
        <v>2327584.0699999998</v>
      </c>
      <c r="AX56" s="48">
        <v>0</v>
      </c>
      <c r="AY56" s="48" t="s">
        <v>1560</v>
      </c>
      <c r="AZ56" s="48"/>
      <c r="BA56" s="45" t="s">
        <v>16</v>
      </c>
      <c r="BB56" s="13"/>
      <c r="BC56" s="13"/>
      <c r="BD56" s="12">
        <v>1815515.57</v>
      </c>
      <c r="BE56" s="12">
        <v>0</v>
      </c>
      <c r="BF56" s="2"/>
      <c r="BG56" s="2"/>
    </row>
    <row r="57" spans="1:59" ht="12.5" x14ac:dyDescent="0.25">
      <c r="A57" s="186">
        <v>46054</v>
      </c>
      <c r="B57" s="43" t="s">
        <v>103</v>
      </c>
      <c r="C57" s="43" t="s">
        <v>107</v>
      </c>
      <c r="D57" s="43" t="s">
        <v>105</v>
      </c>
      <c r="E57" s="43">
        <v>3050535</v>
      </c>
      <c r="F57" s="43" t="s">
        <v>1562</v>
      </c>
      <c r="G57" s="43" t="s">
        <v>214</v>
      </c>
      <c r="H57" s="43" t="s">
        <v>214</v>
      </c>
      <c r="I57" s="43"/>
      <c r="J57" s="42" t="s">
        <v>497</v>
      </c>
      <c r="K57" s="43"/>
      <c r="L57" s="42" t="s">
        <v>1558</v>
      </c>
      <c r="M57" s="42" t="s">
        <v>687</v>
      </c>
      <c r="N57" s="43"/>
      <c r="O57" s="45" t="s">
        <v>111</v>
      </c>
      <c r="P57" s="13">
        <v>9577518.6799999997</v>
      </c>
      <c r="Q57" s="13"/>
      <c r="R57" s="13"/>
      <c r="S57" s="13"/>
      <c r="T57" s="13" t="s">
        <v>111</v>
      </c>
      <c r="U57" s="13">
        <v>5789370.5999999996</v>
      </c>
      <c r="V57" s="13">
        <v>39.549999999999997</v>
      </c>
      <c r="W57" s="13">
        <v>0</v>
      </c>
      <c r="X57" s="13"/>
      <c r="Y57" s="13"/>
      <c r="Z57" s="45"/>
      <c r="AA57" s="42" t="s">
        <v>107</v>
      </c>
      <c r="AB57" s="42" t="s">
        <v>436</v>
      </c>
      <c r="AC57" s="42" t="s">
        <v>107</v>
      </c>
      <c r="AD57" s="45" t="s">
        <v>436</v>
      </c>
      <c r="AE57" s="45">
        <v>1</v>
      </c>
      <c r="AF57" s="45" t="s">
        <v>687</v>
      </c>
      <c r="AG57" s="45" t="s">
        <v>874</v>
      </c>
      <c r="AH57" s="45" t="s">
        <v>93</v>
      </c>
      <c r="AI57" s="45" t="s">
        <v>111</v>
      </c>
      <c r="AJ57" s="45">
        <v>9577518.6799999997</v>
      </c>
      <c r="AK57" s="45">
        <v>9577518.6799999997</v>
      </c>
      <c r="AL57" s="45" t="s">
        <v>111</v>
      </c>
      <c r="AM57" s="13">
        <v>9577518.6799999997</v>
      </c>
      <c r="AN57" s="13"/>
      <c r="AO57" s="13"/>
      <c r="AP57" s="13"/>
      <c r="AQ57" s="13"/>
      <c r="AR57" s="13" t="s">
        <v>99</v>
      </c>
      <c r="AS57" s="48">
        <v>0</v>
      </c>
      <c r="AT57" s="48">
        <v>0</v>
      </c>
      <c r="AU57" s="48"/>
      <c r="AV57" s="48" t="s">
        <v>1559</v>
      </c>
      <c r="AW57" s="48">
        <v>9577518.6899999995</v>
      </c>
      <c r="AX57" s="48">
        <v>-0.01</v>
      </c>
      <c r="AY57" s="48" t="s">
        <v>1560</v>
      </c>
      <c r="AZ57" s="48"/>
      <c r="BA57" s="45" t="s">
        <v>16</v>
      </c>
      <c r="BB57" s="13"/>
      <c r="BC57" s="13"/>
      <c r="BD57" s="12">
        <v>5789370.5999999996</v>
      </c>
      <c r="BE57" s="12">
        <v>0</v>
      </c>
      <c r="BF57" s="2"/>
      <c r="BG57" s="2"/>
    </row>
    <row r="58" spans="1:59" ht="12.5" x14ac:dyDescent="0.25">
      <c r="A58" s="186">
        <v>46054</v>
      </c>
      <c r="B58" s="43" t="s">
        <v>103</v>
      </c>
      <c r="C58" s="43" t="s">
        <v>107</v>
      </c>
      <c r="D58" s="43" t="s">
        <v>105</v>
      </c>
      <c r="E58" s="43">
        <v>3050535</v>
      </c>
      <c r="F58" s="43" t="s">
        <v>1562</v>
      </c>
      <c r="G58" s="43" t="s">
        <v>303</v>
      </c>
      <c r="H58" s="43" t="s">
        <v>303</v>
      </c>
      <c r="I58" s="43"/>
      <c r="J58" s="42" t="s">
        <v>524</v>
      </c>
      <c r="K58" s="43"/>
      <c r="L58" s="42" t="s">
        <v>1558</v>
      </c>
      <c r="M58" s="42" t="s">
        <v>687</v>
      </c>
      <c r="N58" s="43"/>
      <c r="O58" s="45" t="s">
        <v>111</v>
      </c>
      <c r="P58" s="13">
        <v>5000000</v>
      </c>
      <c r="Q58" s="13"/>
      <c r="R58" s="13"/>
      <c r="S58" s="13"/>
      <c r="T58" s="13" t="s">
        <v>111</v>
      </c>
      <c r="U58" s="13">
        <v>3022375</v>
      </c>
      <c r="V58" s="13">
        <v>39.549999999999997</v>
      </c>
      <c r="W58" s="13">
        <v>0</v>
      </c>
      <c r="X58" s="13"/>
      <c r="Y58" s="13"/>
      <c r="Z58" s="45"/>
      <c r="AA58" s="42" t="s">
        <v>107</v>
      </c>
      <c r="AB58" s="42" t="s">
        <v>436</v>
      </c>
      <c r="AC58" s="42" t="s">
        <v>107</v>
      </c>
      <c r="AD58" s="45" t="s">
        <v>436</v>
      </c>
      <c r="AE58" s="45">
        <v>1</v>
      </c>
      <c r="AF58" s="45" t="s">
        <v>687</v>
      </c>
      <c r="AG58" s="45" t="s">
        <v>874</v>
      </c>
      <c r="AH58" s="45" t="s">
        <v>93</v>
      </c>
      <c r="AI58" s="45" t="s">
        <v>111</v>
      </c>
      <c r="AJ58" s="45">
        <v>5000000</v>
      </c>
      <c r="AK58" s="45">
        <v>5000000</v>
      </c>
      <c r="AL58" s="45" t="s">
        <v>111</v>
      </c>
      <c r="AM58" s="13">
        <v>5000000</v>
      </c>
      <c r="AN58" s="13"/>
      <c r="AO58" s="13"/>
      <c r="AP58" s="13"/>
      <c r="AQ58" s="13"/>
      <c r="AR58" s="13" t="s">
        <v>99</v>
      </c>
      <c r="AS58" s="48">
        <v>0</v>
      </c>
      <c r="AT58" s="48">
        <v>0</v>
      </c>
      <c r="AU58" s="48"/>
      <c r="AV58" s="48" t="s">
        <v>1559</v>
      </c>
      <c r="AW58" s="48">
        <v>5004389.9800000004</v>
      </c>
      <c r="AX58" s="48">
        <v>-4389.9799999999996</v>
      </c>
      <c r="AY58" s="48" t="s">
        <v>1560</v>
      </c>
      <c r="AZ58" s="48" t="s">
        <v>206</v>
      </c>
      <c r="BA58" s="45" t="s">
        <v>16</v>
      </c>
      <c r="BB58" s="13"/>
      <c r="BC58" s="13"/>
      <c r="BD58" s="12">
        <v>3022375</v>
      </c>
      <c r="BE58" s="12">
        <v>0</v>
      </c>
      <c r="BF58" s="2"/>
      <c r="BG58" s="2"/>
    </row>
    <row r="59" spans="1:59" ht="12.5" x14ac:dyDescent="0.25">
      <c r="A59" s="186">
        <v>46054</v>
      </c>
      <c r="B59" s="43" t="s">
        <v>103</v>
      </c>
      <c r="C59" s="43" t="s">
        <v>107</v>
      </c>
      <c r="D59" s="43" t="s">
        <v>105</v>
      </c>
      <c r="E59" s="43">
        <v>3050535</v>
      </c>
      <c r="F59" s="43" t="s">
        <v>1562</v>
      </c>
      <c r="G59" s="43" t="s">
        <v>362</v>
      </c>
      <c r="H59" s="43" t="s">
        <v>362</v>
      </c>
      <c r="I59" s="43"/>
      <c r="J59" s="42" t="s">
        <v>541</v>
      </c>
      <c r="K59" s="43"/>
      <c r="L59" s="42" t="s">
        <v>1558</v>
      </c>
      <c r="M59" s="42" t="s">
        <v>687</v>
      </c>
      <c r="N59" s="43"/>
      <c r="O59" s="45" t="s">
        <v>111</v>
      </c>
      <c r="P59" s="13">
        <v>999321.21</v>
      </c>
      <c r="Q59" s="13"/>
      <c r="R59" s="13"/>
      <c r="S59" s="13"/>
      <c r="T59" s="13" t="s">
        <v>111</v>
      </c>
      <c r="U59" s="13">
        <v>779470.54</v>
      </c>
      <c r="V59" s="13">
        <v>22</v>
      </c>
      <c r="W59" s="13">
        <v>0</v>
      </c>
      <c r="X59" s="13"/>
      <c r="Y59" s="13"/>
      <c r="Z59" s="45"/>
      <c r="AA59" s="42" t="s">
        <v>107</v>
      </c>
      <c r="AB59" s="42" t="s">
        <v>436</v>
      </c>
      <c r="AC59" s="42" t="s">
        <v>107</v>
      </c>
      <c r="AD59" s="45" t="s">
        <v>436</v>
      </c>
      <c r="AE59" s="45">
        <v>1</v>
      </c>
      <c r="AF59" s="45" t="s">
        <v>687</v>
      </c>
      <c r="AG59" s="45" t="s">
        <v>697</v>
      </c>
      <c r="AH59" s="45" t="s">
        <v>93</v>
      </c>
      <c r="AI59" s="45" t="s">
        <v>111</v>
      </c>
      <c r="AJ59" s="45">
        <v>999321.21</v>
      </c>
      <c r="AK59" s="45">
        <v>999321.21</v>
      </c>
      <c r="AL59" s="45" t="s">
        <v>111</v>
      </c>
      <c r="AM59" s="13">
        <v>999321.21</v>
      </c>
      <c r="AN59" s="13"/>
      <c r="AO59" s="13"/>
      <c r="AP59" s="13"/>
      <c r="AQ59" s="13"/>
      <c r="AR59" s="13" t="s">
        <v>99</v>
      </c>
      <c r="AS59" s="48">
        <v>0</v>
      </c>
      <c r="AT59" s="48">
        <v>0</v>
      </c>
      <c r="AU59" s="48"/>
      <c r="AV59" s="48" t="s">
        <v>1559</v>
      </c>
      <c r="AW59" s="48">
        <v>999321.21</v>
      </c>
      <c r="AX59" s="48">
        <v>0</v>
      </c>
      <c r="AY59" s="48" t="s">
        <v>1560</v>
      </c>
      <c r="AZ59" s="48"/>
      <c r="BA59" s="45" t="s">
        <v>16</v>
      </c>
      <c r="BB59" s="13"/>
      <c r="BC59" s="13"/>
      <c r="BD59" s="12">
        <v>779470.54</v>
      </c>
      <c r="BE59" s="12">
        <v>0</v>
      </c>
      <c r="BF59" s="2"/>
      <c r="BG59" s="2"/>
    </row>
    <row r="60" spans="1:59" ht="12.5" x14ac:dyDescent="0.25">
      <c r="A60" s="186">
        <v>46054</v>
      </c>
      <c r="B60" s="43" t="s">
        <v>103</v>
      </c>
      <c r="C60" s="43" t="s">
        <v>107</v>
      </c>
      <c r="D60" s="43" t="s">
        <v>105</v>
      </c>
      <c r="E60" s="43">
        <v>3050535</v>
      </c>
      <c r="F60" s="43" t="s">
        <v>1562</v>
      </c>
      <c r="G60" s="43" t="s">
        <v>201</v>
      </c>
      <c r="H60" s="43" t="s">
        <v>201</v>
      </c>
      <c r="I60" s="43"/>
      <c r="J60" s="42" t="s">
        <v>494</v>
      </c>
      <c r="K60" s="43"/>
      <c r="L60" s="42" t="s">
        <v>1558</v>
      </c>
      <c r="M60" s="42" t="s">
        <v>687</v>
      </c>
      <c r="N60" s="43"/>
      <c r="O60" s="45" t="s">
        <v>111</v>
      </c>
      <c r="P60" s="13">
        <v>241926.19</v>
      </c>
      <c r="Q60" s="13"/>
      <c r="R60" s="13"/>
      <c r="S60" s="13"/>
      <c r="T60" s="13" t="s">
        <v>111</v>
      </c>
      <c r="U60" s="13">
        <v>188702.43</v>
      </c>
      <c r="V60" s="13">
        <v>22</v>
      </c>
      <c r="W60" s="13">
        <v>0</v>
      </c>
      <c r="X60" s="13"/>
      <c r="Y60" s="13"/>
      <c r="Z60" s="45"/>
      <c r="AA60" s="42" t="s">
        <v>107</v>
      </c>
      <c r="AB60" s="42" t="s">
        <v>436</v>
      </c>
      <c r="AC60" s="42" t="s">
        <v>107</v>
      </c>
      <c r="AD60" s="45" t="s">
        <v>436</v>
      </c>
      <c r="AE60" s="45">
        <v>1</v>
      </c>
      <c r="AF60" s="45" t="s">
        <v>687</v>
      </c>
      <c r="AG60" s="45" t="s">
        <v>697</v>
      </c>
      <c r="AH60" s="45" t="s">
        <v>93</v>
      </c>
      <c r="AI60" s="45" t="s">
        <v>111</v>
      </c>
      <c r="AJ60" s="45">
        <v>241926.19</v>
      </c>
      <c r="AK60" s="45">
        <v>241926.19</v>
      </c>
      <c r="AL60" s="45" t="s">
        <v>111</v>
      </c>
      <c r="AM60" s="13">
        <v>241926.19</v>
      </c>
      <c r="AN60" s="13"/>
      <c r="AO60" s="13"/>
      <c r="AP60" s="13"/>
      <c r="AQ60" s="13"/>
      <c r="AR60" s="13" t="s">
        <v>99</v>
      </c>
      <c r="AS60" s="48">
        <v>0</v>
      </c>
      <c r="AT60" s="48">
        <v>0</v>
      </c>
      <c r="AU60" s="48"/>
      <c r="AV60" s="48" t="s">
        <v>1559</v>
      </c>
      <c r="AW60" s="48">
        <v>241926.19</v>
      </c>
      <c r="AX60" s="48">
        <v>0</v>
      </c>
      <c r="AY60" s="48" t="s">
        <v>1560</v>
      </c>
      <c r="AZ60" s="48"/>
      <c r="BA60" s="45" t="s">
        <v>16</v>
      </c>
      <c r="BB60" s="13"/>
      <c r="BC60" s="13"/>
      <c r="BD60" s="12">
        <v>188702.43</v>
      </c>
      <c r="BE60" s="12">
        <v>0</v>
      </c>
      <c r="BF60" s="2"/>
      <c r="BG60" s="2"/>
    </row>
    <row r="61" spans="1:59" ht="12.5" x14ac:dyDescent="0.25">
      <c r="A61" s="186">
        <v>46054</v>
      </c>
      <c r="B61" s="43" t="s">
        <v>103</v>
      </c>
      <c r="C61" s="43" t="s">
        <v>107</v>
      </c>
      <c r="D61" s="43" t="s">
        <v>105</v>
      </c>
      <c r="E61" s="43">
        <v>3050535</v>
      </c>
      <c r="F61" s="43" t="s">
        <v>1562</v>
      </c>
      <c r="G61" s="43" t="s">
        <v>328</v>
      </c>
      <c r="H61" s="43" t="s">
        <v>328</v>
      </c>
      <c r="I61" s="43"/>
      <c r="J61" s="42" t="s">
        <v>531</v>
      </c>
      <c r="K61" s="43"/>
      <c r="L61" s="42" t="s">
        <v>1558</v>
      </c>
      <c r="M61" s="42" t="s">
        <v>687</v>
      </c>
      <c r="N61" s="43"/>
      <c r="O61" s="45" t="s">
        <v>111</v>
      </c>
      <c r="P61" s="13">
        <v>997649.16</v>
      </c>
      <c r="Q61" s="13"/>
      <c r="R61" s="13"/>
      <c r="S61" s="13"/>
      <c r="T61" s="13" t="s">
        <v>111</v>
      </c>
      <c r="U61" s="13">
        <v>778166.35</v>
      </c>
      <c r="V61" s="13">
        <v>22</v>
      </c>
      <c r="W61" s="13">
        <v>0</v>
      </c>
      <c r="X61" s="13"/>
      <c r="Y61" s="13"/>
      <c r="Z61" s="45"/>
      <c r="AA61" s="42" t="s">
        <v>107</v>
      </c>
      <c r="AB61" s="42" t="s">
        <v>436</v>
      </c>
      <c r="AC61" s="42" t="s">
        <v>107</v>
      </c>
      <c r="AD61" s="45" t="s">
        <v>436</v>
      </c>
      <c r="AE61" s="45">
        <v>1</v>
      </c>
      <c r="AF61" s="45" t="s">
        <v>687</v>
      </c>
      <c r="AG61" s="45" t="s">
        <v>697</v>
      </c>
      <c r="AH61" s="45" t="s">
        <v>93</v>
      </c>
      <c r="AI61" s="45" t="s">
        <v>111</v>
      </c>
      <c r="AJ61" s="45">
        <v>997649.16</v>
      </c>
      <c r="AK61" s="45">
        <v>997649.16</v>
      </c>
      <c r="AL61" s="45" t="s">
        <v>111</v>
      </c>
      <c r="AM61" s="13">
        <v>997649.16</v>
      </c>
      <c r="AN61" s="13"/>
      <c r="AO61" s="13"/>
      <c r="AP61" s="13"/>
      <c r="AQ61" s="13"/>
      <c r="AR61" s="13" t="s">
        <v>99</v>
      </c>
      <c r="AS61" s="48">
        <v>0</v>
      </c>
      <c r="AT61" s="48">
        <v>0</v>
      </c>
      <c r="AU61" s="48"/>
      <c r="AV61" s="48" t="s">
        <v>1559</v>
      </c>
      <c r="AW61" s="48">
        <v>997649.16</v>
      </c>
      <c r="AX61" s="48">
        <v>0</v>
      </c>
      <c r="AY61" s="48" t="s">
        <v>1560</v>
      </c>
      <c r="AZ61" s="48"/>
      <c r="BA61" s="45" t="s">
        <v>16</v>
      </c>
      <c r="BB61" s="13"/>
      <c r="BC61" s="13"/>
      <c r="BD61" s="12">
        <v>778166.34</v>
      </c>
      <c r="BE61" s="12">
        <v>1.0000000009313226E-2</v>
      </c>
      <c r="BF61" s="2"/>
      <c r="BG61" s="2"/>
    </row>
    <row r="62" spans="1:59" ht="12.5" x14ac:dyDescent="0.25">
      <c r="A62" s="186">
        <v>46054</v>
      </c>
      <c r="B62" s="43" t="s">
        <v>103</v>
      </c>
      <c r="C62" s="43" t="s">
        <v>107</v>
      </c>
      <c r="D62" s="43" t="s">
        <v>105</v>
      </c>
      <c r="E62" s="43">
        <v>3050535</v>
      </c>
      <c r="F62" s="43" t="s">
        <v>1562</v>
      </c>
      <c r="G62" s="43" t="s">
        <v>307</v>
      </c>
      <c r="H62" s="43" t="s">
        <v>307</v>
      </c>
      <c r="I62" s="43"/>
      <c r="J62" s="42" t="s">
        <v>525</v>
      </c>
      <c r="K62" s="43"/>
      <c r="L62" s="42" t="s">
        <v>1558</v>
      </c>
      <c r="M62" s="42" t="s">
        <v>687</v>
      </c>
      <c r="N62" s="43"/>
      <c r="O62" s="45" t="s">
        <v>111</v>
      </c>
      <c r="P62" s="13">
        <v>4884766</v>
      </c>
      <c r="Q62" s="13"/>
      <c r="R62" s="13"/>
      <c r="S62" s="13"/>
      <c r="T62" s="13" t="s">
        <v>111</v>
      </c>
      <c r="U62" s="13">
        <v>2952718.93</v>
      </c>
      <c r="V62" s="13">
        <v>39.549999999999997</v>
      </c>
      <c r="W62" s="13">
        <v>0</v>
      </c>
      <c r="X62" s="13"/>
      <c r="Y62" s="13"/>
      <c r="Z62" s="45"/>
      <c r="AA62" s="42" t="s">
        <v>107</v>
      </c>
      <c r="AB62" s="42" t="s">
        <v>436</v>
      </c>
      <c r="AC62" s="42" t="s">
        <v>107</v>
      </c>
      <c r="AD62" s="45" t="s">
        <v>436</v>
      </c>
      <c r="AE62" s="45">
        <v>1</v>
      </c>
      <c r="AF62" s="45" t="s">
        <v>687</v>
      </c>
      <c r="AG62" s="45" t="s">
        <v>697</v>
      </c>
      <c r="AH62" s="45" t="s">
        <v>93</v>
      </c>
      <c r="AI62" s="45" t="s">
        <v>111</v>
      </c>
      <c r="AJ62" s="45">
        <v>4884766</v>
      </c>
      <c r="AK62" s="45">
        <v>4884766</v>
      </c>
      <c r="AL62" s="45" t="s">
        <v>111</v>
      </c>
      <c r="AM62" s="13">
        <v>4884766</v>
      </c>
      <c r="AN62" s="13"/>
      <c r="AO62" s="13"/>
      <c r="AP62" s="13"/>
      <c r="AQ62" s="13"/>
      <c r="AR62" s="13" t="s">
        <v>99</v>
      </c>
      <c r="AS62" s="48">
        <v>0</v>
      </c>
      <c r="AT62" s="48">
        <v>0</v>
      </c>
      <c r="AU62" s="48"/>
      <c r="AV62" s="48" t="s">
        <v>1559</v>
      </c>
      <c r="AW62" s="48">
        <v>4884766</v>
      </c>
      <c r="AX62" s="48">
        <v>0</v>
      </c>
      <c r="AY62" s="48" t="s">
        <v>1560</v>
      </c>
      <c r="AZ62" s="48"/>
      <c r="BA62" s="45" t="s">
        <v>16</v>
      </c>
      <c r="BB62" s="13"/>
      <c r="BC62" s="13"/>
      <c r="BD62" s="12">
        <v>2952718.93</v>
      </c>
      <c r="BE62" s="12">
        <v>0</v>
      </c>
      <c r="BF62" s="2"/>
      <c r="BG62" s="2"/>
    </row>
    <row r="63" spans="1:59" ht="12.5" x14ac:dyDescent="0.25">
      <c r="A63" s="186">
        <v>46054</v>
      </c>
      <c r="B63" s="43" t="s">
        <v>103</v>
      </c>
      <c r="C63" s="43" t="s">
        <v>107</v>
      </c>
      <c r="D63" s="43" t="s">
        <v>105</v>
      </c>
      <c r="E63" s="43">
        <v>3050535</v>
      </c>
      <c r="F63" s="43" t="s">
        <v>1562</v>
      </c>
      <c r="G63" s="43" t="s">
        <v>117</v>
      </c>
      <c r="H63" s="43" t="s">
        <v>117</v>
      </c>
      <c r="I63" s="43"/>
      <c r="J63" s="42" t="s">
        <v>469</v>
      </c>
      <c r="K63" s="43"/>
      <c r="L63" s="42" t="s">
        <v>1558</v>
      </c>
      <c r="M63" s="42" t="s">
        <v>687</v>
      </c>
      <c r="N63" s="43"/>
      <c r="O63" s="45" t="s">
        <v>111</v>
      </c>
      <c r="P63" s="13">
        <v>3113913.08</v>
      </c>
      <c r="Q63" s="13"/>
      <c r="R63" s="13"/>
      <c r="S63" s="13"/>
      <c r="T63" s="13" t="s">
        <v>111</v>
      </c>
      <c r="U63" s="13">
        <v>1882282.61</v>
      </c>
      <c r="V63" s="13">
        <v>39.549999999999997</v>
      </c>
      <c r="W63" s="13">
        <v>0</v>
      </c>
      <c r="X63" s="13"/>
      <c r="Y63" s="13"/>
      <c r="Z63" s="45"/>
      <c r="AA63" s="42" t="s">
        <v>107</v>
      </c>
      <c r="AB63" s="42" t="s">
        <v>436</v>
      </c>
      <c r="AC63" s="42" t="s">
        <v>107</v>
      </c>
      <c r="AD63" s="45" t="s">
        <v>436</v>
      </c>
      <c r="AE63" s="45">
        <v>1</v>
      </c>
      <c r="AF63" s="45" t="s">
        <v>687</v>
      </c>
      <c r="AG63" s="45" t="s">
        <v>697</v>
      </c>
      <c r="AH63" s="45" t="s">
        <v>93</v>
      </c>
      <c r="AI63" s="45" t="s">
        <v>111</v>
      </c>
      <c r="AJ63" s="45">
        <v>3113913.08</v>
      </c>
      <c r="AK63" s="45">
        <v>3113913.08</v>
      </c>
      <c r="AL63" s="45" t="s">
        <v>111</v>
      </c>
      <c r="AM63" s="13">
        <v>3113913.08</v>
      </c>
      <c r="AN63" s="13"/>
      <c r="AO63" s="13"/>
      <c r="AP63" s="13"/>
      <c r="AQ63" s="13"/>
      <c r="AR63" s="13" t="s">
        <v>99</v>
      </c>
      <c r="AS63" s="48">
        <v>0</v>
      </c>
      <c r="AT63" s="48">
        <v>0</v>
      </c>
      <c r="AU63" s="48"/>
      <c r="AV63" s="48" t="s">
        <v>1559</v>
      </c>
      <c r="AW63" s="48">
        <v>3113913.08</v>
      </c>
      <c r="AX63" s="48">
        <v>0</v>
      </c>
      <c r="AY63" s="48" t="s">
        <v>1560</v>
      </c>
      <c r="AZ63" s="48"/>
      <c r="BA63" s="45" t="s">
        <v>16</v>
      </c>
      <c r="BB63" s="13"/>
      <c r="BC63" s="13"/>
      <c r="BD63" s="12">
        <v>1882282.61</v>
      </c>
      <c r="BE63" s="12">
        <v>0</v>
      </c>
      <c r="BF63" s="2"/>
      <c r="BG63" s="2"/>
    </row>
    <row r="64" spans="1:59" ht="12.5" x14ac:dyDescent="0.25">
      <c r="A64" s="186">
        <v>46054</v>
      </c>
      <c r="B64" s="43" t="s">
        <v>103</v>
      </c>
      <c r="C64" s="43" t="s">
        <v>107</v>
      </c>
      <c r="D64" s="43" t="s">
        <v>105</v>
      </c>
      <c r="E64" s="43">
        <v>3050535</v>
      </c>
      <c r="F64" s="43" t="s">
        <v>1562</v>
      </c>
      <c r="G64" s="43" t="s">
        <v>258</v>
      </c>
      <c r="H64" s="43" t="s">
        <v>258</v>
      </c>
      <c r="I64" s="43"/>
      <c r="J64" s="42" t="s">
        <v>510</v>
      </c>
      <c r="K64" s="43"/>
      <c r="L64" s="42" t="s">
        <v>1558</v>
      </c>
      <c r="M64" s="42" t="s">
        <v>687</v>
      </c>
      <c r="N64" s="43"/>
      <c r="O64" s="45" t="s">
        <v>111</v>
      </c>
      <c r="P64" s="13">
        <v>7514153.1299999999</v>
      </c>
      <c r="Q64" s="13"/>
      <c r="R64" s="13"/>
      <c r="S64" s="13"/>
      <c r="T64" s="13" t="s">
        <v>111</v>
      </c>
      <c r="U64" s="13">
        <v>4542117.71</v>
      </c>
      <c r="V64" s="13">
        <v>39.549999999999997</v>
      </c>
      <c r="W64" s="13">
        <v>0</v>
      </c>
      <c r="X64" s="13"/>
      <c r="Y64" s="13"/>
      <c r="Z64" s="45"/>
      <c r="AA64" s="42" t="s">
        <v>107</v>
      </c>
      <c r="AB64" s="42" t="s">
        <v>436</v>
      </c>
      <c r="AC64" s="42" t="s">
        <v>107</v>
      </c>
      <c r="AD64" s="45" t="s">
        <v>436</v>
      </c>
      <c r="AE64" s="45">
        <v>1</v>
      </c>
      <c r="AF64" s="45" t="s">
        <v>687</v>
      </c>
      <c r="AG64" s="45" t="s">
        <v>697</v>
      </c>
      <c r="AH64" s="45" t="s">
        <v>93</v>
      </c>
      <c r="AI64" s="45" t="s">
        <v>111</v>
      </c>
      <c r="AJ64" s="45">
        <v>7514153.1299999999</v>
      </c>
      <c r="AK64" s="45">
        <v>7514153.1299999999</v>
      </c>
      <c r="AL64" s="45" t="s">
        <v>111</v>
      </c>
      <c r="AM64" s="13">
        <v>7514153.1299999999</v>
      </c>
      <c r="AN64" s="13"/>
      <c r="AO64" s="13"/>
      <c r="AP64" s="13"/>
      <c r="AQ64" s="13"/>
      <c r="AR64" s="13" t="s">
        <v>99</v>
      </c>
      <c r="AS64" s="48">
        <v>0</v>
      </c>
      <c r="AT64" s="48">
        <v>0</v>
      </c>
      <c r="AU64" s="48"/>
      <c r="AV64" s="48" t="s">
        <v>1559</v>
      </c>
      <c r="AW64" s="48">
        <v>7514153.1299999999</v>
      </c>
      <c r="AX64" s="48">
        <v>0</v>
      </c>
      <c r="AY64" s="48" t="s">
        <v>1560</v>
      </c>
      <c r="AZ64" s="48"/>
      <c r="BA64" s="45" t="s">
        <v>16</v>
      </c>
      <c r="BB64" s="13"/>
      <c r="BC64" s="13"/>
      <c r="BD64" s="12">
        <v>4542117.71</v>
      </c>
      <c r="BE64" s="12">
        <v>0</v>
      </c>
      <c r="BF64" s="2"/>
      <c r="BG64" s="2"/>
    </row>
    <row r="65" spans="1:59" ht="12.5" x14ac:dyDescent="0.25">
      <c r="A65" s="186">
        <v>46054</v>
      </c>
      <c r="B65" s="43" t="s">
        <v>103</v>
      </c>
      <c r="C65" s="43" t="s">
        <v>107</v>
      </c>
      <c r="D65" s="43" t="s">
        <v>105</v>
      </c>
      <c r="E65" s="43">
        <v>3050535</v>
      </c>
      <c r="F65" s="43" t="s">
        <v>1562</v>
      </c>
      <c r="G65" s="43" t="s">
        <v>147</v>
      </c>
      <c r="H65" s="43" t="s">
        <v>147</v>
      </c>
      <c r="I65" s="43"/>
      <c r="J65" s="42" t="s">
        <v>477</v>
      </c>
      <c r="K65" s="43"/>
      <c r="L65" s="42" t="s">
        <v>1558</v>
      </c>
      <c r="M65" s="42" t="s">
        <v>687</v>
      </c>
      <c r="N65" s="43"/>
      <c r="O65" s="45" t="s">
        <v>111</v>
      </c>
      <c r="P65" s="13">
        <v>610190.21</v>
      </c>
      <c r="Q65" s="13"/>
      <c r="R65" s="13"/>
      <c r="S65" s="13"/>
      <c r="T65" s="13" t="s">
        <v>111</v>
      </c>
      <c r="U65" s="13">
        <v>368844.72</v>
      </c>
      <c r="V65" s="13">
        <v>39.549999999999997</v>
      </c>
      <c r="W65" s="13">
        <v>0</v>
      </c>
      <c r="X65" s="13"/>
      <c r="Y65" s="13"/>
      <c r="Z65" s="45" t="s">
        <v>144</v>
      </c>
      <c r="AA65" s="42" t="s">
        <v>107</v>
      </c>
      <c r="AB65" s="42" t="s">
        <v>436</v>
      </c>
      <c r="AC65" s="42" t="s">
        <v>107</v>
      </c>
      <c r="AD65" s="45" t="s">
        <v>436</v>
      </c>
      <c r="AE65" s="45">
        <v>2</v>
      </c>
      <c r="AF65" s="45" t="s">
        <v>687</v>
      </c>
      <c r="AG65" s="45" t="s">
        <v>697</v>
      </c>
      <c r="AH65" s="45" t="s">
        <v>93</v>
      </c>
      <c r="AI65" s="45" t="s">
        <v>111</v>
      </c>
      <c r="AJ65" s="45">
        <v>610190.21</v>
      </c>
      <c r="AK65" s="45">
        <v>610190.21</v>
      </c>
      <c r="AL65" s="45" t="s">
        <v>111</v>
      </c>
      <c r="AM65" s="13">
        <v>610190.21</v>
      </c>
      <c r="AN65" s="13"/>
      <c r="AO65" s="13"/>
      <c r="AP65" s="13"/>
      <c r="AQ65" s="13"/>
      <c r="AR65" s="13" t="s">
        <v>99</v>
      </c>
      <c r="AS65" s="48">
        <v>0</v>
      </c>
      <c r="AT65" s="48">
        <v>0</v>
      </c>
      <c r="AU65" s="48"/>
      <c r="AV65" s="48" t="s">
        <v>1559</v>
      </c>
      <c r="AW65" s="48">
        <v>610222.1</v>
      </c>
      <c r="AX65" s="48">
        <v>-31.89</v>
      </c>
      <c r="AY65" s="48" t="s">
        <v>1560</v>
      </c>
      <c r="AZ65" s="48"/>
      <c r="BA65" s="45" t="s">
        <v>16</v>
      </c>
      <c r="BB65" s="13"/>
      <c r="BC65" s="13"/>
      <c r="BD65" s="12">
        <v>368844.73</v>
      </c>
      <c r="BE65" s="12">
        <v>-1.0000000009313226E-2</v>
      </c>
      <c r="BF65" s="2"/>
      <c r="BG65" s="2"/>
    </row>
    <row r="66" spans="1:59" ht="12.5" x14ac:dyDescent="0.25">
      <c r="A66" s="186">
        <v>46054</v>
      </c>
      <c r="B66" s="43" t="s">
        <v>103</v>
      </c>
      <c r="C66" s="43" t="s">
        <v>107</v>
      </c>
      <c r="D66" s="43" t="s">
        <v>105</v>
      </c>
      <c r="E66" s="43">
        <v>3050535</v>
      </c>
      <c r="F66" s="43" t="s">
        <v>1562</v>
      </c>
      <c r="G66" s="43" t="s">
        <v>314</v>
      </c>
      <c r="H66" s="43" t="s">
        <v>314</v>
      </c>
      <c r="I66" s="43"/>
      <c r="J66" s="42" t="s">
        <v>527</v>
      </c>
      <c r="K66" s="43"/>
      <c r="L66" s="42" t="s">
        <v>1558</v>
      </c>
      <c r="M66" s="42" t="s">
        <v>687</v>
      </c>
      <c r="N66" s="43"/>
      <c r="O66" s="45" t="s">
        <v>111</v>
      </c>
      <c r="P66" s="13">
        <v>2489548.4</v>
      </c>
      <c r="Q66" s="13"/>
      <c r="R66" s="13"/>
      <c r="S66" s="13"/>
      <c r="T66" s="13" t="s">
        <v>111</v>
      </c>
      <c r="U66" s="13">
        <v>1504869.77</v>
      </c>
      <c r="V66" s="13">
        <v>39.549999999999997</v>
      </c>
      <c r="W66" s="13">
        <v>0</v>
      </c>
      <c r="X66" s="13"/>
      <c r="Y66" s="13"/>
      <c r="Z66" s="45"/>
      <c r="AA66" s="42" t="s">
        <v>107</v>
      </c>
      <c r="AB66" s="42" t="s">
        <v>436</v>
      </c>
      <c r="AC66" s="42" t="s">
        <v>107</v>
      </c>
      <c r="AD66" s="45" t="s">
        <v>436</v>
      </c>
      <c r="AE66" s="45">
        <v>1</v>
      </c>
      <c r="AF66" s="45" t="s">
        <v>687</v>
      </c>
      <c r="AG66" s="45" t="s">
        <v>865</v>
      </c>
      <c r="AH66" s="45" t="s">
        <v>93</v>
      </c>
      <c r="AI66" s="45" t="s">
        <v>111</v>
      </c>
      <c r="AJ66" s="45">
        <v>2489548.4</v>
      </c>
      <c r="AK66" s="45">
        <v>2489548.4</v>
      </c>
      <c r="AL66" s="45" t="s">
        <v>111</v>
      </c>
      <c r="AM66" s="13">
        <v>2489548.4</v>
      </c>
      <c r="AN66" s="13"/>
      <c r="AO66" s="13"/>
      <c r="AP66" s="13"/>
      <c r="AQ66" s="13"/>
      <c r="AR66" s="13" t="s">
        <v>99</v>
      </c>
      <c r="AS66" s="48">
        <v>0</v>
      </c>
      <c r="AT66" s="48">
        <v>0</v>
      </c>
      <c r="AU66" s="48"/>
      <c r="AV66" s="48" t="s">
        <v>1559</v>
      </c>
      <c r="AW66" s="48">
        <v>2489548.39</v>
      </c>
      <c r="AX66" s="48">
        <v>0.01</v>
      </c>
      <c r="AY66" s="48" t="s">
        <v>1560</v>
      </c>
      <c r="AZ66" s="48"/>
      <c r="BA66" s="45" t="s">
        <v>16</v>
      </c>
      <c r="BB66" s="13"/>
      <c r="BC66" s="13"/>
      <c r="BD66" s="12">
        <v>1504869.77</v>
      </c>
      <c r="BE66" s="12">
        <v>0</v>
      </c>
      <c r="BF66" s="2"/>
      <c r="BG66" s="2"/>
    </row>
    <row r="67" spans="1:59" ht="12.5" x14ac:dyDescent="0.25">
      <c r="A67" s="186">
        <v>46054</v>
      </c>
      <c r="B67" s="43" t="s">
        <v>103</v>
      </c>
      <c r="C67" s="43" t="s">
        <v>107</v>
      </c>
      <c r="D67" s="43" t="s">
        <v>105</v>
      </c>
      <c r="E67" s="43">
        <v>3050535</v>
      </c>
      <c r="F67" s="43" t="s">
        <v>1562</v>
      </c>
      <c r="G67" s="43" t="s">
        <v>172</v>
      </c>
      <c r="H67" s="43" t="s">
        <v>172</v>
      </c>
      <c r="I67" s="43"/>
      <c r="J67" s="42" t="s">
        <v>485</v>
      </c>
      <c r="K67" s="43"/>
      <c r="L67" s="42" t="s">
        <v>1558</v>
      </c>
      <c r="M67" s="42" t="s">
        <v>687</v>
      </c>
      <c r="N67" s="43"/>
      <c r="O67" s="45" t="s">
        <v>111</v>
      </c>
      <c r="P67" s="13">
        <v>2431431.12</v>
      </c>
      <c r="Q67" s="13"/>
      <c r="R67" s="13"/>
      <c r="S67" s="13"/>
      <c r="T67" s="13" t="s">
        <v>111</v>
      </c>
      <c r="U67" s="13">
        <v>1469739.32</v>
      </c>
      <c r="V67" s="13">
        <v>39.549999999999997</v>
      </c>
      <c r="W67" s="13">
        <v>0</v>
      </c>
      <c r="X67" s="13"/>
      <c r="Y67" s="13"/>
      <c r="Z67" s="45"/>
      <c r="AA67" s="42" t="s">
        <v>107</v>
      </c>
      <c r="AB67" s="42" t="s">
        <v>436</v>
      </c>
      <c r="AC67" s="42" t="s">
        <v>107</v>
      </c>
      <c r="AD67" s="45" t="s">
        <v>436</v>
      </c>
      <c r="AE67" s="45">
        <v>1</v>
      </c>
      <c r="AF67" s="45" t="s">
        <v>687</v>
      </c>
      <c r="AG67" s="45" t="s">
        <v>865</v>
      </c>
      <c r="AH67" s="45" t="s">
        <v>93</v>
      </c>
      <c r="AI67" s="45" t="s">
        <v>111</v>
      </c>
      <c r="AJ67" s="45">
        <v>2431431.12</v>
      </c>
      <c r="AK67" s="45">
        <v>2431431.12</v>
      </c>
      <c r="AL67" s="45" t="s">
        <v>111</v>
      </c>
      <c r="AM67" s="13">
        <v>2431431.12</v>
      </c>
      <c r="AN67" s="13"/>
      <c r="AO67" s="13"/>
      <c r="AP67" s="13"/>
      <c r="AQ67" s="13"/>
      <c r="AR67" s="13" t="s">
        <v>99</v>
      </c>
      <c r="AS67" s="48">
        <v>0</v>
      </c>
      <c r="AT67" s="48">
        <v>0</v>
      </c>
      <c r="AU67" s="48"/>
      <c r="AV67" s="48" t="s">
        <v>1559</v>
      </c>
      <c r="AW67" s="48">
        <v>2431431.11</v>
      </c>
      <c r="AX67" s="48">
        <v>0.01</v>
      </c>
      <c r="AY67" s="48" t="s">
        <v>1560</v>
      </c>
      <c r="AZ67" s="48"/>
      <c r="BA67" s="45" t="s">
        <v>16</v>
      </c>
      <c r="BB67" s="13"/>
      <c r="BC67" s="13"/>
      <c r="BD67" s="12">
        <v>1469739.33</v>
      </c>
      <c r="BE67" s="12">
        <v>-1.0000000009313226E-2</v>
      </c>
      <c r="BF67" s="2"/>
      <c r="BG67" s="2"/>
    </row>
    <row r="68" spans="1:59" ht="12.5" x14ac:dyDescent="0.25">
      <c r="A68" s="186">
        <v>46054</v>
      </c>
      <c r="B68" s="43" t="s">
        <v>103</v>
      </c>
      <c r="C68" s="43" t="s">
        <v>107</v>
      </c>
      <c r="D68" s="43" t="s">
        <v>105</v>
      </c>
      <c r="E68" s="43">
        <v>3050535</v>
      </c>
      <c r="F68" s="43" t="s">
        <v>1562</v>
      </c>
      <c r="G68" s="43" t="s">
        <v>332</v>
      </c>
      <c r="H68" s="43" t="s">
        <v>332</v>
      </c>
      <c r="I68" s="43"/>
      <c r="J68" s="42" t="s">
        <v>532</v>
      </c>
      <c r="K68" s="43"/>
      <c r="L68" s="42" t="s">
        <v>1558</v>
      </c>
      <c r="M68" s="42" t="s">
        <v>687</v>
      </c>
      <c r="N68" s="43"/>
      <c r="O68" s="45" t="s">
        <v>111</v>
      </c>
      <c r="P68" s="13">
        <v>7445541.0300000003</v>
      </c>
      <c r="Q68" s="13"/>
      <c r="R68" s="13"/>
      <c r="S68" s="13"/>
      <c r="T68" s="13" t="s">
        <v>111</v>
      </c>
      <c r="U68" s="13">
        <v>5807522</v>
      </c>
      <c r="V68" s="13">
        <v>22</v>
      </c>
      <c r="W68" s="13">
        <v>0</v>
      </c>
      <c r="X68" s="13"/>
      <c r="Y68" s="13"/>
      <c r="Z68" s="45"/>
      <c r="AA68" s="42" t="s">
        <v>107</v>
      </c>
      <c r="AB68" s="42" t="s">
        <v>436</v>
      </c>
      <c r="AC68" s="42" t="s">
        <v>107</v>
      </c>
      <c r="AD68" s="45" t="s">
        <v>436</v>
      </c>
      <c r="AE68" s="45">
        <v>1</v>
      </c>
      <c r="AF68" s="45" t="s">
        <v>687</v>
      </c>
      <c r="AG68" s="45" t="s">
        <v>865</v>
      </c>
      <c r="AH68" s="45" t="s">
        <v>93</v>
      </c>
      <c r="AI68" s="45" t="s">
        <v>111</v>
      </c>
      <c r="AJ68" s="45">
        <v>7445541.0300000003</v>
      </c>
      <c r="AK68" s="45">
        <v>7445541.0300000003</v>
      </c>
      <c r="AL68" s="45" t="s">
        <v>111</v>
      </c>
      <c r="AM68" s="13">
        <v>7445541.0300000003</v>
      </c>
      <c r="AN68" s="13"/>
      <c r="AO68" s="13"/>
      <c r="AP68" s="13"/>
      <c r="AQ68" s="13"/>
      <c r="AR68" s="13" t="s">
        <v>99</v>
      </c>
      <c r="AS68" s="48">
        <v>0</v>
      </c>
      <c r="AT68" s="48">
        <v>0</v>
      </c>
      <c r="AU68" s="48"/>
      <c r="AV68" s="48" t="s">
        <v>1559</v>
      </c>
      <c r="AW68" s="48">
        <v>7445541.0300000003</v>
      </c>
      <c r="AX68" s="48">
        <v>0</v>
      </c>
      <c r="AY68" s="48" t="s">
        <v>1560</v>
      </c>
      <c r="AZ68" s="48"/>
      <c r="BA68" s="45" t="s">
        <v>16</v>
      </c>
      <c r="BB68" s="13"/>
      <c r="BC68" s="13"/>
      <c r="BD68" s="12">
        <v>5807522</v>
      </c>
      <c r="BE68" s="12">
        <v>0</v>
      </c>
      <c r="BF68" s="2"/>
      <c r="BG68" s="2"/>
    </row>
    <row r="69" spans="1:59" ht="12.5" x14ac:dyDescent="0.25">
      <c r="A69" s="186">
        <v>46054</v>
      </c>
      <c r="B69" s="43" t="s">
        <v>103</v>
      </c>
      <c r="C69" s="43" t="s">
        <v>107</v>
      </c>
      <c r="D69" s="43" t="s">
        <v>105</v>
      </c>
      <c r="E69" s="43">
        <v>3050535</v>
      </c>
      <c r="F69" s="43" t="s">
        <v>1562</v>
      </c>
      <c r="G69" s="43" t="s">
        <v>282</v>
      </c>
      <c r="H69" s="43" t="s">
        <v>282</v>
      </c>
      <c r="I69" s="43"/>
      <c r="J69" s="42" t="s">
        <v>517</v>
      </c>
      <c r="K69" s="43"/>
      <c r="L69" s="42" t="s">
        <v>1558</v>
      </c>
      <c r="M69" s="42" t="s">
        <v>687</v>
      </c>
      <c r="N69" s="43"/>
      <c r="O69" s="45" t="s">
        <v>111</v>
      </c>
      <c r="P69" s="13">
        <v>798524.61</v>
      </c>
      <c r="Q69" s="13"/>
      <c r="R69" s="13"/>
      <c r="S69" s="13"/>
      <c r="T69" s="13" t="s">
        <v>111</v>
      </c>
      <c r="U69" s="13">
        <v>482688.16</v>
      </c>
      <c r="V69" s="13">
        <v>39.549999999999997</v>
      </c>
      <c r="W69" s="13">
        <v>0</v>
      </c>
      <c r="X69" s="13"/>
      <c r="Y69" s="13"/>
      <c r="Z69" s="45"/>
      <c r="AA69" s="42" t="s">
        <v>107</v>
      </c>
      <c r="AB69" s="42" t="s">
        <v>436</v>
      </c>
      <c r="AC69" s="42" t="s">
        <v>107</v>
      </c>
      <c r="AD69" s="45" t="s">
        <v>436</v>
      </c>
      <c r="AE69" s="45">
        <v>1</v>
      </c>
      <c r="AF69" s="45" t="s">
        <v>687</v>
      </c>
      <c r="AG69" s="45" t="s">
        <v>865</v>
      </c>
      <c r="AH69" s="45" t="s">
        <v>93</v>
      </c>
      <c r="AI69" s="45" t="s">
        <v>111</v>
      </c>
      <c r="AJ69" s="45">
        <v>798524.61</v>
      </c>
      <c r="AK69" s="45">
        <v>798524.61</v>
      </c>
      <c r="AL69" s="45" t="s">
        <v>111</v>
      </c>
      <c r="AM69" s="13">
        <v>798524.61</v>
      </c>
      <c r="AN69" s="13"/>
      <c r="AO69" s="13"/>
      <c r="AP69" s="13"/>
      <c r="AQ69" s="13"/>
      <c r="AR69" s="13" t="s">
        <v>99</v>
      </c>
      <c r="AS69" s="48">
        <v>0</v>
      </c>
      <c r="AT69" s="48">
        <v>0</v>
      </c>
      <c r="AU69" s="48"/>
      <c r="AV69" s="48" t="s">
        <v>1559</v>
      </c>
      <c r="AW69" s="48">
        <v>798524.61</v>
      </c>
      <c r="AX69" s="48">
        <v>0</v>
      </c>
      <c r="AY69" s="48" t="s">
        <v>1560</v>
      </c>
      <c r="AZ69" s="48"/>
      <c r="BA69" s="45" t="s">
        <v>16</v>
      </c>
      <c r="BB69" s="13"/>
      <c r="BC69" s="13"/>
      <c r="BD69" s="12">
        <v>482688.16</v>
      </c>
      <c r="BE69" s="12">
        <v>0</v>
      </c>
      <c r="BF69" s="2"/>
      <c r="BG69" s="2"/>
    </row>
    <row r="70" spans="1:59" ht="12.5" x14ac:dyDescent="0.25">
      <c r="A70" s="186">
        <v>46054</v>
      </c>
      <c r="B70" s="43" t="s">
        <v>103</v>
      </c>
      <c r="C70" s="43" t="s">
        <v>107</v>
      </c>
      <c r="D70" s="43" t="s">
        <v>105</v>
      </c>
      <c r="E70" s="43">
        <v>3050535</v>
      </c>
      <c r="F70" s="43" t="s">
        <v>1562</v>
      </c>
      <c r="G70" s="43" t="s">
        <v>322</v>
      </c>
      <c r="H70" s="43" t="s">
        <v>322</v>
      </c>
      <c r="I70" s="43"/>
      <c r="J70" s="42" t="s">
        <v>529</v>
      </c>
      <c r="K70" s="43"/>
      <c r="L70" s="42" t="s">
        <v>1558</v>
      </c>
      <c r="M70" s="42" t="s">
        <v>687</v>
      </c>
      <c r="N70" s="43"/>
      <c r="O70" s="45" t="s">
        <v>111</v>
      </c>
      <c r="P70" s="13">
        <v>2000000</v>
      </c>
      <c r="Q70" s="13"/>
      <c r="R70" s="13"/>
      <c r="S70" s="13"/>
      <c r="T70" s="13" t="s">
        <v>111</v>
      </c>
      <c r="U70" s="13">
        <v>1208950</v>
      </c>
      <c r="V70" s="13">
        <v>39.549999999999997</v>
      </c>
      <c r="W70" s="13">
        <v>0</v>
      </c>
      <c r="X70" s="13"/>
      <c r="Y70" s="13"/>
      <c r="Z70" s="45"/>
      <c r="AA70" s="42" t="s">
        <v>107</v>
      </c>
      <c r="AB70" s="42" t="s">
        <v>436</v>
      </c>
      <c r="AC70" s="42" t="s">
        <v>107</v>
      </c>
      <c r="AD70" s="45" t="s">
        <v>436</v>
      </c>
      <c r="AE70" s="45">
        <v>1</v>
      </c>
      <c r="AF70" s="45" t="s">
        <v>687</v>
      </c>
      <c r="AG70" s="45" t="s">
        <v>865</v>
      </c>
      <c r="AH70" s="45" t="s">
        <v>93</v>
      </c>
      <c r="AI70" s="45" t="s">
        <v>111</v>
      </c>
      <c r="AJ70" s="45">
        <v>2000000</v>
      </c>
      <c r="AK70" s="45">
        <v>2000000</v>
      </c>
      <c r="AL70" s="45" t="s">
        <v>111</v>
      </c>
      <c r="AM70" s="13">
        <v>2000000</v>
      </c>
      <c r="AN70" s="13"/>
      <c r="AO70" s="13"/>
      <c r="AP70" s="13"/>
      <c r="AQ70" s="13"/>
      <c r="AR70" s="13" t="s">
        <v>99</v>
      </c>
      <c r="AS70" s="48">
        <v>0</v>
      </c>
      <c r="AT70" s="48">
        <v>0</v>
      </c>
      <c r="AU70" s="48"/>
      <c r="AV70" s="48" t="s">
        <v>1559</v>
      </c>
      <c r="AW70" s="48">
        <v>2004216.19</v>
      </c>
      <c r="AX70" s="48">
        <v>-4216.1899999999996</v>
      </c>
      <c r="AY70" s="48" t="s">
        <v>1560</v>
      </c>
      <c r="AZ70" s="48"/>
      <c r="BA70" s="45" t="s">
        <v>16</v>
      </c>
      <c r="BB70" s="13"/>
      <c r="BC70" s="13"/>
      <c r="BD70" s="12">
        <v>1208950</v>
      </c>
      <c r="BE70" s="12">
        <v>0</v>
      </c>
      <c r="BF70" s="2"/>
      <c r="BG70" s="2"/>
    </row>
    <row r="71" spans="1:59" ht="12.5" x14ac:dyDescent="0.25">
      <c r="A71" s="186">
        <v>46054</v>
      </c>
      <c r="B71" s="43" t="s">
        <v>103</v>
      </c>
      <c r="C71" s="43" t="s">
        <v>107</v>
      </c>
      <c r="D71" s="43" t="s">
        <v>105</v>
      </c>
      <c r="E71" s="43">
        <v>3050535</v>
      </c>
      <c r="F71" s="43" t="s">
        <v>1562</v>
      </c>
      <c r="G71" s="43" t="s">
        <v>243</v>
      </c>
      <c r="H71" s="43" t="s">
        <v>243</v>
      </c>
      <c r="I71" s="43"/>
      <c r="J71" s="42" t="s">
        <v>506</v>
      </c>
      <c r="K71" s="43"/>
      <c r="L71" s="42" t="s">
        <v>1558</v>
      </c>
      <c r="M71" s="42" t="s">
        <v>687</v>
      </c>
      <c r="N71" s="43"/>
      <c r="O71" s="45" t="s">
        <v>111</v>
      </c>
      <c r="P71" s="13">
        <v>4712962.42</v>
      </c>
      <c r="Q71" s="13"/>
      <c r="R71" s="13"/>
      <c r="S71" s="13"/>
      <c r="T71" s="13" t="s">
        <v>111</v>
      </c>
      <c r="U71" s="13">
        <v>2848867.96</v>
      </c>
      <c r="V71" s="13">
        <v>39.549999999999997</v>
      </c>
      <c r="W71" s="13">
        <v>0</v>
      </c>
      <c r="X71" s="13"/>
      <c r="Y71" s="13"/>
      <c r="Z71" s="45"/>
      <c r="AA71" s="42" t="s">
        <v>107</v>
      </c>
      <c r="AB71" s="42" t="s">
        <v>436</v>
      </c>
      <c r="AC71" s="42" t="s">
        <v>107</v>
      </c>
      <c r="AD71" s="45" t="s">
        <v>436</v>
      </c>
      <c r="AE71" s="45">
        <v>1</v>
      </c>
      <c r="AF71" s="45" t="s">
        <v>687</v>
      </c>
      <c r="AG71" s="45" t="s">
        <v>865</v>
      </c>
      <c r="AH71" s="45" t="s">
        <v>93</v>
      </c>
      <c r="AI71" s="45" t="s">
        <v>111</v>
      </c>
      <c r="AJ71" s="45">
        <v>4712962.42</v>
      </c>
      <c r="AK71" s="45">
        <v>4712962.42</v>
      </c>
      <c r="AL71" s="45" t="s">
        <v>111</v>
      </c>
      <c r="AM71" s="13">
        <v>4712962.42</v>
      </c>
      <c r="AN71" s="13"/>
      <c r="AO71" s="13"/>
      <c r="AP71" s="13"/>
      <c r="AQ71" s="13"/>
      <c r="AR71" s="13" t="s">
        <v>99</v>
      </c>
      <c r="AS71" s="48">
        <v>0</v>
      </c>
      <c r="AT71" s="48">
        <v>0</v>
      </c>
      <c r="AU71" s="48"/>
      <c r="AV71" s="48" t="s">
        <v>1559</v>
      </c>
      <c r="AW71" s="48">
        <v>4712962.41</v>
      </c>
      <c r="AX71" s="48">
        <v>0.01</v>
      </c>
      <c r="AY71" s="48" t="s">
        <v>1560</v>
      </c>
      <c r="AZ71" s="48"/>
      <c r="BA71" s="45" t="s">
        <v>16</v>
      </c>
      <c r="BB71" s="13"/>
      <c r="BC71" s="13"/>
      <c r="BD71" s="12">
        <v>2848867.95</v>
      </c>
      <c r="BE71" s="12">
        <v>9.9999997764825821E-3</v>
      </c>
      <c r="BF71" s="2"/>
      <c r="BG71" s="2"/>
    </row>
    <row r="72" spans="1:59" ht="12.5" x14ac:dyDescent="0.25">
      <c r="A72" s="186">
        <v>46054</v>
      </c>
      <c r="B72" s="43" t="s">
        <v>103</v>
      </c>
      <c r="C72" s="43" t="s">
        <v>107</v>
      </c>
      <c r="D72" s="43" t="s">
        <v>105</v>
      </c>
      <c r="E72" s="43">
        <v>3050535</v>
      </c>
      <c r="F72" s="43" t="s">
        <v>1562</v>
      </c>
      <c r="G72" s="43" t="s">
        <v>373</v>
      </c>
      <c r="H72" s="43" t="s">
        <v>373</v>
      </c>
      <c r="I72" s="43"/>
      <c r="J72" s="42" t="s">
        <v>544</v>
      </c>
      <c r="K72" s="43"/>
      <c r="L72" s="42" t="s">
        <v>1558</v>
      </c>
      <c r="M72" s="42" t="s">
        <v>687</v>
      </c>
      <c r="N72" s="43"/>
      <c r="O72" s="45" t="s">
        <v>111</v>
      </c>
      <c r="P72" s="13">
        <v>4901475.9400000004</v>
      </c>
      <c r="Q72" s="13"/>
      <c r="R72" s="13"/>
      <c r="S72" s="13"/>
      <c r="T72" s="13" t="s">
        <v>111</v>
      </c>
      <c r="U72" s="13">
        <v>3823151.23</v>
      </c>
      <c r="V72" s="13">
        <v>22</v>
      </c>
      <c r="W72" s="13">
        <v>0</v>
      </c>
      <c r="X72" s="13"/>
      <c r="Y72" s="13"/>
      <c r="Z72" s="45"/>
      <c r="AA72" s="42" t="s">
        <v>107</v>
      </c>
      <c r="AB72" s="42" t="s">
        <v>436</v>
      </c>
      <c r="AC72" s="42" t="s">
        <v>107</v>
      </c>
      <c r="AD72" s="45" t="s">
        <v>436</v>
      </c>
      <c r="AE72" s="45">
        <v>1</v>
      </c>
      <c r="AF72" s="45" t="s">
        <v>687</v>
      </c>
      <c r="AG72" s="45" t="s">
        <v>865</v>
      </c>
      <c r="AH72" s="45" t="s">
        <v>93</v>
      </c>
      <c r="AI72" s="45" t="s">
        <v>111</v>
      </c>
      <c r="AJ72" s="45">
        <v>4901475.9400000004</v>
      </c>
      <c r="AK72" s="45">
        <v>4901475.9400000004</v>
      </c>
      <c r="AL72" s="45" t="s">
        <v>111</v>
      </c>
      <c r="AM72" s="13">
        <v>4901475.9400000004</v>
      </c>
      <c r="AN72" s="13"/>
      <c r="AO72" s="13"/>
      <c r="AP72" s="13"/>
      <c r="AQ72" s="13"/>
      <c r="AR72" s="13" t="s">
        <v>99</v>
      </c>
      <c r="AS72" s="48">
        <v>0</v>
      </c>
      <c r="AT72" s="48">
        <v>0</v>
      </c>
      <c r="AU72" s="48"/>
      <c r="AV72" s="48" t="s">
        <v>1559</v>
      </c>
      <c r="AW72" s="48">
        <v>4901475.9400000004</v>
      </c>
      <c r="AX72" s="48">
        <v>0</v>
      </c>
      <c r="AY72" s="48" t="s">
        <v>1560</v>
      </c>
      <c r="AZ72" s="48"/>
      <c r="BA72" s="45" t="s">
        <v>16</v>
      </c>
      <c r="BB72" s="13"/>
      <c r="BC72" s="13"/>
      <c r="BD72" s="12">
        <v>3823151.23</v>
      </c>
      <c r="BE72" s="12">
        <v>0</v>
      </c>
      <c r="BF72" s="2"/>
      <c r="BG72" s="2"/>
    </row>
    <row r="73" spans="1:59" ht="12.5" x14ac:dyDescent="0.25">
      <c r="A73" s="186">
        <v>46054</v>
      </c>
      <c r="B73" s="43" t="s">
        <v>103</v>
      </c>
      <c r="C73" s="43" t="s">
        <v>107</v>
      </c>
      <c r="D73" s="43" t="s">
        <v>105</v>
      </c>
      <c r="E73" s="43">
        <v>3050535</v>
      </c>
      <c r="F73" s="43" t="s">
        <v>1562</v>
      </c>
      <c r="G73" s="43" t="s">
        <v>262</v>
      </c>
      <c r="H73" s="43" t="s">
        <v>262</v>
      </c>
      <c r="I73" s="43"/>
      <c r="J73" s="42" t="s">
        <v>511</v>
      </c>
      <c r="K73" s="43"/>
      <c r="L73" s="42" t="s">
        <v>1558</v>
      </c>
      <c r="M73" s="42" t="s">
        <v>687</v>
      </c>
      <c r="N73" s="43"/>
      <c r="O73" s="45" t="s">
        <v>111</v>
      </c>
      <c r="P73" s="13">
        <v>7991501.8099999996</v>
      </c>
      <c r="Q73" s="13"/>
      <c r="R73" s="13"/>
      <c r="S73" s="13"/>
      <c r="T73" s="13" t="s">
        <v>111</v>
      </c>
      <c r="U73" s="13">
        <v>4830663.04</v>
      </c>
      <c r="V73" s="13">
        <v>39.549999999999997</v>
      </c>
      <c r="W73" s="13">
        <v>0</v>
      </c>
      <c r="X73" s="13"/>
      <c r="Y73" s="13"/>
      <c r="Z73" s="45"/>
      <c r="AA73" s="42" t="s">
        <v>107</v>
      </c>
      <c r="AB73" s="42" t="s">
        <v>436</v>
      </c>
      <c r="AC73" s="42" t="s">
        <v>107</v>
      </c>
      <c r="AD73" s="45" t="s">
        <v>436</v>
      </c>
      <c r="AE73" s="45">
        <v>1</v>
      </c>
      <c r="AF73" s="45" t="s">
        <v>687</v>
      </c>
      <c r="AG73" s="45" t="s">
        <v>865</v>
      </c>
      <c r="AH73" s="45" t="s">
        <v>93</v>
      </c>
      <c r="AI73" s="45" t="s">
        <v>111</v>
      </c>
      <c r="AJ73" s="45">
        <v>7991501.8099999996</v>
      </c>
      <c r="AK73" s="45">
        <v>7991501.8099999996</v>
      </c>
      <c r="AL73" s="45" t="s">
        <v>111</v>
      </c>
      <c r="AM73" s="13">
        <v>7991501.8099999996</v>
      </c>
      <c r="AN73" s="13"/>
      <c r="AO73" s="13"/>
      <c r="AP73" s="13"/>
      <c r="AQ73" s="13"/>
      <c r="AR73" s="13" t="s">
        <v>99</v>
      </c>
      <c r="AS73" s="48">
        <v>0</v>
      </c>
      <c r="AT73" s="48">
        <v>0</v>
      </c>
      <c r="AU73" s="48"/>
      <c r="AV73" s="48" t="s">
        <v>1559</v>
      </c>
      <c r="AW73" s="48">
        <v>7991501.8200000003</v>
      </c>
      <c r="AX73" s="48">
        <v>-0.01</v>
      </c>
      <c r="AY73" s="48" t="s">
        <v>1560</v>
      </c>
      <c r="AZ73" s="48"/>
      <c r="BA73" s="45" t="s">
        <v>16</v>
      </c>
      <c r="BB73" s="13"/>
      <c r="BC73" s="13"/>
      <c r="BD73" s="12">
        <v>4830663.0599999996</v>
      </c>
      <c r="BE73" s="12">
        <v>-1.9999999552965164E-2</v>
      </c>
      <c r="BF73" s="2"/>
      <c r="BG73" s="2"/>
    </row>
    <row r="74" spans="1:59" ht="12.5" x14ac:dyDescent="0.25">
      <c r="A74" s="186">
        <v>46054</v>
      </c>
      <c r="B74" s="43" t="s">
        <v>103</v>
      </c>
      <c r="C74" s="43" t="s">
        <v>107</v>
      </c>
      <c r="D74" s="43" t="s">
        <v>105</v>
      </c>
      <c r="E74" s="43">
        <v>3050535</v>
      </c>
      <c r="F74" s="43" t="s">
        <v>1562</v>
      </c>
      <c r="G74" s="43" t="s">
        <v>286</v>
      </c>
      <c r="H74" s="43" t="s">
        <v>286</v>
      </c>
      <c r="I74" s="43"/>
      <c r="J74" s="42" t="s">
        <v>518</v>
      </c>
      <c r="K74" s="43"/>
      <c r="L74" s="42" t="s">
        <v>1558</v>
      </c>
      <c r="M74" s="42" t="s">
        <v>687</v>
      </c>
      <c r="N74" s="43"/>
      <c r="O74" s="45" t="s">
        <v>111</v>
      </c>
      <c r="P74" s="13">
        <v>2028302.04</v>
      </c>
      <c r="Q74" s="13"/>
      <c r="R74" s="13"/>
      <c r="S74" s="13"/>
      <c r="T74" s="13" t="s">
        <v>111</v>
      </c>
      <c r="U74" s="13">
        <v>1226057.8700000001</v>
      </c>
      <c r="V74" s="13">
        <v>39.549999999999997</v>
      </c>
      <c r="W74" s="13">
        <v>0</v>
      </c>
      <c r="X74" s="13"/>
      <c r="Y74" s="13"/>
      <c r="Z74" s="45"/>
      <c r="AA74" s="42" t="s">
        <v>107</v>
      </c>
      <c r="AB74" s="42" t="s">
        <v>436</v>
      </c>
      <c r="AC74" s="42" t="s">
        <v>107</v>
      </c>
      <c r="AD74" s="45" t="s">
        <v>436</v>
      </c>
      <c r="AE74" s="45">
        <v>1</v>
      </c>
      <c r="AF74" s="45" t="s">
        <v>687</v>
      </c>
      <c r="AG74" s="45" t="s">
        <v>865</v>
      </c>
      <c r="AH74" s="45" t="s">
        <v>93</v>
      </c>
      <c r="AI74" s="45" t="s">
        <v>111</v>
      </c>
      <c r="AJ74" s="45">
        <v>2028302.04</v>
      </c>
      <c r="AK74" s="45">
        <v>2028302.04</v>
      </c>
      <c r="AL74" s="45" t="s">
        <v>111</v>
      </c>
      <c r="AM74" s="13">
        <v>2028302.04</v>
      </c>
      <c r="AN74" s="13"/>
      <c r="AO74" s="13"/>
      <c r="AP74" s="13"/>
      <c r="AQ74" s="13"/>
      <c r="AR74" s="13" t="s">
        <v>99</v>
      </c>
      <c r="AS74" s="48">
        <v>0</v>
      </c>
      <c r="AT74" s="48">
        <v>0</v>
      </c>
      <c r="AU74" s="48"/>
      <c r="AV74" s="48" t="s">
        <v>1559</v>
      </c>
      <c r="AW74" s="48">
        <v>2028302.04</v>
      </c>
      <c r="AX74" s="48">
        <v>0</v>
      </c>
      <c r="AY74" s="48" t="s">
        <v>1560</v>
      </c>
      <c r="AZ74" s="48"/>
      <c r="BA74" s="45" t="s">
        <v>16</v>
      </c>
      <c r="BB74" s="13"/>
      <c r="BC74" s="13"/>
      <c r="BD74" s="12">
        <v>1226057.8799999999</v>
      </c>
      <c r="BE74" s="12">
        <v>-9.9999997764825821E-3</v>
      </c>
      <c r="BF74" s="2"/>
      <c r="BG74" s="2"/>
    </row>
    <row r="75" spans="1:59" ht="12.5" x14ac:dyDescent="0.25">
      <c r="A75" s="186">
        <v>46054</v>
      </c>
      <c r="B75" s="43" t="s">
        <v>103</v>
      </c>
      <c r="C75" s="43" t="s">
        <v>107</v>
      </c>
      <c r="D75" s="43" t="s">
        <v>105</v>
      </c>
      <c r="E75" s="43">
        <v>3050535</v>
      </c>
      <c r="F75" s="43" t="s">
        <v>1562</v>
      </c>
      <c r="G75" s="43" t="s">
        <v>336</v>
      </c>
      <c r="H75" s="43" t="s">
        <v>336</v>
      </c>
      <c r="I75" s="43"/>
      <c r="J75" s="42" t="s">
        <v>533</v>
      </c>
      <c r="K75" s="43"/>
      <c r="L75" s="42" t="s">
        <v>1558</v>
      </c>
      <c r="M75" s="42" t="s">
        <v>687</v>
      </c>
      <c r="N75" s="43"/>
      <c r="O75" s="45" t="s">
        <v>111</v>
      </c>
      <c r="P75" s="13">
        <v>839339.96</v>
      </c>
      <c r="Q75" s="13"/>
      <c r="R75" s="13"/>
      <c r="S75" s="13"/>
      <c r="T75" s="13" t="s">
        <v>111</v>
      </c>
      <c r="U75" s="13">
        <v>654685.17000000004</v>
      </c>
      <c r="V75" s="13">
        <v>22</v>
      </c>
      <c r="W75" s="13">
        <v>0</v>
      </c>
      <c r="X75" s="13"/>
      <c r="Y75" s="13"/>
      <c r="Z75" s="45"/>
      <c r="AA75" s="42" t="s">
        <v>107</v>
      </c>
      <c r="AB75" s="42" t="s">
        <v>436</v>
      </c>
      <c r="AC75" s="42" t="s">
        <v>107</v>
      </c>
      <c r="AD75" s="45" t="s">
        <v>436</v>
      </c>
      <c r="AE75" s="45">
        <v>1</v>
      </c>
      <c r="AF75" s="45" t="s">
        <v>687</v>
      </c>
      <c r="AG75" s="45" t="s">
        <v>865</v>
      </c>
      <c r="AH75" s="45" t="s">
        <v>93</v>
      </c>
      <c r="AI75" s="45" t="s">
        <v>111</v>
      </c>
      <c r="AJ75" s="45">
        <v>839339.96</v>
      </c>
      <c r="AK75" s="45">
        <v>839339.96</v>
      </c>
      <c r="AL75" s="45" t="s">
        <v>111</v>
      </c>
      <c r="AM75" s="13">
        <v>839339.96</v>
      </c>
      <c r="AN75" s="13"/>
      <c r="AO75" s="13"/>
      <c r="AP75" s="13"/>
      <c r="AQ75" s="13"/>
      <c r="AR75" s="13" t="s">
        <v>99</v>
      </c>
      <c r="AS75" s="48">
        <v>0</v>
      </c>
      <c r="AT75" s="48">
        <v>0</v>
      </c>
      <c r="AU75" s="48"/>
      <c r="AV75" s="48" t="s">
        <v>1559</v>
      </c>
      <c r="AW75" s="48">
        <v>839339.97</v>
      </c>
      <c r="AX75" s="48">
        <v>-0.01</v>
      </c>
      <c r="AY75" s="48" t="s">
        <v>1560</v>
      </c>
      <c r="AZ75" s="48"/>
      <c r="BA75" s="45" t="s">
        <v>16</v>
      </c>
      <c r="BB75" s="13"/>
      <c r="BC75" s="13"/>
      <c r="BD75" s="12">
        <v>654685.18000000005</v>
      </c>
      <c r="BE75" s="12">
        <v>-1.0000000009313226E-2</v>
      </c>
      <c r="BF75" s="2"/>
      <c r="BG75" s="2"/>
    </row>
    <row r="76" spans="1:59" ht="12.5" x14ac:dyDescent="0.25">
      <c r="A76" s="186">
        <v>46054</v>
      </c>
      <c r="B76" s="43" t="s">
        <v>103</v>
      </c>
      <c r="C76" s="43" t="s">
        <v>107</v>
      </c>
      <c r="D76" s="43" t="s">
        <v>105</v>
      </c>
      <c r="E76" s="43">
        <v>3050535</v>
      </c>
      <c r="F76" s="43" t="s">
        <v>1562</v>
      </c>
      <c r="G76" s="43" t="s">
        <v>188</v>
      </c>
      <c r="H76" s="43" t="s">
        <v>188</v>
      </c>
      <c r="I76" s="43"/>
      <c r="J76" s="42" t="s">
        <v>491</v>
      </c>
      <c r="K76" s="43"/>
      <c r="L76" s="42" t="s">
        <v>1558</v>
      </c>
      <c r="M76" s="42" t="s">
        <v>687</v>
      </c>
      <c r="N76" s="43"/>
      <c r="O76" s="45" t="s">
        <v>111</v>
      </c>
      <c r="P76" s="13">
        <v>5546437.7000000002</v>
      </c>
      <c r="Q76" s="13"/>
      <c r="R76" s="13"/>
      <c r="S76" s="13"/>
      <c r="T76" s="13" t="s">
        <v>111</v>
      </c>
      <c r="U76" s="13">
        <v>3352682.93</v>
      </c>
      <c r="V76" s="13">
        <v>39.549999999999997</v>
      </c>
      <c r="W76" s="13">
        <v>0</v>
      </c>
      <c r="X76" s="13"/>
      <c r="Y76" s="13"/>
      <c r="Z76" s="45"/>
      <c r="AA76" s="42" t="s">
        <v>107</v>
      </c>
      <c r="AB76" s="42" t="s">
        <v>436</v>
      </c>
      <c r="AC76" s="42" t="s">
        <v>107</v>
      </c>
      <c r="AD76" s="45" t="s">
        <v>436</v>
      </c>
      <c r="AE76" s="45">
        <v>1</v>
      </c>
      <c r="AF76" s="45" t="s">
        <v>687</v>
      </c>
      <c r="AG76" s="45" t="s">
        <v>865</v>
      </c>
      <c r="AH76" s="45" t="s">
        <v>93</v>
      </c>
      <c r="AI76" s="45" t="s">
        <v>111</v>
      </c>
      <c r="AJ76" s="45">
        <v>5546437.7000000002</v>
      </c>
      <c r="AK76" s="45">
        <v>5546437.7000000002</v>
      </c>
      <c r="AL76" s="45" t="s">
        <v>111</v>
      </c>
      <c r="AM76" s="13">
        <v>5546437.7000000002</v>
      </c>
      <c r="AN76" s="13"/>
      <c r="AO76" s="13"/>
      <c r="AP76" s="13"/>
      <c r="AQ76" s="13"/>
      <c r="AR76" s="13" t="s">
        <v>99</v>
      </c>
      <c r="AS76" s="48">
        <v>0</v>
      </c>
      <c r="AT76" s="48">
        <v>0</v>
      </c>
      <c r="AU76" s="48"/>
      <c r="AV76" s="48" t="s">
        <v>1559</v>
      </c>
      <c r="AW76" s="48">
        <v>5546437.7000000002</v>
      </c>
      <c r="AX76" s="48">
        <v>0</v>
      </c>
      <c r="AY76" s="48" t="s">
        <v>1560</v>
      </c>
      <c r="AZ76" s="48"/>
      <c r="BA76" s="45" t="s">
        <v>16</v>
      </c>
      <c r="BB76" s="13"/>
      <c r="BC76" s="13"/>
      <c r="BD76" s="12">
        <v>3352682.93</v>
      </c>
      <c r="BE76" s="12">
        <v>0</v>
      </c>
      <c r="BF76" s="2"/>
      <c r="BG76" s="2"/>
    </row>
    <row r="77" spans="1:59" ht="12.5" x14ac:dyDescent="0.25">
      <c r="A77" s="186">
        <v>46054</v>
      </c>
      <c r="B77" s="43" t="s">
        <v>103</v>
      </c>
      <c r="C77" s="43" t="s">
        <v>107</v>
      </c>
      <c r="D77" s="43" t="s">
        <v>105</v>
      </c>
      <c r="E77" s="43">
        <v>3050535</v>
      </c>
      <c r="F77" s="43" t="s">
        <v>1562</v>
      </c>
      <c r="G77" s="43" t="s">
        <v>356</v>
      </c>
      <c r="H77" s="43" t="s">
        <v>356</v>
      </c>
      <c r="I77" s="43"/>
      <c r="J77" s="42" t="s">
        <v>539</v>
      </c>
      <c r="K77" s="43"/>
      <c r="L77" s="42" t="s">
        <v>1558</v>
      </c>
      <c r="M77" s="42" t="s">
        <v>687</v>
      </c>
      <c r="N77" s="43"/>
      <c r="O77" s="45" t="s">
        <v>111</v>
      </c>
      <c r="P77" s="13">
        <v>3625356</v>
      </c>
      <c r="Q77" s="13"/>
      <c r="R77" s="13"/>
      <c r="S77" s="13"/>
      <c r="T77" s="13" t="s">
        <v>111</v>
      </c>
      <c r="U77" s="13">
        <v>2827777.68</v>
      </c>
      <c r="V77" s="13">
        <v>22</v>
      </c>
      <c r="W77" s="13">
        <v>0</v>
      </c>
      <c r="X77" s="13"/>
      <c r="Y77" s="13"/>
      <c r="Z77" s="45"/>
      <c r="AA77" s="42" t="s">
        <v>107</v>
      </c>
      <c r="AB77" s="42" t="s">
        <v>436</v>
      </c>
      <c r="AC77" s="42" t="s">
        <v>107</v>
      </c>
      <c r="AD77" s="45" t="s">
        <v>436</v>
      </c>
      <c r="AE77" s="45">
        <v>1</v>
      </c>
      <c r="AF77" s="45" t="s">
        <v>687</v>
      </c>
      <c r="AG77" s="45" t="s">
        <v>865</v>
      </c>
      <c r="AH77" s="45" t="s">
        <v>93</v>
      </c>
      <c r="AI77" s="45" t="s">
        <v>111</v>
      </c>
      <c r="AJ77" s="45">
        <v>3625356</v>
      </c>
      <c r="AK77" s="45">
        <v>3625356</v>
      </c>
      <c r="AL77" s="45" t="s">
        <v>111</v>
      </c>
      <c r="AM77" s="13">
        <v>3625356</v>
      </c>
      <c r="AN77" s="13"/>
      <c r="AO77" s="13"/>
      <c r="AP77" s="13"/>
      <c r="AQ77" s="13"/>
      <c r="AR77" s="13" t="s">
        <v>99</v>
      </c>
      <c r="AS77" s="48">
        <v>0</v>
      </c>
      <c r="AT77" s="48">
        <v>0</v>
      </c>
      <c r="AU77" s="48"/>
      <c r="AV77" s="48" t="s">
        <v>1559</v>
      </c>
      <c r="AW77" s="48">
        <v>3625356</v>
      </c>
      <c r="AX77" s="48">
        <v>0</v>
      </c>
      <c r="AY77" s="48" t="s">
        <v>1560</v>
      </c>
      <c r="AZ77" s="48"/>
      <c r="BA77" s="45" t="s">
        <v>16</v>
      </c>
      <c r="BB77" s="13"/>
      <c r="BC77" s="13"/>
      <c r="BD77" s="12">
        <v>2827777.68</v>
      </c>
      <c r="BE77" s="12">
        <v>0</v>
      </c>
      <c r="BF77" s="2"/>
      <c r="BG77" s="2"/>
    </row>
    <row r="78" spans="1:59" ht="12.5" x14ac:dyDescent="0.25">
      <c r="A78" s="186">
        <v>46054</v>
      </c>
      <c r="B78" s="43" t="s">
        <v>103</v>
      </c>
      <c r="C78" s="43" t="s">
        <v>107</v>
      </c>
      <c r="D78" s="43" t="s">
        <v>105</v>
      </c>
      <c r="E78" s="43">
        <v>3050535</v>
      </c>
      <c r="F78" s="43" t="s">
        <v>1562</v>
      </c>
      <c r="G78" s="43" t="s">
        <v>366</v>
      </c>
      <c r="H78" s="43" t="s">
        <v>366</v>
      </c>
      <c r="I78" s="43"/>
      <c r="J78" s="42" t="s">
        <v>542</v>
      </c>
      <c r="K78" s="43"/>
      <c r="L78" s="42" t="s">
        <v>1558</v>
      </c>
      <c r="M78" s="42" t="s">
        <v>687</v>
      </c>
      <c r="N78" s="43"/>
      <c r="O78" s="45" t="s">
        <v>111</v>
      </c>
      <c r="P78" s="13">
        <v>2499831.17</v>
      </c>
      <c r="Q78" s="13"/>
      <c r="R78" s="13"/>
      <c r="S78" s="13"/>
      <c r="T78" s="13" t="s">
        <v>111</v>
      </c>
      <c r="U78" s="13">
        <v>1949868.31</v>
      </c>
      <c r="V78" s="13">
        <v>22</v>
      </c>
      <c r="W78" s="13">
        <v>0</v>
      </c>
      <c r="X78" s="13"/>
      <c r="Y78" s="13"/>
      <c r="Z78" s="45"/>
      <c r="AA78" s="42" t="s">
        <v>107</v>
      </c>
      <c r="AB78" s="42" t="s">
        <v>436</v>
      </c>
      <c r="AC78" s="42" t="s">
        <v>107</v>
      </c>
      <c r="AD78" s="45" t="s">
        <v>436</v>
      </c>
      <c r="AE78" s="45">
        <v>1</v>
      </c>
      <c r="AF78" s="45" t="s">
        <v>687</v>
      </c>
      <c r="AG78" s="45" t="s">
        <v>865</v>
      </c>
      <c r="AH78" s="45" t="s">
        <v>93</v>
      </c>
      <c r="AI78" s="45" t="s">
        <v>111</v>
      </c>
      <c r="AJ78" s="45">
        <v>2499831.17</v>
      </c>
      <c r="AK78" s="45">
        <v>2499831.17</v>
      </c>
      <c r="AL78" s="45" t="s">
        <v>111</v>
      </c>
      <c r="AM78" s="13">
        <v>2499831.17</v>
      </c>
      <c r="AN78" s="13"/>
      <c r="AO78" s="13"/>
      <c r="AP78" s="13"/>
      <c r="AQ78" s="13"/>
      <c r="AR78" s="13" t="s">
        <v>99</v>
      </c>
      <c r="AS78" s="48">
        <v>0</v>
      </c>
      <c r="AT78" s="48">
        <v>0</v>
      </c>
      <c r="AU78" s="48"/>
      <c r="AV78" s="48" t="s">
        <v>1559</v>
      </c>
      <c r="AW78" s="48">
        <v>2499831.17</v>
      </c>
      <c r="AX78" s="48">
        <v>0</v>
      </c>
      <c r="AY78" s="48" t="s">
        <v>1560</v>
      </c>
      <c r="AZ78" s="48"/>
      <c r="BA78" s="45" t="s">
        <v>16</v>
      </c>
      <c r="BB78" s="13"/>
      <c r="BC78" s="13"/>
      <c r="BD78" s="12">
        <v>1949868.31</v>
      </c>
      <c r="BE78" s="12">
        <v>0</v>
      </c>
      <c r="BF78" s="2"/>
      <c r="BG78" s="2"/>
    </row>
    <row r="79" spans="1:59" ht="12.5" x14ac:dyDescent="0.25">
      <c r="A79" s="186">
        <v>46054</v>
      </c>
      <c r="B79" s="43" t="s">
        <v>103</v>
      </c>
      <c r="C79" s="43" t="s">
        <v>107</v>
      </c>
      <c r="D79" s="43" t="s">
        <v>105</v>
      </c>
      <c r="E79" s="43">
        <v>3050535</v>
      </c>
      <c r="F79" s="43" t="s">
        <v>1562</v>
      </c>
      <c r="G79" s="43" t="s">
        <v>168</v>
      </c>
      <c r="H79" s="43" t="s">
        <v>168</v>
      </c>
      <c r="I79" s="43"/>
      <c r="J79" s="42" t="s">
        <v>484</v>
      </c>
      <c r="K79" s="43"/>
      <c r="L79" s="42" t="s">
        <v>1558</v>
      </c>
      <c r="M79" s="42" t="s">
        <v>687</v>
      </c>
      <c r="N79" s="43"/>
      <c r="O79" s="45" t="s">
        <v>111</v>
      </c>
      <c r="P79" s="13">
        <v>1206718.48</v>
      </c>
      <c r="Q79" s="13"/>
      <c r="R79" s="13"/>
      <c r="S79" s="13"/>
      <c r="T79" s="13" t="s">
        <v>111</v>
      </c>
      <c r="U79" s="13">
        <v>729431.15</v>
      </c>
      <c r="V79" s="13">
        <v>39.549999999999997</v>
      </c>
      <c r="W79" s="13">
        <v>0</v>
      </c>
      <c r="X79" s="13"/>
      <c r="Y79" s="13"/>
      <c r="Z79" s="45"/>
      <c r="AA79" s="42" t="s">
        <v>107</v>
      </c>
      <c r="AB79" s="42" t="s">
        <v>436</v>
      </c>
      <c r="AC79" s="42" t="s">
        <v>107</v>
      </c>
      <c r="AD79" s="45" t="s">
        <v>436</v>
      </c>
      <c r="AE79" s="45">
        <v>1</v>
      </c>
      <c r="AF79" s="45" t="s">
        <v>687</v>
      </c>
      <c r="AG79" s="45" t="s">
        <v>865</v>
      </c>
      <c r="AH79" s="45" t="s">
        <v>93</v>
      </c>
      <c r="AI79" s="45" t="s">
        <v>111</v>
      </c>
      <c r="AJ79" s="45">
        <v>1206718.48</v>
      </c>
      <c r="AK79" s="45">
        <v>1206718.48</v>
      </c>
      <c r="AL79" s="45" t="s">
        <v>111</v>
      </c>
      <c r="AM79" s="13">
        <v>1206718.48</v>
      </c>
      <c r="AN79" s="13"/>
      <c r="AO79" s="13"/>
      <c r="AP79" s="13"/>
      <c r="AQ79" s="13"/>
      <c r="AR79" s="13" t="s">
        <v>99</v>
      </c>
      <c r="AS79" s="48">
        <v>0</v>
      </c>
      <c r="AT79" s="48">
        <v>0</v>
      </c>
      <c r="AU79" s="48"/>
      <c r="AV79" s="48" t="s">
        <v>1559</v>
      </c>
      <c r="AW79" s="48">
        <v>1206718.48</v>
      </c>
      <c r="AX79" s="48">
        <v>0</v>
      </c>
      <c r="AY79" s="48" t="s">
        <v>1560</v>
      </c>
      <c r="AZ79" s="48"/>
      <c r="BA79" s="45" t="s">
        <v>16</v>
      </c>
      <c r="BB79" s="13"/>
      <c r="BC79" s="13"/>
      <c r="BD79" s="12">
        <v>729431.15</v>
      </c>
      <c r="BE79" s="12">
        <v>0</v>
      </c>
      <c r="BF79" s="2"/>
      <c r="BG79" s="2"/>
    </row>
    <row r="80" spans="1:59" ht="12.5" x14ac:dyDescent="0.25">
      <c r="A80" s="186">
        <v>46054</v>
      </c>
      <c r="B80" s="43" t="s">
        <v>103</v>
      </c>
      <c r="C80" s="43" t="s">
        <v>107</v>
      </c>
      <c r="D80" s="43" t="s">
        <v>105</v>
      </c>
      <c r="E80" s="43">
        <v>3050535</v>
      </c>
      <c r="F80" s="43" t="s">
        <v>1562</v>
      </c>
      <c r="G80" s="43" t="s">
        <v>275</v>
      </c>
      <c r="H80" s="43" t="s">
        <v>275</v>
      </c>
      <c r="I80" s="43"/>
      <c r="J80" s="42" t="s">
        <v>515</v>
      </c>
      <c r="K80" s="43"/>
      <c r="L80" s="42" t="s">
        <v>1558</v>
      </c>
      <c r="M80" s="42" t="s">
        <v>687</v>
      </c>
      <c r="N80" s="43"/>
      <c r="O80" s="45" t="s">
        <v>111</v>
      </c>
      <c r="P80" s="13">
        <v>92012.77</v>
      </c>
      <c r="Q80" s="13"/>
      <c r="R80" s="13"/>
      <c r="S80" s="13"/>
      <c r="T80" s="13" t="s">
        <v>111</v>
      </c>
      <c r="U80" s="13">
        <v>55619.42</v>
      </c>
      <c r="V80" s="13">
        <v>39.549999999999997</v>
      </c>
      <c r="W80" s="13">
        <v>0</v>
      </c>
      <c r="X80" s="13"/>
      <c r="Y80" s="13"/>
      <c r="Z80" s="45" t="s">
        <v>192</v>
      </c>
      <c r="AA80" s="42" t="s">
        <v>107</v>
      </c>
      <c r="AB80" s="42" t="s">
        <v>436</v>
      </c>
      <c r="AC80" s="42" t="s">
        <v>107</v>
      </c>
      <c r="AD80" s="45" t="s">
        <v>436</v>
      </c>
      <c r="AE80" s="45">
        <v>2</v>
      </c>
      <c r="AF80" s="45" t="s">
        <v>687</v>
      </c>
      <c r="AG80" s="45" t="s">
        <v>865</v>
      </c>
      <c r="AH80" s="45" t="s">
        <v>93</v>
      </c>
      <c r="AI80" s="45" t="s">
        <v>111</v>
      </c>
      <c r="AJ80" s="45">
        <v>92012.77</v>
      </c>
      <c r="AK80" s="45">
        <v>92012.77</v>
      </c>
      <c r="AL80" s="45" t="s">
        <v>111</v>
      </c>
      <c r="AM80" s="13">
        <v>92012.77</v>
      </c>
      <c r="AN80" s="13"/>
      <c r="AO80" s="13"/>
      <c r="AP80" s="13"/>
      <c r="AQ80" s="13"/>
      <c r="AR80" s="13" t="s">
        <v>99</v>
      </c>
      <c r="AS80" s="48">
        <v>0</v>
      </c>
      <c r="AT80" s="48">
        <v>0</v>
      </c>
      <c r="AU80" s="48"/>
      <c r="AV80" s="48" t="s">
        <v>1559</v>
      </c>
      <c r="AW80" s="48">
        <v>92012.77</v>
      </c>
      <c r="AX80" s="48">
        <v>0</v>
      </c>
      <c r="AY80" s="48" t="s">
        <v>1560</v>
      </c>
      <c r="AZ80" s="48"/>
      <c r="BA80" s="45" t="s">
        <v>16</v>
      </c>
      <c r="BB80" s="13"/>
      <c r="BC80" s="13"/>
      <c r="BD80" s="12">
        <v>55619.42</v>
      </c>
      <c r="BE80" s="12">
        <v>0</v>
      </c>
      <c r="BF80" s="2"/>
      <c r="BG80" s="2"/>
    </row>
    <row r="81" spans="1:59" ht="12.5" x14ac:dyDescent="0.25">
      <c r="A81" s="186">
        <v>46054</v>
      </c>
      <c r="B81" s="43" t="s">
        <v>103</v>
      </c>
      <c r="C81" s="43" t="s">
        <v>107</v>
      </c>
      <c r="D81" s="43" t="s">
        <v>105</v>
      </c>
      <c r="E81" s="43">
        <v>3050535</v>
      </c>
      <c r="F81" s="43" t="s">
        <v>1562</v>
      </c>
      <c r="G81" s="43" t="s">
        <v>340</v>
      </c>
      <c r="H81" s="43" t="s">
        <v>340</v>
      </c>
      <c r="I81" s="43"/>
      <c r="J81" s="42" t="s">
        <v>534</v>
      </c>
      <c r="K81" s="43"/>
      <c r="L81" s="42" t="s">
        <v>1558</v>
      </c>
      <c r="M81" s="42" t="s">
        <v>687</v>
      </c>
      <c r="N81" s="43"/>
      <c r="O81" s="45" t="s">
        <v>111</v>
      </c>
      <c r="P81" s="13">
        <v>2890408.14</v>
      </c>
      <c r="Q81" s="13"/>
      <c r="R81" s="13"/>
      <c r="S81" s="13"/>
      <c r="T81" s="13" t="s">
        <v>111</v>
      </c>
      <c r="U81" s="13">
        <v>2254518.35</v>
      </c>
      <c r="V81" s="13">
        <v>22</v>
      </c>
      <c r="W81" s="13">
        <v>0</v>
      </c>
      <c r="X81" s="13"/>
      <c r="Y81" s="13"/>
      <c r="Z81" s="45"/>
      <c r="AA81" s="42" t="s">
        <v>107</v>
      </c>
      <c r="AB81" s="42" t="s">
        <v>436</v>
      </c>
      <c r="AC81" s="42" t="s">
        <v>107</v>
      </c>
      <c r="AD81" s="45" t="s">
        <v>436</v>
      </c>
      <c r="AE81" s="45">
        <v>1</v>
      </c>
      <c r="AF81" s="45" t="s">
        <v>687</v>
      </c>
      <c r="AG81" s="45" t="s">
        <v>863</v>
      </c>
      <c r="AH81" s="45" t="s">
        <v>93</v>
      </c>
      <c r="AI81" s="45" t="s">
        <v>111</v>
      </c>
      <c r="AJ81" s="45">
        <v>2890408.14</v>
      </c>
      <c r="AK81" s="45">
        <v>2890408.14</v>
      </c>
      <c r="AL81" s="45" t="s">
        <v>111</v>
      </c>
      <c r="AM81" s="13">
        <v>2890408.14</v>
      </c>
      <c r="AN81" s="13"/>
      <c r="AO81" s="13"/>
      <c r="AP81" s="13"/>
      <c r="AQ81" s="13"/>
      <c r="AR81" s="13" t="s">
        <v>99</v>
      </c>
      <c r="AS81" s="48">
        <v>0</v>
      </c>
      <c r="AT81" s="48">
        <v>0</v>
      </c>
      <c r="AU81" s="48"/>
      <c r="AV81" s="48" t="s">
        <v>1559</v>
      </c>
      <c r="AW81" s="48"/>
      <c r="AX81" s="48"/>
      <c r="AY81" s="48" t="s">
        <v>1561</v>
      </c>
      <c r="AZ81" s="48"/>
      <c r="BA81" s="45" t="s">
        <v>16</v>
      </c>
      <c r="BB81" s="13"/>
      <c r="BC81" s="13"/>
      <c r="BD81" s="12">
        <v>2254518.35</v>
      </c>
      <c r="BE81" s="12">
        <v>0</v>
      </c>
      <c r="BF81" s="2"/>
      <c r="BG81" s="2"/>
    </row>
    <row r="82" spans="1:59" ht="12.5" x14ac:dyDescent="0.25">
      <c r="A82" s="186">
        <v>46054</v>
      </c>
      <c r="B82" s="43" t="s">
        <v>103</v>
      </c>
      <c r="C82" s="43" t="s">
        <v>107</v>
      </c>
      <c r="D82" s="43" t="s">
        <v>105</v>
      </c>
      <c r="E82" s="43">
        <v>3050535</v>
      </c>
      <c r="F82" s="43" t="s">
        <v>1562</v>
      </c>
      <c r="G82" s="43" t="s">
        <v>182</v>
      </c>
      <c r="H82" s="43" t="s">
        <v>182</v>
      </c>
      <c r="I82" s="43"/>
      <c r="J82" s="42" t="s">
        <v>489</v>
      </c>
      <c r="K82" s="43"/>
      <c r="L82" s="42" t="s">
        <v>1558</v>
      </c>
      <c r="M82" s="42" t="s">
        <v>687</v>
      </c>
      <c r="N82" s="43"/>
      <c r="O82" s="45" t="s">
        <v>111</v>
      </c>
      <c r="P82" s="13">
        <v>1192935.18</v>
      </c>
      <c r="Q82" s="13"/>
      <c r="R82" s="13"/>
      <c r="S82" s="13"/>
      <c r="T82" s="13" t="s">
        <v>111</v>
      </c>
      <c r="U82" s="13">
        <v>930489.44</v>
      </c>
      <c r="V82" s="13">
        <v>22</v>
      </c>
      <c r="W82" s="13">
        <v>0</v>
      </c>
      <c r="X82" s="13"/>
      <c r="Y82" s="13"/>
      <c r="Z82" s="45"/>
      <c r="AA82" s="42" t="s">
        <v>107</v>
      </c>
      <c r="AB82" s="42" t="s">
        <v>436</v>
      </c>
      <c r="AC82" s="42" t="s">
        <v>107</v>
      </c>
      <c r="AD82" s="45" t="s">
        <v>436</v>
      </c>
      <c r="AE82" s="45">
        <v>1</v>
      </c>
      <c r="AF82" s="45" t="s">
        <v>687</v>
      </c>
      <c r="AG82" s="45" t="s">
        <v>863</v>
      </c>
      <c r="AH82" s="45" t="s">
        <v>93</v>
      </c>
      <c r="AI82" s="45" t="s">
        <v>111</v>
      </c>
      <c r="AJ82" s="45">
        <v>1192935.18</v>
      </c>
      <c r="AK82" s="45">
        <v>1192935.18</v>
      </c>
      <c r="AL82" s="45" t="s">
        <v>111</v>
      </c>
      <c r="AM82" s="13">
        <v>1192935.18</v>
      </c>
      <c r="AN82" s="13"/>
      <c r="AO82" s="13"/>
      <c r="AP82" s="13"/>
      <c r="AQ82" s="13"/>
      <c r="AR82" s="13" t="s">
        <v>99</v>
      </c>
      <c r="AS82" s="48">
        <v>0</v>
      </c>
      <c r="AT82" s="48">
        <v>0</v>
      </c>
      <c r="AU82" s="48"/>
      <c r="AV82" s="48" t="s">
        <v>1559</v>
      </c>
      <c r="AW82" s="48"/>
      <c r="AX82" s="48"/>
      <c r="AY82" s="48" t="s">
        <v>1561</v>
      </c>
      <c r="AZ82" s="48"/>
      <c r="BA82" s="45" t="s">
        <v>16</v>
      </c>
      <c r="BB82" s="13"/>
      <c r="BC82" s="13"/>
      <c r="BD82" s="12">
        <v>930489.45</v>
      </c>
      <c r="BE82" s="12">
        <v>-1.0000000009313226E-2</v>
      </c>
      <c r="BF82" s="2"/>
      <c r="BG82" s="2"/>
    </row>
    <row r="83" spans="1:59" ht="12.5" x14ac:dyDescent="0.25">
      <c r="A83" s="186">
        <v>46054</v>
      </c>
      <c r="B83" s="43" t="s">
        <v>103</v>
      </c>
      <c r="C83" s="43" t="s">
        <v>107</v>
      </c>
      <c r="D83" s="43" t="s">
        <v>105</v>
      </c>
      <c r="E83" s="43">
        <v>3050535</v>
      </c>
      <c r="F83" s="43" t="s">
        <v>1562</v>
      </c>
      <c r="G83" s="43" t="s">
        <v>221</v>
      </c>
      <c r="H83" s="43" t="s">
        <v>221</v>
      </c>
      <c r="I83" s="43"/>
      <c r="J83" s="42" t="s">
        <v>499</v>
      </c>
      <c r="K83" s="43"/>
      <c r="L83" s="42" t="s">
        <v>1558</v>
      </c>
      <c r="M83" s="42" t="s">
        <v>687</v>
      </c>
      <c r="N83" s="43"/>
      <c r="O83" s="45" t="s">
        <v>111</v>
      </c>
      <c r="P83" s="13">
        <v>1353203.44</v>
      </c>
      <c r="Q83" s="13"/>
      <c r="R83" s="13"/>
      <c r="S83" s="13"/>
      <c r="T83" s="13" t="s">
        <v>111</v>
      </c>
      <c r="U83" s="13">
        <v>893141.33</v>
      </c>
      <c r="V83" s="13">
        <v>34</v>
      </c>
      <c r="W83" s="13">
        <v>0</v>
      </c>
      <c r="X83" s="13"/>
      <c r="Y83" s="13"/>
      <c r="Z83" s="45"/>
      <c r="AA83" s="42" t="s">
        <v>107</v>
      </c>
      <c r="AB83" s="42" t="s">
        <v>436</v>
      </c>
      <c r="AC83" s="42" t="s">
        <v>107</v>
      </c>
      <c r="AD83" s="45" t="s">
        <v>436</v>
      </c>
      <c r="AE83" s="45">
        <v>1</v>
      </c>
      <c r="AF83" s="45" t="s">
        <v>687</v>
      </c>
      <c r="AG83" s="45" t="s">
        <v>863</v>
      </c>
      <c r="AH83" s="45" t="s">
        <v>93</v>
      </c>
      <c r="AI83" s="45" t="s">
        <v>111</v>
      </c>
      <c r="AJ83" s="45">
        <v>1353203.44</v>
      </c>
      <c r="AK83" s="45">
        <v>1353203.44</v>
      </c>
      <c r="AL83" s="45" t="s">
        <v>111</v>
      </c>
      <c r="AM83" s="13">
        <v>1353203.44</v>
      </c>
      <c r="AN83" s="13"/>
      <c r="AO83" s="13"/>
      <c r="AP83" s="13"/>
      <c r="AQ83" s="13"/>
      <c r="AR83" s="13" t="s">
        <v>99</v>
      </c>
      <c r="AS83" s="48">
        <v>0</v>
      </c>
      <c r="AT83" s="48">
        <v>0</v>
      </c>
      <c r="AU83" s="48"/>
      <c r="AV83" s="48" t="s">
        <v>1559</v>
      </c>
      <c r="AW83" s="48"/>
      <c r="AX83" s="48"/>
      <c r="AY83" s="48" t="s">
        <v>1561</v>
      </c>
      <c r="AZ83" s="48"/>
      <c r="BA83" s="45" t="s">
        <v>16</v>
      </c>
      <c r="BB83" s="13"/>
      <c r="BC83" s="13"/>
      <c r="BD83" s="12">
        <v>893141.33</v>
      </c>
      <c r="BE83" s="12">
        <v>0</v>
      </c>
      <c r="BF83" s="2"/>
      <c r="BG83" s="2"/>
    </row>
    <row r="84" spans="1:59" ht="12.5" x14ac:dyDescent="0.25">
      <c r="A84" s="186">
        <v>46054</v>
      </c>
      <c r="B84" s="43" t="s">
        <v>103</v>
      </c>
      <c r="C84" s="43" t="s">
        <v>107</v>
      </c>
      <c r="D84" s="43" t="s">
        <v>105</v>
      </c>
      <c r="E84" s="43">
        <v>3050535</v>
      </c>
      <c r="F84" s="43" t="s">
        <v>1562</v>
      </c>
      <c r="G84" s="43" t="s">
        <v>251</v>
      </c>
      <c r="H84" s="43" t="s">
        <v>251</v>
      </c>
      <c r="I84" s="43"/>
      <c r="J84" s="42" t="s">
        <v>508</v>
      </c>
      <c r="K84" s="43"/>
      <c r="L84" s="42" t="s">
        <v>1558</v>
      </c>
      <c r="M84" s="42" t="s">
        <v>687</v>
      </c>
      <c r="N84" s="43"/>
      <c r="O84" s="45" t="s">
        <v>111</v>
      </c>
      <c r="P84" s="13">
        <v>2937600</v>
      </c>
      <c r="Q84" s="13"/>
      <c r="R84" s="13"/>
      <c r="S84" s="13"/>
      <c r="T84" s="13" t="s">
        <v>111</v>
      </c>
      <c r="U84" s="13">
        <v>1938874.75</v>
      </c>
      <c r="V84" s="13">
        <v>34</v>
      </c>
      <c r="W84" s="13">
        <v>0</v>
      </c>
      <c r="X84" s="13"/>
      <c r="Y84" s="13"/>
      <c r="Z84" s="45"/>
      <c r="AA84" s="42" t="s">
        <v>107</v>
      </c>
      <c r="AB84" s="42" t="s">
        <v>436</v>
      </c>
      <c r="AC84" s="42" t="s">
        <v>107</v>
      </c>
      <c r="AD84" s="45" t="s">
        <v>436</v>
      </c>
      <c r="AE84" s="45">
        <v>1</v>
      </c>
      <c r="AF84" s="45" t="s">
        <v>687</v>
      </c>
      <c r="AG84" s="45" t="s">
        <v>863</v>
      </c>
      <c r="AH84" s="45" t="s">
        <v>93</v>
      </c>
      <c r="AI84" s="45" t="s">
        <v>111</v>
      </c>
      <c r="AJ84" s="45">
        <v>2937600</v>
      </c>
      <c r="AK84" s="45">
        <v>2937600</v>
      </c>
      <c r="AL84" s="45" t="s">
        <v>111</v>
      </c>
      <c r="AM84" s="13">
        <v>2937600</v>
      </c>
      <c r="AN84" s="13"/>
      <c r="AO84" s="13"/>
      <c r="AP84" s="13"/>
      <c r="AQ84" s="13"/>
      <c r="AR84" s="13" t="s">
        <v>99</v>
      </c>
      <c r="AS84" s="48">
        <v>0</v>
      </c>
      <c r="AT84" s="48">
        <v>0</v>
      </c>
      <c r="AU84" s="48"/>
      <c r="AV84" s="48" t="s">
        <v>1559</v>
      </c>
      <c r="AW84" s="48"/>
      <c r="AX84" s="48"/>
      <c r="AY84" s="48" t="s">
        <v>1561</v>
      </c>
      <c r="AZ84" s="48"/>
      <c r="BA84" s="45" t="s">
        <v>16</v>
      </c>
      <c r="BB84" s="13"/>
      <c r="BC84" s="13"/>
      <c r="BD84" s="12">
        <v>1938874.75</v>
      </c>
      <c r="BE84" s="12">
        <v>0</v>
      </c>
      <c r="BF84" s="2"/>
      <c r="BG84" s="2"/>
    </row>
    <row r="85" spans="1:59" ht="12.5" x14ac:dyDescent="0.25">
      <c r="A85" s="186">
        <v>46054</v>
      </c>
      <c r="B85" s="43" t="s">
        <v>103</v>
      </c>
      <c r="C85" s="43" t="s">
        <v>107</v>
      </c>
      <c r="D85" s="43" t="s">
        <v>105</v>
      </c>
      <c r="E85" s="43">
        <v>3050535</v>
      </c>
      <c r="F85" s="43" t="s">
        <v>1562</v>
      </c>
      <c r="G85" s="43" t="s">
        <v>394</v>
      </c>
      <c r="H85" s="43" t="s">
        <v>394</v>
      </c>
      <c r="I85" s="43"/>
      <c r="J85" s="42" t="s">
        <v>551</v>
      </c>
      <c r="K85" s="43"/>
      <c r="L85" s="42" t="s">
        <v>1558</v>
      </c>
      <c r="M85" s="42" t="s">
        <v>687</v>
      </c>
      <c r="N85" s="43"/>
      <c r="O85" s="45" t="s">
        <v>111</v>
      </c>
      <c r="P85" s="13">
        <v>540391.47</v>
      </c>
      <c r="Q85" s="13"/>
      <c r="R85" s="13"/>
      <c r="S85" s="13"/>
      <c r="T85" s="13" t="s">
        <v>111</v>
      </c>
      <c r="U85" s="13">
        <v>421505.35</v>
      </c>
      <c r="V85" s="13">
        <v>22</v>
      </c>
      <c r="W85" s="13">
        <v>0</v>
      </c>
      <c r="X85" s="13"/>
      <c r="Y85" s="13"/>
      <c r="Z85" s="45"/>
      <c r="AA85" s="42" t="s">
        <v>107</v>
      </c>
      <c r="AB85" s="42" t="s">
        <v>436</v>
      </c>
      <c r="AC85" s="42" t="s">
        <v>107</v>
      </c>
      <c r="AD85" s="45" t="s">
        <v>436</v>
      </c>
      <c r="AE85" s="45">
        <v>1</v>
      </c>
      <c r="AF85" s="45" t="s">
        <v>687</v>
      </c>
      <c r="AG85" s="45" t="s">
        <v>863</v>
      </c>
      <c r="AH85" s="45" t="s">
        <v>93</v>
      </c>
      <c r="AI85" s="45" t="s">
        <v>111</v>
      </c>
      <c r="AJ85" s="45">
        <v>540391.47</v>
      </c>
      <c r="AK85" s="45">
        <v>540391.47</v>
      </c>
      <c r="AL85" s="45" t="s">
        <v>111</v>
      </c>
      <c r="AM85" s="13">
        <v>540391.47</v>
      </c>
      <c r="AN85" s="13"/>
      <c r="AO85" s="13"/>
      <c r="AP85" s="13"/>
      <c r="AQ85" s="13"/>
      <c r="AR85" s="13" t="s">
        <v>99</v>
      </c>
      <c r="AS85" s="48">
        <v>0</v>
      </c>
      <c r="AT85" s="48">
        <v>0</v>
      </c>
      <c r="AU85" s="48"/>
      <c r="AV85" s="48" t="s">
        <v>1559</v>
      </c>
      <c r="AW85" s="48"/>
      <c r="AX85" s="48"/>
      <c r="AY85" s="48" t="s">
        <v>1561</v>
      </c>
      <c r="AZ85" s="48"/>
      <c r="BA85" s="45" t="s">
        <v>16</v>
      </c>
      <c r="BB85" s="13"/>
      <c r="BC85" s="13"/>
      <c r="BD85" s="12">
        <v>421505.35</v>
      </c>
      <c r="BE85" s="12">
        <v>0</v>
      </c>
      <c r="BF85" s="2"/>
      <c r="BG85" s="2"/>
    </row>
    <row r="86" spans="1:59" ht="12.5" x14ac:dyDescent="0.25">
      <c r="A86" s="186">
        <v>46054</v>
      </c>
      <c r="B86" s="43" t="s">
        <v>103</v>
      </c>
      <c r="C86" s="43" t="s">
        <v>107</v>
      </c>
      <c r="D86" s="43" t="s">
        <v>105</v>
      </c>
      <c r="E86" s="43">
        <v>3050535</v>
      </c>
      <c r="F86" s="43" t="s">
        <v>1562</v>
      </c>
      <c r="G86" s="43" t="s">
        <v>381</v>
      </c>
      <c r="H86" s="43" t="s">
        <v>381</v>
      </c>
      <c r="I86" s="43"/>
      <c r="J86" s="42" t="s">
        <v>546</v>
      </c>
      <c r="K86" s="43"/>
      <c r="L86" s="42" t="s">
        <v>1558</v>
      </c>
      <c r="M86" s="42" t="s">
        <v>687</v>
      </c>
      <c r="N86" s="43"/>
      <c r="O86" s="45" t="s">
        <v>111</v>
      </c>
      <c r="P86" s="13">
        <v>9224933.0199999996</v>
      </c>
      <c r="Q86" s="13"/>
      <c r="R86" s="13"/>
      <c r="S86" s="13"/>
      <c r="T86" s="13" t="s">
        <v>111</v>
      </c>
      <c r="U86" s="13">
        <v>7195447.7599999998</v>
      </c>
      <c r="V86" s="13">
        <v>22</v>
      </c>
      <c r="W86" s="13">
        <v>0</v>
      </c>
      <c r="X86" s="13"/>
      <c r="Y86" s="13"/>
      <c r="Z86" s="45"/>
      <c r="AA86" s="42" t="s">
        <v>107</v>
      </c>
      <c r="AB86" s="42" t="s">
        <v>436</v>
      </c>
      <c r="AC86" s="42" t="s">
        <v>107</v>
      </c>
      <c r="AD86" s="45" t="s">
        <v>436</v>
      </c>
      <c r="AE86" s="45">
        <v>1</v>
      </c>
      <c r="AF86" s="45" t="s">
        <v>687</v>
      </c>
      <c r="AG86" s="45" t="s">
        <v>863</v>
      </c>
      <c r="AH86" s="45" t="s">
        <v>93</v>
      </c>
      <c r="AI86" s="45" t="s">
        <v>111</v>
      </c>
      <c r="AJ86" s="45">
        <v>9224933.0199999996</v>
      </c>
      <c r="AK86" s="45">
        <v>9224933.0199999996</v>
      </c>
      <c r="AL86" s="45" t="s">
        <v>111</v>
      </c>
      <c r="AM86" s="13">
        <v>9224933.0199999996</v>
      </c>
      <c r="AN86" s="13"/>
      <c r="AO86" s="13"/>
      <c r="AP86" s="13"/>
      <c r="AQ86" s="13"/>
      <c r="AR86" s="13" t="s">
        <v>99</v>
      </c>
      <c r="AS86" s="48">
        <v>0</v>
      </c>
      <c r="AT86" s="48">
        <v>0</v>
      </c>
      <c r="AU86" s="48"/>
      <c r="AV86" s="48" t="s">
        <v>1559</v>
      </c>
      <c r="AW86" s="48"/>
      <c r="AX86" s="48"/>
      <c r="AY86" s="48" t="s">
        <v>1561</v>
      </c>
      <c r="AZ86" s="48"/>
      <c r="BA86" s="45" t="s">
        <v>16</v>
      </c>
      <c r="BB86" s="13"/>
      <c r="BC86" s="13"/>
      <c r="BD86" s="12">
        <v>7195447.7599999998</v>
      </c>
      <c r="BE86" s="12">
        <v>0</v>
      </c>
      <c r="BF86" s="2"/>
      <c r="BG86" s="2"/>
    </row>
    <row r="87" spans="1:59" ht="12.5" x14ac:dyDescent="0.25">
      <c r="A87" s="186">
        <v>46054</v>
      </c>
      <c r="B87" s="43" t="s">
        <v>103</v>
      </c>
      <c r="C87" s="43" t="s">
        <v>107</v>
      </c>
      <c r="D87" s="43" t="s">
        <v>105</v>
      </c>
      <c r="E87" s="43">
        <v>3050535</v>
      </c>
      <c r="F87" s="43" t="s">
        <v>1562</v>
      </c>
      <c r="G87" s="43" t="s">
        <v>176</v>
      </c>
      <c r="H87" s="43" t="s">
        <v>176</v>
      </c>
      <c r="I87" s="43"/>
      <c r="J87" s="42" t="s">
        <v>486</v>
      </c>
      <c r="K87" s="43"/>
      <c r="L87" s="42" t="s">
        <v>1558</v>
      </c>
      <c r="M87" s="42" t="s">
        <v>687</v>
      </c>
      <c r="N87" s="43"/>
      <c r="O87" s="45" t="s">
        <v>111</v>
      </c>
      <c r="P87" s="13">
        <v>4454635.05</v>
      </c>
      <c r="Q87" s="13"/>
      <c r="R87" s="13"/>
      <c r="S87" s="13"/>
      <c r="T87" s="13" t="s">
        <v>111</v>
      </c>
      <c r="U87" s="13">
        <v>2940148.23</v>
      </c>
      <c r="V87" s="13">
        <v>34</v>
      </c>
      <c r="W87" s="13">
        <v>0</v>
      </c>
      <c r="X87" s="13"/>
      <c r="Y87" s="13"/>
      <c r="Z87" s="45"/>
      <c r="AA87" s="42" t="s">
        <v>107</v>
      </c>
      <c r="AB87" s="42" t="s">
        <v>436</v>
      </c>
      <c r="AC87" s="42" t="s">
        <v>107</v>
      </c>
      <c r="AD87" s="45" t="s">
        <v>436</v>
      </c>
      <c r="AE87" s="45">
        <v>1</v>
      </c>
      <c r="AF87" s="45" t="s">
        <v>687</v>
      </c>
      <c r="AG87" s="45" t="s">
        <v>863</v>
      </c>
      <c r="AH87" s="45" t="s">
        <v>93</v>
      </c>
      <c r="AI87" s="45" t="s">
        <v>111</v>
      </c>
      <c r="AJ87" s="45">
        <v>4454635.05</v>
      </c>
      <c r="AK87" s="45">
        <v>4454635.05</v>
      </c>
      <c r="AL87" s="45" t="s">
        <v>111</v>
      </c>
      <c r="AM87" s="13">
        <v>4454635.05</v>
      </c>
      <c r="AN87" s="13"/>
      <c r="AO87" s="13"/>
      <c r="AP87" s="13"/>
      <c r="AQ87" s="13"/>
      <c r="AR87" s="13" t="s">
        <v>99</v>
      </c>
      <c r="AS87" s="48">
        <v>0</v>
      </c>
      <c r="AT87" s="48">
        <v>0</v>
      </c>
      <c r="AU87" s="48"/>
      <c r="AV87" s="48" t="s">
        <v>1559</v>
      </c>
      <c r="AW87" s="48"/>
      <c r="AX87" s="48"/>
      <c r="AY87" s="48" t="s">
        <v>1561</v>
      </c>
      <c r="AZ87" s="48"/>
      <c r="BA87" s="45" t="s">
        <v>16</v>
      </c>
      <c r="BB87" s="13"/>
      <c r="BC87" s="13"/>
      <c r="BD87" s="12">
        <v>2940148.22</v>
      </c>
      <c r="BE87" s="12">
        <v>9.9999997764825821E-3</v>
      </c>
      <c r="BF87" s="2"/>
      <c r="BG87" s="2"/>
    </row>
    <row r="88" spans="1:59" ht="12.5" x14ac:dyDescent="0.25">
      <c r="A88" s="186">
        <v>46054</v>
      </c>
      <c r="B88" s="43" t="s">
        <v>103</v>
      </c>
      <c r="C88" s="43" t="s">
        <v>107</v>
      </c>
      <c r="D88" s="43" t="s">
        <v>105</v>
      </c>
      <c r="E88" s="43">
        <v>3050535</v>
      </c>
      <c r="F88" s="43" t="s">
        <v>1562</v>
      </c>
      <c r="G88" s="43" t="s">
        <v>162</v>
      </c>
      <c r="H88" s="43" t="s">
        <v>162</v>
      </c>
      <c r="I88" s="43"/>
      <c r="J88" s="42" t="s">
        <v>481</v>
      </c>
      <c r="K88" s="43"/>
      <c r="L88" s="42" t="s">
        <v>1558</v>
      </c>
      <c r="M88" s="42" t="s">
        <v>687</v>
      </c>
      <c r="N88" s="43"/>
      <c r="O88" s="45" t="s">
        <v>111</v>
      </c>
      <c r="P88" s="13">
        <v>2304000</v>
      </c>
      <c r="Q88" s="13"/>
      <c r="R88" s="13"/>
      <c r="S88" s="13"/>
      <c r="T88" s="13" t="s">
        <v>111</v>
      </c>
      <c r="U88" s="13">
        <v>1520686.0800000001</v>
      </c>
      <c r="V88" s="13">
        <v>34</v>
      </c>
      <c r="W88" s="13">
        <v>0</v>
      </c>
      <c r="X88" s="13"/>
      <c r="Y88" s="13"/>
      <c r="Z88" s="45"/>
      <c r="AA88" s="42" t="s">
        <v>107</v>
      </c>
      <c r="AB88" s="42" t="s">
        <v>436</v>
      </c>
      <c r="AC88" s="42" t="s">
        <v>107</v>
      </c>
      <c r="AD88" s="45" t="s">
        <v>436</v>
      </c>
      <c r="AE88" s="45">
        <v>1</v>
      </c>
      <c r="AF88" s="45" t="s">
        <v>687</v>
      </c>
      <c r="AG88" s="45" t="s">
        <v>863</v>
      </c>
      <c r="AH88" s="45" t="s">
        <v>93</v>
      </c>
      <c r="AI88" s="45" t="s">
        <v>111</v>
      </c>
      <c r="AJ88" s="45">
        <v>2304000</v>
      </c>
      <c r="AK88" s="45">
        <v>2304000</v>
      </c>
      <c r="AL88" s="45" t="s">
        <v>111</v>
      </c>
      <c r="AM88" s="13">
        <v>2304000</v>
      </c>
      <c r="AN88" s="13"/>
      <c r="AO88" s="13"/>
      <c r="AP88" s="13"/>
      <c r="AQ88" s="13"/>
      <c r="AR88" s="13" t="s">
        <v>99</v>
      </c>
      <c r="AS88" s="48">
        <v>0</v>
      </c>
      <c r="AT88" s="48">
        <v>0</v>
      </c>
      <c r="AU88" s="48"/>
      <c r="AV88" s="48" t="s">
        <v>1559</v>
      </c>
      <c r="AW88" s="48"/>
      <c r="AX88" s="48"/>
      <c r="AY88" s="48" t="s">
        <v>1561</v>
      </c>
      <c r="AZ88" s="48"/>
      <c r="BA88" s="45" t="s">
        <v>16</v>
      </c>
      <c r="BB88" s="13"/>
      <c r="BC88" s="13"/>
      <c r="BD88" s="12">
        <v>1520686.0800000001</v>
      </c>
      <c r="BE88" s="12">
        <v>0</v>
      </c>
      <c r="BF88" s="2"/>
      <c r="BG88" s="2"/>
    </row>
    <row r="89" spans="1:59" ht="12.5" x14ac:dyDescent="0.25">
      <c r="A89" s="186">
        <v>46054</v>
      </c>
      <c r="B89" s="43" t="s">
        <v>103</v>
      </c>
      <c r="C89" s="43" t="s">
        <v>107</v>
      </c>
      <c r="D89" s="43" t="s">
        <v>105</v>
      </c>
      <c r="E89" s="43">
        <v>3050535</v>
      </c>
      <c r="F89" s="43" t="s">
        <v>1562</v>
      </c>
      <c r="G89" s="43" t="s">
        <v>269</v>
      </c>
      <c r="H89" s="43" t="s">
        <v>269</v>
      </c>
      <c r="I89" s="43"/>
      <c r="J89" s="42" t="s">
        <v>513</v>
      </c>
      <c r="K89" s="43"/>
      <c r="L89" s="42" t="s">
        <v>1558</v>
      </c>
      <c r="M89" s="42" t="s">
        <v>687</v>
      </c>
      <c r="N89" s="43"/>
      <c r="O89" s="45" t="s">
        <v>111</v>
      </c>
      <c r="P89" s="13">
        <v>4701458.79</v>
      </c>
      <c r="Q89" s="13"/>
      <c r="R89" s="13"/>
      <c r="S89" s="13"/>
      <c r="T89" s="13" t="s">
        <v>111</v>
      </c>
      <c r="U89" s="13">
        <v>3103056.83</v>
      </c>
      <c r="V89" s="13">
        <v>34</v>
      </c>
      <c r="W89" s="13">
        <v>0</v>
      </c>
      <c r="X89" s="13"/>
      <c r="Y89" s="13"/>
      <c r="Z89" s="45"/>
      <c r="AA89" s="42" t="s">
        <v>107</v>
      </c>
      <c r="AB89" s="42" t="s">
        <v>436</v>
      </c>
      <c r="AC89" s="42" t="s">
        <v>107</v>
      </c>
      <c r="AD89" s="45" t="s">
        <v>436</v>
      </c>
      <c r="AE89" s="45">
        <v>1</v>
      </c>
      <c r="AF89" s="45" t="s">
        <v>687</v>
      </c>
      <c r="AG89" s="45" t="s">
        <v>863</v>
      </c>
      <c r="AH89" s="45" t="s">
        <v>93</v>
      </c>
      <c r="AI89" s="45" t="s">
        <v>111</v>
      </c>
      <c r="AJ89" s="45">
        <v>4701458.79</v>
      </c>
      <c r="AK89" s="45">
        <v>4701458.79</v>
      </c>
      <c r="AL89" s="45" t="s">
        <v>111</v>
      </c>
      <c r="AM89" s="13">
        <v>4701458.79</v>
      </c>
      <c r="AN89" s="13"/>
      <c r="AO89" s="13"/>
      <c r="AP89" s="13"/>
      <c r="AQ89" s="13"/>
      <c r="AR89" s="13" t="s">
        <v>99</v>
      </c>
      <c r="AS89" s="48">
        <v>0</v>
      </c>
      <c r="AT89" s="48">
        <v>0</v>
      </c>
      <c r="AU89" s="48"/>
      <c r="AV89" s="48" t="s">
        <v>1559</v>
      </c>
      <c r="AW89" s="48"/>
      <c r="AX89" s="48"/>
      <c r="AY89" s="48" t="s">
        <v>1561</v>
      </c>
      <c r="AZ89" s="48"/>
      <c r="BA89" s="45" t="s">
        <v>16</v>
      </c>
      <c r="BB89" s="13"/>
      <c r="BC89" s="13"/>
      <c r="BD89" s="12">
        <v>3103056.83</v>
      </c>
      <c r="BE89" s="12">
        <v>0</v>
      </c>
      <c r="BF89" s="2"/>
      <c r="BG89" s="2"/>
    </row>
  </sheetData>
  <autoFilter ref="A5:BG89" xr:uid="{00000000-0001-0000-1000-000000000000}"/>
  <customSheetViews>
    <customSheetView guid="{326C616B-01FB-4DE3-ABF6-4934D2182CF7}" filter="1" showAutoFilter="1">
      <pageMargins left="0.7" right="0.7" top="0.75" bottom="0.75" header="0.3" footer="0.3"/>
      <autoFilter ref="A5:BF3051" xr:uid="{099D76DE-15D7-42D2-B2A4-57963805DB14}">
        <filterColumn colId="45">
          <filters>
            <filter val="0.00"/>
            <filter val="0.01"/>
            <filter val="-0.01"/>
            <filter val="-0.05"/>
            <filter val="0.10"/>
            <filter val="0.40"/>
            <filter val="1,591.70"/>
            <filter val="1,750.00"/>
            <filter val="1.00"/>
            <filter val="107.44"/>
            <filter val="13,482.29"/>
            <filter val="-14,500,155.75"/>
            <filter val="154,116.53"/>
            <filter val="191,328,902.38"/>
            <filter val="2,106.00"/>
            <filter val="2,355.60"/>
            <filter val="2,383.05"/>
            <filter val="2,573,265.13"/>
            <filter val="20,982,516.96"/>
            <filter val="203,504,700.00"/>
            <filter val="23,479.39"/>
            <filter val="246,912.30"/>
            <filter val="257,374.45"/>
            <filter val="277,117.00"/>
            <filter val="3,313.30"/>
            <filter val="325,607,520.00"/>
            <filter val="33.47"/>
            <filter val="398,983.02"/>
            <filter val="4,634.59"/>
            <filter val="404,439,698.39"/>
            <filter val="433.62"/>
            <filter val="464.08"/>
            <filter val="498,897.94"/>
            <filter val="557.08"/>
            <filter val="558.86"/>
            <filter val="60,197,352.23"/>
            <filter val="7,181.14"/>
            <filter val="7,385.71"/>
            <filter val="8.58"/>
            <filter val="81,191,534.62"/>
            <filter val="876,493.21"/>
            <filter val="99,525.07"/>
          </filters>
        </filterColumn>
      </autoFilter>
    </customSheetView>
    <customSheetView guid="{693A11C2-5F24-4AC8-921D-C0726BBEE3DA}" filter="1" showAutoFilter="1">
      <pageMargins left="0.7" right="0.7" top="0.75" bottom="0.75" header="0.3" footer="0.3"/>
      <autoFilter ref="A5:BH2464" xr:uid="{5708D59C-7612-4BCB-A496-7B186E4CEDD8}">
        <filterColumn colId="6">
          <filters blank="1">
            <filter val="T1177381"/>
            <filter val="T1694186"/>
            <filter val="T1732370"/>
            <filter val="T2292530"/>
            <filter val="T2313262"/>
            <filter val="T2556976"/>
            <filter val="T2556982"/>
            <filter val="T2557215"/>
            <filter val="T2564039"/>
            <filter val="T2572348"/>
            <filter val="T2581066"/>
            <filter val="T2591176"/>
            <filter val="T2649072"/>
            <filter val="T2694837"/>
            <filter val="T2714020"/>
            <filter val="T2714021"/>
            <filter val="T2725326"/>
            <filter val="T2736095"/>
            <filter val="T2741710"/>
            <filter val="T2751499"/>
            <filter val="T2752435"/>
            <filter val="T2754692"/>
            <filter val="T2754717"/>
            <filter val="T2757277"/>
            <filter val="T2758248"/>
            <filter val="T2764659"/>
            <filter val="T2770808"/>
            <filter val="T2772732"/>
            <filter val="T2777186"/>
            <filter val="T2785321"/>
            <filter val="T2785402"/>
            <filter val="T2785922"/>
            <filter val="T2798551"/>
            <filter val="T2802144"/>
            <filter val="T2815704"/>
            <filter val="T2821382"/>
            <filter val="T2843508"/>
            <filter val="T2859988"/>
            <filter val="T2867711"/>
            <filter val="T2882854"/>
            <filter val="T2886346"/>
            <filter val="T2887099"/>
            <filter val="T2887267"/>
            <filter val="T2887286"/>
            <filter val="T2892908"/>
            <filter val="T2901928"/>
            <filter val="T2902151"/>
            <filter val="T2904005"/>
            <filter val="T2906256"/>
            <filter val="T2906601"/>
            <filter val="T2906602"/>
            <filter val="T2929497"/>
            <filter val="T2934642"/>
            <filter val="T2940096"/>
            <filter val="T2946536"/>
            <filter val="T2948235"/>
            <filter val="T2950175"/>
            <filter val="T2950536"/>
            <filter val="T2956911"/>
            <filter val="T2956921"/>
            <filter val="T2971976"/>
            <filter val="T2978217"/>
            <filter val="T2987446"/>
            <filter val="T2988494"/>
            <filter val="T2990477"/>
            <filter val="T2991816"/>
            <filter val="T2991868"/>
            <filter val="T2991974"/>
            <filter val="T2993768"/>
            <filter val="T2993942"/>
            <filter val="T2999673"/>
            <filter val="T2999740"/>
            <filter val="T3007585"/>
            <filter val="T3009852"/>
            <filter val="T3010713"/>
            <filter val="T3012055"/>
            <filter val="T3012260"/>
            <filter val="T3012265"/>
            <filter val="T3012289"/>
            <filter val="T3012300"/>
            <filter val="T3012837"/>
            <filter val="T3015338"/>
            <filter val="T3018811"/>
            <filter val="T3019180"/>
            <filter val="T3024840"/>
            <filter val="T3025230"/>
            <filter val="T3025625"/>
            <filter val="T3028213"/>
            <filter val="T3029447"/>
            <filter val="T3029478"/>
            <filter val="T3030081"/>
            <filter val="T3037429"/>
            <filter val="T3039821"/>
            <filter val="T3039879"/>
            <filter val="T3040295"/>
            <filter val="T3040375"/>
            <filter val="T3047215"/>
            <filter val="T3054021"/>
            <filter val="T3055854"/>
            <filter val="T3056096"/>
            <filter val="T3056177"/>
            <filter val="T3061707"/>
            <filter val="T3063889"/>
            <filter val="T3064098"/>
            <filter val="T3069624"/>
            <filter val="T3074566"/>
            <filter val="T3075090"/>
            <filter val="T3075150"/>
            <filter val="T3075184"/>
            <filter val="T3080299"/>
            <filter val="T3082617"/>
            <filter val="T3082653"/>
            <filter val="T3082662"/>
            <filter val="T3085982"/>
            <filter val="T3089929"/>
            <filter val="T3090490"/>
            <filter val="T3090502"/>
            <filter val="T3092482"/>
            <filter val="T3095158"/>
            <filter val="T3096294"/>
            <filter val="T3100903"/>
            <filter val="T3103818"/>
            <filter val="T3106923"/>
            <filter val="T3107251"/>
            <filter val="T3107404"/>
            <filter val="T3117170"/>
            <filter val="T3120055"/>
            <filter val="T3128842"/>
            <filter val="T3129138"/>
            <filter val="T3129485"/>
            <filter val="T3131493"/>
            <filter val="T3131499"/>
            <filter val="T3131823"/>
            <filter val="T3131870"/>
            <filter val="T3131909"/>
            <filter val="T3132108"/>
            <filter val="T3140200"/>
            <filter val="T3146219"/>
            <filter val="T3146330"/>
            <filter val="T3146536"/>
            <filter val="T3147045"/>
            <filter val="T3147454"/>
            <filter val="T3147670"/>
            <filter val="T3148348"/>
            <filter val="T3148566"/>
            <filter val="T3148569"/>
            <filter val="T3148643"/>
            <filter val="T3148983"/>
            <filter val="T3149506"/>
            <filter val="T3149561"/>
            <filter val="T3149678"/>
            <filter val="T3150086"/>
            <filter val="T3150558"/>
            <filter val="T3156641"/>
            <filter val="T3156769"/>
            <filter val="T3159170"/>
            <filter val="T3159212"/>
            <filter val="T3159649"/>
            <filter val="T3160036"/>
            <filter val="T3160038"/>
            <filter val="T3160060"/>
            <filter val="T3162866"/>
            <filter val="T3162876"/>
            <filter val="T3162910"/>
            <filter val="T3162947"/>
            <filter val="T3163031"/>
            <filter val="T3163034"/>
            <filter val="T3163143"/>
            <filter val="T3163157"/>
            <filter val="T3163161"/>
            <filter val="T3163438"/>
            <filter val="T3163529"/>
            <filter val="T3163544"/>
            <filter val="T3163565"/>
            <filter val="T3163583"/>
            <filter val="T3163610"/>
            <filter val="T3165829"/>
            <filter val="T3165831"/>
            <filter val="T3165861"/>
            <filter val="T3166173"/>
            <filter val="T3166793"/>
            <filter val="T3167010"/>
            <filter val="T3167015"/>
            <filter val="T3167018"/>
            <filter val="T3167522"/>
            <filter val="T3173203"/>
            <filter val="T3173408"/>
            <filter val="T3173420"/>
            <filter val="T3173436"/>
            <filter val="T3173988"/>
            <filter val="T3175830"/>
            <filter val="T3182008"/>
            <filter val="T3182037"/>
            <filter val="T3183977"/>
            <filter val="T3186461"/>
            <filter val="T3190072"/>
            <filter val="T3190541"/>
            <filter val="T3190584"/>
            <filter val="T3190614"/>
            <filter val="T3190617"/>
            <filter val="T3192738"/>
            <filter val="T3192985"/>
            <filter val="T3193030"/>
            <filter val="T3193222"/>
            <filter val="T3193250"/>
            <filter val="T3193694"/>
            <filter val="T3193758"/>
            <filter val="T3197373"/>
            <filter val="T3199329"/>
            <filter val="T3202924"/>
            <filter val="T3203011"/>
            <filter val="T3203120"/>
            <filter val="T3203252"/>
            <filter val="T3203352"/>
            <filter val="T3203356"/>
            <filter val="T3203361"/>
            <filter val="T3203677"/>
            <filter val="T3203692"/>
            <filter val="T3203738"/>
            <filter val="T3203811"/>
            <filter val="T3203921"/>
            <filter val="T3203987"/>
            <filter val="T3204343"/>
            <filter val="T3204379"/>
            <filter val="T3204433"/>
            <filter val="T3204527"/>
            <filter val="T3204528"/>
            <filter val="T3206780"/>
            <filter val="T3206960"/>
            <filter val="T3207016"/>
            <filter val="T3207031"/>
            <filter val="T3207182"/>
            <filter val="T3207186"/>
            <filter val="T3207332"/>
            <filter val="T3207335"/>
            <filter val="T3207502"/>
            <filter val="T3209352"/>
            <filter val="T3209855"/>
            <filter val="T3209889"/>
            <filter val="T3209909"/>
            <filter val="T3209930"/>
            <filter val="T3209996"/>
            <filter val="T3210051"/>
            <filter val="T3210176"/>
            <filter val="T3210210"/>
            <filter val="T3210236"/>
            <filter val="T3210253"/>
            <filter val="T3210360"/>
            <filter val="T3210451"/>
            <filter val="T3210787"/>
            <filter val="T3210795"/>
            <filter val="T3210811"/>
            <filter val="T3211102"/>
            <filter val="T3211231"/>
            <filter val="T3211379"/>
            <filter val="T3211391"/>
            <filter val="T3211445"/>
            <filter val="T3211446"/>
            <filter val="T3211447"/>
            <filter val="T3211452"/>
            <filter val="T3211453"/>
            <filter val="T3211458"/>
            <filter val="T3211477"/>
            <filter val="T3211489"/>
            <filter val="T3211491"/>
            <filter val="T3211659"/>
            <filter val="T3211669"/>
            <filter val="T3211676"/>
            <filter val="T3211677"/>
            <filter val="T3211678"/>
            <filter val="T3211679"/>
            <filter val="T3211686"/>
            <filter val="T3211717"/>
            <filter val="T3214146"/>
            <filter val="T3214619"/>
            <filter val="T3214931"/>
            <filter val="T3216641"/>
            <filter val="T3217575"/>
            <filter val="T3217747"/>
            <filter val="T3217794"/>
            <filter val="T3217802"/>
            <filter val="T3217808"/>
            <filter val="T3217810"/>
            <filter val="T3217820"/>
            <filter val="T3217830"/>
            <filter val="T3217846"/>
            <filter val="T3217847"/>
            <filter val="T3217876"/>
            <filter val="T3217879"/>
            <filter val="T3217887"/>
            <filter val="T3217890"/>
            <filter val="T3217896"/>
            <filter val="T3217924"/>
            <filter val="T3217930"/>
            <filter val="T3218122"/>
            <filter val="T3218135"/>
            <filter val="T3218143"/>
            <filter val="T3218151"/>
            <filter val="T3218155"/>
            <filter val="T3218164"/>
            <filter val="T3218418"/>
            <filter val="T3218442"/>
            <filter val="T3218445"/>
            <filter val="T3218464"/>
            <filter val="T3218487"/>
            <filter val="T3218496"/>
            <filter val="T3218497"/>
            <filter val="T3218504"/>
            <filter val="T3218519"/>
            <filter val="T3218548"/>
            <filter val="T3218616"/>
            <filter val="T3218618"/>
            <filter val="T3218620"/>
            <filter val="T3218796"/>
            <filter val="T3218798"/>
            <filter val="T3218820"/>
            <filter val="T3218822"/>
            <filter val="T3218827"/>
            <filter val="T3218842"/>
            <filter val="T3218859"/>
            <filter val="T3219028"/>
            <filter val="T3219034"/>
            <filter val="T3219046"/>
            <filter val="T3219047"/>
            <filter val="T3219056"/>
            <filter val="T3219057"/>
            <filter val="T3219059"/>
            <filter val="T3219078"/>
            <filter val="T3219101"/>
            <filter val="T3219147"/>
            <filter val="T3219179"/>
            <filter val="T3219205"/>
            <filter val="T3219206"/>
            <filter val="T3219226"/>
            <filter val="T3219249"/>
            <filter val="T3219256"/>
            <filter val="T3219260"/>
            <filter val="T3219276"/>
            <filter val="T3219277"/>
            <filter val="T3219278"/>
            <filter val="T3219280"/>
            <filter val="T3219281"/>
            <filter val="T3219293"/>
            <filter val="T3219296"/>
            <filter val="T3219297"/>
            <filter val="T3219299"/>
            <filter val="T3219303"/>
            <filter val="T3219304"/>
            <filter val="T3219338"/>
            <filter val="T3219363"/>
            <filter val="T3219367"/>
            <filter val="T3219369"/>
            <filter val="T3219383"/>
            <filter val="T3219399"/>
            <filter val="T3219401"/>
            <filter val="T3219402"/>
            <filter val="T3219404"/>
            <filter val="T3219405"/>
            <filter val="T3219406"/>
            <filter val="T3219411"/>
            <filter val="T3219418"/>
            <filter val="T3219419"/>
            <filter val="T3219434"/>
            <filter val="T3219450"/>
            <filter val="T3219454"/>
            <filter val="T3219460"/>
            <filter val="T3219469"/>
            <filter val="T3219531"/>
            <filter val="T3220897"/>
            <filter val="T3221216"/>
            <filter val="T3221235"/>
            <filter val="T3221242"/>
            <filter val="T3221246"/>
            <filter val="T3221248"/>
            <filter val="T3221255"/>
            <filter val="T3221258"/>
            <filter val="T3221268"/>
            <filter val="T3221319"/>
            <filter val="T3221322"/>
            <filter val="T3221329"/>
            <filter val="T3221334"/>
            <filter val="T3221336"/>
            <filter val="T3221341"/>
            <filter val="T3221394"/>
            <filter val="T3221408"/>
            <filter val="T3221457"/>
            <filter val="T3221458"/>
            <filter val="T3221464"/>
            <filter val="T3221470"/>
            <filter val="T3221476"/>
            <filter val="T3221477"/>
            <filter val="T3221479"/>
            <filter val="T3221480"/>
            <filter val="T3221494"/>
            <filter val="T3221498"/>
            <filter val="T3221499"/>
            <filter val="T3221511"/>
            <filter val="T3221514"/>
            <filter val="T3221529"/>
            <filter val="T3221530"/>
            <filter val="T3221532"/>
            <filter val="T3221538"/>
            <filter val="T3221540"/>
            <filter val="T3221541"/>
            <filter val="T3221562"/>
            <filter val="T3221580"/>
            <filter val="T3221581"/>
            <filter val="T3221584"/>
            <filter val="T3221628"/>
            <filter val="T3221629"/>
            <filter val="T3221636"/>
            <filter val="T3221637"/>
            <filter val="T3221854"/>
            <filter val="T3221880"/>
            <filter val="T3221883"/>
            <filter val="T3221891"/>
            <filter val="T3221893"/>
            <filter val="T3221897"/>
            <filter val="T3221915"/>
            <filter val="T3221926"/>
            <filter val="T3221939"/>
            <filter val="T3221949"/>
            <filter val="T3221962"/>
            <filter val="T3221963"/>
            <filter val="T3221968"/>
            <filter val="T3221977"/>
            <filter val="T3221981"/>
            <filter val="T3221985"/>
            <filter val="T3221990"/>
            <filter val="T3221999"/>
            <filter val="T3222002"/>
            <filter val="T3222003"/>
            <filter val="T3222006"/>
            <filter val="T3222008"/>
            <filter val="T3222011"/>
            <filter val="T3222020"/>
            <filter val="T3222021"/>
            <filter val="T3222023"/>
            <filter val="T3222024"/>
            <filter val="T3222030"/>
            <filter val="T3222032"/>
            <filter val="T3222033"/>
            <filter val="T3222058"/>
            <filter val="T3222060"/>
            <filter val="T3222100"/>
            <filter val="T3222139"/>
            <filter val="T3222152"/>
            <filter val="T3222164"/>
            <filter val="T3222170"/>
            <filter val="T3222174"/>
            <filter val="T3222193"/>
            <filter val="T3222197"/>
            <filter val="T3222198"/>
            <filter val="T3222209"/>
            <filter val="T3222223"/>
            <filter val="T3222236"/>
            <filter val="T3222247"/>
            <filter val="T3222249"/>
            <filter val="T3222257"/>
            <filter val="T3222258"/>
            <filter val="T3222267"/>
            <filter val="T3222275"/>
            <filter val="T3222282"/>
            <filter val="T3222293"/>
            <filter val="T3222294"/>
            <filter val="T3222320"/>
            <filter val="T3222321"/>
            <filter val="T3222323"/>
            <filter val="T3222330"/>
            <filter val="T3222332"/>
            <filter val="T3222334"/>
            <filter val="T3222335"/>
            <filter val="T3222338"/>
            <filter val="T3222339"/>
            <filter val="T3222381"/>
            <filter val="T3222390"/>
            <filter val="T3222418"/>
            <filter val="T3222424"/>
            <filter val="T3222428"/>
            <filter val="T3222438"/>
            <filter val="T3222439"/>
            <filter val="T3222456"/>
            <filter val="T3222468"/>
            <filter val="T3222484"/>
            <filter val="T3222485"/>
            <filter val="T3222489"/>
            <filter val="T3222491"/>
            <filter val="T3222493"/>
            <filter val="T3222507"/>
            <filter val="T3222512"/>
            <filter val="T3222528"/>
            <filter val="T3222549"/>
            <filter val="T3222574"/>
            <filter val="T3222582"/>
            <filter val="T3222638"/>
            <filter val="T3222661"/>
            <filter val="T3222686"/>
            <filter val="T3222687"/>
            <filter val="T3222688"/>
            <filter val="T3222689"/>
            <filter val="T3222694"/>
            <filter val="T3222707"/>
            <filter val="T3222710"/>
            <filter val="T3222718"/>
            <filter val="T3222736"/>
            <filter val="T3222742"/>
            <filter val="T3222746"/>
            <filter val="T3222757"/>
            <filter val="T3222758"/>
            <filter val="T3222759"/>
            <filter val="T3222761"/>
            <filter val="T3222770"/>
            <filter val="T3222773"/>
            <filter val="T3222781"/>
            <filter val="T3222785"/>
            <filter val="T3222797"/>
            <filter val="T3222798"/>
            <filter val="T3222802"/>
            <filter val="T3222808"/>
            <filter val="T3222811"/>
            <filter val="T3222818"/>
            <filter val="T3222819"/>
            <filter val="T3222820"/>
            <filter val="T3222829"/>
            <filter val="T3223536"/>
            <filter val="T3224535"/>
            <filter val="T3224555"/>
            <filter val="T3224571"/>
            <filter val="T3224579"/>
            <filter val="T3224589"/>
            <filter val="T3224590"/>
            <filter val="T3224608"/>
            <filter val="T3224609"/>
            <filter val="T3224611"/>
            <filter val="T3224612"/>
            <filter val="T3224613"/>
            <filter val="T3224614"/>
            <filter val="T3224616"/>
            <filter val="T3224618"/>
            <filter val="T3224620"/>
            <filter val="T3224621"/>
            <filter val="T3224631"/>
            <filter val="T3224636"/>
            <filter val="T3224637"/>
            <filter val="T3224638"/>
            <filter val="T3224677"/>
            <filter val="T3224678"/>
            <filter val="T3224681"/>
            <filter val="T3224760"/>
            <filter val="T3224761"/>
            <filter val="T3224764"/>
            <filter val="T3224800"/>
            <filter val="T3224816"/>
            <filter val="T3224819"/>
            <filter val="T3224820"/>
            <filter val="T3224822"/>
            <filter val="T3224826"/>
            <filter val="T3224831"/>
            <filter val="T3224842"/>
            <filter val="T3224850"/>
            <filter val="T3224857"/>
            <filter val="T3224881"/>
            <filter val="T3224894"/>
            <filter val="T3224904"/>
            <filter val="T3224918"/>
            <filter val="T3224920"/>
            <filter val="T3224923"/>
            <filter val="T3224925"/>
            <filter val="T3224927"/>
            <filter val="T3224932"/>
            <filter val="T3224936"/>
            <filter val="T3224939"/>
            <filter val="T3224940"/>
            <filter val="T3224941"/>
            <filter val="T3224943"/>
            <filter val="T3224951"/>
            <filter val="T3224960"/>
            <filter val="T3224970"/>
            <filter val="T3224984"/>
            <filter val="T3224993"/>
            <filter val="T3225000"/>
            <filter val="T3225047"/>
            <filter val="T3225058"/>
            <filter val="T3225164"/>
            <filter val="T3225176"/>
            <filter val="T3225177"/>
            <filter val="T3225187"/>
            <filter val="T3225209"/>
            <filter val="T3225228"/>
            <filter val="T3225231"/>
            <filter val="T3225233"/>
            <filter val="T3225236"/>
            <filter val="T3225237"/>
            <filter val="T3225242"/>
            <filter val="T3225250"/>
            <filter val="T3225251"/>
            <filter val="T3225252"/>
            <filter val="T3225253"/>
            <filter val="T3225254"/>
            <filter val="T3225263"/>
            <filter val="T3225291"/>
            <filter val="T3225292"/>
            <filter val="T3225293"/>
            <filter val="T3225314"/>
            <filter val="T3225345"/>
            <filter val="T3225404"/>
            <filter val="T3225440"/>
            <filter val="T3225441"/>
            <filter val="T3225489"/>
            <filter val="T3225493"/>
            <filter val="T3225498"/>
            <filter val="T3225500"/>
            <filter val="T3225510"/>
            <filter val="T3225526"/>
            <filter val="T3225528"/>
            <filter val="T3225531"/>
            <filter val="T3225532"/>
            <filter val="T3225540"/>
            <filter val="T3225544"/>
            <filter val="T3225546"/>
            <filter val="T3225550"/>
            <filter val="T3225557"/>
            <filter val="T3225558"/>
            <filter val="T3225559"/>
            <filter val="T3225560"/>
            <filter val="T3225561"/>
            <filter val="T3225567"/>
            <filter val="T3225568"/>
            <filter val="T3225582"/>
            <filter val="T3225619"/>
            <filter val="T3225648"/>
            <filter val="T3225662"/>
            <filter val="T3225691"/>
            <filter val="T3225705"/>
            <filter val="T3225758"/>
            <filter val="T3225774"/>
            <filter val="T3225777"/>
            <filter val="T3225782"/>
            <filter val="T3225796"/>
            <filter val="T3225799"/>
            <filter val="T3225800"/>
            <filter val="T3225807"/>
            <filter val="T3225810"/>
            <filter val="T3225811"/>
            <filter val="T3225812"/>
            <filter val="T3225819"/>
            <filter val="T3225821"/>
            <filter val="T3225822"/>
            <filter val="T3225828"/>
            <filter val="T3225833"/>
            <filter val="T3225837"/>
            <filter val="T3225843"/>
            <filter val="T3225845"/>
            <filter val="T3225866"/>
            <filter val="T3227274"/>
            <filter val="T3227309"/>
            <filter val="T3228943"/>
            <filter val="T3228961"/>
            <filter val="T3229316"/>
            <filter val="T3229335"/>
            <filter val="T3229417"/>
            <filter val="T3229430"/>
            <filter val="T3229464"/>
            <filter val="T3229476"/>
            <filter val="T3229479"/>
            <filter val="T3229494"/>
            <filter val="T3229499"/>
            <filter val="T3229505"/>
            <filter val="T3229508"/>
            <filter val="T3229514"/>
            <filter val="T3229520"/>
            <filter val="T3231260"/>
            <filter val="T3231270"/>
            <filter val="T3231271"/>
            <filter val="T3231293"/>
            <filter val="T3231298"/>
            <filter val="T3231330"/>
            <filter val="T3231338"/>
            <filter val="T3231386"/>
            <filter val="T3231412"/>
            <filter val="T3231413"/>
            <filter val="T3231416"/>
            <filter val="T3231430"/>
            <filter val="T3231437"/>
            <filter val="T3231443"/>
            <filter val="T3231450"/>
            <filter val="T3231457"/>
            <filter val="T3231467"/>
            <filter val="T3231476"/>
            <filter val="T3231481"/>
            <filter val="T3231483"/>
            <filter val="T3231492"/>
            <filter val="T3231499"/>
            <filter val="T3231500"/>
            <filter val="T3231502"/>
            <filter val="T3231537"/>
            <filter val="T3231545"/>
            <filter val="T3231561"/>
            <filter val="T3231576"/>
            <filter val="T3231577"/>
            <filter val="T3231579"/>
            <filter val="T3231585"/>
            <filter val="T3231587"/>
            <filter val="T3231589"/>
            <filter val="T3231593"/>
            <filter val="T3231600"/>
            <filter val="T3231607"/>
            <filter val="T3231609"/>
            <filter val="T3231610"/>
            <filter val="T3231611"/>
            <filter val="T3231622"/>
            <filter val="T3231630"/>
            <filter val="T3231631"/>
            <filter val="T3231632"/>
            <filter val="T3231633"/>
            <filter val="T3231637"/>
            <filter val="T3231644"/>
            <filter val="T3231647"/>
            <filter val="T3231650"/>
            <filter val="T3231651"/>
            <filter val="T3231657"/>
            <filter val="T3231660"/>
            <filter val="T3231663"/>
            <filter val="T3231668"/>
            <filter val="T3231673"/>
            <filter val="T3231697"/>
            <filter val="T3233386"/>
            <filter val="T3233409"/>
            <filter val="T3233413"/>
            <filter val="T3233416"/>
            <filter val="T3233422"/>
            <filter val="T3233424"/>
            <filter val="T3233426"/>
            <filter val="T3233449"/>
            <filter val="T3233451"/>
            <filter val="T3233461"/>
            <filter val="T3233462"/>
            <filter val="T3233475"/>
            <filter val="T3233480"/>
            <filter val="T3233483"/>
            <filter val="T3233485"/>
            <filter val="T3233495"/>
            <filter val="T3233497"/>
            <filter val="T3233498"/>
            <filter val="T3233499"/>
            <filter val="T3233508"/>
            <filter val="T3233509"/>
            <filter val="T3233511"/>
            <filter val="T3233513"/>
            <filter val="T3233514"/>
            <filter val="T3233516"/>
            <filter val="T3233528"/>
            <filter val="T3233530"/>
            <filter val="T3233539"/>
            <filter val="T3233547"/>
            <filter val="T3233645"/>
            <filter val="T3233649"/>
            <filter val="T3233662"/>
            <filter val="T3233663"/>
            <filter val="T3233665"/>
            <filter val="T3233677"/>
            <filter val="T3233679"/>
            <filter val="T3233720"/>
            <filter val="T3233737"/>
            <filter val="T3233739"/>
            <filter val="T3233741"/>
            <filter val="T3233750"/>
            <filter val="T3233753"/>
            <filter val="T3233762"/>
            <filter val="T3233763"/>
            <filter val="T3233765"/>
            <filter val="T3233766"/>
            <filter val="T3233780"/>
            <filter val="T3233782"/>
            <filter val="T3233788"/>
            <filter val="T3233790"/>
            <filter val="T3233794"/>
            <filter val="T3233795"/>
            <filter val="T3233802"/>
            <filter val="T3234494"/>
            <filter val="T3234497"/>
            <filter val="T3235542"/>
            <filter val="T3235580"/>
            <filter val="T3235597"/>
            <filter val="T3235605"/>
            <filter val="T3235614"/>
            <filter val="T3235615"/>
            <filter val="T3235621"/>
            <filter val="T3235625"/>
            <filter val="T3235634"/>
            <filter val="T3235636"/>
            <filter val="T3235639"/>
            <filter val="T3235642"/>
            <filter val="T3235643"/>
            <filter val="T3235646"/>
            <filter val="T3235647"/>
            <filter val="T3235652"/>
            <filter val="T3235657"/>
            <filter val="T3235659"/>
            <filter val="T3235660"/>
            <filter val="T3235661"/>
            <filter val="T3235662"/>
            <filter val="T3235738"/>
            <filter val="T3235744"/>
            <filter val="T3235745"/>
            <filter val="T3235747"/>
            <filter val="T3235749"/>
            <filter val="T3235750"/>
            <filter val="T3235756"/>
            <filter val="T3235779"/>
            <filter val="T3235798"/>
            <filter val="T3235814"/>
            <filter val="T3235825"/>
            <filter val="T3235837"/>
            <filter val="T3235876"/>
            <filter val="T3235877"/>
            <filter val="T3235881"/>
            <filter val="T3235912"/>
            <filter val="T3235918"/>
            <filter val="T3235921"/>
            <filter val="T3235928"/>
            <filter val="T3235931"/>
            <filter val="T3235937"/>
            <filter val="T3235942"/>
            <filter val="T3235946"/>
            <filter val="T3235952"/>
            <filter val="T3235953"/>
            <filter val="T3235954"/>
            <filter val="T3235956"/>
            <filter val="T3235957"/>
            <filter val="T3235963"/>
            <filter val="T3235966"/>
            <filter val="T3235970"/>
            <filter val="T3235972"/>
            <filter val="T3236028"/>
            <filter val="T3236042"/>
            <filter val="T3236797"/>
            <filter val="T3237746"/>
            <filter val="T3237757"/>
            <filter val="T3237764"/>
            <filter val="T3237768"/>
            <filter val="T3237783"/>
            <filter val="T3237790"/>
            <filter val="T3237791"/>
            <filter val="T3237793"/>
            <filter val="T3237797"/>
            <filter val="T3237798"/>
            <filter val="T3237818"/>
            <filter val="T3237823"/>
            <filter val="T3237827"/>
            <filter val="T3237830"/>
            <filter val="T3237832"/>
            <filter val="T3237834"/>
            <filter val="T3237837"/>
            <filter val="T3237841"/>
            <filter val="T3237842"/>
            <filter val="T3237843"/>
            <filter val="T3237846"/>
            <filter val="T3237848"/>
            <filter val="T3237849"/>
            <filter val="T3237872"/>
            <filter val="T3237874"/>
            <filter val="T3237877"/>
            <filter val="T3237878"/>
            <filter val="T3237879"/>
            <filter val="T3237954"/>
            <filter val="T3237958"/>
            <filter val="T3237963"/>
            <filter val="T3237967"/>
            <filter val="T3237975"/>
            <filter val="T3237996"/>
            <filter val="T3238000"/>
            <filter val="T3238025"/>
            <filter val="T3238031"/>
            <filter val="T3238038"/>
            <filter val="T3238039"/>
            <filter val="T3238055"/>
            <filter val="T3238056"/>
            <filter val="T3238061"/>
            <filter val="T3238065"/>
            <filter val="T3238067"/>
            <filter val="T3238068"/>
            <filter val="T3238078"/>
            <filter val="T3238083"/>
            <filter val="T3238084"/>
            <filter val="T3238085"/>
            <filter val="T3238100"/>
            <filter val="T3238109"/>
            <filter val="T3238114"/>
            <filter val="T3238118"/>
            <filter val="T3238132"/>
            <filter val="T3238138"/>
            <filter val="T3238141"/>
            <filter val="T3238144"/>
            <filter val="T3238146"/>
            <filter val="T3238173"/>
            <filter val="T3238183"/>
            <filter val="T3238198"/>
            <filter val="T3238204"/>
            <filter val="T3238209"/>
            <filter val="T3238211"/>
            <filter val="T3238226"/>
            <filter val="T3238228"/>
            <filter val="T3238241"/>
            <filter val="T3238255"/>
            <filter val="T3238284"/>
            <filter val="T3238296"/>
            <filter val="T3238317"/>
            <filter val="T3238323"/>
            <filter val="T3238335"/>
            <filter val="T3238340"/>
            <filter val="T3238348"/>
            <filter val="T3238352"/>
            <filter val="T3238357"/>
            <filter val="T3238358"/>
            <filter val="T3238363"/>
            <filter val="T3238365"/>
            <filter val="T3238368"/>
            <filter val="T3238370"/>
            <filter val="T3238394"/>
            <filter val="T3238412"/>
            <filter val="T3238537"/>
            <filter val="T3238547"/>
            <filter val="T3238554"/>
            <filter val="T3238572"/>
            <filter val="T3238573"/>
            <filter val="T3238575"/>
            <filter val="T3238585"/>
            <filter val="T3238595"/>
            <filter val="T3238600"/>
            <filter val="T3238607"/>
            <filter val="T3238615"/>
            <filter val="T3238625"/>
            <filter val="T3238627"/>
            <filter val="T3238639"/>
            <filter val="T3238640"/>
            <filter val="T3238641"/>
            <filter val="T3238642"/>
            <filter val="T3238646"/>
            <filter val="T3238651"/>
            <filter val="T3238656"/>
            <filter val="T3238658"/>
            <filter val="T3238659"/>
            <filter val="T3238662"/>
            <filter val="T3238664"/>
            <filter val="T3238669"/>
            <filter val="T3238687"/>
            <filter val="T3238704"/>
            <filter val="T3238769"/>
            <filter val="T3238771"/>
            <filter val="T3238775"/>
            <filter val="T3238776"/>
            <filter val="T3238780"/>
            <filter val="T3238781"/>
            <filter val="T3238782"/>
            <filter val="T3238787"/>
            <filter val="T3238797"/>
            <filter val="T3238799"/>
            <filter val="T3238800"/>
            <filter val="T3238801"/>
            <filter val="T3238802"/>
            <filter val="T3238803"/>
            <filter val="T3238804"/>
            <filter val="T3238828"/>
            <filter val="T3238842"/>
            <filter val="T3238888"/>
            <filter val="T3238889"/>
            <filter val="T3238892"/>
            <filter val="T3238904"/>
            <filter val="T3238905"/>
            <filter val="T3238910"/>
            <filter val="T3238911"/>
            <filter val="T3238916"/>
            <filter val="T3238922"/>
            <filter val="T3238924"/>
            <filter val="T3238927"/>
            <filter val="T3238929"/>
            <filter val="T3238938"/>
            <filter val="T3238939"/>
            <filter val="T3238940"/>
            <filter val="T3238942"/>
            <filter val="T3238943"/>
            <filter val="T3238947"/>
            <filter val="T3238948"/>
            <filter val="T3238950"/>
            <filter val="T3238951"/>
            <filter val="T3238954"/>
            <filter val="T3238958"/>
            <filter val="T3238968"/>
            <filter val="T3238971"/>
            <filter val="T3238977"/>
            <filter val="T3238981"/>
            <filter val="T3238983"/>
            <filter val="T3238984"/>
            <filter val="T3238985"/>
            <filter val="T3238988"/>
            <filter val="T3240675"/>
            <filter val="T3240676"/>
            <filter val="T3242404"/>
            <filter val="T3242405"/>
            <filter val="T3242406"/>
            <filter val="T3242410"/>
            <filter val="T3242413"/>
            <filter val="T3242414"/>
            <filter val="T3242417"/>
            <filter val="T3242418"/>
            <filter val="T3242432"/>
            <filter val="T3242442"/>
            <filter val="T3242447"/>
            <filter val="T3242460"/>
            <filter val="T3242463"/>
            <filter val="T3242470"/>
            <filter val="T3242471"/>
            <filter val="T3242494"/>
            <filter val="T3242499"/>
            <filter val="T3242501"/>
            <filter val="T3242503"/>
            <filter val="T3242504"/>
            <filter val="T3242509"/>
            <filter val="T3242510"/>
            <filter val="T3242511"/>
            <filter val="T3242518"/>
            <filter val="T3242520"/>
            <filter val="T3242521"/>
            <filter val="T3242522"/>
            <filter val="T3242525"/>
            <filter val="T3242526"/>
            <filter val="T3242531"/>
            <filter val="T3242536"/>
            <filter val="T3242537"/>
            <filter val="T3242548"/>
            <filter val="T3242569"/>
            <filter val="T3242573"/>
            <filter val="T3242601"/>
            <filter val="T3242604"/>
            <filter val="T3242606"/>
            <filter val="T3242614"/>
            <filter val="T3242615"/>
            <filter val="T3242670"/>
            <filter val="T3242675"/>
            <filter val="T3242677"/>
            <filter val="T3242691"/>
            <filter val="T3242705"/>
            <filter val="T3242708"/>
            <filter val="T3242709"/>
            <filter val="T3242711"/>
            <filter val="T3242713"/>
            <filter val="T3242715"/>
            <filter val="T3242719"/>
            <filter val="T3242722"/>
            <filter val="T3242725"/>
            <filter val="T3242726"/>
            <filter val="T3242729"/>
            <filter val="T3242732"/>
            <filter val="T3242738"/>
            <filter val="T3242746"/>
            <filter val="T3242747"/>
            <filter val="T3242751"/>
            <filter val="T3242752"/>
            <filter val="T3242754"/>
            <filter val="T3242761"/>
            <filter val="T3242763"/>
            <filter val="T3242764"/>
            <filter val="T3242765"/>
            <filter val="T3242769"/>
            <filter val="T3242792"/>
            <filter val="T3242801"/>
            <filter val="T3242810"/>
            <filter val="T3242814"/>
            <filter val="T3242816"/>
            <filter val="T3242817"/>
            <filter val="T3242819"/>
            <filter val="T3242824"/>
            <filter val="T3242825"/>
            <filter val="T3242826"/>
            <filter val="T3242828"/>
            <filter val="T3242831"/>
            <filter val="T3242835"/>
            <filter val="T3242840"/>
            <filter val="T3242842"/>
            <filter val="T3242896"/>
            <filter val="T3242901"/>
            <filter val="T3242944"/>
            <filter val="T3242953"/>
            <filter val="T3242959"/>
            <filter val="T3242960"/>
            <filter val="T3242962"/>
            <filter val="T3242963"/>
            <filter val="T3242965"/>
            <filter val="T3242966"/>
            <filter val="T3242970"/>
            <filter val="T3242974"/>
            <filter val="T3242980"/>
            <filter val="T3242985"/>
            <filter val="T3242993"/>
            <filter val="T3242994"/>
            <filter val="T3242996"/>
            <filter val="T3242998"/>
            <filter val="T3243002"/>
            <filter val="T3243004"/>
            <filter val="T3243005"/>
            <filter val="T3243009"/>
            <filter val="T3243011"/>
            <filter val="T3243012"/>
            <filter val="T3243015"/>
            <filter val="T3243021"/>
            <filter val="T3243024"/>
            <filter val="T3243029"/>
            <filter val="T3243040"/>
            <filter val="T3243052"/>
            <filter val="T3243058"/>
            <filter val="T3243060"/>
            <filter val="T3243069"/>
            <filter val="T3243074"/>
            <filter val="T3243076"/>
            <filter val="T3243092"/>
            <filter val="T3243093"/>
            <filter val="T3245320"/>
            <filter val="T3245350"/>
            <filter val="T3245355"/>
            <filter val="T3245388"/>
            <filter val="T3245410"/>
            <filter val="T3245412"/>
            <filter val="T3245427"/>
            <filter val="T3245428"/>
            <filter val="T3245430"/>
            <filter val="T3245435"/>
            <filter val="T3245437"/>
            <filter val="T3245439"/>
            <filter val="T3245440"/>
            <filter val="T3245441"/>
            <filter val="T3245442"/>
            <filter val="T3245443"/>
            <filter val="T3245444"/>
            <filter val="T3245446"/>
            <filter val="T3245463"/>
            <filter val="T3245476"/>
            <filter val="T3245487"/>
            <filter val="T3245492"/>
            <filter val="T3245495"/>
            <filter val="T3245592"/>
            <filter val="T3245593"/>
            <filter val="T3245602"/>
            <filter val="T3245604"/>
            <filter val="T3245605"/>
            <filter val="T3245606"/>
            <filter val="T3245607"/>
            <filter val="T3245610"/>
            <filter val="T3245615"/>
            <filter val="T3245616"/>
            <filter val="T3245622"/>
            <filter val="T3245624"/>
            <filter val="T3245634"/>
            <filter val="T3245635"/>
            <filter val="T3245641"/>
            <filter val="T3245642"/>
            <filter val="T3245643"/>
            <filter val="T3245682"/>
            <filter val="T3245689"/>
            <filter val="T3245691"/>
            <filter val="T3245696"/>
            <filter val="T3245698"/>
            <filter val="T3245702"/>
            <filter val="T3245703"/>
            <filter val="T3245709"/>
            <filter val="T3245718"/>
            <filter val="T3245720"/>
            <filter val="T3245739"/>
            <filter val="T3245793"/>
            <filter val="T3245794"/>
            <filter val="T3245795"/>
            <filter val="T3245797"/>
            <filter val="T3245800"/>
            <filter val="T3245804"/>
            <filter val="T3245805"/>
            <filter val="T3245806"/>
            <filter val="T3245809"/>
            <filter val="T3245811"/>
            <filter val="T3245814"/>
            <filter val="T3245827"/>
            <filter val="T3245828"/>
            <filter val="T3245833"/>
            <filter val="T3245857"/>
            <filter val="T3245858"/>
            <filter val="T3245860"/>
            <filter val="T3245862"/>
            <filter val="T3245876"/>
            <filter val="T3245885"/>
            <filter val="T3245902"/>
            <filter val="T3245920"/>
            <filter val="T3245997"/>
            <filter val="T3246003"/>
            <filter val="T3246004"/>
            <filter val="T3246006"/>
            <filter val="T3246024"/>
            <filter val="T3246026"/>
            <filter val="T3246028"/>
            <filter val="T3246048"/>
            <filter val="T3246053"/>
            <filter val="T3246054"/>
            <filter val="T3246056"/>
            <filter val="T3246058"/>
            <filter val="T3246062"/>
            <filter val="T3246068"/>
            <filter val="T3246072"/>
            <filter val="T3246076"/>
            <filter val="T3246077"/>
            <filter val="T3246078"/>
            <filter val="T3246080"/>
            <filter val="T3246081"/>
            <filter val="T3246082"/>
            <filter val="T3246083"/>
            <filter val="T3246087"/>
            <filter val="T3246092"/>
            <filter val="T3246174"/>
            <filter val="T3246185"/>
            <filter val="T3246210"/>
            <filter val="T3246216"/>
            <filter val="T3246341"/>
            <filter val="T3248229"/>
            <filter val="T3248234"/>
            <filter val="T3248236"/>
            <filter val="T3248252"/>
            <filter val="T3248456"/>
            <filter val="T3248674"/>
            <filter val="T3248675"/>
            <filter val="T3248677"/>
            <filter val="T3248682"/>
            <filter val="T3248700"/>
            <filter val="T3248715"/>
            <filter val="T3248720"/>
            <filter val="T3248722"/>
            <filter val="T3248724"/>
            <filter val="T3248725"/>
            <filter val="T3248726"/>
            <filter val="T3248731"/>
            <filter val="T3248732"/>
            <filter val="T3248733"/>
            <filter val="T3248740"/>
            <filter val="T3248742"/>
            <filter val="T3248749"/>
            <filter val="T3248753"/>
            <filter val="T3248772"/>
            <filter val="T3248784"/>
            <filter val="T3248789"/>
            <filter val="T3248807"/>
            <filter val="T3248873"/>
            <filter val="T3248874"/>
            <filter val="T3248875"/>
            <filter val="T3248876"/>
            <filter val="T3248897"/>
            <filter val="T3248903"/>
            <filter val="T3248905"/>
            <filter val="T3248907"/>
            <filter val="T3248913"/>
            <filter val="T3248917"/>
            <filter val="T3248923"/>
            <filter val="T3248934"/>
            <filter val="T3248935"/>
            <filter val="T3248936"/>
            <filter val="T3248939"/>
            <filter val="T3248943"/>
            <filter val="T3248953"/>
            <filter val="T3248954"/>
            <filter val="T3248957"/>
            <filter val="T3248960"/>
            <filter val="T3248975"/>
            <filter val="T3248978"/>
            <filter val="T3248981"/>
            <filter val="T3248986"/>
            <filter val="T3249000"/>
            <filter val="T3249016"/>
            <filter val="T3249036"/>
            <filter val="T3249044"/>
            <filter val="T3249061"/>
            <filter val="T3249084"/>
            <filter val="T3249120"/>
            <filter val="T3249152"/>
            <filter val="T3249164"/>
            <filter val="T3249171"/>
            <filter val="T3249195"/>
            <filter val="T3249198"/>
            <filter val="T3249205"/>
            <filter val="T3249211"/>
            <filter val="T3249217"/>
            <filter val="T3249250"/>
            <filter val="T3249251"/>
            <filter val="T3249252"/>
            <filter val="T3249254"/>
            <filter val="T3249259"/>
            <filter val="T3249282"/>
            <filter val="T3249307"/>
            <filter val="T3249338"/>
            <filter val="T3249377"/>
            <filter val="T3249391"/>
            <filter val="T3249392"/>
            <filter val="T3249398"/>
            <filter val="T3249402"/>
            <filter val="T3249403"/>
            <filter val="T3249404"/>
            <filter val="T3249408"/>
            <filter val="T3249420"/>
            <filter val="T3249421"/>
            <filter val="T3249425"/>
            <filter val="T3249426"/>
            <filter val="T3249428"/>
            <filter val="T3249436"/>
            <filter val="T3249463"/>
            <filter val="T3249471"/>
            <filter val="T3249474"/>
            <filter val="T3249485"/>
            <filter val="T3249488"/>
            <filter val="T3249492"/>
            <filter val="T3249496"/>
            <filter val="T3249500"/>
            <filter val="T3249501"/>
            <filter val="T3249508"/>
            <filter val="T3249509"/>
            <filter val="T3249520"/>
            <filter val="T3249524"/>
            <filter val="T3249527"/>
            <filter val="T3249538"/>
            <filter val="T3249549"/>
            <filter val="T3249555"/>
            <filter val="T3249561"/>
            <filter val="T3249563"/>
            <filter val="T3249603"/>
            <filter val="T3249619"/>
            <filter val="T3249627"/>
            <filter val="T3249631"/>
            <filter val="T3249643"/>
            <filter val="T3249644"/>
            <filter val="T3249651"/>
            <filter val="T3249659"/>
            <filter val="T3249663"/>
            <filter val="T3249664"/>
            <filter val="T3249668"/>
            <filter val="T3249674"/>
            <filter val="T3249699"/>
            <filter val="T3249703"/>
            <filter val="T3249750"/>
            <filter val="T3249837"/>
            <filter val="T3249845"/>
            <filter val="T3249848"/>
            <filter val="T3249856"/>
            <filter val="T3249866"/>
            <filter val="T3249870"/>
            <filter val="T3249874"/>
            <filter val="T3249880"/>
            <filter val="T3249889"/>
            <filter val="T3249892"/>
            <filter val="T3249900"/>
            <filter val="T3249901"/>
            <filter val="T3249903"/>
            <filter val="T3249906"/>
            <filter val="T3249912"/>
            <filter val="T3249913"/>
            <filter val="T3249916"/>
            <filter val="T3249918"/>
            <filter val="T3249921"/>
            <filter val="T3249923"/>
            <filter val="T3249927"/>
            <filter val="T3249945"/>
            <filter val="T3249952"/>
            <filter val="T3250053"/>
            <filter val="T3250069"/>
            <filter val="T3250071"/>
            <filter val="T3250073"/>
            <filter val="T3250076"/>
            <filter val="T3250100"/>
            <filter val="T3250112"/>
            <filter val="T3250114"/>
            <filter val="T3250115"/>
            <filter val="T3250118"/>
            <filter val="T3250121"/>
            <filter val="T3250123"/>
            <filter val="T3250125"/>
            <filter val="T3250126"/>
            <filter val="T3250130"/>
            <filter val="T3250131"/>
            <filter val="T3250134"/>
            <filter val="T3250147"/>
            <filter val="T3250149"/>
            <filter val="T3251890"/>
            <filter val="T3251910"/>
            <filter val="T3251913"/>
            <filter val="T3251914"/>
            <filter val="T3251930"/>
            <filter val="T3251934"/>
            <filter val="T3251945"/>
            <filter val="T3251951"/>
            <filter val="T3251955"/>
            <filter val="T3251960"/>
            <filter val="T3251967"/>
            <filter val="T3251978"/>
            <filter val="T3252015"/>
            <filter val="T3252018"/>
            <filter val="T3252019"/>
            <filter val="T3252056"/>
            <filter val="T3252102"/>
            <filter val="T3252123"/>
            <filter val="T3252137"/>
            <filter val="T3252150"/>
            <filter val="T3252166"/>
            <filter val="T3252169"/>
            <filter val="T3252170"/>
            <filter val="T3252174"/>
            <filter val="T3252183"/>
            <filter val="T3252184"/>
            <filter val="T3252186"/>
            <filter val="T3252187"/>
            <filter val="T3252197"/>
            <filter val="T3252203"/>
            <filter val="T3252204"/>
            <filter val="T3252205"/>
            <filter val="T3252209"/>
            <filter val="T3252214"/>
            <filter val="T3252220"/>
            <filter val="T3252229"/>
            <filter val="T3252256"/>
            <filter val="T3252258"/>
            <filter val="T3252283"/>
            <filter val="T3252310"/>
            <filter val="T3252314"/>
            <filter val="T3252342"/>
            <filter val="T3252381"/>
            <filter val="T3252385"/>
            <filter val="T3252402"/>
            <filter val="T3252414"/>
            <filter val="T3252429"/>
            <filter val="T3252440"/>
            <filter val="T3252443"/>
            <filter val="T3252446"/>
            <filter val="T3252447"/>
            <filter val="T3252454"/>
            <filter val="T3252460"/>
            <filter val="T3252472"/>
            <filter val="T3252500"/>
            <filter val="T3252519"/>
            <filter val="T3252563"/>
            <filter val="T3252592"/>
            <filter val="T3252603"/>
            <filter val="T3252652"/>
            <filter val="T3252653"/>
            <filter val="T3252656"/>
            <filter val="T3252671"/>
            <filter val="T3252677"/>
            <filter val="T3252679"/>
            <filter val="T3252681"/>
            <filter val="T3252682"/>
            <filter val="T3252686"/>
            <filter val="T3252689"/>
            <filter val="T3252697"/>
            <filter val="T3252714"/>
            <filter val="T3252880"/>
            <filter val="T3252966"/>
            <filter val="T3252984"/>
            <filter val="T3253019"/>
            <filter val="T3253023"/>
            <filter val="T3253050"/>
            <filter val="T3253057"/>
            <filter val="T3253085"/>
            <filter val="T3253229"/>
            <filter val="T3253254"/>
            <filter val="T3253268"/>
            <filter val="T3253271"/>
            <filter val="T3253315"/>
            <filter val="T3253333"/>
          </filters>
        </filterColumn>
      </autoFilter>
    </customSheetView>
    <customSheetView guid="{B0E09FAE-14F1-4522-ACEF-D33B903DE73E}" filter="1" showAutoFilter="1">
      <pageMargins left="0.7" right="0.7" top="0.75" bottom="0.75" header="0.3" footer="0.3"/>
      <autoFilter ref="A5:BH2575" xr:uid="{D4E94F62-52B7-4D8B-9351-43F3558E8397}">
        <filterColumn colId="22">
          <filters blank="1">
            <filter val="0.00"/>
            <filter val="154,116.53"/>
            <filter val="2,106.00"/>
            <filter val="3,313.30"/>
            <filter val="557.08"/>
            <filter val="7,181.14"/>
            <filter val="99,525.07"/>
            <filter val="Revenue_deductions_bil"/>
          </filters>
        </filterColumn>
      </autoFilter>
    </customSheetView>
    <customSheetView guid="{D3D716A1-F093-45D0-9BD2-73D470E2BD75}" filter="1" showAutoFilter="1">
      <pageMargins left="0.7" right="0.7" top="0.75" bottom="0.75" header="0.3" footer="0.3"/>
      <autoFilter ref="A5:BF3051" xr:uid="{0D71A6DD-866E-4C26-B966-CB254F75121D}">
        <filterColumn colId="44">
          <filters>
            <filter val="0.00"/>
            <filter val="0.01"/>
            <filter val="-0.01"/>
            <filter val="-0.05"/>
            <filter val="0.10"/>
            <filter val="0.40"/>
            <filter val="1,591.70"/>
            <filter val="1,750.00"/>
            <filter val="1.00"/>
            <filter val="107.44"/>
            <filter val="13,482.29"/>
            <filter val="-14,500,155.75"/>
            <filter val="154,116.53"/>
            <filter val="191,328,902.38"/>
            <filter val="2,106.00"/>
            <filter val="2,355.60"/>
            <filter val="2,383.05"/>
            <filter val="2,573,265.13"/>
            <filter val="20,982,516.96"/>
            <filter val="203,504,700.00"/>
            <filter val="23,479.39"/>
            <filter val="246,912.30"/>
            <filter val="257,374.45"/>
            <filter val="277,117.00"/>
            <filter val="3,313.30"/>
            <filter val="325,607,520.00"/>
            <filter val="33.47"/>
            <filter val="398,983.02"/>
            <filter val="4,634.59"/>
            <filter val="404,439,698.39"/>
            <filter val="433.62"/>
            <filter val="464.08"/>
            <filter val="498,897.94"/>
            <filter val="557.08"/>
            <filter val="558.86"/>
            <filter val="60,197,352.23"/>
            <filter val="7,011,490.40"/>
            <filter val="7,181.14"/>
            <filter val="7,385.71"/>
            <filter val="8.58"/>
            <filter val="81,191,534.62"/>
            <filter val="876,493.21"/>
            <filter val="99,525.07"/>
          </filters>
        </filterColumn>
      </autoFilter>
    </customSheetView>
    <customSheetView guid="{6317079B-7128-4859-AE81-0B61D7A86479}" filter="1" showAutoFilter="1">
      <pageMargins left="0.7" right="0.7" top="0.75" bottom="0.75" header="0.3" footer="0.3"/>
      <autoFilter ref="A5:BF2716" xr:uid="{DAF7ADB4-B681-4138-A703-C2FE7A29A45C}">
        <filterColumn colId="54">
          <filters blank="1">
            <filter val="Spend_dif_bil_inv"/>
          </filters>
        </filterColumn>
      </autoFilter>
    </customSheetView>
    <customSheetView guid="{300BE192-3375-4E2E-B894-87535A228B0E}" filter="1" showAutoFilter="1">
      <pageMargins left="0.7" right="0.7" top="0.75" bottom="0.75" header="0.3" footer="0.3"/>
      <autoFilter ref="A5:BF2716" xr:uid="{51DA6E66-0043-46CC-8927-CF9BA61E61BF}">
        <filterColumn colId="49">
          <filters blank="1">
            <filter val="0.00"/>
            <filter val="0.01"/>
            <filter val="-0.01"/>
            <filter val="0.02"/>
            <filter val="-0.02"/>
            <filter val="0.03"/>
            <filter val="-0.03"/>
            <filter val="0.04"/>
            <filter val="-0.04"/>
            <filter val="0.05"/>
            <filter val="-0.05"/>
            <filter val="0.06"/>
            <filter val="-0.06"/>
            <filter val="0.07"/>
            <filter val="-0.15"/>
            <filter val="-0.25"/>
            <filter val="-0.52"/>
            <filter val="-0.55"/>
            <filter val="-0.75"/>
            <filter val="-0.77"/>
            <filter val="-0.86"/>
            <filter val="-0.96"/>
            <filter val="-1,100.01"/>
            <filter val="-1,110.00"/>
            <filter val="-1,224.30"/>
            <filter val="-1,426.81"/>
            <filter val="-1,525.67"/>
            <filter val="1,860,953.31"/>
            <filter val="-1.05"/>
            <filter val="-1.33"/>
            <filter val="-1.56"/>
            <filter val="-1.70"/>
            <filter val="-1.82"/>
            <filter val="-1.87"/>
            <filter val="-10.25"/>
            <filter val="-10.87"/>
            <filter val="-10.89"/>
            <filter val="-10.92"/>
            <filter val="-102,737.95"/>
            <filter val="-11,956.01"/>
            <filter val="-11.36"/>
            <filter val="-117.66"/>
            <filter val="-12.47"/>
            <filter val="-12.67"/>
            <filter val="-132.46"/>
            <filter val="-14,132.32"/>
            <filter val="14,946,222.70"/>
            <filter val="-14.15"/>
            <filter val="-14.59"/>
            <filter val="-146.10"/>
            <filter val="-147.96"/>
            <filter val="-15.50"/>
            <filter val="-150.34"/>
            <filter val="-157.18"/>
            <filter val="-16,870.07"/>
            <filter val="-16.46"/>
            <filter val="165,252.01"/>
            <filter val="-166.83"/>
            <filter val="175,030.81"/>
            <filter val="-180.83"/>
            <filter val="19,294.94"/>
            <filter val="-19.38"/>
            <filter val="190,516.20"/>
            <filter val="-2,160.93"/>
            <filter val="-2,572.21"/>
            <filter val="2,687,889.85"/>
            <filter val="-2,901.35"/>
            <filter val="-2.32"/>
            <filter val="-2.73"/>
            <filter val="-2.75"/>
            <filter val="-20,238.34"/>
            <filter val="-216.39"/>
            <filter val="-244.73"/>
            <filter val="-25.01"/>
            <filter val="-26.86"/>
            <filter val="-29.49"/>
            <filter val="-3.68"/>
            <filter val="-3.84"/>
            <filter val="-3.97"/>
            <filter val="-31.89"/>
            <filter val="-31.96"/>
            <filter val="-32.60"/>
            <filter val="-327.53"/>
            <filter val="-33,250.34"/>
            <filter val="-33,873.14"/>
            <filter val="-33.82"/>
            <filter val="-34,758.99"/>
            <filter val="-345.74"/>
            <filter val="-35.71"/>
            <filter val="-351.98"/>
            <filter val="-37.33"/>
            <filter val="-37.37"/>
            <filter val="-374.58"/>
            <filter val="38,260.76"/>
            <filter val="-4,216.19"/>
            <filter val="-4,290.37"/>
            <filter val="-4,389.98"/>
            <filter val="-4.09"/>
            <filter val="-4.15"/>
            <filter val="-4.48"/>
            <filter val="-4.77"/>
            <filter val="-4.85"/>
            <filter val="-40.08"/>
            <filter val="-42.34"/>
            <filter val="45,398.14"/>
            <filter val="-46.20"/>
            <filter val="-475.68"/>
            <filter val="-489.08"/>
            <filter val="-49.64"/>
            <filter val="-496.51"/>
            <filter val="-5,266.59"/>
            <filter val="-5,475.00"/>
            <filter val="-5,765.66"/>
            <filter val="-5,907.05"/>
            <filter val="-5.25"/>
            <filter val="-5.29"/>
            <filter val="-5.97"/>
            <filter val="-52.00"/>
            <filter val="-56.41"/>
            <filter val="-56.90"/>
            <filter val="-6,645.51"/>
            <filter val="-6,833.32"/>
            <filter val="-6.19"/>
            <filter val="-6.20"/>
            <filter val="-6.42"/>
            <filter val="-6.91"/>
            <filter val="-6.98"/>
            <filter val="-62.38"/>
            <filter val="-62.88"/>
            <filter val="-66.70"/>
            <filter val="-67,516.99"/>
            <filter val="-67.34"/>
            <filter val="-68.54"/>
            <filter val="-68.79"/>
            <filter val="-688.32"/>
            <filter val="-7,114.31"/>
            <filter val="-7,523.98"/>
            <filter val="-7.45"/>
            <filter val="-76,406.02"/>
            <filter val="-8.39"/>
            <filter val="-80.16"/>
            <filter val="-80.24"/>
            <filter val="-804,155.98"/>
            <filter val="-819.15"/>
            <filter val="-89.84"/>
            <filter val="-9,089.63"/>
            <filter val="9,703.94"/>
            <filter val="-9,752.48"/>
            <filter val="-90.99"/>
            <filter val="-95.94"/>
            <filter val="-958.01"/>
            <filter val="-98.45"/>
            <filter val="Spend_dif_bil_del"/>
          </filters>
        </filterColumn>
      </autoFilter>
    </customSheetView>
    <customSheetView guid="{68C639DD-992D-4585-B981-2EE9A9A5A3C5}" filter="1" showAutoFilter="1">
      <pageMargins left="0.7" right="0.7" top="0.75" bottom="0.75" header="0.3" footer="0.3"/>
      <autoFilter ref="A5:BF2716" xr:uid="{0921DE58-BEBB-4018-80FE-B3BA594B2ACE}">
        <filterColumn colId="56">
          <filters>
            <filter val="0.00"/>
            <filter val="0.01"/>
            <filter val="-0.01"/>
            <filter val="0.02"/>
            <filter val="-0.02"/>
            <filter val="0.03"/>
            <filter val="-0.03"/>
            <filter val="-0.04"/>
            <filter val="-0.05"/>
            <filter val="-0.06"/>
            <filter val="0.07"/>
            <filter val="0.08"/>
            <filter val="-0.08"/>
            <filter val="0.10"/>
            <filter val="-0.12"/>
            <filter val="0.34"/>
            <filter val="-0.45"/>
            <filter val="0.53"/>
            <filter val="0.57"/>
            <filter val="0.58"/>
            <filter val="-0.63"/>
            <filter val="-0.65"/>
            <filter val="-0.76"/>
            <filter val="-0.95"/>
            <filter val="-0.96"/>
            <filter val="-1,000.21"/>
            <filter val="-1,001,879.69"/>
            <filter val="-1,020.76"/>
            <filter val="-1,029.68"/>
            <filter val="-1,039,370.90"/>
            <filter val="-1,055.78"/>
            <filter val="-1,144.36"/>
            <filter val="-1,147,080.29"/>
            <filter val="-1,156.25"/>
            <filter val="-1,168,711.99"/>
            <filter val="-1,169,330.22"/>
            <filter val="-1,185.28"/>
            <filter val="-1,222.50"/>
            <filter val="-1,229.60"/>
            <filter val="-1,242.08"/>
            <filter val="-1,267.16"/>
            <filter val="-1,300.68"/>
            <filter val="-1,308,038.11"/>
            <filter val="-1,309,501.16"/>
            <filter val="-1,320.30"/>
            <filter val="-1,320.57"/>
            <filter val="-1,335,235.56"/>
            <filter val="-1,345,390.87"/>
            <filter val="-1,374,558.48"/>
            <filter val="-1,374.26"/>
            <filter val="-1,391,161.36"/>
            <filter val="-1,396,589.89"/>
            <filter val="-1,397,556.22"/>
            <filter val="-1,399,051.23"/>
            <filter val="-1,416,139.53"/>
            <filter val="-1,431,754.00"/>
            <filter val="-1,434.83"/>
            <filter val="-1,453,370.69"/>
            <filter val="-1,462,678.54"/>
            <filter val="-1,466.23"/>
            <filter val="-1,476.41"/>
            <filter val="-1,478,354.20"/>
            <filter val="-1,506,724.64"/>
            <filter val="-1,509.18"/>
            <filter val="-1,509.61"/>
            <filter val="-1,609.50"/>
            <filter val="-1,618.85"/>
            <filter val="-1,650.22"/>
            <filter val="-1,727,879.97"/>
            <filter val="-1,739,241.40"/>
            <filter val="-1,773.09"/>
            <filter val="-1,799.14"/>
            <filter val="-1,848.29"/>
            <filter val="-1,869,999.72"/>
            <filter val="-1,886,714.96"/>
            <filter val="-1,917,835.44"/>
            <filter val="-1,943.96"/>
            <filter val="-1,956.98"/>
            <filter val="-1,961.01"/>
            <filter val="-1.02"/>
            <filter val="-1.13"/>
            <filter val="-1.31"/>
            <filter val="-1.45"/>
            <filter val="-1.71"/>
            <filter val="-10,069.91"/>
            <filter val="-10,112.39"/>
            <filter val="-10,367.03"/>
            <filter val="-10,487.28"/>
            <filter val="-10,603.35"/>
            <filter val="-10,799.99"/>
            <filter val="-10,800.00"/>
            <filter val="-10,874.74"/>
            <filter val="-10.19"/>
            <filter val="-10.75"/>
            <filter val="-102.02"/>
            <filter val="-102.74"/>
            <filter val="-103,965.44"/>
            <filter val="-104,830.74"/>
            <filter val="-105.41"/>
            <filter val="-106,690.43"/>
            <filter val="-107,554.51"/>
            <filter val="-108.00"/>
            <filter val="-109,217.62"/>
            <filter val="-109.07"/>
            <filter val="-11,002.51"/>
            <filter val="-11,009.98"/>
            <filter val="-11,011.73"/>
            <filter val="-11,185.00"/>
            <filter val="-11,317.48"/>
            <filter val="-11,464,022.25"/>
            <filter val="-11,506.20"/>
            <filter val="-11,537.65"/>
            <filter val="-11,644.43"/>
            <filter val="-11,769.19"/>
            <filter val="-11.01"/>
            <filter val="-11.09"/>
            <filter val="-11.24"/>
            <filter val="-11.43"/>
            <filter val="-11.61"/>
            <filter val="-11.86"/>
            <filter val="-111,884.91"/>
            <filter val="-113,560.70"/>
            <filter val="-114.32"/>
            <filter val="-115,398.14"/>
            <filter val="-115,942.64"/>
            <filter val="-115.64"/>
            <filter val="-116,494.77"/>
            <filter val="-118,912.55"/>
            <filter val="-118.21"/>
            <filter val="-119,581.75"/>
            <filter val="-12,228.27"/>
            <filter val="-12.22"/>
            <filter val="-12.45"/>
            <filter val="-120,676.99"/>
            <filter val="-120,894.69"/>
            <filter val="-120.40"/>
            <filter val="-121,664.07"/>
            <filter val="-121,987.04"/>
            <filter val="-122,887.26"/>
            <filter val="-122.13"/>
            <filter val="-124,033.18"/>
            <filter val="-126,854.43"/>
            <filter val="-126.00"/>
            <filter val="-127,200.01"/>
            <filter val="-129.14"/>
            <filter val="-13,616.24"/>
            <filter val="-13,993.89"/>
            <filter val="-13.66"/>
            <filter val="-13.84"/>
            <filter val="-130,082.63"/>
            <filter val="-130,921.93"/>
            <filter val="-132,975.58"/>
            <filter val="-133,099.00"/>
            <filter val="-133,225.80"/>
            <filter val="-134,568.69"/>
            <filter val="-135,177.36"/>
            <filter val="-135,938.60"/>
            <filter val="-136,257.31"/>
            <filter val="-137.16"/>
            <filter val="-137.78"/>
            <filter val="-137.98"/>
            <filter val="-138,953.54"/>
            <filter val="-139,173.10"/>
            <filter val="-14,266,345.15"/>
            <filter val="-14,288.64"/>
            <filter val="-14,779.72"/>
            <filter val="-14.11"/>
            <filter val="-14.98"/>
            <filter val="-140,522.79"/>
            <filter val="-140,759.47"/>
            <filter val="-140.04"/>
            <filter val="-140.12"/>
            <filter val="-140.25"/>
            <filter val="-141,353.50"/>
            <filter val="-142,202.46"/>
            <filter val="-144.38"/>
            <filter val="-145,504.33"/>
            <filter val="-145,939.48"/>
            <filter val="-147.01"/>
            <filter val="-149,703.90"/>
            <filter val="-149.24"/>
            <filter val="-149.49"/>
            <filter val="-15,395.13"/>
            <filter val="-15,662,184.87"/>
            <filter val="-15.15"/>
            <filter val="-150,169.00"/>
            <filter val="-150,529.22"/>
            <filter val="-151,533.98"/>
            <filter val="-152,497.14"/>
            <filter val="-158,229.90"/>
            <filter val="-16,090.50"/>
            <filter val="-16,449.02"/>
            <filter val="-16,655.55"/>
            <filter val="-16.66"/>
            <filter val="-16.90"/>
            <filter val="-160.00"/>
            <filter val="-162,250.12"/>
            <filter val="-162,844.93"/>
            <filter val="-162.35"/>
            <filter val="-163,090.81"/>
            <filter val="-165,322.02"/>
            <filter val="-168,677.49"/>
            <filter val="-17,067,617.99"/>
            <filter val="-17,284.10"/>
            <filter val="-17,789.75"/>
            <filter val="-17,889,252.98"/>
            <filter val="-17.14"/>
            <filter val="-17.47"/>
            <filter val="-171,066.53"/>
            <filter val="-172,588.16"/>
            <filter val="-174,838.32"/>
            <filter val="-176,455.28"/>
            <filter val="-179,168.73"/>
            <filter val="-18,031.63"/>
            <filter val="-18,535.52"/>
            <filter val="-18.19"/>
            <filter val="-180.71"/>
            <filter val="-181,074.53"/>
            <filter val="-181,977.97"/>
            <filter val="-183.37"/>
            <filter val="-185,397.46"/>
            <filter val="-186,999.01"/>
            <filter val="-188.91"/>
            <filter val="-19,027,689.00"/>
            <filter val="-19,440.00"/>
            <filter val="-19,690.44"/>
            <filter val="-19,693.25"/>
            <filter val="-19,721.56"/>
            <filter val="-19,894.88"/>
            <filter val="-19.77"/>
            <filter val="-190,425.72"/>
            <filter val="-190.34"/>
            <filter val="-193,586.20"/>
            <filter val="-2,012.46"/>
            <filter val="-2,048.49"/>
            <filter val="-2,095.12"/>
            <filter val="-2,210.35"/>
            <filter val="-2,220.81"/>
            <filter val="-2,243,999.75"/>
            <filter val="-2,267.93"/>
            <filter val="-2,276,787.39"/>
            <filter val="-2,334,137.29"/>
            <filter val="-2,347.18"/>
            <filter val="-2,359,781.58"/>
            <filter val="-2,367.38"/>
            <filter val="-2,379.44"/>
            <filter val="-2,400.03"/>
            <filter val="-2,445.00"/>
            <filter val="-2,448.81"/>
            <filter val="-2,484,165.69"/>
            <filter val="-2,487.92"/>
            <filter val="-2,500.57"/>
            <filter val="-2,506,020.61"/>
            <filter val="-2,511.40"/>
            <filter val="-2,520.94"/>
            <filter val="-2,524.05"/>
            <filter val="-2,618,630.66"/>
            <filter val="-2,676.14"/>
            <filter val="-2,688.10"/>
            <filter val="-2,693.12"/>
            <filter val="-2,724,078.49"/>
            <filter val="-2,731.57"/>
            <filter val="-2,740.97"/>
            <filter val="-2,773.49"/>
            <filter val="-2,776.17"/>
            <filter val="-2,788,298.09"/>
            <filter val="-2,845.14"/>
            <filter val="-2,893.49"/>
            <filter val="-2,898.27"/>
            <filter val="-2,979.71"/>
            <filter val="-2.04"/>
            <filter val="-2.17"/>
            <filter val="-2.21"/>
            <filter val="-2.30"/>
            <filter val="-2.44"/>
            <filter val="-2.51"/>
            <filter val="-2.54"/>
            <filter val="-2.58"/>
            <filter val="-2.68"/>
            <filter val="-20,443.68"/>
            <filter val="-20,520.00"/>
            <filter val="-20.25"/>
            <filter val="-20.38"/>
            <filter val="-20.52"/>
            <filter val="-20.54"/>
            <filter val="-20.64"/>
            <filter val="-20.84"/>
            <filter val="-200,332.06"/>
            <filter val="-203,287.00"/>
            <filter val="-203,378.30"/>
            <filter val="-204,615.43"/>
            <filter val="-21,245.57"/>
            <filter val="-21,731.75"/>
            <filter val="-21,764.86"/>
            <filter val="-21.16"/>
            <filter val="-21.70"/>
            <filter val="-21.95"/>
            <filter val="-211,323.61"/>
            <filter val="-213,067.08"/>
            <filter val="-215,379.90"/>
            <filter val="-216,339.13"/>
            <filter val="-22,421.87"/>
            <filter val="-22,576.54"/>
            <filter val="-22,940.33"/>
            <filter val="-22.18"/>
            <filter val="-222,711.19"/>
            <filter val="-224,096.23"/>
            <filter val="-224.38"/>
            <filter val="-23,762.95"/>
            <filter val="-23,961.00"/>
            <filter val="-23.45"/>
            <filter val="-235,699.76"/>
            <filter val="-236,653.87"/>
            <filter val="-236.92"/>
            <filter val="-239,486.39"/>
            <filter val="-24,120.82"/>
            <filter val="-24,674.39"/>
            <filter val="-24,737.32"/>
            <filter val="-24.11"/>
            <filter val="-24.36"/>
            <filter val="-24.45"/>
            <filter val="-24.46"/>
            <filter val="-240,000.00"/>
            <filter val="-240.64"/>
            <filter val="-241.69"/>
            <filter val="-242,174.96"/>
            <filter val="-242,583.70"/>
            <filter val="-244.50"/>
            <filter val="-25,848.77"/>
            <filter val="-25.57"/>
            <filter val="-25.68"/>
            <filter val="-25.91"/>
            <filter val="-250.45"/>
            <filter val="-256.37"/>
            <filter val="-259,388.27"/>
            <filter val="-259.40"/>
            <filter val="-26,049.60"/>
            <filter val="-26,679.30"/>
            <filter val="-26.50"/>
            <filter val="-262,779.40"/>
            <filter val="-262.51"/>
            <filter val="-268,004.30"/>
            <filter val="-27,598.46"/>
            <filter val="-27,940.45"/>
            <filter val="-273,050.96"/>
            <filter val="-276,528.73"/>
            <filter val="-277,000.16"/>
            <filter val="-28,609.27"/>
            <filter val="-28,796.50"/>
            <filter val="-280.82"/>
            <filter val="-289,231.39"/>
            <filter val="-29.78"/>
            <filter val="-293,920.50"/>
            <filter val="-293.47"/>
            <filter val="-296,191.40"/>
            <filter val="-298,768.18"/>
            <filter val="-299,063.06"/>
            <filter val="-3,007.21"/>
            <filter val="-3,037.04"/>
            <filter val="-3,114.73"/>
            <filter val="-3,130.19"/>
            <filter val="-3,334.09"/>
            <filter val="-3,375.91"/>
            <filter val="-3,506.47"/>
            <filter val="-3,537,159.58"/>
            <filter val="-3,613.64"/>
            <filter val="-3,627,020.97"/>
            <filter val="-3,682.61"/>
            <filter val="-3,791.95"/>
            <filter val="-3,875.28"/>
            <filter val="-3,896,104.81"/>
            <filter val="-3,920.09"/>
            <filter val="-3,938.16"/>
            <filter val="-3,997.33"/>
            <filter val="-3.41"/>
            <filter val="-3.94"/>
            <filter val="-3.97"/>
            <filter val="-30,444,304.00"/>
            <filter val="-30,749.65"/>
            <filter val="-30.34"/>
            <filter val="-304.27"/>
            <filter val="-305.99"/>
            <filter val="-308,457.00"/>
            <filter val="-308.05"/>
            <filter val="-31,263.20"/>
            <filter val="-31,678.86"/>
            <filter val="-31.18"/>
            <filter val="-31.53"/>
            <filter val="-31.54"/>
            <filter val="-315,261.39"/>
            <filter val="-32,549.15"/>
            <filter val="-32,598.72"/>
            <filter val="-32.44"/>
            <filter val="-32.67"/>
            <filter val="-326.64"/>
            <filter val="-328.02"/>
            <filter val="-33,034.62"/>
            <filter val="-33,457.20"/>
            <filter val="-33.44"/>
            <filter val="-34,296.22"/>
            <filter val="-34,962.77"/>
            <filter val="-34.52"/>
            <filter val="-34.64"/>
            <filter val="-340,092.53"/>
            <filter val="-342,035.52"/>
            <filter val="-349.88"/>
            <filter val="-35.07"/>
            <filter val="-35.21"/>
            <filter val="-35.59"/>
            <filter val="-35.68"/>
            <filter val="-35.96"/>
            <filter val="-351,202.48"/>
            <filter val="-352,031.57"/>
            <filter val="-354,410.02"/>
            <filter val="-356,705.31"/>
            <filter val="-36,000.00"/>
            <filter val="-36,223.14"/>
            <filter val="-36,428.37"/>
            <filter val="-36.77"/>
            <filter val="-362.63"/>
            <filter val="-363.12"/>
            <filter val="-364,352.18"/>
            <filter val="-37,216.12"/>
            <filter val="-37,815,109.36"/>
            <filter val="-37.94"/>
            <filter val="-373,461.75"/>
            <filter val="-38,008.85"/>
            <filter val="-38,069.29"/>
            <filter val="-38,527.43"/>
            <filter val="-39,229.24"/>
            <filter val="-39,536.12"/>
            <filter val="-39.70"/>
            <filter val="-397,460.86"/>
            <filter val="-397,802.65"/>
            <filter val="-4,041.40"/>
            <filter val="-4,046.38"/>
            <filter val="-4,054.13"/>
            <filter val="-4,061.11"/>
            <filter val="-4,133.74"/>
            <filter val="-4,134.82"/>
            <filter val="-4,135.97"/>
            <filter val="-4,164,639.20"/>
            <filter val="-4,217,929.63"/>
            <filter val="-4,259.34"/>
            <filter val="-4,268,203.67"/>
            <filter val="-4,301.85"/>
            <filter val="-4,431.56"/>
            <filter val="-4,435.48"/>
            <filter val="-4,441.35"/>
            <filter val="-4,630.15"/>
            <filter val="-4,648.19"/>
            <filter val="-4,719.47"/>
            <filter val="-4,860.38"/>
            <filter val="-4,931.81"/>
            <filter val="-4.15"/>
            <filter val="-4.77"/>
            <filter val="-4.90"/>
            <filter val="-40,441.24"/>
            <filter val="-40,962.86"/>
            <filter val="-40.42"/>
            <filter val="-40.75"/>
            <filter val="-402,802.85"/>
            <filter val="-403.81"/>
            <filter val="-409,922.53"/>
            <filter val="-41,194.93"/>
            <filter val="-41,249.53"/>
            <filter val="-41.04"/>
            <filter val="-41.10"/>
            <filter val="-41.28"/>
            <filter val="-41.85"/>
            <filter val="-419.99"/>
            <filter val="-42,971.07"/>
            <filter val="-42.51"/>
            <filter val="-421,386.01"/>
            <filter val="-427.87"/>
            <filter val="-43.29"/>
            <filter val="-435,323.52"/>
            <filter val="-44,614.16"/>
            <filter val="-44,911.34"/>
            <filter val="-442.54"/>
            <filter val="-446,157.38"/>
            <filter val="-446,511.71"/>
            <filter val="-45,632.60"/>
            <filter val="-45,688.66"/>
            <filter val="-45.14"/>
            <filter val="-45.43"/>
            <filter val="-45.56"/>
            <filter val="-45.82"/>
            <filter val="-450.34"/>
            <filter val="-46,709.63"/>
            <filter val="-46,858.53"/>
            <filter val="-47,677.69"/>
            <filter val="-470,282.91"/>
            <filter val="-471.17"/>
            <filter val="-472.57"/>
            <filter val="-478.17"/>
            <filter val="-48,600.09"/>
            <filter val="-486.94"/>
            <filter val="-488,778.76"/>
            <filter val="-49,931.50"/>
            <filter val="-49.82"/>
            <filter val="-494,751.79"/>
            <filter val="-5,050.38"/>
            <filter val="-5,082.84"/>
            <filter val="-5,245.70"/>
            <filter val="-5,381.09"/>
            <filter val="-5,570.07"/>
            <filter val="-5,574.28"/>
            <filter val="-5,628,452.60"/>
            <filter val="-5,635,662.04"/>
            <filter val="-5,686.41"/>
            <filter val="-5,847.71"/>
            <filter val="-5,877.40"/>
            <filter val="-5,941.74"/>
            <filter val="-5.64"/>
            <filter val="-50,282.72"/>
            <filter val="-50,443.04"/>
            <filter val="-50,458.02"/>
            <filter val="-504.80"/>
            <filter val="-51,587.45"/>
            <filter val="-51.30"/>
            <filter val="-51.50"/>
            <filter val="-511,864.31"/>
            <filter val="-517.26"/>
            <filter val="-52,004.31"/>
            <filter val="-52,512.46"/>
            <filter val="-52.72"/>
            <filter val="-52.97"/>
            <filter val="-53,277.94"/>
            <filter val="-538.18"/>
            <filter val="-54,016.68"/>
            <filter val="-55.57"/>
            <filter val="-556,569.27"/>
            <filter val="-558.93"/>
            <filter val="-56,966.67"/>
            <filter val="-56.43"/>
            <filter val="-56.64"/>
            <filter val="-56.73"/>
            <filter val="-561,725.04"/>
            <filter val="-565.95"/>
            <filter val="-57,582.06"/>
            <filter val="-57,914.97"/>
            <filter val="-57,947.45"/>
            <filter val="-575,060.59"/>
            <filter val="-578,783.63"/>
            <filter val="-579,434.66"/>
            <filter val="-58.58"/>
            <filter val="-582.83"/>
            <filter val="-59,833.90"/>
            <filter val="-590.83"/>
            <filter val="-6,162.80"/>
            <filter val="-6,219.40"/>
            <filter val="-6,444,131.72"/>
            <filter val="-6,479.98"/>
            <filter val="-6,482.90"/>
            <filter val="-6,624.05"/>
            <filter val="-6,846.00"/>
            <filter val="-6,943.99"/>
            <filter val="-6,955.00"/>
            <filter val="-6.06"/>
            <filter val="-6.34"/>
            <filter val="-6.69"/>
            <filter val="-60,000.00"/>
            <filter val="-60,218.72"/>
            <filter val="-60.82"/>
            <filter val="-61,547.96"/>
            <filter val="-61,886.07"/>
            <filter val="-61.12"/>
            <filter val="-613.15"/>
            <filter val="-62,580.34"/>
            <filter val="-62.86"/>
            <filter val="-63,231.73"/>
            <filter val="-63,446.40"/>
            <filter val="-64.15"/>
            <filter val="-64.89"/>
            <filter val="-645.86"/>
            <filter val="-65,740.85"/>
            <filter val="-65,766.14"/>
            <filter val="-655,004.76"/>
            <filter val="-66,148.11"/>
            <filter val="-665.65"/>
            <filter val="-67,200.29"/>
            <filter val="-671.84"/>
            <filter val="-68,013.87"/>
            <filter val="-68,673.29"/>
            <filter val="-682,327.76"/>
            <filter val="-69.61"/>
            <filter val="-691.20"/>
            <filter val="-692,481.50"/>
            <filter val="-7,162.78"/>
            <filter val="-7,196.08"/>
            <filter val="-7,200.00"/>
            <filter val="-7,200.01"/>
            <filter val="-7,363.30"/>
            <filter val="-7,424.97"/>
            <filter val="-7,569,995.84"/>
            <filter val="-7,591,409.57"/>
            <filter val="-7,611.16"/>
            <filter val="-7.03"/>
            <filter val="-7.05"/>
            <filter val="-7.10"/>
            <filter val="-7.18"/>
            <filter val="-7.25"/>
            <filter val="-7.49"/>
            <filter val="-7.65"/>
            <filter val="-71,999.95"/>
            <filter val="-715.16"/>
            <filter val="-72,573.25"/>
            <filter val="-72.01"/>
            <filter val="-72.79"/>
            <filter val="-73.55"/>
            <filter val="-73.73"/>
            <filter val="-73.81"/>
            <filter val="-737,064.69"/>
            <filter val="-74,496.32"/>
            <filter val="-74,711.77"/>
            <filter val="-74.99"/>
            <filter val="-76.86"/>
            <filter val="-77.34"/>
            <filter val="-77.79"/>
            <filter val="-78,005.84"/>
            <filter val="-78.75"/>
            <filter val="-794,750.00"/>
            <filter val="-8,060.76"/>
            <filter val="-8,122.95"/>
            <filter val="-8,271.89"/>
            <filter val="-8,321.62"/>
            <filter val="-8,344.92"/>
            <filter val="-8,557.50"/>
            <filter val="-8,577.63"/>
            <filter val="-8,974.55"/>
            <filter val="-8.09"/>
            <filter val="-8.16"/>
            <filter val="-8.19"/>
            <filter val="-8.44"/>
            <filter val="-8.64"/>
            <filter val="-81,080.29"/>
            <filter val="-81,293.30"/>
            <filter val="-81.46"/>
            <filter val="-81.73"/>
            <filter val="-82,256.90"/>
            <filter val="-82,800.00"/>
            <filter val="-82,805.79"/>
            <filter val="-825.73"/>
            <filter val="-838.59"/>
            <filter val="-84.76"/>
            <filter val="-844.20"/>
            <filter val="-85.95"/>
            <filter val="-850,579.68"/>
            <filter val="-857.30"/>
            <filter val="-862.30"/>
            <filter val="-867.00"/>
            <filter val="-87,572.51"/>
            <filter val="-871.85"/>
            <filter val="-88.05"/>
            <filter val="-880.74"/>
            <filter val="-888.22"/>
            <filter val="-889,419.71"/>
            <filter val="-9,004.43"/>
            <filter val="-9,227.23"/>
            <filter val="-9,882.45"/>
            <filter val="-9,977.66"/>
            <filter val="-9.05"/>
            <filter val="-9.27"/>
            <filter val="-9.54"/>
            <filter val="-903,829.04"/>
            <filter val="-908,409.66"/>
            <filter val="-914.77"/>
            <filter val="-93,500.00"/>
            <filter val="-94.34"/>
            <filter val="-940.35"/>
            <filter val="-957.88"/>
            <filter val="-96,110.21"/>
            <filter val="-96.17"/>
            <filter val="-969.58"/>
            <filter val="-97.40"/>
            <filter val="-97.46"/>
            <filter val="-970.09"/>
            <filter val="-970.73"/>
            <filter val="-976,801.09"/>
            <filter val="-98,634.95"/>
            <filter val="-980,774.98"/>
            <filter val="-984.66"/>
            <filter val="-99.48"/>
            <filter val="-99.90"/>
            <filter val="-995.06"/>
            <filter val="-998.01"/>
            <filter val="Spend_dif_bil_stat"/>
          </filters>
        </filterColumn>
      </autoFilter>
    </customSheetView>
    <customSheetView guid="{92E7BB36-BAB3-4DA6-9CE3-E9D853A74E13}" filter="1" showAutoFilter="1">
      <pageMargins left="0.7" right="0.7" top="0.75" bottom="0.75" header="0.3" footer="0.3"/>
      <autoFilter ref="A5:BF2716" xr:uid="{3410084D-F3C4-456C-9580-F9EA93F4C401}"/>
    </customSheetView>
    <customSheetView guid="{D78A5C6D-7108-470D-BDD5-DCD8A11D0334}" filter="1" showAutoFilter="1">
      <pageMargins left="0.7" right="0.7" top="0.75" bottom="0.75" header="0.3" footer="0.3"/>
      <autoFilter ref="A5:BH2575" xr:uid="{64F84AB1-466A-4AB6-AC29-3A1BE7BFCB25}">
        <filterColumn colId="1">
          <filters blank="1">
            <filter val="CONNECT ADS"/>
          </filters>
        </filterColumn>
        <filterColumn colId="27">
          <filters blank="1">
            <filter val="Aleph Argentina"/>
            <filter val="Aleph Bulgaria"/>
            <filter val="Aleph Chile"/>
            <filter val="Aleph Colombia"/>
            <filter val="Aleph Croatia"/>
            <filter val="Aleph Cyprus"/>
            <filter val="Aleph Czech Republic"/>
            <filter val="Aleph Ecuador"/>
            <filter val="Aleph Guatemala"/>
            <filter val="Aleph Hungary"/>
            <filter val="Aleph India"/>
            <filter val="Aleph Indonesia"/>
            <filter val="Aleph Kenya"/>
            <filter val="Aleph Latvia"/>
            <filter val="Aleph Lithuania"/>
            <filter val="Aleph Macedonia"/>
            <filter val="Aleph Malaysia"/>
            <filter val="Aleph Mexico"/>
            <filter val="Aleph Nigeria"/>
            <filter val="Aleph Panama"/>
            <filter val="Aleph Peru"/>
            <filter val="Aleph Poland"/>
            <filter val="Aleph Rep Dominicana"/>
            <filter val="Aleph Romania"/>
            <filter val="Aleph Serbia"/>
            <filter val="Aleph Slovakia"/>
            <filter val="Aleph Slovenia"/>
            <filter val="Aleph South Africa"/>
            <filter val="Aleph Turkey"/>
            <filter val="Aleph Uruguay"/>
            <filter val="Entravision Costa Rica"/>
            <filter val="Entravision Philippines"/>
            <filter val="MediaDonuts Korea"/>
            <filter val="MediaDonuts Thailand"/>
            <filter val="MediaDonuts Vietnam"/>
            <filter val="Reporting_Entity_sf"/>
          </filters>
        </filterColumn>
      </autoFilter>
    </customSheetView>
    <customSheetView guid="{D4FC6617-CC16-4AC8-9E8F-822F9BC1FBFC}" filter="1" showAutoFilter="1">
      <pageMargins left="0.7" right="0.7" top="0.75" bottom="0.75" header="0.3" footer="0.3"/>
      <autoFilter ref="A5:BF2716" xr:uid="{15A6F165-578D-4A8E-B48E-43209679B07F}">
        <filterColumn colId="1">
          <filters blank="1">
            <filter val="ENTRAVISION"/>
            <filter val="HTTPOOL"/>
          </filters>
        </filterColumn>
        <filterColumn colId="5">
          <filters blank="1">
            <filter val="Ad Dynamo International (Pty) Limited"/>
            <filter val="Business_Manager_Name_bil"/>
            <filter val="Connect Ads DMCC"/>
            <filter val="Connect Ads for Advertising &amp; Programming SAE"/>
            <filter val="Connect Ads KSA LLC"/>
            <filter val="Httpool Digital Malaysia Sdn Bhd"/>
            <filter val="Httpool Internet Marketing d.o.o"/>
            <filter val="IMM INTERNET MEDIA MEXICO S DE RL DE CV"/>
            <filter val="LINKdotNET Qatar LLC"/>
            <filter val="MEDIADONUTS PTE. LTD."/>
            <filter val="PT. HTTPOOL DIGITAL INDONESIA"/>
          </filters>
        </filterColumn>
      </autoFilter>
    </customSheetView>
    <customSheetView guid="{0684B7DA-264F-4F13-A4A0-A4D66725E344}" filter="1" showAutoFilter="1">
      <pageMargins left="0.7" right="0.7" top="0.75" bottom="0.75" header="0.3" footer="0.3"/>
      <autoFilter ref="A5:BF2716" xr:uid="{872B33FA-F452-4C2D-86FD-60E0763182C8}"/>
    </customSheetView>
    <customSheetView guid="{98B04CD7-6050-4645-933A-6C0A37F0B33E}" filter="1" showAutoFilter="1">
      <pageMargins left="0.7" right="0.7" top="0.75" bottom="0.75" header="0.3" footer="0.3"/>
      <autoFilter ref="A5:BH2716" xr:uid="{2AD93431-B53B-44DA-B469-1C185EA7E68C}">
        <filterColumn colId="22">
          <filters blank="1">
            <filter val="0.00"/>
            <filter val="154,116.53"/>
            <filter val="2,106.00"/>
            <filter val="3,313.30"/>
            <filter val="557.08"/>
            <filter val="7,181.14"/>
            <filter val="99,525.07"/>
            <filter val="Revenue_deductions_bil"/>
          </filters>
        </filterColumn>
      </autoFilter>
    </customSheetView>
    <customSheetView guid="{A6FBCCDF-1BF5-4524-9131-B2AAE9800809}" filter="1" showAutoFilter="1">
      <pageMargins left="0.7" right="0.7" top="0.75" bottom="0.75" header="0.3" footer="0.3"/>
      <autoFilter ref="A5:BF3051" xr:uid="{93775C37-F44D-4410-B3CD-2D50B3D34325}">
        <filterColumn colId="21">
          <filters>
            <filter val="11.00"/>
            <filter val="12.50"/>
            <filter val="13.75"/>
            <filter val="15.00"/>
            <filter val="18.09"/>
            <filter val="18.50"/>
            <filter val="20.00"/>
            <filter val="20.31"/>
            <filter val="20.50"/>
            <filter val="21.38"/>
            <filter val="21.80"/>
            <filter val="22.00"/>
            <filter val="23.50"/>
            <filter val="24.32"/>
            <filter val="25.63"/>
            <filter val="27.75"/>
            <filter val="34.00"/>
            <filter val="39.55"/>
            <filter val="5.00"/>
            <filter val="8.00"/>
          </filters>
        </filterColumn>
      </autoFilter>
    </customSheetView>
    <customSheetView guid="{16235030-164F-40BD-99D5-7573AF44E29C}" filter="1" showAutoFilter="1">
      <pageMargins left="0.7" right="0.7" top="0.75" bottom="0.75" header="0.3" footer="0.3"/>
      <autoFilter ref="A5:BH2716" xr:uid="{6AC25CEB-845B-4D19-BC61-4C3EA21994BC}"/>
    </customSheetView>
  </customSheetViews>
  <mergeCells count="5">
    <mergeCell ref="AA4:AT4"/>
    <mergeCell ref="AW4:AX4"/>
    <mergeCell ref="BA4:BC4"/>
    <mergeCell ref="BD4:BE4"/>
    <mergeCell ref="BF4:BG4"/>
  </mergeCells>
  <conditionalFormatting sqref="A6:BG89">
    <cfRule type="cellIs" dxfId="16" priority="4" operator="equal">
      <formula>"Miss"</formula>
    </cfRule>
    <cfRule type="cellIs" dxfId="15" priority="5" operator="equal">
      <formula>"Incorrect"</formula>
    </cfRule>
  </conditionalFormatting>
  <conditionalFormatting sqref="G1:G89">
    <cfRule type="expression" dxfId="14" priority="6">
      <formula>COUNTIF(G:G,G1)&gt;1</formula>
    </cfRule>
  </conditionalFormatting>
  <conditionalFormatting sqref="AR3:AV3 AX3:AZ3 BC3 BE3 BF1">
    <cfRule type="cellIs" dxfId="13" priority="3" operator="equal">
      <formula>"Miss"</formula>
    </cfRule>
  </conditionalFormatting>
  <conditionalFormatting sqref="AR3:AV3 AX3:AZ3 BC3 BE3">
    <cfRule type="containsText" dxfId="12" priority="1" operator="containsText" text="Miss">
      <formula>NOT(ISERROR(SEARCH(("Miss"),(AR3))))</formula>
    </cfRule>
    <cfRule type="containsText" dxfId="11" priority="2" operator="containsText" text="Incorrect">
      <formula>NOT(ISERROR(SEARCH(("Incorrect"),(AR3))))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76A5AF"/>
    <outlinePr summaryBelow="0" summaryRight="0"/>
  </sheetPr>
  <dimension ref="A1:AP75"/>
  <sheetViews>
    <sheetView workbookViewId="0">
      <pane xSplit="7" ySplit="7" topLeftCell="H67" activePane="bottomRight" state="frozen"/>
      <selection pane="topRight" activeCell="H1" sqref="H1"/>
      <selection pane="bottomLeft" activeCell="A8" sqref="A8"/>
      <selection pane="bottomRight" activeCell="A75" sqref="A75"/>
    </sheetView>
  </sheetViews>
  <sheetFormatPr defaultColWidth="12.6328125" defaultRowHeight="15.75" customHeight="1" outlineLevelCol="1" x14ac:dyDescent="0.25"/>
  <cols>
    <col min="1" max="1" width="9.1796875" customWidth="1"/>
    <col min="2" max="2" width="15.81640625" customWidth="1"/>
    <col min="3" max="3" width="10.90625" customWidth="1"/>
    <col min="4" max="4" width="10" customWidth="1"/>
    <col min="5" max="5" width="11.08984375" customWidth="1"/>
    <col min="6" max="6" width="12.6328125" customWidth="1"/>
    <col min="7" max="7" width="10.81640625" customWidth="1"/>
    <col min="8" max="8" width="10.81640625" hidden="1" customWidth="1"/>
    <col min="9" max="9" width="16.90625" customWidth="1"/>
    <col min="10" max="10" width="20" customWidth="1"/>
    <col min="11" max="11" width="8.81640625" customWidth="1"/>
    <col min="12" max="12" width="14" customWidth="1"/>
    <col min="13" max="13" width="11.6328125" hidden="1" customWidth="1"/>
    <col min="14" max="14" width="14" customWidth="1"/>
    <col min="15" max="15" width="14.1796875" customWidth="1" collapsed="1"/>
    <col min="16" max="16" width="6.90625" hidden="1" customWidth="1" outlineLevel="1"/>
    <col min="17" max="17" width="13.90625" hidden="1" customWidth="1" outlineLevel="1"/>
    <col min="18" max="18" width="8.6328125" hidden="1" customWidth="1" outlineLevel="1"/>
    <col min="19" max="19" width="14.6328125" hidden="1" customWidth="1" outlineLevel="1"/>
    <col min="20" max="20" width="7.90625" hidden="1" customWidth="1" outlineLevel="1"/>
    <col min="21" max="21" width="20.36328125" hidden="1" customWidth="1" outlineLevel="1"/>
    <col min="22" max="22" width="12.6328125" hidden="1" customWidth="1" outlineLevel="1"/>
    <col min="23" max="23" width="12.08984375" hidden="1" customWidth="1" outlineLevel="1"/>
    <col min="24" max="25" width="11.36328125" hidden="1" customWidth="1" outlineLevel="1"/>
    <col min="26" max="26" width="11.453125" hidden="1" customWidth="1" outlineLevel="1"/>
    <col min="27" max="27" width="10" hidden="1" customWidth="1" outlineLevel="1"/>
    <col min="28" max="28" width="8.1796875" hidden="1" customWidth="1" outlineLevel="1"/>
    <col min="29" max="29" width="11.90625" hidden="1" customWidth="1" outlineLevel="1"/>
    <col min="30" max="30" width="19.90625" hidden="1" customWidth="1" outlineLevel="1"/>
    <col min="31" max="32" width="11.90625" hidden="1" customWidth="1" outlineLevel="1"/>
    <col min="33" max="33" width="14" hidden="1" customWidth="1" outlineLevel="1"/>
    <col min="34" max="34" width="11.90625" customWidth="1"/>
    <col min="35" max="36" width="11.6328125" customWidth="1" outlineLevel="1"/>
    <col min="37" max="37" width="12.6328125" customWidth="1"/>
    <col min="38" max="39" width="10.08984375" customWidth="1" outlineLevel="1"/>
    <col min="40" max="40" width="14.90625" customWidth="1"/>
    <col min="41" max="41" width="12.1796875" customWidth="1"/>
    <col min="42" max="42" width="15.1796875" customWidth="1" outlineLevel="1"/>
  </cols>
  <sheetData>
    <row r="1" spans="1:42" ht="13" x14ac:dyDescent="0.3">
      <c r="A1" s="11" t="s">
        <v>15</v>
      </c>
      <c r="B1" s="4"/>
      <c r="C1" s="4"/>
      <c r="D1" s="4"/>
      <c r="E1" s="4"/>
      <c r="F1" s="4"/>
      <c r="G1" s="18" t="s">
        <v>1500</v>
      </c>
      <c r="H1" s="18"/>
      <c r="I1" s="19"/>
      <c r="J1" s="19"/>
      <c r="K1" s="2"/>
      <c r="L1" s="2"/>
      <c r="M1" s="2"/>
      <c r="N1" s="1"/>
      <c r="O1" s="164"/>
      <c r="P1" s="18" t="s">
        <v>1563</v>
      </c>
      <c r="Q1" s="18" t="s">
        <v>1564</v>
      </c>
      <c r="R1" s="1" t="s">
        <v>561</v>
      </c>
      <c r="T1" s="1"/>
      <c r="U1" s="2"/>
      <c r="V1" s="18" t="s">
        <v>561</v>
      </c>
      <c r="W1" s="1" t="s">
        <v>1565</v>
      </c>
      <c r="X1" s="2"/>
      <c r="Y1" s="2"/>
      <c r="Z1" s="2"/>
      <c r="AA1" s="1" t="s">
        <v>1566</v>
      </c>
      <c r="AD1" s="1"/>
      <c r="AE1" s="1"/>
      <c r="AF1" s="1" t="s">
        <v>1567</v>
      </c>
      <c r="AH1" s="6"/>
      <c r="AI1" s="6"/>
      <c r="AJ1" s="6"/>
      <c r="AK1" s="6"/>
      <c r="AL1" s="6"/>
      <c r="AM1" s="6"/>
      <c r="AN1" s="6"/>
      <c r="AO1" s="1"/>
      <c r="AP1" s="17">
        <v>46087.745833333334</v>
      </c>
    </row>
    <row r="2" spans="1:42" ht="13" x14ac:dyDescent="0.3">
      <c r="A2" s="165"/>
      <c r="B2" s="23"/>
      <c r="C2" s="23"/>
      <c r="D2" s="23"/>
      <c r="E2" s="23"/>
      <c r="F2" s="23"/>
      <c r="G2" s="16">
        <f>COUNTA(G6:G361)</f>
        <v>70</v>
      </c>
      <c r="H2" s="16"/>
      <c r="I2" s="19" t="s">
        <v>1568</v>
      </c>
      <c r="J2" s="19"/>
      <c r="K2" s="18"/>
      <c r="L2" s="166">
        <f>SUBTOTAL(109,L6:L75)</f>
        <v>206829547.75999993</v>
      </c>
      <c r="M2" s="166"/>
      <c r="N2" s="187"/>
      <c r="O2" s="188">
        <f>COUNTIFS(O6:O8362,"=Verbal",O6:O8362,"&lt;&gt;-",O6:O8362,"&lt;&gt;")</f>
        <v>0</v>
      </c>
      <c r="P2" s="188">
        <f>COUNTIFS(O6:O8362,"=Approval",O6:O8362,"&lt;&gt;-",O6:O8362,"&lt;&gt;")</f>
        <v>0</v>
      </c>
      <c r="Q2" s="188">
        <f>COUNTIFS(O6:O8362,"=Closed Won",O6:O8362,"&lt;&gt;-",O6:O8362,"&lt;&gt;")</f>
        <v>0</v>
      </c>
      <c r="R2" s="188">
        <f>COUNTIFS(R6:R461,"&lt;&gt;Active",R6:R461,"&lt;&gt;-",R6:R461,"&lt;&gt;")</f>
        <v>3</v>
      </c>
      <c r="S2" s="188">
        <f>COUNTIF(S6:S461,"=Miss")</f>
        <v>0</v>
      </c>
      <c r="T2" s="18"/>
      <c r="U2" s="188">
        <f>COUNTIF(U6:U461,"=Miss")</f>
        <v>0</v>
      </c>
      <c r="V2" s="188">
        <f>COUNTIF(W6:W461,"=Active")</f>
        <v>0</v>
      </c>
      <c r="W2" s="188" t="e">
        <f>COUNTIF(#REF!,"=Under review")</f>
        <v>#REF!</v>
      </c>
      <c r="X2" s="188">
        <f>COUNTIF(X6:X461,"&gt;1")</f>
        <v>2</v>
      </c>
      <c r="Y2" s="188"/>
      <c r="Z2" s="19" t="s">
        <v>1568</v>
      </c>
      <c r="AA2" s="188">
        <f>COUNTIF(AA6:AA461,"=0")</f>
        <v>0</v>
      </c>
      <c r="AB2" s="18"/>
      <c r="AD2" s="7"/>
      <c r="AE2" s="27">
        <f>SUM(AE7:AE75)</f>
        <v>22928.240000001504</v>
      </c>
      <c r="AF2" s="3"/>
      <c r="AG2" s="3"/>
      <c r="AH2" s="27">
        <f>SUM(AH7:AH75)</f>
        <v>22928.140000000945</v>
      </c>
      <c r="AI2" s="7"/>
      <c r="AJ2" s="40"/>
      <c r="AK2" s="40"/>
      <c r="AL2" s="27">
        <f>SUM(AL7:AL75)</f>
        <v>0</v>
      </c>
      <c r="AM2" s="3"/>
      <c r="AN2" s="27">
        <f>SUM(AN7:AN75)</f>
        <v>73121909.610000014</v>
      </c>
      <c r="AO2" s="18"/>
      <c r="AP2" s="18"/>
    </row>
    <row r="3" spans="1:42" ht="25.5" x14ac:dyDescent="0.3">
      <c r="A3" s="120"/>
      <c r="B3" s="2"/>
      <c r="C3" s="2"/>
      <c r="D3" s="2"/>
      <c r="E3" s="2"/>
      <c r="F3" s="4"/>
      <c r="G3" s="2"/>
      <c r="H3" s="2"/>
      <c r="K3" s="2"/>
      <c r="L3" s="2"/>
      <c r="M3" s="2"/>
      <c r="N3" s="1"/>
      <c r="O3" s="189" t="s">
        <v>1569</v>
      </c>
      <c r="P3" s="2"/>
      <c r="Q3" s="1"/>
      <c r="R3" s="2"/>
      <c r="S3" s="189" t="s">
        <v>1570</v>
      </c>
      <c r="T3" s="2"/>
      <c r="U3" s="189" t="s">
        <v>1571</v>
      </c>
      <c r="V3" s="2"/>
      <c r="W3" s="189" t="s">
        <v>1572</v>
      </c>
      <c r="X3" s="189" t="s">
        <v>1573</v>
      </c>
      <c r="Y3" s="189"/>
      <c r="AA3" s="189" t="s">
        <v>1574</v>
      </c>
      <c r="AB3" s="1"/>
      <c r="AC3" s="22" t="s">
        <v>1575</v>
      </c>
      <c r="AD3" s="3"/>
      <c r="AE3" s="67" t="s">
        <v>1576</v>
      </c>
      <c r="AF3" s="190" t="s">
        <v>1577</v>
      </c>
      <c r="AG3" s="3"/>
      <c r="AH3" s="67" t="s">
        <v>1578</v>
      </c>
      <c r="AI3" s="3"/>
      <c r="AJ3" s="40"/>
      <c r="AK3" s="40"/>
      <c r="AL3" s="67" t="s">
        <v>1579</v>
      </c>
      <c r="AM3" s="3"/>
      <c r="AN3" s="67" t="s">
        <v>1580</v>
      </c>
      <c r="AO3" s="1"/>
      <c r="AP3" s="1"/>
    </row>
    <row r="4" spans="1:42" ht="13" x14ac:dyDescent="0.3">
      <c r="B4" s="191"/>
      <c r="C4" s="191"/>
      <c r="D4" s="191"/>
      <c r="E4" s="191"/>
      <c r="F4" s="191" t="s">
        <v>3</v>
      </c>
      <c r="G4" s="191"/>
      <c r="H4" s="191"/>
      <c r="I4" s="191"/>
      <c r="J4" s="191"/>
      <c r="K4" s="191"/>
      <c r="L4" s="191"/>
      <c r="M4" s="181"/>
      <c r="N4" s="192"/>
      <c r="O4" s="315" t="s">
        <v>1581</v>
      </c>
      <c r="P4" s="304"/>
      <c r="Q4" s="304"/>
      <c r="R4" s="304"/>
      <c r="S4" s="304"/>
      <c r="T4" s="304"/>
      <c r="U4" s="304"/>
      <c r="V4" s="304"/>
      <c r="W4" s="304"/>
      <c r="X4" s="304"/>
      <c r="Y4" s="304"/>
      <c r="Z4" s="304"/>
      <c r="AA4" s="304"/>
      <c r="AB4" s="304"/>
      <c r="AC4" s="316" t="s">
        <v>7</v>
      </c>
      <c r="AD4" s="304"/>
      <c r="AE4" s="304"/>
      <c r="AF4" s="304"/>
      <c r="AG4" s="317" t="s">
        <v>4</v>
      </c>
      <c r="AH4" s="304"/>
      <c r="AI4" s="193"/>
      <c r="AJ4" s="318" t="s">
        <v>5</v>
      </c>
      <c r="AK4" s="304"/>
      <c r="AL4" s="304"/>
      <c r="AM4" s="319" t="s">
        <v>6</v>
      </c>
      <c r="AN4" s="304"/>
      <c r="AO4" s="303" t="s">
        <v>8</v>
      </c>
      <c r="AP4" s="304"/>
    </row>
    <row r="5" spans="1:42" ht="60" customHeight="1" x14ac:dyDescent="0.25">
      <c r="A5" s="194" t="s">
        <v>1502</v>
      </c>
      <c r="B5" s="195" t="s">
        <v>30</v>
      </c>
      <c r="C5" s="195" t="s">
        <v>13</v>
      </c>
      <c r="D5" s="195" t="s">
        <v>29</v>
      </c>
      <c r="E5" s="195" t="s">
        <v>1582</v>
      </c>
      <c r="F5" s="195" t="s">
        <v>1583</v>
      </c>
      <c r="G5" s="195" t="s">
        <v>28</v>
      </c>
      <c r="H5" s="196" t="s">
        <v>669</v>
      </c>
      <c r="I5" s="195" t="s">
        <v>53</v>
      </c>
      <c r="J5" s="195" t="s">
        <v>586</v>
      </c>
      <c r="K5" s="195" t="s">
        <v>44</v>
      </c>
      <c r="L5" s="147" t="s">
        <v>673</v>
      </c>
      <c r="M5" s="147" t="s">
        <v>54</v>
      </c>
      <c r="N5" s="197" t="s">
        <v>56</v>
      </c>
      <c r="O5" s="198" t="s">
        <v>1584</v>
      </c>
      <c r="P5" s="198" t="s">
        <v>1585</v>
      </c>
      <c r="Q5" s="198" t="s">
        <v>1586</v>
      </c>
      <c r="R5" s="198" t="s">
        <v>1587</v>
      </c>
      <c r="S5" s="198" t="s">
        <v>1588</v>
      </c>
      <c r="T5" s="198" t="s">
        <v>1589</v>
      </c>
      <c r="U5" s="198" t="s">
        <v>1590</v>
      </c>
      <c r="V5" s="198" t="s">
        <v>1495</v>
      </c>
      <c r="W5" s="198" t="s">
        <v>1591</v>
      </c>
      <c r="X5" s="198" t="s">
        <v>52</v>
      </c>
      <c r="Y5" s="198" t="s">
        <v>586</v>
      </c>
      <c r="Z5" s="198" t="s">
        <v>37</v>
      </c>
      <c r="AA5" s="198" t="s">
        <v>1592</v>
      </c>
      <c r="AB5" s="198" t="s">
        <v>44</v>
      </c>
      <c r="AC5" s="199" t="s">
        <v>1593</v>
      </c>
      <c r="AD5" s="25" t="s">
        <v>43</v>
      </c>
      <c r="AE5" s="38" t="s">
        <v>1594</v>
      </c>
      <c r="AF5" s="199" t="s">
        <v>1595</v>
      </c>
      <c r="AG5" s="29" t="s">
        <v>14</v>
      </c>
      <c r="AH5" s="29" t="s">
        <v>1596</v>
      </c>
      <c r="AI5" s="29" t="s">
        <v>1525</v>
      </c>
      <c r="AJ5" s="200" t="s">
        <v>413</v>
      </c>
      <c r="AK5" s="35" t="s">
        <v>14</v>
      </c>
      <c r="AL5" s="35" t="s">
        <v>1597</v>
      </c>
      <c r="AM5" s="37" t="s">
        <v>14</v>
      </c>
      <c r="AN5" s="37" t="s">
        <v>1598</v>
      </c>
      <c r="AO5" s="39" t="s">
        <v>66</v>
      </c>
      <c r="AP5" s="39" t="s">
        <v>67</v>
      </c>
    </row>
    <row r="6" spans="1:42" ht="12.5" x14ac:dyDescent="0.25">
      <c r="A6" s="153" t="s">
        <v>74</v>
      </c>
      <c r="B6" s="153" t="s">
        <v>76</v>
      </c>
      <c r="C6" s="153" t="s">
        <v>1599</v>
      </c>
      <c r="D6" s="153" t="s">
        <v>1600</v>
      </c>
      <c r="E6" s="153" t="s">
        <v>1601</v>
      </c>
      <c r="F6" s="153" t="s">
        <v>1602</v>
      </c>
      <c r="G6" s="153" t="s">
        <v>68</v>
      </c>
      <c r="H6" s="153"/>
      <c r="I6" s="153" t="s">
        <v>77</v>
      </c>
      <c r="J6" s="153" t="s">
        <v>1603</v>
      </c>
      <c r="K6" s="153" t="s">
        <v>78</v>
      </c>
      <c r="L6" s="154" t="s">
        <v>79</v>
      </c>
      <c r="M6" s="154" t="s">
        <v>80</v>
      </c>
      <c r="N6" s="42" t="s">
        <v>81</v>
      </c>
      <c r="O6" s="42" t="s">
        <v>1604</v>
      </c>
      <c r="P6" s="42" t="s">
        <v>1605</v>
      </c>
      <c r="Q6" s="42" t="s">
        <v>1606</v>
      </c>
      <c r="R6" s="42" t="s">
        <v>1607</v>
      </c>
      <c r="S6" s="42" t="s">
        <v>1608</v>
      </c>
      <c r="T6" s="201" t="s">
        <v>1609</v>
      </c>
      <c r="U6" s="153" t="s">
        <v>676</v>
      </c>
      <c r="V6" s="153" t="s">
        <v>1610</v>
      </c>
      <c r="W6" s="153" t="s">
        <v>1611</v>
      </c>
      <c r="X6" s="153" t="s">
        <v>1612</v>
      </c>
      <c r="Y6" s="153" t="s">
        <v>1613</v>
      </c>
      <c r="Z6" s="153" t="s">
        <v>679</v>
      </c>
      <c r="AA6" s="42" t="s">
        <v>73</v>
      </c>
      <c r="AB6" s="42" t="s">
        <v>72</v>
      </c>
      <c r="AC6" s="42" t="s">
        <v>1614</v>
      </c>
      <c r="AD6" s="42" t="s">
        <v>71</v>
      </c>
      <c r="AE6" s="154" t="s">
        <v>1615</v>
      </c>
      <c r="AF6" s="154" t="s">
        <v>1616</v>
      </c>
      <c r="AG6" s="154" t="s">
        <v>82</v>
      </c>
      <c r="AH6" s="154" t="s">
        <v>1617</v>
      </c>
      <c r="AI6" s="154" t="s">
        <v>1552</v>
      </c>
      <c r="AJ6" s="154" t="s">
        <v>1553</v>
      </c>
      <c r="AK6" s="154" t="s">
        <v>86</v>
      </c>
      <c r="AL6" s="154" t="s">
        <v>1618</v>
      </c>
      <c r="AM6" s="154" t="s">
        <v>87</v>
      </c>
      <c r="AN6" s="154" t="s">
        <v>1619</v>
      </c>
      <c r="AO6" s="43"/>
      <c r="AP6" s="47"/>
    </row>
    <row r="7" spans="1:42" ht="12.5" x14ac:dyDescent="0.25">
      <c r="A7" s="202" t="s">
        <v>74</v>
      </c>
      <c r="B7" s="47" t="s">
        <v>76</v>
      </c>
      <c r="C7" s="47" t="s">
        <v>1599</v>
      </c>
      <c r="D7" s="47" t="s">
        <v>1600</v>
      </c>
      <c r="E7" s="47" t="s">
        <v>1601</v>
      </c>
      <c r="F7" s="47" t="s">
        <v>1602</v>
      </c>
      <c r="G7" s="47" t="s">
        <v>68</v>
      </c>
      <c r="H7" s="47" t="s">
        <v>1620</v>
      </c>
      <c r="I7" s="47" t="s">
        <v>77</v>
      </c>
      <c r="J7" s="47" t="s">
        <v>1603</v>
      </c>
      <c r="K7" s="48" t="s">
        <v>78</v>
      </c>
      <c r="L7" s="13" t="s">
        <v>79</v>
      </c>
      <c r="M7" s="13" t="s">
        <v>80</v>
      </c>
      <c r="N7" s="45" t="s">
        <v>81</v>
      </c>
      <c r="O7" s="43" t="s">
        <v>1604</v>
      </c>
      <c r="P7" s="43" t="s">
        <v>1605</v>
      </c>
      <c r="Q7" s="43" t="s">
        <v>1606</v>
      </c>
      <c r="R7" s="43" t="s">
        <v>1607</v>
      </c>
      <c r="S7" s="43" t="s">
        <v>1608</v>
      </c>
      <c r="T7" s="47" t="s">
        <v>1609</v>
      </c>
      <c r="U7" s="47" t="s">
        <v>676</v>
      </c>
      <c r="V7" s="47" t="s">
        <v>1610</v>
      </c>
      <c r="W7" s="47" t="s">
        <v>1611</v>
      </c>
      <c r="X7" s="47" t="s">
        <v>1612</v>
      </c>
      <c r="Y7" s="47" t="s">
        <v>1613</v>
      </c>
      <c r="Z7" s="47" t="s">
        <v>679</v>
      </c>
      <c r="AA7" s="43" t="s">
        <v>73</v>
      </c>
      <c r="AB7" s="45" t="s">
        <v>72</v>
      </c>
      <c r="AC7" s="45" t="s">
        <v>1614</v>
      </c>
      <c r="AD7" s="45" t="s">
        <v>71</v>
      </c>
      <c r="AE7" s="13" t="s">
        <v>1615</v>
      </c>
      <c r="AF7" s="13" t="s">
        <v>1616</v>
      </c>
      <c r="AG7" s="13" t="s">
        <v>82</v>
      </c>
      <c r="AH7" s="13" t="s">
        <v>1617</v>
      </c>
      <c r="AI7" s="13" t="s">
        <v>1552</v>
      </c>
      <c r="AJ7" s="13" t="s">
        <v>1553</v>
      </c>
      <c r="AK7" s="13" t="s">
        <v>86</v>
      </c>
      <c r="AL7" s="13" t="s">
        <v>1618</v>
      </c>
      <c r="AM7" s="13" t="s">
        <v>87</v>
      </c>
      <c r="AN7" s="13" t="s">
        <v>1619</v>
      </c>
      <c r="AO7" s="43" t="s">
        <v>1621</v>
      </c>
      <c r="AP7" s="47"/>
    </row>
    <row r="8" spans="1:42" ht="12.5" x14ac:dyDescent="0.25">
      <c r="A8" s="203">
        <v>46054</v>
      </c>
      <c r="B8" s="47" t="s">
        <v>103</v>
      </c>
      <c r="C8" s="47" t="s">
        <v>96</v>
      </c>
      <c r="D8" s="47" t="s">
        <v>107</v>
      </c>
      <c r="E8" s="47" t="s">
        <v>1622</v>
      </c>
      <c r="F8" s="47" t="s">
        <v>1562</v>
      </c>
      <c r="G8" s="47" t="s">
        <v>147</v>
      </c>
      <c r="H8" s="47" t="s">
        <v>147</v>
      </c>
      <c r="I8" s="47" t="s">
        <v>150</v>
      </c>
      <c r="J8" s="47" t="s">
        <v>687</v>
      </c>
      <c r="K8" s="47" t="s">
        <v>111</v>
      </c>
      <c r="L8" s="13">
        <v>610222.1</v>
      </c>
      <c r="M8" s="13"/>
      <c r="N8" s="45"/>
      <c r="O8" s="43" t="s">
        <v>1</v>
      </c>
      <c r="P8" s="43" t="s">
        <v>1</v>
      </c>
      <c r="Q8" s="43" t="s">
        <v>847</v>
      </c>
      <c r="R8" s="43" t="s">
        <v>561</v>
      </c>
      <c r="S8" s="43" t="s">
        <v>1623</v>
      </c>
      <c r="T8" s="50" t="s">
        <v>1624</v>
      </c>
      <c r="U8" s="47" t="s">
        <v>846</v>
      </c>
      <c r="V8" s="205" t="s">
        <v>1625</v>
      </c>
      <c r="W8" s="47" t="s">
        <v>560</v>
      </c>
      <c r="X8" s="48">
        <v>2</v>
      </c>
      <c r="Y8" s="47" t="s">
        <v>687</v>
      </c>
      <c r="Z8" s="47" t="s">
        <v>436</v>
      </c>
      <c r="AA8" s="43" t="s">
        <v>105</v>
      </c>
      <c r="AB8" s="45" t="s">
        <v>111</v>
      </c>
      <c r="AC8" s="45" t="s">
        <v>99</v>
      </c>
      <c r="AD8" s="45">
        <v>610190.21</v>
      </c>
      <c r="AE8" s="13">
        <v>31.89000000001397</v>
      </c>
      <c r="AF8" s="13"/>
      <c r="AG8" s="13">
        <v>610190.21</v>
      </c>
      <c r="AH8" s="13">
        <v>31.89000000001397</v>
      </c>
      <c r="AI8" s="13" t="s">
        <v>1560</v>
      </c>
      <c r="AJ8" s="13" t="s">
        <v>16</v>
      </c>
      <c r="AK8" s="13"/>
      <c r="AL8" s="13"/>
      <c r="AM8" s="13">
        <v>368844.73</v>
      </c>
      <c r="AN8" s="13">
        <v>241377.37</v>
      </c>
      <c r="AO8" s="45"/>
      <c r="AP8" s="47"/>
    </row>
    <row r="9" spans="1:42" ht="12.5" x14ac:dyDescent="0.25">
      <c r="A9" s="203">
        <v>46054</v>
      </c>
      <c r="B9" s="47" t="s">
        <v>103</v>
      </c>
      <c r="C9" s="47" t="s">
        <v>96</v>
      </c>
      <c r="D9" s="47" t="s">
        <v>107</v>
      </c>
      <c r="E9" s="47" t="s">
        <v>1622</v>
      </c>
      <c r="F9" s="47" t="s">
        <v>1562</v>
      </c>
      <c r="G9" s="47" t="s">
        <v>275</v>
      </c>
      <c r="H9" s="47" t="s">
        <v>275</v>
      </c>
      <c r="I9" s="47" t="s">
        <v>278</v>
      </c>
      <c r="J9" s="47" t="s">
        <v>687</v>
      </c>
      <c r="K9" s="47" t="s">
        <v>111</v>
      </c>
      <c r="L9" s="13">
        <v>92012.77</v>
      </c>
      <c r="M9" s="13"/>
      <c r="N9" s="45"/>
      <c r="O9" s="43" t="s">
        <v>1</v>
      </c>
      <c r="P9" s="43" t="s">
        <v>1</v>
      </c>
      <c r="Q9" s="43" t="s">
        <v>861</v>
      </c>
      <c r="R9" s="43" t="s">
        <v>561</v>
      </c>
      <c r="S9" s="43" t="s">
        <v>1626</v>
      </c>
      <c r="T9" s="204" t="s">
        <v>1627</v>
      </c>
      <c r="U9" s="47" t="s">
        <v>1175</v>
      </c>
      <c r="V9" s="205" t="s">
        <v>1628</v>
      </c>
      <c r="W9" s="47" t="s">
        <v>560</v>
      </c>
      <c r="X9" s="48">
        <v>2</v>
      </c>
      <c r="Y9" s="47" t="s">
        <v>687</v>
      </c>
      <c r="Z9" s="47" t="s">
        <v>436</v>
      </c>
      <c r="AA9" s="43" t="s">
        <v>105</v>
      </c>
      <c r="AB9" s="45" t="s">
        <v>111</v>
      </c>
      <c r="AC9" s="45" t="s">
        <v>99</v>
      </c>
      <c r="AD9" s="45">
        <v>92012.77</v>
      </c>
      <c r="AE9" s="13">
        <v>0</v>
      </c>
      <c r="AF9" s="13"/>
      <c r="AG9" s="13">
        <v>92012.77</v>
      </c>
      <c r="AH9" s="13">
        <v>0</v>
      </c>
      <c r="AI9" s="13" t="s">
        <v>1560</v>
      </c>
      <c r="AJ9" s="13" t="s">
        <v>16</v>
      </c>
      <c r="AK9" s="13"/>
      <c r="AL9" s="13"/>
      <c r="AM9" s="13">
        <v>55619.42</v>
      </c>
      <c r="AN9" s="13">
        <v>36393.350000000006</v>
      </c>
      <c r="AO9" s="45"/>
      <c r="AP9" s="47"/>
    </row>
    <row r="10" spans="1:42" ht="12.5" x14ac:dyDescent="0.25">
      <c r="A10" s="203">
        <v>46054</v>
      </c>
      <c r="B10" s="47" t="s">
        <v>103</v>
      </c>
      <c r="C10" s="47" t="s">
        <v>96</v>
      </c>
      <c r="D10" s="47" t="s">
        <v>107</v>
      </c>
      <c r="E10" s="47" t="s">
        <v>1622</v>
      </c>
      <c r="F10" s="47" t="s">
        <v>1562</v>
      </c>
      <c r="G10" s="47" t="s">
        <v>258</v>
      </c>
      <c r="H10" s="47" t="s">
        <v>258</v>
      </c>
      <c r="I10" s="47" t="s">
        <v>205</v>
      </c>
      <c r="J10" s="47" t="s">
        <v>687</v>
      </c>
      <c r="K10" s="47" t="s">
        <v>111</v>
      </c>
      <c r="L10" s="48">
        <v>7514153.1299999999</v>
      </c>
      <c r="M10" s="48"/>
      <c r="N10" s="45"/>
      <c r="O10" s="47" t="s">
        <v>1</v>
      </c>
      <c r="P10" s="47" t="s">
        <v>1</v>
      </c>
      <c r="Q10" s="47" t="s">
        <v>998</v>
      </c>
      <c r="R10" s="47" t="s">
        <v>561</v>
      </c>
      <c r="S10" s="47" t="s">
        <v>1630</v>
      </c>
      <c r="T10" s="50" t="s">
        <v>1631</v>
      </c>
      <c r="U10" s="47" t="s">
        <v>1131</v>
      </c>
      <c r="V10" s="50" t="s">
        <v>1632</v>
      </c>
      <c r="W10" s="47" t="s">
        <v>562</v>
      </c>
      <c r="X10" s="48">
        <v>1</v>
      </c>
      <c r="Y10" s="47" t="s">
        <v>687</v>
      </c>
      <c r="Z10" s="47" t="s">
        <v>436</v>
      </c>
      <c r="AA10" s="47" t="s">
        <v>105</v>
      </c>
      <c r="AB10" s="47" t="s">
        <v>111</v>
      </c>
      <c r="AC10" s="43" t="s">
        <v>99</v>
      </c>
      <c r="AD10" s="45">
        <v>7514153.1299999999</v>
      </c>
      <c r="AE10" s="13">
        <v>0</v>
      </c>
      <c r="AF10" s="13"/>
      <c r="AG10" s="13">
        <v>7514153.1299999999</v>
      </c>
      <c r="AH10" s="13">
        <v>0</v>
      </c>
      <c r="AI10" s="13" t="s">
        <v>1560</v>
      </c>
      <c r="AJ10" s="13" t="s">
        <v>16</v>
      </c>
      <c r="AK10" s="13"/>
      <c r="AL10" s="13"/>
      <c r="AM10" s="13">
        <v>4542117.71</v>
      </c>
      <c r="AN10" s="13">
        <v>2972035.42</v>
      </c>
      <c r="AO10" s="47"/>
      <c r="AP10" s="47"/>
    </row>
    <row r="11" spans="1:42" ht="12.5" x14ac:dyDescent="0.25">
      <c r="A11" s="203">
        <v>46054</v>
      </c>
      <c r="B11" s="47" t="s">
        <v>103</v>
      </c>
      <c r="C11" s="47" t="s">
        <v>96</v>
      </c>
      <c r="D11" s="47" t="s">
        <v>107</v>
      </c>
      <c r="E11" s="47" t="s">
        <v>1622</v>
      </c>
      <c r="F11" s="47" t="s">
        <v>1562</v>
      </c>
      <c r="G11" s="47" t="s">
        <v>377</v>
      </c>
      <c r="H11" s="47" t="s">
        <v>377</v>
      </c>
      <c r="I11" s="47" t="s">
        <v>380</v>
      </c>
      <c r="J11" s="47" t="s">
        <v>687</v>
      </c>
      <c r="K11" s="47" t="s">
        <v>111</v>
      </c>
      <c r="L11" s="48">
        <v>2302160.9300000002</v>
      </c>
      <c r="M11" s="48"/>
      <c r="N11" s="45" t="s">
        <v>206</v>
      </c>
      <c r="O11" s="47" t="s">
        <v>1</v>
      </c>
      <c r="P11" s="47" t="s">
        <v>1</v>
      </c>
      <c r="Q11" s="47" t="s">
        <v>741</v>
      </c>
      <c r="R11" s="47" t="s">
        <v>561</v>
      </c>
      <c r="S11" s="47" t="s">
        <v>1633</v>
      </c>
      <c r="T11" s="50" t="s">
        <v>1634</v>
      </c>
      <c r="U11" s="47" t="s">
        <v>1431</v>
      </c>
      <c r="V11" s="50" t="s">
        <v>1635</v>
      </c>
      <c r="W11" s="47" t="s">
        <v>562</v>
      </c>
      <c r="X11" s="48">
        <v>1</v>
      </c>
      <c r="Y11" s="47" t="s">
        <v>687</v>
      </c>
      <c r="Z11" s="47" t="s">
        <v>436</v>
      </c>
      <c r="AA11" s="47" t="s">
        <v>105</v>
      </c>
      <c r="AB11" s="47" t="s">
        <v>111</v>
      </c>
      <c r="AC11" s="43" t="s">
        <v>99</v>
      </c>
      <c r="AD11" s="45">
        <v>2300000</v>
      </c>
      <c r="AE11" s="13">
        <v>2160.9300000001676</v>
      </c>
      <c r="AF11" s="13"/>
      <c r="AG11" s="13">
        <v>2300000</v>
      </c>
      <c r="AH11" s="13">
        <v>2160.9300000001676</v>
      </c>
      <c r="AI11" s="13" t="s">
        <v>1560</v>
      </c>
      <c r="AJ11" s="13" t="s">
        <v>16</v>
      </c>
      <c r="AK11" s="13"/>
      <c r="AL11" s="13"/>
      <c r="AM11" s="13">
        <v>1794000</v>
      </c>
      <c r="AN11" s="13">
        <v>508160.93000000017</v>
      </c>
      <c r="AO11" s="47"/>
      <c r="AP11" s="47"/>
    </row>
    <row r="12" spans="1:42" ht="12.5" x14ac:dyDescent="0.25">
      <c r="A12" s="203">
        <v>46054</v>
      </c>
      <c r="B12" s="47" t="s">
        <v>103</v>
      </c>
      <c r="C12" s="47" t="s">
        <v>96</v>
      </c>
      <c r="D12" s="47" t="s">
        <v>107</v>
      </c>
      <c r="E12" s="47" t="s">
        <v>1622</v>
      </c>
      <c r="F12" s="47" t="s">
        <v>1562</v>
      </c>
      <c r="G12" s="47" t="s">
        <v>384</v>
      </c>
      <c r="H12" s="47" t="s">
        <v>384</v>
      </c>
      <c r="I12" s="47" t="s">
        <v>210</v>
      </c>
      <c r="J12" s="47" t="s">
        <v>687</v>
      </c>
      <c r="K12" s="47" t="s">
        <v>111</v>
      </c>
      <c r="L12" s="48">
        <v>232244.92</v>
      </c>
      <c r="M12" s="48"/>
      <c r="N12" s="45"/>
      <c r="O12" s="47" t="s">
        <v>1</v>
      </c>
      <c r="P12" s="47" t="s">
        <v>1</v>
      </c>
      <c r="Q12" s="47" t="s">
        <v>1011</v>
      </c>
      <c r="R12" s="47" t="s">
        <v>561</v>
      </c>
      <c r="S12" s="47" t="s">
        <v>1636</v>
      </c>
      <c r="T12" s="50" t="s">
        <v>1637</v>
      </c>
      <c r="U12" s="47" t="s">
        <v>1447</v>
      </c>
      <c r="V12" s="50" t="s">
        <v>1638</v>
      </c>
      <c r="W12" s="47" t="s">
        <v>562</v>
      </c>
      <c r="X12" s="48">
        <v>1</v>
      </c>
      <c r="Y12" s="47" t="s">
        <v>687</v>
      </c>
      <c r="Z12" s="47" t="s">
        <v>436</v>
      </c>
      <c r="AA12" s="47" t="s">
        <v>105</v>
      </c>
      <c r="AB12" s="47" t="s">
        <v>111</v>
      </c>
      <c r="AC12" s="43" t="s">
        <v>99</v>
      </c>
      <c r="AD12" s="45">
        <v>232244.92</v>
      </c>
      <c r="AE12" s="13">
        <v>0</v>
      </c>
      <c r="AF12" s="13"/>
      <c r="AG12" s="13">
        <v>232244.92</v>
      </c>
      <c r="AH12" s="13">
        <v>0</v>
      </c>
      <c r="AI12" s="13" t="s">
        <v>1560</v>
      </c>
      <c r="AJ12" s="13" t="s">
        <v>16</v>
      </c>
      <c r="AK12" s="13"/>
      <c r="AL12" s="13"/>
      <c r="AM12" s="13">
        <v>181151.04</v>
      </c>
      <c r="AN12" s="13">
        <v>51093.880000000005</v>
      </c>
      <c r="AO12" s="47"/>
      <c r="AP12" s="47"/>
    </row>
    <row r="13" spans="1:42" ht="12.5" x14ac:dyDescent="0.25">
      <c r="A13" s="203">
        <v>46054</v>
      </c>
      <c r="B13" s="47" t="s">
        <v>103</v>
      </c>
      <c r="C13" s="47" t="s">
        <v>96</v>
      </c>
      <c r="D13" s="47" t="s">
        <v>107</v>
      </c>
      <c r="E13" s="47" t="s">
        <v>1622</v>
      </c>
      <c r="F13" s="47" t="s">
        <v>1562</v>
      </c>
      <c r="G13" s="47" t="s">
        <v>185</v>
      </c>
      <c r="H13" s="47" t="s">
        <v>185</v>
      </c>
      <c r="I13" s="47" t="s">
        <v>154</v>
      </c>
      <c r="J13" s="47" t="s">
        <v>687</v>
      </c>
      <c r="K13" s="47" t="s">
        <v>111</v>
      </c>
      <c r="L13" s="48">
        <v>6210184.3099999996</v>
      </c>
      <c r="M13" s="48"/>
      <c r="N13" s="45"/>
      <c r="O13" s="47" t="s">
        <v>1</v>
      </c>
      <c r="P13" s="47" t="s">
        <v>1</v>
      </c>
      <c r="Q13" s="47" t="s">
        <v>826</v>
      </c>
      <c r="R13" s="47" t="s">
        <v>561</v>
      </c>
      <c r="S13" s="47" t="s">
        <v>1639</v>
      </c>
      <c r="T13" s="50" t="s">
        <v>1640</v>
      </c>
      <c r="U13" s="47" t="s">
        <v>955</v>
      </c>
      <c r="V13" s="50" t="s">
        <v>1641</v>
      </c>
      <c r="W13" s="47" t="s">
        <v>562</v>
      </c>
      <c r="X13" s="48">
        <v>1</v>
      </c>
      <c r="Y13" s="47" t="s">
        <v>687</v>
      </c>
      <c r="Z13" s="47" t="s">
        <v>436</v>
      </c>
      <c r="AA13" s="47" t="s">
        <v>105</v>
      </c>
      <c r="AB13" s="47" t="s">
        <v>111</v>
      </c>
      <c r="AC13" s="43" t="s">
        <v>99</v>
      </c>
      <c r="AD13" s="45">
        <v>6210184.3200000003</v>
      </c>
      <c r="AE13" s="13">
        <v>-1.0000000707805157E-2</v>
      </c>
      <c r="AF13" s="13"/>
      <c r="AG13" s="13">
        <v>6210184.3200000003</v>
      </c>
      <c r="AH13" s="13">
        <v>-1.0000000707805157E-2</v>
      </c>
      <c r="AI13" s="13" t="s">
        <v>1560</v>
      </c>
      <c r="AJ13" s="13" t="s">
        <v>16</v>
      </c>
      <c r="AK13" s="13"/>
      <c r="AL13" s="13"/>
      <c r="AM13" s="13">
        <v>3753901.16</v>
      </c>
      <c r="AN13" s="13">
        <v>2456283.1499999994</v>
      </c>
      <c r="AO13" s="47"/>
      <c r="AP13" s="47"/>
    </row>
    <row r="14" spans="1:42" ht="12.5" x14ac:dyDescent="0.25">
      <c r="A14" s="203">
        <v>46054</v>
      </c>
      <c r="B14" s="47" t="s">
        <v>103</v>
      </c>
      <c r="C14" s="47" t="s">
        <v>96</v>
      </c>
      <c r="D14" s="47" t="s">
        <v>107</v>
      </c>
      <c r="E14" s="47" t="s">
        <v>1622</v>
      </c>
      <c r="F14" s="47" t="s">
        <v>1562</v>
      </c>
      <c r="G14" s="47" t="s">
        <v>370</v>
      </c>
      <c r="H14" s="47" t="s">
        <v>370</v>
      </c>
      <c r="I14" s="47" t="s">
        <v>210</v>
      </c>
      <c r="J14" s="47" t="s">
        <v>687</v>
      </c>
      <c r="K14" s="47" t="s">
        <v>111</v>
      </c>
      <c r="L14" s="48">
        <v>6200280.3600000003</v>
      </c>
      <c r="M14" s="48"/>
      <c r="N14" s="45" t="s">
        <v>206</v>
      </c>
      <c r="O14" s="47" t="s">
        <v>1</v>
      </c>
      <c r="P14" s="47" t="s">
        <v>1</v>
      </c>
      <c r="Q14" s="47" t="s">
        <v>1011</v>
      </c>
      <c r="R14" s="47" t="s">
        <v>561</v>
      </c>
      <c r="S14" s="47" t="s">
        <v>1642</v>
      </c>
      <c r="T14" s="50" t="s">
        <v>1643</v>
      </c>
      <c r="U14" s="47" t="s">
        <v>1415</v>
      </c>
      <c r="V14" s="50" t="s">
        <v>1644</v>
      </c>
      <c r="W14" s="47" t="s">
        <v>562</v>
      </c>
      <c r="X14" s="48">
        <v>1</v>
      </c>
      <c r="Y14" s="47" t="s">
        <v>687</v>
      </c>
      <c r="Z14" s="47" t="s">
        <v>436</v>
      </c>
      <c r="AA14" s="47" t="s">
        <v>105</v>
      </c>
      <c r="AB14" s="47" t="s">
        <v>111</v>
      </c>
      <c r="AC14" s="43" t="s">
        <v>99</v>
      </c>
      <c r="AD14" s="45">
        <v>6195989.9900000002</v>
      </c>
      <c r="AE14" s="13">
        <v>4290.3700000001118</v>
      </c>
      <c r="AF14" s="13"/>
      <c r="AG14" s="13">
        <v>6195989.9900000002</v>
      </c>
      <c r="AH14" s="13">
        <v>4290.3700000001118</v>
      </c>
      <c r="AI14" s="13" t="s">
        <v>1560</v>
      </c>
      <c r="AJ14" s="13" t="s">
        <v>16</v>
      </c>
      <c r="AK14" s="13"/>
      <c r="AL14" s="13"/>
      <c r="AM14" s="13">
        <v>4832872.2</v>
      </c>
      <c r="AN14" s="13">
        <v>1367408.1600000001</v>
      </c>
      <c r="AO14" s="47"/>
      <c r="AP14" s="47"/>
    </row>
    <row r="15" spans="1:42" ht="12.5" x14ac:dyDescent="0.25">
      <c r="A15" s="203">
        <v>46054</v>
      </c>
      <c r="B15" s="47" t="s">
        <v>103</v>
      </c>
      <c r="C15" s="47" t="s">
        <v>96</v>
      </c>
      <c r="D15" s="47" t="s">
        <v>107</v>
      </c>
      <c r="E15" s="47" t="s">
        <v>1622</v>
      </c>
      <c r="F15" s="47" t="s">
        <v>1562</v>
      </c>
      <c r="G15" s="47" t="s">
        <v>254</v>
      </c>
      <c r="H15" s="47" t="s">
        <v>254</v>
      </c>
      <c r="I15" s="47" t="s">
        <v>257</v>
      </c>
      <c r="J15" s="47" t="s">
        <v>687</v>
      </c>
      <c r="K15" s="47" t="s">
        <v>111</v>
      </c>
      <c r="L15" s="48">
        <v>1651074.27</v>
      </c>
      <c r="M15" s="48"/>
      <c r="N15" s="45"/>
      <c r="O15" s="47" t="s">
        <v>1</v>
      </c>
      <c r="P15" s="47" t="s">
        <v>1</v>
      </c>
      <c r="Q15" s="47" t="s">
        <v>831</v>
      </c>
      <c r="R15" s="47" t="s">
        <v>561</v>
      </c>
      <c r="S15" s="47" t="s">
        <v>1645</v>
      </c>
      <c r="T15" s="50" t="s">
        <v>1646</v>
      </c>
      <c r="U15" s="47" t="s">
        <v>1124</v>
      </c>
      <c r="V15" s="50" t="s">
        <v>1647</v>
      </c>
      <c r="W15" s="47" t="s">
        <v>562</v>
      </c>
      <c r="X15" s="48">
        <v>1</v>
      </c>
      <c r="Y15" s="47" t="s">
        <v>687</v>
      </c>
      <c r="Z15" s="47" t="s">
        <v>436</v>
      </c>
      <c r="AA15" s="47" t="s">
        <v>105</v>
      </c>
      <c r="AB15" s="47" t="s">
        <v>111</v>
      </c>
      <c r="AC15" s="43" t="s">
        <v>99</v>
      </c>
      <c r="AD15" s="45">
        <v>1651074.28</v>
      </c>
      <c r="AE15" s="13">
        <v>-1.0000000009313226E-2</v>
      </c>
      <c r="AF15" s="13"/>
      <c r="AG15" s="13">
        <v>1651074.28</v>
      </c>
      <c r="AH15" s="13">
        <v>-1.0000000009313226E-2</v>
      </c>
      <c r="AI15" s="13" t="s">
        <v>1560</v>
      </c>
      <c r="AJ15" s="13" t="s">
        <v>16</v>
      </c>
      <c r="AK15" s="13"/>
      <c r="AL15" s="13"/>
      <c r="AM15" s="13">
        <v>998033.13</v>
      </c>
      <c r="AN15" s="13">
        <v>653041.14</v>
      </c>
      <c r="AO15" s="47"/>
      <c r="AP15" s="47"/>
    </row>
    <row r="16" spans="1:42" ht="12.5" x14ac:dyDescent="0.25">
      <c r="A16" s="203">
        <v>46054</v>
      </c>
      <c r="B16" s="47" t="s">
        <v>103</v>
      </c>
      <c r="C16" s="47" t="s">
        <v>96</v>
      </c>
      <c r="D16" s="47" t="s">
        <v>107</v>
      </c>
      <c r="E16" s="47" t="s">
        <v>1622</v>
      </c>
      <c r="F16" s="47" t="s">
        <v>1562</v>
      </c>
      <c r="G16" s="47" t="s">
        <v>155</v>
      </c>
      <c r="H16" s="47" t="s">
        <v>155</v>
      </c>
      <c r="I16" s="47" t="s">
        <v>158</v>
      </c>
      <c r="J16" s="47" t="s">
        <v>687</v>
      </c>
      <c r="K16" s="47" t="s">
        <v>111</v>
      </c>
      <c r="L16" s="48">
        <v>3110400</v>
      </c>
      <c r="M16" s="48"/>
      <c r="N16" s="45"/>
      <c r="O16" s="47" t="s">
        <v>1</v>
      </c>
      <c r="P16" s="47" t="s">
        <v>1</v>
      </c>
      <c r="Q16" s="47" t="s">
        <v>871</v>
      </c>
      <c r="R16" s="47" t="s">
        <v>561</v>
      </c>
      <c r="S16" s="47" t="s">
        <v>1648</v>
      </c>
      <c r="T16" s="50" t="s">
        <v>1649</v>
      </c>
      <c r="U16" s="47" t="s">
        <v>867</v>
      </c>
      <c r="V16" s="50" t="s">
        <v>1650</v>
      </c>
      <c r="W16" s="47" t="s">
        <v>562</v>
      </c>
      <c r="X16" s="48">
        <v>1</v>
      </c>
      <c r="Y16" s="47" t="s">
        <v>687</v>
      </c>
      <c r="Z16" s="47" t="s">
        <v>436</v>
      </c>
      <c r="AA16" s="47" t="s">
        <v>105</v>
      </c>
      <c r="AB16" s="47" t="s">
        <v>111</v>
      </c>
      <c r="AC16" s="43" t="s">
        <v>99</v>
      </c>
      <c r="AD16" s="45">
        <v>3110400</v>
      </c>
      <c r="AE16" s="13">
        <v>0</v>
      </c>
      <c r="AF16" s="13"/>
      <c r="AG16" s="13">
        <v>3110400</v>
      </c>
      <c r="AH16" s="13">
        <v>0</v>
      </c>
      <c r="AI16" s="13" t="s">
        <v>1560</v>
      </c>
      <c r="AJ16" s="13" t="s">
        <v>16</v>
      </c>
      <c r="AK16" s="13"/>
      <c r="AL16" s="13"/>
      <c r="AM16" s="13">
        <v>1880159.04</v>
      </c>
      <c r="AN16" s="13">
        <v>1230240.96</v>
      </c>
      <c r="AO16" s="47"/>
      <c r="AP16" s="47"/>
    </row>
    <row r="17" spans="1:42" ht="12.5" x14ac:dyDescent="0.25">
      <c r="A17" s="203">
        <v>46054</v>
      </c>
      <c r="B17" s="47" t="s">
        <v>103</v>
      </c>
      <c r="C17" s="47" t="s">
        <v>96</v>
      </c>
      <c r="D17" s="47" t="s">
        <v>107</v>
      </c>
      <c r="E17" s="47" t="s">
        <v>1622</v>
      </c>
      <c r="F17" s="47" t="s">
        <v>1562</v>
      </c>
      <c r="G17" s="47" t="s">
        <v>224</v>
      </c>
      <c r="H17" s="47" t="s">
        <v>224</v>
      </c>
      <c r="I17" s="47" t="s">
        <v>154</v>
      </c>
      <c r="J17" s="47" t="s">
        <v>687</v>
      </c>
      <c r="K17" s="47" t="s">
        <v>111</v>
      </c>
      <c r="L17" s="48">
        <v>2414312.9700000002</v>
      </c>
      <c r="M17" s="48"/>
      <c r="N17" s="45"/>
      <c r="O17" s="47" t="s">
        <v>1</v>
      </c>
      <c r="P17" s="47" t="s">
        <v>1</v>
      </c>
      <c r="Q17" s="47" t="s">
        <v>826</v>
      </c>
      <c r="R17" s="47" t="s">
        <v>561</v>
      </c>
      <c r="S17" s="47" t="s">
        <v>1651</v>
      </c>
      <c r="T17" s="50" t="s">
        <v>1652</v>
      </c>
      <c r="U17" s="47" t="s">
        <v>1049</v>
      </c>
      <c r="V17" s="50" t="s">
        <v>1653</v>
      </c>
      <c r="W17" s="47" t="s">
        <v>562</v>
      </c>
      <c r="X17" s="48">
        <v>1</v>
      </c>
      <c r="Y17" s="47" t="s">
        <v>687</v>
      </c>
      <c r="Z17" s="47" t="s">
        <v>436</v>
      </c>
      <c r="AA17" s="47" t="s">
        <v>105</v>
      </c>
      <c r="AB17" s="47" t="s">
        <v>111</v>
      </c>
      <c r="AC17" s="43" t="s">
        <v>99</v>
      </c>
      <c r="AD17" s="45">
        <v>2414312.9700000002</v>
      </c>
      <c r="AE17" s="13">
        <v>0</v>
      </c>
      <c r="AF17" s="13"/>
      <c r="AG17" s="13">
        <v>2414312.9700000002</v>
      </c>
      <c r="AH17" s="13">
        <v>0</v>
      </c>
      <c r="AI17" s="13" t="s">
        <v>1560</v>
      </c>
      <c r="AJ17" s="13" t="s">
        <v>16</v>
      </c>
      <c r="AK17" s="13"/>
      <c r="AL17" s="13"/>
      <c r="AM17" s="13">
        <v>1459391.83</v>
      </c>
      <c r="AN17" s="13">
        <v>954921.14000000013</v>
      </c>
      <c r="AO17" s="47"/>
      <c r="AP17" s="47"/>
    </row>
    <row r="18" spans="1:42" ht="12.5" x14ac:dyDescent="0.25">
      <c r="A18" s="203">
        <v>46054</v>
      </c>
      <c r="B18" s="47" t="s">
        <v>103</v>
      </c>
      <c r="C18" s="47" t="s">
        <v>96</v>
      </c>
      <c r="D18" s="47" t="s">
        <v>107</v>
      </c>
      <c r="E18" s="47" t="s">
        <v>1622</v>
      </c>
      <c r="F18" s="47" t="s">
        <v>1562</v>
      </c>
      <c r="G18" s="47" t="s">
        <v>236</v>
      </c>
      <c r="H18" s="47" t="s">
        <v>236</v>
      </c>
      <c r="I18" s="47" t="s">
        <v>154</v>
      </c>
      <c r="J18" s="47" t="s">
        <v>687</v>
      </c>
      <c r="K18" s="47" t="s">
        <v>111</v>
      </c>
      <c r="L18" s="48">
        <v>1699231.78</v>
      </c>
      <c r="M18" s="48"/>
      <c r="N18" s="45"/>
      <c r="O18" s="47" t="s">
        <v>1</v>
      </c>
      <c r="P18" s="47" t="s">
        <v>1</v>
      </c>
      <c r="Q18" s="47" t="s">
        <v>826</v>
      </c>
      <c r="R18" s="47" t="s">
        <v>561</v>
      </c>
      <c r="S18" s="47" t="s">
        <v>1654</v>
      </c>
      <c r="T18" s="50" t="s">
        <v>1655</v>
      </c>
      <c r="U18" s="47" t="s">
        <v>1078</v>
      </c>
      <c r="V18" s="50" t="s">
        <v>1656</v>
      </c>
      <c r="W18" s="47" t="s">
        <v>562</v>
      </c>
      <c r="X18" s="48">
        <v>1</v>
      </c>
      <c r="Y18" s="47" t="s">
        <v>687</v>
      </c>
      <c r="Z18" s="47" t="s">
        <v>436</v>
      </c>
      <c r="AA18" s="47" t="s">
        <v>105</v>
      </c>
      <c r="AB18" s="47" t="s">
        <v>111</v>
      </c>
      <c r="AC18" s="43" t="s">
        <v>99</v>
      </c>
      <c r="AD18" s="45">
        <v>1699231.77</v>
      </c>
      <c r="AE18" s="13">
        <v>1.0000000009313226E-2</v>
      </c>
      <c r="AF18" s="13"/>
      <c r="AG18" s="13">
        <v>1699231.77</v>
      </c>
      <c r="AH18" s="13">
        <v>1.0000000009313226E-2</v>
      </c>
      <c r="AI18" s="13" t="s">
        <v>1560</v>
      </c>
      <c r="AJ18" s="13" t="s">
        <v>16</v>
      </c>
      <c r="AK18" s="13"/>
      <c r="AL18" s="13"/>
      <c r="AM18" s="13">
        <v>1027143.13</v>
      </c>
      <c r="AN18" s="13">
        <v>672088.65</v>
      </c>
      <c r="AO18" s="47"/>
      <c r="AP18" s="47"/>
    </row>
    <row r="19" spans="1:42" ht="12.5" x14ac:dyDescent="0.25">
      <c r="A19" s="203">
        <v>46054</v>
      </c>
      <c r="B19" s="47" t="s">
        <v>103</v>
      </c>
      <c r="C19" s="47" t="s">
        <v>96</v>
      </c>
      <c r="D19" s="47" t="s">
        <v>107</v>
      </c>
      <c r="E19" s="47" t="s">
        <v>1622</v>
      </c>
      <c r="F19" s="47" t="s">
        <v>1562</v>
      </c>
      <c r="G19" s="47" t="s">
        <v>347</v>
      </c>
      <c r="H19" s="47" t="s">
        <v>347</v>
      </c>
      <c r="I19" s="47" t="s">
        <v>346</v>
      </c>
      <c r="J19" s="47" t="s">
        <v>687</v>
      </c>
      <c r="K19" s="47" t="s">
        <v>111</v>
      </c>
      <c r="L19" s="48">
        <v>2327584.0699999998</v>
      </c>
      <c r="M19" s="48"/>
      <c r="N19" s="45"/>
      <c r="O19" s="47" t="s">
        <v>1</v>
      </c>
      <c r="P19" s="47" t="s">
        <v>1</v>
      </c>
      <c r="Q19" s="47" t="s">
        <v>991</v>
      </c>
      <c r="R19" s="47" t="s">
        <v>561</v>
      </c>
      <c r="S19" s="47" t="s">
        <v>1657</v>
      </c>
      <c r="T19" s="50" t="s">
        <v>1658</v>
      </c>
      <c r="U19" s="47" t="s">
        <v>1361</v>
      </c>
      <c r="V19" s="50" t="s">
        <v>1659</v>
      </c>
      <c r="W19" s="47" t="s">
        <v>562</v>
      </c>
      <c r="X19" s="48">
        <v>1</v>
      </c>
      <c r="Y19" s="47" t="s">
        <v>687</v>
      </c>
      <c r="Z19" s="47" t="s">
        <v>436</v>
      </c>
      <c r="AA19" s="47" t="s">
        <v>105</v>
      </c>
      <c r="AB19" s="47" t="s">
        <v>111</v>
      </c>
      <c r="AC19" s="43" t="s">
        <v>99</v>
      </c>
      <c r="AD19" s="45">
        <v>2327584.0699999998</v>
      </c>
      <c r="AE19" s="13">
        <v>0</v>
      </c>
      <c r="AF19" s="13"/>
      <c r="AG19" s="13">
        <v>2327584.0699999998</v>
      </c>
      <c r="AH19" s="13">
        <v>0</v>
      </c>
      <c r="AI19" s="13" t="s">
        <v>1560</v>
      </c>
      <c r="AJ19" s="13" t="s">
        <v>16</v>
      </c>
      <c r="AK19" s="13"/>
      <c r="AL19" s="13"/>
      <c r="AM19" s="13">
        <v>1815515.57</v>
      </c>
      <c r="AN19" s="13">
        <v>512068.49999999977</v>
      </c>
      <c r="AO19" s="47"/>
      <c r="AP19" s="47"/>
    </row>
    <row r="20" spans="1:42" ht="12.5" x14ac:dyDescent="0.25">
      <c r="A20" s="203">
        <v>46054</v>
      </c>
      <c r="B20" s="47" t="s">
        <v>103</v>
      </c>
      <c r="C20" s="47" t="s">
        <v>96</v>
      </c>
      <c r="D20" s="47" t="s">
        <v>107</v>
      </c>
      <c r="E20" s="47" t="s">
        <v>1622</v>
      </c>
      <c r="F20" s="47" t="s">
        <v>1562</v>
      </c>
      <c r="G20" s="47" t="s">
        <v>172</v>
      </c>
      <c r="H20" s="47" t="s">
        <v>172</v>
      </c>
      <c r="I20" s="47" t="s">
        <v>175</v>
      </c>
      <c r="J20" s="47" t="s">
        <v>687</v>
      </c>
      <c r="K20" s="47" t="s">
        <v>111</v>
      </c>
      <c r="L20" s="48">
        <v>2431431.11</v>
      </c>
      <c r="M20" s="48"/>
      <c r="N20" s="45"/>
      <c r="O20" s="47" t="s">
        <v>1</v>
      </c>
      <c r="P20" s="47" t="s">
        <v>1</v>
      </c>
      <c r="Q20" s="47" t="s">
        <v>753</v>
      </c>
      <c r="R20" s="47" t="s">
        <v>561</v>
      </c>
      <c r="S20" s="47" t="s">
        <v>1660</v>
      </c>
      <c r="T20" s="50" t="s">
        <v>1661</v>
      </c>
      <c r="U20" s="47" t="s">
        <v>914</v>
      </c>
      <c r="V20" s="50" t="s">
        <v>1662</v>
      </c>
      <c r="W20" s="47" t="s">
        <v>562</v>
      </c>
      <c r="X20" s="48">
        <v>1</v>
      </c>
      <c r="Y20" s="47" t="s">
        <v>687</v>
      </c>
      <c r="Z20" s="47" t="s">
        <v>436</v>
      </c>
      <c r="AA20" s="47" t="s">
        <v>105</v>
      </c>
      <c r="AB20" s="47" t="s">
        <v>111</v>
      </c>
      <c r="AC20" s="43" t="s">
        <v>99</v>
      </c>
      <c r="AD20" s="45">
        <v>2431431.12</v>
      </c>
      <c r="AE20" s="13">
        <v>-1.0000000242143869E-2</v>
      </c>
      <c r="AF20" s="13"/>
      <c r="AG20" s="13">
        <v>2431431.12</v>
      </c>
      <c r="AH20" s="13">
        <v>-1.0000000242143869E-2</v>
      </c>
      <c r="AI20" s="13" t="s">
        <v>1560</v>
      </c>
      <c r="AJ20" s="13" t="s">
        <v>16</v>
      </c>
      <c r="AK20" s="13"/>
      <c r="AL20" s="13"/>
      <c r="AM20" s="13">
        <v>1469739.33</v>
      </c>
      <c r="AN20" s="13">
        <v>961691.7799999998</v>
      </c>
      <c r="AO20" s="47"/>
      <c r="AP20" s="47"/>
    </row>
    <row r="21" spans="1:42" ht="12.5" x14ac:dyDescent="0.25">
      <c r="A21" s="203">
        <v>46054</v>
      </c>
      <c r="B21" s="47" t="s">
        <v>103</v>
      </c>
      <c r="C21" s="47" t="s">
        <v>96</v>
      </c>
      <c r="D21" s="47" t="s">
        <v>107</v>
      </c>
      <c r="E21" s="47" t="s">
        <v>1622</v>
      </c>
      <c r="F21" s="47" t="s">
        <v>1562</v>
      </c>
      <c r="G21" s="47" t="s">
        <v>373</v>
      </c>
      <c r="H21" s="47" t="s">
        <v>373</v>
      </c>
      <c r="I21" s="47" t="s">
        <v>376</v>
      </c>
      <c r="J21" s="47" t="s">
        <v>687</v>
      </c>
      <c r="K21" s="47" t="s">
        <v>111</v>
      </c>
      <c r="L21" s="48">
        <v>4901475.9400000004</v>
      </c>
      <c r="M21" s="48"/>
      <c r="N21" s="45"/>
      <c r="O21" s="47" t="s">
        <v>1</v>
      </c>
      <c r="P21" s="47" t="s">
        <v>1</v>
      </c>
      <c r="Q21" s="47" t="s">
        <v>741</v>
      </c>
      <c r="R21" s="47" t="s">
        <v>561</v>
      </c>
      <c r="S21" s="47" t="s">
        <v>1663</v>
      </c>
      <c r="T21" s="50" t="s">
        <v>1664</v>
      </c>
      <c r="U21" s="47" t="s">
        <v>1423</v>
      </c>
      <c r="V21" s="50" t="s">
        <v>1665</v>
      </c>
      <c r="W21" s="47" t="s">
        <v>562</v>
      </c>
      <c r="X21" s="48">
        <v>1</v>
      </c>
      <c r="Y21" s="47" t="s">
        <v>687</v>
      </c>
      <c r="Z21" s="47" t="s">
        <v>436</v>
      </c>
      <c r="AA21" s="47" t="s">
        <v>105</v>
      </c>
      <c r="AB21" s="47" t="s">
        <v>111</v>
      </c>
      <c r="AC21" s="43" t="s">
        <v>99</v>
      </c>
      <c r="AD21" s="45">
        <v>4901475.9400000004</v>
      </c>
      <c r="AE21" s="13">
        <v>0</v>
      </c>
      <c r="AF21" s="13"/>
      <c r="AG21" s="13">
        <v>4901475.9400000004</v>
      </c>
      <c r="AH21" s="13">
        <v>0</v>
      </c>
      <c r="AI21" s="13" t="s">
        <v>1560</v>
      </c>
      <c r="AJ21" s="13" t="s">
        <v>16</v>
      </c>
      <c r="AK21" s="13"/>
      <c r="AL21" s="13"/>
      <c r="AM21" s="13">
        <v>3823151.23</v>
      </c>
      <c r="AN21" s="13">
        <v>1078324.7100000004</v>
      </c>
      <c r="AO21" s="47"/>
      <c r="AP21" s="47"/>
    </row>
    <row r="22" spans="1:42" ht="12.5" x14ac:dyDescent="0.25">
      <c r="A22" s="203">
        <v>46054</v>
      </c>
      <c r="B22" s="47" t="s">
        <v>103</v>
      </c>
      <c r="C22" s="47" t="s">
        <v>96</v>
      </c>
      <c r="D22" s="47" t="s">
        <v>107</v>
      </c>
      <c r="E22" s="47" t="s">
        <v>1622</v>
      </c>
      <c r="F22" s="47" t="s">
        <v>1562</v>
      </c>
      <c r="G22" s="47" t="s">
        <v>113</v>
      </c>
      <c r="H22" s="47" t="s">
        <v>113</v>
      </c>
      <c r="I22" s="47" t="s">
        <v>116</v>
      </c>
      <c r="J22" s="47" t="s">
        <v>687</v>
      </c>
      <c r="K22" s="47" t="s">
        <v>111</v>
      </c>
      <c r="L22" s="48">
        <v>3855555.78</v>
      </c>
      <c r="M22" s="48"/>
      <c r="N22" s="45"/>
      <c r="O22" s="47" t="s">
        <v>1</v>
      </c>
      <c r="P22" s="47" t="s">
        <v>1</v>
      </c>
      <c r="Q22" s="47" t="s">
        <v>720</v>
      </c>
      <c r="R22" s="47" t="s">
        <v>561</v>
      </c>
      <c r="S22" s="47" t="s">
        <v>1666</v>
      </c>
      <c r="T22" s="50" t="s">
        <v>1667</v>
      </c>
      <c r="U22" s="47" t="s">
        <v>717</v>
      </c>
      <c r="V22" s="50" t="s">
        <v>1668</v>
      </c>
      <c r="W22" s="47" t="s">
        <v>562</v>
      </c>
      <c r="X22" s="48">
        <v>1</v>
      </c>
      <c r="Y22" s="47" t="s">
        <v>687</v>
      </c>
      <c r="Z22" s="47" t="s">
        <v>436</v>
      </c>
      <c r="AA22" s="47" t="s">
        <v>105</v>
      </c>
      <c r="AB22" s="47" t="s">
        <v>111</v>
      </c>
      <c r="AC22" s="43" t="s">
        <v>99</v>
      </c>
      <c r="AD22" s="45">
        <v>3855555.79</v>
      </c>
      <c r="AE22" s="13">
        <v>-1.0000000242143869E-2</v>
      </c>
      <c r="AF22" s="13"/>
      <c r="AG22" s="13">
        <v>3855555.79</v>
      </c>
      <c r="AH22" s="13">
        <v>-1.0000000242143869E-2</v>
      </c>
      <c r="AI22" s="13" t="s">
        <v>1560</v>
      </c>
      <c r="AJ22" s="13" t="s">
        <v>16</v>
      </c>
      <c r="AK22" s="13"/>
      <c r="AL22" s="13"/>
      <c r="AM22" s="13">
        <v>2330587.08</v>
      </c>
      <c r="AN22" s="13">
        <v>1524968.6999999997</v>
      </c>
      <c r="AO22" s="47"/>
      <c r="AP22" s="47"/>
    </row>
    <row r="23" spans="1:42" ht="12.5" x14ac:dyDescent="0.25">
      <c r="A23" s="203">
        <v>46054</v>
      </c>
      <c r="B23" s="47" t="s">
        <v>103</v>
      </c>
      <c r="C23" s="47" t="s">
        <v>96</v>
      </c>
      <c r="D23" s="47" t="s">
        <v>107</v>
      </c>
      <c r="E23" s="47" t="s">
        <v>1622</v>
      </c>
      <c r="F23" s="47" t="s">
        <v>1562</v>
      </c>
      <c r="G23" s="47" t="s">
        <v>296</v>
      </c>
      <c r="H23" s="47" t="s">
        <v>296</v>
      </c>
      <c r="I23" s="47" t="s">
        <v>299</v>
      </c>
      <c r="J23" s="47" t="s">
        <v>687</v>
      </c>
      <c r="K23" s="47" t="s">
        <v>95</v>
      </c>
      <c r="L23" s="48">
        <v>8.35</v>
      </c>
      <c r="M23" s="48"/>
      <c r="N23" s="45"/>
      <c r="O23" s="47" t="s">
        <v>1</v>
      </c>
      <c r="P23" s="47" t="s">
        <v>1</v>
      </c>
      <c r="Q23" s="47" t="s">
        <v>1237</v>
      </c>
      <c r="R23" s="47" t="s">
        <v>561</v>
      </c>
      <c r="S23" s="47" t="s">
        <v>1669</v>
      </c>
      <c r="T23" s="50" t="s">
        <v>1670</v>
      </c>
      <c r="U23" s="47" t="s">
        <v>1233</v>
      </c>
      <c r="V23" s="50" t="s">
        <v>1671</v>
      </c>
      <c r="W23" s="47" t="s">
        <v>562</v>
      </c>
      <c r="X23" s="48">
        <v>1</v>
      </c>
      <c r="Y23" s="47" t="s">
        <v>687</v>
      </c>
      <c r="Z23" s="47" t="s">
        <v>436</v>
      </c>
      <c r="AA23" s="47" t="s">
        <v>105</v>
      </c>
      <c r="AB23" s="47" t="s">
        <v>95</v>
      </c>
      <c r="AC23" s="43" t="s">
        <v>99</v>
      </c>
      <c r="AD23" s="45">
        <v>8.35</v>
      </c>
      <c r="AE23" s="13">
        <v>0</v>
      </c>
      <c r="AF23" s="13"/>
      <c r="AG23" s="13">
        <v>8.35</v>
      </c>
      <c r="AH23" s="13">
        <v>0</v>
      </c>
      <c r="AI23" s="13" t="s">
        <v>1560</v>
      </c>
      <c r="AJ23" s="13" t="s">
        <v>16</v>
      </c>
      <c r="AK23" s="13"/>
      <c r="AL23" s="13"/>
      <c r="AM23" s="13">
        <v>7.1</v>
      </c>
      <c r="AN23" s="13">
        <v>1.25</v>
      </c>
      <c r="AO23" s="47"/>
      <c r="AP23" s="47"/>
    </row>
    <row r="24" spans="1:42" ht="12.5" x14ac:dyDescent="0.25">
      <c r="A24" s="203">
        <v>46054</v>
      </c>
      <c r="B24" s="47" t="s">
        <v>103</v>
      </c>
      <c r="C24" s="47" t="s">
        <v>96</v>
      </c>
      <c r="D24" s="47" t="s">
        <v>107</v>
      </c>
      <c r="E24" s="47" t="s">
        <v>1622</v>
      </c>
      <c r="F24" s="47" t="s">
        <v>1562</v>
      </c>
      <c r="G24" s="47" t="s">
        <v>356</v>
      </c>
      <c r="H24" s="47" t="s">
        <v>356</v>
      </c>
      <c r="I24" s="47" t="s">
        <v>246</v>
      </c>
      <c r="J24" s="47" t="s">
        <v>687</v>
      </c>
      <c r="K24" s="47" t="s">
        <v>111</v>
      </c>
      <c r="L24" s="48">
        <v>3625356</v>
      </c>
      <c r="M24" s="48"/>
      <c r="N24" s="45"/>
      <c r="O24" s="47" t="s">
        <v>1</v>
      </c>
      <c r="P24" s="47" t="s">
        <v>1</v>
      </c>
      <c r="Q24" s="47" t="s">
        <v>821</v>
      </c>
      <c r="R24" s="47" t="s">
        <v>561</v>
      </c>
      <c r="S24" s="47" t="s">
        <v>1672</v>
      </c>
      <c r="T24" s="50" t="s">
        <v>1673</v>
      </c>
      <c r="U24" s="47" t="s">
        <v>1385</v>
      </c>
      <c r="V24" s="50" t="s">
        <v>1674</v>
      </c>
      <c r="W24" s="47" t="s">
        <v>562</v>
      </c>
      <c r="X24" s="48">
        <v>1</v>
      </c>
      <c r="Y24" s="47" t="s">
        <v>687</v>
      </c>
      <c r="Z24" s="47" t="s">
        <v>436</v>
      </c>
      <c r="AA24" s="47" t="s">
        <v>105</v>
      </c>
      <c r="AB24" s="47" t="s">
        <v>111</v>
      </c>
      <c r="AC24" s="43" t="s">
        <v>99</v>
      </c>
      <c r="AD24" s="45">
        <v>3625356</v>
      </c>
      <c r="AE24" s="13">
        <v>0</v>
      </c>
      <c r="AF24" s="13"/>
      <c r="AG24" s="13">
        <v>3625356</v>
      </c>
      <c r="AH24" s="13">
        <v>0</v>
      </c>
      <c r="AI24" s="13" t="s">
        <v>1560</v>
      </c>
      <c r="AJ24" s="13" t="s">
        <v>16</v>
      </c>
      <c r="AK24" s="13"/>
      <c r="AL24" s="13"/>
      <c r="AM24" s="13">
        <v>2827777.68</v>
      </c>
      <c r="AN24" s="13">
        <v>797578.31999999983</v>
      </c>
      <c r="AO24" s="47"/>
      <c r="AP24" s="47"/>
    </row>
    <row r="25" spans="1:42" ht="12.5" x14ac:dyDescent="0.25">
      <c r="A25" s="203">
        <v>46054</v>
      </c>
      <c r="B25" s="47" t="s">
        <v>103</v>
      </c>
      <c r="C25" s="47" t="s">
        <v>96</v>
      </c>
      <c r="D25" s="47" t="s">
        <v>107</v>
      </c>
      <c r="E25" s="47" t="s">
        <v>1622</v>
      </c>
      <c r="F25" s="47" t="s">
        <v>1562</v>
      </c>
      <c r="G25" s="47" t="s">
        <v>303</v>
      </c>
      <c r="H25" s="47" t="s">
        <v>303</v>
      </c>
      <c r="I25" s="47" t="s">
        <v>306</v>
      </c>
      <c r="J25" s="47" t="s">
        <v>687</v>
      </c>
      <c r="K25" s="47" t="s">
        <v>111</v>
      </c>
      <c r="L25" s="48">
        <v>5004389.9800000004</v>
      </c>
      <c r="M25" s="48"/>
      <c r="N25" s="45" t="s">
        <v>206</v>
      </c>
      <c r="O25" s="47" t="s">
        <v>1</v>
      </c>
      <c r="P25" s="47" t="s">
        <v>1</v>
      </c>
      <c r="Q25" s="47" t="s">
        <v>1257</v>
      </c>
      <c r="R25" s="47" t="s">
        <v>561</v>
      </c>
      <c r="S25" s="47" t="s">
        <v>1675</v>
      </c>
      <c r="T25" s="50" t="s">
        <v>1676</v>
      </c>
      <c r="U25" s="47" t="s">
        <v>1253</v>
      </c>
      <c r="V25" s="50" t="s">
        <v>1677</v>
      </c>
      <c r="W25" s="47" t="s">
        <v>562</v>
      </c>
      <c r="X25" s="48">
        <v>1</v>
      </c>
      <c r="Y25" s="47" t="s">
        <v>687</v>
      </c>
      <c r="Z25" s="47" t="s">
        <v>436</v>
      </c>
      <c r="AA25" s="47" t="s">
        <v>105</v>
      </c>
      <c r="AB25" s="47" t="s">
        <v>111</v>
      </c>
      <c r="AC25" s="43" t="s">
        <v>99</v>
      </c>
      <c r="AD25" s="45">
        <v>5000000</v>
      </c>
      <c r="AE25" s="13">
        <v>4389.980000000447</v>
      </c>
      <c r="AF25" s="13"/>
      <c r="AG25" s="13">
        <v>5000000</v>
      </c>
      <c r="AH25" s="13">
        <v>4389.980000000447</v>
      </c>
      <c r="AI25" s="13" t="s">
        <v>1560</v>
      </c>
      <c r="AJ25" s="13" t="s">
        <v>16</v>
      </c>
      <c r="AK25" s="13"/>
      <c r="AL25" s="13"/>
      <c r="AM25" s="13">
        <v>3022375</v>
      </c>
      <c r="AN25" s="13">
        <v>1982014.9800000004</v>
      </c>
      <c r="AO25" s="47"/>
      <c r="AP25" s="47"/>
    </row>
    <row r="26" spans="1:42" ht="12.5" x14ac:dyDescent="0.25">
      <c r="A26" s="203">
        <v>46054</v>
      </c>
      <c r="B26" s="47" t="s">
        <v>103</v>
      </c>
      <c r="C26" s="47" t="s">
        <v>96</v>
      </c>
      <c r="D26" s="47" t="s">
        <v>107</v>
      </c>
      <c r="E26" s="47" t="s">
        <v>1622</v>
      </c>
      <c r="F26" s="47" t="s">
        <v>1562</v>
      </c>
      <c r="G26" s="47" t="s">
        <v>350</v>
      </c>
      <c r="H26" s="47" t="s">
        <v>350</v>
      </c>
      <c r="I26" s="47" t="s">
        <v>154</v>
      </c>
      <c r="J26" s="47" t="s">
        <v>687</v>
      </c>
      <c r="K26" s="47" t="s">
        <v>111</v>
      </c>
      <c r="L26" s="48">
        <v>4558905.76</v>
      </c>
      <c r="M26" s="48"/>
      <c r="N26" s="45"/>
      <c r="O26" s="47" t="s">
        <v>1</v>
      </c>
      <c r="P26" s="47" t="s">
        <v>1</v>
      </c>
      <c r="Q26" s="47" t="s">
        <v>826</v>
      </c>
      <c r="R26" s="47" t="s">
        <v>561</v>
      </c>
      <c r="S26" s="47" t="s">
        <v>1678</v>
      </c>
      <c r="T26" s="50" t="s">
        <v>1679</v>
      </c>
      <c r="U26" s="47" t="s">
        <v>1369</v>
      </c>
      <c r="V26" s="50" t="s">
        <v>1680</v>
      </c>
      <c r="W26" s="47" t="s">
        <v>562</v>
      </c>
      <c r="X26" s="48">
        <v>1</v>
      </c>
      <c r="Y26" s="47" t="s">
        <v>687</v>
      </c>
      <c r="Z26" s="47" t="s">
        <v>436</v>
      </c>
      <c r="AA26" s="47" t="s">
        <v>105</v>
      </c>
      <c r="AB26" s="47" t="s">
        <v>111</v>
      </c>
      <c r="AC26" s="43" t="s">
        <v>99</v>
      </c>
      <c r="AD26" s="45">
        <v>4558905.76</v>
      </c>
      <c r="AE26" s="13">
        <v>0</v>
      </c>
      <c r="AF26" s="13"/>
      <c r="AG26" s="13">
        <v>4558905.76</v>
      </c>
      <c r="AH26" s="13">
        <v>0</v>
      </c>
      <c r="AI26" s="13" t="s">
        <v>1560</v>
      </c>
      <c r="AJ26" s="13" t="s">
        <v>16</v>
      </c>
      <c r="AK26" s="13"/>
      <c r="AL26" s="13"/>
      <c r="AM26" s="13">
        <v>3555946.49</v>
      </c>
      <c r="AN26" s="13">
        <v>1002959.2699999996</v>
      </c>
      <c r="AO26" s="47"/>
      <c r="AP26" s="47"/>
    </row>
    <row r="27" spans="1:42" ht="12.5" x14ac:dyDescent="0.25">
      <c r="A27" s="203">
        <v>46054</v>
      </c>
      <c r="B27" s="47" t="s">
        <v>103</v>
      </c>
      <c r="C27" s="47" t="s">
        <v>96</v>
      </c>
      <c r="D27" s="47" t="s">
        <v>107</v>
      </c>
      <c r="E27" s="47" t="s">
        <v>1622</v>
      </c>
      <c r="F27" s="47" t="s">
        <v>1562</v>
      </c>
      <c r="G27" s="47" t="s">
        <v>168</v>
      </c>
      <c r="H27" s="47" t="s">
        <v>168</v>
      </c>
      <c r="I27" s="47" t="s">
        <v>171</v>
      </c>
      <c r="J27" s="47" t="s">
        <v>687</v>
      </c>
      <c r="K27" s="47" t="s">
        <v>111</v>
      </c>
      <c r="L27" s="48">
        <v>1206718.48</v>
      </c>
      <c r="M27" s="48"/>
      <c r="N27" s="45"/>
      <c r="O27" s="47" t="s">
        <v>1</v>
      </c>
      <c r="P27" s="47" t="s">
        <v>1</v>
      </c>
      <c r="Q27" s="47" t="s">
        <v>907</v>
      </c>
      <c r="R27" s="47" t="s">
        <v>561</v>
      </c>
      <c r="S27" s="47" t="s">
        <v>1681</v>
      </c>
      <c r="T27" s="50" t="s">
        <v>1682</v>
      </c>
      <c r="U27" s="47" t="s">
        <v>903</v>
      </c>
      <c r="V27" s="50" t="s">
        <v>1683</v>
      </c>
      <c r="W27" s="47" t="s">
        <v>562</v>
      </c>
      <c r="X27" s="48">
        <v>1</v>
      </c>
      <c r="Y27" s="47" t="s">
        <v>687</v>
      </c>
      <c r="Z27" s="47" t="s">
        <v>436</v>
      </c>
      <c r="AA27" s="47" t="s">
        <v>105</v>
      </c>
      <c r="AB27" s="47" t="s">
        <v>111</v>
      </c>
      <c r="AC27" s="43" t="s">
        <v>99</v>
      </c>
      <c r="AD27" s="45">
        <v>1206718.48</v>
      </c>
      <c r="AE27" s="13">
        <v>0</v>
      </c>
      <c r="AF27" s="13"/>
      <c r="AG27" s="13">
        <v>1206718.48</v>
      </c>
      <c r="AH27" s="13">
        <v>0</v>
      </c>
      <c r="AI27" s="13" t="s">
        <v>1560</v>
      </c>
      <c r="AJ27" s="13" t="s">
        <v>16</v>
      </c>
      <c r="AK27" s="13"/>
      <c r="AL27" s="13"/>
      <c r="AM27" s="13">
        <v>729431.15</v>
      </c>
      <c r="AN27" s="13">
        <v>477287.32999999996</v>
      </c>
      <c r="AO27" s="47"/>
      <c r="AP27" s="47"/>
    </row>
    <row r="28" spans="1:42" ht="12.5" x14ac:dyDescent="0.25">
      <c r="A28" s="203">
        <v>46054</v>
      </c>
      <c r="B28" s="47" t="s">
        <v>103</v>
      </c>
      <c r="C28" s="47" t="s">
        <v>96</v>
      </c>
      <c r="D28" s="47" t="s">
        <v>107</v>
      </c>
      <c r="E28" s="47" t="s">
        <v>1622</v>
      </c>
      <c r="F28" s="47" t="s">
        <v>1562</v>
      </c>
      <c r="G28" s="47" t="s">
        <v>125</v>
      </c>
      <c r="H28" s="47" t="s">
        <v>125</v>
      </c>
      <c r="I28" s="47" t="s">
        <v>128</v>
      </c>
      <c r="J28" s="47" t="s">
        <v>687</v>
      </c>
      <c r="K28" s="47" t="s">
        <v>111</v>
      </c>
      <c r="L28" s="48">
        <v>1055530.2</v>
      </c>
      <c r="M28" s="48"/>
      <c r="N28" s="45"/>
      <c r="O28" s="47" t="s">
        <v>1</v>
      </c>
      <c r="P28" s="47" t="s">
        <v>1</v>
      </c>
      <c r="Q28" s="47" t="s">
        <v>764</v>
      </c>
      <c r="R28" s="47" t="s">
        <v>561</v>
      </c>
      <c r="S28" s="47" t="s">
        <v>1684</v>
      </c>
      <c r="T28" s="50" t="s">
        <v>1685</v>
      </c>
      <c r="U28" s="47" t="s">
        <v>760</v>
      </c>
      <c r="V28" s="50" t="s">
        <v>1686</v>
      </c>
      <c r="W28" s="47" t="s">
        <v>562</v>
      </c>
      <c r="X28" s="48">
        <v>1</v>
      </c>
      <c r="Y28" s="47" t="s">
        <v>687</v>
      </c>
      <c r="Z28" s="47" t="s">
        <v>436</v>
      </c>
      <c r="AA28" s="47" t="s">
        <v>105</v>
      </c>
      <c r="AB28" s="47" t="s">
        <v>111</v>
      </c>
      <c r="AC28" s="43" t="s">
        <v>99</v>
      </c>
      <c r="AD28" s="45">
        <v>1055530.21</v>
      </c>
      <c r="AE28" s="13">
        <v>-1.0000000009313226E-2</v>
      </c>
      <c r="AF28" s="13"/>
      <c r="AG28" s="13">
        <v>1055530.21</v>
      </c>
      <c r="AH28" s="13">
        <v>-1.0000000009313226E-2</v>
      </c>
      <c r="AI28" s="13" t="s">
        <v>1560</v>
      </c>
      <c r="AJ28" s="13" t="s">
        <v>16</v>
      </c>
      <c r="AK28" s="13"/>
      <c r="AL28" s="13"/>
      <c r="AM28" s="13">
        <v>638041.62</v>
      </c>
      <c r="AN28" s="13">
        <v>417488.57999999996</v>
      </c>
      <c r="AO28" s="47"/>
      <c r="AP28" s="47"/>
    </row>
    <row r="29" spans="1:42" ht="12.5" x14ac:dyDescent="0.25">
      <c r="A29" s="203">
        <v>46054</v>
      </c>
      <c r="B29" s="47" t="s">
        <v>103</v>
      </c>
      <c r="C29" s="47" t="s">
        <v>96</v>
      </c>
      <c r="D29" s="47" t="s">
        <v>107</v>
      </c>
      <c r="E29" s="47" t="s">
        <v>1622</v>
      </c>
      <c r="F29" s="47" t="s">
        <v>1562</v>
      </c>
      <c r="G29" s="47" t="s">
        <v>129</v>
      </c>
      <c r="H29" s="47" t="s">
        <v>129</v>
      </c>
      <c r="I29" s="47" t="s">
        <v>132</v>
      </c>
      <c r="J29" s="47" t="s">
        <v>687</v>
      </c>
      <c r="K29" s="47" t="s">
        <v>111</v>
      </c>
      <c r="L29" s="48">
        <v>1269863.23</v>
      </c>
      <c r="M29" s="48"/>
      <c r="N29" s="45"/>
      <c r="O29" s="47" t="s">
        <v>1</v>
      </c>
      <c r="P29" s="47" t="s">
        <v>1</v>
      </c>
      <c r="Q29" s="47" t="s">
        <v>776</v>
      </c>
      <c r="R29" s="47" t="s">
        <v>561</v>
      </c>
      <c r="S29" s="47" t="s">
        <v>1687</v>
      </c>
      <c r="T29" s="50" t="s">
        <v>1688</v>
      </c>
      <c r="U29" s="47" t="s">
        <v>773</v>
      </c>
      <c r="V29" s="50" t="s">
        <v>1689</v>
      </c>
      <c r="W29" s="47" t="s">
        <v>562</v>
      </c>
      <c r="X29" s="48">
        <v>1</v>
      </c>
      <c r="Y29" s="47" t="s">
        <v>687</v>
      </c>
      <c r="Z29" s="47" t="s">
        <v>436</v>
      </c>
      <c r="AA29" s="47" t="s">
        <v>105</v>
      </c>
      <c r="AB29" s="47" t="s">
        <v>111</v>
      </c>
      <c r="AC29" s="43" t="s">
        <v>99</v>
      </c>
      <c r="AD29" s="45">
        <v>1269863.22</v>
      </c>
      <c r="AE29" s="13">
        <v>1.0000000009313226E-2</v>
      </c>
      <c r="AF29" s="13"/>
      <c r="AG29" s="13">
        <v>1269863.22</v>
      </c>
      <c r="AH29" s="13">
        <v>1.0000000009313226E-2</v>
      </c>
      <c r="AI29" s="13" t="s">
        <v>1560</v>
      </c>
      <c r="AJ29" s="13" t="s">
        <v>16</v>
      </c>
      <c r="AK29" s="13"/>
      <c r="AL29" s="13"/>
      <c r="AM29" s="13">
        <v>767600.57</v>
      </c>
      <c r="AN29" s="13">
        <v>502262.66000000003</v>
      </c>
      <c r="AO29" s="47"/>
      <c r="AP29" s="47"/>
    </row>
    <row r="30" spans="1:42" ht="12.5" x14ac:dyDescent="0.25">
      <c r="A30" s="203">
        <v>46054</v>
      </c>
      <c r="B30" s="47" t="s">
        <v>103</v>
      </c>
      <c r="C30" s="47" t="s">
        <v>96</v>
      </c>
      <c r="D30" s="47" t="s">
        <v>107</v>
      </c>
      <c r="E30" s="47" t="s">
        <v>1622</v>
      </c>
      <c r="F30" s="47" t="s">
        <v>1562</v>
      </c>
      <c r="G30" s="47" t="s">
        <v>328</v>
      </c>
      <c r="H30" s="47" t="s">
        <v>328</v>
      </c>
      <c r="I30" s="47" t="s">
        <v>205</v>
      </c>
      <c r="J30" s="47" t="s">
        <v>687</v>
      </c>
      <c r="K30" s="47" t="s">
        <v>111</v>
      </c>
      <c r="L30" s="48">
        <v>997649.16</v>
      </c>
      <c r="M30" s="48"/>
      <c r="N30" s="45"/>
      <c r="O30" s="47" t="s">
        <v>1</v>
      </c>
      <c r="P30" s="47" t="s">
        <v>1</v>
      </c>
      <c r="Q30" s="47" t="s">
        <v>998</v>
      </c>
      <c r="R30" s="47" t="s">
        <v>561</v>
      </c>
      <c r="S30" s="47" t="s">
        <v>1690</v>
      </c>
      <c r="T30" s="50" t="s">
        <v>1691</v>
      </c>
      <c r="U30" s="47" t="s">
        <v>1317</v>
      </c>
      <c r="V30" s="50" t="s">
        <v>1692</v>
      </c>
      <c r="W30" s="47" t="s">
        <v>562</v>
      </c>
      <c r="X30" s="48">
        <v>1</v>
      </c>
      <c r="Y30" s="47" t="s">
        <v>687</v>
      </c>
      <c r="Z30" s="47" t="s">
        <v>436</v>
      </c>
      <c r="AA30" s="47" t="s">
        <v>105</v>
      </c>
      <c r="AB30" s="47" t="s">
        <v>111</v>
      </c>
      <c r="AC30" s="43" t="s">
        <v>99</v>
      </c>
      <c r="AD30" s="45">
        <v>997649.16</v>
      </c>
      <c r="AE30" s="13">
        <v>0</v>
      </c>
      <c r="AF30" s="13"/>
      <c r="AG30" s="13">
        <v>997649.16</v>
      </c>
      <c r="AH30" s="13">
        <v>0</v>
      </c>
      <c r="AI30" s="13" t="s">
        <v>1560</v>
      </c>
      <c r="AJ30" s="13" t="s">
        <v>16</v>
      </c>
      <c r="AK30" s="13"/>
      <c r="AL30" s="13"/>
      <c r="AM30" s="13">
        <v>778166.34</v>
      </c>
      <c r="AN30" s="13">
        <v>219482.82000000007</v>
      </c>
      <c r="AO30" s="47"/>
      <c r="AP30" s="47"/>
    </row>
    <row r="31" spans="1:42" ht="12.5" x14ac:dyDescent="0.25">
      <c r="A31" s="203">
        <v>46054</v>
      </c>
      <c r="B31" s="47" t="s">
        <v>103</v>
      </c>
      <c r="C31" s="47" t="s">
        <v>96</v>
      </c>
      <c r="D31" s="47" t="s">
        <v>107</v>
      </c>
      <c r="E31" s="47" t="s">
        <v>1622</v>
      </c>
      <c r="F31" s="47" t="s">
        <v>1562</v>
      </c>
      <c r="G31" s="47" t="s">
        <v>243</v>
      </c>
      <c r="H31" s="47" t="s">
        <v>243</v>
      </c>
      <c r="I31" s="47" t="s">
        <v>246</v>
      </c>
      <c r="J31" s="47" t="s">
        <v>687</v>
      </c>
      <c r="K31" s="47" t="s">
        <v>111</v>
      </c>
      <c r="L31" s="48">
        <v>4712962.41</v>
      </c>
      <c r="M31" s="48"/>
      <c r="N31" s="45"/>
      <c r="O31" s="47" t="s">
        <v>1</v>
      </c>
      <c r="P31" s="47" t="s">
        <v>1</v>
      </c>
      <c r="Q31" s="47" t="s">
        <v>821</v>
      </c>
      <c r="R31" s="47" t="s">
        <v>561</v>
      </c>
      <c r="S31" s="47" t="s">
        <v>1693</v>
      </c>
      <c r="T31" s="50" t="s">
        <v>1694</v>
      </c>
      <c r="U31" s="47" t="s">
        <v>1097</v>
      </c>
      <c r="V31" s="50" t="s">
        <v>1695</v>
      </c>
      <c r="W31" s="47" t="s">
        <v>562</v>
      </c>
      <c r="X31" s="48">
        <v>1</v>
      </c>
      <c r="Y31" s="47" t="s">
        <v>687</v>
      </c>
      <c r="Z31" s="47" t="s">
        <v>436</v>
      </c>
      <c r="AA31" s="47" t="s">
        <v>105</v>
      </c>
      <c r="AB31" s="47" t="s">
        <v>111</v>
      </c>
      <c r="AC31" s="43" t="s">
        <v>99</v>
      </c>
      <c r="AD31" s="45">
        <v>4712962.42</v>
      </c>
      <c r="AE31" s="13">
        <v>-9.9999997764825821E-3</v>
      </c>
      <c r="AF31" s="13"/>
      <c r="AG31" s="13">
        <v>4712962.42</v>
      </c>
      <c r="AH31" s="13">
        <v>-9.9999997764825821E-3</v>
      </c>
      <c r="AI31" s="13" t="s">
        <v>1560</v>
      </c>
      <c r="AJ31" s="13" t="s">
        <v>16</v>
      </c>
      <c r="AK31" s="13"/>
      <c r="AL31" s="13"/>
      <c r="AM31" s="13">
        <v>2848867.95</v>
      </c>
      <c r="AN31" s="13">
        <v>1864094.46</v>
      </c>
      <c r="AO31" s="47"/>
      <c r="AP31" s="47"/>
    </row>
    <row r="32" spans="1:42" ht="12.5" x14ac:dyDescent="0.25">
      <c r="A32" s="203">
        <v>46054</v>
      </c>
      <c r="B32" s="47" t="s">
        <v>103</v>
      </c>
      <c r="C32" s="47" t="s">
        <v>96</v>
      </c>
      <c r="D32" s="47" t="s">
        <v>107</v>
      </c>
      <c r="E32" s="47" t="s">
        <v>1622</v>
      </c>
      <c r="F32" s="47" t="s">
        <v>1562</v>
      </c>
      <c r="G32" s="47" t="s">
        <v>214</v>
      </c>
      <c r="H32" s="47" t="s">
        <v>214</v>
      </c>
      <c r="I32" s="47" t="s">
        <v>217</v>
      </c>
      <c r="J32" s="47" t="s">
        <v>687</v>
      </c>
      <c r="K32" s="47" t="s">
        <v>111</v>
      </c>
      <c r="L32" s="48">
        <v>9577518.6899999995</v>
      </c>
      <c r="M32" s="48"/>
      <c r="N32" s="45"/>
      <c r="O32" s="47" t="s">
        <v>1</v>
      </c>
      <c r="P32" s="47" t="s">
        <v>1</v>
      </c>
      <c r="Q32" s="47" t="s">
        <v>821</v>
      </c>
      <c r="R32" s="47" t="s">
        <v>561</v>
      </c>
      <c r="S32" s="47" t="s">
        <v>1696</v>
      </c>
      <c r="T32" s="50" t="s">
        <v>1697</v>
      </c>
      <c r="U32" s="47" t="s">
        <v>1027</v>
      </c>
      <c r="V32" s="50" t="s">
        <v>1698</v>
      </c>
      <c r="W32" s="47" t="s">
        <v>562</v>
      </c>
      <c r="X32" s="48">
        <v>1</v>
      </c>
      <c r="Y32" s="47" t="s">
        <v>687</v>
      </c>
      <c r="Z32" s="47" t="s">
        <v>436</v>
      </c>
      <c r="AA32" s="47" t="s">
        <v>105</v>
      </c>
      <c r="AB32" s="47" t="s">
        <v>111</v>
      </c>
      <c r="AC32" s="43" t="s">
        <v>99</v>
      </c>
      <c r="AD32" s="45">
        <v>9577518.6799999997</v>
      </c>
      <c r="AE32" s="13">
        <v>9.9999997764825821E-3</v>
      </c>
      <c r="AF32" s="13"/>
      <c r="AG32" s="13">
        <v>9577518.6799999997</v>
      </c>
      <c r="AH32" s="13">
        <v>9.9999997764825821E-3</v>
      </c>
      <c r="AI32" s="13" t="s">
        <v>1560</v>
      </c>
      <c r="AJ32" s="13" t="s">
        <v>16</v>
      </c>
      <c r="AK32" s="13"/>
      <c r="AL32" s="13"/>
      <c r="AM32" s="13">
        <v>5789370.5999999996</v>
      </c>
      <c r="AN32" s="13">
        <v>3788148.09</v>
      </c>
      <c r="AO32" s="47"/>
      <c r="AP32" s="47"/>
    </row>
    <row r="33" spans="1:42" ht="12.5" x14ac:dyDescent="0.25">
      <c r="A33" s="203">
        <v>46054</v>
      </c>
      <c r="B33" s="47" t="s">
        <v>103</v>
      </c>
      <c r="C33" s="47" t="s">
        <v>96</v>
      </c>
      <c r="D33" s="47" t="s">
        <v>107</v>
      </c>
      <c r="E33" s="47" t="s">
        <v>1622</v>
      </c>
      <c r="F33" s="47" t="s">
        <v>1562</v>
      </c>
      <c r="G33" s="47" t="s">
        <v>366</v>
      </c>
      <c r="H33" s="47" t="s">
        <v>366</v>
      </c>
      <c r="I33" s="47" t="s">
        <v>369</v>
      </c>
      <c r="J33" s="47" t="s">
        <v>687</v>
      </c>
      <c r="K33" s="47" t="s">
        <v>111</v>
      </c>
      <c r="L33" s="48">
        <v>2499831.17</v>
      </c>
      <c r="M33" s="48"/>
      <c r="N33" s="45"/>
      <c r="O33" s="47" t="s">
        <v>1</v>
      </c>
      <c r="P33" s="47" t="s">
        <v>1</v>
      </c>
      <c r="Q33" s="47" t="s">
        <v>1257</v>
      </c>
      <c r="R33" s="47" t="s">
        <v>561</v>
      </c>
      <c r="S33" s="47" t="s">
        <v>1699</v>
      </c>
      <c r="T33" s="50" t="s">
        <v>1700</v>
      </c>
      <c r="U33" s="47" t="s">
        <v>1407</v>
      </c>
      <c r="V33" s="50" t="s">
        <v>1701</v>
      </c>
      <c r="W33" s="47" t="s">
        <v>562</v>
      </c>
      <c r="X33" s="48">
        <v>1</v>
      </c>
      <c r="Y33" s="47" t="s">
        <v>687</v>
      </c>
      <c r="Z33" s="47" t="s">
        <v>436</v>
      </c>
      <c r="AA33" s="47" t="s">
        <v>105</v>
      </c>
      <c r="AB33" s="47" t="s">
        <v>111</v>
      </c>
      <c r="AC33" s="43" t="s">
        <v>99</v>
      </c>
      <c r="AD33" s="45">
        <v>2499831.17</v>
      </c>
      <c r="AE33" s="13">
        <v>0</v>
      </c>
      <c r="AF33" s="13"/>
      <c r="AG33" s="13">
        <v>2499831.17</v>
      </c>
      <c r="AH33" s="13">
        <v>0</v>
      </c>
      <c r="AI33" s="13" t="s">
        <v>1560</v>
      </c>
      <c r="AJ33" s="13" t="s">
        <v>16</v>
      </c>
      <c r="AK33" s="13"/>
      <c r="AL33" s="13"/>
      <c r="AM33" s="13">
        <v>1949868.31</v>
      </c>
      <c r="AN33" s="13">
        <v>549962.85999999987</v>
      </c>
      <c r="AO33" s="47"/>
      <c r="AP33" s="47"/>
    </row>
    <row r="34" spans="1:42" ht="12.5" x14ac:dyDescent="0.25">
      <c r="A34" s="203">
        <v>46054</v>
      </c>
      <c r="B34" s="47" t="s">
        <v>103</v>
      </c>
      <c r="C34" s="47" t="s">
        <v>96</v>
      </c>
      <c r="D34" s="47" t="s">
        <v>107</v>
      </c>
      <c r="E34" s="47" t="s">
        <v>1622</v>
      </c>
      <c r="F34" s="47" t="s">
        <v>1562</v>
      </c>
      <c r="G34" s="47" t="s">
        <v>151</v>
      </c>
      <c r="H34" s="47" t="s">
        <v>151</v>
      </c>
      <c r="I34" s="47" t="s">
        <v>154</v>
      </c>
      <c r="J34" s="47" t="s">
        <v>687</v>
      </c>
      <c r="K34" s="47" t="s">
        <v>111</v>
      </c>
      <c r="L34" s="48">
        <v>2007664.47</v>
      </c>
      <c r="M34" s="48"/>
      <c r="N34" s="45"/>
      <c r="O34" s="47" t="s">
        <v>1</v>
      </c>
      <c r="P34" s="47" t="s">
        <v>1</v>
      </c>
      <c r="Q34" s="47" t="s">
        <v>826</v>
      </c>
      <c r="R34" s="47" t="s">
        <v>561</v>
      </c>
      <c r="S34" s="47" t="s">
        <v>1702</v>
      </c>
      <c r="T34" s="50" t="s">
        <v>1703</v>
      </c>
      <c r="U34" s="47" t="s">
        <v>853</v>
      </c>
      <c r="V34" s="50" t="s">
        <v>1704</v>
      </c>
      <c r="W34" s="47" t="s">
        <v>562</v>
      </c>
      <c r="X34" s="48">
        <v>1</v>
      </c>
      <c r="Y34" s="47" t="s">
        <v>687</v>
      </c>
      <c r="Z34" s="47" t="s">
        <v>436</v>
      </c>
      <c r="AA34" s="47" t="s">
        <v>105</v>
      </c>
      <c r="AB34" s="47" t="s">
        <v>111</v>
      </c>
      <c r="AC34" s="43" t="s">
        <v>99</v>
      </c>
      <c r="AD34" s="45">
        <v>2007664.48</v>
      </c>
      <c r="AE34" s="13">
        <v>-1.0000000009313226E-2</v>
      </c>
      <c r="AF34" s="13"/>
      <c r="AG34" s="13">
        <v>2007664.48</v>
      </c>
      <c r="AH34" s="13">
        <v>-1.0000000009313226E-2</v>
      </c>
      <c r="AI34" s="13" t="s">
        <v>1560</v>
      </c>
      <c r="AJ34" s="13" t="s">
        <v>16</v>
      </c>
      <c r="AK34" s="13"/>
      <c r="AL34" s="13"/>
      <c r="AM34" s="13">
        <v>1213582.99</v>
      </c>
      <c r="AN34" s="13">
        <v>794081.48</v>
      </c>
      <c r="AO34" s="47"/>
      <c r="AP34" s="47"/>
    </row>
    <row r="35" spans="1:42" ht="12.5" x14ac:dyDescent="0.25">
      <c r="A35" s="203">
        <v>46054</v>
      </c>
      <c r="B35" s="47" t="s">
        <v>103</v>
      </c>
      <c r="C35" s="47" t="s">
        <v>96</v>
      </c>
      <c r="D35" s="47" t="s">
        <v>107</v>
      </c>
      <c r="E35" s="47" t="s">
        <v>1622</v>
      </c>
      <c r="F35" s="47" t="s">
        <v>1562</v>
      </c>
      <c r="G35" s="47" t="s">
        <v>218</v>
      </c>
      <c r="H35" s="47" t="s">
        <v>218</v>
      </c>
      <c r="I35" s="47" t="s">
        <v>217</v>
      </c>
      <c r="J35" s="47" t="s">
        <v>687</v>
      </c>
      <c r="K35" s="47" t="s">
        <v>111</v>
      </c>
      <c r="L35" s="48">
        <v>894756.92</v>
      </c>
      <c r="M35" s="48"/>
      <c r="N35" s="45"/>
      <c r="O35" s="47" t="s">
        <v>1</v>
      </c>
      <c r="P35" s="47" t="s">
        <v>1</v>
      </c>
      <c r="Q35" s="47" t="s">
        <v>821</v>
      </c>
      <c r="R35" s="47" t="s">
        <v>561</v>
      </c>
      <c r="S35" s="47" t="s">
        <v>1705</v>
      </c>
      <c r="T35" s="50" t="s">
        <v>1706</v>
      </c>
      <c r="U35" s="47" t="s">
        <v>1034</v>
      </c>
      <c r="V35" s="50" t="s">
        <v>1707</v>
      </c>
      <c r="W35" s="47" t="s">
        <v>562</v>
      </c>
      <c r="X35" s="48">
        <v>1</v>
      </c>
      <c r="Y35" s="47" t="s">
        <v>687</v>
      </c>
      <c r="Z35" s="47" t="s">
        <v>436</v>
      </c>
      <c r="AA35" s="47" t="s">
        <v>105</v>
      </c>
      <c r="AB35" s="47" t="s">
        <v>111</v>
      </c>
      <c r="AC35" s="43" t="s">
        <v>99</v>
      </c>
      <c r="AD35" s="45">
        <v>894756.91</v>
      </c>
      <c r="AE35" s="13">
        <v>1.0000000009313226E-2</v>
      </c>
      <c r="AF35" s="13"/>
      <c r="AG35" s="13">
        <v>894756.91</v>
      </c>
      <c r="AH35" s="13">
        <v>1.0000000009313226E-2</v>
      </c>
      <c r="AI35" s="13" t="s">
        <v>1560</v>
      </c>
      <c r="AJ35" s="13" t="s">
        <v>16</v>
      </c>
      <c r="AK35" s="13"/>
      <c r="AL35" s="13"/>
      <c r="AM35" s="13">
        <v>540858.18999999994</v>
      </c>
      <c r="AN35" s="13">
        <v>353898.7300000001</v>
      </c>
      <c r="AO35" s="47"/>
      <c r="AP35" s="47"/>
    </row>
    <row r="36" spans="1:42" ht="12.5" x14ac:dyDescent="0.25">
      <c r="A36" s="203">
        <v>46054</v>
      </c>
      <c r="B36" s="47" t="s">
        <v>103</v>
      </c>
      <c r="C36" s="47" t="s">
        <v>96</v>
      </c>
      <c r="D36" s="47" t="s">
        <v>107</v>
      </c>
      <c r="E36" s="47" t="s">
        <v>1622</v>
      </c>
      <c r="F36" s="47" t="s">
        <v>1562</v>
      </c>
      <c r="G36" s="47" t="s">
        <v>262</v>
      </c>
      <c r="H36" s="47" t="s">
        <v>262</v>
      </c>
      <c r="I36" s="47" t="s">
        <v>265</v>
      </c>
      <c r="J36" s="47" t="s">
        <v>687</v>
      </c>
      <c r="K36" s="47" t="s">
        <v>111</v>
      </c>
      <c r="L36" s="48">
        <v>7991501.8200000003</v>
      </c>
      <c r="M36" s="48"/>
      <c r="N36" s="45"/>
      <c r="O36" s="47" t="s">
        <v>1</v>
      </c>
      <c r="P36" s="47" t="s">
        <v>1</v>
      </c>
      <c r="Q36" s="47" t="s">
        <v>1143</v>
      </c>
      <c r="R36" s="47" t="s">
        <v>561</v>
      </c>
      <c r="S36" s="47" t="s">
        <v>1708</v>
      </c>
      <c r="T36" s="50" t="s">
        <v>1709</v>
      </c>
      <c r="U36" s="47" t="s">
        <v>1139</v>
      </c>
      <c r="V36" s="50" t="s">
        <v>1710</v>
      </c>
      <c r="W36" s="47" t="s">
        <v>562</v>
      </c>
      <c r="X36" s="48">
        <v>1</v>
      </c>
      <c r="Y36" s="47" t="s">
        <v>687</v>
      </c>
      <c r="Z36" s="47" t="s">
        <v>436</v>
      </c>
      <c r="AA36" s="47" t="s">
        <v>105</v>
      </c>
      <c r="AB36" s="47" t="s">
        <v>111</v>
      </c>
      <c r="AC36" s="43" t="s">
        <v>99</v>
      </c>
      <c r="AD36" s="45">
        <v>7991501.8099999996</v>
      </c>
      <c r="AE36" s="13">
        <v>1.0000000707805157E-2</v>
      </c>
      <c r="AF36" s="13"/>
      <c r="AG36" s="13">
        <v>7991501.8099999996</v>
      </c>
      <c r="AH36" s="13">
        <v>1.0000000707805157E-2</v>
      </c>
      <c r="AI36" s="13" t="s">
        <v>1560</v>
      </c>
      <c r="AJ36" s="13" t="s">
        <v>16</v>
      </c>
      <c r="AK36" s="13"/>
      <c r="AL36" s="13"/>
      <c r="AM36" s="13">
        <v>4830663.0599999996</v>
      </c>
      <c r="AN36" s="13">
        <v>3160838.7600000007</v>
      </c>
      <c r="AO36" s="47"/>
      <c r="AP36" s="47"/>
    </row>
    <row r="37" spans="1:42" ht="12.5" x14ac:dyDescent="0.25">
      <c r="A37" s="203">
        <v>46054</v>
      </c>
      <c r="B37" s="47" t="s">
        <v>103</v>
      </c>
      <c r="C37" s="47" t="s">
        <v>96</v>
      </c>
      <c r="D37" s="47" t="s">
        <v>107</v>
      </c>
      <c r="E37" s="47" t="s">
        <v>1622</v>
      </c>
      <c r="F37" s="47" t="s">
        <v>1562</v>
      </c>
      <c r="G37" s="47" t="s">
        <v>390</v>
      </c>
      <c r="H37" s="47" t="s">
        <v>390</v>
      </c>
      <c r="I37" s="47" t="s">
        <v>196</v>
      </c>
      <c r="J37" s="47" t="s">
        <v>687</v>
      </c>
      <c r="K37" s="47" t="s">
        <v>111</v>
      </c>
      <c r="L37" s="48">
        <v>343.25</v>
      </c>
      <c r="M37" s="48"/>
      <c r="N37" s="45"/>
      <c r="O37" s="47" t="s">
        <v>1</v>
      </c>
      <c r="P37" s="47" t="s">
        <v>1</v>
      </c>
      <c r="Q37" s="47" t="s">
        <v>974</v>
      </c>
      <c r="R37" s="47" t="s">
        <v>561</v>
      </c>
      <c r="S37" s="47" t="s">
        <v>1711</v>
      </c>
      <c r="T37" s="50" t="s">
        <v>1712</v>
      </c>
      <c r="U37" s="47" t="s">
        <v>1462</v>
      </c>
      <c r="V37" s="50" t="s">
        <v>1713</v>
      </c>
      <c r="W37" s="47" t="s">
        <v>562</v>
      </c>
      <c r="X37" s="48">
        <v>1</v>
      </c>
      <c r="Y37" s="47" t="s">
        <v>687</v>
      </c>
      <c r="Z37" s="47" t="s">
        <v>436</v>
      </c>
      <c r="AA37" s="47" t="s">
        <v>105</v>
      </c>
      <c r="AB37" s="47" t="s">
        <v>111</v>
      </c>
      <c r="AC37" s="43" t="s">
        <v>99</v>
      </c>
      <c r="AD37" s="45">
        <v>343.25</v>
      </c>
      <c r="AE37" s="13">
        <v>0</v>
      </c>
      <c r="AF37" s="13"/>
      <c r="AG37" s="13">
        <v>343.25</v>
      </c>
      <c r="AH37" s="13">
        <v>0</v>
      </c>
      <c r="AI37" s="13" t="s">
        <v>1560</v>
      </c>
      <c r="AJ37" s="13" t="s">
        <v>16</v>
      </c>
      <c r="AK37" s="13"/>
      <c r="AL37" s="13"/>
      <c r="AM37" s="13">
        <v>267.73</v>
      </c>
      <c r="AN37" s="13">
        <v>75.519999999999982</v>
      </c>
      <c r="AO37" s="47"/>
      <c r="AP37" s="47"/>
    </row>
    <row r="38" spans="1:42" ht="12.5" x14ac:dyDescent="0.25">
      <c r="A38" s="203">
        <v>46054</v>
      </c>
      <c r="B38" s="47" t="s">
        <v>103</v>
      </c>
      <c r="C38" s="47" t="s">
        <v>96</v>
      </c>
      <c r="D38" s="47" t="s">
        <v>107</v>
      </c>
      <c r="E38" s="47" t="s">
        <v>1622</v>
      </c>
      <c r="F38" s="47" t="s">
        <v>1562</v>
      </c>
      <c r="G38" s="47" t="s">
        <v>282</v>
      </c>
      <c r="H38" s="47" t="s">
        <v>282</v>
      </c>
      <c r="I38" s="47" t="s">
        <v>285</v>
      </c>
      <c r="J38" s="47" t="s">
        <v>687</v>
      </c>
      <c r="K38" s="47" t="s">
        <v>111</v>
      </c>
      <c r="L38" s="48">
        <v>798524.61</v>
      </c>
      <c r="M38" s="48"/>
      <c r="N38" s="45"/>
      <c r="O38" s="47" t="s">
        <v>1</v>
      </c>
      <c r="P38" s="47" t="s">
        <v>1</v>
      </c>
      <c r="Q38" s="47" t="s">
        <v>1195</v>
      </c>
      <c r="R38" s="47" t="s">
        <v>561</v>
      </c>
      <c r="S38" s="47" t="s">
        <v>1714</v>
      </c>
      <c r="T38" s="50" t="s">
        <v>1715</v>
      </c>
      <c r="U38" s="47" t="s">
        <v>1192</v>
      </c>
      <c r="V38" s="50" t="s">
        <v>1716</v>
      </c>
      <c r="W38" s="47" t="s">
        <v>562</v>
      </c>
      <c r="X38" s="48">
        <v>1</v>
      </c>
      <c r="Y38" s="47" t="s">
        <v>687</v>
      </c>
      <c r="Z38" s="47" t="s">
        <v>436</v>
      </c>
      <c r="AA38" s="47" t="s">
        <v>105</v>
      </c>
      <c r="AB38" s="47" t="s">
        <v>111</v>
      </c>
      <c r="AC38" s="43" t="s">
        <v>99</v>
      </c>
      <c r="AD38" s="45">
        <v>798524.61</v>
      </c>
      <c r="AE38" s="13">
        <v>0</v>
      </c>
      <c r="AF38" s="13"/>
      <c r="AG38" s="13">
        <v>798524.61</v>
      </c>
      <c r="AH38" s="13">
        <v>0</v>
      </c>
      <c r="AI38" s="13" t="s">
        <v>1560</v>
      </c>
      <c r="AJ38" s="13" t="s">
        <v>16</v>
      </c>
      <c r="AK38" s="13"/>
      <c r="AL38" s="13"/>
      <c r="AM38" s="13">
        <v>482688.16</v>
      </c>
      <c r="AN38" s="13">
        <v>315836.45</v>
      </c>
      <c r="AO38" s="47"/>
      <c r="AP38" s="47"/>
    </row>
    <row r="39" spans="1:42" ht="12.5" x14ac:dyDescent="0.25">
      <c r="A39" s="203">
        <v>46054</v>
      </c>
      <c r="B39" s="47" t="s">
        <v>103</v>
      </c>
      <c r="C39" s="47" t="s">
        <v>96</v>
      </c>
      <c r="D39" s="47" t="s">
        <v>107</v>
      </c>
      <c r="E39" s="47" t="s">
        <v>1622</v>
      </c>
      <c r="F39" s="47" t="s">
        <v>1562</v>
      </c>
      <c r="G39" s="47" t="s">
        <v>117</v>
      </c>
      <c r="H39" s="47" t="s">
        <v>117</v>
      </c>
      <c r="I39" s="47" t="s">
        <v>120</v>
      </c>
      <c r="J39" s="47" t="s">
        <v>687</v>
      </c>
      <c r="K39" s="47" t="s">
        <v>111</v>
      </c>
      <c r="L39" s="48">
        <v>3113913.08</v>
      </c>
      <c r="M39" s="48"/>
      <c r="N39" s="45"/>
      <c r="O39" s="47" t="s">
        <v>1</v>
      </c>
      <c r="P39" s="47" t="s">
        <v>1</v>
      </c>
      <c r="Q39" s="47" t="s">
        <v>732</v>
      </c>
      <c r="R39" s="47" t="s">
        <v>561</v>
      </c>
      <c r="S39" s="47" t="s">
        <v>1717</v>
      </c>
      <c r="T39" s="50" t="s">
        <v>1718</v>
      </c>
      <c r="U39" s="47" t="s">
        <v>729</v>
      </c>
      <c r="V39" s="50" t="s">
        <v>1719</v>
      </c>
      <c r="W39" s="47" t="s">
        <v>562</v>
      </c>
      <c r="X39" s="48">
        <v>1</v>
      </c>
      <c r="Y39" s="47" t="s">
        <v>687</v>
      </c>
      <c r="Z39" s="47" t="s">
        <v>436</v>
      </c>
      <c r="AA39" s="47" t="s">
        <v>105</v>
      </c>
      <c r="AB39" s="47" t="s">
        <v>111</v>
      </c>
      <c r="AC39" s="43" t="s">
        <v>99</v>
      </c>
      <c r="AD39" s="45">
        <v>3113913.08</v>
      </c>
      <c r="AE39" s="13">
        <v>0</v>
      </c>
      <c r="AF39" s="13"/>
      <c r="AG39" s="13">
        <v>3113913.08</v>
      </c>
      <c r="AH39" s="13">
        <v>0</v>
      </c>
      <c r="AI39" s="13" t="s">
        <v>1560</v>
      </c>
      <c r="AJ39" s="13" t="s">
        <v>16</v>
      </c>
      <c r="AK39" s="13"/>
      <c r="AL39" s="13"/>
      <c r="AM39" s="13">
        <v>1882282.61</v>
      </c>
      <c r="AN39" s="13">
        <v>1231630.47</v>
      </c>
      <c r="AO39" s="47"/>
      <c r="AP39" s="47"/>
    </row>
    <row r="40" spans="1:42" ht="12.5" x14ac:dyDescent="0.25">
      <c r="A40" s="203">
        <v>46054</v>
      </c>
      <c r="B40" s="47" t="s">
        <v>103</v>
      </c>
      <c r="C40" s="47" t="s">
        <v>96</v>
      </c>
      <c r="D40" s="47" t="s">
        <v>107</v>
      </c>
      <c r="E40" s="47" t="s">
        <v>1622</v>
      </c>
      <c r="F40" s="47" t="s">
        <v>1562</v>
      </c>
      <c r="G40" s="47" t="s">
        <v>188</v>
      </c>
      <c r="H40" s="47" t="s">
        <v>188</v>
      </c>
      <c r="I40" s="47" t="s">
        <v>191</v>
      </c>
      <c r="J40" s="47" t="s">
        <v>687</v>
      </c>
      <c r="K40" s="47" t="s">
        <v>111</v>
      </c>
      <c r="L40" s="48">
        <v>5546437.7000000002</v>
      </c>
      <c r="M40" s="48"/>
      <c r="N40" s="45"/>
      <c r="O40" s="47" t="s">
        <v>1</v>
      </c>
      <c r="P40" s="47" t="s">
        <v>1</v>
      </c>
      <c r="Q40" s="47" t="s">
        <v>821</v>
      </c>
      <c r="R40" s="47" t="s">
        <v>561</v>
      </c>
      <c r="S40" s="47" t="s">
        <v>1720</v>
      </c>
      <c r="T40" s="50" t="s">
        <v>1721</v>
      </c>
      <c r="U40" s="47" t="s">
        <v>963</v>
      </c>
      <c r="V40" s="50" t="s">
        <v>1722</v>
      </c>
      <c r="W40" s="47" t="s">
        <v>562</v>
      </c>
      <c r="X40" s="48">
        <v>1</v>
      </c>
      <c r="Y40" s="47" t="s">
        <v>687</v>
      </c>
      <c r="Z40" s="47" t="s">
        <v>436</v>
      </c>
      <c r="AA40" s="47" t="s">
        <v>105</v>
      </c>
      <c r="AB40" s="47" t="s">
        <v>111</v>
      </c>
      <c r="AC40" s="43" t="s">
        <v>99</v>
      </c>
      <c r="AD40" s="45">
        <v>5546437.7000000002</v>
      </c>
      <c r="AE40" s="13">
        <v>0</v>
      </c>
      <c r="AF40" s="13"/>
      <c r="AG40" s="13">
        <v>5546437.7000000002</v>
      </c>
      <c r="AH40" s="13">
        <v>0</v>
      </c>
      <c r="AI40" s="13" t="s">
        <v>1560</v>
      </c>
      <c r="AJ40" s="13" t="s">
        <v>16</v>
      </c>
      <c r="AK40" s="13"/>
      <c r="AL40" s="13"/>
      <c r="AM40" s="13">
        <v>3352682.93</v>
      </c>
      <c r="AN40" s="13">
        <v>2193754.77</v>
      </c>
      <c r="AO40" s="47"/>
      <c r="AP40" s="47"/>
    </row>
    <row r="41" spans="1:42" ht="12.5" x14ac:dyDescent="0.25">
      <c r="A41" s="203">
        <v>46054</v>
      </c>
      <c r="B41" s="47" t="s">
        <v>103</v>
      </c>
      <c r="C41" s="47" t="s">
        <v>96</v>
      </c>
      <c r="D41" s="47" t="s">
        <v>107</v>
      </c>
      <c r="E41" s="47" t="s">
        <v>1622</v>
      </c>
      <c r="F41" s="47" t="s">
        <v>1562</v>
      </c>
      <c r="G41" s="47" t="s">
        <v>247</v>
      </c>
      <c r="H41" s="47" t="s">
        <v>247</v>
      </c>
      <c r="I41" s="47" t="s">
        <v>250</v>
      </c>
      <c r="J41" s="47" t="s">
        <v>687</v>
      </c>
      <c r="K41" s="47" t="s">
        <v>111</v>
      </c>
      <c r="L41" s="48">
        <v>7779983.4400000004</v>
      </c>
      <c r="M41" s="48"/>
      <c r="N41" s="45"/>
      <c r="O41" s="47" t="s">
        <v>1</v>
      </c>
      <c r="P41" s="47" t="s">
        <v>1</v>
      </c>
      <c r="Q41" s="47" t="s">
        <v>1108</v>
      </c>
      <c r="R41" s="47" t="s">
        <v>561</v>
      </c>
      <c r="S41" s="47" t="s">
        <v>1723</v>
      </c>
      <c r="T41" s="50" t="s">
        <v>1724</v>
      </c>
      <c r="U41" s="47" t="s">
        <v>1104</v>
      </c>
      <c r="V41" s="50" t="s">
        <v>1725</v>
      </c>
      <c r="W41" s="47" t="s">
        <v>562</v>
      </c>
      <c r="X41" s="48">
        <v>1</v>
      </c>
      <c r="Y41" s="47" t="s">
        <v>687</v>
      </c>
      <c r="Z41" s="47" t="s">
        <v>436</v>
      </c>
      <c r="AA41" s="47" t="s">
        <v>105</v>
      </c>
      <c r="AB41" s="47" t="s">
        <v>111</v>
      </c>
      <c r="AC41" s="43" t="s">
        <v>99</v>
      </c>
      <c r="AD41" s="45">
        <v>7779983.4400000004</v>
      </c>
      <c r="AE41" s="13">
        <v>0</v>
      </c>
      <c r="AF41" s="13"/>
      <c r="AG41" s="13">
        <v>7779983.4400000004</v>
      </c>
      <c r="AH41" s="13">
        <v>0</v>
      </c>
      <c r="AI41" s="13" t="s">
        <v>1560</v>
      </c>
      <c r="AJ41" s="13" t="s">
        <v>16</v>
      </c>
      <c r="AK41" s="13"/>
      <c r="AL41" s="13"/>
      <c r="AM41" s="13">
        <v>4702805.49</v>
      </c>
      <c r="AN41" s="13">
        <v>3077177.95</v>
      </c>
      <c r="AO41" s="47"/>
      <c r="AP41" s="47"/>
    </row>
    <row r="42" spans="1:42" ht="12.5" x14ac:dyDescent="0.25">
      <c r="A42" s="203">
        <v>46054</v>
      </c>
      <c r="B42" s="47" t="s">
        <v>103</v>
      </c>
      <c r="C42" s="47" t="s">
        <v>96</v>
      </c>
      <c r="D42" s="47" t="s">
        <v>107</v>
      </c>
      <c r="E42" s="47" t="s">
        <v>1622</v>
      </c>
      <c r="F42" s="47" t="s">
        <v>1562</v>
      </c>
      <c r="G42" s="47" t="s">
        <v>201</v>
      </c>
      <c r="H42" s="47" t="s">
        <v>201</v>
      </c>
      <c r="I42" s="47" t="s">
        <v>205</v>
      </c>
      <c r="J42" s="47" t="s">
        <v>687</v>
      </c>
      <c r="K42" s="47" t="s">
        <v>111</v>
      </c>
      <c r="L42" s="48">
        <v>241926.19</v>
      </c>
      <c r="M42" s="48"/>
      <c r="N42" s="45"/>
      <c r="O42" s="47" t="s">
        <v>1</v>
      </c>
      <c r="P42" s="47" t="s">
        <v>1</v>
      </c>
      <c r="Q42" s="47" t="s">
        <v>998</v>
      </c>
      <c r="R42" s="47" t="s">
        <v>561</v>
      </c>
      <c r="S42" s="47" t="s">
        <v>1726</v>
      </c>
      <c r="T42" s="50" t="s">
        <v>1727</v>
      </c>
      <c r="U42" s="47" t="s">
        <v>994</v>
      </c>
      <c r="V42" s="50" t="s">
        <v>1728</v>
      </c>
      <c r="W42" s="47" t="s">
        <v>562</v>
      </c>
      <c r="X42" s="48">
        <v>1</v>
      </c>
      <c r="Y42" s="47" t="s">
        <v>687</v>
      </c>
      <c r="Z42" s="47" t="s">
        <v>436</v>
      </c>
      <c r="AA42" s="47" t="s">
        <v>105</v>
      </c>
      <c r="AB42" s="47" t="s">
        <v>111</v>
      </c>
      <c r="AC42" s="43" t="s">
        <v>99</v>
      </c>
      <c r="AD42" s="45">
        <v>241926.19</v>
      </c>
      <c r="AE42" s="13">
        <v>0</v>
      </c>
      <c r="AF42" s="13"/>
      <c r="AG42" s="13">
        <v>241926.19</v>
      </c>
      <c r="AH42" s="13">
        <v>0</v>
      </c>
      <c r="AI42" s="13" t="s">
        <v>1560</v>
      </c>
      <c r="AJ42" s="13" t="s">
        <v>16</v>
      </c>
      <c r="AK42" s="13"/>
      <c r="AL42" s="13"/>
      <c r="AM42" s="13">
        <v>188702.43</v>
      </c>
      <c r="AN42" s="13">
        <v>53223.760000000009</v>
      </c>
      <c r="AO42" s="47"/>
      <c r="AP42" s="47"/>
    </row>
    <row r="43" spans="1:42" ht="12.5" x14ac:dyDescent="0.25">
      <c r="A43" s="203">
        <v>46054</v>
      </c>
      <c r="B43" s="47" t="s">
        <v>103</v>
      </c>
      <c r="C43" s="47" t="s">
        <v>96</v>
      </c>
      <c r="D43" s="47" t="s">
        <v>107</v>
      </c>
      <c r="E43" s="47" t="s">
        <v>1622</v>
      </c>
      <c r="F43" s="47" t="s">
        <v>1562</v>
      </c>
      <c r="G43" s="47" t="s">
        <v>133</v>
      </c>
      <c r="H43" s="47" t="s">
        <v>133</v>
      </c>
      <c r="I43" s="47" t="s">
        <v>136</v>
      </c>
      <c r="J43" s="47" t="s">
        <v>687</v>
      </c>
      <c r="K43" s="47" t="s">
        <v>111</v>
      </c>
      <c r="L43" s="48">
        <v>1900327.94</v>
      </c>
      <c r="M43" s="48"/>
      <c r="N43" s="45"/>
      <c r="O43" s="47" t="s">
        <v>1</v>
      </c>
      <c r="P43" s="47" t="s">
        <v>1</v>
      </c>
      <c r="Q43" s="47" t="s">
        <v>789</v>
      </c>
      <c r="R43" s="47" t="s">
        <v>561</v>
      </c>
      <c r="S43" s="47" t="s">
        <v>1729</v>
      </c>
      <c r="T43" s="50" t="s">
        <v>1730</v>
      </c>
      <c r="U43" s="47" t="s">
        <v>785</v>
      </c>
      <c r="V43" s="50" t="s">
        <v>1731</v>
      </c>
      <c r="W43" s="47" t="s">
        <v>562</v>
      </c>
      <c r="X43" s="48">
        <v>1</v>
      </c>
      <c r="Y43" s="47" t="s">
        <v>687</v>
      </c>
      <c r="Z43" s="47" t="s">
        <v>436</v>
      </c>
      <c r="AA43" s="47" t="s">
        <v>105</v>
      </c>
      <c r="AB43" s="47" t="s">
        <v>111</v>
      </c>
      <c r="AC43" s="43" t="s">
        <v>99</v>
      </c>
      <c r="AD43" s="45">
        <v>1900327.95</v>
      </c>
      <c r="AE43" s="13">
        <v>-1.0000000009313226E-2</v>
      </c>
      <c r="AF43" s="13"/>
      <c r="AG43" s="13">
        <v>1900327.95</v>
      </c>
      <c r="AH43" s="13">
        <v>-1.0000000009313226E-2</v>
      </c>
      <c r="AI43" s="13" t="s">
        <v>1560</v>
      </c>
      <c r="AJ43" s="13" t="s">
        <v>16</v>
      </c>
      <c r="AK43" s="13"/>
      <c r="AL43" s="13"/>
      <c r="AM43" s="13">
        <v>1148700.73</v>
      </c>
      <c r="AN43" s="13">
        <v>751627.21</v>
      </c>
      <c r="AO43" s="47"/>
      <c r="AP43" s="47"/>
    </row>
    <row r="44" spans="1:42" ht="12.5" x14ac:dyDescent="0.25">
      <c r="A44" s="203">
        <v>46054</v>
      </c>
      <c r="B44" s="47" t="s">
        <v>103</v>
      </c>
      <c r="C44" s="47" t="s">
        <v>96</v>
      </c>
      <c r="D44" s="47" t="s">
        <v>107</v>
      </c>
      <c r="E44" s="47" t="s">
        <v>1622</v>
      </c>
      <c r="F44" s="47" t="s">
        <v>1562</v>
      </c>
      <c r="G44" s="47" t="s">
        <v>233</v>
      </c>
      <c r="H44" s="47" t="s">
        <v>233</v>
      </c>
      <c r="I44" s="47" t="s">
        <v>158</v>
      </c>
      <c r="J44" s="47" t="s">
        <v>687</v>
      </c>
      <c r="K44" s="47" t="s">
        <v>111</v>
      </c>
      <c r="L44" s="48">
        <v>4055968.33</v>
      </c>
      <c r="M44" s="48"/>
      <c r="N44" s="45"/>
      <c r="O44" s="47" t="s">
        <v>1</v>
      </c>
      <c r="P44" s="47" t="s">
        <v>1</v>
      </c>
      <c r="Q44" s="47" t="s">
        <v>871</v>
      </c>
      <c r="R44" s="47" t="s">
        <v>561</v>
      </c>
      <c r="S44" s="47" t="s">
        <v>1732</v>
      </c>
      <c r="T44" s="50" t="s">
        <v>1733</v>
      </c>
      <c r="U44" s="47" t="s">
        <v>1071</v>
      </c>
      <c r="V44" s="50" t="s">
        <v>1734</v>
      </c>
      <c r="W44" s="47" t="s">
        <v>562</v>
      </c>
      <c r="X44" s="48">
        <v>1</v>
      </c>
      <c r="Y44" s="47" t="s">
        <v>687</v>
      </c>
      <c r="Z44" s="47" t="s">
        <v>436</v>
      </c>
      <c r="AA44" s="47" t="s">
        <v>105</v>
      </c>
      <c r="AB44" s="47" t="s">
        <v>111</v>
      </c>
      <c r="AC44" s="43" t="s">
        <v>99</v>
      </c>
      <c r="AD44" s="45">
        <v>4055968.32</v>
      </c>
      <c r="AE44" s="13">
        <v>1.0000000242143869E-2</v>
      </c>
      <c r="AF44" s="13"/>
      <c r="AG44" s="13">
        <v>4055968.32</v>
      </c>
      <c r="AH44" s="13">
        <v>1.0000000242143869E-2</v>
      </c>
      <c r="AI44" s="13" t="s">
        <v>1560</v>
      </c>
      <c r="AJ44" s="13" t="s">
        <v>16</v>
      </c>
      <c r="AK44" s="13"/>
      <c r="AL44" s="13"/>
      <c r="AM44" s="13">
        <v>2451731.4500000002</v>
      </c>
      <c r="AN44" s="13">
        <v>1604236.88</v>
      </c>
      <c r="AO44" s="47"/>
      <c r="AP44" s="47"/>
    </row>
    <row r="45" spans="1:42" ht="12.5" x14ac:dyDescent="0.25">
      <c r="A45" s="203">
        <v>46054</v>
      </c>
      <c r="B45" s="47" t="s">
        <v>103</v>
      </c>
      <c r="C45" s="47" t="s">
        <v>96</v>
      </c>
      <c r="D45" s="47" t="s">
        <v>107</v>
      </c>
      <c r="E45" s="47" t="s">
        <v>1622</v>
      </c>
      <c r="F45" s="47" t="s">
        <v>1562</v>
      </c>
      <c r="G45" s="47" t="s">
        <v>343</v>
      </c>
      <c r="H45" s="47" t="s">
        <v>343</v>
      </c>
      <c r="I45" s="47" t="s">
        <v>346</v>
      </c>
      <c r="J45" s="47" t="s">
        <v>687</v>
      </c>
      <c r="K45" s="47" t="s">
        <v>111</v>
      </c>
      <c r="L45" s="48">
        <v>2906163.1</v>
      </c>
      <c r="M45" s="48"/>
      <c r="N45" s="45"/>
      <c r="O45" s="47" t="s">
        <v>1</v>
      </c>
      <c r="P45" s="47" t="s">
        <v>1</v>
      </c>
      <c r="Q45" s="47" t="s">
        <v>991</v>
      </c>
      <c r="R45" s="47" t="s">
        <v>561</v>
      </c>
      <c r="S45" s="47" t="s">
        <v>1735</v>
      </c>
      <c r="T45" s="50" t="s">
        <v>1736</v>
      </c>
      <c r="U45" s="47" t="s">
        <v>1353</v>
      </c>
      <c r="V45" s="50" t="s">
        <v>1737</v>
      </c>
      <c r="W45" s="47" t="s">
        <v>562</v>
      </c>
      <c r="X45" s="48">
        <v>1</v>
      </c>
      <c r="Y45" s="47" t="s">
        <v>687</v>
      </c>
      <c r="Z45" s="47" t="s">
        <v>436</v>
      </c>
      <c r="AA45" s="47" t="s">
        <v>105</v>
      </c>
      <c r="AB45" s="47" t="s">
        <v>111</v>
      </c>
      <c r="AC45" s="43" t="s">
        <v>99</v>
      </c>
      <c r="AD45" s="45">
        <v>2906163.1</v>
      </c>
      <c r="AE45" s="13">
        <v>0</v>
      </c>
      <c r="AF45" s="13"/>
      <c r="AG45" s="13">
        <v>2906163.1</v>
      </c>
      <c r="AH45" s="13">
        <v>0</v>
      </c>
      <c r="AI45" s="13" t="s">
        <v>1560</v>
      </c>
      <c r="AJ45" s="13" t="s">
        <v>16</v>
      </c>
      <c r="AK45" s="13"/>
      <c r="AL45" s="13"/>
      <c r="AM45" s="13">
        <v>2266807.2200000002</v>
      </c>
      <c r="AN45" s="13">
        <v>639355.87999999989</v>
      </c>
      <c r="AO45" s="47"/>
      <c r="AP45" s="47"/>
    </row>
    <row r="46" spans="1:42" ht="12.5" x14ac:dyDescent="0.25">
      <c r="A46" s="203">
        <v>46054</v>
      </c>
      <c r="B46" s="47" t="s">
        <v>103</v>
      </c>
      <c r="C46" s="47" t="s">
        <v>96</v>
      </c>
      <c r="D46" s="47" t="s">
        <v>107</v>
      </c>
      <c r="E46" s="47" t="s">
        <v>1622</v>
      </c>
      <c r="F46" s="47" t="s">
        <v>1562</v>
      </c>
      <c r="G46" s="47" t="s">
        <v>290</v>
      </c>
      <c r="H46" s="47" t="s">
        <v>290</v>
      </c>
      <c r="I46" s="47" t="s">
        <v>210</v>
      </c>
      <c r="J46" s="47" t="s">
        <v>687</v>
      </c>
      <c r="K46" s="47" t="s">
        <v>111</v>
      </c>
      <c r="L46" s="48">
        <v>1419697.04</v>
      </c>
      <c r="M46" s="48"/>
      <c r="N46" s="45"/>
      <c r="O46" s="47" t="s">
        <v>1</v>
      </c>
      <c r="P46" s="47" t="s">
        <v>1</v>
      </c>
      <c r="Q46" s="47" t="s">
        <v>1011</v>
      </c>
      <c r="R46" s="47" t="s">
        <v>561</v>
      </c>
      <c r="S46" s="47" t="s">
        <v>1738</v>
      </c>
      <c r="T46" s="50" t="s">
        <v>1739</v>
      </c>
      <c r="U46" s="47" t="s">
        <v>1221</v>
      </c>
      <c r="V46" s="50" t="s">
        <v>1740</v>
      </c>
      <c r="W46" s="47" t="s">
        <v>562</v>
      </c>
      <c r="X46" s="48">
        <v>1</v>
      </c>
      <c r="Y46" s="47" t="s">
        <v>687</v>
      </c>
      <c r="Z46" s="47" t="s">
        <v>436</v>
      </c>
      <c r="AA46" s="47" t="s">
        <v>105</v>
      </c>
      <c r="AB46" s="47" t="s">
        <v>111</v>
      </c>
      <c r="AC46" s="43" t="s">
        <v>99</v>
      </c>
      <c r="AD46" s="45">
        <v>1419697.03</v>
      </c>
      <c r="AE46" s="13">
        <v>1.0000000009313226E-2</v>
      </c>
      <c r="AF46" s="13"/>
      <c r="AG46" s="13">
        <v>1419697.03</v>
      </c>
      <c r="AH46" s="13">
        <v>1.0000000009313226E-2</v>
      </c>
      <c r="AI46" s="13" t="s">
        <v>1560</v>
      </c>
      <c r="AJ46" s="13" t="s">
        <v>16</v>
      </c>
      <c r="AK46" s="13"/>
      <c r="AL46" s="13"/>
      <c r="AM46" s="13">
        <v>858171.37</v>
      </c>
      <c r="AN46" s="13">
        <v>561525.67000000004</v>
      </c>
      <c r="AO46" s="47"/>
      <c r="AP46" s="47"/>
    </row>
    <row r="47" spans="1:42" ht="12.5" x14ac:dyDescent="0.25">
      <c r="A47" s="203">
        <v>46054</v>
      </c>
      <c r="B47" s="47" t="s">
        <v>103</v>
      </c>
      <c r="C47" s="47" t="s">
        <v>96</v>
      </c>
      <c r="D47" s="47" t="s">
        <v>107</v>
      </c>
      <c r="E47" s="47" t="s">
        <v>1622</v>
      </c>
      <c r="F47" s="47" t="s">
        <v>1562</v>
      </c>
      <c r="G47" s="47" t="s">
        <v>230</v>
      </c>
      <c r="H47" s="47" t="s">
        <v>230</v>
      </c>
      <c r="I47" s="47" t="s">
        <v>158</v>
      </c>
      <c r="J47" s="47" t="s">
        <v>687</v>
      </c>
      <c r="K47" s="47" t="s">
        <v>111</v>
      </c>
      <c r="L47" s="48">
        <v>893323.9</v>
      </c>
      <c r="M47" s="48"/>
      <c r="N47" s="45"/>
      <c r="O47" s="47" t="s">
        <v>1</v>
      </c>
      <c r="P47" s="47" t="s">
        <v>1</v>
      </c>
      <c r="Q47" s="47" t="s">
        <v>871</v>
      </c>
      <c r="R47" s="47" t="s">
        <v>561</v>
      </c>
      <c r="S47" s="47" t="s">
        <v>1741</v>
      </c>
      <c r="T47" s="50" t="s">
        <v>1742</v>
      </c>
      <c r="U47" s="47" t="s">
        <v>1064</v>
      </c>
      <c r="V47" s="50" t="s">
        <v>1743</v>
      </c>
      <c r="W47" s="47" t="s">
        <v>562</v>
      </c>
      <c r="X47" s="48">
        <v>1</v>
      </c>
      <c r="Y47" s="47" t="s">
        <v>687</v>
      </c>
      <c r="Z47" s="47" t="s">
        <v>436</v>
      </c>
      <c r="AA47" s="47" t="s">
        <v>105</v>
      </c>
      <c r="AB47" s="47" t="s">
        <v>111</v>
      </c>
      <c r="AC47" s="43" t="s">
        <v>99</v>
      </c>
      <c r="AD47" s="45">
        <v>893323.9</v>
      </c>
      <c r="AE47" s="13">
        <v>0</v>
      </c>
      <c r="AF47" s="13"/>
      <c r="AG47" s="13">
        <v>893323.9</v>
      </c>
      <c r="AH47" s="13">
        <v>0</v>
      </c>
      <c r="AI47" s="13" t="s">
        <v>1560</v>
      </c>
      <c r="AJ47" s="13" t="s">
        <v>16</v>
      </c>
      <c r="AK47" s="13"/>
      <c r="AL47" s="13"/>
      <c r="AM47" s="13">
        <v>539991.96</v>
      </c>
      <c r="AN47" s="13">
        <v>353331.94000000006</v>
      </c>
      <c r="AO47" s="47"/>
      <c r="AP47" s="47"/>
    </row>
    <row r="48" spans="1:42" ht="12.5" x14ac:dyDescent="0.25">
      <c r="A48" s="203">
        <v>46054</v>
      </c>
      <c r="B48" s="47" t="s">
        <v>103</v>
      </c>
      <c r="C48" s="47" t="s">
        <v>96</v>
      </c>
      <c r="D48" s="47" t="s">
        <v>107</v>
      </c>
      <c r="E48" s="47" t="s">
        <v>1622</v>
      </c>
      <c r="F48" s="47" t="s">
        <v>1562</v>
      </c>
      <c r="G48" s="47" t="s">
        <v>300</v>
      </c>
      <c r="H48" s="47" t="s">
        <v>300</v>
      </c>
      <c r="I48" s="47" t="s">
        <v>299</v>
      </c>
      <c r="J48" s="47" t="s">
        <v>687</v>
      </c>
      <c r="K48" s="47" t="s">
        <v>95</v>
      </c>
      <c r="L48" s="48">
        <v>1722</v>
      </c>
      <c r="M48" s="48"/>
      <c r="N48" s="45"/>
      <c r="O48" s="47" t="s">
        <v>1</v>
      </c>
      <c r="P48" s="47" t="s">
        <v>1</v>
      </c>
      <c r="Q48" s="47" t="s">
        <v>1237</v>
      </c>
      <c r="R48" s="47" t="s">
        <v>561</v>
      </c>
      <c r="S48" s="47" t="s">
        <v>1744</v>
      </c>
      <c r="T48" s="50" t="s">
        <v>1745</v>
      </c>
      <c r="U48" s="47" t="s">
        <v>1245</v>
      </c>
      <c r="V48" s="50" t="s">
        <v>1746</v>
      </c>
      <c r="W48" s="47" t="s">
        <v>562</v>
      </c>
      <c r="X48" s="48">
        <v>1</v>
      </c>
      <c r="Y48" s="47" t="s">
        <v>687</v>
      </c>
      <c r="Z48" s="47" t="s">
        <v>436</v>
      </c>
      <c r="AA48" s="47" t="s">
        <v>105</v>
      </c>
      <c r="AB48" s="47" t="s">
        <v>95</v>
      </c>
      <c r="AC48" s="43" t="s">
        <v>99</v>
      </c>
      <c r="AD48" s="45">
        <v>1722</v>
      </c>
      <c r="AE48" s="13">
        <v>0</v>
      </c>
      <c r="AF48" s="13"/>
      <c r="AG48" s="13">
        <v>1722</v>
      </c>
      <c r="AH48" s="13">
        <v>0</v>
      </c>
      <c r="AI48" s="13" t="s">
        <v>1560</v>
      </c>
      <c r="AJ48" s="13" t="s">
        <v>16</v>
      </c>
      <c r="AK48" s="13"/>
      <c r="AL48" s="13"/>
      <c r="AM48" s="13">
        <v>1463.7</v>
      </c>
      <c r="AN48" s="13">
        <v>258.29999999999995</v>
      </c>
      <c r="AO48" s="47"/>
      <c r="AP48" s="47"/>
    </row>
    <row r="49" spans="1:42" ht="12.5" x14ac:dyDescent="0.25">
      <c r="A49" s="203">
        <v>46054</v>
      </c>
      <c r="B49" s="47" t="s">
        <v>103</v>
      </c>
      <c r="C49" s="47" t="s">
        <v>96</v>
      </c>
      <c r="D49" s="47" t="s">
        <v>107</v>
      </c>
      <c r="E49" s="47" t="s">
        <v>1622</v>
      </c>
      <c r="F49" s="47" t="s">
        <v>1562</v>
      </c>
      <c r="G49" s="47" t="s">
        <v>353</v>
      </c>
      <c r="H49" s="47" t="s">
        <v>353</v>
      </c>
      <c r="I49" s="47" t="s">
        <v>210</v>
      </c>
      <c r="J49" s="47" t="s">
        <v>687</v>
      </c>
      <c r="K49" s="47" t="s">
        <v>111</v>
      </c>
      <c r="L49" s="48">
        <v>22444.51</v>
      </c>
      <c r="M49" s="48"/>
      <c r="N49" s="45"/>
      <c r="O49" s="47" t="s">
        <v>1</v>
      </c>
      <c r="P49" s="47" t="s">
        <v>1</v>
      </c>
      <c r="Q49" s="47" t="s">
        <v>1011</v>
      </c>
      <c r="R49" s="47" t="s">
        <v>561</v>
      </c>
      <c r="S49" s="47" t="s">
        <v>1747</v>
      </c>
      <c r="T49" s="50" t="s">
        <v>1748</v>
      </c>
      <c r="U49" s="47" t="s">
        <v>1377</v>
      </c>
      <c r="V49" s="50" t="s">
        <v>1749</v>
      </c>
      <c r="W49" s="47" t="s">
        <v>562</v>
      </c>
      <c r="X49" s="48">
        <v>1</v>
      </c>
      <c r="Y49" s="47" t="s">
        <v>687</v>
      </c>
      <c r="Z49" s="47" t="s">
        <v>436</v>
      </c>
      <c r="AA49" s="47" t="s">
        <v>105</v>
      </c>
      <c r="AB49" s="47" t="s">
        <v>111</v>
      </c>
      <c r="AC49" s="43" t="s">
        <v>99</v>
      </c>
      <c r="AD49" s="45">
        <v>22444.51</v>
      </c>
      <c r="AE49" s="13">
        <v>0</v>
      </c>
      <c r="AF49" s="13"/>
      <c r="AG49" s="13">
        <v>22444.51</v>
      </c>
      <c r="AH49" s="13">
        <v>0</v>
      </c>
      <c r="AI49" s="13" t="s">
        <v>1560</v>
      </c>
      <c r="AJ49" s="13" t="s">
        <v>16</v>
      </c>
      <c r="AK49" s="13"/>
      <c r="AL49" s="13"/>
      <c r="AM49" s="13">
        <v>17506.72</v>
      </c>
      <c r="AN49" s="13">
        <v>4937.7899999999972</v>
      </c>
      <c r="AO49" s="47"/>
      <c r="AP49" s="47"/>
    </row>
    <row r="50" spans="1:42" ht="12.5" x14ac:dyDescent="0.25">
      <c r="A50" s="203">
        <v>46054</v>
      </c>
      <c r="B50" s="47" t="s">
        <v>103</v>
      </c>
      <c r="C50" s="47" t="s">
        <v>96</v>
      </c>
      <c r="D50" s="47" t="s">
        <v>107</v>
      </c>
      <c r="E50" s="47" t="s">
        <v>1622</v>
      </c>
      <c r="F50" s="47" t="s">
        <v>1562</v>
      </c>
      <c r="G50" s="47" t="s">
        <v>279</v>
      </c>
      <c r="H50" s="47" t="s">
        <v>279</v>
      </c>
      <c r="I50" s="47" t="s">
        <v>154</v>
      </c>
      <c r="J50" s="47" t="s">
        <v>687</v>
      </c>
      <c r="K50" s="47" t="s">
        <v>111</v>
      </c>
      <c r="L50" s="48">
        <v>4109964.98</v>
      </c>
      <c r="M50" s="48"/>
      <c r="N50" s="45"/>
      <c r="O50" s="47" t="s">
        <v>1</v>
      </c>
      <c r="P50" s="47" t="s">
        <v>1</v>
      </c>
      <c r="Q50" s="47" t="s">
        <v>826</v>
      </c>
      <c r="R50" s="47" t="s">
        <v>561</v>
      </c>
      <c r="S50" s="47" t="s">
        <v>1750</v>
      </c>
      <c r="T50" s="50" t="s">
        <v>1751</v>
      </c>
      <c r="U50" s="47" t="s">
        <v>1184</v>
      </c>
      <c r="V50" s="50" t="s">
        <v>1752</v>
      </c>
      <c r="W50" s="47" t="s">
        <v>562</v>
      </c>
      <c r="X50" s="48">
        <v>1</v>
      </c>
      <c r="Y50" s="47" t="s">
        <v>687</v>
      </c>
      <c r="Z50" s="47" t="s">
        <v>436</v>
      </c>
      <c r="AA50" s="47" t="s">
        <v>105</v>
      </c>
      <c r="AB50" s="47" t="s">
        <v>111</v>
      </c>
      <c r="AC50" s="43" t="s">
        <v>99</v>
      </c>
      <c r="AD50" s="45">
        <v>4109964.98</v>
      </c>
      <c r="AE50" s="13">
        <v>0</v>
      </c>
      <c r="AF50" s="13"/>
      <c r="AG50" s="13">
        <v>4109964.98</v>
      </c>
      <c r="AH50" s="13">
        <v>0</v>
      </c>
      <c r="AI50" s="13" t="s">
        <v>1560</v>
      </c>
      <c r="AJ50" s="13" t="s">
        <v>16</v>
      </c>
      <c r="AK50" s="13"/>
      <c r="AL50" s="13"/>
      <c r="AM50" s="13">
        <v>2484371.08</v>
      </c>
      <c r="AN50" s="13">
        <v>1625593.9</v>
      </c>
      <c r="AO50" s="47"/>
      <c r="AP50" s="47"/>
    </row>
    <row r="51" spans="1:42" ht="12.5" x14ac:dyDescent="0.25">
      <c r="A51" s="203">
        <v>46054</v>
      </c>
      <c r="B51" s="47" t="s">
        <v>103</v>
      </c>
      <c r="C51" s="47" t="s">
        <v>96</v>
      </c>
      <c r="D51" s="47" t="s">
        <v>107</v>
      </c>
      <c r="E51" s="47" t="s">
        <v>1622</v>
      </c>
      <c r="F51" s="47" t="s">
        <v>1562</v>
      </c>
      <c r="G51" s="47" t="s">
        <v>362</v>
      </c>
      <c r="H51" s="47" t="s">
        <v>362</v>
      </c>
      <c r="I51" s="47" t="s">
        <v>205</v>
      </c>
      <c r="J51" s="47" t="s">
        <v>687</v>
      </c>
      <c r="K51" s="47" t="s">
        <v>111</v>
      </c>
      <c r="L51" s="48">
        <v>999321.21</v>
      </c>
      <c r="M51" s="48"/>
      <c r="N51" s="45"/>
      <c r="O51" s="47" t="s">
        <v>1</v>
      </c>
      <c r="P51" s="47" t="s">
        <v>1</v>
      </c>
      <c r="Q51" s="47" t="s">
        <v>998</v>
      </c>
      <c r="R51" s="47" t="s">
        <v>561</v>
      </c>
      <c r="S51" s="47" t="s">
        <v>1753</v>
      </c>
      <c r="T51" s="50" t="s">
        <v>1754</v>
      </c>
      <c r="U51" s="47" t="s">
        <v>1400</v>
      </c>
      <c r="V51" s="50" t="s">
        <v>1755</v>
      </c>
      <c r="W51" s="47" t="s">
        <v>562</v>
      </c>
      <c r="X51" s="48">
        <v>1</v>
      </c>
      <c r="Y51" s="47" t="s">
        <v>687</v>
      </c>
      <c r="Z51" s="47" t="s">
        <v>436</v>
      </c>
      <c r="AA51" s="47" t="s">
        <v>105</v>
      </c>
      <c r="AB51" s="47" t="s">
        <v>111</v>
      </c>
      <c r="AC51" s="43" t="s">
        <v>99</v>
      </c>
      <c r="AD51" s="45">
        <v>999321.21</v>
      </c>
      <c r="AE51" s="13">
        <v>0</v>
      </c>
      <c r="AF51" s="13"/>
      <c r="AG51" s="13">
        <v>999321.21</v>
      </c>
      <c r="AH51" s="13">
        <v>0</v>
      </c>
      <c r="AI51" s="13" t="s">
        <v>1560</v>
      </c>
      <c r="AJ51" s="13" t="s">
        <v>16</v>
      </c>
      <c r="AK51" s="13"/>
      <c r="AL51" s="13"/>
      <c r="AM51" s="13">
        <v>779470.54</v>
      </c>
      <c r="AN51" s="13">
        <v>219850.66999999993</v>
      </c>
      <c r="AO51" s="47"/>
      <c r="AP51" s="47"/>
    </row>
    <row r="52" spans="1:42" ht="12.5" x14ac:dyDescent="0.25">
      <c r="A52" s="203">
        <v>46054</v>
      </c>
      <c r="B52" s="47" t="s">
        <v>103</v>
      </c>
      <c r="C52" s="47" t="s">
        <v>96</v>
      </c>
      <c r="D52" s="47" t="s">
        <v>107</v>
      </c>
      <c r="E52" s="47" t="s">
        <v>1622</v>
      </c>
      <c r="F52" s="47" t="s">
        <v>1562</v>
      </c>
      <c r="G52" s="47" t="s">
        <v>336</v>
      </c>
      <c r="H52" s="47" t="s">
        <v>336</v>
      </c>
      <c r="I52" s="47" t="s">
        <v>339</v>
      </c>
      <c r="J52" s="47" t="s">
        <v>687</v>
      </c>
      <c r="K52" s="47" t="s">
        <v>111</v>
      </c>
      <c r="L52" s="48">
        <v>839339.97</v>
      </c>
      <c r="M52" s="48"/>
      <c r="N52" s="45"/>
      <c r="O52" s="47" t="s">
        <v>1</v>
      </c>
      <c r="P52" s="47" t="s">
        <v>1</v>
      </c>
      <c r="Q52" s="47" t="s">
        <v>1337</v>
      </c>
      <c r="R52" s="47" t="s">
        <v>561</v>
      </c>
      <c r="S52" s="47" t="s">
        <v>1756</v>
      </c>
      <c r="T52" s="50" t="s">
        <v>1757</v>
      </c>
      <c r="U52" s="47" t="s">
        <v>1333</v>
      </c>
      <c r="V52" s="50" t="s">
        <v>1758</v>
      </c>
      <c r="W52" s="47" t="s">
        <v>562</v>
      </c>
      <c r="X52" s="48">
        <v>1</v>
      </c>
      <c r="Y52" s="47" t="s">
        <v>687</v>
      </c>
      <c r="Z52" s="47" t="s">
        <v>436</v>
      </c>
      <c r="AA52" s="47" t="s">
        <v>105</v>
      </c>
      <c r="AB52" s="47" t="s">
        <v>111</v>
      </c>
      <c r="AC52" s="43" t="s">
        <v>99</v>
      </c>
      <c r="AD52" s="45">
        <v>839339.96</v>
      </c>
      <c r="AE52" s="13">
        <v>1.0000000009313226E-2</v>
      </c>
      <c r="AF52" s="13"/>
      <c r="AG52" s="13">
        <v>839339.96</v>
      </c>
      <c r="AH52" s="13">
        <v>1.0000000009313226E-2</v>
      </c>
      <c r="AI52" s="13" t="s">
        <v>1560</v>
      </c>
      <c r="AJ52" s="13" t="s">
        <v>16</v>
      </c>
      <c r="AK52" s="13"/>
      <c r="AL52" s="13"/>
      <c r="AM52" s="13">
        <v>654685.18000000005</v>
      </c>
      <c r="AN52" s="13">
        <v>184654.78999999992</v>
      </c>
      <c r="AO52" s="47"/>
      <c r="AP52" s="47"/>
    </row>
    <row r="53" spans="1:42" ht="12.5" x14ac:dyDescent="0.25">
      <c r="A53" s="203">
        <v>46054</v>
      </c>
      <c r="B53" s="47" t="s">
        <v>103</v>
      </c>
      <c r="C53" s="47" t="s">
        <v>96</v>
      </c>
      <c r="D53" s="47" t="s">
        <v>107</v>
      </c>
      <c r="E53" s="47" t="s">
        <v>1622</v>
      </c>
      <c r="F53" s="47" t="s">
        <v>1562</v>
      </c>
      <c r="G53" s="47" t="s">
        <v>359</v>
      </c>
      <c r="H53" s="47" t="s">
        <v>359</v>
      </c>
      <c r="I53" s="47" t="s">
        <v>242</v>
      </c>
      <c r="J53" s="47" t="s">
        <v>687</v>
      </c>
      <c r="K53" s="47" t="s">
        <v>111</v>
      </c>
      <c r="L53" s="48">
        <v>2113734.34</v>
      </c>
      <c r="M53" s="48"/>
      <c r="N53" s="45"/>
      <c r="O53" s="47" t="s">
        <v>1</v>
      </c>
      <c r="P53" s="47" t="s">
        <v>1</v>
      </c>
      <c r="Q53" s="47" t="s">
        <v>991</v>
      </c>
      <c r="R53" s="47" t="s">
        <v>561</v>
      </c>
      <c r="S53" s="47" t="s">
        <v>1759</v>
      </c>
      <c r="T53" s="50" t="s">
        <v>1760</v>
      </c>
      <c r="U53" s="47" t="s">
        <v>1392</v>
      </c>
      <c r="V53" s="50" t="s">
        <v>1761</v>
      </c>
      <c r="W53" s="47" t="s">
        <v>562</v>
      </c>
      <c r="X53" s="48">
        <v>1</v>
      </c>
      <c r="Y53" s="47" t="s">
        <v>687</v>
      </c>
      <c r="Z53" s="47" t="s">
        <v>436</v>
      </c>
      <c r="AA53" s="47" t="s">
        <v>105</v>
      </c>
      <c r="AB53" s="47" t="s">
        <v>111</v>
      </c>
      <c r="AC53" s="43" t="s">
        <v>99</v>
      </c>
      <c r="AD53" s="45">
        <v>2113734.34</v>
      </c>
      <c r="AE53" s="13">
        <v>0</v>
      </c>
      <c r="AF53" s="13"/>
      <c r="AG53" s="13">
        <v>2113734.34</v>
      </c>
      <c r="AH53" s="13">
        <v>0</v>
      </c>
      <c r="AI53" s="13" t="s">
        <v>1560</v>
      </c>
      <c r="AJ53" s="13" t="s">
        <v>16</v>
      </c>
      <c r="AK53" s="13"/>
      <c r="AL53" s="13"/>
      <c r="AM53" s="13">
        <v>1648712.79</v>
      </c>
      <c r="AN53" s="13">
        <v>465021.54999999981</v>
      </c>
      <c r="AO53" s="47"/>
      <c r="AP53" s="47"/>
    </row>
    <row r="54" spans="1:42" ht="12.5" x14ac:dyDescent="0.25">
      <c r="A54" s="203">
        <v>46054</v>
      </c>
      <c r="B54" s="47" t="s">
        <v>103</v>
      </c>
      <c r="C54" s="47" t="s">
        <v>96</v>
      </c>
      <c r="D54" s="47" t="s">
        <v>107</v>
      </c>
      <c r="E54" s="47" t="s">
        <v>1622</v>
      </c>
      <c r="F54" s="47" t="s">
        <v>1562</v>
      </c>
      <c r="G54" s="47" t="s">
        <v>318</v>
      </c>
      <c r="H54" s="47" t="s">
        <v>318</v>
      </c>
      <c r="I54" s="47" t="s">
        <v>321</v>
      </c>
      <c r="J54" s="47" t="s">
        <v>687</v>
      </c>
      <c r="K54" s="47" t="s">
        <v>111</v>
      </c>
      <c r="L54" s="48">
        <v>4396289.4000000004</v>
      </c>
      <c r="M54" s="48"/>
      <c r="N54" s="45"/>
      <c r="O54" s="47" t="s">
        <v>1</v>
      </c>
      <c r="P54" s="47" t="s">
        <v>1</v>
      </c>
      <c r="Q54" s="47" t="s">
        <v>1294</v>
      </c>
      <c r="R54" s="47" t="s">
        <v>561</v>
      </c>
      <c r="S54" s="47" t="s">
        <v>1762</v>
      </c>
      <c r="T54" s="50" t="s">
        <v>1763</v>
      </c>
      <c r="U54" s="47" t="s">
        <v>1290</v>
      </c>
      <c r="V54" s="50" t="s">
        <v>1764</v>
      </c>
      <c r="W54" s="47" t="s">
        <v>562</v>
      </c>
      <c r="X54" s="48">
        <v>1</v>
      </c>
      <c r="Y54" s="47" t="s">
        <v>687</v>
      </c>
      <c r="Z54" s="47" t="s">
        <v>436</v>
      </c>
      <c r="AA54" s="47" t="s">
        <v>105</v>
      </c>
      <c r="AB54" s="47" t="s">
        <v>111</v>
      </c>
      <c r="AC54" s="43" t="s">
        <v>99</v>
      </c>
      <c r="AD54" s="45">
        <v>4396289.4000000004</v>
      </c>
      <c r="AE54" s="13">
        <v>0</v>
      </c>
      <c r="AF54" s="13"/>
      <c r="AG54" s="13">
        <v>4396289.4000000004</v>
      </c>
      <c r="AH54" s="13">
        <v>0</v>
      </c>
      <c r="AI54" s="13" t="s">
        <v>1560</v>
      </c>
      <c r="AJ54" s="13" t="s">
        <v>16</v>
      </c>
      <c r="AK54" s="13"/>
      <c r="AL54" s="13"/>
      <c r="AM54" s="13">
        <v>3429105.73</v>
      </c>
      <c r="AN54" s="13">
        <v>967183.67000000039</v>
      </c>
      <c r="AO54" s="47"/>
      <c r="AP54" s="47"/>
    </row>
    <row r="55" spans="1:42" ht="12.5" x14ac:dyDescent="0.25">
      <c r="A55" s="203">
        <v>46054</v>
      </c>
      <c r="B55" s="47" t="s">
        <v>103</v>
      </c>
      <c r="C55" s="47" t="s">
        <v>96</v>
      </c>
      <c r="D55" s="47" t="s">
        <v>107</v>
      </c>
      <c r="E55" s="47" t="s">
        <v>1622</v>
      </c>
      <c r="F55" s="47" t="s">
        <v>1562</v>
      </c>
      <c r="G55" s="47" t="s">
        <v>322</v>
      </c>
      <c r="H55" s="47" t="s">
        <v>322</v>
      </c>
      <c r="I55" s="47" t="s">
        <v>246</v>
      </c>
      <c r="J55" s="47" t="s">
        <v>687</v>
      </c>
      <c r="K55" s="47" t="s">
        <v>111</v>
      </c>
      <c r="L55" s="48">
        <v>2004216.19</v>
      </c>
      <c r="M55" s="48"/>
      <c r="N55" s="45"/>
      <c r="O55" s="47" t="s">
        <v>1</v>
      </c>
      <c r="P55" s="47" t="s">
        <v>1</v>
      </c>
      <c r="Q55" s="47" t="s">
        <v>821</v>
      </c>
      <c r="R55" s="47" t="s">
        <v>561</v>
      </c>
      <c r="S55" s="47" t="s">
        <v>1765</v>
      </c>
      <c r="T55" s="50" t="s">
        <v>1766</v>
      </c>
      <c r="U55" s="47" t="s">
        <v>1302</v>
      </c>
      <c r="V55" s="50" t="s">
        <v>1767</v>
      </c>
      <c r="W55" s="47" t="s">
        <v>562</v>
      </c>
      <c r="X55" s="48">
        <v>1</v>
      </c>
      <c r="Y55" s="47" t="s">
        <v>687</v>
      </c>
      <c r="Z55" s="47" t="s">
        <v>436</v>
      </c>
      <c r="AA55" s="47" t="s">
        <v>105</v>
      </c>
      <c r="AB55" s="47" t="s">
        <v>111</v>
      </c>
      <c r="AC55" s="43" t="s">
        <v>99</v>
      </c>
      <c r="AD55" s="45">
        <v>2000000</v>
      </c>
      <c r="AE55" s="13">
        <v>4216.1899999999441</v>
      </c>
      <c r="AF55" s="13"/>
      <c r="AG55" s="13">
        <v>2000000</v>
      </c>
      <c r="AH55" s="13">
        <v>4216.1899999999441</v>
      </c>
      <c r="AI55" s="13" t="s">
        <v>1560</v>
      </c>
      <c r="AJ55" s="13" t="s">
        <v>16</v>
      </c>
      <c r="AK55" s="13"/>
      <c r="AL55" s="13"/>
      <c r="AM55" s="13">
        <v>1208950</v>
      </c>
      <c r="AN55" s="13">
        <v>795266.19</v>
      </c>
      <c r="AO55" s="47"/>
      <c r="AP55" s="47"/>
    </row>
    <row r="56" spans="1:42" ht="12.5" x14ac:dyDescent="0.25">
      <c r="A56" s="203">
        <v>46054</v>
      </c>
      <c r="B56" s="47" t="s">
        <v>103</v>
      </c>
      <c r="C56" s="47" t="s">
        <v>96</v>
      </c>
      <c r="D56" s="47" t="s">
        <v>107</v>
      </c>
      <c r="E56" s="47" t="s">
        <v>1622</v>
      </c>
      <c r="F56" s="47" t="s">
        <v>1562</v>
      </c>
      <c r="G56" s="47" t="s">
        <v>286</v>
      </c>
      <c r="H56" s="47" t="s">
        <v>286</v>
      </c>
      <c r="I56" s="47" t="s">
        <v>289</v>
      </c>
      <c r="J56" s="47" t="s">
        <v>687</v>
      </c>
      <c r="K56" s="47" t="s">
        <v>111</v>
      </c>
      <c r="L56" s="48">
        <v>2028302.04</v>
      </c>
      <c r="M56" s="48"/>
      <c r="N56" s="45"/>
      <c r="O56" s="47" t="s">
        <v>1</v>
      </c>
      <c r="P56" s="47" t="s">
        <v>1</v>
      </c>
      <c r="Q56" s="47" t="s">
        <v>1206</v>
      </c>
      <c r="R56" s="47" t="s">
        <v>561</v>
      </c>
      <c r="S56" s="47" t="s">
        <v>1768</v>
      </c>
      <c r="T56" s="50" t="s">
        <v>1769</v>
      </c>
      <c r="U56" s="47" t="s">
        <v>1202</v>
      </c>
      <c r="V56" s="50" t="s">
        <v>1770</v>
      </c>
      <c r="W56" s="47" t="s">
        <v>562</v>
      </c>
      <c r="X56" s="48">
        <v>1</v>
      </c>
      <c r="Y56" s="47" t="s">
        <v>687</v>
      </c>
      <c r="Z56" s="47" t="s">
        <v>436</v>
      </c>
      <c r="AA56" s="47" t="s">
        <v>105</v>
      </c>
      <c r="AB56" s="47" t="s">
        <v>111</v>
      </c>
      <c r="AC56" s="43" t="s">
        <v>99</v>
      </c>
      <c r="AD56" s="45">
        <v>2028302.04</v>
      </c>
      <c r="AE56" s="13">
        <v>0</v>
      </c>
      <c r="AF56" s="13"/>
      <c r="AG56" s="13">
        <v>2028302.04</v>
      </c>
      <c r="AH56" s="13">
        <v>0</v>
      </c>
      <c r="AI56" s="13" t="s">
        <v>1560</v>
      </c>
      <c r="AJ56" s="13" t="s">
        <v>16</v>
      </c>
      <c r="AK56" s="13"/>
      <c r="AL56" s="13"/>
      <c r="AM56" s="13">
        <v>1226057.8799999999</v>
      </c>
      <c r="AN56" s="13">
        <v>802244.16000000015</v>
      </c>
      <c r="AO56" s="47"/>
      <c r="AP56" s="47"/>
    </row>
    <row r="57" spans="1:42" ht="12.5" x14ac:dyDescent="0.25">
      <c r="A57" s="203">
        <v>46054</v>
      </c>
      <c r="B57" s="47" t="s">
        <v>103</v>
      </c>
      <c r="C57" s="47" t="s">
        <v>96</v>
      </c>
      <c r="D57" s="47" t="s">
        <v>107</v>
      </c>
      <c r="E57" s="47" t="s">
        <v>1622</v>
      </c>
      <c r="F57" s="47" t="s">
        <v>1562</v>
      </c>
      <c r="G57" s="47" t="s">
        <v>397</v>
      </c>
      <c r="H57" s="47" t="s">
        <v>397</v>
      </c>
      <c r="I57" s="47" t="s">
        <v>400</v>
      </c>
      <c r="J57" s="47" t="s">
        <v>687</v>
      </c>
      <c r="K57" s="47" t="s">
        <v>111</v>
      </c>
      <c r="L57" s="48">
        <v>1065199.8799999999</v>
      </c>
      <c r="M57" s="48"/>
      <c r="N57" s="45"/>
      <c r="O57" s="47" t="s">
        <v>1</v>
      </c>
      <c r="P57" s="47" t="s">
        <v>1</v>
      </c>
      <c r="Q57" s="47" t="s">
        <v>1488</v>
      </c>
      <c r="R57" s="47" t="s">
        <v>561</v>
      </c>
      <c r="S57" s="47" t="s">
        <v>1771</v>
      </c>
      <c r="T57" s="50" t="s">
        <v>1772</v>
      </c>
      <c r="U57" s="47" t="s">
        <v>1484</v>
      </c>
      <c r="V57" s="50" t="s">
        <v>1773</v>
      </c>
      <c r="W57" s="47" t="s">
        <v>562</v>
      </c>
      <c r="X57" s="48">
        <v>1</v>
      </c>
      <c r="Y57" s="47" t="s">
        <v>687</v>
      </c>
      <c r="Z57" s="47" t="s">
        <v>436</v>
      </c>
      <c r="AA57" s="47" t="s">
        <v>105</v>
      </c>
      <c r="AB57" s="47" t="s">
        <v>111</v>
      </c>
      <c r="AC57" s="43" t="s">
        <v>99</v>
      </c>
      <c r="AD57" s="45">
        <v>1065199.8799999999</v>
      </c>
      <c r="AE57" s="13">
        <v>0</v>
      </c>
      <c r="AF57" s="13"/>
      <c r="AG57" s="13">
        <v>1065199.8799999999</v>
      </c>
      <c r="AH57" s="13">
        <v>0</v>
      </c>
      <c r="AI57" s="13" t="s">
        <v>1560</v>
      </c>
      <c r="AJ57" s="13" t="s">
        <v>16</v>
      </c>
      <c r="AK57" s="13"/>
      <c r="AL57" s="13"/>
      <c r="AM57" s="13">
        <v>830855.91</v>
      </c>
      <c r="AN57" s="13">
        <v>234343.96999999986</v>
      </c>
      <c r="AO57" s="47"/>
      <c r="AP57" s="47"/>
    </row>
    <row r="58" spans="1:42" ht="12.5" x14ac:dyDescent="0.25">
      <c r="A58" s="203">
        <v>46054</v>
      </c>
      <c r="B58" s="47" t="s">
        <v>103</v>
      </c>
      <c r="C58" s="47" t="s">
        <v>96</v>
      </c>
      <c r="D58" s="47" t="s">
        <v>107</v>
      </c>
      <c r="E58" s="47" t="s">
        <v>1622</v>
      </c>
      <c r="F58" s="47" t="s">
        <v>1562</v>
      </c>
      <c r="G58" s="47" t="s">
        <v>314</v>
      </c>
      <c r="H58" s="47" t="s">
        <v>314</v>
      </c>
      <c r="I58" s="47" t="s">
        <v>317</v>
      </c>
      <c r="J58" s="47" t="s">
        <v>687</v>
      </c>
      <c r="K58" s="47" t="s">
        <v>111</v>
      </c>
      <c r="L58" s="48">
        <v>2489548.39</v>
      </c>
      <c r="M58" s="48"/>
      <c r="N58" s="45"/>
      <c r="O58" s="47" t="s">
        <v>1</v>
      </c>
      <c r="P58" s="47" t="s">
        <v>1</v>
      </c>
      <c r="Q58" s="47" t="s">
        <v>1283</v>
      </c>
      <c r="R58" s="47" t="s">
        <v>561</v>
      </c>
      <c r="S58" s="47" t="s">
        <v>1774</v>
      </c>
      <c r="T58" s="50" t="s">
        <v>1775</v>
      </c>
      <c r="U58" s="47" t="s">
        <v>1279</v>
      </c>
      <c r="V58" s="50" t="s">
        <v>1776</v>
      </c>
      <c r="W58" s="47" t="s">
        <v>562</v>
      </c>
      <c r="X58" s="48">
        <v>1</v>
      </c>
      <c r="Y58" s="47" t="s">
        <v>687</v>
      </c>
      <c r="Z58" s="47" t="s">
        <v>436</v>
      </c>
      <c r="AA58" s="47" t="s">
        <v>105</v>
      </c>
      <c r="AB58" s="47" t="s">
        <v>111</v>
      </c>
      <c r="AC58" s="43" t="s">
        <v>99</v>
      </c>
      <c r="AD58" s="45">
        <v>2489548.4</v>
      </c>
      <c r="AE58" s="13">
        <v>-9.9999997764825821E-3</v>
      </c>
      <c r="AF58" s="13"/>
      <c r="AG58" s="13">
        <v>2489548.4</v>
      </c>
      <c r="AH58" s="13">
        <v>-9.9999997764825821E-3</v>
      </c>
      <c r="AI58" s="13" t="s">
        <v>1560</v>
      </c>
      <c r="AJ58" s="13" t="s">
        <v>16</v>
      </c>
      <c r="AK58" s="13"/>
      <c r="AL58" s="13"/>
      <c r="AM58" s="13">
        <v>1504869.77</v>
      </c>
      <c r="AN58" s="13">
        <v>984678.62000000011</v>
      </c>
      <c r="AO58" s="47"/>
      <c r="AP58" s="47"/>
    </row>
    <row r="59" spans="1:42" ht="12.5" x14ac:dyDescent="0.25">
      <c r="A59" s="203">
        <v>46054</v>
      </c>
      <c r="B59" s="47" t="s">
        <v>103</v>
      </c>
      <c r="C59" s="47" t="s">
        <v>96</v>
      </c>
      <c r="D59" s="47" t="s">
        <v>107</v>
      </c>
      <c r="E59" s="47" t="s">
        <v>1622</v>
      </c>
      <c r="F59" s="47" t="s">
        <v>1562</v>
      </c>
      <c r="G59" s="47" t="s">
        <v>293</v>
      </c>
      <c r="H59" s="47" t="s">
        <v>293</v>
      </c>
      <c r="I59" s="47" t="s">
        <v>158</v>
      </c>
      <c r="J59" s="47" t="s">
        <v>687</v>
      </c>
      <c r="K59" s="47" t="s">
        <v>111</v>
      </c>
      <c r="L59" s="48">
        <v>3110400</v>
      </c>
      <c r="M59" s="48"/>
      <c r="N59" s="45"/>
      <c r="O59" s="47" t="s">
        <v>1</v>
      </c>
      <c r="P59" s="47" t="s">
        <v>1</v>
      </c>
      <c r="Q59" s="47" t="s">
        <v>871</v>
      </c>
      <c r="R59" s="47" t="s">
        <v>561</v>
      </c>
      <c r="S59" s="47" t="s">
        <v>1777</v>
      </c>
      <c r="T59" s="50" t="s">
        <v>1778</v>
      </c>
      <c r="U59" s="47" t="s">
        <v>1226</v>
      </c>
      <c r="V59" s="50" t="s">
        <v>1779</v>
      </c>
      <c r="W59" s="47" t="s">
        <v>562</v>
      </c>
      <c r="X59" s="48">
        <v>1</v>
      </c>
      <c r="Y59" s="47" t="s">
        <v>687</v>
      </c>
      <c r="Z59" s="47" t="s">
        <v>436</v>
      </c>
      <c r="AA59" s="47" t="s">
        <v>105</v>
      </c>
      <c r="AB59" s="47" t="s">
        <v>111</v>
      </c>
      <c r="AC59" s="43" t="s">
        <v>99</v>
      </c>
      <c r="AD59" s="45">
        <v>3110400</v>
      </c>
      <c r="AE59" s="13">
        <v>0</v>
      </c>
      <c r="AF59" s="13"/>
      <c r="AG59" s="13">
        <v>3110400</v>
      </c>
      <c r="AH59" s="13">
        <v>0</v>
      </c>
      <c r="AI59" s="13" t="s">
        <v>1560</v>
      </c>
      <c r="AJ59" s="13" t="s">
        <v>16</v>
      </c>
      <c r="AK59" s="13"/>
      <c r="AL59" s="13"/>
      <c r="AM59" s="13">
        <v>1880159.04</v>
      </c>
      <c r="AN59" s="13">
        <v>1230240.96</v>
      </c>
      <c r="AO59" s="47"/>
      <c r="AP59" s="47"/>
    </row>
    <row r="60" spans="1:42" ht="12.5" x14ac:dyDescent="0.25">
      <c r="A60" s="203">
        <v>46054</v>
      </c>
      <c r="B60" s="47" t="s">
        <v>103</v>
      </c>
      <c r="C60" s="47" t="s">
        <v>96</v>
      </c>
      <c r="D60" s="47" t="s">
        <v>107</v>
      </c>
      <c r="E60" s="47" t="s">
        <v>1622</v>
      </c>
      <c r="F60" s="47" t="s">
        <v>1562</v>
      </c>
      <c r="G60" s="47" t="s">
        <v>159</v>
      </c>
      <c r="H60" s="47" t="s">
        <v>159</v>
      </c>
      <c r="I60" s="47" t="s">
        <v>158</v>
      </c>
      <c r="J60" s="47" t="s">
        <v>687</v>
      </c>
      <c r="K60" s="47" t="s">
        <v>111</v>
      </c>
      <c r="L60" s="48">
        <v>3110400</v>
      </c>
      <c r="M60" s="48"/>
      <c r="N60" s="45"/>
      <c r="O60" s="47" t="s">
        <v>1</v>
      </c>
      <c r="P60" s="47" t="s">
        <v>1</v>
      </c>
      <c r="Q60" s="47" t="s">
        <v>871</v>
      </c>
      <c r="R60" s="47" t="s">
        <v>561</v>
      </c>
      <c r="S60" s="47" t="s">
        <v>1780</v>
      </c>
      <c r="T60" s="50" t="s">
        <v>1781</v>
      </c>
      <c r="U60" s="47" t="s">
        <v>880</v>
      </c>
      <c r="V60" s="50" t="s">
        <v>1782</v>
      </c>
      <c r="W60" s="47" t="s">
        <v>562</v>
      </c>
      <c r="X60" s="48">
        <v>1</v>
      </c>
      <c r="Y60" s="47" t="s">
        <v>687</v>
      </c>
      <c r="Z60" s="47" t="s">
        <v>436</v>
      </c>
      <c r="AA60" s="47" t="s">
        <v>105</v>
      </c>
      <c r="AB60" s="47" t="s">
        <v>111</v>
      </c>
      <c r="AC60" s="43" t="s">
        <v>99</v>
      </c>
      <c r="AD60" s="45">
        <v>3110400</v>
      </c>
      <c r="AE60" s="13">
        <v>0</v>
      </c>
      <c r="AF60" s="13"/>
      <c r="AG60" s="13">
        <v>3110400</v>
      </c>
      <c r="AH60" s="13">
        <v>0</v>
      </c>
      <c r="AI60" s="13" t="s">
        <v>1560</v>
      </c>
      <c r="AJ60" s="13" t="s">
        <v>16</v>
      </c>
      <c r="AK60" s="13"/>
      <c r="AL60" s="13"/>
      <c r="AM60" s="13">
        <v>1880159.04</v>
      </c>
      <c r="AN60" s="13">
        <v>1230240.96</v>
      </c>
      <c r="AO60" s="47"/>
      <c r="AP60" s="47"/>
    </row>
    <row r="61" spans="1:42" ht="12.5" x14ac:dyDescent="0.25">
      <c r="A61" s="203">
        <v>46054</v>
      </c>
      <c r="B61" s="47" t="s">
        <v>103</v>
      </c>
      <c r="C61" s="47" t="s">
        <v>96</v>
      </c>
      <c r="D61" s="47" t="s">
        <v>107</v>
      </c>
      <c r="E61" s="47" t="s">
        <v>1622</v>
      </c>
      <c r="F61" s="47" t="s">
        <v>1562</v>
      </c>
      <c r="G61" s="47" t="s">
        <v>307</v>
      </c>
      <c r="H61" s="47" t="s">
        <v>307</v>
      </c>
      <c r="I61" s="47" t="s">
        <v>205</v>
      </c>
      <c r="J61" s="47" t="s">
        <v>687</v>
      </c>
      <c r="K61" s="47" t="s">
        <v>111</v>
      </c>
      <c r="L61" s="48">
        <v>4884766</v>
      </c>
      <c r="M61" s="48"/>
      <c r="N61" s="45"/>
      <c r="O61" s="47" t="s">
        <v>1</v>
      </c>
      <c r="P61" s="47" t="s">
        <v>1</v>
      </c>
      <c r="Q61" s="47" t="s">
        <v>998</v>
      </c>
      <c r="R61" s="47" t="s">
        <v>561</v>
      </c>
      <c r="S61" s="47" t="s">
        <v>1783</v>
      </c>
      <c r="T61" s="50" t="s">
        <v>1784</v>
      </c>
      <c r="U61" s="47" t="s">
        <v>1265</v>
      </c>
      <c r="V61" s="50" t="s">
        <v>1785</v>
      </c>
      <c r="W61" s="47" t="s">
        <v>562</v>
      </c>
      <c r="X61" s="48">
        <v>1</v>
      </c>
      <c r="Y61" s="47" t="s">
        <v>687</v>
      </c>
      <c r="Z61" s="47" t="s">
        <v>436</v>
      </c>
      <c r="AA61" s="47" t="s">
        <v>105</v>
      </c>
      <c r="AB61" s="47" t="s">
        <v>111</v>
      </c>
      <c r="AC61" s="43" t="s">
        <v>99</v>
      </c>
      <c r="AD61" s="45">
        <v>4884766</v>
      </c>
      <c r="AE61" s="13">
        <v>0</v>
      </c>
      <c r="AF61" s="13"/>
      <c r="AG61" s="13">
        <v>4884766</v>
      </c>
      <c r="AH61" s="13">
        <v>0</v>
      </c>
      <c r="AI61" s="13" t="s">
        <v>1560</v>
      </c>
      <c r="AJ61" s="13" t="s">
        <v>16</v>
      </c>
      <c r="AK61" s="13"/>
      <c r="AL61" s="13"/>
      <c r="AM61" s="13">
        <v>2952718.93</v>
      </c>
      <c r="AN61" s="13">
        <v>1932047.0699999998</v>
      </c>
      <c r="AO61" s="47"/>
      <c r="AP61" s="47"/>
    </row>
    <row r="62" spans="1:42" ht="12.5" x14ac:dyDescent="0.25">
      <c r="A62" s="203">
        <v>46054</v>
      </c>
      <c r="B62" s="47" t="s">
        <v>103</v>
      </c>
      <c r="C62" s="47" t="s">
        <v>96</v>
      </c>
      <c r="D62" s="47" t="s">
        <v>107</v>
      </c>
      <c r="E62" s="47" t="s">
        <v>1622</v>
      </c>
      <c r="F62" s="47" t="s">
        <v>1562</v>
      </c>
      <c r="G62" s="47" t="s">
        <v>193</v>
      </c>
      <c r="H62" s="47" t="s">
        <v>193</v>
      </c>
      <c r="I62" s="47" t="s">
        <v>196</v>
      </c>
      <c r="J62" s="47" t="s">
        <v>687</v>
      </c>
      <c r="K62" s="47" t="s">
        <v>111</v>
      </c>
      <c r="L62" s="48">
        <v>6912000</v>
      </c>
      <c r="M62" s="48"/>
      <c r="N62" s="45"/>
      <c r="O62" s="47" t="s">
        <v>1</v>
      </c>
      <c r="P62" s="47" t="s">
        <v>1</v>
      </c>
      <c r="Q62" s="47" t="s">
        <v>974</v>
      </c>
      <c r="R62" s="47" t="s">
        <v>561</v>
      </c>
      <c r="S62" s="47" t="s">
        <v>1786</v>
      </c>
      <c r="T62" s="50" t="s">
        <v>1787</v>
      </c>
      <c r="U62" s="47" t="s">
        <v>970</v>
      </c>
      <c r="V62" s="50" t="s">
        <v>1788</v>
      </c>
      <c r="W62" s="47" t="s">
        <v>562</v>
      </c>
      <c r="X62" s="48">
        <v>1</v>
      </c>
      <c r="Y62" s="47" t="s">
        <v>687</v>
      </c>
      <c r="Z62" s="47" t="s">
        <v>436</v>
      </c>
      <c r="AA62" s="47" t="s">
        <v>105</v>
      </c>
      <c r="AB62" s="47" t="s">
        <v>111</v>
      </c>
      <c r="AC62" s="43" t="s">
        <v>99</v>
      </c>
      <c r="AD62" s="45">
        <v>6912000</v>
      </c>
      <c r="AE62" s="13">
        <v>0</v>
      </c>
      <c r="AF62" s="13"/>
      <c r="AG62" s="13">
        <v>6912000</v>
      </c>
      <c r="AH62" s="13">
        <v>0</v>
      </c>
      <c r="AI62" s="13" t="s">
        <v>1560</v>
      </c>
      <c r="AJ62" s="13" t="s">
        <v>16</v>
      </c>
      <c r="AK62" s="13"/>
      <c r="AL62" s="13"/>
      <c r="AM62" s="13">
        <v>4178131.18</v>
      </c>
      <c r="AN62" s="13">
        <v>2733868.82</v>
      </c>
      <c r="AO62" s="47"/>
      <c r="AP62" s="47"/>
    </row>
    <row r="63" spans="1:42" ht="12.5" x14ac:dyDescent="0.25">
      <c r="A63" s="203">
        <v>46054</v>
      </c>
      <c r="B63" s="47" t="s">
        <v>103</v>
      </c>
      <c r="C63" s="47" t="s">
        <v>96</v>
      </c>
      <c r="D63" s="47" t="s">
        <v>107</v>
      </c>
      <c r="E63" s="47" t="s">
        <v>1622</v>
      </c>
      <c r="F63" s="47" t="s">
        <v>1562</v>
      </c>
      <c r="G63" s="47" t="s">
        <v>391</v>
      </c>
      <c r="H63" s="47" t="s">
        <v>391</v>
      </c>
      <c r="I63" s="47" t="s">
        <v>210</v>
      </c>
      <c r="J63" s="47" t="s">
        <v>687</v>
      </c>
      <c r="K63" s="47" t="s">
        <v>111</v>
      </c>
      <c r="L63" s="48">
        <v>1585096.5</v>
      </c>
      <c r="M63" s="48"/>
      <c r="N63" s="45"/>
      <c r="O63" s="47" t="s">
        <v>1</v>
      </c>
      <c r="P63" s="47" t="s">
        <v>1</v>
      </c>
      <c r="Q63" s="47" t="s">
        <v>1011</v>
      </c>
      <c r="R63" s="47" t="s">
        <v>561</v>
      </c>
      <c r="S63" s="47" t="s">
        <v>1789</v>
      </c>
      <c r="T63" s="50" t="s">
        <v>1790</v>
      </c>
      <c r="U63" s="47" t="s">
        <v>1468</v>
      </c>
      <c r="V63" s="50" t="s">
        <v>1791</v>
      </c>
      <c r="W63" s="47" t="s">
        <v>562</v>
      </c>
      <c r="X63" s="48">
        <v>1</v>
      </c>
      <c r="Y63" s="47" t="s">
        <v>687</v>
      </c>
      <c r="Z63" s="47" t="s">
        <v>436</v>
      </c>
      <c r="AA63" s="47" t="s">
        <v>105</v>
      </c>
      <c r="AB63" s="47" t="s">
        <v>111</v>
      </c>
      <c r="AC63" s="43" t="s">
        <v>99</v>
      </c>
      <c r="AD63" s="45">
        <v>1585096.5</v>
      </c>
      <c r="AE63" s="13">
        <v>0</v>
      </c>
      <c r="AF63" s="13"/>
      <c r="AG63" s="13">
        <v>1585096.5</v>
      </c>
      <c r="AH63" s="13">
        <v>0</v>
      </c>
      <c r="AI63" s="13" t="s">
        <v>1560</v>
      </c>
      <c r="AJ63" s="13" t="s">
        <v>16</v>
      </c>
      <c r="AK63" s="13"/>
      <c r="AL63" s="13"/>
      <c r="AM63" s="13">
        <v>1236375.27</v>
      </c>
      <c r="AN63" s="13">
        <v>348721.23</v>
      </c>
      <c r="AO63" s="47"/>
      <c r="AP63" s="47"/>
    </row>
    <row r="64" spans="1:42" ht="12.5" x14ac:dyDescent="0.25">
      <c r="A64" s="203">
        <v>46054</v>
      </c>
      <c r="B64" s="47" t="s">
        <v>103</v>
      </c>
      <c r="C64" s="47" t="s">
        <v>96</v>
      </c>
      <c r="D64" s="47" t="s">
        <v>107</v>
      </c>
      <c r="E64" s="47" t="s">
        <v>1622</v>
      </c>
      <c r="F64" s="47" t="s">
        <v>1562</v>
      </c>
      <c r="G64" s="47" t="s">
        <v>106</v>
      </c>
      <c r="H64" s="47" t="s">
        <v>106</v>
      </c>
      <c r="I64" s="47" t="s">
        <v>112</v>
      </c>
      <c r="J64" s="47" t="s">
        <v>687</v>
      </c>
      <c r="K64" s="47" t="s">
        <v>111</v>
      </c>
      <c r="L64" s="48">
        <v>911867.62</v>
      </c>
      <c r="M64" s="48"/>
      <c r="N64" s="45"/>
      <c r="O64" s="47" t="s">
        <v>1</v>
      </c>
      <c r="P64" s="47" t="s">
        <v>1</v>
      </c>
      <c r="Q64" s="47" t="s">
        <v>705</v>
      </c>
      <c r="R64" s="47" t="s">
        <v>1629</v>
      </c>
      <c r="S64" s="47" t="s">
        <v>1792</v>
      </c>
      <c r="T64" s="50" t="s">
        <v>1793</v>
      </c>
      <c r="U64" s="47" t="s">
        <v>701</v>
      </c>
      <c r="V64" s="50" t="s">
        <v>1794</v>
      </c>
      <c r="W64" s="47" t="s">
        <v>562</v>
      </c>
      <c r="X64" s="48">
        <v>1</v>
      </c>
      <c r="Y64" s="47" t="s">
        <v>687</v>
      </c>
      <c r="Z64" s="47" t="s">
        <v>433</v>
      </c>
      <c r="AA64" s="47" t="s">
        <v>105</v>
      </c>
      <c r="AB64" s="47" t="s">
        <v>111</v>
      </c>
      <c r="AC64" s="43" t="s">
        <v>99</v>
      </c>
      <c r="AD64" s="45">
        <v>911867.62</v>
      </c>
      <c r="AE64" s="13">
        <v>0</v>
      </c>
      <c r="AF64" s="13"/>
      <c r="AG64" s="13">
        <v>911867.62</v>
      </c>
      <c r="AH64" s="13">
        <v>0</v>
      </c>
      <c r="AI64" s="13" t="s">
        <v>1560</v>
      </c>
      <c r="AJ64" s="13" t="s">
        <v>16</v>
      </c>
      <c r="AK64" s="13"/>
      <c r="AL64" s="13"/>
      <c r="AM64" s="13">
        <v>551201.18000000005</v>
      </c>
      <c r="AN64" s="13">
        <v>360666.43999999994</v>
      </c>
      <c r="AO64" s="47"/>
      <c r="AP64" s="47"/>
    </row>
    <row r="65" spans="1:42" ht="12.5" x14ac:dyDescent="0.25">
      <c r="A65" s="203">
        <v>46054</v>
      </c>
      <c r="B65" s="47" t="s">
        <v>103</v>
      </c>
      <c r="C65" s="47" t="s">
        <v>96</v>
      </c>
      <c r="D65" s="47" t="s">
        <v>107</v>
      </c>
      <c r="E65" s="47" t="s">
        <v>1622</v>
      </c>
      <c r="F65" s="47" t="s">
        <v>1562</v>
      </c>
      <c r="G65" s="47" t="s">
        <v>165</v>
      </c>
      <c r="H65" s="47" t="s">
        <v>165</v>
      </c>
      <c r="I65" s="47" t="s">
        <v>154</v>
      </c>
      <c r="J65" s="47" t="s">
        <v>687</v>
      </c>
      <c r="K65" s="47" t="s">
        <v>111</v>
      </c>
      <c r="L65" s="48">
        <v>718276.95</v>
      </c>
      <c r="M65" s="48"/>
      <c r="N65" s="45"/>
      <c r="O65" s="47" t="s">
        <v>1</v>
      </c>
      <c r="P65" s="47" t="s">
        <v>1</v>
      </c>
      <c r="Q65" s="47" t="s">
        <v>826</v>
      </c>
      <c r="R65" s="47" t="s">
        <v>561</v>
      </c>
      <c r="S65" s="47" t="s">
        <v>1795</v>
      </c>
      <c r="T65" s="50" t="s">
        <v>1796</v>
      </c>
      <c r="U65" s="47" t="s">
        <v>895</v>
      </c>
      <c r="V65" s="50" t="s">
        <v>1797</v>
      </c>
      <c r="W65" s="47" t="s">
        <v>562</v>
      </c>
      <c r="X65" s="48">
        <v>1</v>
      </c>
      <c r="Y65" s="47" t="s">
        <v>687</v>
      </c>
      <c r="Z65" s="47" t="s">
        <v>436</v>
      </c>
      <c r="AA65" s="47" t="s">
        <v>105</v>
      </c>
      <c r="AB65" s="47" t="s">
        <v>111</v>
      </c>
      <c r="AC65" s="43" t="s">
        <v>99</v>
      </c>
      <c r="AD65" s="45">
        <v>718276.95</v>
      </c>
      <c r="AE65" s="13">
        <v>0</v>
      </c>
      <c r="AF65" s="13"/>
      <c r="AG65" s="13">
        <v>718276.95</v>
      </c>
      <c r="AH65" s="13">
        <v>0</v>
      </c>
      <c r="AI65" s="13" t="s">
        <v>1560</v>
      </c>
      <c r="AJ65" s="13" t="s">
        <v>16</v>
      </c>
      <c r="AK65" s="13"/>
      <c r="AL65" s="13"/>
      <c r="AM65" s="13">
        <v>434180.46</v>
      </c>
      <c r="AN65" s="13">
        <v>284096.48999999993</v>
      </c>
      <c r="AO65" s="47"/>
      <c r="AP65" s="47"/>
    </row>
    <row r="66" spans="1:42" ht="12.5" x14ac:dyDescent="0.25">
      <c r="A66" s="203">
        <v>46054</v>
      </c>
      <c r="B66" s="47" t="s">
        <v>103</v>
      </c>
      <c r="C66" s="47" t="s">
        <v>96</v>
      </c>
      <c r="D66" s="47" t="s">
        <v>107</v>
      </c>
      <c r="E66" s="47" t="s">
        <v>1622</v>
      </c>
      <c r="F66" s="47" t="s">
        <v>1562</v>
      </c>
      <c r="G66" s="47" t="s">
        <v>207</v>
      </c>
      <c r="H66" s="47" t="s">
        <v>207</v>
      </c>
      <c r="I66" s="47" t="s">
        <v>210</v>
      </c>
      <c r="J66" s="47" t="s">
        <v>687</v>
      </c>
      <c r="K66" s="47" t="s">
        <v>111</v>
      </c>
      <c r="L66" s="48">
        <v>1677857.16</v>
      </c>
      <c r="M66" s="48"/>
      <c r="N66" s="45"/>
      <c r="O66" s="47" t="s">
        <v>1</v>
      </c>
      <c r="P66" s="47" t="s">
        <v>1</v>
      </c>
      <c r="Q66" s="47" t="s">
        <v>1011</v>
      </c>
      <c r="R66" s="47" t="s">
        <v>561</v>
      </c>
      <c r="S66" s="47" t="s">
        <v>1798</v>
      </c>
      <c r="T66" s="50" t="s">
        <v>1799</v>
      </c>
      <c r="U66" s="47" t="s">
        <v>1007</v>
      </c>
      <c r="V66" s="50" t="s">
        <v>1800</v>
      </c>
      <c r="W66" s="47" t="s">
        <v>562</v>
      </c>
      <c r="X66" s="48">
        <v>1</v>
      </c>
      <c r="Y66" s="47" t="s">
        <v>687</v>
      </c>
      <c r="Z66" s="47" t="s">
        <v>436</v>
      </c>
      <c r="AA66" s="47" t="s">
        <v>105</v>
      </c>
      <c r="AB66" s="47" t="s">
        <v>111</v>
      </c>
      <c r="AC66" s="43" t="s">
        <v>99</v>
      </c>
      <c r="AD66" s="45">
        <v>1677857.16</v>
      </c>
      <c r="AE66" s="13">
        <v>0</v>
      </c>
      <c r="AF66" s="13"/>
      <c r="AG66" s="13">
        <v>1677857.16</v>
      </c>
      <c r="AH66" s="13">
        <v>0</v>
      </c>
      <c r="AI66" s="13" t="s">
        <v>1560</v>
      </c>
      <c r="AJ66" s="13" t="s">
        <v>16</v>
      </c>
      <c r="AK66" s="13"/>
      <c r="AL66" s="13"/>
      <c r="AM66" s="13">
        <v>1014222.71</v>
      </c>
      <c r="AN66" s="13">
        <v>663634.44999999995</v>
      </c>
      <c r="AO66" s="47"/>
      <c r="AP66" s="47"/>
    </row>
    <row r="67" spans="1:42" ht="12.5" x14ac:dyDescent="0.25">
      <c r="A67" s="203">
        <v>46054</v>
      </c>
      <c r="B67" s="47" t="s">
        <v>103</v>
      </c>
      <c r="C67" s="47" t="s">
        <v>96</v>
      </c>
      <c r="D67" s="47" t="s">
        <v>107</v>
      </c>
      <c r="E67" s="47" t="s">
        <v>1622</v>
      </c>
      <c r="F67" s="47" t="s">
        <v>1562</v>
      </c>
      <c r="G67" s="47" t="s">
        <v>387</v>
      </c>
      <c r="H67" s="47" t="s">
        <v>387</v>
      </c>
      <c r="I67" s="47" t="s">
        <v>242</v>
      </c>
      <c r="J67" s="47" t="s">
        <v>687</v>
      </c>
      <c r="K67" s="47" t="s">
        <v>111</v>
      </c>
      <c r="L67" s="48">
        <v>298515.78999999998</v>
      </c>
      <c r="M67" s="48"/>
      <c r="N67" s="45"/>
      <c r="O67" s="47" t="s">
        <v>1</v>
      </c>
      <c r="P67" s="47" t="s">
        <v>1</v>
      </c>
      <c r="Q67" s="47" t="s">
        <v>991</v>
      </c>
      <c r="R67" s="47" t="s">
        <v>561</v>
      </c>
      <c r="S67" s="47" t="s">
        <v>1801</v>
      </c>
      <c r="T67" s="50" t="s">
        <v>1802</v>
      </c>
      <c r="U67" s="47" t="s">
        <v>1455</v>
      </c>
      <c r="V67" s="50" t="s">
        <v>1803</v>
      </c>
      <c r="W67" s="47" t="s">
        <v>562</v>
      </c>
      <c r="X67" s="48">
        <v>1</v>
      </c>
      <c r="Y67" s="47" t="s">
        <v>687</v>
      </c>
      <c r="Z67" s="47" t="s">
        <v>436</v>
      </c>
      <c r="AA67" s="47" t="s">
        <v>105</v>
      </c>
      <c r="AB67" s="47" t="s">
        <v>111</v>
      </c>
      <c r="AC67" s="43" t="s">
        <v>99</v>
      </c>
      <c r="AD67" s="45">
        <v>298515.78999999998</v>
      </c>
      <c r="AE67" s="13">
        <v>0</v>
      </c>
      <c r="AF67" s="13"/>
      <c r="AG67" s="13">
        <v>298515.78999999998</v>
      </c>
      <c r="AH67" s="13">
        <v>0</v>
      </c>
      <c r="AI67" s="13" t="s">
        <v>1560</v>
      </c>
      <c r="AJ67" s="13" t="s">
        <v>16</v>
      </c>
      <c r="AK67" s="13"/>
      <c r="AL67" s="13"/>
      <c r="AM67" s="13">
        <v>232842.32</v>
      </c>
      <c r="AN67" s="13">
        <v>65673.469999999972</v>
      </c>
      <c r="AO67" s="47"/>
      <c r="AP67" s="47"/>
    </row>
    <row r="68" spans="1:42" ht="12.5" x14ac:dyDescent="0.25">
      <c r="A68" s="203">
        <v>46054</v>
      </c>
      <c r="B68" s="47" t="s">
        <v>103</v>
      </c>
      <c r="C68" s="47" t="s">
        <v>96</v>
      </c>
      <c r="D68" s="47" t="s">
        <v>107</v>
      </c>
      <c r="E68" s="47" t="s">
        <v>1622</v>
      </c>
      <c r="F68" s="47" t="s">
        <v>1562</v>
      </c>
      <c r="G68" s="47" t="s">
        <v>227</v>
      </c>
      <c r="H68" s="47" t="s">
        <v>227</v>
      </c>
      <c r="I68" s="47" t="s">
        <v>158</v>
      </c>
      <c r="J68" s="47" t="s">
        <v>687</v>
      </c>
      <c r="K68" s="47" t="s">
        <v>111</v>
      </c>
      <c r="L68" s="48">
        <v>3962972.35</v>
      </c>
      <c r="M68" s="48"/>
      <c r="N68" s="45"/>
      <c r="O68" s="47" t="s">
        <v>1</v>
      </c>
      <c r="P68" s="47" t="s">
        <v>1</v>
      </c>
      <c r="Q68" s="47" t="s">
        <v>871</v>
      </c>
      <c r="R68" s="47" t="s">
        <v>561</v>
      </c>
      <c r="S68" s="47" t="s">
        <v>1804</v>
      </c>
      <c r="T68" s="50" t="s">
        <v>1805</v>
      </c>
      <c r="U68" s="47" t="s">
        <v>1057</v>
      </c>
      <c r="V68" s="50" t="s">
        <v>1806</v>
      </c>
      <c r="W68" s="47" t="s">
        <v>562</v>
      </c>
      <c r="X68" s="48">
        <v>1</v>
      </c>
      <c r="Y68" s="47" t="s">
        <v>687</v>
      </c>
      <c r="Z68" s="47" t="s">
        <v>436</v>
      </c>
      <c r="AA68" s="47" t="s">
        <v>105</v>
      </c>
      <c r="AB68" s="47" t="s">
        <v>111</v>
      </c>
      <c r="AC68" s="43" t="s">
        <v>99</v>
      </c>
      <c r="AD68" s="45">
        <v>3962972.34</v>
      </c>
      <c r="AE68" s="13">
        <v>1.0000000242143869E-2</v>
      </c>
      <c r="AF68" s="13"/>
      <c r="AG68" s="13">
        <v>3962972.34</v>
      </c>
      <c r="AH68" s="13">
        <v>1.0000000242143869E-2</v>
      </c>
      <c r="AI68" s="13" t="s">
        <v>1560</v>
      </c>
      <c r="AJ68" s="13" t="s">
        <v>16</v>
      </c>
      <c r="AK68" s="13"/>
      <c r="AL68" s="13"/>
      <c r="AM68" s="13">
        <v>2395517.71</v>
      </c>
      <c r="AN68" s="13">
        <v>1567454.6400000001</v>
      </c>
      <c r="AO68" s="47"/>
      <c r="AP68" s="47"/>
    </row>
    <row r="69" spans="1:42" ht="12.5" x14ac:dyDescent="0.25">
      <c r="A69" s="203">
        <v>46054</v>
      </c>
      <c r="B69" s="47" t="s">
        <v>103</v>
      </c>
      <c r="C69" s="47" t="s">
        <v>96</v>
      </c>
      <c r="D69" s="47" t="s">
        <v>107</v>
      </c>
      <c r="E69" s="47" t="s">
        <v>1622</v>
      </c>
      <c r="F69" s="47" t="s">
        <v>1562</v>
      </c>
      <c r="G69" s="47" t="s">
        <v>137</v>
      </c>
      <c r="H69" s="47" t="s">
        <v>137</v>
      </c>
      <c r="I69" s="47" t="s">
        <v>140</v>
      </c>
      <c r="J69" s="47" t="s">
        <v>687</v>
      </c>
      <c r="K69" s="47" t="s">
        <v>111</v>
      </c>
      <c r="L69" s="48">
        <v>81926.98</v>
      </c>
      <c r="M69" s="48"/>
      <c r="N69" s="45"/>
      <c r="O69" s="47" t="s">
        <v>1</v>
      </c>
      <c r="P69" s="47" t="s">
        <v>1</v>
      </c>
      <c r="Q69" s="47" t="s">
        <v>803</v>
      </c>
      <c r="R69" s="47" t="s">
        <v>561</v>
      </c>
      <c r="S69" s="47" t="s">
        <v>1807</v>
      </c>
      <c r="T69" s="50" t="s">
        <v>1808</v>
      </c>
      <c r="U69" s="47" t="s">
        <v>800</v>
      </c>
      <c r="V69" s="50" t="s">
        <v>1809</v>
      </c>
      <c r="W69" s="47" t="s">
        <v>562</v>
      </c>
      <c r="X69" s="48">
        <v>1</v>
      </c>
      <c r="Y69" s="47" t="s">
        <v>687</v>
      </c>
      <c r="Z69" s="47" t="s">
        <v>436</v>
      </c>
      <c r="AA69" s="47" t="s">
        <v>105</v>
      </c>
      <c r="AB69" s="47" t="s">
        <v>111</v>
      </c>
      <c r="AC69" s="43" t="s">
        <v>99</v>
      </c>
      <c r="AD69" s="45">
        <v>81926.990000000005</v>
      </c>
      <c r="AE69" s="13">
        <v>-1.0000000009313226E-2</v>
      </c>
      <c r="AF69" s="13"/>
      <c r="AG69" s="13">
        <v>81926.990000000005</v>
      </c>
      <c r="AH69" s="13">
        <v>-1.0000000009313226E-2</v>
      </c>
      <c r="AI69" s="13" t="s">
        <v>1560</v>
      </c>
      <c r="AJ69" s="13" t="s">
        <v>16</v>
      </c>
      <c r="AK69" s="13"/>
      <c r="AL69" s="13"/>
      <c r="AM69" s="13">
        <v>49522.81</v>
      </c>
      <c r="AN69" s="13">
        <v>32404.17</v>
      </c>
      <c r="AO69" s="47"/>
      <c r="AP69" s="47"/>
    </row>
    <row r="70" spans="1:42" ht="12.5" x14ac:dyDescent="0.25">
      <c r="A70" s="203">
        <v>46054</v>
      </c>
      <c r="B70" s="47" t="s">
        <v>103</v>
      </c>
      <c r="C70" s="47" t="s">
        <v>96</v>
      </c>
      <c r="D70" s="47" t="s">
        <v>107</v>
      </c>
      <c r="E70" s="47" t="s">
        <v>1622</v>
      </c>
      <c r="F70" s="47" t="s">
        <v>1562</v>
      </c>
      <c r="G70" s="47" t="s">
        <v>325</v>
      </c>
      <c r="H70" s="47" t="s">
        <v>325</v>
      </c>
      <c r="I70" s="47" t="s">
        <v>306</v>
      </c>
      <c r="J70" s="47" t="s">
        <v>687</v>
      </c>
      <c r="K70" s="47" t="s">
        <v>111</v>
      </c>
      <c r="L70" s="48">
        <v>4002572.21</v>
      </c>
      <c r="M70" s="48"/>
      <c r="N70" s="45" t="s">
        <v>206</v>
      </c>
      <c r="O70" s="47" t="s">
        <v>1</v>
      </c>
      <c r="P70" s="47" t="s">
        <v>1</v>
      </c>
      <c r="Q70" s="47" t="s">
        <v>1257</v>
      </c>
      <c r="R70" s="47" t="s">
        <v>561</v>
      </c>
      <c r="S70" s="47" t="s">
        <v>1810</v>
      </c>
      <c r="T70" s="50" t="s">
        <v>1811</v>
      </c>
      <c r="U70" s="47" t="s">
        <v>1309</v>
      </c>
      <c r="V70" s="50" t="s">
        <v>1812</v>
      </c>
      <c r="W70" s="47" t="s">
        <v>562</v>
      </c>
      <c r="X70" s="48">
        <v>1</v>
      </c>
      <c r="Y70" s="47" t="s">
        <v>687</v>
      </c>
      <c r="Z70" s="47" t="s">
        <v>436</v>
      </c>
      <c r="AA70" s="47" t="s">
        <v>105</v>
      </c>
      <c r="AB70" s="47" t="s">
        <v>111</v>
      </c>
      <c r="AC70" s="43" t="s">
        <v>99</v>
      </c>
      <c r="AD70" s="45">
        <v>4000000</v>
      </c>
      <c r="AE70" s="13">
        <v>2572.2099999999627</v>
      </c>
      <c r="AF70" s="13"/>
      <c r="AG70" s="13">
        <v>4000000</v>
      </c>
      <c r="AH70" s="13">
        <v>2572.2099999999627</v>
      </c>
      <c r="AI70" s="13" t="s">
        <v>1560</v>
      </c>
      <c r="AJ70" s="13" t="s">
        <v>16</v>
      </c>
      <c r="AK70" s="13"/>
      <c r="AL70" s="13"/>
      <c r="AM70" s="13">
        <v>2417900</v>
      </c>
      <c r="AN70" s="13">
        <v>1584672.21</v>
      </c>
      <c r="AO70" s="47"/>
      <c r="AP70" s="47"/>
    </row>
    <row r="71" spans="1:42" ht="12.5" x14ac:dyDescent="0.25">
      <c r="A71" s="203">
        <v>46054</v>
      </c>
      <c r="B71" s="47" t="s">
        <v>103</v>
      </c>
      <c r="C71" s="47" t="s">
        <v>96</v>
      </c>
      <c r="D71" s="47" t="s">
        <v>107</v>
      </c>
      <c r="E71" s="47" t="s">
        <v>1622</v>
      </c>
      <c r="F71" s="47" t="s">
        <v>1562</v>
      </c>
      <c r="G71" s="47" t="s">
        <v>332</v>
      </c>
      <c r="H71" s="47" t="s">
        <v>332</v>
      </c>
      <c r="I71" s="47" t="s">
        <v>335</v>
      </c>
      <c r="J71" s="47" t="s">
        <v>687</v>
      </c>
      <c r="K71" s="47" t="s">
        <v>111</v>
      </c>
      <c r="L71" s="48">
        <v>7445541.0300000003</v>
      </c>
      <c r="M71" s="48"/>
      <c r="N71" s="45"/>
      <c r="O71" s="47" t="s">
        <v>1</v>
      </c>
      <c r="P71" s="47" t="s">
        <v>1</v>
      </c>
      <c r="Q71" s="47" t="s">
        <v>776</v>
      </c>
      <c r="R71" s="47" t="s">
        <v>561</v>
      </c>
      <c r="S71" s="47" t="s">
        <v>1813</v>
      </c>
      <c r="T71" s="50" t="s">
        <v>1814</v>
      </c>
      <c r="U71" s="47" t="s">
        <v>1325</v>
      </c>
      <c r="V71" s="50" t="s">
        <v>1815</v>
      </c>
      <c r="W71" s="47" t="s">
        <v>562</v>
      </c>
      <c r="X71" s="48">
        <v>1</v>
      </c>
      <c r="Y71" s="47" t="s">
        <v>687</v>
      </c>
      <c r="Z71" s="47" t="s">
        <v>436</v>
      </c>
      <c r="AA71" s="47" t="s">
        <v>105</v>
      </c>
      <c r="AB71" s="47" t="s">
        <v>111</v>
      </c>
      <c r="AC71" s="43" t="s">
        <v>99</v>
      </c>
      <c r="AD71" s="45">
        <v>7445541.0300000003</v>
      </c>
      <c r="AE71" s="13">
        <v>0</v>
      </c>
      <c r="AF71" s="13"/>
      <c r="AG71" s="13">
        <v>7445541.0300000003</v>
      </c>
      <c r="AH71" s="13">
        <v>0</v>
      </c>
      <c r="AI71" s="13" t="s">
        <v>1560</v>
      </c>
      <c r="AJ71" s="13" t="s">
        <v>16</v>
      </c>
      <c r="AK71" s="13"/>
      <c r="AL71" s="13"/>
      <c r="AM71" s="13">
        <v>5807522</v>
      </c>
      <c r="AN71" s="13">
        <v>1638019.0300000003</v>
      </c>
      <c r="AO71" s="47"/>
      <c r="AP71" s="47"/>
    </row>
    <row r="72" spans="1:42" ht="12.5" x14ac:dyDescent="0.25">
      <c r="A72" s="203">
        <v>46054</v>
      </c>
      <c r="B72" s="47" t="s">
        <v>103</v>
      </c>
      <c r="C72" s="47" t="s">
        <v>96</v>
      </c>
      <c r="D72" s="47" t="s">
        <v>107</v>
      </c>
      <c r="E72" s="47" t="s">
        <v>1622</v>
      </c>
      <c r="F72" s="47" t="s">
        <v>1562</v>
      </c>
      <c r="G72" s="47" t="s">
        <v>121</v>
      </c>
      <c r="H72" s="47" t="s">
        <v>121</v>
      </c>
      <c r="I72" s="47" t="s">
        <v>124</v>
      </c>
      <c r="J72" s="47" t="s">
        <v>687</v>
      </c>
      <c r="K72" s="47" t="s">
        <v>111</v>
      </c>
      <c r="L72" s="48">
        <v>2687841.45</v>
      </c>
      <c r="M72" s="48"/>
      <c r="N72" s="45"/>
      <c r="O72" s="47" t="s">
        <v>1</v>
      </c>
      <c r="P72" s="47" t="s">
        <v>1</v>
      </c>
      <c r="Q72" s="47" t="s">
        <v>753</v>
      </c>
      <c r="R72" s="47" t="s">
        <v>561</v>
      </c>
      <c r="S72" s="47" t="s">
        <v>1816</v>
      </c>
      <c r="T72" s="50" t="s">
        <v>1817</v>
      </c>
      <c r="U72" s="47" t="s">
        <v>749</v>
      </c>
      <c r="V72" s="50" t="s">
        <v>1818</v>
      </c>
      <c r="W72" s="47" t="s">
        <v>562</v>
      </c>
      <c r="X72" s="48">
        <v>1</v>
      </c>
      <c r="Y72" s="47" t="s">
        <v>687</v>
      </c>
      <c r="Z72" s="47" t="s">
        <v>436</v>
      </c>
      <c r="AA72" s="47" t="s">
        <v>105</v>
      </c>
      <c r="AB72" s="47" t="s">
        <v>111</v>
      </c>
      <c r="AC72" s="43" t="s">
        <v>99</v>
      </c>
      <c r="AD72" s="45">
        <v>2687841.46</v>
      </c>
      <c r="AE72" s="13">
        <v>-9.9999997764825821E-3</v>
      </c>
      <c r="AF72" s="13"/>
      <c r="AG72" s="13">
        <v>2687841.46</v>
      </c>
      <c r="AH72" s="13">
        <v>-9.9999997764825821E-3</v>
      </c>
      <c r="AI72" s="13" t="s">
        <v>1560</v>
      </c>
      <c r="AJ72" s="13" t="s">
        <v>16</v>
      </c>
      <c r="AK72" s="13"/>
      <c r="AL72" s="13"/>
      <c r="AM72" s="13">
        <v>1624732.96</v>
      </c>
      <c r="AN72" s="13">
        <v>1063108.4900000002</v>
      </c>
      <c r="AO72" s="47"/>
      <c r="AP72" s="47"/>
    </row>
    <row r="73" spans="1:42" ht="12.5" x14ac:dyDescent="0.25">
      <c r="A73" s="203">
        <v>46054</v>
      </c>
      <c r="B73" s="47" t="s">
        <v>103</v>
      </c>
      <c r="C73" s="47" t="s">
        <v>96</v>
      </c>
      <c r="D73" s="47" t="s">
        <v>107</v>
      </c>
      <c r="E73" s="47" t="s">
        <v>1622</v>
      </c>
      <c r="F73" s="47" t="s">
        <v>1562</v>
      </c>
      <c r="G73" s="47" t="s">
        <v>311</v>
      </c>
      <c r="H73" s="47" t="s">
        <v>311</v>
      </c>
      <c r="I73" s="47" t="s">
        <v>196</v>
      </c>
      <c r="J73" s="47" t="s">
        <v>687</v>
      </c>
      <c r="K73" s="47" t="s">
        <v>111</v>
      </c>
      <c r="L73" s="48">
        <v>12365642.550000001</v>
      </c>
      <c r="M73" s="48"/>
      <c r="N73" s="45"/>
      <c r="O73" s="47" t="s">
        <v>1</v>
      </c>
      <c r="P73" s="47" t="s">
        <v>1</v>
      </c>
      <c r="Q73" s="47" t="s">
        <v>974</v>
      </c>
      <c r="R73" s="47" t="s">
        <v>561</v>
      </c>
      <c r="S73" s="47" t="s">
        <v>1819</v>
      </c>
      <c r="T73" s="50" t="s">
        <v>1820</v>
      </c>
      <c r="U73" s="47" t="s">
        <v>1272</v>
      </c>
      <c r="V73" s="50" t="s">
        <v>1821</v>
      </c>
      <c r="W73" s="47" t="s">
        <v>562</v>
      </c>
      <c r="X73" s="48">
        <v>1</v>
      </c>
      <c r="Y73" s="47" t="s">
        <v>687</v>
      </c>
      <c r="Z73" s="47" t="s">
        <v>436</v>
      </c>
      <c r="AA73" s="47" t="s">
        <v>105</v>
      </c>
      <c r="AB73" s="47" t="s">
        <v>111</v>
      </c>
      <c r="AC73" s="43" t="s">
        <v>99</v>
      </c>
      <c r="AD73" s="45">
        <v>12365642.550000001</v>
      </c>
      <c r="AE73" s="13">
        <v>0</v>
      </c>
      <c r="AF73" s="13"/>
      <c r="AG73" s="13">
        <v>12365642.550000001</v>
      </c>
      <c r="AH73" s="13">
        <v>0</v>
      </c>
      <c r="AI73" s="13" t="s">
        <v>1560</v>
      </c>
      <c r="AJ73" s="13" t="s">
        <v>16</v>
      </c>
      <c r="AK73" s="13"/>
      <c r="AL73" s="13"/>
      <c r="AM73" s="13">
        <v>7474721.7800000003</v>
      </c>
      <c r="AN73" s="13">
        <v>4890920.7700000005</v>
      </c>
      <c r="AO73" s="47"/>
      <c r="AP73" s="47"/>
    </row>
    <row r="74" spans="1:42" ht="12.5" x14ac:dyDescent="0.25">
      <c r="A74" s="203">
        <v>46054</v>
      </c>
      <c r="B74" s="47" t="s">
        <v>103</v>
      </c>
      <c r="C74" s="47" t="s">
        <v>96</v>
      </c>
      <c r="D74" s="47" t="s">
        <v>107</v>
      </c>
      <c r="E74" s="47" t="s">
        <v>1622</v>
      </c>
      <c r="F74" s="47" t="s">
        <v>1562</v>
      </c>
      <c r="G74" s="47" t="s">
        <v>239</v>
      </c>
      <c r="H74" s="47" t="s">
        <v>239</v>
      </c>
      <c r="I74" s="47" t="s">
        <v>242</v>
      </c>
      <c r="J74" s="47" t="s">
        <v>687</v>
      </c>
      <c r="K74" s="47" t="s">
        <v>111</v>
      </c>
      <c r="L74" s="48">
        <v>4387094.46</v>
      </c>
      <c r="M74" s="48"/>
      <c r="N74" s="45" t="s">
        <v>206</v>
      </c>
      <c r="O74" s="47" t="s">
        <v>1</v>
      </c>
      <c r="P74" s="47" t="s">
        <v>1</v>
      </c>
      <c r="Q74" s="47" t="s">
        <v>991</v>
      </c>
      <c r="R74" s="47" t="s">
        <v>561</v>
      </c>
      <c r="S74" s="47" t="s">
        <v>1822</v>
      </c>
      <c r="T74" s="50" t="s">
        <v>1823</v>
      </c>
      <c r="U74" s="47" t="s">
        <v>1086</v>
      </c>
      <c r="V74" s="50" t="s">
        <v>1824</v>
      </c>
      <c r="W74" s="47" t="s">
        <v>562</v>
      </c>
      <c r="X74" s="48">
        <v>1</v>
      </c>
      <c r="Y74" s="47" t="s">
        <v>687</v>
      </c>
      <c r="Z74" s="47" t="s">
        <v>436</v>
      </c>
      <c r="AA74" s="47" t="s">
        <v>105</v>
      </c>
      <c r="AB74" s="47" t="s">
        <v>111</v>
      </c>
      <c r="AC74" s="43" t="s">
        <v>99</v>
      </c>
      <c r="AD74" s="45">
        <v>4381827.7699999996</v>
      </c>
      <c r="AE74" s="13">
        <v>5266.6900000004098</v>
      </c>
      <c r="AF74" s="13"/>
      <c r="AG74" s="13">
        <v>4381827.87</v>
      </c>
      <c r="AH74" s="13">
        <v>5266.589999999851</v>
      </c>
      <c r="AI74" s="13" t="s">
        <v>1560</v>
      </c>
      <c r="AJ74" s="13" t="s">
        <v>16</v>
      </c>
      <c r="AK74" s="13"/>
      <c r="AL74" s="13"/>
      <c r="AM74" s="13">
        <v>2648705.4</v>
      </c>
      <c r="AN74" s="13">
        <v>1738389.06</v>
      </c>
      <c r="AO74" s="47"/>
      <c r="AP74" s="47"/>
    </row>
    <row r="75" spans="1:42" ht="12.5" x14ac:dyDescent="0.25">
      <c r="A75" s="203">
        <v>46054</v>
      </c>
      <c r="B75" s="47" t="s">
        <v>103</v>
      </c>
      <c r="C75" s="47" t="s">
        <v>96</v>
      </c>
      <c r="D75" s="47" t="s">
        <v>107</v>
      </c>
      <c r="E75" s="47" t="s">
        <v>1622</v>
      </c>
      <c r="F75" s="47" t="s">
        <v>1562</v>
      </c>
      <c r="G75" s="47" t="s">
        <v>197</v>
      </c>
      <c r="H75" s="47" t="s">
        <v>197</v>
      </c>
      <c r="I75" s="47" t="s">
        <v>200</v>
      </c>
      <c r="J75" s="47" t="s">
        <v>687</v>
      </c>
      <c r="K75" s="47" t="s">
        <v>111</v>
      </c>
      <c r="L75" s="48">
        <v>9005104.1400000006</v>
      </c>
      <c r="M75" s="48"/>
      <c r="N75" s="45"/>
      <c r="O75" s="47" t="s">
        <v>1</v>
      </c>
      <c r="P75" s="47" t="s">
        <v>1</v>
      </c>
      <c r="Q75" s="47" t="s">
        <v>985</v>
      </c>
      <c r="R75" s="47" t="s">
        <v>561</v>
      </c>
      <c r="S75" s="47" t="s">
        <v>1825</v>
      </c>
      <c r="T75" s="50" t="s">
        <v>1826</v>
      </c>
      <c r="U75" s="47" t="s">
        <v>981</v>
      </c>
      <c r="V75" s="50" t="s">
        <v>1827</v>
      </c>
      <c r="W75" s="47" t="s">
        <v>562</v>
      </c>
      <c r="X75" s="48">
        <v>1</v>
      </c>
      <c r="Y75" s="47" t="s">
        <v>687</v>
      </c>
      <c r="Z75" s="47" t="s">
        <v>436</v>
      </c>
      <c r="AA75" s="47" t="s">
        <v>105</v>
      </c>
      <c r="AB75" s="47" t="s">
        <v>111</v>
      </c>
      <c r="AC75" s="43" t="s">
        <v>99</v>
      </c>
      <c r="AD75" s="45">
        <v>9005104.1400000006</v>
      </c>
      <c r="AE75" s="13">
        <v>0</v>
      </c>
      <c r="AF75" s="13"/>
      <c r="AG75" s="13">
        <v>9005104.1400000006</v>
      </c>
      <c r="AH75" s="13">
        <v>0</v>
      </c>
      <c r="AI75" s="13" t="s">
        <v>1560</v>
      </c>
      <c r="AJ75" s="13" t="s">
        <v>16</v>
      </c>
      <c r="AK75" s="13"/>
      <c r="AL75" s="13"/>
      <c r="AM75" s="13">
        <v>5443360.3300000001</v>
      </c>
      <c r="AN75" s="13">
        <v>3561743.8100000005</v>
      </c>
      <c r="AO75" s="47"/>
      <c r="AP75" s="47"/>
    </row>
  </sheetData>
  <autoFilter ref="A5:AP75" xr:uid="{00000000-0001-0000-1100-000000000000}"/>
  <customSheetViews>
    <customSheetView guid="{556E9078-6B03-4FFB-BB2F-218540054119}" filter="1" showAutoFilter="1">
      <pageMargins left="0.7" right="0.7" top="0.75" bottom="0.75" header="0.3" footer="0.3"/>
      <autoFilter ref="A5:AO2720" xr:uid="{0378C1D7-BBAB-4BDC-82CA-D261D2C14E7E}">
        <filterColumn colId="23">
          <filters>
            <filter val="1.00"/>
            <filter val="2.00"/>
            <filter val="3.00"/>
            <filter val="4.00"/>
            <filter val="5.00"/>
            <filter val="ppoid_instances"/>
          </filters>
        </filterColumn>
      </autoFilter>
    </customSheetView>
    <customSheetView guid="{884F5C4D-2BD0-4584-9FE3-6F18ED116A2D}" filter="1" showAutoFilter="1">
      <pageMargins left="0.7" right="0.7" top="0.75" bottom="0.75" header="0.3" footer="0.3"/>
      <autoFilter ref="A5:AO2720" xr:uid="{987ECC3D-E538-47B8-A623-31CF0B66972C}">
        <filterColumn colId="26">
          <filters blank="1">
            <filter val="Indonesia"/>
            <filter val="Malaysia"/>
            <filter val="Mexico"/>
            <filter val="Purchase_Entity_sf"/>
            <filter val="Qatar"/>
            <filter val="Singapore"/>
            <filter val="United Arab Emirates"/>
          </filters>
        </filterColumn>
      </autoFilter>
    </customSheetView>
    <customSheetView guid="{A55A67D2-7A75-4BB7-8C57-D6178E0757E4}" filter="1" showAutoFilter="1">
      <pageMargins left="0.7" right="0.7" top="0.75" bottom="0.75" header="0.3" footer="0.3"/>
      <autoFilter ref="A5:AO2720" xr:uid="{6F95D14A-DD67-44A6-9678-13BE93F9B56D}">
        <filterColumn colId="31">
          <filters>
            <filter val="Value_add_coupon_line"/>
          </filters>
        </filterColumn>
      </autoFilter>
    </customSheetView>
    <customSheetView guid="{DC4F75EE-FC5E-4A6F-86D0-0A90D78E30FA}" filter="1" showAutoFilter="1">
      <pageMargins left="0.7" right="0.7" top="0.75" bottom="0.75" header="0.3" footer="0.3"/>
      <autoFilter ref="A5:AO2720" xr:uid="{9D0BBA7B-A61E-46CA-B255-42356FA82F31}"/>
    </customSheetView>
    <customSheetView guid="{16235030-164F-40BD-99D5-7573AF44E29C}" filter="1" showAutoFilter="1">
      <pageMargins left="0.7" right="0.7" top="0.75" bottom="0.75" header="0.3" footer="0.3"/>
      <autoFilter ref="A5:AO2999" xr:uid="{6568424A-7999-48CB-85BB-7A97E33A1E6B}">
        <filterColumn colId="2">
          <filters>
            <filter val="Twitter Billing"/>
          </filters>
        </filterColumn>
      </autoFilter>
    </customSheetView>
    <customSheetView guid="{C6331C1F-5D57-44D5-88D0-5D7F9BDE22F8}" filter="1" showAutoFilter="1">
      <pageMargins left="0.7" right="0.7" top="0.75" bottom="0.75" header="0.3" footer="0.3"/>
      <autoFilter ref="A5:AO2720" xr:uid="{D9B647BB-1AB6-4070-93A3-8B45C0736422}"/>
    </customSheetView>
    <customSheetView guid="{937BA9D1-9623-4CC3-8967-808BD324CB82}" filter="1" showAutoFilter="1">
      <pageMargins left="0.7" right="0.7" top="0.75" bottom="0.75" header="0.3" footer="0.3"/>
      <autoFilter ref="A5:AO2720" xr:uid="{23EE7516-27A2-47F6-A077-157B4366C8CF}"/>
    </customSheetView>
    <customSheetView guid="{596CEAC7-47D8-49D0-A0E9-809ED0B9B39C}" filter="1" showAutoFilter="1">
      <pageMargins left="0.7" right="0.7" top="0.75" bottom="0.75" header="0.3" footer="0.3"/>
      <autoFilter ref="A5:AO2720" xr:uid="{08B56AC0-4FEA-4C0C-A1B5-3F24F5BCAA3D}">
        <filterColumn colId="38">
          <filters>
            <filter val="0.01"/>
            <filter val="0.04"/>
            <filter val="0.21"/>
            <filter val="0.23"/>
            <filter val="0.29"/>
            <filter val="0.35"/>
            <filter val="0.40"/>
            <filter val="0.47"/>
            <filter val="0.75"/>
            <filter val="0.90"/>
            <filter val="1,001.53"/>
            <filter val="1,002,800.00"/>
            <filter val="1,002,878.00"/>
            <filter val="1,002.11"/>
            <filter val="1,008.07"/>
            <filter val="1,014,222.71"/>
            <filter val="1,016,212.91"/>
            <filter val="1,019,479.48"/>
            <filter val="1,020.05"/>
            <filter val="1,023.30"/>
            <filter val="1,026.32"/>
            <filter val="1,027,143.13"/>
            <filter val="1,029.00"/>
            <filter val="1,048,292.84"/>
            <filter val="1,053.30"/>
            <filter val="1,057.96"/>
            <filter val="1,060,593.00"/>
            <filter val="1,060.87"/>
            <filter val="1,066.67"/>
            <filter val="1,073.60"/>
            <filter val="1,075,655.81"/>
            <filter val="1,075.25"/>
            <filter val="1,076,909.46"/>
            <filter val="1,079,155.90"/>
            <filter val="1,080,508.10"/>
            <filter val="1,084.22"/>
            <filter val="1,096.72"/>
            <filter val="1,099.73"/>
            <filter val="1,104.94"/>
            <filter val="1,112.39"/>
            <filter val="1,115,533.17"/>
            <filter val="1,127,729.37"/>
            <filter val="1,127.95"/>
            <filter val="1,128,355.66"/>
            <filter val="1,128.64"/>
            <filter val="1,131.88"/>
            <filter val="1,142.60"/>
            <filter val="1,148,700.73"/>
            <filter val="1,154,057.26"/>
            <filter val="1,160.37"/>
            <filter val="1,165.86"/>
            <filter val="1,185,138.90"/>
            <filter val="1,189.12"/>
            <filter val="1,194,582.00"/>
            <filter val="1,194.22"/>
            <filter val="1,200.76"/>
            <filter val="1,204.36"/>
            <filter val="1,204.82"/>
            <filter val="1,205.90"/>
            <filter val="1,208,950.00"/>
            <filter val="1,210.13"/>
            <filter val="1,210.23"/>
            <filter val="1,211.96"/>
            <filter val="1,212,662.06"/>
            <filter val="1,213,095.90"/>
            <filter val="1,213,582.99"/>
            <filter val="1,217.39"/>
            <filter val="1,220,572.20"/>
            <filter val="1,220.46"/>
            <filter val="1,226,057.88"/>
            <filter val="1,226.67"/>
            <filter val="1,231.19"/>
            <filter val="1,235.76"/>
            <filter val="1,236,375.27"/>
            <filter val="1,243.26"/>
            <filter val="1,244.22"/>
            <filter val="1,248.42"/>
            <filter val="1,256.44"/>
            <filter val="1,257.99"/>
            <filter val="1,259,132.00"/>
            <filter val="1,264.98"/>
            <filter val="1,267,468.93"/>
            <filter val="1,273,300.00"/>
            <filter val="1,275,000.00"/>
            <filter val="1,279.11"/>
            <filter val="1,284.21"/>
            <filter val="1,289.25"/>
            <filter val="1,292,152.00"/>
            <filter val="1,302,594.00"/>
            <filter val="1,307.33"/>
            <filter val="1,313.99"/>
            <filter val="1,317.41"/>
            <filter val="1,320.81"/>
            <filter val="1,322,745.00"/>
            <filter val="1,323.10"/>
            <filter val="1,324.81"/>
            <filter val="1,332.54"/>
            <filter val="1,337.32"/>
            <filter val="1,349.56"/>
            <filter val="1,358.13"/>
            <filter val="1,360.00"/>
            <filter val="1,373,626.89"/>
            <filter val="1,384.26"/>
            <filter val="1,385.51"/>
            <filter val="1,395,164.44"/>
            <filter val="1,397,600.00"/>
            <filter val="1,400.27"/>
            <filter val="1,404,186.00"/>
            <filter val="1,405.87"/>
            <filter val="1,407.23"/>
            <filter val="1,417,892.38"/>
            <filter val="1,421,380.48"/>
            <filter val="1,423.78"/>
            <filter val="1,425.46"/>
            <filter val="1,428,571.20"/>
            <filter val="1,431.47"/>
            <filter val="1,434.19"/>
            <filter val="1,436.41"/>
            <filter val="1,437,361.92"/>
            <filter val="1,440,153.00"/>
            <filter val="1,440,677.96"/>
            <filter val="1,441.68"/>
            <filter val="1,445.42"/>
            <filter val="1,448.29"/>
            <filter val="1,454.03"/>
            <filter val="1,456.62"/>
            <filter val="1,459,391.83"/>
            <filter val="1,463.70"/>
            <filter val="1,467.86"/>
            <filter val="1,469,739.33"/>
            <filter val="1,469.47"/>
            <filter val="1,469.61"/>
            <filter val="1,472,640.44"/>
            <filter val="1,473,482.00"/>
            <filter val="1,477,393.00"/>
            <filter val="1,486.70"/>
            <filter val="1,488,303.00"/>
            <filter val="1,489.93"/>
            <filter val="1,495.29"/>
            <filter val="1,501.26"/>
            <filter val="1,504,869.77"/>
            <filter val="1,512.87"/>
            <filter val="1,514.55"/>
            <filter val="1,526.00"/>
            <filter val="1,530,719.95"/>
            <filter val="1,530.00"/>
            <filter val="1,535,879.24"/>
            <filter val="1,536,344.00"/>
            <filter val="1,544.38"/>
            <filter val="1,554.10"/>
            <filter val="1,563,298.15"/>
            <filter val="1,569,733.48"/>
            <filter val="1,572.64"/>
            <filter val="1,575,430.00"/>
            <filter val="1,581.63"/>
            <filter val="1,585,611.00"/>
            <filter val="1,586,415.99"/>
            <filter val="1,590.17"/>
            <filter val="1,598.48"/>
            <filter val="1,599,615.00"/>
            <filter val="1,600.04"/>
            <filter val="1,601.53"/>
            <filter val="1,608.87"/>
            <filter val="1,611,981.25"/>
            <filter val="1,613,515.00"/>
            <filter val="1,622.94"/>
            <filter val="1,624,732.96"/>
            <filter val="1,625,648.83"/>
            <filter val="1,629,758.00"/>
            <filter val="1,630.51"/>
            <filter val="1,637,155.00"/>
            <filter val="1,645.63"/>
            <filter val="1,646,372.00"/>
            <filter val="1,648,712.79"/>
            <filter val="1,650,219.00"/>
            <filter val="1,651,245.90"/>
            <filter val="1,651.88"/>
            <filter val="1,652.71"/>
            <filter val="1,655.41"/>
            <filter val="1,663.87"/>
            <filter val="1,664.12"/>
            <filter val="1,666.44"/>
            <filter val="1,667.94"/>
            <filter val="1,670.91"/>
            <filter val="1,673.21"/>
            <filter val="1,676.45"/>
            <filter val="1,676.81"/>
            <filter val="1,677.40"/>
            <filter val="1,682,883.00"/>
            <filter val="1,685,543.00"/>
            <filter val="1,692.68"/>
            <filter val="1,693.77"/>
            <filter val="1,694.89"/>
            <filter val="1,696.25"/>
            <filter val="1,696.26"/>
            <filter val="1,696.63"/>
            <filter val="1,697.02"/>
            <filter val="1,699,813.27"/>
            <filter val="1,700.00"/>
            <filter val="1,701,884.00"/>
            <filter val="1,710.35"/>
            <filter val="1,711,933.00"/>
            <filter val="1,722,230.00"/>
            <filter val="1,735,792.72"/>
            <filter val="1,736.44"/>
            <filter val="1,748.63"/>
            <filter val="1,751.62"/>
            <filter val="1,767,477.00"/>
            <filter val="1,767.00"/>
            <filter val="1,780.45"/>
            <filter val="1,784.60"/>
            <filter val="1,794,000.00"/>
            <filter val="1,798.95"/>
            <filter val="1,807,031.51"/>
            <filter val="1,807.46"/>
            <filter val="1,813,080.00"/>
            <filter val="1,814,346.24"/>
            <filter val="1,815,515.57"/>
            <filter val="1,816.42"/>
            <filter val="1,818,707.00"/>
            <filter val="1,832.93"/>
            <filter val="1,835,251.00"/>
            <filter val="1,835.50"/>
            <filter val="1,840,000.00"/>
            <filter val="1,840.95"/>
            <filter val="1,844.98"/>
            <filter val="1,846,917.00"/>
            <filter val="1,851.74"/>
            <filter val="1,856.83"/>
            <filter val="1,860.01"/>
            <filter val="1,863.15"/>
            <filter val="1,874.50"/>
            <filter val="1,879.24"/>
            <filter val="1,879.49"/>
            <filter val="1,880,159.04"/>
            <filter val="1,882,282.61"/>
            <filter val="1,883.19"/>
            <filter val="1,883.25"/>
            <filter val="1,886,991.00"/>
            <filter val="1,886.49"/>
            <filter val="1,894.16"/>
            <filter val="1,900.00"/>
            <filter val="1,907.64"/>
            <filter val="1,910.04"/>
            <filter val="1,912.18"/>
            <filter val="1,923.80"/>
            <filter val="1,933.59"/>
            <filter val="1,949,868.31"/>
            <filter val="1,949.97"/>
            <filter val="1,960.42"/>
            <filter val="1,965,034.00"/>
            <filter val="1,966.35"/>
            <filter val="1,972,239.00"/>
            <filter val="1,975,210.00"/>
            <filter val="1,988.71"/>
            <filter val="1,992.03"/>
            <filter val="1.00"/>
            <filter val="10,000.50"/>
            <filter val="10,025.89"/>
            <filter val="10,030.24"/>
            <filter val="10,032.03"/>
            <filter val="10,039,508.91"/>
            <filter val="10,104.83"/>
            <filter val="10,122.30"/>
            <filter val="10,124.37"/>
            <filter val="10,161.28"/>
            <filter val="10,209.80"/>
            <filter val="10,211.24"/>
            <filter val="10,301,459.00"/>
            <filter val="10,310.49"/>
            <filter val="10,361.15"/>
            <filter val="10,410.39"/>
            <filter val="10,484.23"/>
            <filter val="10,488,200.00"/>
            <filter val="10,488.52"/>
            <filter val="10,524.67"/>
            <filter val="10,535.86"/>
            <filter val="10,537.00"/>
            <filter val="10,561.00"/>
            <filter val="10,581.78"/>
            <filter val="10,618.42"/>
            <filter val="10,637.70"/>
            <filter val="10,716.32"/>
            <filter val="10,728.20"/>
            <filter val="10,757.32"/>
            <filter val="10,773.97"/>
            <filter val="10,854.51"/>
            <filter val="10,927.39"/>
            <filter val="100,184.00"/>
            <filter val="100,784.03"/>
            <filter val="101,070.00"/>
            <filter val="102.31"/>
            <filter val="103,641.35"/>
            <filter val="104,769.09"/>
            <filter val="104,946.39"/>
            <filter val="104.56"/>
            <filter val="104.91"/>
            <filter val="106,017.92"/>
            <filter val="106,250.00"/>
            <filter val="106.16"/>
            <filter val="107,286.46"/>
            <filter val="107.00"/>
            <filter val="107.18"/>
            <filter val="108,361.44"/>
            <filter val="108,691.90"/>
            <filter val="11,001,853.00"/>
            <filter val="11,009.23"/>
            <filter val="11,046.68"/>
            <filter val="11,058.80"/>
            <filter val="11,068.31"/>
            <filter val="11,131.09"/>
            <filter val="11,207.49"/>
            <filter val="11,216.56"/>
            <filter val="11,218.19"/>
            <filter val="11,230.79"/>
            <filter val="11,241.06"/>
            <filter val="11,252.87"/>
            <filter val="11,271.00"/>
            <filter val="11,318.40"/>
            <filter val="11,319.14"/>
            <filter val="11,336,253.91"/>
            <filter val="11,373.08"/>
            <filter val="11,381.33"/>
            <filter val="11,570.91"/>
            <filter val="11,686.71"/>
            <filter val="11,756.56"/>
            <filter val="11,757.29"/>
            <filter val="11,793,375.00"/>
            <filter val="11,799,611.00"/>
            <filter val="11,845.16"/>
            <filter val="11,860.29"/>
            <filter val="11,878,275.00"/>
            <filter val="11,939.95"/>
            <filter val="11,973.48"/>
            <filter val="11,984.85"/>
            <filter val="11.10"/>
            <filter val="11.32"/>
            <filter val="11.75"/>
            <filter val="110,079.36"/>
            <filter val="110,400.49"/>
            <filter val="111,253.58"/>
            <filter val="111,741.00"/>
            <filter val="112,085.92"/>
            <filter val="112,853.92"/>
            <filter val="112.17"/>
            <filter val="112.40"/>
            <filter val="114,300.51"/>
            <filter val="114.36"/>
            <filter val="114.45"/>
            <filter val="114.94"/>
            <filter val="115,682,418.00"/>
            <filter val="115,980.39"/>
            <filter val="115.39"/>
            <filter val="117,879.30"/>
            <filter val="117,938.83"/>
            <filter val="118,876.04"/>
            <filter val="118,974.11"/>
            <filter val="119,129.58"/>
            <filter val="119,666.05"/>
            <filter val="119.00"/>
            <filter val="12,039.90"/>
            <filter val="12,051.41"/>
            <filter val="12,052.35"/>
            <filter val="12,067.82"/>
            <filter val="12,133,877.00"/>
            <filter val="12,149.42"/>
            <filter val="12,160.75"/>
            <filter val="12,173.61"/>
            <filter val="12,185.75"/>
            <filter val="12,192.99"/>
            <filter val="12,240.00"/>
            <filter val="12,284.08"/>
            <filter val="12,304.49"/>
            <filter val="12,349.36"/>
            <filter val="12,373.56"/>
            <filter val="12,398.57"/>
            <filter val="12,441.30"/>
            <filter val="12,461.47"/>
            <filter val="12,467.61"/>
            <filter val="12,469.03"/>
            <filter val="12,498.72"/>
            <filter val="12,535.37"/>
            <filter val="12,557.49"/>
            <filter val="12,619.61"/>
            <filter val="12,651.65"/>
            <filter val="12,722.99"/>
            <filter val="12,750.00"/>
            <filter val="12,757.10"/>
            <filter val="12,928.90"/>
            <filter val="12,987.30"/>
            <filter val="12.40"/>
            <filter val="120,840.50"/>
            <filter val="121,212.70"/>
            <filter val="122,472.28"/>
            <filter val="122.56"/>
            <filter val="123,171.47"/>
            <filter val="123.14"/>
            <filter val="125,867.64"/>
            <filter val="126,443.71"/>
            <filter val="126.25"/>
            <filter val="127,718.48"/>
            <filter val="128,428.00"/>
            <filter val="128,800.00"/>
            <filter val="129.16"/>
            <filter val="129.59"/>
            <filter val="13,060.39"/>
            <filter val="13,062.62"/>
            <filter val="13,090.00"/>
            <filter val="13,199,290.00"/>
            <filter val="13,240.40"/>
            <filter val="13,265.15"/>
            <filter val="13,322.36"/>
            <filter val="13,397.55"/>
            <filter val="13,407.94"/>
            <filter val="13,429.31"/>
            <filter val="13,576,217.00"/>
            <filter val="13,593.68"/>
            <filter val="13,688.24"/>
            <filter val="13,713.91"/>
            <filter val="13,744.26"/>
            <filter val="13,780.24"/>
            <filter val="13,807.44"/>
            <filter val="13,875.55"/>
            <filter val="13,915.82"/>
            <filter val="13,934.53"/>
            <filter val="13.63"/>
            <filter val="130,800.00"/>
            <filter val="130,989.90"/>
            <filter val="130.12"/>
            <filter val="130.30"/>
            <filter val="131,705.24"/>
            <filter val="131,940.67"/>
            <filter val="132,866.54"/>
            <filter val="132.58"/>
            <filter val="133,342.95"/>
            <filter val="133,374.00"/>
            <filter val="133.25"/>
            <filter val="133.48"/>
            <filter val="133.89"/>
            <filter val="134.38"/>
            <filter val="135,463.00"/>
            <filter val="135,567.83"/>
            <filter val="137,067.47"/>
            <filter val="137,280.00"/>
            <filter val="137,933.64"/>
            <filter val="138,206.08"/>
            <filter val="138,242.52"/>
            <filter val="138,571.08"/>
            <filter val="138.14"/>
            <filter val="139,371.00"/>
            <filter val="139,734.06"/>
            <filter val="139.15"/>
            <filter val="139.89"/>
            <filter val="14,065.09"/>
            <filter val="14,102,604.00"/>
            <filter val="14,117,694.00"/>
            <filter val="14,170.28"/>
            <filter val="14,175.53"/>
            <filter val="14,236.60"/>
            <filter val="14,266.14"/>
            <filter val="14,290,133.00"/>
            <filter val="14,619.92"/>
            <filter val="14,665,831.00"/>
            <filter val="14,719.45"/>
            <filter val="14,759,765.00"/>
            <filter val="14,785.13"/>
            <filter val="14,923.93"/>
            <filter val="14,956.51"/>
            <filter val="140,400.00"/>
            <filter val="142,538.30"/>
            <filter val="143,220.82"/>
            <filter val="143,380.62"/>
            <filter val="143,960,390.00"/>
            <filter val="143.68"/>
            <filter val="144,006.32"/>
            <filter val="145,400.41"/>
            <filter val="145,415.01"/>
            <filter val="145,609.96"/>
            <filter val="145,912.00"/>
            <filter val="145.07"/>
            <filter val="148,097.93"/>
            <filter val="148,200.00"/>
            <filter val="148,356.32"/>
            <filter val="149,613.34"/>
            <filter val="15,003.48"/>
            <filter val="15,011.91"/>
            <filter val="15,020.52"/>
            <filter val="15,034.45"/>
            <filter val="15,043.00"/>
            <filter val="15,127.31"/>
            <filter val="15,128.21"/>
            <filter val="15,133.63"/>
            <filter val="15,165.23"/>
            <filter val="15,199.33"/>
            <filter val="15,204,210.00"/>
            <filter val="15,298.81"/>
            <filter val="15,386.00"/>
            <filter val="15,409.94"/>
            <filter val="15,511,043.48"/>
            <filter val="15,609.29"/>
            <filter val="15,655.61"/>
            <filter val="15,777.83"/>
            <filter val="15,820.83"/>
            <filter val="15,891,855.00"/>
            <filter val="15.72"/>
            <filter val="150,450.80"/>
            <filter val="151.26"/>
            <filter val="151.59"/>
            <filter val="152,704.74"/>
            <filter val="152.16"/>
            <filter val="152.80"/>
            <filter val="153.36"/>
            <filter val="154.73"/>
            <filter val="155,206.03"/>
            <filter val="155.53"/>
            <filter val="156.70"/>
            <filter val="157,169.22"/>
            <filter val="158,045,685.00"/>
            <filter val="158,545.43"/>
            <filter val="158,656.92"/>
            <filter val="159,511.22"/>
            <filter val="16,062.59"/>
            <filter val="16,138.17"/>
            <filter val="16,171,172.00"/>
            <filter val="16,299.33"/>
            <filter val="16,388,000.00"/>
            <filter val="16,392.12"/>
            <filter val="16,425.10"/>
            <filter val="16,437,667.28"/>
            <filter val="16,442.09"/>
            <filter val="16,571.71"/>
            <filter val="16,577.39"/>
            <filter val="16,585.44"/>
            <filter val="16,603.76"/>
            <filter val="16,614.86"/>
            <filter val="16,639.97"/>
            <filter val="16,647,423.00"/>
            <filter val="16,709.27"/>
            <filter val="16,768.71"/>
            <filter val="16,779.75"/>
            <filter val="16,823.01"/>
            <filter val="16,848,505.00"/>
            <filter val="16,914,259.00"/>
            <filter val="16,946.06"/>
            <filter val="16,983.27"/>
            <filter val="162,536.86"/>
            <filter val="163,493.49"/>
            <filter val="164,908.00"/>
            <filter val="165,981.99"/>
            <filter val="165.48"/>
            <filter val="166.85"/>
            <filter val="167,508.62"/>
            <filter val="17,000,000.00"/>
            <filter val="17,000.00"/>
            <filter val="17,001.64"/>
            <filter val="17,026.10"/>
            <filter val="17,082.44"/>
            <filter val="17,107.63"/>
            <filter val="17,166.24"/>
            <filter val="17,236.16"/>
            <filter val="17,248.48"/>
            <filter val="17,271.65"/>
            <filter val="17,340,126.81"/>
            <filter val="17,377.22"/>
            <filter val="17,387.51"/>
            <filter val="17,435,880.00"/>
            <filter val="17,465.42"/>
            <filter val="17,506.72"/>
            <filter val="17,598.67"/>
            <filter val="17,611.46"/>
            <filter val="17,773.92"/>
            <filter val="17,832,249.49"/>
            <filter val="17,843.69"/>
            <filter val="17,899.01"/>
            <filter val="17,904,519.00"/>
            <filter val="17,993.66"/>
            <filter val="17,995.07"/>
            <filter val="170,481.58"/>
            <filter val="170,929.21"/>
            <filter val="170.91"/>
            <filter val="170.95"/>
            <filter val="171,600.00"/>
            <filter val="171,626.86"/>
            <filter val="171.71"/>
            <filter val="172,227,775.00"/>
            <filter val="172.78"/>
            <filter val="173,037.00"/>
            <filter val="173,278.82"/>
            <filter val="173,585.87"/>
            <filter val="176.95"/>
            <filter val="178,992.00"/>
            <filter val="179,400.00"/>
            <filter val="179.06"/>
            <filter val="18,042.98"/>
            <filter val="18,149.83"/>
            <filter val="18,163.55"/>
            <filter val="18,189.97"/>
            <filter val="18,242.38"/>
            <filter val="18,289.00"/>
            <filter val="18,495.58"/>
            <filter val="18,508.29"/>
            <filter val="18,576.64"/>
            <filter val="18,662.13"/>
            <filter val="18,672.14"/>
            <filter val="18,737.67"/>
            <filter val="18,745.00"/>
            <filter val="18,870,000.00"/>
            <filter val="18.00"/>
            <filter val="18.75"/>
            <filter val="180,518,820.00"/>
            <filter val="180,603.67"/>
            <filter val="181,151.04"/>
            <filter val="181,629.30"/>
            <filter val="182,085.03"/>
            <filter val="182,182.63"/>
            <filter val="183,701.00"/>
            <filter val="183.33"/>
            <filter val="183.44"/>
            <filter val="185,360.41"/>
            <filter val="185.16"/>
            <filter val="186,450.00"/>
            <filter val="186,943.05"/>
            <filter val="186.74"/>
            <filter val="187.45"/>
            <filter val="187.53"/>
            <filter val="188,702.43"/>
            <filter val="189,175.19"/>
            <filter val="189,625.02"/>
            <filter val="189.97"/>
            <filter val="19,074.17"/>
            <filter val="19,087.74"/>
            <filter val="19,143.24"/>
            <filter val="19,171.03"/>
            <filter val="19,196.58"/>
            <filter val="19,238.47"/>
            <filter val="19,307.12"/>
            <filter val="19,345.78"/>
            <filter val="19,352,697.00"/>
            <filter val="19,370.08"/>
            <filter val="19,491.49"/>
            <filter val="19,493.00"/>
            <filter val="19,501.87"/>
            <filter val="19,518.69"/>
            <filter val="19,608.00"/>
            <filter val="19,744.48"/>
            <filter val="19,821.11"/>
            <filter val="19.63"/>
            <filter val="19.79"/>
            <filter val="191,502.44"/>
            <filter val="192,006,684.00"/>
            <filter val="192,768.60"/>
            <filter val="194,817.08"/>
            <filter val="194,863.00"/>
            <filter val="194.07"/>
            <filter val="194.64"/>
            <filter val="195,099.76"/>
            <filter val="195,423.50"/>
            <filter val="195.95"/>
            <filter val="198.89"/>
            <filter val="199,211.00"/>
            <filter val="199.14"/>
            <filter val="2,005,432.68"/>
            <filter val="2,012.33"/>
            <filter val="2,012.60"/>
            <filter val="2,018.10"/>
            <filter val="2,026.05"/>
            <filter val="2,040.00"/>
            <filter val="2,042,859.00"/>
            <filter val="2,062.57"/>
            <filter val="2,067.97"/>
            <filter val="2,071,804.00"/>
            <filter val="2,078.67"/>
            <filter val="2,081,626.35"/>
            <filter val="2,090,238.00"/>
            <filter val="2,098.17"/>
            <filter val="2,117,494.00"/>
            <filter val="2,117.83"/>
            <filter val="2,122.96"/>
            <filter val="2,131.04"/>
            <filter val="2,137,067.00"/>
            <filter val="2,141.05"/>
            <filter val="2,152,081.04"/>
            <filter val="2,153.02"/>
            <filter val="2,160,814.06"/>
            <filter val="2,167.15"/>
            <filter val="2,167.50"/>
            <filter val="2,170.26"/>
            <filter val="2,173.23"/>
            <filter val="2,192.41"/>
            <filter val="2,193,021.00"/>
            <filter val="2,201.50"/>
            <filter val="2,207.53"/>
            <filter val="2,223.17"/>
            <filter val="2,246.69"/>
            <filter val="2,249.96"/>
            <filter val="2,252.01"/>
            <filter val="2,257.58"/>
            <filter val="2,266,807.22"/>
            <filter val="2,270,800.69"/>
            <filter val="2,277.58"/>
            <filter val="2,277.73"/>
            <filter val="2,286.90"/>
            <filter val="2,293.61"/>
            <filter val="2,302.22"/>
            <filter val="2,306,275.00"/>
            <filter val="2,324.29"/>
            <filter val="2,324.50"/>
            <filter val="2,330,587.08"/>
            <filter val="2,332.81"/>
            <filter val="2,344,553.00"/>
            <filter val="2,344.64"/>
            <filter val="2,346.00"/>
            <filter val="2,361.67"/>
            <filter val="2,367.10"/>
            <filter val="2,380.00"/>
            <filter val="2,381.61"/>
            <filter val="2,383.73"/>
            <filter val="2,395,517.71"/>
            <filter val="2,400.49"/>
            <filter val="2,405.50"/>
            <filter val="2,417,900.00"/>
            <filter val="2,438.85"/>
            <filter val="2,451,731.45"/>
            <filter val="2,453.10"/>
            <filter val="2,456.91"/>
            <filter val="2,462,025.00"/>
            <filter val="2,463,129.00"/>
            <filter val="2,467.81"/>
            <filter val="2,478,130.00"/>
            <filter val="2,484,371.08"/>
            <filter val="2,485.40"/>
            <filter val="2,487.10"/>
            <filter val="2,499.93"/>
            <filter val="2,504.33"/>
            <filter val="2,505.08"/>
            <filter val="2,506.94"/>
            <filter val="2,507.80"/>
            <filter val="2,548.08"/>
            <filter val="2,550,000.00"/>
            <filter val="2,550.00"/>
            <filter val="2,559,368.00"/>
            <filter val="2,560.51"/>
            <filter val="2,569.64"/>
            <filter val="2,577.55"/>
            <filter val="2,580,471.00"/>
            <filter val="2,581.69"/>
            <filter val="2,591.68"/>
            <filter val="2,595.69"/>
            <filter val="2,599.61"/>
            <filter val="2,600.97"/>
            <filter val="2,620,107.00"/>
            <filter val="2,629.53"/>
            <filter val="2,648,705.40"/>
            <filter val="2,660,233.95"/>
            <filter val="2,697,288.00"/>
            <filter val="2,714,053.00"/>
            <filter val="2,717.35"/>
            <filter val="2,719.48"/>
            <filter val="2,741.74"/>
            <filter val="2,756.80"/>
            <filter val="2,769.05"/>
            <filter val="2,771,474.00"/>
            <filter val="2,780.20"/>
            <filter val="2,783.93"/>
            <filter val="2,793,366.70"/>
            <filter val="2,805.00"/>
            <filter val="2,827,777.68"/>
            <filter val="2,848,867.95"/>
            <filter val="2,850.79"/>
            <filter val="2,853.09"/>
            <filter val="2,855.62"/>
            <filter val="2,855.97"/>
            <filter val="2,898.98"/>
            <filter val="2,900,455.00"/>
            <filter val="2,916.82"/>
            <filter val="2,927.11"/>
            <filter val="2,927.30"/>
            <filter val="2,932.74"/>
            <filter val="2,933,009.00"/>
            <filter val="2,937,955.00"/>
            <filter val="2,941.00"/>
            <filter val="2,952,718.93"/>
            <filter val="2,954.85"/>
            <filter val="2,956.09"/>
            <filter val="2,978.30"/>
            <filter val="20,003.01"/>
            <filter val="20,206.66"/>
            <filter val="20,253.17"/>
            <filter val="20,321.01"/>
            <filter val="20,373.90"/>
            <filter val="20,398.22"/>
            <filter val="20,441.12"/>
            <filter val="20,517.10"/>
            <filter val="20,522.21"/>
            <filter val="20,607.99"/>
            <filter val="20,608.95"/>
            <filter val="20,628.07"/>
            <filter val="20,647.18"/>
            <filter val="20,942.06"/>
            <filter val="20,968.61"/>
            <filter val="20.69"/>
            <filter val="20.72"/>
            <filter val="201,714.00"/>
            <filter val="201.76"/>
            <filter val="202,338.36"/>
            <filter val="202,558.79"/>
            <filter val="202.30"/>
            <filter val="203,928.00"/>
            <filter val="204,790.78"/>
            <filter val="207,220.80"/>
            <filter val="207,309.12"/>
            <filter val="209,324.00"/>
            <filter val="21,014.13"/>
            <filter val="21,060.00"/>
            <filter val="21,064,141.00"/>
            <filter val="21,246.91"/>
            <filter val="21,250.00"/>
            <filter val="21,402.11"/>
            <filter val="21,442.39"/>
            <filter val="21,697.46"/>
            <filter val="21,789.64"/>
            <filter val="21,820.89"/>
            <filter val="21,924.26"/>
            <filter val="21,979.24"/>
            <filter val="211,588.11"/>
            <filter val="212.50"/>
            <filter val="213,343.44"/>
            <filter val="215,453.63"/>
            <filter val="216.62"/>
            <filter val="217,538.58"/>
            <filter val="218.68"/>
            <filter val="219.45"/>
            <filter val="22,057.00"/>
            <filter val="22,077.20"/>
            <filter val="22,179.62"/>
            <filter val="22,231.72"/>
            <filter val="22,348.72"/>
            <filter val="22,644,000.00"/>
            <filter val="22,819.52"/>
            <filter val="22,844.42"/>
            <filter val="22,850,218.00"/>
            <filter val="22,949.85"/>
            <filter val="22,950.00"/>
            <filter val="22,974,845.00"/>
            <filter val="220,818.10"/>
            <filter val="223,752.00"/>
            <filter val="223,889.51"/>
            <filter val="223.00"/>
            <filter val="224,484.58"/>
            <filter val="224,646.50"/>
            <filter val="228.98"/>
            <filter val="23,055.97"/>
            <filter val="23,129.39"/>
            <filter val="23,545.00"/>
            <filter val="23,553,557.00"/>
            <filter val="23,597.90"/>
            <filter val="23,744.57"/>
            <filter val="23,751.02"/>
            <filter val="23,780.20"/>
            <filter val="23,812,346.00"/>
            <filter val="23,879.63"/>
            <filter val="23,993.52"/>
            <filter val="231.34"/>
            <filter val="232,739.76"/>
            <filter val="232,842.32"/>
            <filter val="233,532.04"/>
            <filter val="234,000.00"/>
            <filter val="234.67"/>
            <filter val="235,440.00"/>
            <filter val="235,549.45"/>
            <filter val="236,438.24"/>
            <filter val="238,466.00"/>
            <filter val="238,495.00"/>
            <filter val="238,854.00"/>
            <filter val="239,003.12"/>
            <filter val="239.08"/>
            <filter val="239.56"/>
            <filter val="24,140.23"/>
            <filter val="24,157.10"/>
            <filter val="24,168.06"/>
            <filter val="24,217.41"/>
            <filter val="24,377.00"/>
            <filter val="24,391.01"/>
            <filter val="24,472.83"/>
            <filter val="24,504.71"/>
            <filter val="24,632.02"/>
            <filter val="24,759.44"/>
            <filter val="24,814.75"/>
            <filter val="24,983.49"/>
            <filter val="24.96"/>
            <filter val="24.98"/>
            <filter val="240,949.01"/>
            <filter val="241.76"/>
            <filter val="243.08"/>
            <filter val="244,508.09"/>
            <filter val="245.24"/>
            <filter val="246,500.00"/>
            <filter val="246.93"/>
            <filter val="247,000.00"/>
            <filter val="247,123.70"/>
            <filter val="247,603.00"/>
            <filter val="248,520.00"/>
            <filter val="248.40"/>
            <filter val="248.84"/>
            <filter val="249.94"/>
            <filter val="25,074.56"/>
            <filter val="25,245.90"/>
            <filter val="25,288,022.00"/>
            <filter val="25,415.48"/>
            <filter val="25,447.55"/>
            <filter val="25,499.95"/>
            <filter val="25,500.11"/>
            <filter val="25,561.36"/>
            <filter val="25,663.91"/>
            <filter val="25,741.58"/>
            <filter val="25,787.20"/>
            <filter val="25.30"/>
            <filter val="250.42"/>
            <filter val="250.79"/>
            <filter val="252,651.31"/>
            <filter val="252.37"/>
            <filter val="253,101.37"/>
            <filter val="254,946.72"/>
            <filter val="254.46"/>
            <filter val="256,242.25"/>
            <filter val="256.26"/>
            <filter val="256.38"/>
            <filter val="257,297.00"/>
            <filter val="259.98"/>
            <filter val="26,005.89"/>
            <filter val="26,048.78"/>
            <filter val="26,373.16"/>
            <filter val="26,424,374.00"/>
            <filter val="26,486,420.50"/>
            <filter val="26,649.88"/>
            <filter val="26,940.35"/>
            <filter val="262,080.00"/>
            <filter val="262.66"/>
            <filter val="263,198.00"/>
            <filter val="263,500.00"/>
            <filter val="263,601.00"/>
            <filter val="264,023.62"/>
            <filter val="264,717.65"/>
            <filter val="264,718.08"/>
            <filter val="264,966.78"/>
            <filter val="265,200.00"/>
            <filter val="265.23"/>
            <filter val="265.68"/>
            <filter val="265.99"/>
            <filter val="266,215.30"/>
            <filter val="267.73"/>
            <filter val="268,047.96"/>
            <filter val="268,891.04"/>
            <filter val="268.40"/>
            <filter val="269.93"/>
            <filter val="27,092.63"/>
            <filter val="27,142.24"/>
            <filter val="27,156.77"/>
            <filter val="27,200.00"/>
            <filter val="27,226.61"/>
            <filter val="27,377.57"/>
            <filter val="27,461.83"/>
            <filter val="27,488,417.00"/>
            <filter val="27,577.96"/>
            <filter val="27,654.62"/>
            <filter val="27,663.96"/>
            <filter val="27,704.62"/>
            <filter val="27,803.81"/>
            <filter val="27,852.11"/>
            <filter val="27.54"/>
            <filter val="27.70"/>
            <filter val="270,094.81"/>
            <filter val="271,562.00"/>
            <filter val="272.80"/>
            <filter val="273,426.88"/>
            <filter val="273,615.97"/>
            <filter val="276,000.00"/>
            <filter val="276,941.94"/>
            <filter val="276.25"/>
            <filter val="277,710.68"/>
            <filter val="277,828.00"/>
            <filter val="279,033.83"/>
            <filter val="28,136,455.00"/>
            <filter val="28,181.59"/>
            <filter val="28,233.26"/>
            <filter val="28,347.57"/>
            <filter val="28,365.31"/>
            <filter val="28,484.39"/>
            <filter val="28,601.69"/>
            <filter val="28,898.08"/>
            <filter val="281.05"/>
            <filter val="281.18"/>
            <filter val="281.92"/>
            <filter val="282,014.52"/>
            <filter val="282.09"/>
            <filter val="283.28"/>
            <filter val="283.95"/>
            <filter val="284.07"/>
            <filter val="285,323.58"/>
            <filter val="285.55"/>
            <filter val="287,040.00"/>
            <filter val="29,050.47"/>
            <filter val="29,066.65"/>
            <filter val="29,071.62"/>
            <filter val="29,223.25"/>
            <filter val="29,267.61"/>
            <filter val="29,486.05"/>
            <filter val="29,646.17"/>
            <filter val="29,657.81"/>
            <filter val="29,674.91"/>
            <filter val="29,703.30"/>
            <filter val="29,710.46"/>
            <filter val="29,836.21"/>
            <filter val="29,840.24"/>
            <filter val="29,923.41"/>
            <filter val="29,968.96"/>
            <filter val="290.97"/>
            <filter val="291.32"/>
            <filter val="292,127.00"/>
            <filter val="292.01"/>
            <filter val="293,524.97"/>
            <filter val="294,528.73"/>
            <filter val="295,136.24"/>
            <filter val="295,376.95"/>
            <filter val="298,834.00"/>
            <filter val="299,590.00"/>
            <filter val="299.89"/>
            <filter val="3,000.36"/>
            <filter val="3,014.35"/>
            <filter val="3,022,375.00"/>
            <filter val="3,028.93"/>
            <filter val="3,033.40"/>
            <filter val="3,036.45"/>
            <filter val="3,060.00"/>
            <filter val="3,060.32"/>
            <filter val="3,068.96"/>
            <filter val="3,082.14"/>
            <filter val="3,103.03"/>
            <filter val="3,104.21"/>
            <filter val="3,107.85"/>
            <filter val="3,120.34"/>
            <filter val="3,131.18"/>
            <filter val="3,141,487.00"/>
            <filter val="3,159.96"/>
            <filter val="3,168.71"/>
            <filter val="3,168.98"/>
            <filter val="3,181,265.00"/>
            <filter val="3,182,542.00"/>
            <filter val="3,182.39"/>
            <filter val="3,185.77"/>
            <filter val="3,186.16"/>
            <filter val="3,196.99"/>
            <filter val="3,214,286.05"/>
            <filter val="3,218.18"/>
            <filter val="3,219.92"/>
            <filter val="3,226.40"/>
            <filter val="3,235.01"/>
            <filter val="3,245,830.00"/>
            <filter val="3,271,268.67"/>
            <filter val="3,280.37"/>
            <filter val="3,296.78"/>
            <filter val="3,304.17"/>
            <filter val="3,306,959.00"/>
            <filter val="3,332.72"/>
            <filter val="3,334.63"/>
            <filter val="3,340.77"/>
            <filter val="3,341.72"/>
            <filter val="3,349,075.00"/>
            <filter val="3,352,682.93"/>
            <filter val="3,354,776.00"/>
            <filter val="3,386.03"/>
            <filter val="3,393,750.38"/>
            <filter val="3,394.97"/>
            <filter val="3,400,000.00"/>
            <filter val="3,401.38"/>
            <filter val="3,403.31"/>
            <filter val="3,414.55"/>
            <filter val="3,423,256.54"/>
            <filter val="3,429,105.73"/>
            <filter val="3,432,528.90"/>
            <filter val="3,440.52"/>
            <filter val="3,465.18"/>
            <filter val="3,492.16"/>
            <filter val="3,502,925.00"/>
            <filter val="3,504,374.69"/>
            <filter val="3,555,946.49"/>
            <filter val="3,559,691.00"/>
            <filter val="3,561.50"/>
            <filter val="3,567.39"/>
            <filter val="3,570.86"/>
            <filter val="3,575,624.51"/>
            <filter val="3,606.58"/>
            <filter val="3,609.56"/>
            <filter val="3,612.24"/>
            <filter val="3,618,423.00"/>
            <filter val="3,621,990.00"/>
            <filter val="3,626.64"/>
            <filter val="3,630.56"/>
            <filter val="3,647.94"/>
            <filter val="3,665.94"/>
            <filter val="3,733.23"/>
            <filter val="3,735,755.00"/>
            <filter val="3,753,901.16"/>
            <filter val="3,757.00"/>
            <filter val="3,768,571.00"/>
            <filter val="3,798.11"/>
            <filter val="3,800.08"/>
            <filter val="3,815,582.88"/>
            <filter val="3,822.68"/>
            <filter val="3,823,151.23"/>
            <filter val="3,832.38"/>
            <filter val="3,850.75"/>
            <filter val="3,870.14"/>
            <filter val="3,897.33"/>
            <filter val="3,910.67"/>
            <filter val="3,915.05"/>
            <filter val="3,965.57"/>
            <filter val="3,972.42"/>
            <filter val="3,972.90"/>
            <filter val="3,974.58"/>
            <filter val="3,983.51"/>
            <filter val="3.08"/>
            <filter val="3.43"/>
            <filter val="30,038.84"/>
            <filter val="30,053.96"/>
            <filter val="30,086,006.00"/>
            <filter val="30,129.35"/>
            <filter val="30,134.32"/>
            <filter val="30,250.97"/>
            <filter val="30,318.33"/>
            <filter val="30,415.84"/>
            <filter val="30,487.32"/>
            <filter val="30,531.33"/>
            <filter val="30,633.73"/>
            <filter val="30,882.25"/>
            <filter val="30,964.54"/>
            <filter val="30,978.57"/>
            <filter val="30.40"/>
            <filter val="30.76"/>
            <filter val="300,757.48"/>
            <filter val="300.30"/>
            <filter val="301,248.59"/>
            <filter val="306,044.14"/>
            <filter val="306,212.50"/>
            <filter val="307,210,696.00"/>
            <filter val="309.84"/>
            <filter val="309.97"/>
            <filter val="31,022.23"/>
            <filter val="31,081.65"/>
            <filter val="31,135.19"/>
            <filter val="310.93"/>
            <filter val="312.41"/>
            <filter val="313,060.00"/>
            <filter val="313.79"/>
            <filter val="313.85"/>
            <filter val="314.62"/>
            <filter val="315,489.60"/>
            <filter val="315,827.88"/>
            <filter val="315.10"/>
            <filter val="32,028.40"/>
            <filter val="32,081.92"/>
            <filter val="32,376.04"/>
            <filter val="32,465.06"/>
            <filter val="32,667.59"/>
            <filter val="32,851.24"/>
            <filter val="32,981.52"/>
            <filter val="320.94"/>
            <filter val="322,958.69"/>
            <filter val="323,116.02"/>
            <filter val="324,720.77"/>
            <filter val="328,760.73"/>
            <filter val="329,444.88"/>
            <filter val="33,272.37"/>
            <filter val="33,337.66"/>
            <filter val="33,461.12"/>
            <filter val="33,534.78"/>
            <filter val="33,589.00"/>
            <filter val="33,622.51"/>
            <filter val="33,663.03"/>
            <filter val="33,663.49"/>
            <filter val="33,790.72"/>
            <filter val="33,862.77"/>
            <filter val="33,975.31"/>
            <filter val="33,992.83"/>
            <filter val="33.00"/>
            <filter val="33.16"/>
            <filter val="33.44"/>
            <filter val="331,430.00"/>
            <filter val="332.33"/>
            <filter val="333.62"/>
            <filter val="334,450.44"/>
            <filter val="337,141.87"/>
            <filter val="337.80"/>
            <filter val="338,389.86"/>
            <filter val="338.85"/>
            <filter val="339,826.40"/>
            <filter val="339.57"/>
            <filter val="34,000.00"/>
            <filter val="34,000.20"/>
            <filter val="34,005.37"/>
            <filter val="34,074.78"/>
            <filter val="34,200.02"/>
            <filter val="34,308.90"/>
            <filter val="34,340.40"/>
            <filter val="34,458.02"/>
            <filter val="34,584.77"/>
            <filter val="34,902.67"/>
            <filter val="34,909.62"/>
            <filter val="341.00"/>
            <filter val="343,847.72"/>
            <filter val="344.54"/>
            <filter val="346,501.00"/>
            <filter val="346.11"/>
            <filter val="346.33"/>
            <filter val="348,752.00"/>
            <filter val="348.50"/>
            <filter val="349,849.93"/>
            <filter val="349.15"/>
            <filter val="35,057.00"/>
            <filter val="35,101.12"/>
            <filter val="35,227.48"/>
            <filter val="35,259.88"/>
            <filter val="35,636.19"/>
            <filter val="35,636.93"/>
            <filter val="35,693,162.00"/>
            <filter val="35,905.62"/>
            <filter val="35,959.46"/>
            <filter val="350,134.98"/>
            <filter val="352,649.77"/>
            <filter val="354.64"/>
            <filter val="357.85"/>
            <filter val="358,107.23"/>
            <filter val="359,920.25"/>
            <filter val="36,130.42"/>
            <filter val="36,182.64"/>
            <filter val="36,325.73"/>
            <filter val="36,414.15"/>
            <filter val="36,434.00"/>
            <filter val="36,515.91"/>
            <filter val="36,541.00"/>
            <filter val="36,580.01"/>
            <filter val="36,599,934.00"/>
            <filter val="36,781.81"/>
            <filter val="36,906.70"/>
            <filter val="360.69"/>
            <filter val="361.62"/>
            <filter val="363.12"/>
            <filter val="365,367.85"/>
            <filter val="368,844.73"/>
            <filter val="369,446.59"/>
            <filter val="369,776.24"/>
            <filter val="37,219.73"/>
            <filter val="37,262.83"/>
            <filter val="37,291.25"/>
            <filter val="37,532.00"/>
            <filter val="37,646.70"/>
            <filter val="37,793.90"/>
            <filter val="37,810.71"/>
            <filter val="37,814.42"/>
            <filter val="37,910.28"/>
            <filter val="37,990.48"/>
            <filter val="37.00"/>
            <filter val="37.49"/>
            <filter val="370.52"/>
            <filter val="371.35"/>
            <filter val="372,412.36"/>
            <filter val="372,600.53"/>
            <filter val="373,886.10"/>
            <filter val="377.60"/>
            <filter val="378,622.00"/>
            <filter val="38,003.29"/>
            <filter val="38,239.85"/>
            <filter val="38,719.30"/>
            <filter val="38,719.65"/>
            <filter val="38,787.82"/>
            <filter val="38,954.70"/>
            <filter val="381,588,853.00"/>
            <filter val="381.36"/>
            <filter val="382.16"/>
            <filter val="382.26"/>
            <filter val="383,666.19"/>
            <filter val="386,844.83"/>
            <filter val="39,000.00"/>
            <filter val="39,042.36"/>
            <filter val="39,315,242.00"/>
            <filter val="39,659.33"/>
            <filter val="39,848.70"/>
            <filter val="392.74"/>
            <filter val="393.18"/>
            <filter val="394,198.00"/>
            <filter val="394,806.72"/>
            <filter val="395,503.71"/>
            <filter val="396,640.83"/>
            <filter val="397.40"/>
            <filter val="398,141.00"/>
            <filter val="398.11"/>
            <filter val="398.56"/>
            <filter val="4,006.13"/>
            <filter val="4,066.21"/>
            <filter val="4,080.00"/>
            <filter val="4,082.71"/>
            <filter val="4,086.23"/>
            <filter val="4,117.76"/>
            <filter val="4,118,897.00"/>
            <filter val="4,126.06"/>
            <filter val="4,142,422.00"/>
            <filter val="4,162,152.50"/>
            <filter val="4,163.34"/>
            <filter val="4,165.00"/>
            <filter val="4,178,131.18"/>
            <filter val="4,180.29"/>
            <filter val="4,196.71"/>
            <filter val="4,214.52"/>
            <filter val="4,243.06"/>
            <filter val="4,250.00"/>
            <filter val="4,250.05"/>
            <filter val="4,253,441.00"/>
            <filter val="4,259.69"/>
            <filter val="4,263,499.00"/>
            <filter val="4,267.25"/>
            <filter val="4,271.17"/>
            <filter val="4,285.13"/>
            <filter val="4,285.39"/>
            <filter val="4,292,299.00"/>
            <filter val="4,299.17"/>
            <filter val="4,301.38"/>
            <filter val="4,309.11"/>
            <filter val="4,320,099.00"/>
            <filter val="4,338.98"/>
            <filter val="4,340.44"/>
            <filter val="4,383.49"/>
            <filter val="4,402.86"/>
            <filter val="4,452.52"/>
            <filter val="4,454.96"/>
            <filter val="4,456.08"/>
            <filter val="4,468.38"/>
            <filter val="4,516.70"/>
            <filter val="4,529.74"/>
            <filter val="4,532.50"/>
            <filter val="4,534.44"/>
            <filter val="4,536.14"/>
            <filter val="4,541.52"/>
            <filter val="4,542,117.71"/>
            <filter val="4,571.37"/>
            <filter val="4,588.74"/>
            <filter val="4,594.13"/>
            <filter val="4,596.83"/>
            <filter val="4,603.38"/>
            <filter val="4,611.00"/>
            <filter val="4,614,292.00"/>
            <filter val="4,641.87"/>
            <filter val="4,700.91"/>
            <filter val="4,702,805.49"/>
            <filter val="4,704.22"/>
            <filter val="4,706.73"/>
            <filter val="4,720.83"/>
            <filter val="4,723.62"/>
            <filter val="4,725.23"/>
            <filter val="4,762.08"/>
            <filter val="4,785.88"/>
            <filter val="4,794.50"/>
            <filter val="4,813,699.00"/>
            <filter val="4,817,820.00"/>
            <filter val="4,818.36"/>
            <filter val="4,830,663.06"/>
            <filter val="4,832,872.20"/>
            <filter val="4,839.22"/>
            <filter val="4,878,392.00"/>
            <filter val="4,890.57"/>
            <filter val="4,928.81"/>
            <filter val="4,964,603.00"/>
            <filter val="4,981.21"/>
            <filter val="4,987.49"/>
            <filter val="40,007.87"/>
            <filter val="40,253.20"/>
            <filter val="40,385.47"/>
            <filter val="40,886.01"/>
            <filter val="40,925.79"/>
            <filter val="40.00"/>
            <filter val="400,099.00"/>
            <filter val="400.76"/>
            <filter val="401.00"/>
            <filter val="402.87"/>
            <filter val="404.07"/>
            <filter val="405,194.00"/>
            <filter val="406.02"/>
            <filter val="408,000.00"/>
            <filter val="409,982.00"/>
            <filter val="41,000.82"/>
            <filter val="41,105.21"/>
            <filter val="41,255.02"/>
            <filter val="41,281.89"/>
            <filter val="41,588.49"/>
            <filter val="41,942.68"/>
            <filter val="41.00"/>
            <filter val="41.45"/>
            <filter val="410.68"/>
            <filter val="411.18"/>
            <filter val="412,072.56"/>
            <filter val="413,865.35"/>
            <filter val="414,287.47"/>
            <filter val="415,358.00"/>
            <filter val="416,379.12"/>
            <filter val="417.26"/>
            <filter val="418.17"/>
            <filter val="419,184.54"/>
            <filter val="419.61"/>
            <filter val="42,024,990.00"/>
            <filter val="42,316.76"/>
            <filter val="42,329.23"/>
            <filter val="42,467.27"/>
            <filter val="42,492.21"/>
            <filter val="42,533.72"/>
            <filter val="42,562,746.00"/>
            <filter val="42,625.77"/>
            <filter val="42,900.00"/>
            <filter val="423,946.84"/>
            <filter val="423.42"/>
            <filter val="423.52"/>
            <filter val="424,063.25"/>
            <filter val="424,671.86"/>
            <filter val="424.76"/>
            <filter val="425,000.00"/>
            <filter val="425.29"/>
            <filter val="426.01"/>
            <filter val="43,070,052.00"/>
            <filter val="43,404.60"/>
            <filter val="43,595.73"/>
            <filter val="43,864.24"/>
            <filter val="432.04"/>
            <filter val="432.56"/>
            <filter val="434,180.46"/>
            <filter val="434.23"/>
            <filter val="434.94"/>
            <filter val="435.31"/>
            <filter val="435.44"/>
            <filter val="437.33"/>
            <filter val="439.23"/>
            <filter val="44,358.19"/>
            <filter val="44,456.70"/>
            <filter val="44,588.22"/>
            <filter val="44,832.34"/>
            <filter val="44,856.71"/>
            <filter val="440.89"/>
            <filter val="441,188.13"/>
            <filter val="445.72"/>
            <filter val="448.70"/>
            <filter val="449.09"/>
            <filter val="45,060.06"/>
            <filter val="45,114.69"/>
            <filter val="45,480.18"/>
            <filter val="45,796.01"/>
            <filter val="45,984.09"/>
            <filter val="45,990.50"/>
            <filter val="454.01"/>
            <filter val="458,726.55"/>
            <filter val="46,000.00"/>
            <filter val="46,088.38"/>
            <filter val="46,147.12"/>
            <filter val="46,968.13"/>
            <filter val="460,000.00"/>
            <filter val="460,333.00"/>
            <filter val="461,070.00"/>
            <filter val="461,676.86"/>
            <filter val="461.08"/>
            <filter val="465.64"/>
            <filter val="467,500.00"/>
            <filter val="468.62"/>
            <filter val="47,126.24"/>
            <filter val="47,351.61"/>
            <filter val="47,682.09"/>
            <filter val="47,695.54"/>
            <filter val="47,777.73"/>
            <filter val="47,990.06"/>
            <filter val="471,867.71"/>
            <filter val="474.84"/>
            <filter val="475,247.86"/>
            <filter val="475,622.67"/>
            <filter val="475.00"/>
            <filter val="476.69"/>
            <filter val="478,830.00"/>
            <filter val="48,412.12"/>
            <filter val="48,462.68"/>
            <filter val="48,463.65"/>
            <filter val="48,599.88"/>
            <filter val="48,824.48"/>
            <filter val="48,938.00"/>
            <filter val="480.89"/>
            <filter val="482,688.16"/>
            <filter val="482.71"/>
            <filter val="489,788.44"/>
            <filter val="49,040.61"/>
            <filter val="49,156.21"/>
            <filter val="49,372.75"/>
            <filter val="49,522.81"/>
            <filter val="49,573.97"/>
            <filter val="49,702.23"/>
            <filter val="49,818.76"/>
            <filter val="491,467.58"/>
            <filter val="496,107.00"/>
            <filter val="497.52"/>
            <filter val="499,581.00"/>
            <filter val="499,912.41"/>
            <filter val="5,001.35"/>
            <filter val="5,022,701.47"/>
            <filter val="5,056.05"/>
            <filter val="5,060.90"/>
            <filter val="5,078.21"/>
            <filter val="5,082.35"/>
            <filter val="5,085,012.92"/>
            <filter val="5,090.58"/>
            <filter val="5,100,000.00"/>
            <filter val="5,100.00"/>
            <filter val="5,103,449.00"/>
            <filter val="5,103.30"/>
            <filter val="5,143.94"/>
            <filter val="5,150.76"/>
            <filter val="5,193.68"/>
            <filter val="5,194.09"/>
            <filter val="5,262.40"/>
            <filter val="5,272,240.00"/>
            <filter val="5,288.61"/>
            <filter val="5,295.72"/>
            <filter val="5,304.01"/>
            <filter val="5,309.17"/>
            <filter val="5,324.19"/>
            <filter val="5,380.57"/>
            <filter val="5,403,455.00"/>
            <filter val="5,424.33"/>
            <filter val="5,425.17"/>
            <filter val="5,432.07"/>
            <filter val="5,443,360.33"/>
            <filter val="5,452.49"/>
            <filter val="5,482.92"/>
            <filter val="5,506.50"/>
            <filter val="5,511.14"/>
            <filter val="5,535.77"/>
            <filter val="5,542.45"/>
            <filter val="5,563.21"/>
            <filter val="5,608.92"/>
            <filter val="5,628.05"/>
            <filter val="5,653.96"/>
            <filter val="5,695,645.00"/>
            <filter val="5,705.62"/>
            <filter val="5,764.44"/>
            <filter val="5,789,370.60"/>
            <filter val="5,807,522.00"/>
            <filter val="5,853.90"/>
            <filter val="5,868.40"/>
            <filter val="5,897.86"/>
            <filter val="5,919,664.00"/>
            <filter val="5,950.00"/>
            <filter val="5,957.79"/>
            <filter val="5,959,766.84"/>
            <filter val="5,963.75"/>
            <filter val="5,974.39"/>
            <filter val="5,981.34"/>
            <filter val="5,991,993.00"/>
            <filter val="5.70"/>
            <filter val="50,065.00"/>
            <filter val="50,084.00"/>
            <filter val="50,095.00"/>
            <filter val="50,212.32"/>
            <filter val="50,363.21"/>
            <filter val="50,516.15"/>
            <filter val="50,717.42"/>
            <filter val="50,845.06"/>
            <filter val="50.36"/>
            <filter val="500.41"/>
            <filter val="506.81"/>
            <filter val="508.68"/>
            <filter val="51,023.93"/>
            <filter val="51,295.92"/>
            <filter val="51,549.54"/>
            <filter val="51,585.25"/>
            <filter val="51,621.00"/>
            <filter val="514.48"/>
            <filter val="514.74"/>
            <filter val="514.85"/>
            <filter val="515,202.23"/>
            <filter val="518.92"/>
            <filter val="52,351.13"/>
            <filter val="52,383.20"/>
            <filter val="52,486.00"/>
            <filter val="520.42"/>
            <filter val="524.96"/>
            <filter val="526.36"/>
            <filter val="53,097.98"/>
            <filter val="53,237.30"/>
            <filter val="53,438.54"/>
            <filter val="53,549.19"/>
            <filter val="53,789.66"/>
            <filter val="532.68"/>
            <filter val="539,991.96"/>
            <filter val="54,157.55"/>
            <filter val="54,458.01"/>
            <filter val="54,580.47"/>
            <filter val="54,600.00"/>
            <filter val="54,719.42"/>
            <filter val="54,914.70"/>
            <filter val="540,324.00"/>
            <filter val="540,858.19"/>
            <filter val="541.09"/>
            <filter val="543,926.29"/>
            <filter val="544,632.89"/>
            <filter val="544.94"/>
            <filter val="545.73"/>
            <filter val="546.90"/>
            <filter val="547,255.27"/>
            <filter val="55,310.01"/>
            <filter val="55,619.42"/>
            <filter val="55,694.46"/>
            <filter val="55.62"/>
            <filter val="550.25"/>
            <filter val="550.26"/>
            <filter val="551,201.18"/>
            <filter val="551,999.61"/>
            <filter val="551.94"/>
            <filter val="553,343.00"/>
            <filter val="554.90"/>
            <filter val="558.02"/>
            <filter val="56,015.88"/>
            <filter val="56,074.00"/>
            <filter val="56,796,202.00"/>
            <filter val="56,868,953.00"/>
            <filter val="56,924.78"/>
            <filter val="56.46"/>
            <filter val="560,829.15"/>
            <filter val="563.86"/>
            <filter val="565.31"/>
            <filter val="565.88"/>
            <filter val="566.88"/>
            <filter val="567,521.00"/>
            <filter val="567.65"/>
            <filter val="569.28"/>
            <filter val="57,178.34"/>
            <filter val="57,351.33"/>
            <filter val="57,695.11"/>
            <filter val="57.00"/>
            <filter val="577,428.00"/>
            <filter val="579.42"/>
            <filter val="58,352.24"/>
            <filter val="58,640.16"/>
            <filter val="58,984.61"/>
            <filter val="581.36"/>
            <filter val="581.92"/>
            <filter val="584,765.68"/>
            <filter val="587.05"/>
            <filter val="59,707.16"/>
            <filter val="592,406.49"/>
            <filter val="592.82"/>
            <filter val="592.91"/>
            <filter val="594.63"/>
            <filter val="596.42"/>
            <filter val="598,044.78"/>
            <filter val="6,001.23"/>
            <filter val="6,025.51"/>
            <filter val="6,031.29"/>
            <filter val="6,079.60"/>
            <filter val="6,102.56"/>
            <filter val="6,119.60"/>
            <filter val="6,120.00"/>
            <filter val="6,124.33"/>
            <filter val="6,199,241.00"/>
            <filter val="6,269.40"/>
            <filter val="6,277.85"/>
            <filter val="6,292.35"/>
            <filter val="6,345.86"/>
            <filter val="6,349.71"/>
            <filter val="6,379.71"/>
            <filter val="6,429.16"/>
            <filter val="6,486.39"/>
            <filter val="6,499.74"/>
            <filter val="6,536.78"/>
            <filter val="6,550.22"/>
            <filter val="6,572.55"/>
            <filter val="6,580.50"/>
            <filter val="6,584.10"/>
            <filter val="6,610.91"/>
            <filter val="6,628.86"/>
            <filter val="6,647.00"/>
            <filter val="6,661.50"/>
            <filter val="6,664.66"/>
            <filter val="6,690.04"/>
            <filter val="6,737.86"/>
            <filter val="6,740,664.00"/>
            <filter val="6,748.02"/>
            <filter val="6,750.89"/>
            <filter val="6,752.43"/>
            <filter val="6,759.93"/>
            <filter val="6,763.33"/>
            <filter val="6,802.48"/>
            <filter val="6,803,121.00"/>
            <filter val="6,815.23"/>
            <filter val="6,857.21"/>
            <filter val="6,873.69"/>
            <filter val="6,918.18"/>
            <filter val="6,930.01"/>
            <filter val="6,964,613.00"/>
            <filter val="6,975.88"/>
            <filter val="6.47"/>
            <filter val="60,236.95"/>
            <filter val="60,278.91"/>
            <filter val="60,330.79"/>
            <filter val="60,471.63"/>
            <filter val="603.26"/>
            <filter val="603.79"/>
            <filter val="604,725.79"/>
            <filter val="608,993.00"/>
            <filter val="61,109.06"/>
            <filter val="61,187.56"/>
            <filter val="61,248.06"/>
            <filter val="61,395.59"/>
            <filter val="61,556.00"/>
            <filter val="61,799.16"/>
            <filter val="61,935.31"/>
            <filter val="61.00"/>
            <filter val="610,921.00"/>
            <filter val="62,071.07"/>
            <filter val="62,949.44"/>
            <filter val="623.82"/>
            <filter val="626,654.59"/>
            <filter val="626.60"/>
            <filter val="629,827.00"/>
            <filter val="63,531.28"/>
            <filter val="63,808.06"/>
            <filter val="633.93"/>
            <filter val="634.12"/>
            <filter val="635,984.41"/>
            <filter val="638,041.62"/>
            <filter val="64,288.36"/>
            <filter val="64,303.19"/>
            <filter val="64.33"/>
            <filter val="645,260.00"/>
            <filter val="65,027,159.00"/>
            <filter val="65,607.50"/>
            <filter val="65,689.37"/>
            <filter val="65,761.84"/>
            <filter val="65,841.84"/>
            <filter val="652.04"/>
            <filter val="654,193.00"/>
            <filter val="654,685.18"/>
            <filter val="655,569.91"/>
            <filter val="659.74"/>
            <filter val="66,103.12"/>
            <filter val="66,755.56"/>
            <filter val="66,807.59"/>
            <filter val="66.11"/>
            <filter val="661.27"/>
            <filter val="663,131.24"/>
            <filter val="67,206.88"/>
            <filter val="67,459.76"/>
            <filter val="67,510.83"/>
            <filter val="67,674.45"/>
            <filter val="67,798.75"/>
            <filter val="67.12"/>
            <filter val="67.97"/>
            <filter val="670.60"/>
            <filter val="673.20"/>
            <filter val="673.83"/>
            <filter val="674.85"/>
            <filter val="68,000.00"/>
            <filter val="68,201.00"/>
            <filter val="68,640.00"/>
            <filter val="689,938.00"/>
            <filter val="689,956.23"/>
            <filter val="69,034.04"/>
            <filter val="69,205.61"/>
            <filter val="69.40"/>
            <filter val="691.65"/>
            <filter val="693.43"/>
            <filter val="696.85"/>
            <filter val="697,380.00"/>
            <filter val="7,004.84"/>
            <filter val="7,009,702.00"/>
            <filter val="7,015.34"/>
            <filter val="7,017,603.00"/>
            <filter val="7,116.69"/>
            <filter val="7,137.46"/>
            <filter val="7,137.67"/>
            <filter val="7,193.07"/>
            <filter val="7,209.34"/>
            <filter val="7,244.48"/>
            <filter val="7,264.24"/>
            <filter val="7,285.54"/>
            <filter val="7,343.73"/>
            <filter val="7,426.21"/>
            <filter val="7,433.42"/>
            <filter val="7,437.44"/>
            <filter val="7,438.72"/>
            <filter val="7,450.56"/>
            <filter val="7,463.40"/>
            <filter val="7,464.94"/>
            <filter val="7,474,721.78"/>
            <filter val="7,514.00"/>
            <filter val="7,515.90"/>
            <filter val="7,526.61"/>
            <filter val="7,540.07"/>
            <filter val="7,549.07"/>
            <filter val="7,596.05"/>
            <filter val="7,602.25"/>
            <filter val="7,632.17"/>
            <filter val="7,651.05"/>
            <filter val="7,651.41"/>
            <filter val="7,668.40"/>
            <filter val="7,674.06"/>
            <filter val="7,720.21"/>
            <filter val="7,779.10"/>
            <filter val="7,791.61"/>
            <filter val="7,798.37"/>
            <filter val="7,800.00"/>
            <filter val="7,822.02"/>
            <filter val="7,828.98"/>
            <filter val="7,894.09"/>
            <filter val="7,905.39"/>
            <filter val="7,932,837.00"/>
            <filter val="7.10"/>
            <filter val="7.63"/>
            <filter val="7.96"/>
            <filter val="70,555.89"/>
            <filter val="700.14"/>
            <filter val="701,416.00"/>
            <filter val="701,816.00"/>
            <filter val="706.22"/>
            <filter val="706.72"/>
            <filter val="71,504.92"/>
            <filter val="71,595.51"/>
            <filter val="71,961.25"/>
            <filter val="712.13"/>
            <filter val="715.04"/>
            <filter val="715.95"/>
            <filter val="717.86"/>
            <filter val="718.37"/>
            <filter val="72,837.32"/>
            <filter val="72,956.00"/>
            <filter val="720,338.99"/>
            <filter val="720.41"/>
            <filter val="722.84"/>
            <filter val="729,431.15"/>
            <filter val="729.69"/>
            <filter val="73,489.24"/>
            <filter val="73,504.78"/>
            <filter val="73,630.40"/>
            <filter val="73.44"/>
            <filter val="736,844.92"/>
            <filter val="736.86"/>
            <filter val="737.37"/>
            <filter val="74,128.26"/>
            <filter val="74,638.06"/>
            <filter val="74,665.51"/>
            <filter val="74,798.78"/>
            <filter val="74.61"/>
            <filter val="740.94"/>
            <filter val="746.84"/>
            <filter val="747.15"/>
            <filter val="749,508.87"/>
            <filter val="75,765.48"/>
            <filter val="75.16"/>
            <filter val="750.05"/>
            <filter val="750.19"/>
            <filter val="757,260.98"/>
            <filter val="757,920.00"/>
            <filter val="76,241.61"/>
            <filter val="76,388,146.00"/>
            <filter val="76,490.02"/>
            <filter val="76,500.00"/>
            <filter val="76,553.25"/>
            <filter val="76,604,214.00"/>
            <filter val="76,892.81"/>
            <filter val="76,949.99"/>
            <filter val="76.80"/>
            <filter val="76.89"/>
            <filter val="760.65"/>
            <filter val="761.19"/>
            <filter val="763,613.79"/>
            <filter val="764,999.99"/>
            <filter val="765,801.00"/>
            <filter val="767,600.57"/>
            <filter val="768,414.00"/>
            <filter val="77,202.79"/>
            <filter val="77,308.46"/>
            <filter val="77,595.71"/>
            <filter val="770.41"/>
            <filter val="777.09"/>
            <filter val="778,166.34"/>
            <filter val="779,470.54"/>
            <filter val="78,480.00"/>
            <filter val="78,683.54"/>
            <filter val="78,751.57"/>
            <filter val="780.67"/>
            <filter val="782.15"/>
            <filter val="785.40"/>
            <filter val="786,021.12"/>
            <filter val="787.64"/>
            <filter val="788.23"/>
            <filter val="79,314.23"/>
            <filter val="79,480.66"/>
            <filter val="793.24"/>
            <filter val="796,197.00"/>
            <filter val="796,505.00"/>
            <filter val="8,014.33"/>
            <filter val="8,019,750.00"/>
            <filter val="8,033.40"/>
            <filter val="8,055,386.25"/>
            <filter val="8,057.03"/>
            <filter val="8,060.62"/>
            <filter val="8,094.26"/>
            <filter val="8,234.32"/>
            <filter val="8,263,749.00"/>
            <filter val="8,273.44"/>
            <filter val="8,295.50"/>
            <filter val="8,300.00"/>
            <filter val="8,370.80"/>
            <filter val="8,371.20"/>
            <filter val="8,386,719.00"/>
            <filter val="8,389.38"/>
            <filter val="8,423.74"/>
            <filter val="8,456.56"/>
            <filter val="8,469.79"/>
            <filter val="8,493.60"/>
            <filter val="8,500.00"/>
            <filter val="8,518.25"/>
            <filter val="8,571.57"/>
            <filter val="8,586.25"/>
            <filter val="8,615.92"/>
            <filter val="8,707.51"/>
            <filter val="8,718.45"/>
            <filter val="8,763.87"/>
            <filter val="8,769.02"/>
            <filter val="8,773.43"/>
            <filter val="8,794,282.19"/>
            <filter val="8,879.69"/>
            <filter val="8,895.35"/>
            <filter val="8,903.74"/>
            <filter val="8,926,684.00"/>
            <filter val="8,953.39"/>
            <filter val="8,975,050.00"/>
            <filter val="8,988.97"/>
            <filter val="80,224.78"/>
            <filter val="80,253.62"/>
            <filter val="80,285.26"/>
            <filter val="80,402.51"/>
            <filter val="80,422.57"/>
            <filter val="80,603.58"/>
            <filter val="80,741.10"/>
            <filter val="80.52"/>
            <filter val="801,124.00"/>
            <filter val="803,702.30"/>
            <filter val="808.14"/>
            <filter val="81,668.25"/>
            <filter val="81.67"/>
            <filter val="811,215.17"/>
            <filter val="821.03"/>
            <filter val="823,726.00"/>
            <filter val="828.04"/>
            <filter val="83,274.08"/>
            <filter val="830,855.91"/>
            <filter val="831,715.00"/>
            <filter val="832.57"/>
            <filter val="84,235.00"/>
            <filter val="84,352.50"/>
            <filter val="84,480.90"/>
            <filter val="84,520.50"/>
            <filter val="84,745.51"/>
            <filter val="84,767.35"/>
            <filter val="84.55"/>
            <filter val="842.90"/>
            <filter val="844.00"/>
            <filter val="845.86"/>
            <filter val="847,893.68"/>
            <filter val="847.99"/>
            <filter val="848.66"/>
            <filter val="85,000.00"/>
            <filter val="85,289.36"/>
            <filter val="85,824.37"/>
            <filter val="85,996.06"/>
            <filter val="85.39"/>
            <filter val="85.80"/>
            <filter val="850.05"/>
            <filter val="850.76"/>
            <filter val="851.67"/>
            <filter val="853.45"/>
            <filter val="857,784.33"/>
            <filter val="858,171.37"/>
            <filter val="859,524.56"/>
            <filter val="86,019.71"/>
            <filter val="86,476.46"/>
            <filter val="86.00"/>
            <filter val="86.15"/>
            <filter val="86.16"/>
            <filter val="860.58"/>
            <filter val="861.49"/>
            <filter val="87,152.50"/>
            <filter val="87,200.00"/>
            <filter val="87,796.91"/>
            <filter val="87.52"/>
            <filter val="870,632.07"/>
            <filter val="870.03"/>
            <filter val="872.04"/>
            <filter val="878,947.00"/>
            <filter val="878.57"/>
            <filter val="88,261.09"/>
            <filter val="88,616.87"/>
            <filter val="88.95"/>
            <filter val="885.76"/>
            <filter val="886.58"/>
            <filter val="89,177.66"/>
            <filter val="89,178.14"/>
            <filter val="89,273.98"/>
            <filter val="89,414.45"/>
            <filter val="89.00"/>
            <filter val="89.92"/>
            <filter val="892.29"/>
            <filter val="893,126.55"/>
            <filter val="898.61"/>
            <filter val="9,015.29"/>
            <filter val="9,087.14"/>
            <filter val="9,097.43"/>
            <filter val="9,099.45"/>
            <filter val="9,120,451.00"/>
            <filter val="9,249.51"/>
            <filter val="9,350,000.00"/>
            <filter val="9,362,597.13"/>
            <filter val="9,372.50"/>
            <filter val="9,427.14"/>
            <filter val="9,467.73"/>
            <filter val="9,500.44"/>
            <filter val="9,623.56"/>
            <filter val="9,623.84"/>
            <filter val="9,714.90"/>
            <filter val="9,856,805.00"/>
            <filter val="9,865.75"/>
            <filter val="9,920.63"/>
            <filter val="9,957.61"/>
            <filter val="9,971.87"/>
            <filter val="9.12"/>
            <filter val="9.51"/>
            <filter val="90,597.44"/>
            <filter val="90,717.57"/>
            <filter val="90.88"/>
            <filter val="900,364.62"/>
            <filter val="902,238.00"/>
            <filter val="904,847.00"/>
            <filter val="909,477.76"/>
            <filter val="909.10"/>
            <filter val="91,467.80"/>
            <filter val="91,606.89"/>
            <filter val="91,637.83"/>
            <filter val="91,827.93"/>
            <filter val="913.14"/>
            <filter val="916,793.26"/>
            <filter val="917.80"/>
            <filter val="92,356.85"/>
            <filter val="92.31"/>
            <filter val="921.51"/>
            <filter val="923.05"/>
            <filter val="923.24"/>
            <filter val="925,190.29"/>
            <filter val="925.34"/>
            <filter val="926,859.13"/>
            <filter val="926.50"/>
            <filter val="93,831.30"/>
            <filter val="93.72"/>
            <filter val="930.84"/>
            <filter val="936.44"/>
            <filter val="937.95"/>
            <filter val="940.25"/>
            <filter val="943,500.00"/>
            <filter val="946,545.67"/>
            <filter val="95,679.26"/>
            <filter val="95.35"/>
            <filter val="950,921.06"/>
            <filter val="97,360.33"/>
            <filter val="97,545.58"/>
            <filter val="97,851.09"/>
            <filter val="970,050.13"/>
            <filter val="972.12"/>
            <filter val="975,200.00"/>
            <filter val="98,067.43"/>
            <filter val="98,377.98"/>
            <filter val="98.10"/>
            <filter val="981,961.00"/>
            <filter val="984,549.00"/>
            <filter val="99,785.98"/>
            <filter val="99.42"/>
            <filter val="990.03"/>
            <filter val="995.89"/>
            <filter val="996,229.00"/>
            <filter val="998,033.13"/>
            <filter val="Net_Open_Balance_Transaction_Currency"/>
          </filters>
        </filterColumn>
      </autoFilter>
    </customSheetView>
    <customSheetView guid="{881A75FD-16BF-46BB-AE7D-4AFCB453DA42}" filter="1" showAutoFilter="1">
      <pageMargins left="0.7" right="0.7" top="0.75" bottom="0.75" header="0.3" footer="0.3"/>
      <autoFilter ref="A5:AO2720" xr:uid="{0048EFD1-30B5-4C2A-A87A-A724251198C6}">
        <filterColumn colId="18">
          <filters>
            <filter val="8014W0000048aItQAI"/>
            <filter val="8014W0000048imhQAA"/>
            <filter val="8014W0000048ipAQAQ"/>
            <filter val="8014W0000048ipJQAQ"/>
            <filter val="8018a000000EHtiAAG"/>
            <filter val="8018a000000tHd7AAE"/>
            <filter val="8018a0000012ajzAAA"/>
            <filter val="8018a0000012c2vAAA"/>
            <filter val="8018a0000012cBAAAY"/>
            <filter val="8018a0000012cILAAY"/>
            <filter val="8018a0000012VhqAAE"/>
            <filter val="8018a000001fiEWAAY"/>
            <filter val="8018a000001flMGAAY"/>
            <filter val="8018a000001ftp9AAA"/>
            <filter val="8018a000001fvdqAAA"/>
            <filter val="8018a000001fwrMAAQ"/>
            <filter val="8018a000001fybmAAA"/>
            <filter val="8018a00000223h3AAA"/>
            <filter val="8018a0000022FSVAA2"/>
            <filter val="8018a0000022FSWAA2"/>
            <filter val="8018a000002GAloAAG"/>
            <filter val="8018a000002KgcRAAS"/>
            <filter val="8018a000002KgYEAA0"/>
            <filter val="8018a000002KpPDAA0"/>
            <filter val="8018a000002KpPXAA0"/>
            <filter val="8018a000002KxV4AAK"/>
            <filter val="8018a000002L34MAAS"/>
            <filter val="8018a000002L3vgAAC"/>
            <filter val="8018a000002L3vRAAS"/>
            <filter val="8018a000002L4lJAAS"/>
            <filter val="8018a000002L9FVAA0"/>
            <filter val="8018a000002LAqTAAW"/>
            <filter val="8018a000002LGwBAAW"/>
            <filter val="8018a000002LJj8AAG"/>
            <filter val="8018a000002LJk6AAG"/>
            <filter val="8018a000002LJrzAAG"/>
            <filter val="8018a000002Lk9NAAS"/>
            <filter val="8018a000002LNKtAAO"/>
            <filter val="8018a000002LysOAAS"/>
            <filter val="8018a000002M1KRAA0"/>
            <filter val="8018a000002M44yAAC"/>
            <filter val="8018a000002qCiIAAU"/>
            <filter val="8018a000002qDE2AAM"/>
            <filter val="8018a000002qDE7AAM"/>
            <filter val="8018a0000030cP0AAI"/>
            <filter val="8018a0000030cP1AAI"/>
            <filter val="8018a0000030cPgAAI"/>
            <filter val="8018a0000030VucAAE"/>
            <filter val="8018a0000030ZRmAAM"/>
            <filter val="8018a000003YrZdAAK"/>
            <filter val="8018a000003Yso4AAC"/>
            <filter val="8018a000003Yx7KAAS"/>
            <filter val="8018a000003Yz6NAAS"/>
            <filter val="801Uj000001a30UIAQ"/>
            <filter val="801Uj000001BDpOIAW"/>
            <filter val="801Uj000001d378IAA"/>
            <filter val="801Uj000001l7FHIAY"/>
            <filter val="801Uj000001pBtlIAE"/>
            <filter val="801Uj000001zeUcIAI"/>
            <filter val="801Uj0000024wEKIAY"/>
            <filter val="801Uj000002ahuvIAA"/>
            <filter val="801Uj000002iyddIAA"/>
            <filter val="801Uj000002WuneIAC"/>
            <filter val="801Uj0000034GqrIAE"/>
            <filter val="801Uj000003myUsIAI"/>
            <filter val="801Uj000003Vq2EIAS"/>
            <filter val="801Uj0000043qKjIAI"/>
            <filter val="801Uj000004azkzIAA"/>
            <filter val="801Uj000004B7NFIA0"/>
            <filter val="801Uj000004NaV9IAK"/>
            <filter val="801Uj000004tcAQIAY"/>
            <filter val="801Uj000004Wa2rIAC"/>
            <filter val="801Uj000005f31yIAA"/>
            <filter val="801Uj000005f3dNIAQ"/>
            <filter val="801Uj000005fuY2IAI"/>
            <filter val="801Uj000005HURpIAO"/>
            <filter val="801Uj000005S3coIAC"/>
            <filter val="801Uj000005ZYFGIA4"/>
            <filter val="801Uj0000067nbhIAA"/>
            <filter val="801Uj000006fpMUIAY"/>
            <filter val="801Uj000006m0K5IAI"/>
            <filter val="801Uj000006m5WbIAI"/>
            <filter val="801Uj000006mC03IAE"/>
            <filter val="801Uj000006MiGfIAK"/>
            <filter val="801Uj000006VCSuIAO"/>
            <filter val="801Uj0000074bgYIAQ"/>
            <filter val="801Uj0000074ZCrIAM"/>
            <filter val="801Uj000007tAZ1IAM"/>
            <filter val="801Uj0000084jObIAI"/>
            <filter val="801Uj00000859E9IAI"/>
            <filter val="801Uj0000085mQqIAI"/>
            <filter val="801Uj00000861XuIAI"/>
            <filter val="801Uj000008hP6cIAE"/>
            <filter val="801Uj000008iSYgIAM"/>
            <filter val="801Uj000008l5hCIAQ"/>
            <filter val="801Uj000009GhBuIAK"/>
            <filter val="801Uj000009Z4zdIAC"/>
            <filter val="801Uj000009Z8f3IAC"/>
            <filter val="801Uj000009ZCtxIAG"/>
            <filter val="801Uj00000aBemeIAC"/>
            <filter val="801Uj00000aBNBBIA4"/>
            <filter val="801Uj00000absw0IAA"/>
            <filter val="801Uj00000aEhwXIAS"/>
            <filter val="801Uj00000Ah8mDIAR"/>
            <filter val="801Uj00000AhBtoIAF"/>
            <filter val="801Uj00000AhNSXIA3"/>
            <filter val="801Uj00000ALo0rIAD"/>
            <filter val="801Uj00000aNMJGIA4"/>
            <filter val="801Uj00000AQGZeIAP"/>
            <filter val="801Uj00000aSSBBIA4"/>
            <filter val="801Uj00000aU7sAIAS"/>
            <filter val="801Uj00000aza9tIAA"/>
            <filter val="801Uj00000b1oATIAY"/>
            <filter val="801Uj00000b27heIAA"/>
            <filter val="801Uj00000b5PenIAE"/>
            <filter val="801Uj00000b8lMPIAY"/>
            <filter val="801Uj00000b9zevIAA"/>
            <filter val="801Uj00000bATZiIAO"/>
            <filter val="801Uj00000biD16IAE"/>
            <filter val="801Uj00000bIPVjIAO"/>
            <filter val="801Uj00000bj31HIAQ"/>
            <filter val="801Uj00000Bm6rCIAR"/>
            <filter val="801Uj00000bont8IAA"/>
            <filter val="801Uj00000bpiL3IAI"/>
            <filter val="801Uj00000bW1IEIA0"/>
            <filter val="801Uj00000bW3PdIAK"/>
            <filter val="801Uj00000BxF38IAF"/>
            <filter val="801Uj00000bXzKNIA0"/>
            <filter val="801Uj00000BzVJvIAN"/>
            <filter val="801Uj00000C3LnOIAV"/>
            <filter val="801Uj00000C8nXhIAJ"/>
            <filter val="801Uj00000C8TUDIA3"/>
            <filter val="801Uj00000cBTiPIAW"/>
            <filter val="801Uj00000CCNefIAH"/>
            <filter val="801Uj00000cgHt8IAE"/>
            <filter val="801Uj00000cgxXYIAY"/>
            <filter val="801Uj00000cKwigIAC"/>
            <filter val="801Uj00000cLErhIAG"/>
            <filter val="801Uj00000cNVuwIAG"/>
            <filter val="801Uj00000cNxHeIAK"/>
            <filter val="801Uj00000cO1egIAC"/>
            <filter val="801Uj00000Cq5BCIAZ"/>
            <filter val="801Uj00000Cq5fpIAB"/>
            <filter val="801Uj00000cRt2XIAS"/>
            <filter val="801Uj00000cS8fxIAC"/>
            <filter val="801Uj00000cSd3nIAC"/>
            <filter val="801Uj00000CsOpgIAF"/>
            <filter val="801Uj00000d0CfRIAU"/>
            <filter val="801Uj00000D0LpmIAF"/>
            <filter val="801Uj00000d13JxIAI"/>
            <filter val="801Uj00000d6cFTIAY"/>
            <filter val="801Uj00000d6V2iIAE"/>
            <filter val="801Uj00000d73POIAY"/>
            <filter val="801Uj00000d7LKcIAM"/>
            <filter val="801Uj00000d8UIbIAM"/>
            <filter val="801Uj00000dFKnyIAG"/>
            <filter val="801Uj00000dgKlSIAU"/>
            <filter val="801Uj00000DidXeIAJ"/>
            <filter val="801Uj00000DllQbIAJ"/>
            <filter val="801Uj00000dnlfKIAQ"/>
            <filter val="801Uj00000doThtIAE"/>
            <filter val="801Uj00000DQm9bIAD"/>
            <filter val="801Uj00000dvo5XIAQ"/>
            <filter val="801Uj00000Dy7IUIAZ"/>
            <filter val="801Uj00000e2XfCIAU"/>
            <filter val="801Uj00000EBISzIAP"/>
            <filter val="801Uj00000eBYydIAG"/>
            <filter val="801Uj00000EF179IAD"/>
            <filter val="801Uj00000eh5lOIAQ"/>
            <filter val="801Uj00000eh6pVIAQ"/>
            <filter val="801Uj00000EhFevIAF"/>
            <filter val="801Uj00000EK2SDIA1"/>
            <filter val="801Uj00000eL09GIAS"/>
            <filter val="801Uj00000eL7HBIA0"/>
            <filter val="801Uj00000eL8MxIAK"/>
            <filter val="801Uj00000eM1MgIAK"/>
            <filter val="801Uj00000en1lYIAQ"/>
            <filter val="801Uj00000enIb4IAE"/>
            <filter val="801Uj00000ENxFpIAL"/>
            <filter val="801Uj00000eo1MrIAI"/>
            <filter val="801Uj00000eS3ARIA0"/>
            <filter val="801Uj00000eSBG2IAO"/>
            <filter val="801Uj00000evTmLIAU"/>
            <filter val="801Uj00000EwBhNIAV"/>
            <filter val="801Uj00000Ey7TDIAZ"/>
            <filter val="801Uj00000ezb27IAA"/>
            <filter val="801Uj00000ezootIAA"/>
            <filter val="801Uj00000ezWK5IAM"/>
            <filter val="801Uj00000ezX9pIAE"/>
            <filter val="801Uj00000f6FeYIAU"/>
            <filter val="801Uj00000Fal7pIAB"/>
            <filter val="801Uj00000fbkIrIAI"/>
            <filter val="801Uj00000fc6PlIAI"/>
            <filter val="801Uj00000fcDMPIA2"/>
            <filter val="801Uj00000fEOviIAG"/>
            <filter val="801Uj00000FgqETIAZ"/>
            <filter val="801Uj00000fkjp0IAA"/>
            <filter val="801Uj00000fkoeyIAA"/>
            <filter val="801Uj00000fkvRuIAI"/>
            <filter val="801Uj00000fky81IAA"/>
            <filter val="801Uj00000frz94IAA"/>
            <filter val="801Uj00000fsfTBIAY"/>
            <filter val="801Uj00000fsGjLIAU"/>
            <filter val="801Uj00000fSz95IAC"/>
            <filter val="801Uj00000fTWgzIAG"/>
            <filter val="801Uj00000fxOoHIAU"/>
            <filter val="801Uj00000FY5XhIAL"/>
            <filter val="801Uj00000g5eYqIAI"/>
            <filter val="801Uj00000g5WFBIA2"/>
            <filter val="801Uj00000GBCb0IAH"/>
            <filter val="801Uj00000GBDDfIAP"/>
            <filter val="801Uj00000GboizIAB"/>
            <filter val="801Uj00000GbpK5IAJ"/>
            <filter val="801Uj00000gE6JuIAK"/>
            <filter val="801Uj00000gfaiVIAQ"/>
            <filter val="801Uj00000GfjKwIAJ"/>
            <filter val="801Uj00000gJIlrIAG"/>
            <filter val="801Uj00000GLv86IAD"/>
            <filter val="801Uj00000gM4snIAC"/>
            <filter val="801Uj00000GPMlqIAH"/>
            <filter val="801Uj00000GPw4rIAD"/>
            <filter val="801Uj00000gr9GLIAY"/>
            <filter val="801Uj00000gRvZvIAK"/>
            <filter val="801Uj00000gxkLCIAY"/>
            <filter val="801Uj00000gxlfUIAQ"/>
            <filter val="801Uj00000gxlqjIAA"/>
            <filter val="801Uj00000gxPyKIAU"/>
            <filter val="801Uj00000GyyksIAB"/>
            <filter val="801Uj00000GZaozIAD"/>
            <filter val="801Uj00000GZasEIAT"/>
            <filter val="801Uj00000GZFw3IAH"/>
            <filter val="801Uj00000GZlm8IAD"/>
            <filter val="801Uj00000GZRSPIA5"/>
            <filter val="801Uj00000GZURrIAP"/>
            <filter val="801Uj00000GZWwfIAH"/>
            <filter val="801Uj00000H4dDuIAJ"/>
            <filter val="801Uj00000H4TjCIAV"/>
            <filter val="801Uj00000h7AcGIAU"/>
            <filter val="801Uj00000h7CdCIAU"/>
            <filter val="801Uj00000hastxIAA"/>
            <filter val="801Uj00000hBOZTIA4"/>
            <filter val="801Uj00000hBR5oIAG"/>
            <filter val="801Uj00000hdc36IAA"/>
            <filter val="801Uj00000hdcvvIAA"/>
            <filter val="801Uj00000HEWz7IAH"/>
            <filter val="801Uj00000hhTCsIAM"/>
            <filter val="801Uj00000HJHSVIA5"/>
            <filter val="801Uj00000hojKfIAI"/>
            <filter val="801Uj00000hp45fIAA"/>
            <filter val="801Uj00000HPddtIAD"/>
            <filter val="801Uj00000HPpbrIAD"/>
            <filter val="801Uj00000HSMTeIAP"/>
            <filter val="801Uj00000hvleDIAQ"/>
            <filter val="801Uj00000hvXmXIAU"/>
            <filter val="801Uj00000hvYKMIA2"/>
            <filter val="801Uj00000HXIFhIAP"/>
            <filter val="801Uj00000hZaceIAC"/>
            <filter val="801Uj00000i1hpbIAA"/>
            <filter val="801Uj00000I2bFeIAJ"/>
            <filter val="801Uj00000i6lB2IAI"/>
            <filter val="801Uj00000I7YSPIA3"/>
            <filter val="801Uj00000i89CyIAI"/>
            <filter val="801Uj00000IbOlmIAF"/>
            <filter val="801Uj00000IbPBbIAN"/>
            <filter val="801Uj00000ibUygIAE"/>
            <filter val="801Uj00000IC8QrIAL"/>
            <filter val="801Uj00000iDGU5IAO"/>
            <filter val="801Uj00000iDqVkIAK"/>
            <filter val="801Uj00000iDS0RIAW"/>
            <filter val="801Uj00000iE5cqIAC"/>
            <filter val="801Uj00000iEHZ9IAO"/>
            <filter val="801Uj00000iEMybIAG"/>
            <filter val="801Uj00000IgQILIA3"/>
            <filter val="801Uj00000IhIKHIA3"/>
            <filter val="801Uj00000IhKVlIAN"/>
            <filter val="801Uj00000iiskwIAA"/>
            <filter val="801Uj00000ij8cpIAA"/>
            <filter val="801Uj00000ijaSnIAI"/>
            <filter val="801Uj00000ijfYjIAI"/>
            <filter val="801Uj00000ilPDAIA2"/>
            <filter val="801Uj00000ilpdeIAA"/>
            <filter val="801Uj00000imgv6IAA"/>
            <filter val="801Uj00000in1McIAI"/>
            <filter val="801Uj00000IOc52IAD"/>
            <filter val="801Uj00000IOjZvIAL"/>
            <filter val="801Uj00000IRcziIAD"/>
            <filter val="801Uj00000IRNW3IAP"/>
            <filter val="801Uj00000iS776IAC"/>
            <filter val="801Uj00000iseqOIAQ"/>
            <filter val="801Uj00000itijtIAA"/>
            <filter val="801Uj00000iu4lxIAA"/>
            <filter val="801Uj00000iYYluIAG"/>
            <filter val="801Uj00000izbMLIAY"/>
            <filter val="801Uj00000j0ZYYIA2"/>
            <filter val="801Uj00000j11YVIAY"/>
            <filter val="801Uj00000j13iGIAQ"/>
            <filter val="801Uj00000j15etIAA"/>
            <filter val="801Uj00000j1KilIAE"/>
            <filter val="801Uj00000J3vlCIAR"/>
            <filter val="801Uj00000J4vCsIAJ"/>
            <filter val="801Uj00000j6qtMIAQ"/>
            <filter val="801Uj00000JcuCkIAJ"/>
            <filter val="801Uj00000JcVuHIAV"/>
            <filter val="801Uj00000jfH1NIAU"/>
            <filter val="801Uj00000jl4ftIAA"/>
            <filter val="801Uj00000jlRfZIAU"/>
            <filter val="801Uj00000jlu01IAA"/>
            <filter val="801Uj00000jlZWiIAM"/>
            <filter val="801Uj00000jNrg5IAC"/>
            <filter val="801Uj00000jnYVNIA2"/>
            <filter val="801Uj00000jO4AEIA0"/>
            <filter val="801Uj00000JodZXIAZ"/>
            <filter val="801Uj00000jOGxpIAG"/>
            <filter val="801Uj00000JoltdIAB"/>
            <filter val="801Uj00000JoobNIAR"/>
            <filter val="801Uj00000jQiI3IAK"/>
            <filter val="801Uj00000jQIM3IAO"/>
            <filter val="801Uj00000jQMMTIA4"/>
            <filter val="801Uj00000JqyjZIAR"/>
            <filter val="801Uj00000Jr20jIAB"/>
            <filter val="801Uj00000Jr8L4IAJ"/>
            <filter val="801Uj00000jRKVOIA4"/>
            <filter val="801Uj00000jSzrUIAS"/>
            <filter val="801Uj00000JvIoZIAV"/>
            <filter val="801Uj00000JvWVNIA3"/>
            <filter val="801Uj00000jX3IEIA0"/>
            <filter val="801Uj00000jXyoNIAS"/>
            <filter val="801Uj00000K0gdPIAR"/>
            <filter val="801Uj00000K0OZvIAN"/>
            <filter val="801Uj00000K0WfVIAV"/>
            <filter val="801Uj00000k1bRGIAY"/>
            <filter val="801Uj00000k1Yy1IAE"/>
            <filter val="801Uj00000k3wxtIAA"/>
            <filter val="801Uj00000k3yZyIAI"/>
            <filter val="801Uj00000k41ntIAA"/>
            <filter val="801Uj00000K5QPmIAN"/>
            <filter val="801Uj00000KAeM1IAL"/>
            <filter val="801Uj00000kBCmZIAW"/>
            <filter val="801Uj00000kBimWIAS"/>
            <filter val="801Uj00000kgiQMIAY"/>
            <filter val="801Uj00000KGKgtIAH"/>
            <filter val="801Uj00000kgPSeIAM"/>
            <filter val="801Uj00000kj6JhIAI"/>
            <filter val="801Uj00000KJ6xSIAT"/>
            <filter val="801Uj00000kjsGOIAY"/>
            <filter val="801Uj00000kjzRYIAY"/>
            <filter val="801Uj00000kk33eIAA"/>
            <filter val="801Uj00000kk3jaIAA"/>
            <filter val="801Uj00000kkB4QIAU"/>
            <filter val="801Uj00000KNhX1IAL"/>
            <filter val="801Uj00000KNjwLIAT"/>
            <filter val="801Uj00000kpqZxIAI"/>
            <filter val="801Uj00000kQ7GHIA0"/>
            <filter val="801Uj00000kqHIxIAM"/>
            <filter val="801Uj00000kqKlCIAU"/>
            <filter val="801Uj00000kqKoBIAU"/>
            <filter val="801Uj00000kQUnQIAW"/>
            <filter val="801Uj00000Kr5cLIAR"/>
            <filter val="801Uj00000kX7ZiIAK"/>
            <filter val="801Uj00000kyDCqIAM"/>
            <filter val="801Uj00000KYQarIAH"/>
            <filter val="801Uj00000l4ZFSIA2"/>
            <filter val="801Uj00000lAhoiIAC"/>
            <filter val="801Uj00000Lbt33IAB"/>
            <filter val="801Uj00000le8S1IAI"/>
            <filter val="801Uj00000LgnmeIAB"/>
            <filter val="801Uj00000LhFUMIA3"/>
            <filter val="801Uj00000LhiMnIAJ"/>
            <filter val="801Uj00000LhiTFIAZ"/>
            <filter val="801Uj00000Lhj94IAB"/>
            <filter val="801Uj00000LhWlWIAV"/>
            <filter val="801Uj00000LhWQYIA3"/>
            <filter val="801Uj00000lJXwTIAW"/>
            <filter val="801Uj00000LKhG2IAL"/>
            <filter val="801Uj00000LKlecIAD"/>
            <filter val="801Uj00000lLelrIAC"/>
            <filter val="801Uj00000lLs7DIAS"/>
            <filter val="801Uj00000LoE25IAF"/>
            <filter val="801Uj00000lPRYNIA4"/>
            <filter val="801Uj00000lPUZPIA4"/>
            <filter val="801Uj00000lQDOLIA4"/>
            <filter val="801Uj00000Lqf1NIAR"/>
            <filter val="801Uj00000LqmvkIAB"/>
            <filter val="801Uj00000LqoxVIAR"/>
            <filter val="801Uj00000lStPxIAK"/>
            <filter val="801Uj00000luMVtIAM"/>
            <filter val="801Uj00000lv7WbIAI"/>
            <filter val="801Uj00000lvLCjIAM"/>
            <filter val="801Uj00000lxT9YIAU"/>
            <filter val="801Uj00000lXtykIAC"/>
            <filter val="801Uj00000lxuWCIAY"/>
            <filter val="801Uj00000lYIM6IAO"/>
            <filter val="801Uj00000m48OTIAY"/>
            <filter val="801Uj00000m4Hl2IAE"/>
            <filter val="801Uj00000m4OwEIAU"/>
            <filter val="801Uj00000maDeDIAU"/>
            <filter val="801Uj00000mCby4IAC"/>
            <filter val="801Uj00000mcF2QIAU"/>
            <filter val="801Uj00000mCof2IAC"/>
            <filter val="801Uj00000mD2RlIAK"/>
            <filter val="801Uj00000mjEPlIAM"/>
            <filter val="801Uj00000MmlG7IAJ"/>
            <filter val="801Uj00000MmTawIAF"/>
            <filter val="801Uj00000MorajIAB"/>
            <filter val="801Uj00000MpdlqIAB"/>
            <filter val="801Uj00000mqcbrIAA"/>
            <filter val="801Uj00000MQDTBIA5"/>
            <filter val="801Uj00000mqE07IAE"/>
            <filter val="801Uj00000MQirxIAD"/>
            <filter val="801Uj00000mQP46IAG"/>
            <filter val="801Uj00000mqt1cIAA"/>
            <filter val="801Uj00000mr6iQIAQ"/>
            <filter val="801Uj00000mr6VuIAI"/>
            <filter val="801Uj00000MuDIrIAN"/>
            <filter val="801Uj00000MUryLIAT"/>
            <filter val="801Uj00000MUtYjIAL"/>
            <filter val="801Uj00000MVaU2IAL"/>
            <filter val="801Uj00000mX48xIAC"/>
            <filter val="801Uj00000mxtbAIAQ"/>
            <filter val="801Uj00000mxzS1IAI"/>
            <filter val="801Uj00000myJSLIA2"/>
            <filter val="801Uj00000MzSYzIAN"/>
            <filter val="801Uj00000N2wh0IAB"/>
            <filter val="801Uj00000N47C9IAJ"/>
            <filter val="801Uj00000n4vTOIAY"/>
            <filter val="801Uj00000nbdsfIAA"/>
            <filter val="801Uj00000nbk4VIAQ"/>
            <filter val="801Uj00000nbsrlIAA"/>
            <filter val="801Uj00000NBW90IAH"/>
            <filter val="801Uj00000nbxbBIAQ"/>
            <filter val="801Uj00000nc85BIAQ"/>
            <filter val="801Uj00000ncL5eIAE"/>
            <filter val="801Uj00000ncSwjIAE"/>
            <filter val="801Uj00000ndNi6IAE"/>
            <filter val="801Uj00000Nei9xIAB"/>
            <filter val="801Uj00000nEL2CIAW"/>
            <filter val="801Uj00000nGCqfIAG"/>
            <filter val="801Uj00000nGd4QIAS"/>
            <filter val="801Uj00000nGgS8IAK"/>
            <filter val="801Uj00000nGJ0rIAG"/>
            <filter val="801Uj00000NhHwPIAV"/>
            <filter val="801Uj00000NJ3ubIAD"/>
            <filter val="801Uj00000njglGIAQ"/>
            <filter val="801Uj00000njHrkIAE"/>
            <filter val="801Uj00000nltXvIAI"/>
            <filter val="801Uj00000nnFEcIAM"/>
            <filter val="801Uj00000nNld9IAC"/>
            <filter val="801Uj00000NOKd6IAH"/>
            <filter val="801Uj00000nOmqXIAS"/>
            <filter val="801Uj00000nOpwQIAS"/>
            <filter val="801Uj00000nQs6zIAC"/>
            <filter val="801Uj00000NqTtWIAV"/>
            <filter val="801Uj00000nro90IAA"/>
            <filter val="801Uj00000nsChcIAE"/>
            <filter val="801Uj00000NSw7cIAD"/>
            <filter val="801Uj00000ntwGxIAI"/>
            <filter val="801Uj00000nuqCcIAI"/>
            <filter val="801Uj00000nuRXeIAM"/>
            <filter val="801Uj00000nuVg4IAE"/>
            <filter val="801Uj00000nuZjeIAE"/>
            <filter val="801Uj00000nv6FnIAI"/>
            <filter val="801Uj00000NvoFlIAJ"/>
            <filter val="801Uj00000NvqB7IAJ"/>
            <filter val="801Uj00000nVr5RIAS"/>
            <filter val="801Uj00000nVytJIAS"/>
            <filter val="801Uj00000o11mxIAA"/>
            <filter val="801Uj00000o1KKrIAM"/>
            <filter val="801Uj00000o1XgIIAU"/>
            <filter val="801Uj00000o99CAIAY"/>
            <filter val="801Uj00000o9Ho4IAE"/>
            <filter val="801Uj00000o9L5FIAU"/>
            <filter val="801Uj00000o9q5sIAA"/>
            <filter val="801Uj00000o9ShrIAE"/>
            <filter val="801Uj00000OASWfIAP"/>
            <filter val="801Uj00000OdEWjIAN"/>
            <filter val="801Uj00000OdyEcIAJ"/>
            <filter val="801Uj00000OJvWEIA1"/>
            <filter val="801Uj00000OmwgcIAB"/>
            <filter val="801Uj00000OmxftIAB"/>
            <filter val="801Uj00000oNcBBIA0"/>
            <filter val="801Uj00000oNL2BIAW"/>
            <filter val="801Uj00000oNXbLIAW"/>
            <filter val="801Uj00000oOQj1IAG"/>
            <filter val="801Uj00000opP67IAE"/>
            <filter val="801Uj00000oQNx5IAG"/>
            <filter val="801Uj00000OwriwIAB"/>
            <filter val="801Uj00000OwxrfIAB"/>
            <filter val="801Uj00000Ox1QTIAZ"/>
            <filter val="801Uj00000oXKb9IAG"/>
            <filter val="801Uj00000Oyyt7IAB"/>
            <filter val="801Uj00000oz3NZIAY"/>
            <filter val="801Uj00000oz94nIAA"/>
            <filter val="801Uj00000oZg4UIAS"/>
            <filter val="801Uj00000OzOFjIAN"/>
            <filter val="801Uj00000P2iQ0IAJ"/>
            <filter val="801Uj00000P8pjiIAB"/>
            <filter val="801Uj00000P9YAZIA3"/>
            <filter val="801Uj00000PaBMlIAN"/>
            <filter val="801Uj00000PaeF6IAJ"/>
            <filter val="801Uj00000pchZhIAI"/>
            <filter val="801Uj00000pcsikIAA"/>
            <filter val="801Uj00000PCwORIA1"/>
            <filter val="801Uj00000pdCWzIAM"/>
            <filter val="801Uj00000pdj04IAA"/>
            <filter val="801Uj00000PfMhKIAV"/>
            <filter val="801Uj00000PfMr1IAF"/>
            <filter val="801Uj00000PfNzxIAF"/>
            <filter val="801Uj00000PfOG5IAN"/>
            <filter val="801Uj00000pg10lIAA"/>
            <filter val="801Uj00000PhPsnIAF"/>
            <filter val="801Uj00000pHXlNIAW"/>
            <filter val="801Uj00000PjkOUIAZ"/>
            <filter val="801Uj00000pOODJIA4"/>
            <filter val="801Uj00000pOVLOIA4"/>
            <filter val="801Uj00000ppDHBIA2"/>
            <filter val="801Uj00000PR9qQIAT"/>
            <filter val="801Uj00000PRAhdIAH"/>
            <filter val="801Uj00000PRhyXIAT"/>
            <filter val="801Uj00000PRIqVIAX"/>
            <filter val="801Uj00000PRKAkIAP"/>
            <filter val="801Uj00000PRM7hIAH"/>
            <filter val="801Uj00000PRYP2IAP"/>
            <filter val="801Uj00000pspmXIAQ"/>
            <filter val="801Uj00000PtnxlIAB"/>
            <filter val="801Uj00000PtY2gIAF"/>
            <filter val="801Uj00000PVBNQIA5"/>
            <filter val="801Uj00000PVDp2IAH"/>
            <filter val="801Uj00000PVulvIAD"/>
            <filter val="801Uj00000PWAhaIAH"/>
            <filter val="801Uj00000PWKJlIAP"/>
            <filter val="801Uj00000PWKjZIAX"/>
            <filter val="801Uj00000PwUgvIAF"/>
            <filter val="801Uj00000PycYfIAJ"/>
            <filter val="801Uj00000PyOidIAF"/>
            <filter val="801Uj00000pYRGcIAO"/>
            <filter val="801Uj00000Q2AfTIAV"/>
            <filter val="801Uj00000Q2HnNIAV"/>
            <filter val="801Uj00000Q3405IAB"/>
            <filter val="801Uj00000Q7RisIAF"/>
            <filter val="801Uj00000Q7VHqIAN"/>
            <filter val="801Uj00000qbgTsIAI"/>
            <filter val="801Uj00000qbh3LIAQ"/>
            <filter val="801Uj00000qbPrVIAU"/>
            <filter val="801Uj00000qbYZrIAM"/>
            <filter val="801Uj00000qe3qsIAA"/>
            <filter val="801Uj00000qf24kIAA"/>
            <filter val="801Uj00000Qf8qhIAB"/>
            <filter val="801Uj00000QfhN1IAJ"/>
            <filter val="801Uj00000qfNQvIAM"/>
            <filter val="801Uj00000Qfs5WIAR"/>
            <filter val="801Uj00000qfXmsIAE"/>
            <filter val="801Uj00000qKdk3IAC"/>
            <filter val="801Uj00000qmriRIAQ"/>
            <filter val="801Uj00000qn1RfIAI"/>
            <filter val="801Uj00000qOgGJIA0"/>
            <filter val="801Uj00000qOQY7IAO"/>
            <filter val="801Uj00000qQBbOIAW"/>
            <filter val="801Uj00000qqgejIAA"/>
            <filter val="801Uj00000QS827IAD"/>
            <filter val="801Uj00000qsec1IAA"/>
            <filter val="801Uj00000qwUPbIAM"/>
            <filter val="801Uj00000QYZKZIA5"/>
            <filter val="801Uj00000qzBFMIA2"/>
            <filter val="801Uj00000R1UkUIAV"/>
            <filter val="801Uj00000R1uqDIAR"/>
            <filter val="801Uj00000r7ofuIAA"/>
            <filter val="801Uj00000R8JCPIA3"/>
            <filter val="801Uj00000R99qwIAB"/>
            <filter val="801Uj00000r9xf4IAA"/>
            <filter val="801Uj00000rA6QcIAK"/>
            <filter val="801Uj00000rA7UkIAK"/>
            <filter val="801Uj00000rAAFlIAO"/>
            <filter val="801Uj00000rACasIAG"/>
            <filter val="801Uj00000raXDoIAM"/>
            <filter val="801Uj00000rb4pJIAQ"/>
            <filter val="801Uj00000rbOG9IAM"/>
            <filter val="801Uj00000RfmVmIAJ"/>
            <filter val="801Uj00000RGSyTIAX"/>
            <filter val="801Uj00000RH6FyIAL"/>
            <filter val="801Uj00000Rhn9EIAR"/>
            <filter val="801Uj00000RhyMPIAZ"/>
            <filter val="801Uj00000Ri736IAB"/>
            <filter val="801Uj00000RigSFIAZ"/>
            <filter val="801Uj00000RiJ7TIAV"/>
            <filter val="801Uj00000RiMbZIAV"/>
            <filter val="801Uj00000RiPuZIAV"/>
            <filter val="801Uj00000rklyhIAA"/>
            <filter val="801Uj00000rlVbaIAE"/>
            <filter val="801Uj00000rlxREIAY"/>
            <filter val="801Uj00000ROsPWIA1"/>
            <filter val="801Uj00000RouQvIAJ"/>
            <filter val="801Uj00000Rp7pdIAB"/>
            <filter val="801Uj00000RVP5rIAH"/>
            <filter val="801Uj00000Rx4kpIAB"/>
            <filter val="801Uj00000RX4q7IAD"/>
            <filter val="801Uj00000rXeWeIAK"/>
            <filter val="801Uj00000rXYO2IAO"/>
            <filter val="801Uj00000rY0DdIAK"/>
            <filter val="801Uj00000rYC8SIAW"/>
            <filter val="801Uj00000RyNAKIA3"/>
            <filter val="801Uj00000RySl4IAF"/>
            <filter val="801Uj00000rz26RIAQ"/>
            <filter val="801Uj00000Rz5jEIAR"/>
            <filter val="801Uj00000S5oYpIAJ"/>
            <filter val="801Uj00000s9sRxIAI"/>
            <filter val="801Uj00000sAccwIAC"/>
            <filter val="801Uj00000skBESIA2"/>
            <filter val="801Uj00000skcmtIAA"/>
            <filter val="801Uj00000skMknIAE"/>
            <filter val="801Uj00000slEdDIAU"/>
            <filter val="801Uj00000SnzgXIAR"/>
            <filter val="801Uj00000Sp2CZIAZ"/>
            <filter val="801Uj00000SRbeTIAT"/>
            <filter val="801Uj00000SRFUKIA5"/>
            <filter val="801Uj00000sVamVIAS"/>
            <filter val="801Uj00000sVKReIAO"/>
            <filter val="801Uj00000svwudIAA"/>
            <filter val="801Uj00000svyroIAA"/>
            <filter val="801Uj00000sw8HRIAY"/>
            <filter val="801Uj00000swLLnIAM"/>
            <filter val="801Uj00000swnm1IAA"/>
            <filter val="801Uj00000sxjTVIAY"/>
            <filter val="801Uj00000sxtm9IAA"/>
            <filter val="801Uj00000sYEHqIAO"/>
            <filter val="801Uj00000sYvHkIAK"/>
            <filter val="801Uj00000syxaqIAA"/>
            <filter val="801Uj00000sZdvUIAS"/>
            <filter val="801Uj00000t1GHaIAM"/>
            <filter val="801Uj00000t1rk9IAA"/>
            <filter val="801Uj00000T5d1fIAB"/>
            <filter val="801Uj00000T5Xp8IAF"/>
            <filter val="801Uj00000t817qIAA"/>
            <filter val="801Uj00000t8KguIAE"/>
            <filter val="801Uj00000t8NbWIAU"/>
            <filter val="801Uj00000t8o6wIAA"/>
            <filter val="801Uj00000t8qEwIAI"/>
            <filter val="801Uj00000t9DEWIA2"/>
            <filter val="801Uj00000tA3UnIAK"/>
            <filter val="801Uj00000TE6jCIAT"/>
            <filter val="801Uj00000TFYK3IAP"/>
            <filter val="801Uj00000tIH2oIAG"/>
            <filter val="801Uj00000tJo3BIAS"/>
            <filter val="801Uj00000tjwN2IAI"/>
            <filter val="801Uj00000tk0FpIAI"/>
            <filter val="801Uj00000tk6akIAA"/>
            <filter val="801Uj00000tkA6sIAE"/>
            <filter val="801Uj00000tkBQpIAM"/>
            <filter val="801Uj00000tkcH9IAI"/>
            <filter val="801Uj00000tkcNeIAI"/>
            <filter val="801Uj00000tkE5ZIAU"/>
            <filter val="801Uj00000tkEgdIAE"/>
            <filter val="801Uj00000tkg85IAA"/>
            <filter val="801Uj00000tkGIEIA2"/>
            <filter val="801Uj00000tkHxkIAE"/>
            <filter val="801Uj00000tkIzyIAE"/>
            <filter val="801Uj00000tkJMrIAM"/>
            <filter val="801Uj00000tkMxQIAU"/>
            <filter val="801Uj00000tlejuIAA"/>
            <filter val="801Uj00000tMk1KIAS"/>
            <filter val="801Uj00000TnDMoIAN"/>
            <filter val="801Uj00000Tnj6bIAB"/>
            <filter val="801Uj00000toR6zIAE"/>
            <filter val="801Uj00000tuKCaIAM"/>
            <filter val="801Uj00000TVbqkIAD"/>
            <filter val="801Uj00000tvgFnIAI"/>
            <filter val="801Uj00000tvqWrIAI"/>
            <filter val="801Uj00000tvye5IAA"/>
            <filter val="801Uj00000TWAI7IAP"/>
            <filter val="801Uj00000tWqIbIAK"/>
            <filter val="801Uj00000TX0kUIAT"/>
            <filter val="801Uj00000tX7KsIAK"/>
            <filter val="801Uj00000tYudJIAS"/>
            <filter val="801Uj00000tZppeIAC"/>
            <filter val="801Uj00000u6iBMIAY"/>
            <filter val="801Uj00000u6JuEIAU"/>
            <filter val="801Uj00000UeOggIAF"/>
            <filter val="801Uj00000ufjQkIAI"/>
            <filter val="801Uj00000UFl5NIAT"/>
            <filter val="801Uj00000UFxL7IAL"/>
            <filter val="801Uj00000uGmoRIAS"/>
            <filter val="801Uj00000uHfphIAC"/>
            <filter val="801Uj00000uHvPpIAK"/>
            <filter val="801Uj00000UmNE5IAN"/>
            <filter val="801Uj00000UmXIAIA3"/>
            <filter val="801Uj00000UMz0NIAT"/>
            <filter val="801Uj00000Un4KZIAZ"/>
            <filter val="801Uj00000urltkIAA"/>
            <filter val="801Uj00000usSopIAE"/>
            <filter val="801Uj00000utu2xIAA"/>
            <filter val="801Uj00000Uu5VBIAZ"/>
            <filter val="801Uj00000UV2aaIAD"/>
            <filter val="801Uj00000uW3IfIAK"/>
            <filter val="801Uj00000uWkcBIAS"/>
            <filter val="801Uj00000v4TQoIAM"/>
            <filter val="801Uj00000v4ZytIAE"/>
            <filter val="801Uj00000VCcu5IAD"/>
            <filter val="801Uj00000VCoc2IAD"/>
            <filter val="801Uj00000vDnP4IAK"/>
            <filter val="801Uj00000vDys4IAC"/>
            <filter val="801Uj00000vEJ72IAG"/>
            <filter val="801Uj00000vEKYEIA4"/>
            <filter val="801Uj00000vf2OPIAY"/>
            <filter val="801Uj00000vfbfhIAA"/>
            <filter val="801Uj00000vggRpIAI"/>
            <filter val="801Uj00000vgYCcIAM"/>
            <filter val="801Uj00000vkOQnIAM"/>
            <filter val="801Uj00000VKuEvIAL"/>
            <filter val="801Uj00000vkvP8IAI"/>
            <filter val="801Uj00000vkXvHIAU"/>
            <filter val="801Uj00000vl1MPIAY"/>
            <filter val="801Uj00000vmA3xIAE"/>
            <filter val="801Uj00000vmb2sIAA"/>
            <filter val="801Uj00000vO39cIAC"/>
            <filter val="801Uj00000vO9oCIAS"/>
            <filter val="801Uj00000vOCgvIAG"/>
            <filter val="801Uj00000vOKmMIAW"/>
            <filter val="801Uj00000vOQByIAO"/>
            <filter val="801Uj00000VpDRFIA3"/>
            <filter val="801Uj00000VpHHvIAN"/>
            <filter val="801Uj00000vQak3IAC"/>
            <filter val="801Uj00000vQBKRIA4"/>
            <filter val="801Uj00000vqPRRIA2"/>
            <filter val="801Uj00000vR4EzIAK"/>
            <filter val="801Uj00000VrDF3IAN"/>
            <filter val="801Uj00000vRlTSIA0"/>
            <filter val="801Uj00000VsGdtIAF"/>
            <filter val="801Uj00000vXkxvIAC"/>
            <filter val="801Uj00000vXPyIIAW"/>
            <filter val="801Uj00000vXs2pIAC"/>
            <filter val="801Uj00000vxzl0IAA"/>
            <filter val="801Uj00000vyA5KIAU"/>
            <filter val="801Uj00000vYiInIAK"/>
            <filter val="801Uj00000vYrAzIAK"/>
            <filter val="801Uj00000VZcAEIA1"/>
            <filter val="801Uj00000VZKTUIA5"/>
            <filter val="801Uj00000vzxorIAA"/>
            <filter val="801Uj00000vzzLxIAI"/>
            <filter val="801Uj00000w02DNIAY"/>
            <filter val="801Uj00000w0BIEIA2"/>
            <filter val="801Uj00000w0j2AIAQ"/>
            <filter val="801Uj00000W0q5sIAB"/>
            <filter val="801Uj00000w0UJHIA2"/>
            <filter val="801Uj00000W0xVVIAZ"/>
            <filter val="801Uj00000w6t3lIAA"/>
            <filter val="801Uj00000w7faQIAQ"/>
            <filter val="801Uj00000w7v1qIAA"/>
            <filter val="801Uj00000w7Z9MIAU"/>
            <filter val="801Uj00000w99lrIAA"/>
            <filter val="801Uj00000WdMuHIAV"/>
            <filter val="801Uj00000wdtPrIAI"/>
            <filter val="801Uj00000wffifIAA"/>
            <filter val="801Uj00000wFnWfIAK"/>
            <filter val="801Uj00000wfxxBIAQ"/>
            <filter val="801Uj00000wGfh1IAC"/>
            <filter val="801Uj00000wgOuAIAU"/>
            <filter val="801Uj00000wh1kHIAQ"/>
            <filter val="801Uj00000wh1nSIAQ"/>
            <filter val="801Uj00000wHDnRIAW"/>
            <filter val="801Uj00000wI0plIAC"/>
            <filter val="801Uj00000wM4wUIAS"/>
            <filter val="801Uj00000wmdvKIAQ"/>
            <filter val="801Uj00000wmg0RIAQ"/>
            <filter val="801Uj00000wMMN7IAO"/>
            <filter val="801Uj00000wMQqUIAW"/>
            <filter val="801Uj00000wmRmAIAU"/>
            <filter val="801Uj00000wMZQkIAO"/>
            <filter val="801Uj00000wNi5NIAS"/>
            <filter val="801Uj00000wNNNWIA4"/>
            <filter val="801Uj00000wOCwRIAW"/>
            <filter val="801Uj00000wrFXOIA2"/>
            <filter val="801Uj00000WsCUwIAN"/>
            <filter val="801Uj00000wTLvmIAG"/>
            <filter val="801Uj00000wtodyIAA"/>
            <filter val="801Uj00000WTwEMIA1"/>
            <filter val="801Uj00000wu5RwIAI"/>
            <filter val="801Uj00000wuLjVIAU"/>
            <filter val="801Uj00000wuNWpIAM"/>
            <filter val="801Uj00000wuUvxIAE"/>
            <filter val="801Uj00000WWW41IAH"/>
            <filter val="801Uj00000WyXWaIAN"/>
            <filter val="801Uj00000Wz1uPIAR"/>
            <filter val="801Uj00000x1bzuIAA"/>
            <filter val="801Uj00000x1lSjIAI"/>
            <filter val="801Uj00000x1TZGIA2"/>
            <filter val="801Uj00000x2iarIAA"/>
            <filter val="801Uj00000X45kWIAR"/>
            <filter val="801Uj00000x8sHTIAY"/>
            <filter val="801Uj00000xakvBIAQ"/>
            <filter val="801Uj00000xaTMWIA2"/>
            <filter val="801Uj00000xC9lWIAS"/>
            <filter val="801Uj00000xep6uIAA"/>
            <filter val="801Uj00000xEtAkIAK"/>
            <filter val="801Uj00000xf2FDIAY"/>
            <filter val="801Uj00000xfBIUIA2"/>
            <filter val="801Uj00000xfE6fIAE"/>
            <filter val="801Uj00000xfIFAIA2"/>
            <filter val="801Uj00000xfXxKIAU"/>
            <filter val="801Uj00000xgllPIAQ"/>
            <filter val="801Uj00000xhco2IAA"/>
            <filter val="801Uj00000XHRbtIAH"/>
            <filter val="801Uj00000xhtwwIAA"/>
            <filter val="801Uj00000xKBoYIAW"/>
            <filter val="801Uj00000xKhGXIA0"/>
            <filter val="801Uj00000xl3beIAA"/>
            <filter val="801Uj00000xlADJIA2"/>
            <filter val="801Uj00000xlf2iIAA"/>
            <filter val="801Uj00000xLOdHIAW"/>
            <filter val="801Uj00000xM6PlIAK"/>
            <filter val="801Uj00000XpENhIAN"/>
            <filter val="801Uj00000xQsR2IAK"/>
            <filter val="801Uj00000xS6bvIAC"/>
            <filter val="801Uj00000xSAnIIAW"/>
            <filter val="801Uj00000xSDDHIA4"/>
            <filter val="801Uj00000xsr0bIAA"/>
            <filter val="801Uj00000xsroZIAQ"/>
            <filter val="801Uj00000xstvBIAQ"/>
            <filter val="801Uj00000xTTmDIAW"/>
            <filter val="801Uj00000xtv5MIAQ"/>
            <filter val="801Uj00000xuB6uIAE"/>
            <filter val="801Uj00000XVLwWIAX"/>
            <filter val="801Uj00000XVT4WIAX"/>
            <filter val="801Uj00000xvwzoIAA"/>
            <filter val="801Uj00000xw5dIIAQ"/>
            <filter val="801Uj00000Xwj8FIAR"/>
            <filter val="801Uj00000xwm5ZIAQ"/>
            <filter val="801Uj00000xwyczIAA"/>
            <filter val="801Uj00000xxBIQIA2"/>
            <filter val="801Uj00000XXignIAD"/>
            <filter val="801Uj00000XXJ7LIAX"/>
            <filter val="801Uj00000xy4MyIAI"/>
            <filter val="801Uj00000xZ8DdIAK"/>
            <filter val="801Uj00000xZgGwIAK"/>
            <filter val="801Uj00000y1CXiIAM"/>
            <filter val="801Uj00000y1uQeIAI"/>
            <filter val="801Uj00000y26MzIAI"/>
            <filter val="801Uj00000y2btlIAA"/>
            <filter val="801Uj00000y2e22IAA"/>
            <filter val="801Uj00000y39XJIAY"/>
            <filter val="801Uj00000y3jNqIAI"/>
            <filter val="801Uj00000y6nTLIAY"/>
            <filter val="801Uj00000y6qENIAY"/>
            <filter val="801Uj00000y6Vl5IAE"/>
            <filter val="801Uj00000y79K9IAI"/>
            <filter val="801Uj00000y79lZIAQ"/>
            <filter val="801Uj00000y7qdeIAA"/>
            <filter val="801Uj00000y7toVIAQ"/>
            <filter val="801Uj00000y7ZYTIA2"/>
            <filter val="801Uj00000y80mfIAA"/>
            <filter val="801Uj00000y8NmUIAU"/>
            <filter val="801Uj00000Ya3qDIAR"/>
            <filter val="801Uj00000YA8QYIA1"/>
            <filter val="801Uj00000yBjLtIAK"/>
            <filter val="801Uj00000ybl5bIAA"/>
            <filter val="801Uj00000yC2gFIAS"/>
            <filter val="801Uj00000yC39GIAS"/>
            <filter val="801Uj00000yc71IIAQ"/>
            <filter val="801Uj00000ycEqhIAE"/>
            <filter val="801Uj00000ycNVpIAM"/>
            <filter val="801Uj00000ycRnqIAE"/>
            <filter val="801Uj00000ycUddIAE"/>
            <filter val="801Uj00000yd2fLIAQ"/>
            <filter val="801Uj00000yDbLsIAK"/>
            <filter val="801Uj00000ydIFRIA2"/>
            <filter val="801Uj00000ye79tIAA"/>
            <filter val="801Uj00000yECZpIAO"/>
            <filter val="801Uj00000yeGZmIAM"/>
            <filter val="801Uj00000YHaJjIAL"/>
            <filter val="801Uj00000YHxo7IAD"/>
            <filter val="801Uj00000yipKXIAY"/>
            <filter val="801Uj00000yitXoIAI"/>
            <filter val="801Uj00000yjborIAA"/>
            <filter val="801Uj00000yJi2rIAC"/>
            <filter val="801Uj00000yJnDsIAK"/>
            <filter val="801Uj00000yJoUpIAK"/>
            <filter val="801Uj00000ykgkrIAA"/>
            <filter val="801Uj00000ykHrQIAU"/>
            <filter val="801Uj00000yKNAsIAO"/>
            <filter val="801Uj00000ykSN4IAM"/>
            <filter val="801Uj00000yktF8IAI"/>
            <filter val="801Uj00000ykvggIAA"/>
            <filter val="801Uj00000yl2IRIAY"/>
            <filter val="801Uj00000yl6aWIAQ"/>
            <filter val="801Uj00000ylcfIIAQ"/>
            <filter val="801Uj00000yLdjnIAC"/>
            <filter val="801Uj00000yldrNIAQ"/>
            <filter val="801Uj00000ylFx8IAE"/>
            <filter val="801Uj00000ylGgHIAU"/>
            <filter val="801Uj00000yLgoBIAS"/>
            <filter val="801Uj00000ylk1fIAA"/>
            <filter val="801Uj00000yLkLRIA0"/>
            <filter val="801Uj00000ylMx2IAE"/>
            <filter val="801Uj00000ylN6jIAE"/>
            <filter val="801Uj00000ylo6rIAA"/>
            <filter val="801Uj00000yLovRIAS"/>
            <filter val="801Uj00000yLspFIAS"/>
            <filter val="801Uj00000yLTkWIAW"/>
            <filter val="801Uj00000ylVdlIAE"/>
            <filter val="801Uj00000ylvUwIAI"/>
            <filter val="801Uj00000ylWl5IAE"/>
            <filter val="801Uj00000ylWLJIA2"/>
            <filter val="801Uj00000ylyKkIAI"/>
            <filter val="801Uj00000yLYvPIAW"/>
            <filter val="801Uj00000ym1k1IAA"/>
            <filter val="801Uj00000ym2ubIAA"/>
            <filter val="801Uj00000yM9baIAC"/>
            <filter val="801Uj00000ymANVIA2"/>
            <filter val="801Uj00000ymBugIAE"/>
            <filter val="801Uj00000ymK9zIAE"/>
            <filter val="801Uj00000ymVADIA2"/>
            <filter val="801Uj00000ynLjuIAE"/>
            <filter val="801Uj00000yNoCsIAK"/>
            <filter val="801Uj00000ypGEgIAM"/>
            <filter val="801Uj00000yPRVcIAO"/>
            <filter val="801Uj00000yQao2IAC"/>
            <filter val="801Uj00000yQCcZIAW"/>
            <filter val="801Uj00000yQEuPIAW"/>
            <filter val="801Uj00000yQFFtIAO"/>
            <filter val="801Uj00000yQGt1IAG"/>
            <filter val="801Uj00000yQGY6IAO"/>
            <filter val="801Uj00000yQP9hIAG"/>
            <filter val="801Uj00000yQTS4IAO"/>
            <filter val="801Uj00000yQvpnIAC"/>
            <filter val="801Uj00000yQxmfIAC"/>
            <filter val="801Uj00000YQz4HIAT"/>
            <filter val="801Uj00000YR4APIA1"/>
            <filter val="801Uj00000yR4wFIAS"/>
            <filter val="801Uj00000yrhYzIAI"/>
            <filter val="801Uj00000yriegIAA"/>
            <filter val="801Uj00000yRLx3IAG"/>
            <filter val="801Uj00000yRMTLIA4"/>
            <filter val="801Uj00000yroAcIAI"/>
            <filter val="801Uj00000YrpKCIAZ"/>
            <filter val="801Uj00000yrsGAIAY"/>
            <filter val="801Uj00000yrTCdIAM"/>
            <filter val="801Uj00000yrx5xIAA"/>
            <filter val="801Uj00000yryHAIAY"/>
            <filter val="801Uj00000yrz1CIAQ"/>
            <filter val="801Uj00000ys9jiIAA"/>
            <filter val="801Uj00000ysAZJIA2"/>
            <filter val="801Uj00000ysfwTIAQ"/>
            <filter val="801Uj00000ysMU7IAM"/>
            <filter val="801Uj00000ysv6nIAA"/>
            <filter val="801Uj00000ysZcaIAE"/>
            <filter val="801Uj00000yt32jIAA"/>
            <filter val="801Uj00000ytBTLIA2"/>
            <filter val="801Uj00000ytFQUIA2"/>
            <filter val="801Uj00000yth6kIAA"/>
            <filter val="801Uj00000ythZdIAI"/>
            <filter val="801Uj00000YTz9SIAT"/>
            <filter val="801Uj00000yUDgQIAW"/>
            <filter val="801Uj00000yUqORIA0"/>
            <filter val="801Uj00000yV4hfIAC"/>
            <filter val="801Uj00000yVAEbIAO"/>
            <filter val="801Uj00000yvhc0IAA"/>
            <filter val="801Uj00000yvluAIAQ"/>
            <filter val="801Uj00000yVQLTIA4"/>
            <filter val="801Uj00000yVRuGIAW"/>
            <filter val="801Uj00000yVSf0IAG"/>
            <filter val="801Uj00000yW05aIAC"/>
            <filter val="801Uj00000ywI3gIAE"/>
            <filter val="801Uj00000ywJcSIAU"/>
            <filter val="801Uj00000ywOYuIAM"/>
            <filter val="801Uj00000yYeeqIAC"/>
            <filter val="801Uj00000yyibVIAQ"/>
            <filter val="801Uj00000yYTTKIA4"/>
            <filter val="801Uj00000yYtyrIAC"/>
            <filter val="801Uj00000yYW9XIAW"/>
            <filter val="801Uj00000yYzXxIAK"/>
            <filter val="801Uj00000yzer4IAA"/>
            <filter val="801Uj00000yzfYQIAY"/>
            <filter val="801Uj00000yzlsPIAQ"/>
            <filter val="801Uj00000yznquIAA"/>
            <filter val="801Uj00000yzsLtIAI"/>
            <filter val="801Uj00000yzvYHIAY"/>
            <filter val="801Uj00000z3O16IAE"/>
            <filter val="801Uj00000z6L0HIAU"/>
            <filter val="801Uj00000z6MUEIA2"/>
            <filter val="801Uj00000z6S8AIAU"/>
            <filter val="801Uj00000z6WTXIA2"/>
            <filter val="801Uj00000z7esnIAA"/>
            <filter val="801Uj00000z7VYfIAM"/>
            <filter val="801Uj00000z7X7NIAU"/>
            <filter val="801Uj00000z82hWIAQ"/>
            <filter val="801Uj00000z8FrcIAE"/>
            <filter val="801Uj00000z8KALIA2"/>
            <filter val="801Uj00000z8nejIAA"/>
            <filter val="801Uj00000z8RJGIA2"/>
            <filter val="801Uj00000z95RzIAI"/>
            <filter val="801Uj00000z9imhIAA"/>
            <filter val="801Uj00000z9wXuIAI"/>
            <filter val="801Uj00000zbebHIAQ"/>
            <filter val="801Uj00000zbhfZIAQ"/>
            <filter val="801Uj00000zbJNKIA2"/>
            <filter val="801Uj00000zbQYIIA2"/>
            <filter val="801Uj00000zbumgIAA"/>
            <filter val="801Uj00000zbwpvIAA"/>
            <filter val="801Uj00000zbzcUIAQ"/>
            <filter val="801Uj00000ZCeFJIA1"/>
            <filter val="801Uj00000zckjSIAQ"/>
            <filter val="801Uj00000ZCSxHIAX"/>
            <filter val="801Uj00000ZCtkXIAT"/>
            <filter val="801Uj00000zczCDIAY"/>
            <filter val="801Uj00000zd8KOIAY"/>
            <filter val="801Uj00000zdbasIAA"/>
            <filter val="801Uj00000zDjc8IAC"/>
            <filter val="801Uj00000zDumCIAS"/>
            <filter val="801Uj00000zELW5IAO"/>
            <filter val="801Uj00000zF6N1IAK"/>
            <filter val="801Uj00000ZggpwIAB"/>
            <filter val="801Uj00000ZgyTTIAZ"/>
            <filter val="801Uj00000zGzxHIAS"/>
            <filter val="801Uj00000zHhVFIA0"/>
            <filter val="801Uj00000zHKSFIA4"/>
            <filter val="801Uj00000zhoJSIAY"/>
            <filter val="801Uj00000zHxtlIAC"/>
            <filter val="801Uj00000zHxzwIAC"/>
            <filter val="801Uj00000zi0aoIAA"/>
            <filter val="801Uj00000zi8MyIAI"/>
            <filter val="801Uj00000ziC0xIAE"/>
            <filter val="801Uj00000ziG7cIAE"/>
            <filter val="801Uj00000zihuFIAQ"/>
            <filter val="801Uj00000zijeNIAQ"/>
            <filter val="801Uj00000ziJrsIAE"/>
            <filter val="801Uj00000ziN97IAE"/>
            <filter val="801Uj00000ziNFVIA2"/>
            <filter val="801Uj00000zIQs9IAG"/>
            <filter val="801Uj00000ziSDZIA2"/>
            <filter val="801Uj00000zjEJvIAM"/>
            <filter val="801Uj00000zjhTyIAI"/>
            <filter val="801Uj00000ZJn7JIAT"/>
            <filter val="801Uj00000ZJRtTIAX"/>
            <filter val="801Uj00000zjsj8IAA"/>
            <filter val="801Uj00000ZjSyZIAV"/>
            <filter val="801Uj00000zjVe1IAE"/>
            <filter val="801Uj00000zjVhGIAU"/>
            <filter val="801Uj00000Zk1o9IAB"/>
            <filter val="801Uj00000ZK8bsIAD"/>
            <filter val="801Uj00000zkDGuIAM"/>
            <filter val="801Uj00000zkMVTIA2"/>
            <filter val="801Uj00000zkOFVIA2"/>
            <filter val="801Uj00000zkol4IAA"/>
            <filter val="801Uj00000ZLKZ3IAP"/>
            <filter val="801Uj00000zmxlpIAA"/>
            <filter val="801Uj00000zmyMwIAI"/>
            <filter val="801Uj00000zn2AQIAY"/>
            <filter val="801Uj00000znJpcIAE"/>
            <filter val="801Uj00000ZnYVtIAN"/>
            <filter val="801Uj00000zOexGIAS"/>
            <filter val="801Uj00000Zog1YIAR"/>
            <filter val="801Uj00000zOhVLIA0"/>
            <filter val="801Uj00000zOk6eIAC"/>
            <filter val="801Uj00000zOkBXIA0"/>
            <filter val="801Uj00000zOkubIAC"/>
            <filter val="801Uj00000zOlSUIA0"/>
            <filter val="801Uj00000ZopSzIAJ"/>
            <filter val="801Uj00000zOrHlIAK"/>
            <filter val="801Uj00000zOWgeIAG"/>
            <filter val="801Uj00000zOzDkIAK"/>
            <filter val="801Uj00000zOZT0IAO"/>
            <filter val="801Uj00000zQ3nEIAS"/>
            <filter val="801Uj00000zq5jeIAA"/>
            <filter val="801Uj00000Zq8rnIAB"/>
            <filter val="801Uj00000zQ9NvIAK"/>
            <filter val="801Uj00000zqcjaIAA"/>
            <filter val="801Uj00000zQeOYIA0"/>
            <filter val="801Uj00000zQHOhIAO"/>
            <filter val="801Uj00000zqHzNIAU"/>
            <filter val="801Uj00000zqJunIAE"/>
            <filter val="801Uj00000zQKEUIA4"/>
            <filter val="801Uj00000zQmgzIAC"/>
            <filter val="801Uj00000ZqMOVIA3"/>
            <filter val="801Uj00000ZqN7fIAF"/>
            <filter val="801Uj00000ZqNvkIAF"/>
            <filter val="801Uj00000zQo4WIAS"/>
            <filter val="801Uj00000zQQK0IAO"/>
            <filter val="801Uj00000zqr1xIAA"/>
            <filter val="801Uj00000zQraIIAS"/>
            <filter val="801Uj00000ZqrDoIAJ"/>
            <filter val="801Uj00000ZqRuSIAV"/>
            <filter val="801Uj00000ZqUU5IAN"/>
            <filter val="801Uj00000zQXjgIAG"/>
            <filter val="801Uj00000zqZOTIA2"/>
            <filter val="801Uj00000zR8rCIAS"/>
            <filter val="801Uj00000zRCd5IAG"/>
            <filter val="801Uj00000zRckRIAS"/>
            <filter val="801Uj00000zREtRIAW"/>
            <filter val="801Uj00000zrflCIAQ"/>
            <filter val="801Uj00000zRHsvIAG"/>
            <filter val="801Uj00000zrIyEIAU"/>
            <filter val="801Uj00000zRJwHIAW"/>
            <filter val="801Uj00000zRNYWIA4"/>
            <filter val="801Uj00000zRoYiIAK"/>
            <filter val="801Uj00000zRPDiIAO"/>
            <filter val="801Uj00000zRPP6IAO"/>
            <filter val="801Uj00000zRtQIIA0"/>
            <filter val="801Uj00000zrvoFIAQ"/>
            <filter val="801Uj00000zRXfuIAG"/>
            <filter val="801Uj00000zs5AsIAI"/>
            <filter val="801Uj00000zs74bIAA"/>
            <filter val="801Uj00000zv0wDIAQ"/>
            <filter val="801Uj00000zwfsaIAA"/>
            <filter val="801Uj00000ZwkeDIAR"/>
            <filter val="801Uj00000ZwPd2IAF"/>
            <filter val="801Uj00000Zx4pqIAB"/>
            <filter val="801Uj00000zx8CyIAI"/>
            <filter val="801Uj00000ZXalSIAT"/>
            <filter val="801Uj00000ZXbEPIA1"/>
            <filter val="801Uj00000ZxgyNIAR"/>
            <filter val="801Uj00000Zxi8xIAB"/>
            <filter val="801Uj00000ZxileIAB"/>
            <filter val="801Uj00000ZXm1mIAD"/>
            <filter val="801Uj00000zxnktIAA"/>
            <filter val="801Uj00000ZXqV8IAL"/>
            <filter val="801Uj00000ZxuBjIAJ"/>
            <filter val="801Uj00000zy5uYIAQ"/>
            <filter val="801Uj0000106pHBIAY"/>
            <filter val="801Uj0000106yHDIAY"/>
            <filter val="801Uj00001075DmIAI"/>
            <filter val="801Um00001E10QQIAZ"/>
            <filter val="801Um00001E151vIAB"/>
            <filter val="801Um00001E1b0CIAR"/>
            <filter val="801Um00001E1b3WIAR"/>
            <filter val="801Um00001E1cfPIAR"/>
            <filter val="801Um00001E1KdfIAF"/>
            <filter val="801Um00001E1mLOIAZ"/>
            <filter val="801Um00001E1nJ4IAJ"/>
            <filter val="801Um00001E1nPYIAZ"/>
            <filter val="801Um00001E1obiIAB"/>
            <filter val="801Um00001E1oDWIAZ"/>
            <filter val="801Um00001E1PBuIAN"/>
            <filter val="801Um00001E1R8uIAF"/>
            <filter val="801Um00001E1TgvIAF"/>
            <filter val="801Um00001E42STIAZ"/>
            <filter val="801Um00001E4goBIAR"/>
            <filter val="801Um00001E4rraIAB"/>
            <filter val="801Um00001E4yufIAB"/>
            <filter val="801Um00001E4zFhIAJ"/>
            <filter val="801Um00001E5GWiIAN"/>
            <filter val="801Um00001E5pZBIAZ"/>
            <filter val="801Um00001E5Y5KIAV"/>
            <filter val="801Um00001E8EGaIAN"/>
            <filter val="801Um00001EB1wIIAT"/>
            <filter val="801Um00001EB7wrIAD"/>
            <filter val="801Um00001EB8PtIAL"/>
            <filter val="801Um00001EbGZvIAN"/>
            <filter val="801Um00001EbOUFIA3"/>
            <filter val="801Um00001Ec26iIAB"/>
            <filter val="801Um00001EC2jwIAD"/>
            <filter val="801Um00001EC4XAIA1"/>
            <filter val="801Um00001ECa0jIAD"/>
            <filter val="801Um00001EcBzhIAF"/>
            <filter val="801Um00001ECcdfIAD"/>
            <filter val="801Um00001ECdV4IAL"/>
            <filter val="801Um00001ECeabIAD"/>
            <filter val="801Um00001ECfRpIAL"/>
            <filter val="801Um00001EckAvIAJ"/>
            <filter val="801Um00001EcL1MIAV"/>
            <filter val="801Um00001EclS1IAJ"/>
            <filter val="801Um00001ECMc5IAH"/>
            <filter val="801Um00001ECQFtIAP"/>
            <filter val="801Um00001EcRTIIA3"/>
            <filter val="801Um00001Ecs5FIAR"/>
            <filter val="801Um00001EcSHGIA3"/>
            <filter val="801Um00001Ecua5IAB"/>
            <filter val="801Um00001EcwGwIAJ"/>
            <filter val="801Um00001EcY3JIAV"/>
            <filter val="801Um00001ED1CEIA1"/>
            <filter val="801Um00001Ed9sTIAR"/>
            <filter val="801Um00001EdA8bIAF"/>
            <filter val="801Um00001EDPzJIAX"/>
            <filter val="801Um00001EDTgLIAX"/>
            <filter val="801Um00001EDVOnIAP"/>
            <filter val="801Um00001EDZNZIA5"/>
            <filter val="801Um00001Ee1T3IAJ"/>
            <filter val="801Um00001Ee8azIAB"/>
            <filter val="801Um00001EEFkzIAH"/>
            <filter val="801Um00001EEGh4IAH"/>
            <filter val="801Um00001EFp87IAD"/>
            <filter val="801Um00001EFzkDIAT"/>
            <filter val="801Um00001EHL4IIAX"/>
            <filter val="801Um00001EK530IAD"/>
            <filter val="801Um00001EKfssIAD"/>
            <filter val="801Um00001EKs5JIAT"/>
            <filter val="801Um00001EKtSqIAL"/>
            <filter val="801Um00001EKUZIIA5"/>
            <filter val="801Um00001EKzBdIAL"/>
            <filter val="801Um00001EL0XYIA1"/>
            <filter val="801Um00001EL5diIAD"/>
            <filter val="801Um00001ELDZZIA5"/>
            <filter val="801Um00001ELHBnIAP"/>
            <filter val="801Um00001ELiJEIA1"/>
            <filter val="801Um00001ELjoeIAD"/>
            <filter val="801Um00001ELODJIA5"/>
            <filter val="801Um00001ELopHIAT"/>
            <filter val="801Um00001ELq9VIAT"/>
            <filter val="801Um00001EMu30IAD"/>
            <filter val="801Um00001EN2GiIAL"/>
            <filter val="801Um00001EN5T5IAL"/>
            <filter val="801Um00001ENDqQIAX"/>
            <filter val="801Um00001EO6mrIAD"/>
            <filter val="801Um00001Eq7HoIAJ"/>
            <filter val="801Um00001Eq7rGIAR"/>
            <filter val="801Um00001EqDAMIA3"/>
            <filter val="801Um00001EqEzwIAF"/>
            <filter val="801Um00001EqFXRIA3"/>
            <filter val="801Um00001EqhTNIAZ"/>
            <filter val="801Um00001EqHVhIAN"/>
            <filter val="801Um00001EqkPaIAJ"/>
            <filter val="801Um00001EqReoIAF"/>
            <filter val="801Um00001EqSZEIA3"/>
            <filter val="801Um00001EqZhSIAV"/>
            <filter val="801Um00001ESl8LIAT"/>
            <filter val="801Um00001ET5mwIAD"/>
            <filter val="801Um00001EtaGtIAJ"/>
            <filter val="801Um00001ETeRMIA1"/>
            <filter val="801Um00001ETI11IAH"/>
            <filter val="801Um00001EtMFTIA3"/>
            <filter val="801Um00001EtNQ2IAN"/>
            <filter val="801Um00001EtphJIAR"/>
            <filter val="801Um00001Ett3JIAR"/>
            <filter val="801Um00001EttZZIAZ"/>
            <filter val="801Um00001ETvVOIA1"/>
            <filter val="801Um00001Eu43ZIAR"/>
            <filter val="801Um00001Eu4BdIAJ"/>
            <filter val="801Um00001EU7SrIAL"/>
            <filter val="801Um00001EU8vhIAD"/>
            <filter val="801Um00001Eu9HpIAJ"/>
            <filter val="801Um00001EuBLEIA3"/>
            <filter val="801Um00001EUCmOIAX"/>
            <filter val="801Um00001EUcX8IAL"/>
            <filter val="801Um00001EUDnGIAX"/>
            <filter val="801Um00001EUEubIAH"/>
            <filter val="801Um00001EuFv9IAF"/>
            <filter val="801Um00001EuIMgIAN"/>
            <filter val="801Um00001EUIrmIAH"/>
            <filter val="801Um00001EUIwbIAH"/>
            <filter val="801Um00001EuJcCIAV"/>
            <filter val="801Um00001EujczIAB"/>
            <filter val="801Um00001EuNB4IAN"/>
            <filter val="801Um00001EuOLgIAN"/>
            <filter val="801Um00001EUOyoIAH"/>
            <filter val="801Um00001EuPEVIA3"/>
            <filter val="801Um00001EUQPXIA5"/>
            <filter val="801Um00001EuSFaIAN"/>
            <filter val="801Um00001EUTteIAH"/>
            <filter val="801Um00001EUVfJIAX"/>
            <filter val="801Um00001EuVGhIAN"/>
            <filter val="801Um00001EuwiIIAR"/>
            <filter val="801Um00001EuZ8zIAF"/>
            <filter val="801Um00001Ev0nVIAR"/>
            <filter val="801Um00001EVaqBIAT"/>
            <filter val="801Um00001EVc8TIAT"/>
            <filter val="801Um00001EVdhFIAT"/>
            <filter val="801Um00001EvdnHIAR"/>
            <filter val="801Um00001EVjEnIAL"/>
            <filter val="801Um00001EVloTIAT"/>
            <filter val="801Um00001EVPpaIAH"/>
            <filter val="801Um00001EwAknIAF"/>
            <filter val="801Um00001EX92LIAT"/>
            <filter val="801Um00001F1hufIAB"/>
            <filter val="801Um00001F1jLLIAZ"/>
            <filter val="801Um00001F1qGMIAZ"/>
            <filter val="801Um00001F1uLeIAJ"/>
            <filter val="801Um00001F22ivIAB"/>
            <filter val="801Um00001F23ThIAJ"/>
            <filter val="801Um00001F26D3IAJ"/>
            <filter val="801Um00001F2fh4IAB"/>
            <filter val="801Um00001F2hNtIAJ"/>
            <filter val="801Um00001F2i0cIAB"/>
            <filter val="801Um00001F2ondIAB"/>
            <filter val="801Um00001F2qUPIAZ"/>
            <filter val="801Um00001F2sBKIAZ"/>
            <filter val="801Um00001F2v2gIAB"/>
            <filter val="801Um00001F2VwGIAV"/>
            <filter val="801Um00001F2YKgIAN"/>
            <filter val="801Um00001F32vOIAR"/>
            <filter val="801Um00001F38CqIAJ"/>
            <filter val="801Um00001F3aPBIAZ"/>
            <filter val="801Um00001F3CwLIAV"/>
            <filter val="801Um00001F3cZ2IAJ"/>
            <filter val="801Um00001F3F4dIAF"/>
            <filter val="801Um00001F3IdZIAV"/>
            <filter val="801Um00001F3NTbIAN"/>
            <filter val="801Um00001F3OmEIAV"/>
            <filter val="801Um00001F3PS9IAN"/>
            <filter val="801Um00001F3QBJIA3"/>
            <filter val="801Um00001F3TfRIAV"/>
            <filter val="801Um00001F3v2GIAR"/>
            <filter val="801Um00001F3VMHIA3"/>
            <filter val="801Um00001F3WlNIAV"/>
            <filter val="801Um00001F3YX6IAN"/>
            <filter val="801Um00001F41kLIAR"/>
            <filter val="801Um00001F43ZIIAZ"/>
            <filter val="801Um00001F4aBpIAJ"/>
            <filter val="801Um00001F4CHfIAN"/>
            <filter val="801Um00001F4FowIAF"/>
            <filter val="801Um00001F4FwzIAF"/>
            <filter val="801Um00001F4MbtIAF"/>
            <filter val="801Um00001F4o6lIAB"/>
            <filter val="801Um00001F4RuwIAF"/>
            <filter val="801Um00001F4stYIAR"/>
            <filter val="801Um00001F4U4nIAF"/>
            <filter val="801Um00001F4ysTIAR"/>
            <filter val="801Um00001F6c4gIAB"/>
            <filter val="801Um00001F6R61IAF"/>
            <filter val="801Um00001F7OcNIAV"/>
            <filter val="801Um00001F9QTZIA3"/>
            <filter val="801Um00001FDnLFIA1"/>
            <filter val="801Um00001FDqAxIAL"/>
            <filter val="801Um00001FDQzgIAH"/>
            <filter val="801Um00001FDSOkIAP"/>
            <filter val="801Um00001FDtDeIAL"/>
            <filter val="801Um00001FDuHlIAL"/>
            <filter val="801Um00001FDx4PIAT"/>
            <filter val="801Um00001FDXD9IAP"/>
            <filter val="801Um00001FDzkYIAT"/>
            <filter val="801Um00001FEDU7IAP"/>
            <filter val="801Um00001FEH6KIAX"/>
            <filter val="801Um00001FEHz9IAH"/>
            <filter val="801Um00001FEossIAD"/>
            <filter val="801Um00001FEQ1WIAX"/>
            <filter val="801Um00001FEUEoIAP"/>
            <filter val="801Um00001FEX9RIAX"/>
            <filter val="801Um00001FEXkYIAX"/>
            <filter val="801Um00001FEZkjIAH"/>
            <filter val="801Um00001FFbUNIA1"/>
            <filter val="801Um00001FFKlFIAX"/>
            <filter val="801Um00001FFXP7IAP"/>
            <filter val="801Um00001FFyHGIA1"/>
            <filter val="801Um00001FG6t7IAD"/>
            <filter val="801Um00001FGD9qIAH"/>
            <filter val="801Um00001FGGAxIAP"/>
            <filter val="801Um00001FJn0fIAD"/>
            <filter val="801Um00001FjVktIAF"/>
            <filter val="801Um00001FjxcKIAR"/>
            <filter val="801Um00001FjyWnIAJ"/>
            <filter val="801Um00001Fk7mzIAB"/>
            <filter val="801Um00001FK7p0IAD"/>
            <filter val="801Um00001Fk9DiIAJ"/>
            <filter val="801Um00001FkArIIAV"/>
            <filter val="801Um00001FkAWSIA3"/>
            <filter val="801Um00001FkC3SIAV"/>
            <filter val="801Um00001FkEelIAF"/>
            <filter val="801Um00001FkFXaIAN"/>
            <filter val="801Um00001FkHHdIAN"/>
            <filter val="801Um00001FkHmHIAV"/>
            <filter val="801Um00001FkKCHIA3"/>
            <filter val="801Um00001FKO6fIAH"/>
            <filter val="801Um00001FkxC3IAJ"/>
            <filter val="801Um00001FkxjvIAB"/>
            <filter val="801Um00001Fl2TYIAZ"/>
            <filter val="801Um00001FliyvIAB"/>
            <filter val="801Um00001FlIZrIAN"/>
            <filter val="801Um00001FlmBKIAZ"/>
            <filter val="801Um00001FmHLhIAN"/>
            <filter val="801Um00001FmkaWIAR"/>
            <filter val="801Um00001FnfDmIAJ"/>
            <filter val="801Um00001Fnh14IAB"/>
            <filter val="801Um00001FnhIqIAJ"/>
            <filter val="801Um00001FnhnRIAR"/>
            <filter val="801Um00001FnhnXIAR"/>
            <filter val="801Um00001FnIlqIAF"/>
            <filter val="801Um00001FNK9nIAH"/>
            <filter val="801Um00001FnU5aIAF"/>
            <filter val="801Um00001FNUSTIA5"/>
            <filter val="801Um00001FnwT9IAJ"/>
            <filter val="801Um00001FnxaWIAR"/>
            <filter val="801Um00001Fnzh8IAB"/>
            <filter val="801Um00001Fo0q9IAB"/>
            <filter val="801Um00001Fo0uwIAB"/>
            <filter val="801Um00001Fo2VKIAZ"/>
            <filter val="801Um00001Fo8AxIAJ"/>
            <filter val="801Um00001FoBaEIAV"/>
            <filter val="801Um00001FocnKIAR"/>
            <filter val="801Um00001FocQjIAJ"/>
            <filter val="801Um00001FodReIAJ"/>
            <filter val="801Um00001FodUsIAJ"/>
            <filter val="801Um00001FogR8IAJ"/>
            <filter val="801Um00001FoMH9IAN"/>
            <filter val="801Um00001FoNjRIAV"/>
            <filter val="801Um00001FopB4IAJ"/>
            <filter val="801Um00001FoQxRIAV"/>
            <filter val="801Um00001FOssXIAT"/>
            <filter val="801Um00001FowAvIAJ"/>
            <filter val="801Um00001FpAIlIAN"/>
            <filter val="801Um00001FpbIwIAJ"/>
            <filter val="801Um00001FpDuvIAF"/>
            <filter val="801Um00001FpdxRIAR"/>
            <filter val="801Um00001Fpf1aIAB"/>
            <filter val="801Um00001FpFTjIAN"/>
            <filter val="801Um00001FpIONIA3"/>
            <filter val="801Um00001Fpn2NIAR"/>
            <filter val="801Um00001FpZNbIAN"/>
            <filter val="801Um00001Fq22zIAB"/>
            <filter val="801Um00001Fqc6UIAR"/>
            <filter val="801Um00001Fqh2vIAB"/>
            <filter val="801Um00001FqhEFIAZ"/>
            <filter val="801Um00001FqISnIAN"/>
            <filter val="801Um00001FqlsvIAB"/>
            <filter val="801Um00001FQqhmIAD"/>
            <filter val="801Um00001FQxg3IAD"/>
            <filter val="801Um00001Fr6J5IAJ"/>
            <filter val="801Um00001FrOPeIAN"/>
            <filter val="801Um00001FrorxIAB"/>
            <filter val="801Um00001FrXEPIA3"/>
            <filter val="801Um00001FsRLRIA3"/>
            <filter val="801Um00001Ft5nYIAR"/>
            <filter val="801Um00001Fvtt6IAB"/>
            <filter val="801Um00001FvuPPIAZ"/>
            <filter val="801Um00001FvwEGIAZ"/>
            <filter val="801Um00001FvxFCIAZ"/>
            <filter val="801Um00001Fw46zIAB"/>
            <filter val="801Um00001FwFwoIAF"/>
            <filter val="801Um00001FwHqXIAV"/>
            <filter val="801Um00001FwJE1IAN"/>
            <filter val="801Um00001FWjFQIA1"/>
            <filter val="801Um00001FwTyAIAV"/>
            <filter val="801Um00001Fww0sIAB"/>
            <filter val="801Um00001FwxhhIAB"/>
            <filter val="801Um00001Fx4SNIAZ"/>
            <filter val="801Um00001FxebOIAR"/>
            <filter val="801Um00001FXiPNIA1"/>
            <filter val="801Um00001FXjtHIAT"/>
            <filter val="801Um00001FXmhSIAT"/>
            <filter val="801Um00001FxpetIAB"/>
            <filter val="801Um00001FxU5rIAF"/>
            <filter val="801Um00001FxvNhIAJ"/>
            <filter val="801Um00001FxVReIAN"/>
            <filter val="801Um00001FxWh3IAF"/>
            <filter val="801Um00001FxznuIAB"/>
            <filter val="801Um00001FyCJoIAN"/>
            <filter val="801Um00001FyHMeIAN"/>
            <filter val="801Um00001FyK4OIAV"/>
            <filter val="801Um00001FyQ06IAF"/>
            <filter val="801Um00001FyRFVIA3"/>
            <filter val="801Um00001FyTpCIAV"/>
            <filter val="801Um00001FyUZyIAN"/>
            <filter val="801Um00001FYXbVIAX"/>
            <filter val="801Um00001FyXpZIAV"/>
            <filter val="801Um00001FztRRIAZ"/>
            <filter val="801Um00001G03x6IAB"/>
            <filter val="801Um00001G0GCkIAN"/>
            <filter val="801Um00001G16ZWIAZ"/>
            <filter val="801Um00001G1GgwIAF"/>
            <filter val="801Um00001G1GyfIAF"/>
            <filter val="801Um00001G2iXtIAJ"/>
            <filter val="801Um00001G4sRWIAZ"/>
            <filter val="801Um00001G4taaIAB"/>
            <filter val="801Um00001G4wJsIAJ"/>
            <filter val="801Um00001G52h0IAB"/>
            <filter val="801Um00001G595nIAB"/>
            <filter val="801Um00001G5CGYIA3"/>
            <filter val="801Um00001G5COdIAN"/>
            <filter val="801Um00001G5DqwIAF"/>
            <filter val="801Um00001G5dTeIAJ"/>
            <filter val="801Um00001G5h95IAB"/>
            <filter val="801Um00001G5HHwIAN"/>
            <filter val="801Um00001G5lPbIAJ"/>
            <filter val="801Um00001G5LYOIA3"/>
            <filter val="801Um00001G5nCrIAJ"/>
            <filter val="801Um00001G5OchIAF"/>
            <filter val="801Um00001G5OHlIAN"/>
            <filter val="801Um00001G5OPlIAN"/>
            <filter val="801Um00001G5RlpIAF"/>
            <filter val="801Um00001G5S3cIAF"/>
            <filter val="801Um00001G5SWcIAN"/>
            <filter val="801Um00001G5w85IAB"/>
            <filter val="801Um00001G5YybIAF"/>
            <filter val="801Um00001G6BAMIA3"/>
            <filter val="801Um00001G6CftIAF"/>
            <filter val="801Um00001G6IJxIAN"/>
            <filter val="801Um00001G6nkHIAR"/>
            <filter val="801Um00001G6r9cIAB"/>
            <filter val="801Um00001G6uloIAB"/>
            <filter val="801Um00001G6Z2zIAF"/>
            <filter val="801Um00001G703DIAR"/>
            <filter val="801Um00001G71orIAB"/>
            <filter val="801Um00001G75FlIAJ"/>
            <filter val="801Um00001G7IOHIA3"/>
            <filter val="801Um00001G7LSbIAN"/>
            <filter val="801Um00001G7TunIAF"/>
            <filter val="801Um00001G7zg9IAB"/>
            <filter val="801Um00001G8cpZIAR"/>
            <filter val="801Um00001G9gSvIAJ"/>
            <filter val="801Um00001G9JZbIAN"/>
            <filter val="801Um00001G9RwzIAF"/>
            <filter val="801Um00001G9UMzIAN"/>
            <filter val="801Um00001G9VJ0IAN"/>
            <filter val="801Um00001Ga0cTIAR"/>
            <filter val="801Um00001Ga0NQIAZ"/>
            <filter val="801Um00001Ga0z3IAB"/>
            <filter val="801Um00001Ga177IAB"/>
            <filter val="801Um00001GA28TIAT"/>
            <filter val="801Um00001GA9oHIAT"/>
            <filter val="801Um00001GaEvbIAF"/>
            <filter val="801Um00001GaGcRIAV"/>
            <filter val="801Um00001GaK6XIAV"/>
            <filter val="801Um00001GANZVIA5"/>
            <filter val="801Um00001GaujaIAB"/>
            <filter val="801Um00001Gb6O6IAJ"/>
            <filter val="801Um00001GcdOQIAZ"/>
            <filter val="801Um00001GcfWfIAJ"/>
            <filter val="801Um00001GcgXbIAJ"/>
            <filter val="801Um00001GcjFJIAZ"/>
            <filter val="801Um00001GcLzTIAV"/>
            <filter val="801Um00001Gd8FKIAZ"/>
            <filter val="801Um00001Gdc8YIAR"/>
            <filter val="801Um00001GdGMYIA3"/>
            <filter val="801Um00001GDhblIAD"/>
            <filter val="801Um00001GdIMmIAN"/>
            <filter val="801Um00001GdJ9BIAV"/>
            <filter val="801Um00001GDm1tIAD"/>
            <filter val="801Um00001GdMoXIAV"/>
            <filter val="801Um00001GDnAsIAL"/>
            <filter val="801Um00001GDnSbIAL"/>
            <filter val="801Um00001GDo3hIAD"/>
            <filter val="801Um00001GDO7eIAH"/>
            <filter val="801Um00001GdOiOIAV"/>
            <filter val="801Um00001GdOS9IAN"/>
            <filter val="801Um00001GDpXfIAL"/>
            <filter val="801Um00001GDYTdIAP"/>
            <filter val="801Um00001GE0mQIAT"/>
            <filter val="801Um00001GE45FIAT"/>
            <filter val="801Um00001GE45GIAT"/>
            <filter val="801Um00001Ge9neIAB"/>
            <filter val="801Um00001GedguIAB"/>
            <filter val="801Um00001GEdiQIAT"/>
            <filter val="801Um00001GEDq8IAH"/>
            <filter val="801Um00001GEhpAIAT"/>
            <filter val="801Um00001GEht1IAD"/>
            <filter val="801Um00001GekwtIAB"/>
            <filter val="801Um00001GElz3IAD"/>
            <filter val="801Um00001GEwyTIAT"/>
            <filter val="801Um00001GF7U5IAL"/>
            <filter val="801Um00001GFAwbIAH"/>
            <filter val="801Um00001GFRNxIAP"/>
            <filter val="801Um00001GfzFqIAJ"/>
            <filter val="801Um00001GG9DhIAL"/>
            <filter val="801Um00001GgfmbIAB"/>
            <filter val="801Um00001GGk3ZIAT"/>
            <filter val="801Um00001GGtgLIAT"/>
            <filter val="801Um00001GGVcPIAX"/>
            <filter val="801Um00001GgzyFIAR"/>
            <filter val="801Um00001GhV21IAF"/>
            <filter val="801Um00001GilRJIAZ"/>
            <filter val="801Um00001GimATIAZ"/>
            <filter val="801Um00001GkeqPIAR"/>
            <filter val="801Um00001GKHvpIAH"/>
            <filter val="801Um00001Gl75CIAR"/>
            <filter val="801Um00001GlCIZIA3"/>
            <filter val="801Um00001GLcrnIAD"/>
            <filter val="801Um00001GlerWIAR"/>
            <filter val="801Um00001GlfndIAB"/>
            <filter val="801Um00001Glh4dIAB"/>
            <filter val="801Um00001GlIuFIAV"/>
            <filter val="801Um00001Glk8wIAB"/>
            <filter val="801Um00001GLlS2IAL"/>
            <filter val="801Um00001GLoo6IAD"/>
            <filter val="801Um00001GLqgEIAT"/>
            <filter val="801Um00001GlqW6IAJ"/>
            <filter val="801Um00001GLsrjIAD"/>
            <filter val="801Um00001GLuVKIA1"/>
            <filter val="801Um00001GlwN0IAJ"/>
            <filter val="801Um00001GLWw3IAH"/>
            <filter val="801Um00001GLxeVIAT"/>
            <filter val="801Um00001GlY2xIAF"/>
            <filter val="801Um00001GlyDVIAZ"/>
            <filter val="801Um00001GLzBdIAL"/>
            <filter val="801Um00001GlZfJIAV"/>
            <filter val="801Um00001GlZOoIAN"/>
            <filter val="801Um00001Gm1ZKIAZ"/>
            <filter val="801Um00001Gm3hpIAB"/>
            <filter val="801Um00001Gm64bIAB"/>
            <filter val="801Um00001GM7fSIAT"/>
            <filter val="801Um00001GmHUgIAN"/>
            <filter val="801Um00001GMjckIAD"/>
            <filter val="801Um00001GmOkiIAF"/>
            <filter val="801Um00001GmPnCIAV"/>
            <filter val="801Um00001GMR1UIAX"/>
            <filter val="801Um00001GmtYLIAZ"/>
            <filter val="801Um00001GmUj7IAF"/>
            <filter val="801Um00001GmvyMIAR"/>
            <filter val="801Um00001Gmwj9IAB"/>
            <filter val="801Um00001Gn00NIAR"/>
            <filter val="801Um00001Gn0pyIAB"/>
            <filter val="801Um00001GN11hIAD"/>
            <filter val="801Um00001GN2U4IAL"/>
            <filter val="801Um00001GN2yfIAD"/>
            <filter val="801Um00001Gn65lIAB"/>
            <filter val="801Um00001GNBNhIAP"/>
            <filter val="801Um00001GnjlUIAR"/>
            <filter val="801Um00001GP6IXIA1"/>
            <filter val="801Um00001GpH57IAF"/>
            <filter val="801Um00001GpQJkIAN"/>
            <filter val="801Um00001GPZP7IAP"/>
            <filter val="801Um00001GQ266IAD"/>
            <filter val="801Um00001GqaiQIAR"/>
            <filter val="801Um00001GQFg2IAH"/>
            <filter val="801Um00001GQTXhIAP"/>
            <filter val="801Um00001GqvF0IAJ"/>
            <filter val="801Um00001GqyKvIAJ"/>
            <filter val="801Um00001GrBQDIA3"/>
            <filter val="801Um00001GrNrCIAV"/>
            <filter val="801Um00001GrsGgIAJ"/>
            <filter val="801Um00001GtnBLIAZ"/>
            <filter val="801Um00001GtuXqIAJ"/>
            <filter val="801Um00001GtzvgIAB"/>
            <filter val="801Um00001Gu3ZPIAZ"/>
            <filter val="801Um00001GuCWEIA3"/>
            <filter val="801Um00001GueSTIAZ"/>
            <filter val="801Um00001GujJ1IAJ"/>
            <filter val="801Um00001GuJsnIAF"/>
            <filter val="801Um00001GupanIAB"/>
            <filter val="801Um00001GuRiFIAV"/>
            <filter val="801Um00001GuSHeIAN"/>
            <filter val="801Um00001GuXcJIAV"/>
            <filter val="801Um00001GuYWmIAN"/>
            <filter val="801Um00001Gvdm6IAB"/>
            <filter val="801Um00001GvEn3IAF"/>
            <filter val="801Um00001Gvgf7IAB"/>
            <filter val="801Um00001Gvh4wIAB"/>
            <filter val="801Um00001GvkFhIAJ"/>
            <filter val="801Um00001GvTpyIAF"/>
            <filter val="801Um00001GvXC4IAN"/>
            <filter val="801Um00001Gw8YDIAZ"/>
            <filter val="801Um00001GwKcZIAV"/>
            <filter val="801Um00001GwTnvIAF"/>
            <filter val="801Um00001GxAJOIA3"/>
            <filter val="801Um00001Gy1sNIAR"/>
            <filter val="801Um00001GytvyIAB"/>
            <filter val="801Um00001Gz5QsIAJ"/>
            <filter val="801Um00001GZc5gIAD"/>
            <filter val="801Um00001GZd84IAD"/>
            <filter val="801Um00001GZDtYIAX"/>
            <filter val="801Um00001GZefGIAT"/>
            <filter val="801Um00001GZfugIAD"/>
            <filter val="801Um00001GZh0SIAT"/>
            <filter val="801Um00001GZiPVIA1"/>
            <filter val="801Um00001GZiVuIAL"/>
            <filter val="801Um00001GZJ7oIAH"/>
            <filter val="801Um00001GZk33IAD"/>
            <filter val="801Um00001GZo9wIAD"/>
            <filter val="801Um00001GZqZtIAL"/>
            <filter val="801Um00001GZrpLIAT"/>
            <filter val="801Um00001GZsdPIAT"/>
            <filter val="801Um00001GZsOpIAL"/>
            <filter val="801Um00001GZtMUIA1"/>
            <filter val="801Um00001GZUG4IAP"/>
            <filter val="801Um00001GZv8DIAT"/>
            <filter val="801Um00001GZVnCIAX"/>
            <filter val="801Um00001GZvZdIAL"/>
            <filter val="801Um00001H0AZnIAN"/>
            <filter val="801Um00001H2lgVIAR"/>
            <filter val="801Um00001H34CtIAJ"/>
            <filter val="801Um00001H3apRIAR"/>
            <filter val="801Um00001H3az9IAB"/>
            <filter val="801Um00001H3cJRIAZ"/>
            <filter val="801Um00001H3DMeIAN"/>
            <filter val="801Um00001H3DrFIAV"/>
            <filter val="801Um00001H3DzLIAV"/>
            <filter val="801Um00001H3FzVIAV"/>
            <filter val="801Um00001H3gV4IAJ"/>
            <filter val="801Um00001H3HJlIAN"/>
            <filter val="801Um00001H3HwTIAV"/>
            <filter val="801Um00001H3jUYIAZ"/>
            <filter val="801Um00001H3k0oIAB"/>
            <filter val="801Um00001H3plGIAR"/>
            <filter val="801Um00001H3SqKIAV"/>
            <filter val="801Um00001H3ZyEIAV"/>
            <filter val="801Um00001H40YcIAJ"/>
            <filter val="801Um00001H41mjIAB"/>
            <filter val="801Um00001H43aDIAR"/>
            <filter val="801Um00001H470pIAB"/>
            <filter val="801Um00001H47qjIAB"/>
            <filter val="801Um00001H484mIAB"/>
            <filter val="801Um00001H49vFIAR"/>
            <filter val="801Um00001H4ABNIA3"/>
            <filter val="801Um00001H4ARVIA3"/>
            <filter val="801Um00001H4C3VIAV"/>
            <filter val="801Um00001H4GWvIAN"/>
            <filter val="801Um00001H4I28IAF"/>
            <filter val="801Um00001H4JbHIAV"/>
            <filter val="801Um00001H4NGiIAN"/>
            <filter val="801Um00001H4QzJIAV"/>
            <filter val="801Um00001H4XHdIAN"/>
            <filter val="801Um00001H51duIAB"/>
            <filter val="801Um00001H5bsfIAB"/>
            <filter val="801Um00001H6y5gIAB"/>
            <filter val="801Um00001H76CtIAJ"/>
            <filter val="801Um00001H7n6fIAB"/>
            <filter val="801Um00001H7ox3IAB"/>
            <filter val="801Um00001H7qsRIAR"/>
            <filter val="801Um00001Hada4IAB"/>
            <filter val="801Um00001HaDPRIA3"/>
            <filter val="801Um00001HaGlVIAV"/>
            <filter val="801Um00001HaNv3IAF"/>
            <filter val="801Um00001HaWgbIAF"/>
            <filter val="801Um00001HCaVGIA1"/>
            <filter val="801Um00001HCbj3IAD"/>
            <filter val="801Um00001HCCKtIAP"/>
            <filter val="801Um00001HCJJ9IAP"/>
            <filter val="801Um00001HCSSrIAP"/>
            <filter val="801Um00001HCZm5IAH"/>
            <filter val="801Um00001HD0BBIA1"/>
            <filter val="801Um00001HD5VpIAL"/>
            <filter val="801Um00001HD60TIAT"/>
            <filter val="801Um00001HDAaNIAX"/>
            <filter val="801Um00001HdYdrIAF"/>
            <filter val="801Um00001HdZ8XIAV"/>
            <filter val="801Um00001Hgg3nIAB"/>
            <filter val="801Um00001HginAIAR"/>
            <filter val="801Um00001HgjuYIAR"/>
            <filter val="801Um00001HgspkIAB"/>
            <filter val="801Um00001Hgt5qIAB"/>
            <filter val="801Um00001HgwDNIAZ"/>
            <filter val="801Um00001Hh0yXIAR"/>
            <filter val="801Um00001Hh1Y1IAJ"/>
            <filter val="801Um00001Hh7OxIAJ"/>
            <filter val="801Um00001Hh7QXIAZ"/>
            <filter val="801Um00001Hh9KHIAZ"/>
            <filter val="801Um00001HhAGQIA3"/>
            <filter val="801Um00001HhdobIAB"/>
            <filter val="801Um00001HhELaIAN"/>
            <filter val="801Um00001HhHCzIAN"/>
            <filter val="801Um00001HHiQYIA1"/>
            <filter val="801Um00001HhmISIAZ"/>
            <filter val="801Um00001HhN0BIAV"/>
            <filter val="801Um00001Hhn83IAB"/>
            <filter val="801Um00001HhNLfIAN"/>
            <filter val="801Um00001HhNwmIAF"/>
            <filter val="801Um00001HhqYzIAJ"/>
            <filter val="801Um00001HHrvHIAT"/>
            <filter val="801Um00001HhuXhIAJ"/>
            <filter val="801Um00001Hhv7EIAR"/>
            <filter val="801Um00001HhvAQIAZ"/>
            <filter val="801Um00001HhwZWIAZ"/>
            <filter val="801Um00001HhxgtIAB"/>
            <filter val="801Um00001HifbRIAR"/>
            <filter val="801Um00001HiFy5IAF"/>
            <filter val="801Um00001HirazIAB"/>
            <filter val="801Um00001HivY9IAJ"/>
            <filter val="801Um00001HjKxxIAF"/>
            <filter val="801Um00001HjNPZIA3"/>
            <filter val="801Um00001Hk9xFIAR"/>
            <filter val="801Um00001HksfrIAB"/>
            <filter val="801Um00001HksxbIAB"/>
            <filter val="801Um00001HkzUSIAZ"/>
            <filter val="801Um00001HLaJ9IAL"/>
            <filter val="801Um00001HlLYBIA3"/>
            <filter val="801Um00001HLuwjIAD"/>
            <filter val="801Um00001HlXcYIAV"/>
            <filter val="801Um00001HMiMmIAL"/>
            <filter val="801Um00001HMoNKIA1"/>
            <filter val="801Um00001HmUftIAF"/>
            <filter val="801Um00001HmXNcIAN"/>
            <filter val="801Um00001HN4iBIAT"/>
            <filter val="801Um00001HN9puIAD"/>
            <filter val="801Um00001HOiC9IAL"/>
            <filter val="801Um00001HOmsRIAT"/>
            <filter val="801Um00001HOqJJIA1"/>
            <filter val="801Um00001HOtaZIAT"/>
            <filter val="801Um00001HOubSIAT"/>
            <filter val="801Um00001HOv1JIAT"/>
            <filter val="801Um00001HOvamIAD"/>
            <filter val="801Um00001HOVQDIA5"/>
            <filter val="801Um00001HOwa2IAD"/>
            <filter val="801Um00001HOxStIAL"/>
            <filter val="801Um00001HOXwhIAH"/>
            <filter val="801Um00001HOy2OIAT"/>
            <filter val="801Um00001HOyiIIAT"/>
            <filter val="801Um00001HOZAQIA5"/>
            <filter val="801Um00001HP0ybIAD"/>
            <filter val="801Um00001HP1hqIAD"/>
            <filter val="801Um00001HP1nFIAT"/>
            <filter val="801Um00001Hpa5aIAB"/>
            <filter val="801Um00001HpdmbIAB"/>
            <filter val="801Um00001Hpe5yIAB"/>
            <filter val="801Um00001HpeAnIAJ"/>
            <filter val="801Um00001HPFHlIAP"/>
            <filter val="801Um00001HphILIAZ"/>
            <filter val="801Um00001HpIS3IAN"/>
            <filter val="801Um00001HpR8kIAF"/>
            <filter val="801Um00001HpW5DIAV"/>
            <filter val="801Um00001HpWd5IAF"/>
            <filter val="801Um00001HpZkbIAF"/>
            <filter val="801Um00001Hq21qIAB"/>
            <filter val="801Um00001Hqd53IAB"/>
            <filter val="801Um00001HqDWkIAN"/>
            <filter val="801Um00001HqgvLIAR"/>
            <filter val="801Um00001HqSIrIAN"/>
            <filter val="801Um00001HqubhIAB"/>
            <filter val="801Um00001HrDpiIAF"/>
            <filter val="801Um00001HRkNpIAL"/>
            <filter val="801Um00001HRpx7IAD"/>
            <filter val="801Um00001HrZ5PIAV"/>
            <filter val="801Um00001HRzwNIAT"/>
            <filter val="801Um00001HS0pDIAT"/>
            <filter val="801Um00001HS4nxIAD"/>
            <filter val="801Um00001HS4PmIAL"/>
            <filter val="801Um00001HS4soIAD"/>
            <filter val="801Um00001HS6EfIAL"/>
            <filter val="801Um00001HS7InIAL"/>
            <filter val="801Um00001HS8zeIAD"/>
            <filter val="801Um00001HSC8qIAH"/>
            <filter val="801Um00001HSG17IAH"/>
            <filter val="801Um00001HSjBDIA1"/>
            <filter val="801Um00001HSJmzIAH"/>
            <filter val="801Um00001HSMo9IAH"/>
            <filter val="801Um00001HSpWjIAL"/>
            <filter val="801Um00001HSpYLIA1"/>
            <filter val="801Um00001HSQ5KIAX"/>
            <filter val="801Um00001HSsOAIA1"/>
            <filter val="801Um00001HSTXsIAP"/>
            <filter val="801Um00001HSuUoIAL"/>
            <filter val="801Um00001HSyyDIAT"/>
            <filter val="801Um00001HSzxXIAT"/>
            <filter val="801Um00001HT31pIAD"/>
            <filter val="801Um00001HT8HfIAL"/>
            <filter val="801Um00001HtpIwIAJ"/>
            <filter val="801Um00001HTR2XIAX"/>
            <filter val="801Um00001HuaeTIAR"/>
            <filter val="801Um00001HuBxmIAF"/>
            <filter val="801Um00001HUC33IAH"/>
            <filter val="801Um00001HUFddIAH"/>
            <filter val="801Um00001HUFnKIAX"/>
            <filter val="801Um00001HuggeIAB"/>
            <filter val="801Um00001HUhEvIAL"/>
            <filter val="801Um00001HuhG7IAJ"/>
            <filter val="801Um00001HUI8TIAX"/>
            <filter val="801Um00001HujJYIAZ"/>
            <filter val="801Um00001HUNo8IAH"/>
            <filter val="801Um00001HUvjKIAT"/>
            <filter val="801Um00001HUzIOIA1"/>
            <filter val="801Um00001HV0hPIAT"/>
            <filter val="801Um00001HVCCKIA5"/>
            <filter val="801Um00001HvDsfIAF"/>
            <filter val="801Um00001HVE1CIAX"/>
            <filter val="801Um00001HVeyAIAT"/>
            <filter val="801Um00001HVFtJIAX"/>
            <filter val="801Um00001HVImLIAX"/>
            <filter val="801Um00001HVIPlIAP"/>
            <filter val="801Um00001HVO8dIAH"/>
            <filter val="801Um00001HVqkoIAD"/>
            <filter val="801Um00001HvVeIIAV"/>
            <filter val="801Um00001HVY9bIAH"/>
            <filter val="801Um00001HW0sDIAT"/>
            <filter val="801Um00001HW1EoIAL"/>
            <filter val="801Um00001HWAA3IAP"/>
            <filter val="801Um00001HWlEQIA1"/>
            <filter val="801Um00001HWlpXIAT"/>
            <filter val="801Um00001HWrbcIAD"/>
            <filter val="801Um00001HWTUPIA5"/>
            <filter val="801Um00001Hx9g6IAB"/>
            <filter val="801Um00001HxHtmIAF"/>
            <filter val="801Um00001HxIxuIAF"/>
            <filter val="801Um00001HxIxwIAF"/>
            <filter val="801Um00001HxmRLIAZ"/>
            <filter val="801Um00001HxO0oIAF"/>
            <filter val="801Um00001HxYoAIAV"/>
            <filter val="801Um00001Hy1qBIAR"/>
            <filter val="801Um00001HYcN7IAL"/>
            <filter val="801Um00001HYcOqIAL"/>
            <filter val="801Um00001HYeARIA1"/>
            <filter val="801Um00001HYiNiIAL"/>
            <filter val="801Um00001HYlWsIAL"/>
            <filter val="801Um00001HYmG3IAL"/>
            <filter val="801Um00001HYnNPIA1"/>
            <filter val="801Um00001HYnqRIAT"/>
            <filter val="801Um00001HYnSJIA1"/>
            <filter val="801Um00001HYobEIAT"/>
            <filter val="801Um00001HYqumIAD"/>
            <filter val="801Um00001HZ3omIAD"/>
            <filter val="801Um00001HZ3QaIAL"/>
            <filter val="801Um00001HZ97nIAD"/>
            <filter val="801Um00001HZ9pKIAT"/>
            <filter val="801Um00001HZAzvIAH"/>
            <filter val="801Um00001HZCdaIAH"/>
            <filter val="801Um00001HZCK9IAP"/>
            <filter val="801Um00001HZDheIAH"/>
            <filter val="801Um00001HZIz4IAH"/>
            <filter val="801Um00001HZJtVIAX"/>
            <filter val="801Um00001HZKb3IAH"/>
            <filter val="801Um00001HZKuQIAX"/>
            <filter val="801Um00001HZmaYIAT"/>
            <filter val="801Um00001HZNfSIAX"/>
            <filter val="801Um00001HZNx7IAH"/>
            <filter val="801Um00001HZx1LIAT"/>
            <filter val="801Um00001I0VsAIAV"/>
            <filter val="801Um00001I3jddIAB"/>
            <filter val="801Um00001Ia4lOIAR"/>
            <filter val="801Um00001IA6pHIAT"/>
            <filter val="801Um00001IAb3RIAT"/>
            <filter val="801Um00001IAeB0IAL"/>
            <filter val="801Um00001IAftTIAT"/>
            <filter val="801Um00001IAgazIAD"/>
            <filter val="801Um00001IAGGlIAP"/>
            <filter val="801Um00001IAgzCIAT"/>
            <filter val="801Um00001IAhnBIAT"/>
            <filter val="801Um00001IATM3IAP"/>
            <filter val="801Um00001IAy3SIAT"/>
            <filter val="801Um00001IB1GHIA1"/>
            <filter val="801Um00001Ib4ctIAB"/>
            <filter val="801Um00001IB7S5IAL"/>
            <filter val="801Um00001IBc8mIAD"/>
            <filter val="801Um00001IBFDoIAP"/>
            <filter val="801Um00001IbgJxIAJ"/>
            <filter val="801Um00001IBixMIAT"/>
            <filter val="801Um00001Ibom9IAB"/>
            <filter val="801Um00001IbRpZIAV"/>
            <filter val="801Um00001Ibs8EIAR"/>
            <filter val="801Um00001IBuOzIAL"/>
            <filter val="801Um00001IBVqRIAX"/>
            <filter val="801Um00001IbW7hIAF"/>
            <filter val="801Um00001Ic321IAB"/>
            <filter val="801Um00001ICJnEIAX"/>
            <filter val="801Um00001ICJTuIAP"/>
            <filter val="801Um00001IcsapIAB"/>
            <filter val="801Um00001ICSleIAH"/>
            <filter val="801Um00001ICUQrIAP"/>
            <filter val="801Um00001ICVTPIA5"/>
            <filter val="801Um00001ICVwRIAX"/>
            <filter val="801Um00001ICYuIIAX"/>
            <filter val="801Um00001ID3BnIAL"/>
            <filter val="801Um00001Id76nIAB"/>
            <filter val="801Um00001Id8IzIAJ"/>
            <filter val="801Um00001IDHL9IAP"/>
            <filter val="801Um00001IDKviIAH"/>
            <filter val="801Um00001IdmmkIAB"/>
            <filter val="801Um00001IdvbTIAR"/>
            <filter val="801Um00001Idvd4IAB"/>
            <filter val="801Um00001IDW0vIAH"/>
            <filter val="801Um00001IDyTMIA1"/>
            <filter val="801Um00001IE2gdIAD"/>
            <filter val="801Um00001Ie7j6IAB"/>
            <filter val="801Um00001IE7WmIAL"/>
            <filter val="801Um00001Ie87HIAR"/>
            <filter val="801Um00001Ie9EoIAJ"/>
            <filter val="801Um00001IEa5cIAD"/>
            <filter val="801Um00001IecrhIAB"/>
            <filter val="801Um00001IEgnlIAD"/>
            <filter val="801Um00001IEIGpIAP"/>
            <filter val="801Um00001IeIrPIAV"/>
            <filter val="801Um00001IeJ7XIAV"/>
            <filter val="801Um00001IeJIpIAN"/>
            <filter val="801Um00001IeL1HIAV"/>
            <filter val="801Um00001IeLakIAF"/>
            <filter val="801Um00001IeLdxIAF"/>
            <filter val="801Um00001IeNEMIA3"/>
            <filter val="801Um00001IeNHaIAN"/>
            <filter val="801Um00001IeOGsIAN"/>
            <filter val="801Um00001IePw5IAF"/>
            <filter val="801Um00001IEs7JIAT"/>
            <filter val="801Um00001IewIfIAJ"/>
            <filter val="801Um00001IF1YoIAL"/>
            <filter val="801Um00001IfGadIAF"/>
            <filter val="801Um00001IFgosIAD"/>
            <filter val="801Um00001IFGRNIA5"/>
            <filter val="801Um00001IfgTTIAZ"/>
            <filter val="801Um00001IFSFeIAP"/>
            <filter val="801Um00001IfXzdIAF"/>
            <filter val="801Um00001IFY3KIAX"/>
            <filter val="801Um00001IGH6rIAH"/>
            <filter val="801Um00001IGUVXIA5"/>
            <filter val="801Um00001IgY0oIAF"/>
            <filter val="801Um00001II9lBIAT"/>
            <filter val="801Um00001IIn2bIAD"/>
            <filter val="801Um00001IIojRIAT"/>
            <filter val="801Um00001IIyVvIAL"/>
            <filter val="801Um00001IJ9ESIA1"/>
            <filter val="801Um00001Ijam2IAB"/>
            <filter val="801Um00001IJEKaIAP"/>
            <filter val="801Um00001IJyyTIAT"/>
            <filter val="801Um00001ILlFbIAL"/>
            <filter val="801Um00001ILmjXIAT"/>
            <filter val="801Um00001ILnsVIAT"/>
            <filter val="801Um00001ILt3TIAT"/>
            <filter val="801Um00001ILu9EIAT"/>
            <filter val="801Um00001ILuxDIAT"/>
            <filter val="801Um00001ILxryIAD"/>
            <filter val="801Um00001ILzDiIAL"/>
            <filter val="801Um00001IM1kBIAT"/>
            <filter val="801Um00001IM2czIAD"/>
            <filter val="801Um00001IM2oIIAT"/>
            <filter val="801Um00001IM3lyIAD"/>
            <filter val="801Um00001IM59SIAT"/>
            <filter val="801Um00001IM6gbIAD"/>
            <filter val="801Um00001IM8tlIAD"/>
            <filter val="801Um00001IM9JYIA1"/>
            <filter val="801Um00001IMa0MIAT"/>
            <filter val="801Um00001IMAFZIA5"/>
            <filter val="801Um00001IMDBsIAP"/>
            <filter val="801Um00001IMedWIAT"/>
            <filter val="801Um00001IMgYpIAL"/>
            <filter val="801Um00001ImIB6IAN"/>
            <filter val="801Um00001ImIO0IAN"/>
            <filter val="801Um00001IMkPVIA1"/>
            <filter val="801Um00001IMmmHIAT"/>
            <filter val="801Um00001IMnX4IAL"/>
            <filter val="801Um00001IMrytIAD"/>
            <filter val="801Um00001IMSVsIAP"/>
            <filter val="801Um00001IMuQTIA1"/>
            <filter val="801Um00001In83FIAR"/>
            <filter val="801Um00001In9vOIAR"/>
            <filter val="801Um00001INAYxIAP"/>
            <filter val="801Um00001INbSDIA1"/>
            <filter val="801Um00001INBwKIAX"/>
            <filter val="801Um00001InCwQIAV"/>
            <filter val="801Um00001INOBhIAP"/>
            <filter val="801Um00001INS2MIAX"/>
            <filter val="801Um00001INSvBIAX"/>
            <filter val="801Um00001IO2aUIAT"/>
            <filter val="801Um00001IODNqIAP"/>
            <filter val="801Um00001IPVSLIA5"/>
            <filter val="801Um00001IS3uXIAT"/>
            <filter val="801Um00001IT1lpIAD"/>
            <filter val="801Um00001ITc0dIAD"/>
            <filter val="801Um00001ITdeGIAT"/>
            <filter val="801Um00001ITFs6IAH"/>
            <filter val="801Um00001ITHNZIA5"/>
            <filter val="801Um00001ITqq0IAD"/>
            <filter val="801Um00001ITwiTIAT"/>
            <filter val="801Um00001IUoJ8IAL"/>
            <filter val="801Um00001IUswFIAT"/>
            <filter val="801Um00001IUVUvIAP"/>
            <filter val="801Um00001IUzsoIAD"/>
            <filter val="801Um00001IVE8fIAH"/>
            <filter val="801Um00001IVE8jIAH"/>
            <filter val="801Um00001IVEdJIAX"/>
            <filter val="801Um00001IVej4IAD"/>
            <filter val="801Um00001IVFW9IAP"/>
            <filter val="801Um00001IVgkrIAD"/>
            <filter val="801Um00001IVHZeIAP"/>
            <filter val="801Um00001IVJbOIAX"/>
            <filter val="801Um00001IVLOgIAP"/>
            <filter val="801Um00001IVMhJIAX"/>
            <filter val="801Um00001IW6PBIA1"/>
            <filter val="801Um00001IWiuJIAT"/>
            <filter val="801Um00001IWlfFIAT"/>
            <filter val="801Um00001IWvDCIA1"/>
            <filter val="801Um00001IWw1GIAT"/>
            <filter val="801Um00001IWWEsIAP"/>
            <filter val="801Um00001IX01dIAD"/>
            <filter val="801Um00001IX4gHIAT"/>
            <filter val="801Um00001IX88nIAD"/>
            <filter val="801Um00001IXaDAIA1"/>
            <filter val="801Um00001IXKGPIA5"/>
            <filter val="801Um00001IZCRhIAP"/>
            <filter val="801Um00001IzwfOIAR"/>
            <filter val="801Um00001J04JZIAZ"/>
            <filter val="801Um00001J05SVIAZ"/>
            <filter val="801Um00001J08bfIAB"/>
            <filter val="801Um00001J0b91IAB"/>
            <filter val="801Um00001J0bCFIAZ"/>
            <filter val="801Um00001J0bgsIAB"/>
            <filter val="801Um00001J0f7nIAB"/>
            <filter val="801Um00001J0HTeIAN"/>
            <filter val="801Um00001J0IHfIAN"/>
            <filter val="801Um00001J0rs6IAB"/>
            <filter val="801Um00001J17DkIAJ"/>
            <filter val="801Um00001J36IOIAZ"/>
            <filter val="801Um00001J39WUIAZ"/>
            <filter val="801Um00001J3CFnIAN"/>
            <filter val="801Um00001J3h51IAB"/>
            <filter val="801Um00001J3hZhIAJ"/>
            <filter val="801Um00001J3ih1IAB"/>
            <filter val="801Um00001J3ikGIAR"/>
            <filter val="801Um00001J3ilqIAB"/>
            <filter val="801Um00001J3l3qIAB"/>
            <filter val="801Um00001J3l71IAB"/>
            <filter val="801Um00001J3PcqIAF"/>
            <filter val="801Um00001J3pvPIAR"/>
            <filter val="801Um00001J3QvTIAV"/>
            <filter val="801Um00001J3rh5IAB"/>
            <filter val="801Um00001J3RxuIAF"/>
            <filter val="801Um00001J3t1LIAR"/>
            <filter val="801Um00001J3tZDIAZ"/>
            <filter val="801Um00001J3uDXIAZ"/>
            <filter val="801Um00001J3uqGIAR"/>
            <filter val="801Um00001J3v4sIAB"/>
            <filter val="801Um00001J3vskIAB"/>
            <filter val="801Um00001J3XVTIA3"/>
            <filter val="801Um00001J3zoHIAR"/>
            <filter val="801Um00001J4AtNIAV"/>
            <filter val="801Um00001J4bQXIAZ"/>
            <filter val="801Um00001J4D85IAF"/>
            <filter val="801Um00001J4DfzIAF"/>
            <filter val="801Um00001J4Do3IAF"/>
            <filter val="801Um00001J4eppIAB"/>
            <filter val="801Um00001J4F3SIAV"/>
            <filter val="801Um00001J4QYLIA3"/>
            <filter val="801Um00001J4XWcIAN"/>
            <filter val="801Um00001J4ZBrIAN"/>
            <filter val="801Um00001J5TArIAN"/>
            <filter val="801Um00001J65fyIAB"/>
            <filter val="801Um00001J6eSLIAZ"/>
            <filter val="801Um00001J6NOIIA3"/>
            <filter val="801Um00001J6S4eIAF"/>
            <filter val="801Um00001Ja7ApIAJ"/>
            <filter val="801Um00001JakP8IAJ"/>
            <filter val="801Um00001JaMQ3IAN"/>
            <filter val="801Um00001JbAWQIA3"/>
            <filter val="801Um00001JBfCZIA1"/>
            <filter val="801Um00001JBlwEIAT"/>
            <filter val="801Um00001JBtIfIAL"/>
            <filter val="801Um00001JBuY5IAL"/>
            <filter val="801Um00001JbzkpIAB"/>
            <filter val="801Um00001Jc0EsIAJ"/>
            <filter val="801Um00001Jc6KKIAZ"/>
            <filter val="801Um00001JCavZIAT"/>
            <filter val="801Um00001JClXQIA1"/>
            <filter val="801Um00001JCqlqIAD"/>
            <filter val="801Um00001JCWbpIAH"/>
            <filter val="801Um00001JCx5eIAD"/>
            <filter val="801Um00001JCYvJIAX"/>
            <filter val="801Um00001JCzGCIA1"/>
            <filter val="801Um00001JCZjJIAX"/>
            <filter val="801Um00001JDbkgIAD"/>
            <filter val="801Um00001JDBtSIAX"/>
            <filter val="801Um00001JEBY3IAP"/>
            <filter val="801Um00001JGvIPIA1"/>
            <filter val="801Um00001JHuVQIA1"/>
            <filter val="801Um00001JIgi5IAD"/>
            <filter val="801Um00001JIGu8IAH"/>
            <filter val="801Um00001JIOmnIAH"/>
            <filter val="801Um00001JIpv4IAD"/>
            <filter val="801Um00001JITEbIAP"/>
            <filter val="801Um00001JK8pDIAT"/>
            <filter val="801Um00001JKbUcIAL"/>
            <filter val="801Um00001JKDiRIAX"/>
            <filter val="801Um00001JKdOMIA1"/>
            <filter val="801Um00001JKEl0IAH"/>
            <filter val="801Um00001JKk3FIAT"/>
            <filter val="801Um00001JKkmPIAT"/>
            <filter val="801Um00001JKKooIAH"/>
            <filter val="801Um00001JKNbKIAX"/>
            <filter val="801Um00001JKuLxIAL"/>
            <filter val="801Um00001JKY27IAH"/>
            <filter val="801Um00001JKz7AIAT"/>
            <filter val="801Um00001JKZnpIAH"/>
            <filter val="801Um00001JMFeUIAX"/>
            <filter val="801Um00001JNhIaIAL"/>
            <filter val="801Um00001JRRbnIAH"/>
            <filter val="801Um00001JStffIAD"/>
            <filter val="801Um00001JT5aOIAT"/>
            <filter val="801Um00001JTm0LIAT"/>
            <filter val="801Um00001JTSBxIAP"/>
            <filter val="801Um00001JTSDaIAP"/>
            <filter val="801Um00001JTTO9IAP"/>
            <filter val="801Um00001JTtvKIAT"/>
            <filter val="801Um00001JTtX9IAL"/>
            <filter val="801Um00001JU7LbIAL"/>
            <filter val="801Um00001JUDu3IAH"/>
            <filter val="801Um00001JUEIEIA5"/>
            <filter val="801Um00001JUPvBIAX"/>
            <filter val="801Um00001JVn5pIAD"/>
            <filter val="801Um00001JXH6hIAH"/>
            <filter val="801Um00001JXQrZIAX"/>
            <filter val="last_non_null_orderid"/>
            <filter val="Miss"/>
          </filters>
        </filterColumn>
      </autoFilter>
    </customSheetView>
    <customSheetView guid="{F9EB9AC0-721E-4EB5-956F-EF2E2B4B8D91}" filter="1" showAutoFilter="1">
      <pageMargins left="0.7" right="0.7" top="0.75" bottom="0.75" header="0.3" footer="0.3"/>
      <autoFilter ref="A5:AO2720" xr:uid="{A3748D88-EE2B-4F33-BC8F-D23B2A929537}">
        <filterColumn colId="28">
          <filters blank="1">
            <filter val="Incorrect"/>
            <filter val="Miss"/>
            <filter val="Purch_curr_correct"/>
          </filters>
        </filterColumn>
      </autoFilter>
    </customSheetView>
    <customSheetView guid="{26FFE313-F40D-4244-BA20-286E45A9CDFE}" filter="1" showAutoFilter="1">
      <pageMargins left="0.7" right="0.7" top="0.75" bottom="0.75" header="0.3" footer="0.3"/>
      <autoFilter ref="A5:AO2720" xr:uid="{C2FF09FA-F54F-4F6C-881B-9C7ABFD55E34}">
        <filterColumn colId="34">
          <filters>
            <filter val="dif_del_bil_over_3_perc"/>
            <filter val="Miss in bil"/>
            <filter val="No"/>
            <filter val="Yes"/>
          </filters>
        </filterColumn>
      </autoFilter>
    </customSheetView>
    <customSheetView guid="{800109E5-0DB8-41FE-BBF9-131641B2C939}" filter="1" showAutoFilter="1">
      <pageMargins left="0.7" right="0.7" top="0.75" bottom="0.75" header="0.3" footer="0.3"/>
      <autoFilter ref="A5:AO2720" xr:uid="{D239BF02-E620-4DDA-98C5-DC69F43F80C5}"/>
    </customSheetView>
  </customSheetViews>
  <mergeCells count="6">
    <mergeCell ref="AO4:AP4"/>
    <mergeCell ref="O4:AB4"/>
    <mergeCell ref="AC4:AF4"/>
    <mergeCell ref="AG4:AH4"/>
    <mergeCell ref="AJ4:AL4"/>
    <mergeCell ref="AM4:AN4"/>
  </mergeCells>
  <conditionalFormatting sqref="A6:AP75">
    <cfRule type="cellIs" dxfId="10" priority="4" operator="equal">
      <formula>"Miss"</formula>
    </cfRule>
    <cfRule type="cellIs" dxfId="9" priority="5" operator="equal">
      <formula>"Incorrect"</formula>
    </cfRule>
  </conditionalFormatting>
  <conditionalFormatting sqref="G1:H75">
    <cfRule type="expression" dxfId="8" priority="6">
      <formula>COUNTIF(G:G,G1)&gt;1</formula>
    </cfRule>
  </conditionalFormatting>
  <conditionalFormatting sqref="AC3 AF3 AI3:AJ3 AM3">
    <cfRule type="cellIs" dxfId="7" priority="1" operator="equal">
      <formula>"Miss"</formula>
    </cfRule>
    <cfRule type="containsText" dxfId="6" priority="2" operator="containsText" text="Miss">
      <formula>NOT(ISERROR(SEARCH(("Miss"),(AC3))))</formula>
    </cfRule>
    <cfRule type="containsText" dxfId="5" priority="3" operator="containsText" text="Incorrect">
      <formula>NOT(ISERROR(SEARCH(("Incorrect"),(AC3))))</formula>
    </cfRule>
  </conditionalFormatting>
  <hyperlinks>
    <hyperlink ref="T8" r:id="rId1" xr:uid="{00000000-0004-0000-1100-00008A000000}"/>
    <hyperlink ref="V8" r:id="rId2" xr:uid="{00000000-0004-0000-1100-00008B000000}"/>
    <hyperlink ref="T9" r:id="rId3" xr:uid="{00000000-0004-0000-1100-00008C000000}"/>
    <hyperlink ref="V9" r:id="rId4" xr:uid="{00000000-0004-0000-1100-00008D000000}"/>
    <hyperlink ref="T10" r:id="rId5" xr:uid="{00000000-0004-0000-1100-00004F0C0000}"/>
    <hyperlink ref="V10" r:id="rId6" xr:uid="{00000000-0004-0000-1100-0000500C0000}"/>
    <hyperlink ref="T11" r:id="rId7" xr:uid="{00000000-0004-0000-1100-0000550C0000}"/>
    <hyperlink ref="V11" r:id="rId8" xr:uid="{00000000-0004-0000-1100-0000560C0000}"/>
    <hyperlink ref="T12" r:id="rId9" xr:uid="{00000000-0004-0000-1100-00005F0C0000}"/>
    <hyperlink ref="V12" r:id="rId10" xr:uid="{00000000-0004-0000-1100-0000600C0000}"/>
    <hyperlink ref="T13" r:id="rId11" xr:uid="{00000000-0004-0000-1100-0000610C0000}"/>
    <hyperlink ref="V13" r:id="rId12" xr:uid="{00000000-0004-0000-1100-0000620C0000}"/>
    <hyperlink ref="T14" r:id="rId13" xr:uid="{00000000-0004-0000-1100-0000650C0000}"/>
    <hyperlink ref="V14" r:id="rId14" xr:uid="{00000000-0004-0000-1100-0000660C0000}"/>
    <hyperlink ref="T15" r:id="rId15" xr:uid="{00000000-0004-0000-1100-0000670C0000}"/>
    <hyperlink ref="V15" r:id="rId16" xr:uid="{00000000-0004-0000-1100-0000680C0000}"/>
    <hyperlink ref="T16" r:id="rId17" xr:uid="{00000000-0004-0000-1100-0000710C0000}"/>
    <hyperlink ref="V16" r:id="rId18" xr:uid="{00000000-0004-0000-1100-0000720C0000}"/>
    <hyperlink ref="T17" r:id="rId19" xr:uid="{00000000-0004-0000-1100-0000790C0000}"/>
    <hyperlink ref="V17" r:id="rId20" xr:uid="{00000000-0004-0000-1100-00007A0C0000}"/>
    <hyperlink ref="T18" r:id="rId21" xr:uid="{00000000-0004-0000-1100-00007B0C0000}"/>
    <hyperlink ref="V18" r:id="rId22" xr:uid="{00000000-0004-0000-1100-00007C0C0000}"/>
    <hyperlink ref="T19" r:id="rId23" xr:uid="{00000000-0004-0000-1100-0000810C0000}"/>
    <hyperlink ref="V19" r:id="rId24" xr:uid="{00000000-0004-0000-1100-0000820C0000}"/>
    <hyperlink ref="T20" r:id="rId25" xr:uid="{00000000-0004-0000-1100-0000890C0000}"/>
    <hyperlink ref="V20" r:id="rId26" xr:uid="{00000000-0004-0000-1100-00008A0C0000}"/>
    <hyperlink ref="T21" r:id="rId27" xr:uid="{00000000-0004-0000-1100-00008B0C0000}"/>
    <hyperlink ref="V21" r:id="rId28" xr:uid="{00000000-0004-0000-1100-00008C0C0000}"/>
    <hyperlink ref="T22" r:id="rId29" xr:uid="{00000000-0004-0000-1100-0000930C0000}"/>
    <hyperlink ref="V22" r:id="rId30" xr:uid="{00000000-0004-0000-1100-0000940C0000}"/>
    <hyperlink ref="T23" r:id="rId31" xr:uid="{00000000-0004-0000-1100-00009F0C0000}"/>
    <hyperlink ref="V23" r:id="rId32" xr:uid="{00000000-0004-0000-1100-0000A00C0000}"/>
    <hyperlink ref="T24" r:id="rId33" xr:uid="{00000000-0004-0000-1100-0000A50C0000}"/>
    <hyperlink ref="V24" r:id="rId34" xr:uid="{00000000-0004-0000-1100-0000A60C0000}"/>
    <hyperlink ref="T25" r:id="rId35" xr:uid="{00000000-0004-0000-1100-0000A70C0000}"/>
    <hyperlink ref="V25" r:id="rId36" xr:uid="{00000000-0004-0000-1100-0000A80C0000}"/>
    <hyperlink ref="T26" r:id="rId37" xr:uid="{00000000-0004-0000-1100-0000A90C0000}"/>
    <hyperlink ref="V26" r:id="rId38" xr:uid="{00000000-0004-0000-1100-0000AA0C0000}"/>
    <hyperlink ref="T27" r:id="rId39" xr:uid="{00000000-0004-0000-1100-0000AB0C0000}"/>
    <hyperlink ref="V27" r:id="rId40" xr:uid="{00000000-0004-0000-1100-0000AC0C0000}"/>
    <hyperlink ref="T28" r:id="rId41" xr:uid="{00000000-0004-0000-1100-0000AD0C0000}"/>
    <hyperlink ref="V28" r:id="rId42" xr:uid="{00000000-0004-0000-1100-0000AE0C0000}"/>
    <hyperlink ref="T29" r:id="rId43" xr:uid="{00000000-0004-0000-1100-0000BB0C0000}"/>
    <hyperlink ref="V29" r:id="rId44" xr:uid="{00000000-0004-0000-1100-0000BC0C0000}"/>
    <hyperlink ref="T30" r:id="rId45" xr:uid="{00000000-0004-0000-1100-0000BD0C0000}"/>
    <hyperlink ref="V30" r:id="rId46" xr:uid="{00000000-0004-0000-1100-0000BE0C0000}"/>
    <hyperlink ref="T31" r:id="rId47" xr:uid="{00000000-0004-0000-1100-0000BF0C0000}"/>
    <hyperlink ref="V31" r:id="rId48" xr:uid="{00000000-0004-0000-1100-0000C00C0000}"/>
    <hyperlink ref="T32" r:id="rId49" xr:uid="{00000000-0004-0000-1100-0000C90C0000}"/>
    <hyperlink ref="V32" r:id="rId50" xr:uid="{00000000-0004-0000-1100-0000CA0C0000}"/>
    <hyperlink ref="T33" r:id="rId51" xr:uid="{00000000-0004-0000-1100-0000CB0C0000}"/>
    <hyperlink ref="V33" r:id="rId52" xr:uid="{00000000-0004-0000-1100-0000CC0C0000}"/>
    <hyperlink ref="T34" r:id="rId53" xr:uid="{00000000-0004-0000-1100-0000D10C0000}"/>
    <hyperlink ref="V34" r:id="rId54" xr:uid="{00000000-0004-0000-1100-0000D20C0000}"/>
    <hyperlink ref="T35" r:id="rId55" xr:uid="{00000000-0004-0000-1100-0000D30C0000}"/>
    <hyperlink ref="V35" r:id="rId56" xr:uid="{00000000-0004-0000-1100-0000D40C0000}"/>
    <hyperlink ref="T36" r:id="rId57" xr:uid="{00000000-0004-0000-1100-0000DF0C0000}"/>
    <hyperlink ref="V36" r:id="rId58" xr:uid="{00000000-0004-0000-1100-0000E00C0000}"/>
    <hyperlink ref="T37" r:id="rId59" xr:uid="{00000000-0004-0000-1100-0000E10C0000}"/>
    <hyperlink ref="V37" r:id="rId60" xr:uid="{00000000-0004-0000-1100-0000E20C0000}"/>
    <hyperlink ref="T38" r:id="rId61" xr:uid="{00000000-0004-0000-1100-0000E50C0000}"/>
    <hyperlink ref="V38" r:id="rId62" xr:uid="{00000000-0004-0000-1100-0000E60C0000}"/>
    <hyperlink ref="T39" r:id="rId63" xr:uid="{00000000-0004-0000-1100-0000E70C0000}"/>
    <hyperlink ref="V39" r:id="rId64" xr:uid="{00000000-0004-0000-1100-0000E80C0000}"/>
    <hyperlink ref="T40" r:id="rId65" xr:uid="{00000000-0004-0000-1100-0000F10C0000}"/>
    <hyperlink ref="V40" r:id="rId66" xr:uid="{00000000-0004-0000-1100-0000F20C0000}"/>
    <hyperlink ref="T41" r:id="rId67" xr:uid="{00000000-0004-0000-1100-0000F30C0000}"/>
    <hyperlink ref="V41" r:id="rId68" xr:uid="{00000000-0004-0000-1100-0000F40C0000}"/>
    <hyperlink ref="T42" r:id="rId69" xr:uid="{00000000-0004-0000-1100-0000FB0C0000}"/>
    <hyperlink ref="V42" r:id="rId70" xr:uid="{00000000-0004-0000-1100-0000FC0C0000}"/>
    <hyperlink ref="T43" r:id="rId71" xr:uid="{00000000-0004-0000-1100-0000FD0C0000}"/>
    <hyperlink ref="V43" r:id="rId72" xr:uid="{00000000-0004-0000-1100-0000FE0C0000}"/>
    <hyperlink ref="T44" r:id="rId73" xr:uid="{00000000-0004-0000-1100-0000FF0C0000}"/>
    <hyperlink ref="V44" r:id="rId74" xr:uid="{00000000-0004-0000-1100-0000000D0000}"/>
    <hyperlink ref="T45" r:id="rId75" xr:uid="{00000000-0004-0000-1100-0000070D0000}"/>
    <hyperlink ref="V45" r:id="rId76" xr:uid="{00000000-0004-0000-1100-0000080D0000}"/>
    <hyperlink ref="T46" r:id="rId77" xr:uid="{00000000-0004-0000-1100-0000090D0000}"/>
    <hyperlink ref="V46" r:id="rId78" xr:uid="{00000000-0004-0000-1100-00000A0D0000}"/>
    <hyperlink ref="T47" r:id="rId79" xr:uid="{00000000-0004-0000-1100-00000D0D0000}"/>
    <hyperlink ref="V47" r:id="rId80" xr:uid="{00000000-0004-0000-1100-00000E0D0000}"/>
    <hyperlink ref="T48" r:id="rId81" xr:uid="{00000000-0004-0000-1100-00000F0D0000}"/>
    <hyperlink ref="V48" r:id="rId82" xr:uid="{00000000-0004-0000-1100-0000100D0000}"/>
    <hyperlink ref="T49" r:id="rId83" xr:uid="{00000000-0004-0000-1100-0000110D0000}"/>
    <hyperlink ref="V49" r:id="rId84" xr:uid="{00000000-0004-0000-1100-0000120D0000}"/>
    <hyperlink ref="T50" r:id="rId85" xr:uid="{00000000-0004-0000-1100-0000130D0000}"/>
    <hyperlink ref="V50" r:id="rId86" xr:uid="{00000000-0004-0000-1100-0000140D0000}"/>
    <hyperlink ref="T51" r:id="rId87" xr:uid="{00000000-0004-0000-1100-0000170D0000}"/>
    <hyperlink ref="V51" r:id="rId88" xr:uid="{00000000-0004-0000-1100-0000180D0000}"/>
    <hyperlink ref="T52" r:id="rId89" xr:uid="{00000000-0004-0000-1100-0000190D0000}"/>
    <hyperlink ref="V52" r:id="rId90" xr:uid="{00000000-0004-0000-1100-00001A0D0000}"/>
    <hyperlink ref="T53" r:id="rId91" xr:uid="{00000000-0004-0000-1100-00001B0D0000}"/>
    <hyperlink ref="V53" r:id="rId92" xr:uid="{00000000-0004-0000-1100-00001C0D0000}"/>
    <hyperlink ref="T54" r:id="rId93" xr:uid="{00000000-0004-0000-1100-00001D0D0000}"/>
    <hyperlink ref="V54" r:id="rId94" xr:uid="{00000000-0004-0000-1100-00001E0D0000}"/>
    <hyperlink ref="T55" r:id="rId95" xr:uid="{00000000-0004-0000-1100-0000230D0000}"/>
    <hyperlink ref="V55" r:id="rId96" xr:uid="{00000000-0004-0000-1100-0000240D0000}"/>
    <hyperlink ref="T56" r:id="rId97" xr:uid="{00000000-0004-0000-1100-0000250D0000}"/>
    <hyperlink ref="V56" r:id="rId98" xr:uid="{00000000-0004-0000-1100-0000260D0000}"/>
    <hyperlink ref="T57" r:id="rId99" xr:uid="{00000000-0004-0000-1100-0000270D0000}"/>
    <hyperlink ref="V57" r:id="rId100" xr:uid="{00000000-0004-0000-1100-0000280D0000}"/>
    <hyperlink ref="T58" r:id="rId101" xr:uid="{00000000-0004-0000-1100-00002B0D0000}"/>
    <hyperlink ref="V58" r:id="rId102" xr:uid="{00000000-0004-0000-1100-00002C0D0000}"/>
    <hyperlink ref="T59" r:id="rId103" xr:uid="{00000000-0004-0000-1100-0000330D0000}"/>
    <hyperlink ref="V59" r:id="rId104" xr:uid="{00000000-0004-0000-1100-0000340D0000}"/>
    <hyperlink ref="T60" r:id="rId105" xr:uid="{00000000-0004-0000-1100-00003F0D0000}"/>
    <hyperlink ref="V60" r:id="rId106" xr:uid="{00000000-0004-0000-1100-0000400D0000}"/>
    <hyperlink ref="T61" r:id="rId107" xr:uid="{00000000-0004-0000-1100-0000450D0000}"/>
    <hyperlink ref="V61" r:id="rId108" xr:uid="{00000000-0004-0000-1100-0000460D0000}"/>
    <hyperlink ref="T62" r:id="rId109" xr:uid="{00000000-0004-0000-1100-00004B0D0000}"/>
    <hyperlink ref="V62" r:id="rId110" xr:uid="{00000000-0004-0000-1100-00004C0D0000}"/>
    <hyperlink ref="T63" r:id="rId111" xr:uid="{00000000-0004-0000-1100-0000510D0000}"/>
    <hyperlink ref="V63" r:id="rId112" xr:uid="{00000000-0004-0000-1100-0000520D0000}"/>
    <hyperlink ref="T64" r:id="rId113" xr:uid="{00000000-0004-0000-1100-00005F0D0000}"/>
    <hyperlink ref="V64" r:id="rId114" xr:uid="{00000000-0004-0000-1100-0000600D0000}"/>
    <hyperlink ref="T65" r:id="rId115" xr:uid="{00000000-0004-0000-1100-0000610D0000}"/>
    <hyperlink ref="V65" r:id="rId116" xr:uid="{00000000-0004-0000-1100-0000620D0000}"/>
    <hyperlink ref="T66" r:id="rId117" xr:uid="{00000000-0004-0000-1100-0000670D0000}"/>
    <hyperlink ref="V66" r:id="rId118" xr:uid="{00000000-0004-0000-1100-0000680D0000}"/>
    <hyperlink ref="T67" r:id="rId119" xr:uid="{00000000-0004-0000-1100-00006F0D0000}"/>
    <hyperlink ref="V67" r:id="rId120" xr:uid="{00000000-0004-0000-1100-0000700D0000}"/>
    <hyperlink ref="T68" r:id="rId121" xr:uid="{00000000-0004-0000-1100-0000710D0000}"/>
    <hyperlink ref="V68" r:id="rId122" xr:uid="{00000000-0004-0000-1100-0000720D0000}"/>
    <hyperlink ref="T69" r:id="rId123" xr:uid="{00000000-0004-0000-1100-0000730D0000}"/>
    <hyperlink ref="V69" r:id="rId124" xr:uid="{00000000-0004-0000-1100-0000740D0000}"/>
    <hyperlink ref="T70" r:id="rId125" xr:uid="{00000000-0004-0000-1100-0000810D0000}"/>
    <hyperlink ref="V70" r:id="rId126" xr:uid="{00000000-0004-0000-1100-0000820D0000}"/>
    <hyperlink ref="T71" r:id="rId127" xr:uid="{00000000-0004-0000-1100-0000890D0000}"/>
    <hyperlink ref="V71" r:id="rId128" xr:uid="{00000000-0004-0000-1100-00008A0D0000}"/>
    <hyperlink ref="T72" r:id="rId129" xr:uid="{00000000-0004-0000-1100-00008B0D0000}"/>
    <hyperlink ref="V72" r:id="rId130" xr:uid="{00000000-0004-0000-1100-00008C0D0000}"/>
    <hyperlink ref="T73" r:id="rId131" xr:uid="{00000000-0004-0000-1100-00008D0D0000}"/>
    <hyperlink ref="V73" r:id="rId132" xr:uid="{00000000-0004-0000-1100-00008E0D0000}"/>
    <hyperlink ref="T74" r:id="rId133" xr:uid="{00000000-0004-0000-1100-0000930D0000}"/>
    <hyperlink ref="V74" r:id="rId134" xr:uid="{00000000-0004-0000-1100-0000940D0000}"/>
    <hyperlink ref="T75" r:id="rId135" xr:uid="{00000000-0004-0000-1100-0000970D0000}"/>
    <hyperlink ref="V75" r:id="rId136" xr:uid="{00000000-0004-0000-1100-0000980D0000}"/>
  </hyperlinks>
  <pageMargins left="0.7" right="0.7" top="0.75" bottom="0.75" header="0.3" footer="0.3"/>
  <legacyDrawing r:id="rId137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8E7CC3"/>
    <outlinePr summaryBelow="0" summaryRight="0"/>
  </sheetPr>
  <dimension ref="A1:AJ89"/>
  <sheetViews>
    <sheetView workbookViewId="0">
      <pane xSplit="11" ySplit="7" topLeftCell="N8" activePane="bottomRight" state="frozen"/>
      <selection pane="topRight" activeCell="L1" sqref="L1"/>
      <selection pane="bottomLeft" activeCell="A8" sqref="A8"/>
      <selection pane="bottomRight" activeCell="A4" sqref="A4:K4"/>
    </sheetView>
  </sheetViews>
  <sheetFormatPr defaultColWidth="12.6328125" defaultRowHeight="15.75" customHeight="1" outlineLevelCol="1" x14ac:dyDescent="0.25"/>
  <cols>
    <col min="1" max="1" width="16.36328125" customWidth="1"/>
    <col min="2" max="2" width="30.90625" customWidth="1"/>
    <col min="3" max="3" width="14.6328125" customWidth="1"/>
    <col min="4" max="4" width="14.6328125" hidden="1" customWidth="1"/>
    <col min="5" max="5" width="14.36328125" customWidth="1"/>
    <col min="6" max="6" width="7" customWidth="1"/>
    <col min="7" max="7" width="11.90625" customWidth="1"/>
    <col min="8" max="8" width="11.81640625" customWidth="1"/>
    <col min="9" max="9" width="9.81640625" customWidth="1"/>
    <col min="10" max="10" width="8.453125" customWidth="1"/>
    <col min="11" max="11" width="15.1796875" customWidth="1"/>
    <col min="12" max="12" width="15.08984375" customWidth="1"/>
    <col min="13" max="13" width="15.08984375" hidden="1" customWidth="1"/>
    <col min="14" max="14" width="15.08984375" customWidth="1"/>
    <col min="15" max="15" width="9.90625" customWidth="1" outlineLevel="1"/>
    <col min="16" max="16" width="12.08984375" customWidth="1" outlineLevel="1"/>
    <col min="17" max="17" width="8.1796875" customWidth="1" outlineLevel="1"/>
    <col min="18" max="18" width="11.6328125" customWidth="1" outlineLevel="1"/>
    <col min="19" max="20" width="10.453125" customWidth="1" outlineLevel="1"/>
    <col min="21" max="21" width="15.08984375" customWidth="1"/>
    <col min="22" max="22" width="10.08984375" customWidth="1" outlineLevel="1"/>
    <col min="23" max="23" width="9.81640625" customWidth="1" outlineLevel="1"/>
    <col min="24" max="24" width="13.90625" customWidth="1" outlineLevel="1"/>
    <col min="25" max="26" width="11.1796875" customWidth="1" outlineLevel="1"/>
    <col min="27" max="27" width="10.453125" customWidth="1"/>
    <col min="28" max="28" width="9.81640625" customWidth="1" outlineLevel="1"/>
    <col min="29" max="29" width="10.90625" customWidth="1" outlineLevel="1"/>
    <col min="30" max="30" width="10.453125" customWidth="1" outlineLevel="1"/>
    <col min="31" max="31" width="12.6328125" customWidth="1"/>
    <col min="32" max="33" width="10.08984375" customWidth="1" outlineLevel="1"/>
    <col min="34" max="34" width="10.81640625" customWidth="1" outlineLevel="1"/>
    <col min="35" max="35" width="14.81640625" customWidth="1"/>
    <col min="36" max="36" width="16.1796875" customWidth="1" outlineLevel="1"/>
  </cols>
  <sheetData>
    <row r="1" spans="1:36" ht="13" x14ac:dyDescent="0.3">
      <c r="A1" s="321" t="s">
        <v>15</v>
      </c>
      <c r="B1" s="18" t="s">
        <v>1500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>
        <f>COLUMN(AI1)</f>
        <v>35</v>
      </c>
      <c r="AJ1" s="17">
        <v>46087.746527777781</v>
      </c>
    </row>
    <row r="2" spans="1:36" ht="23.25" customHeight="1" x14ac:dyDescent="0.25">
      <c r="A2" s="304"/>
      <c r="B2" s="16">
        <f>COUNTA(A6:A1173)</f>
        <v>84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22">
        <f>COUNTIF(S6:S1251,"=Miss")</f>
        <v>0</v>
      </c>
      <c r="T2" s="122">
        <f>SUM(T6:T1152)</f>
        <v>-37343854.120000005</v>
      </c>
      <c r="U2" s="2"/>
      <c r="V2" s="2"/>
      <c r="W2" s="2"/>
      <c r="X2" s="122">
        <f t="shared" ref="X2:Y2" si="0">COUNTIF(X6:X1251,"=Incorrect")</f>
        <v>82</v>
      </c>
      <c r="Y2" s="122">
        <f t="shared" si="0"/>
        <v>0</v>
      </c>
      <c r="Z2" s="122">
        <f>SUM(Z6:Z1152)</f>
        <v>-73121909.609999999</v>
      </c>
      <c r="AA2" s="2"/>
      <c r="AB2" s="2"/>
      <c r="AC2" s="122">
        <f>COUNTIF(AC6:AC1251,"=Incorrect")</f>
        <v>0</v>
      </c>
      <c r="AD2" s="122">
        <f>SUM(AD6:AD1152)</f>
        <v>3.9999999920837581E-2</v>
      </c>
      <c r="AE2" s="2"/>
      <c r="AF2" s="2"/>
      <c r="AG2" s="2"/>
      <c r="AH2" s="122">
        <f>SUM(AH6:AH1152)</f>
        <v>0</v>
      </c>
      <c r="AI2" s="2"/>
      <c r="AJ2" s="2"/>
    </row>
    <row r="3" spans="1:36" ht="12.5" x14ac:dyDescent="0.25">
      <c r="A3" s="5" t="s">
        <v>1828</v>
      </c>
      <c r="C3" s="2"/>
      <c r="D3" s="2"/>
      <c r="E3" s="2"/>
      <c r="F3" s="2"/>
      <c r="G3" s="11"/>
      <c r="H3" s="11"/>
      <c r="I3" s="11"/>
      <c r="J3" s="2"/>
      <c r="K3" s="11" t="s">
        <v>1829</v>
      </c>
      <c r="L3" s="2"/>
      <c r="M3" s="2"/>
      <c r="N3" s="2"/>
      <c r="O3" s="2"/>
      <c r="P3" s="2"/>
      <c r="Q3" s="2"/>
      <c r="R3" s="2"/>
      <c r="S3" s="173" t="s">
        <v>18</v>
      </c>
      <c r="T3" s="173" t="s">
        <v>19</v>
      </c>
      <c r="U3" s="206" t="s">
        <v>1830</v>
      </c>
      <c r="V3" s="206" t="s">
        <v>1830</v>
      </c>
      <c r="W3" s="2"/>
      <c r="X3" s="173" t="s">
        <v>20</v>
      </c>
      <c r="Y3" s="173" t="s">
        <v>571</v>
      </c>
      <c r="Z3" s="173" t="s">
        <v>22</v>
      </c>
      <c r="AA3" s="2"/>
      <c r="AB3" s="2"/>
      <c r="AC3" s="173" t="s">
        <v>23</v>
      </c>
      <c r="AD3" s="173" t="s">
        <v>24</v>
      </c>
      <c r="AE3" s="2"/>
      <c r="AF3" s="2"/>
      <c r="AG3" s="2"/>
      <c r="AH3" s="173" t="s">
        <v>1831</v>
      </c>
      <c r="AI3" s="2"/>
      <c r="AJ3" s="2"/>
    </row>
    <row r="4" spans="1:36" ht="13" x14ac:dyDescent="0.3">
      <c r="A4" s="322" t="s">
        <v>6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207"/>
      <c r="M4" s="207"/>
      <c r="N4" s="323" t="s">
        <v>2</v>
      </c>
      <c r="O4" s="304"/>
      <c r="P4" s="304"/>
      <c r="Q4" s="304"/>
      <c r="R4" s="304"/>
      <c r="S4" s="304"/>
      <c r="T4" s="304"/>
      <c r="U4" s="324" t="s">
        <v>3</v>
      </c>
      <c r="V4" s="304"/>
      <c r="W4" s="304"/>
      <c r="X4" s="304"/>
      <c r="Y4" s="304"/>
      <c r="Z4" s="304"/>
      <c r="AA4" s="325" t="s">
        <v>4</v>
      </c>
      <c r="AB4" s="304"/>
      <c r="AC4" s="304"/>
      <c r="AD4" s="304"/>
      <c r="AE4" s="320" t="s">
        <v>5</v>
      </c>
      <c r="AF4" s="304"/>
      <c r="AG4" s="304"/>
      <c r="AH4" s="304"/>
      <c r="AI4" s="303" t="s">
        <v>8</v>
      </c>
      <c r="AJ4" s="304"/>
    </row>
    <row r="5" spans="1:36" ht="39" x14ac:dyDescent="0.25">
      <c r="A5" s="208" t="s">
        <v>1832</v>
      </c>
      <c r="B5" s="208" t="s">
        <v>1505</v>
      </c>
      <c r="C5" s="209" t="s">
        <v>1833</v>
      </c>
      <c r="D5" s="209" t="s">
        <v>1834</v>
      </c>
      <c r="E5" s="210" t="s">
        <v>1835</v>
      </c>
      <c r="F5" s="210" t="s">
        <v>9</v>
      </c>
      <c r="G5" s="210" t="s">
        <v>1836</v>
      </c>
      <c r="H5" s="210" t="s">
        <v>1837</v>
      </c>
      <c r="I5" s="210" t="s">
        <v>1838</v>
      </c>
      <c r="J5" s="210" t="s">
        <v>1839</v>
      </c>
      <c r="K5" s="210" t="s">
        <v>1840</v>
      </c>
      <c r="L5" s="210" t="s">
        <v>1841</v>
      </c>
      <c r="M5" s="211" t="s">
        <v>1842</v>
      </c>
      <c r="N5" s="212" t="s">
        <v>35</v>
      </c>
      <c r="O5" s="212" t="s">
        <v>447</v>
      </c>
      <c r="P5" s="213" t="s">
        <v>52</v>
      </c>
      <c r="Q5" s="212" t="s">
        <v>44</v>
      </c>
      <c r="R5" s="25" t="s">
        <v>43</v>
      </c>
      <c r="S5" s="214" t="s">
        <v>1843</v>
      </c>
      <c r="T5" s="27" t="s">
        <v>1844</v>
      </c>
      <c r="U5" s="215" t="s">
        <v>46</v>
      </c>
      <c r="V5" s="216" t="s">
        <v>44</v>
      </c>
      <c r="W5" s="216" t="s">
        <v>14</v>
      </c>
      <c r="X5" s="214" t="s">
        <v>1845</v>
      </c>
      <c r="Y5" s="214" t="s">
        <v>1846</v>
      </c>
      <c r="Z5" s="214" t="s">
        <v>1847</v>
      </c>
      <c r="AA5" s="183" t="s">
        <v>44</v>
      </c>
      <c r="AB5" s="183" t="s">
        <v>14</v>
      </c>
      <c r="AC5" s="214" t="s">
        <v>1848</v>
      </c>
      <c r="AD5" s="214" t="s">
        <v>1849</v>
      </c>
      <c r="AE5" s="200" t="s">
        <v>44</v>
      </c>
      <c r="AF5" s="200" t="s">
        <v>14</v>
      </c>
      <c r="AG5" s="214" t="s">
        <v>1850</v>
      </c>
      <c r="AH5" s="214" t="s">
        <v>1851</v>
      </c>
      <c r="AI5" s="39" t="s">
        <v>66</v>
      </c>
      <c r="AJ5" s="39" t="s">
        <v>67</v>
      </c>
    </row>
    <row r="6" spans="1:36" ht="12.5" x14ac:dyDescent="0.25">
      <c r="A6" s="217" t="s">
        <v>1498</v>
      </c>
      <c r="B6" s="153" t="s">
        <v>1852</v>
      </c>
      <c r="C6" s="218" t="s">
        <v>1499</v>
      </c>
      <c r="D6" s="218" t="s">
        <v>1853</v>
      </c>
      <c r="E6" s="153" t="s">
        <v>1854</v>
      </c>
      <c r="F6" s="153" t="s">
        <v>10</v>
      </c>
      <c r="G6" s="153" t="s">
        <v>1855</v>
      </c>
      <c r="H6" s="153" t="s">
        <v>87</v>
      </c>
      <c r="I6" s="153" t="s">
        <v>1856</v>
      </c>
      <c r="J6" s="153" t="s">
        <v>1857</v>
      </c>
      <c r="K6" s="153" t="s">
        <v>1858</v>
      </c>
      <c r="L6" s="40" t="s">
        <v>1859</v>
      </c>
      <c r="M6" s="40" t="s">
        <v>1860</v>
      </c>
      <c r="N6" s="40" t="s">
        <v>678</v>
      </c>
      <c r="O6" s="40" t="s">
        <v>466</v>
      </c>
      <c r="P6" s="40" t="s">
        <v>75</v>
      </c>
      <c r="Q6" s="40" t="s">
        <v>681</v>
      </c>
      <c r="R6" s="219" t="s">
        <v>71</v>
      </c>
      <c r="S6" s="218" t="s">
        <v>1861</v>
      </c>
      <c r="T6" s="218" t="s">
        <v>1862</v>
      </c>
      <c r="U6" s="40" t="s">
        <v>683</v>
      </c>
      <c r="V6" s="40" t="s">
        <v>78</v>
      </c>
      <c r="W6" s="218" t="s">
        <v>79</v>
      </c>
      <c r="X6" s="40" t="s">
        <v>1863</v>
      </c>
      <c r="Y6" s="40" t="s">
        <v>1864</v>
      </c>
      <c r="Z6" s="218" t="s">
        <v>1865</v>
      </c>
      <c r="AA6" s="218" t="s">
        <v>684</v>
      </c>
      <c r="AB6" s="218" t="s">
        <v>82</v>
      </c>
      <c r="AC6" s="40" t="s">
        <v>1866</v>
      </c>
      <c r="AD6" s="218" t="s">
        <v>1867</v>
      </c>
      <c r="AE6" s="40" t="s">
        <v>85</v>
      </c>
      <c r="AF6" s="218" t="s">
        <v>86</v>
      </c>
      <c r="AG6" s="218" t="s">
        <v>1868</v>
      </c>
      <c r="AH6" s="218" t="s">
        <v>1869</v>
      </c>
      <c r="AI6" s="52"/>
      <c r="AJ6" s="52"/>
    </row>
    <row r="7" spans="1:36" ht="12.5" x14ac:dyDescent="0.25">
      <c r="A7" s="47" t="s">
        <v>1498</v>
      </c>
      <c r="B7" s="47" t="s">
        <v>1852</v>
      </c>
      <c r="C7" s="220" t="s">
        <v>1499</v>
      </c>
      <c r="D7" s="220" t="s">
        <v>1853</v>
      </c>
      <c r="E7" s="47" t="s">
        <v>1854</v>
      </c>
      <c r="F7" s="47" t="s">
        <v>10</v>
      </c>
      <c r="G7" s="48" t="s">
        <v>1855</v>
      </c>
      <c r="H7" s="48" t="s">
        <v>87</v>
      </c>
      <c r="I7" s="48" t="s">
        <v>1856</v>
      </c>
      <c r="J7" s="47" t="s">
        <v>1857</v>
      </c>
      <c r="K7" s="47" t="s">
        <v>1858</v>
      </c>
      <c r="L7" s="40" t="s">
        <v>1859</v>
      </c>
      <c r="M7" s="40" t="s">
        <v>1860</v>
      </c>
      <c r="N7" s="40" t="s">
        <v>678</v>
      </c>
      <c r="O7" s="40" t="s">
        <v>466</v>
      </c>
      <c r="P7" s="40" t="s">
        <v>75</v>
      </c>
      <c r="Q7" s="52" t="s">
        <v>681</v>
      </c>
      <c r="R7" s="58" t="s">
        <v>71</v>
      </c>
      <c r="S7" s="58" t="s">
        <v>1861</v>
      </c>
      <c r="T7" s="58" t="s">
        <v>1862</v>
      </c>
      <c r="U7" s="52" t="s">
        <v>683</v>
      </c>
      <c r="V7" s="52" t="s">
        <v>78</v>
      </c>
      <c r="W7" s="58" t="s">
        <v>79</v>
      </c>
      <c r="X7" s="52" t="s">
        <v>1863</v>
      </c>
      <c r="Y7" s="52" t="s">
        <v>1864</v>
      </c>
      <c r="Z7" s="58" t="s">
        <v>1865</v>
      </c>
      <c r="AA7" s="58" t="s">
        <v>684</v>
      </c>
      <c r="AB7" s="58" t="s">
        <v>92</v>
      </c>
      <c r="AC7" s="52" t="s">
        <v>1866</v>
      </c>
      <c r="AD7" s="58" t="s">
        <v>1867</v>
      </c>
      <c r="AE7" s="3" t="s">
        <v>85</v>
      </c>
      <c r="AF7" s="58" t="s">
        <v>86</v>
      </c>
      <c r="AG7" s="58" t="s">
        <v>1868</v>
      </c>
      <c r="AH7" s="58" t="s">
        <v>1869</v>
      </c>
      <c r="AI7" s="52"/>
      <c r="AJ7" s="52"/>
    </row>
    <row r="8" spans="1:36" ht="12.5" x14ac:dyDescent="0.25">
      <c r="A8" s="47" t="s">
        <v>243</v>
      </c>
      <c r="B8" s="47" t="s">
        <v>1870</v>
      </c>
      <c r="C8" s="220">
        <v>10573620</v>
      </c>
      <c r="D8" s="220"/>
      <c r="E8" s="221">
        <v>46054</v>
      </c>
      <c r="F8" s="48" t="s">
        <v>111</v>
      </c>
      <c r="G8" s="48">
        <v>2848867.95</v>
      </c>
      <c r="H8" s="48">
        <v>2848867.95</v>
      </c>
      <c r="I8" s="48"/>
      <c r="J8" s="222">
        <v>46054</v>
      </c>
      <c r="K8" s="47" t="s">
        <v>1562</v>
      </c>
      <c r="L8" s="52"/>
      <c r="M8" s="52"/>
      <c r="N8" s="40" t="s">
        <v>107</v>
      </c>
      <c r="O8" s="40" t="s">
        <v>107</v>
      </c>
      <c r="P8" s="52">
        <v>1</v>
      </c>
      <c r="Q8" s="52" t="s">
        <v>111</v>
      </c>
      <c r="R8" s="58">
        <v>3676110.69</v>
      </c>
      <c r="S8" s="58" t="s">
        <v>99</v>
      </c>
      <c r="T8" s="58">
        <v>-827242.73999999976</v>
      </c>
      <c r="U8" s="52" t="s">
        <v>105</v>
      </c>
      <c r="V8" s="52" t="s">
        <v>111</v>
      </c>
      <c r="W8" s="58">
        <v>4712962.41</v>
      </c>
      <c r="X8" s="52" t="s">
        <v>17</v>
      </c>
      <c r="Y8" s="52" t="s">
        <v>99</v>
      </c>
      <c r="Z8" s="58">
        <v>-1864094.46</v>
      </c>
      <c r="AA8" s="58" t="s">
        <v>111</v>
      </c>
      <c r="AB8" s="58">
        <v>2848867.96</v>
      </c>
      <c r="AC8" s="52" t="s">
        <v>99</v>
      </c>
      <c r="AD8" s="58">
        <v>-9.9999997764825821E-3</v>
      </c>
      <c r="AE8" s="52"/>
      <c r="AF8" s="58"/>
      <c r="AG8" s="58" t="s">
        <v>16</v>
      </c>
      <c r="AH8" s="58"/>
      <c r="AI8" s="48"/>
      <c r="AJ8" s="52"/>
    </row>
    <row r="9" spans="1:36" ht="12.5" x14ac:dyDescent="0.25">
      <c r="A9" s="47" t="s">
        <v>332</v>
      </c>
      <c r="B9" s="47" t="s">
        <v>1871</v>
      </c>
      <c r="C9" s="220">
        <v>10573705</v>
      </c>
      <c r="D9" s="220"/>
      <c r="E9" s="221">
        <v>46054</v>
      </c>
      <c r="F9" s="47" t="s">
        <v>111</v>
      </c>
      <c r="G9" s="48">
        <v>5807522</v>
      </c>
      <c r="H9" s="48">
        <v>5807522</v>
      </c>
      <c r="I9" s="48"/>
      <c r="J9" s="222">
        <v>46054</v>
      </c>
      <c r="K9" s="47" t="s">
        <v>1562</v>
      </c>
      <c r="L9" s="52"/>
      <c r="M9" s="52"/>
      <c r="N9" s="40" t="s">
        <v>107</v>
      </c>
      <c r="O9" s="40" t="s">
        <v>107</v>
      </c>
      <c r="P9" s="52">
        <v>1</v>
      </c>
      <c r="Q9" s="52" t="s">
        <v>111</v>
      </c>
      <c r="R9" s="58">
        <v>5807522</v>
      </c>
      <c r="S9" s="58" t="s">
        <v>99</v>
      </c>
      <c r="T9" s="58">
        <v>0</v>
      </c>
      <c r="U9" s="52" t="s">
        <v>105</v>
      </c>
      <c r="V9" s="52" t="s">
        <v>111</v>
      </c>
      <c r="W9" s="58">
        <v>7445541.0300000003</v>
      </c>
      <c r="X9" s="52" t="s">
        <v>17</v>
      </c>
      <c r="Y9" s="52" t="s">
        <v>99</v>
      </c>
      <c r="Z9" s="58">
        <v>-1638019.0300000003</v>
      </c>
      <c r="AA9" s="58" t="s">
        <v>111</v>
      </c>
      <c r="AB9" s="58">
        <v>5807522</v>
      </c>
      <c r="AC9" s="52" t="s">
        <v>99</v>
      </c>
      <c r="AD9" s="58">
        <v>0</v>
      </c>
      <c r="AE9" s="52"/>
      <c r="AF9" s="58"/>
      <c r="AG9" s="58" t="s">
        <v>16</v>
      </c>
      <c r="AH9" s="58"/>
      <c r="AI9" s="48"/>
      <c r="AJ9" s="52"/>
    </row>
    <row r="10" spans="1:36" ht="12.5" x14ac:dyDescent="0.25">
      <c r="A10" s="47" t="s">
        <v>311</v>
      </c>
      <c r="B10" s="47" t="s">
        <v>1872</v>
      </c>
      <c r="C10" s="220">
        <v>10573621</v>
      </c>
      <c r="D10" s="220"/>
      <c r="E10" s="223">
        <v>46054</v>
      </c>
      <c r="F10" s="47" t="s">
        <v>111</v>
      </c>
      <c r="G10" s="48">
        <v>7474721.7800000003</v>
      </c>
      <c r="H10" s="48">
        <v>7474721.7800000003</v>
      </c>
      <c r="I10" s="48"/>
      <c r="J10" s="222">
        <v>46054</v>
      </c>
      <c r="K10" s="47" t="s">
        <v>1562</v>
      </c>
      <c r="L10" s="52"/>
      <c r="M10" s="52"/>
      <c r="N10" s="40" t="s">
        <v>107</v>
      </c>
      <c r="O10" s="40" t="s">
        <v>107</v>
      </c>
      <c r="P10" s="52">
        <v>1</v>
      </c>
      <c r="Q10" s="52" t="s">
        <v>111</v>
      </c>
      <c r="R10" s="58">
        <v>9645201.1899999995</v>
      </c>
      <c r="S10" s="58" t="s">
        <v>99</v>
      </c>
      <c r="T10" s="58">
        <v>-2170479.4099999992</v>
      </c>
      <c r="U10" s="52" t="s">
        <v>105</v>
      </c>
      <c r="V10" s="52" t="s">
        <v>111</v>
      </c>
      <c r="W10" s="58">
        <v>12365642.550000001</v>
      </c>
      <c r="X10" s="52" t="s">
        <v>17</v>
      </c>
      <c r="Y10" s="52" t="s">
        <v>99</v>
      </c>
      <c r="Z10" s="58">
        <v>-4890920.7700000005</v>
      </c>
      <c r="AA10" s="58" t="s">
        <v>111</v>
      </c>
      <c r="AB10" s="58">
        <v>7474721.7800000003</v>
      </c>
      <c r="AC10" s="52" t="s">
        <v>99</v>
      </c>
      <c r="AD10" s="58">
        <v>0</v>
      </c>
      <c r="AE10" s="52"/>
      <c r="AF10" s="58"/>
      <c r="AG10" s="58" t="s">
        <v>16</v>
      </c>
      <c r="AH10" s="58"/>
      <c r="AI10" s="48"/>
      <c r="AJ10" s="52"/>
    </row>
    <row r="11" spans="1:36" ht="12.5" x14ac:dyDescent="0.25">
      <c r="A11" s="47" t="s">
        <v>390</v>
      </c>
      <c r="B11" s="47" t="s">
        <v>1873</v>
      </c>
      <c r="C11" s="220">
        <v>10573697</v>
      </c>
      <c r="D11" s="220"/>
      <c r="E11" s="223">
        <v>46054</v>
      </c>
      <c r="F11" s="48" t="s">
        <v>111</v>
      </c>
      <c r="G11" s="48">
        <v>267.73</v>
      </c>
      <c r="H11" s="48">
        <v>267.73</v>
      </c>
      <c r="I11" s="48"/>
      <c r="J11" s="222">
        <v>46054</v>
      </c>
      <c r="K11" s="47" t="s">
        <v>1562</v>
      </c>
      <c r="L11" s="52"/>
      <c r="M11" s="52"/>
      <c r="N11" s="40" t="s">
        <v>107</v>
      </c>
      <c r="O11" s="40" t="s">
        <v>107</v>
      </c>
      <c r="P11" s="52">
        <v>1</v>
      </c>
      <c r="Q11" s="52" t="s">
        <v>111</v>
      </c>
      <c r="R11" s="58">
        <v>267.74</v>
      </c>
      <c r="S11" s="58" t="s">
        <v>99</v>
      </c>
      <c r="T11" s="58">
        <v>-9.9999999999909051E-3</v>
      </c>
      <c r="U11" s="52" t="s">
        <v>105</v>
      </c>
      <c r="V11" s="52" t="s">
        <v>111</v>
      </c>
      <c r="W11" s="58">
        <v>343.25</v>
      </c>
      <c r="X11" s="52" t="s">
        <v>17</v>
      </c>
      <c r="Y11" s="52" t="s">
        <v>99</v>
      </c>
      <c r="Z11" s="58">
        <v>-75.519999999999982</v>
      </c>
      <c r="AA11" s="58" t="s">
        <v>111</v>
      </c>
      <c r="AB11" s="58">
        <v>267.73</v>
      </c>
      <c r="AC11" s="52" t="s">
        <v>99</v>
      </c>
      <c r="AD11" s="58">
        <v>0</v>
      </c>
      <c r="AE11" s="52"/>
      <c r="AF11" s="58"/>
      <c r="AG11" s="58" t="s">
        <v>16</v>
      </c>
      <c r="AH11" s="58"/>
      <c r="AI11" s="48"/>
      <c r="AJ11" s="52"/>
    </row>
    <row r="12" spans="1:36" ht="12.5" x14ac:dyDescent="0.25">
      <c r="A12" s="47" t="s">
        <v>397</v>
      </c>
      <c r="B12" s="47" t="s">
        <v>1874</v>
      </c>
      <c r="C12" s="220">
        <v>10573698</v>
      </c>
      <c r="D12" s="220"/>
      <c r="E12" s="223">
        <v>46054</v>
      </c>
      <c r="F12" s="47" t="s">
        <v>111</v>
      </c>
      <c r="G12" s="48">
        <v>830855.91</v>
      </c>
      <c r="H12" s="48">
        <v>830855.91</v>
      </c>
      <c r="I12" s="48"/>
      <c r="J12" s="222">
        <v>46054</v>
      </c>
      <c r="K12" s="47" t="s">
        <v>1562</v>
      </c>
      <c r="L12" s="52"/>
      <c r="M12" s="52"/>
      <c r="N12" s="40" t="s">
        <v>107</v>
      </c>
      <c r="O12" s="40" t="s">
        <v>107</v>
      </c>
      <c r="P12" s="52">
        <v>1</v>
      </c>
      <c r="Q12" s="52" t="s">
        <v>111</v>
      </c>
      <c r="R12" s="58">
        <v>830855.91</v>
      </c>
      <c r="S12" s="58" t="s">
        <v>99</v>
      </c>
      <c r="T12" s="58">
        <v>0</v>
      </c>
      <c r="U12" s="52" t="s">
        <v>105</v>
      </c>
      <c r="V12" s="52" t="s">
        <v>111</v>
      </c>
      <c r="W12" s="58">
        <v>1065199.8799999999</v>
      </c>
      <c r="X12" s="52" t="s">
        <v>17</v>
      </c>
      <c r="Y12" s="52" t="s">
        <v>99</v>
      </c>
      <c r="Z12" s="58">
        <v>-234343.96999999986</v>
      </c>
      <c r="AA12" s="58" t="s">
        <v>111</v>
      </c>
      <c r="AB12" s="58">
        <v>830855.91</v>
      </c>
      <c r="AC12" s="52" t="s">
        <v>99</v>
      </c>
      <c r="AD12" s="58">
        <v>0</v>
      </c>
      <c r="AE12" s="52"/>
      <c r="AF12" s="58"/>
      <c r="AG12" s="58" t="s">
        <v>16</v>
      </c>
      <c r="AH12" s="58"/>
      <c r="AI12" s="48"/>
      <c r="AJ12" s="52"/>
    </row>
    <row r="13" spans="1:36" ht="12.5" x14ac:dyDescent="0.25">
      <c r="A13" s="47" t="s">
        <v>340</v>
      </c>
      <c r="B13" s="47" t="s">
        <v>1875</v>
      </c>
      <c r="C13" s="220">
        <v>10573728</v>
      </c>
      <c r="D13" s="220"/>
      <c r="E13" s="223">
        <v>46054</v>
      </c>
      <c r="F13" s="48" t="s">
        <v>111</v>
      </c>
      <c r="G13" s="48">
        <v>2254518.35</v>
      </c>
      <c r="H13" s="48">
        <v>2254518.35</v>
      </c>
      <c r="I13" s="48"/>
      <c r="J13" s="222">
        <v>46054</v>
      </c>
      <c r="K13" s="47" t="s">
        <v>1562</v>
      </c>
      <c r="L13" s="52"/>
      <c r="M13" s="52"/>
      <c r="N13" s="40" t="s">
        <v>107</v>
      </c>
      <c r="O13" s="40" t="s">
        <v>107</v>
      </c>
      <c r="P13" s="52">
        <v>1</v>
      </c>
      <c r="Q13" s="52" t="s">
        <v>111</v>
      </c>
      <c r="R13" s="58">
        <v>2456846.92</v>
      </c>
      <c r="S13" s="58" t="s">
        <v>99</v>
      </c>
      <c r="T13" s="58">
        <v>-202328.56999999983</v>
      </c>
      <c r="U13" s="52"/>
      <c r="V13" s="52"/>
      <c r="W13" s="58"/>
      <c r="X13" s="52" t="s">
        <v>17</v>
      </c>
      <c r="Y13" s="52" t="s">
        <v>16</v>
      </c>
      <c r="Z13" s="58"/>
      <c r="AA13" s="58" t="s">
        <v>111</v>
      </c>
      <c r="AB13" s="58">
        <v>2254518.35</v>
      </c>
      <c r="AC13" s="52" t="s">
        <v>99</v>
      </c>
      <c r="AD13" s="58">
        <v>0</v>
      </c>
      <c r="AE13" s="52"/>
      <c r="AF13" s="58"/>
      <c r="AG13" s="58" t="s">
        <v>16</v>
      </c>
      <c r="AH13" s="58"/>
      <c r="AI13" s="48"/>
      <c r="AJ13" s="52"/>
    </row>
    <row r="14" spans="1:36" ht="12.5" x14ac:dyDescent="0.25">
      <c r="A14" s="47" t="s">
        <v>230</v>
      </c>
      <c r="B14" s="47" t="s">
        <v>1067</v>
      </c>
      <c r="C14" s="220">
        <v>10573737</v>
      </c>
      <c r="D14" s="220"/>
      <c r="E14" s="223">
        <v>46054</v>
      </c>
      <c r="F14" s="47" t="s">
        <v>111</v>
      </c>
      <c r="G14" s="48">
        <v>539991.96</v>
      </c>
      <c r="H14" s="48">
        <v>539991.96</v>
      </c>
      <c r="I14" s="48"/>
      <c r="J14" s="222">
        <v>46054</v>
      </c>
      <c r="K14" s="47" t="s">
        <v>1562</v>
      </c>
      <c r="L14" s="52"/>
      <c r="M14" s="52"/>
      <c r="N14" s="40" t="s">
        <v>107</v>
      </c>
      <c r="O14" s="40" t="s">
        <v>107</v>
      </c>
      <c r="P14" s="52">
        <v>1</v>
      </c>
      <c r="Q14" s="52" t="s">
        <v>111</v>
      </c>
      <c r="R14" s="58">
        <v>696792.64</v>
      </c>
      <c r="S14" s="58" t="s">
        <v>99</v>
      </c>
      <c r="T14" s="58">
        <v>-156800.68000000005</v>
      </c>
      <c r="U14" s="52" t="s">
        <v>105</v>
      </c>
      <c r="V14" s="52" t="s">
        <v>111</v>
      </c>
      <c r="W14" s="58">
        <v>893323.9</v>
      </c>
      <c r="X14" s="52" t="s">
        <v>17</v>
      </c>
      <c r="Y14" s="52" t="s">
        <v>99</v>
      </c>
      <c r="Z14" s="58">
        <v>-353331.94000000006</v>
      </c>
      <c r="AA14" s="58" t="s">
        <v>111</v>
      </c>
      <c r="AB14" s="58">
        <v>539991.97</v>
      </c>
      <c r="AC14" s="52" t="s">
        <v>99</v>
      </c>
      <c r="AD14" s="58">
        <v>-1.0000000009313226E-2</v>
      </c>
      <c r="AE14" s="52"/>
      <c r="AF14" s="58"/>
      <c r="AG14" s="58" t="s">
        <v>16</v>
      </c>
      <c r="AH14" s="58"/>
      <c r="AI14" s="48"/>
      <c r="AJ14" s="52"/>
    </row>
    <row r="15" spans="1:36" ht="12.5" x14ac:dyDescent="0.25">
      <c r="A15" s="47" t="s">
        <v>251</v>
      </c>
      <c r="B15" s="47" t="s">
        <v>1876</v>
      </c>
      <c r="C15" s="220">
        <v>10573672</v>
      </c>
      <c r="D15" s="220"/>
      <c r="E15" s="223">
        <v>46054</v>
      </c>
      <c r="F15" s="48" t="s">
        <v>111</v>
      </c>
      <c r="G15" s="48">
        <v>1938874.75</v>
      </c>
      <c r="H15" s="48">
        <v>1938874.75</v>
      </c>
      <c r="I15" s="48"/>
      <c r="J15" s="222">
        <v>46054</v>
      </c>
      <c r="K15" s="47" t="s">
        <v>1562</v>
      </c>
      <c r="L15" s="52"/>
      <c r="M15" s="52"/>
      <c r="N15" s="40" t="s">
        <v>107</v>
      </c>
      <c r="O15" s="40" t="s">
        <v>107</v>
      </c>
      <c r="P15" s="52">
        <v>1</v>
      </c>
      <c r="Q15" s="52" t="s">
        <v>111</v>
      </c>
      <c r="R15" s="58">
        <v>2496960</v>
      </c>
      <c r="S15" s="58" t="s">
        <v>99</v>
      </c>
      <c r="T15" s="58">
        <v>-558085.25</v>
      </c>
      <c r="U15" s="52"/>
      <c r="V15" s="52"/>
      <c r="W15" s="58"/>
      <c r="X15" s="52" t="s">
        <v>17</v>
      </c>
      <c r="Y15" s="52" t="s">
        <v>16</v>
      </c>
      <c r="Z15" s="58"/>
      <c r="AA15" s="58" t="s">
        <v>111</v>
      </c>
      <c r="AB15" s="58">
        <v>1938874.75</v>
      </c>
      <c r="AC15" s="52" t="s">
        <v>99</v>
      </c>
      <c r="AD15" s="58">
        <v>0</v>
      </c>
      <c r="AE15" s="52"/>
      <c r="AF15" s="58"/>
      <c r="AG15" s="58" t="s">
        <v>16</v>
      </c>
      <c r="AH15" s="58"/>
      <c r="AI15" s="48"/>
      <c r="AJ15" s="52"/>
    </row>
    <row r="16" spans="1:36" ht="12.5" x14ac:dyDescent="0.25">
      <c r="A16" s="47" t="s">
        <v>125</v>
      </c>
      <c r="B16" s="47" t="s">
        <v>1877</v>
      </c>
      <c r="C16" s="220">
        <v>10573707</v>
      </c>
      <c r="D16" s="220"/>
      <c r="E16" s="223">
        <v>46054</v>
      </c>
      <c r="F16" s="47" t="s">
        <v>111</v>
      </c>
      <c r="G16" s="48">
        <v>638041.62</v>
      </c>
      <c r="H16" s="48">
        <v>638041.62</v>
      </c>
      <c r="I16" s="48"/>
      <c r="J16" s="222">
        <v>46054</v>
      </c>
      <c r="K16" s="47" t="s">
        <v>1562</v>
      </c>
      <c r="L16" s="52"/>
      <c r="M16" s="52"/>
      <c r="N16" s="40" t="s">
        <v>107</v>
      </c>
      <c r="O16" s="40" t="s">
        <v>107</v>
      </c>
      <c r="P16" s="52">
        <v>1</v>
      </c>
      <c r="Q16" s="52" t="s">
        <v>111</v>
      </c>
      <c r="R16" s="58">
        <v>823313.56</v>
      </c>
      <c r="S16" s="58" t="s">
        <v>99</v>
      </c>
      <c r="T16" s="58">
        <v>-185271.94000000006</v>
      </c>
      <c r="U16" s="52" t="s">
        <v>105</v>
      </c>
      <c r="V16" s="52" t="s">
        <v>111</v>
      </c>
      <c r="W16" s="58">
        <v>1055530.2</v>
      </c>
      <c r="X16" s="52" t="s">
        <v>17</v>
      </c>
      <c r="Y16" s="52" t="s">
        <v>99</v>
      </c>
      <c r="Z16" s="58">
        <v>-417488.57999999996</v>
      </c>
      <c r="AA16" s="58" t="s">
        <v>111</v>
      </c>
      <c r="AB16" s="58">
        <v>638041.63</v>
      </c>
      <c r="AC16" s="52" t="s">
        <v>99</v>
      </c>
      <c r="AD16" s="58">
        <v>-1.0000000009313226E-2</v>
      </c>
      <c r="AE16" s="52"/>
      <c r="AF16" s="58"/>
      <c r="AG16" s="58" t="s">
        <v>16</v>
      </c>
      <c r="AH16" s="58"/>
      <c r="AI16" s="48"/>
      <c r="AJ16" s="52"/>
    </row>
    <row r="17" spans="1:36" ht="12.5" x14ac:dyDescent="0.25">
      <c r="A17" s="47" t="s">
        <v>224</v>
      </c>
      <c r="B17" s="47" t="s">
        <v>1878</v>
      </c>
      <c r="C17" s="220">
        <v>10573703</v>
      </c>
      <c r="D17" s="220"/>
      <c r="E17" s="221">
        <v>46054</v>
      </c>
      <c r="F17" s="48" t="s">
        <v>111</v>
      </c>
      <c r="G17" s="48">
        <v>1459391.83</v>
      </c>
      <c r="H17" s="48">
        <v>1459391.83</v>
      </c>
      <c r="I17" s="48"/>
      <c r="J17" s="222">
        <v>46054</v>
      </c>
      <c r="K17" s="47" t="s">
        <v>1562</v>
      </c>
      <c r="L17" s="52"/>
      <c r="M17" s="52"/>
      <c r="N17" s="40" t="s">
        <v>107</v>
      </c>
      <c r="O17" s="40" t="s">
        <v>107</v>
      </c>
      <c r="P17" s="52">
        <v>1</v>
      </c>
      <c r="Q17" s="52" t="s">
        <v>111</v>
      </c>
      <c r="R17" s="58">
        <v>1883164.12</v>
      </c>
      <c r="S17" s="58" t="s">
        <v>99</v>
      </c>
      <c r="T17" s="58">
        <v>-423772.29000000004</v>
      </c>
      <c r="U17" s="52" t="s">
        <v>105</v>
      </c>
      <c r="V17" s="52" t="s">
        <v>111</v>
      </c>
      <c r="W17" s="58">
        <v>2414312.9700000002</v>
      </c>
      <c r="X17" s="52" t="s">
        <v>17</v>
      </c>
      <c r="Y17" s="52" t="s">
        <v>99</v>
      </c>
      <c r="Z17" s="58">
        <v>-954921.14000000013</v>
      </c>
      <c r="AA17" s="58" t="s">
        <v>111</v>
      </c>
      <c r="AB17" s="58">
        <v>1459391.84</v>
      </c>
      <c r="AC17" s="52" t="s">
        <v>99</v>
      </c>
      <c r="AD17" s="58">
        <v>-1.0000000009313226E-2</v>
      </c>
      <c r="AE17" s="52"/>
      <c r="AF17" s="58"/>
      <c r="AG17" s="58" t="s">
        <v>16</v>
      </c>
      <c r="AH17" s="58"/>
      <c r="AI17" s="48"/>
      <c r="AJ17" s="52"/>
    </row>
    <row r="18" spans="1:36" ht="12.5" x14ac:dyDescent="0.25">
      <c r="A18" s="47" t="s">
        <v>366</v>
      </c>
      <c r="B18" s="47" t="s">
        <v>1879</v>
      </c>
      <c r="C18" s="220">
        <v>10573722</v>
      </c>
      <c r="D18" s="220"/>
      <c r="E18" s="221">
        <v>46054</v>
      </c>
      <c r="F18" s="47" t="s">
        <v>111</v>
      </c>
      <c r="G18" s="48">
        <v>1949868.31</v>
      </c>
      <c r="H18" s="48">
        <v>1949868.31</v>
      </c>
      <c r="I18" s="48"/>
      <c r="J18" s="222">
        <v>46054</v>
      </c>
      <c r="K18" s="47" t="s">
        <v>1562</v>
      </c>
      <c r="L18" s="52"/>
      <c r="M18" s="52"/>
      <c r="N18" s="40" t="s">
        <v>107</v>
      </c>
      <c r="O18" s="40" t="s">
        <v>107</v>
      </c>
      <c r="P18" s="52">
        <v>1</v>
      </c>
      <c r="Q18" s="52" t="s">
        <v>111</v>
      </c>
      <c r="R18" s="58">
        <v>1949868.31</v>
      </c>
      <c r="S18" s="58" t="s">
        <v>99</v>
      </c>
      <c r="T18" s="58">
        <v>0</v>
      </c>
      <c r="U18" s="52" t="s">
        <v>105</v>
      </c>
      <c r="V18" s="52" t="s">
        <v>111</v>
      </c>
      <c r="W18" s="58">
        <v>2499831.17</v>
      </c>
      <c r="X18" s="52" t="s">
        <v>17</v>
      </c>
      <c r="Y18" s="52" t="s">
        <v>99</v>
      </c>
      <c r="Z18" s="58">
        <v>-549962.85999999987</v>
      </c>
      <c r="AA18" s="58" t="s">
        <v>111</v>
      </c>
      <c r="AB18" s="58">
        <v>1949868.31</v>
      </c>
      <c r="AC18" s="52" t="s">
        <v>99</v>
      </c>
      <c r="AD18" s="58">
        <v>0</v>
      </c>
      <c r="AE18" s="52"/>
      <c r="AF18" s="58"/>
      <c r="AG18" s="58" t="s">
        <v>16</v>
      </c>
      <c r="AH18" s="58"/>
      <c r="AI18" s="48"/>
      <c r="AJ18" s="52"/>
    </row>
    <row r="19" spans="1:36" ht="12.5" x14ac:dyDescent="0.25">
      <c r="A19" s="47" t="s">
        <v>266</v>
      </c>
      <c r="B19" s="47" t="s">
        <v>1880</v>
      </c>
      <c r="C19" s="220">
        <v>10573632</v>
      </c>
      <c r="D19" s="220"/>
      <c r="E19" s="221">
        <v>46054</v>
      </c>
      <c r="F19" s="48" t="s">
        <v>111</v>
      </c>
      <c r="G19" s="48">
        <v>5338316.9400000004</v>
      </c>
      <c r="H19" s="48">
        <v>5338316.9400000004</v>
      </c>
      <c r="I19" s="48"/>
      <c r="J19" s="222">
        <v>46054</v>
      </c>
      <c r="K19" s="47" t="s">
        <v>1562</v>
      </c>
      <c r="L19" s="52"/>
      <c r="M19" s="52"/>
      <c r="N19" s="40" t="s">
        <v>107</v>
      </c>
      <c r="O19" s="40" t="s">
        <v>107</v>
      </c>
      <c r="P19" s="52">
        <v>1</v>
      </c>
      <c r="Q19" s="52" t="s">
        <v>111</v>
      </c>
      <c r="R19" s="58">
        <v>6874896.8200000003</v>
      </c>
      <c r="S19" s="58" t="s">
        <v>99</v>
      </c>
      <c r="T19" s="58">
        <v>-1536579.88</v>
      </c>
      <c r="U19" s="52"/>
      <c r="V19" s="52"/>
      <c r="W19" s="58"/>
      <c r="X19" s="52" t="s">
        <v>17</v>
      </c>
      <c r="Y19" s="52" t="s">
        <v>16</v>
      </c>
      <c r="Z19" s="58"/>
      <c r="AA19" s="58" t="s">
        <v>111</v>
      </c>
      <c r="AB19" s="58">
        <v>5338316.9400000004</v>
      </c>
      <c r="AC19" s="52" t="s">
        <v>99</v>
      </c>
      <c r="AD19" s="58">
        <v>0</v>
      </c>
      <c r="AE19" s="52"/>
      <c r="AF19" s="58"/>
      <c r="AG19" s="58" t="s">
        <v>16</v>
      </c>
      <c r="AH19" s="58"/>
      <c r="AI19" s="48"/>
      <c r="AJ19" s="52"/>
    </row>
    <row r="20" spans="1:36" ht="12.5" x14ac:dyDescent="0.25">
      <c r="A20" s="47" t="s">
        <v>179</v>
      </c>
      <c r="B20" s="47" t="s">
        <v>1881</v>
      </c>
      <c r="C20" s="220">
        <v>10573677</v>
      </c>
      <c r="D20" s="220"/>
      <c r="E20" s="221">
        <v>46054</v>
      </c>
      <c r="F20" s="47" t="s">
        <v>111</v>
      </c>
      <c r="G20" s="48">
        <v>1520686.0800000001</v>
      </c>
      <c r="H20" s="48">
        <v>1520686.0800000001</v>
      </c>
      <c r="I20" s="48"/>
      <c r="J20" s="222">
        <v>46054</v>
      </c>
      <c r="K20" s="47" t="s">
        <v>1562</v>
      </c>
      <c r="L20" s="52"/>
      <c r="M20" s="52"/>
      <c r="N20" s="40" t="s">
        <v>107</v>
      </c>
      <c r="O20" s="40" t="s">
        <v>107</v>
      </c>
      <c r="P20" s="52">
        <v>1</v>
      </c>
      <c r="Q20" s="52" t="s">
        <v>111</v>
      </c>
      <c r="R20" s="58">
        <v>1958400</v>
      </c>
      <c r="S20" s="58" t="s">
        <v>99</v>
      </c>
      <c r="T20" s="58">
        <v>-437713.91999999993</v>
      </c>
      <c r="U20" s="52"/>
      <c r="V20" s="52"/>
      <c r="W20" s="58"/>
      <c r="X20" s="52" t="s">
        <v>17</v>
      </c>
      <c r="Y20" s="52" t="s">
        <v>16</v>
      </c>
      <c r="Z20" s="58"/>
      <c r="AA20" s="58" t="s">
        <v>111</v>
      </c>
      <c r="AB20" s="58">
        <v>1520686.0800000001</v>
      </c>
      <c r="AC20" s="52" t="s">
        <v>99</v>
      </c>
      <c r="AD20" s="58">
        <v>0</v>
      </c>
      <c r="AE20" s="52"/>
      <c r="AF20" s="58"/>
      <c r="AG20" s="58" t="s">
        <v>16</v>
      </c>
      <c r="AH20" s="58"/>
      <c r="AI20" s="48"/>
      <c r="AJ20" s="52"/>
    </row>
    <row r="21" spans="1:36" ht="12.5" x14ac:dyDescent="0.25">
      <c r="A21" s="47" t="s">
        <v>373</v>
      </c>
      <c r="B21" s="47" t="s">
        <v>1882</v>
      </c>
      <c r="C21" s="220">
        <v>10573719</v>
      </c>
      <c r="D21" s="220"/>
      <c r="E21" s="221">
        <v>46054</v>
      </c>
      <c r="F21" s="48" t="s">
        <v>111</v>
      </c>
      <c r="G21" s="48">
        <v>3823151.23</v>
      </c>
      <c r="H21" s="48">
        <v>3823151.23</v>
      </c>
      <c r="I21" s="48"/>
      <c r="J21" s="222">
        <v>46054</v>
      </c>
      <c r="K21" s="47" t="s">
        <v>1562</v>
      </c>
      <c r="L21" s="52"/>
      <c r="M21" s="52"/>
      <c r="N21" s="40" t="s">
        <v>107</v>
      </c>
      <c r="O21" s="40" t="s">
        <v>107</v>
      </c>
      <c r="P21" s="52">
        <v>1</v>
      </c>
      <c r="Q21" s="52" t="s">
        <v>111</v>
      </c>
      <c r="R21" s="58">
        <v>3823151.23</v>
      </c>
      <c r="S21" s="58" t="s">
        <v>99</v>
      </c>
      <c r="T21" s="58">
        <v>0</v>
      </c>
      <c r="U21" s="52" t="s">
        <v>105</v>
      </c>
      <c r="V21" s="52" t="s">
        <v>111</v>
      </c>
      <c r="W21" s="58">
        <v>4901475.9400000004</v>
      </c>
      <c r="X21" s="52" t="s">
        <v>17</v>
      </c>
      <c r="Y21" s="52" t="s">
        <v>99</v>
      </c>
      <c r="Z21" s="58">
        <v>-1078324.7100000004</v>
      </c>
      <c r="AA21" s="58" t="s">
        <v>111</v>
      </c>
      <c r="AB21" s="58">
        <v>3823151.23</v>
      </c>
      <c r="AC21" s="52" t="s">
        <v>99</v>
      </c>
      <c r="AD21" s="58">
        <v>0</v>
      </c>
      <c r="AE21" s="52"/>
      <c r="AF21" s="58"/>
      <c r="AG21" s="58" t="s">
        <v>16</v>
      </c>
      <c r="AH21" s="58"/>
      <c r="AI21" s="48"/>
      <c r="AJ21" s="52"/>
    </row>
    <row r="22" spans="1:36" ht="12.5" x14ac:dyDescent="0.25">
      <c r="A22" s="47" t="s">
        <v>343</v>
      </c>
      <c r="B22" s="47" t="s">
        <v>1356</v>
      </c>
      <c r="C22" s="220">
        <v>10573645</v>
      </c>
      <c r="D22" s="220"/>
      <c r="E22" s="221">
        <v>46054</v>
      </c>
      <c r="F22" s="47" t="s">
        <v>111</v>
      </c>
      <c r="G22" s="48">
        <v>2266807.2200000002</v>
      </c>
      <c r="H22" s="48">
        <v>2266807.2200000002</v>
      </c>
      <c r="I22" s="48"/>
      <c r="J22" s="222">
        <v>46054</v>
      </c>
      <c r="K22" s="47" t="s">
        <v>1562</v>
      </c>
      <c r="L22" s="52"/>
      <c r="M22" s="52"/>
      <c r="N22" s="40" t="s">
        <v>107</v>
      </c>
      <c r="O22" s="40" t="s">
        <v>107</v>
      </c>
      <c r="P22" s="52">
        <v>1</v>
      </c>
      <c r="Q22" s="52" t="s">
        <v>111</v>
      </c>
      <c r="R22" s="58">
        <v>2266807.2200000002</v>
      </c>
      <c r="S22" s="58" t="s">
        <v>99</v>
      </c>
      <c r="T22" s="58">
        <v>0</v>
      </c>
      <c r="U22" s="52" t="s">
        <v>105</v>
      </c>
      <c r="V22" s="52" t="s">
        <v>111</v>
      </c>
      <c r="W22" s="58">
        <v>2906163.1</v>
      </c>
      <c r="X22" s="52" t="s">
        <v>17</v>
      </c>
      <c r="Y22" s="52" t="s">
        <v>99</v>
      </c>
      <c r="Z22" s="58">
        <v>-639355.87999999989</v>
      </c>
      <c r="AA22" s="58" t="s">
        <v>111</v>
      </c>
      <c r="AB22" s="58">
        <v>2266807.2200000002</v>
      </c>
      <c r="AC22" s="52" t="s">
        <v>99</v>
      </c>
      <c r="AD22" s="58">
        <v>0</v>
      </c>
      <c r="AE22" s="52"/>
      <c r="AF22" s="58"/>
      <c r="AG22" s="58" t="s">
        <v>16</v>
      </c>
      <c r="AH22" s="58"/>
      <c r="AI22" s="47"/>
      <c r="AJ22" s="52"/>
    </row>
    <row r="23" spans="1:36" ht="12.5" x14ac:dyDescent="0.25">
      <c r="A23" s="47" t="s">
        <v>239</v>
      </c>
      <c r="B23" s="47" t="s">
        <v>1090</v>
      </c>
      <c r="C23" s="220">
        <v>10573648</v>
      </c>
      <c r="D23" s="220"/>
      <c r="E23" s="221">
        <v>46054</v>
      </c>
      <c r="F23" s="47" t="s">
        <v>111</v>
      </c>
      <c r="G23" s="48">
        <v>2648705.4</v>
      </c>
      <c r="H23" s="48">
        <v>2648705.4</v>
      </c>
      <c r="I23" s="48"/>
      <c r="J23" s="222">
        <v>46054</v>
      </c>
      <c r="K23" s="47" t="s">
        <v>1562</v>
      </c>
      <c r="L23" s="52"/>
      <c r="M23" s="52"/>
      <c r="N23" s="40" t="s">
        <v>107</v>
      </c>
      <c r="O23" s="40" t="s">
        <v>107</v>
      </c>
      <c r="P23" s="52">
        <v>1</v>
      </c>
      <c r="Q23" s="52" t="s">
        <v>111</v>
      </c>
      <c r="R23" s="58">
        <v>3417825.66</v>
      </c>
      <c r="S23" s="58" t="s">
        <v>99</v>
      </c>
      <c r="T23" s="58">
        <v>-769120.26000000024</v>
      </c>
      <c r="U23" s="52" t="s">
        <v>105</v>
      </c>
      <c r="V23" s="52" t="s">
        <v>111</v>
      </c>
      <c r="W23" s="58">
        <v>4387094.46</v>
      </c>
      <c r="X23" s="52" t="s">
        <v>17</v>
      </c>
      <c r="Y23" s="52" t="s">
        <v>99</v>
      </c>
      <c r="Z23" s="58">
        <v>-1738389.06</v>
      </c>
      <c r="AA23" s="58" t="s">
        <v>111</v>
      </c>
      <c r="AB23" s="58">
        <v>2648705.4</v>
      </c>
      <c r="AC23" s="52" t="s">
        <v>99</v>
      </c>
      <c r="AD23" s="58">
        <v>0</v>
      </c>
      <c r="AE23" s="52"/>
      <c r="AF23" s="58"/>
      <c r="AG23" s="58" t="s">
        <v>16</v>
      </c>
      <c r="AH23" s="58"/>
      <c r="AI23" s="47"/>
      <c r="AJ23" s="52"/>
    </row>
    <row r="24" spans="1:36" ht="12.5" x14ac:dyDescent="0.25">
      <c r="A24" s="47" t="s">
        <v>322</v>
      </c>
      <c r="B24" s="47" t="s">
        <v>1305</v>
      </c>
      <c r="C24" s="220">
        <v>10573688</v>
      </c>
      <c r="D24" s="220"/>
      <c r="E24" s="221">
        <v>46054</v>
      </c>
      <c r="F24" s="47" t="s">
        <v>111</v>
      </c>
      <c r="G24" s="48">
        <v>1208950</v>
      </c>
      <c r="H24" s="48">
        <v>1208950</v>
      </c>
      <c r="I24" s="48"/>
      <c r="J24" s="222">
        <v>46054</v>
      </c>
      <c r="K24" s="47" t="s">
        <v>1562</v>
      </c>
      <c r="L24" s="52"/>
      <c r="M24" s="52"/>
      <c r="N24" s="40" t="s">
        <v>107</v>
      </c>
      <c r="O24" s="40" t="s">
        <v>107</v>
      </c>
      <c r="P24" s="52">
        <v>1</v>
      </c>
      <c r="Q24" s="52" t="s">
        <v>111</v>
      </c>
      <c r="R24" s="58">
        <v>1560000</v>
      </c>
      <c r="S24" s="58" t="s">
        <v>99</v>
      </c>
      <c r="T24" s="58">
        <v>-351050</v>
      </c>
      <c r="U24" s="52" t="s">
        <v>105</v>
      </c>
      <c r="V24" s="52" t="s">
        <v>111</v>
      </c>
      <c r="W24" s="58">
        <v>2004216.19</v>
      </c>
      <c r="X24" s="52" t="s">
        <v>17</v>
      </c>
      <c r="Y24" s="52" t="s">
        <v>99</v>
      </c>
      <c r="Z24" s="58">
        <v>-795266.19</v>
      </c>
      <c r="AA24" s="58" t="s">
        <v>111</v>
      </c>
      <c r="AB24" s="58">
        <v>1208950</v>
      </c>
      <c r="AC24" s="52" t="s">
        <v>99</v>
      </c>
      <c r="AD24" s="58">
        <v>0</v>
      </c>
      <c r="AE24" s="52"/>
      <c r="AF24" s="58"/>
      <c r="AG24" s="58" t="s">
        <v>16</v>
      </c>
      <c r="AH24" s="58"/>
      <c r="AI24" s="47"/>
      <c r="AJ24" s="52"/>
    </row>
    <row r="25" spans="1:36" ht="12.5" x14ac:dyDescent="0.25">
      <c r="A25" s="47" t="s">
        <v>197</v>
      </c>
      <c r="B25" s="47" t="s">
        <v>1883</v>
      </c>
      <c r="C25" s="220">
        <v>10573717</v>
      </c>
      <c r="D25" s="220"/>
      <c r="E25" s="221">
        <v>46054</v>
      </c>
      <c r="F25" s="47" t="s">
        <v>111</v>
      </c>
      <c r="G25" s="48">
        <v>5443360.3300000001</v>
      </c>
      <c r="H25" s="48">
        <v>5443360.3300000001</v>
      </c>
      <c r="I25" s="48"/>
      <c r="J25" s="222">
        <v>46054</v>
      </c>
      <c r="K25" s="47" t="s">
        <v>1562</v>
      </c>
      <c r="L25" s="52"/>
      <c r="M25" s="52"/>
      <c r="N25" s="40" t="s">
        <v>107</v>
      </c>
      <c r="O25" s="40" t="s">
        <v>107</v>
      </c>
      <c r="P25" s="52">
        <v>1</v>
      </c>
      <c r="Q25" s="52" t="s">
        <v>111</v>
      </c>
      <c r="R25" s="58">
        <v>7023981.2300000004</v>
      </c>
      <c r="S25" s="58" t="s">
        <v>99</v>
      </c>
      <c r="T25" s="58">
        <v>-1580620.9000000004</v>
      </c>
      <c r="U25" s="52" t="s">
        <v>105</v>
      </c>
      <c r="V25" s="52" t="s">
        <v>111</v>
      </c>
      <c r="W25" s="58">
        <v>9005104.1400000006</v>
      </c>
      <c r="X25" s="52" t="s">
        <v>17</v>
      </c>
      <c r="Y25" s="52" t="s">
        <v>99</v>
      </c>
      <c r="Z25" s="58">
        <v>-3561743.8100000005</v>
      </c>
      <c r="AA25" s="58" t="s">
        <v>111</v>
      </c>
      <c r="AB25" s="58">
        <v>5443360.3200000003</v>
      </c>
      <c r="AC25" s="52" t="s">
        <v>99</v>
      </c>
      <c r="AD25" s="58">
        <v>9.9999997764825821E-3</v>
      </c>
      <c r="AE25" s="52"/>
      <c r="AF25" s="58"/>
      <c r="AG25" s="58" t="s">
        <v>16</v>
      </c>
      <c r="AH25" s="58"/>
      <c r="AI25" s="47"/>
      <c r="AJ25" s="52"/>
    </row>
    <row r="26" spans="1:36" ht="12.5" x14ac:dyDescent="0.25">
      <c r="A26" s="47" t="s">
        <v>359</v>
      </c>
      <c r="B26" s="47" t="s">
        <v>1395</v>
      </c>
      <c r="C26" s="220">
        <v>10573681</v>
      </c>
      <c r="D26" s="220"/>
      <c r="E26" s="221">
        <v>46054</v>
      </c>
      <c r="F26" s="47" t="s">
        <v>111</v>
      </c>
      <c r="G26" s="48">
        <v>1648712.79</v>
      </c>
      <c r="H26" s="48">
        <v>1648712.79</v>
      </c>
      <c r="I26" s="48"/>
      <c r="J26" s="222">
        <v>46054</v>
      </c>
      <c r="K26" s="47" t="s">
        <v>1562</v>
      </c>
      <c r="L26" s="52"/>
      <c r="M26" s="52"/>
      <c r="N26" s="40" t="s">
        <v>107</v>
      </c>
      <c r="O26" s="40" t="s">
        <v>107</v>
      </c>
      <c r="P26" s="52">
        <v>1</v>
      </c>
      <c r="Q26" s="52" t="s">
        <v>111</v>
      </c>
      <c r="R26" s="58">
        <v>1648712.79</v>
      </c>
      <c r="S26" s="58" t="s">
        <v>99</v>
      </c>
      <c r="T26" s="58">
        <v>0</v>
      </c>
      <c r="U26" s="52" t="s">
        <v>105</v>
      </c>
      <c r="V26" s="52" t="s">
        <v>111</v>
      </c>
      <c r="W26" s="58">
        <v>2113734.34</v>
      </c>
      <c r="X26" s="52" t="s">
        <v>17</v>
      </c>
      <c r="Y26" s="52" t="s">
        <v>99</v>
      </c>
      <c r="Z26" s="58">
        <v>-465021.54999999981</v>
      </c>
      <c r="AA26" s="58" t="s">
        <v>111</v>
      </c>
      <c r="AB26" s="58">
        <v>1648712.78</v>
      </c>
      <c r="AC26" s="52" t="s">
        <v>99</v>
      </c>
      <c r="AD26" s="58">
        <v>1.0000000009313226E-2</v>
      </c>
      <c r="AE26" s="52"/>
      <c r="AF26" s="58"/>
      <c r="AG26" s="58" t="s">
        <v>16</v>
      </c>
      <c r="AH26" s="58"/>
      <c r="AI26" s="47"/>
      <c r="AJ26" s="52"/>
    </row>
    <row r="27" spans="1:36" ht="12.5" x14ac:dyDescent="0.25">
      <c r="A27" s="47" t="s">
        <v>147</v>
      </c>
      <c r="B27" s="47" t="s">
        <v>1884</v>
      </c>
      <c r="C27" s="220">
        <v>10573701</v>
      </c>
      <c r="D27" s="220"/>
      <c r="E27" s="221">
        <v>46054</v>
      </c>
      <c r="F27" s="47" t="s">
        <v>111</v>
      </c>
      <c r="G27" s="48">
        <v>368844.73</v>
      </c>
      <c r="H27" s="48">
        <v>368844.73</v>
      </c>
      <c r="I27" s="48"/>
      <c r="J27" s="222">
        <v>46054</v>
      </c>
      <c r="K27" s="47" t="s">
        <v>1562</v>
      </c>
      <c r="L27" s="52"/>
      <c r="M27" s="52"/>
      <c r="N27" s="40" t="s">
        <v>107</v>
      </c>
      <c r="O27" s="40" t="s">
        <v>107</v>
      </c>
      <c r="P27" s="52">
        <v>2</v>
      </c>
      <c r="Q27" s="52" t="s">
        <v>111</v>
      </c>
      <c r="R27" s="58">
        <v>475948.36</v>
      </c>
      <c r="S27" s="58" t="s">
        <v>99</v>
      </c>
      <c r="T27" s="58">
        <v>-107103.63</v>
      </c>
      <c r="U27" s="52" t="s">
        <v>105</v>
      </c>
      <c r="V27" s="52" t="s">
        <v>111</v>
      </c>
      <c r="W27" s="58">
        <v>610222.1</v>
      </c>
      <c r="X27" s="52" t="s">
        <v>17</v>
      </c>
      <c r="Y27" s="52" t="s">
        <v>99</v>
      </c>
      <c r="Z27" s="58">
        <v>-241377.37</v>
      </c>
      <c r="AA27" s="58" t="s">
        <v>111</v>
      </c>
      <c r="AB27" s="58">
        <v>368844.72</v>
      </c>
      <c r="AC27" s="52" t="s">
        <v>99</v>
      </c>
      <c r="AD27" s="58">
        <v>1.0000000009313226E-2</v>
      </c>
      <c r="AE27" s="52"/>
      <c r="AF27" s="58"/>
      <c r="AG27" s="58" t="s">
        <v>16</v>
      </c>
      <c r="AH27" s="58"/>
      <c r="AI27" s="47"/>
      <c r="AJ27" s="52"/>
    </row>
    <row r="28" spans="1:36" ht="12.5" x14ac:dyDescent="0.25">
      <c r="A28" s="47" t="s">
        <v>303</v>
      </c>
      <c r="B28" s="47" t="s">
        <v>1258</v>
      </c>
      <c r="C28" s="220">
        <v>10573631</v>
      </c>
      <c r="D28" s="220"/>
      <c r="E28" s="221">
        <v>46054</v>
      </c>
      <c r="F28" s="47" t="s">
        <v>111</v>
      </c>
      <c r="G28" s="48">
        <v>3022375</v>
      </c>
      <c r="H28" s="48">
        <v>3022375</v>
      </c>
      <c r="I28" s="48"/>
      <c r="J28" s="222">
        <v>46054</v>
      </c>
      <c r="K28" s="47" t="s">
        <v>1562</v>
      </c>
      <c r="L28" s="52"/>
      <c r="M28" s="52"/>
      <c r="N28" s="40" t="s">
        <v>107</v>
      </c>
      <c r="O28" s="40" t="s">
        <v>107</v>
      </c>
      <c r="P28" s="52">
        <v>1</v>
      </c>
      <c r="Q28" s="52" t="s">
        <v>111</v>
      </c>
      <c r="R28" s="58">
        <v>3900000</v>
      </c>
      <c r="S28" s="58" t="s">
        <v>99</v>
      </c>
      <c r="T28" s="58">
        <v>-877625</v>
      </c>
      <c r="U28" s="52" t="s">
        <v>105</v>
      </c>
      <c r="V28" s="52" t="s">
        <v>111</v>
      </c>
      <c r="W28" s="58">
        <v>5004389.9800000004</v>
      </c>
      <c r="X28" s="52" t="s">
        <v>17</v>
      </c>
      <c r="Y28" s="52" t="s">
        <v>99</v>
      </c>
      <c r="Z28" s="58">
        <v>-1982014.9800000004</v>
      </c>
      <c r="AA28" s="58" t="s">
        <v>111</v>
      </c>
      <c r="AB28" s="58">
        <v>3022375</v>
      </c>
      <c r="AC28" s="52" t="s">
        <v>99</v>
      </c>
      <c r="AD28" s="58">
        <v>0</v>
      </c>
      <c r="AE28" s="52"/>
      <c r="AF28" s="58"/>
      <c r="AG28" s="58" t="s">
        <v>16</v>
      </c>
      <c r="AH28" s="58"/>
      <c r="AI28" s="47"/>
      <c r="AJ28" s="52"/>
    </row>
    <row r="29" spans="1:36" ht="12.5" x14ac:dyDescent="0.25">
      <c r="A29" s="47" t="s">
        <v>137</v>
      </c>
      <c r="B29" s="47" t="s">
        <v>1885</v>
      </c>
      <c r="C29" s="220">
        <v>10573656</v>
      </c>
      <c r="D29" s="220"/>
      <c r="E29" s="221">
        <v>46054</v>
      </c>
      <c r="F29" s="47" t="s">
        <v>111</v>
      </c>
      <c r="G29" s="48">
        <v>49522.81</v>
      </c>
      <c r="H29" s="48">
        <v>49522.81</v>
      </c>
      <c r="I29" s="48"/>
      <c r="J29" s="222">
        <v>46054</v>
      </c>
      <c r="K29" s="47" t="s">
        <v>1562</v>
      </c>
      <c r="L29" s="52"/>
      <c r="M29" s="52"/>
      <c r="N29" s="40" t="s">
        <v>107</v>
      </c>
      <c r="O29" s="40" t="s">
        <v>107</v>
      </c>
      <c r="P29" s="52">
        <v>1</v>
      </c>
      <c r="Q29" s="52" t="s">
        <v>111</v>
      </c>
      <c r="R29" s="58">
        <v>63903.05</v>
      </c>
      <c r="S29" s="58" t="s">
        <v>99</v>
      </c>
      <c r="T29" s="58">
        <v>-14380.240000000005</v>
      </c>
      <c r="U29" s="52" t="s">
        <v>105</v>
      </c>
      <c r="V29" s="52" t="s">
        <v>111</v>
      </c>
      <c r="W29" s="58">
        <v>81926.98</v>
      </c>
      <c r="X29" s="52" t="s">
        <v>17</v>
      </c>
      <c r="Y29" s="52" t="s">
        <v>99</v>
      </c>
      <c r="Z29" s="58">
        <v>-32404.17</v>
      </c>
      <c r="AA29" s="58" t="s">
        <v>111</v>
      </c>
      <c r="AB29" s="58">
        <v>49522.81</v>
      </c>
      <c r="AC29" s="52" t="s">
        <v>99</v>
      </c>
      <c r="AD29" s="58">
        <v>0</v>
      </c>
      <c r="AE29" s="52"/>
      <c r="AF29" s="58"/>
      <c r="AG29" s="58" t="s">
        <v>16</v>
      </c>
      <c r="AH29" s="58"/>
      <c r="AI29" s="47"/>
      <c r="AJ29" s="52"/>
    </row>
    <row r="30" spans="1:36" ht="12.5" x14ac:dyDescent="0.25">
      <c r="A30" s="47" t="s">
        <v>269</v>
      </c>
      <c r="B30" s="47" t="s">
        <v>1886</v>
      </c>
      <c r="C30" s="220">
        <v>10573671</v>
      </c>
      <c r="D30" s="220"/>
      <c r="E30" s="221">
        <v>46054</v>
      </c>
      <c r="F30" s="47" t="s">
        <v>111</v>
      </c>
      <c r="G30" s="48">
        <v>3103056.83</v>
      </c>
      <c r="H30" s="48">
        <v>3103056.83</v>
      </c>
      <c r="I30" s="48"/>
      <c r="J30" s="222">
        <v>46054</v>
      </c>
      <c r="K30" s="47" t="s">
        <v>1562</v>
      </c>
      <c r="L30" s="52"/>
      <c r="M30" s="52"/>
      <c r="N30" s="40" t="s">
        <v>107</v>
      </c>
      <c r="O30" s="40" t="s">
        <v>107</v>
      </c>
      <c r="P30" s="52">
        <v>1</v>
      </c>
      <c r="Q30" s="52" t="s">
        <v>111</v>
      </c>
      <c r="R30" s="58">
        <v>3996239.97</v>
      </c>
      <c r="S30" s="58" t="s">
        <v>99</v>
      </c>
      <c r="T30" s="58">
        <v>-893183.14000000013</v>
      </c>
      <c r="U30" s="52"/>
      <c r="V30" s="52"/>
      <c r="W30" s="58"/>
      <c r="X30" s="52" t="s">
        <v>17</v>
      </c>
      <c r="Y30" s="52" t="s">
        <v>16</v>
      </c>
      <c r="Z30" s="58"/>
      <c r="AA30" s="58" t="s">
        <v>111</v>
      </c>
      <c r="AB30" s="58">
        <v>3103056.83</v>
      </c>
      <c r="AC30" s="52" t="s">
        <v>99</v>
      </c>
      <c r="AD30" s="58">
        <v>0</v>
      </c>
      <c r="AE30" s="52"/>
      <c r="AF30" s="58"/>
      <c r="AG30" s="58" t="s">
        <v>16</v>
      </c>
      <c r="AH30" s="58"/>
      <c r="AI30" s="47"/>
      <c r="AJ30" s="52"/>
    </row>
    <row r="31" spans="1:36" ht="12.5" x14ac:dyDescent="0.25">
      <c r="A31" s="47" t="s">
        <v>350</v>
      </c>
      <c r="B31" s="47" t="s">
        <v>1372</v>
      </c>
      <c r="C31" s="220">
        <v>10573713</v>
      </c>
      <c r="D31" s="220"/>
      <c r="E31" s="221">
        <v>46054</v>
      </c>
      <c r="F31" s="47" t="s">
        <v>111</v>
      </c>
      <c r="G31" s="48">
        <v>3555946.49</v>
      </c>
      <c r="H31" s="48">
        <v>3555946.49</v>
      </c>
      <c r="I31" s="48"/>
      <c r="J31" s="222">
        <v>46054</v>
      </c>
      <c r="K31" s="47" t="s">
        <v>1562</v>
      </c>
      <c r="L31" s="52"/>
      <c r="M31" s="52"/>
      <c r="N31" s="40" t="s">
        <v>107</v>
      </c>
      <c r="O31" s="40" t="s">
        <v>107</v>
      </c>
      <c r="P31" s="52">
        <v>1</v>
      </c>
      <c r="Q31" s="52" t="s">
        <v>111</v>
      </c>
      <c r="R31" s="58">
        <v>3555946.49</v>
      </c>
      <c r="S31" s="58" t="s">
        <v>99</v>
      </c>
      <c r="T31" s="58">
        <v>0</v>
      </c>
      <c r="U31" s="52" t="s">
        <v>105</v>
      </c>
      <c r="V31" s="52" t="s">
        <v>111</v>
      </c>
      <c r="W31" s="58">
        <v>4558905.76</v>
      </c>
      <c r="X31" s="52" t="s">
        <v>17</v>
      </c>
      <c r="Y31" s="52" t="s">
        <v>99</v>
      </c>
      <c r="Z31" s="58">
        <v>-1002959.2699999996</v>
      </c>
      <c r="AA31" s="58" t="s">
        <v>111</v>
      </c>
      <c r="AB31" s="58">
        <v>3555946.49</v>
      </c>
      <c r="AC31" s="52" t="s">
        <v>99</v>
      </c>
      <c r="AD31" s="58">
        <v>0</v>
      </c>
      <c r="AE31" s="52"/>
      <c r="AF31" s="58"/>
      <c r="AG31" s="58" t="s">
        <v>16</v>
      </c>
      <c r="AH31" s="58"/>
      <c r="AI31" s="47"/>
      <c r="AJ31" s="52"/>
    </row>
    <row r="32" spans="1:36" ht="12.5" x14ac:dyDescent="0.25">
      <c r="A32" s="47" t="s">
        <v>151</v>
      </c>
      <c r="B32" s="47" t="s">
        <v>1887</v>
      </c>
      <c r="C32" s="220">
        <v>10573714</v>
      </c>
      <c r="D32" s="220"/>
      <c r="E32" s="221">
        <v>46054</v>
      </c>
      <c r="F32" s="47" t="s">
        <v>111</v>
      </c>
      <c r="G32" s="48">
        <v>1213582.99</v>
      </c>
      <c r="H32" s="48">
        <v>1213582.99</v>
      </c>
      <c r="I32" s="48"/>
      <c r="J32" s="222">
        <v>46054</v>
      </c>
      <c r="K32" s="47" t="s">
        <v>1562</v>
      </c>
      <c r="L32" s="52"/>
      <c r="M32" s="52"/>
      <c r="N32" s="40" t="s">
        <v>107</v>
      </c>
      <c r="O32" s="40" t="s">
        <v>107</v>
      </c>
      <c r="P32" s="52">
        <v>1</v>
      </c>
      <c r="Q32" s="52" t="s">
        <v>111</v>
      </c>
      <c r="R32" s="58">
        <v>1565978.29</v>
      </c>
      <c r="S32" s="58" t="s">
        <v>99</v>
      </c>
      <c r="T32" s="58">
        <v>-352395.30000000005</v>
      </c>
      <c r="U32" s="52" t="s">
        <v>105</v>
      </c>
      <c r="V32" s="52" t="s">
        <v>111</v>
      </c>
      <c r="W32" s="58">
        <v>2007664.47</v>
      </c>
      <c r="X32" s="52" t="s">
        <v>17</v>
      </c>
      <c r="Y32" s="52" t="s">
        <v>99</v>
      </c>
      <c r="Z32" s="58">
        <v>-794081.48</v>
      </c>
      <c r="AA32" s="58" t="s">
        <v>111</v>
      </c>
      <c r="AB32" s="58">
        <v>1213582.99</v>
      </c>
      <c r="AC32" s="52" t="s">
        <v>99</v>
      </c>
      <c r="AD32" s="58">
        <v>0</v>
      </c>
      <c r="AE32" s="52"/>
      <c r="AF32" s="58"/>
      <c r="AG32" s="58" t="s">
        <v>16</v>
      </c>
      <c r="AH32" s="58"/>
      <c r="AI32" s="47"/>
      <c r="AJ32" s="52"/>
    </row>
    <row r="33" spans="1:36" ht="12.5" x14ac:dyDescent="0.25">
      <c r="A33" s="47" t="s">
        <v>328</v>
      </c>
      <c r="B33" s="47" t="s">
        <v>1320</v>
      </c>
      <c r="C33" s="220">
        <v>10573729</v>
      </c>
      <c r="D33" s="220"/>
      <c r="E33" s="221">
        <v>46054</v>
      </c>
      <c r="F33" s="47" t="s">
        <v>111</v>
      </c>
      <c r="G33" s="48">
        <v>778166.34</v>
      </c>
      <c r="H33" s="48">
        <v>778166.34</v>
      </c>
      <c r="I33" s="48"/>
      <c r="J33" s="222">
        <v>46054</v>
      </c>
      <c r="K33" s="47" t="s">
        <v>1562</v>
      </c>
      <c r="L33" s="52"/>
      <c r="M33" s="52"/>
      <c r="N33" s="40" t="s">
        <v>107</v>
      </c>
      <c r="O33" s="40" t="s">
        <v>107</v>
      </c>
      <c r="P33" s="52">
        <v>1</v>
      </c>
      <c r="Q33" s="52" t="s">
        <v>111</v>
      </c>
      <c r="R33" s="58">
        <v>778166.34</v>
      </c>
      <c r="S33" s="58" t="s">
        <v>99</v>
      </c>
      <c r="T33" s="58">
        <v>0</v>
      </c>
      <c r="U33" s="52" t="s">
        <v>105</v>
      </c>
      <c r="V33" s="52" t="s">
        <v>111</v>
      </c>
      <c r="W33" s="58">
        <v>997649.16</v>
      </c>
      <c r="X33" s="52" t="s">
        <v>17</v>
      </c>
      <c r="Y33" s="52" t="s">
        <v>99</v>
      </c>
      <c r="Z33" s="58">
        <v>-219482.82000000007</v>
      </c>
      <c r="AA33" s="58" t="s">
        <v>111</v>
      </c>
      <c r="AB33" s="58">
        <v>778166.35</v>
      </c>
      <c r="AC33" s="52" t="s">
        <v>99</v>
      </c>
      <c r="AD33" s="58">
        <v>-1.0000000009313226E-2</v>
      </c>
      <c r="AE33" s="52"/>
      <c r="AF33" s="58"/>
      <c r="AG33" s="58" t="s">
        <v>16</v>
      </c>
      <c r="AH33" s="58"/>
      <c r="AI33" s="47"/>
      <c r="AJ33" s="52"/>
    </row>
    <row r="34" spans="1:36" ht="12.5" x14ac:dyDescent="0.25">
      <c r="A34" s="47" t="s">
        <v>387</v>
      </c>
      <c r="B34" s="47" t="s">
        <v>1888</v>
      </c>
      <c r="C34" s="220">
        <v>10573658</v>
      </c>
      <c r="D34" s="220"/>
      <c r="E34" s="221">
        <v>46054</v>
      </c>
      <c r="F34" s="47" t="s">
        <v>111</v>
      </c>
      <c r="G34" s="48">
        <v>232842.32</v>
      </c>
      <c r="H34" s="48">
        <v>232842.32</v>
      </c>
      <c r="I34" s="48"/>
      <c r="J34" s="222">
        <v>46054</v>
      </c>
      <c r="K34" s="47" t="s">
        <v>1562</v>
      </c>
      <c r="L34" s="52"/>
      <c r="M34" s="52"/>
      <c r="N34" s="40" t="s">
        <v>107</v>
      </c>
      <c r="O34" s="40" t="s">
        <v>107</v>
      </c>
      <c r="P34" s="52">
        <v>1</v>
      </c>
      <c r="Q34" s="52" t="s">
        <v>111</v>
      </c>
      <c r="R34" s="58">
        <v>232842.32</v>
      </c>
      <c r="S34" s="58" t="s">
        <v>99</v>
      </c>
      <c r="T34" s="58">
        <v>0</v>
      </c>
      <c r="U34" s="52" t="s">
        <v>105</v>
      </c>
      <c r="V34" s="52" t="s">
        <v>111</v>
      </c>
      <c r="W34" s="58">
        <v>298515.78999999998</v>
      </c>
      <c r="X34" s="52" t="s">
        <v>17</v>
      </c>
      <c r="Y34" s="52" t="s">
        <v>99</v>
      </c>
      <c r="Z34" s="58">
        <v>-65673.469999999972</v>
      </c>
      <c r="AA34" s="58" t="s">
        <v>111</v>
      </c>
      <c r="AB34" s="58">
        <v>232842.32</v>
      </c>
      <c r="AC34" s="52" t="s">
        <v>99</v>
      </c>
      <c r="AD34" s="58">
        <v>0</v>
      </c>
      <c r="AE34" s="52"/>
      <c r="AF34" s="58"/>
      <c r="AG34" s="58" t="s">
        <v>16</v>
      </c>
      <c r="AH34" s="58"/>
      <c r="AI34" s="47"/>
      <c r="AJ34" s="52"/>
    </row>
    <row r="35" spans="1:36" ht="12.5" x14ac:dyDescent="0.25">
      <c r="A35" s="47" t="s">
        <v>336</v>
      </c>
      <c r="B35" s="47" t="s">
        <v>1889</v>
      </c>
      <c r="C35" s="220">
        <v>10573712</v>
      </c>
      <c r="D35" s="220"/>
      <c r="E35" s="221">
        <v>46054</v>
      </c>
      <c r="F35" s="47" t="s">
        <v>111</v>
      </c>
      <c r="G35" s="48">
        <v>654685.18000000005</v>
      </c>
      <c r="H35" s="48">
        <v>654685.18000000005</v>
      </c>
      <c r="I35" s="48"/>
      <c r="J35" s="222">
        <v>46054</v>
      </c>
      <c r="K35" s="47" t="s">
        <v>1562</v>
      </c>
      <c r="L35" s="52"/>
      <c r="M35" s="52"/>
      <c r="N35" s="40" t="s">
        <v>107</v>
      </c>
      <c r="O35" s="40" t="s">
        <v>107</v>
      </c>
      <c r="P35" s="52">
        <v>1</v>
      </c>
      <c r="Q35" s="52" t="s">
        <v>111</v>
      </c>
      <c r="R35" s="58">
        <v>654685.17000000004</v>
      </c>
      <c r="S35" s="58" t="s">
        <v>99</v>
      </c>
      <c r="T35" s="58">
        <v>1.0000000009313226E-2</v>
      </c>
      <c r="U35" s="52" t="s">
        <v>105</v>
      </c>
      <c r="V35" s="52" t="s">
        <v>111</v>
      </c>
      <c r="W35" s="58">
        <v>839339.97</v>
      </c>
      <c r="X35" s="52" t="s">
        <v>17</v>
      </c>
      <c r="Y35" s="52" t="s">
        <v>99</v>
      </c>
      <c r="Z35" s="58">
        <v>-184654.78999999992</v>
      </c>
      <c r="AA35" s="58" t="s">
        <v>111</v>
      </c>
      <c r="AB35" s="58">
        <v>654685.17000000004</v>
      </c>
      <c r="AC35" s="52" t="s">
        <v>99</v>
      </c>
      <c r="AD35" s="58">
        <v>1.0000000009313226E-2</v>
      </c>
      <c r="AE35" s="52"/>
      <c r="AF35" s="58"/>
      <c r="AG35" s="58" t="s">
        <v>16</v>
      </c>
      <c r="AH35" s="58"/>
      <c r="AI35" s="47"/>
      <c r="AJ35" s="52"/>
    </row>
    <row r="36" spans="1:36" ht="12.5" x14ac:dyDescent="0.25">
      <c r="A36" s="47" t="s">
        <v>141</v>
      </c>
      <c r="B36" s="47" t="s">
        <v>1890</v>
      </c>
      <c r="C36" s="220">
        <v>10573738</v>
      </c>
      <c r="D36" s="220"/>
      <c r="E36" s="221">
        <v>46054</v>
      </c>
      <c r="F36" s="47" t="s">
        <v>111</v>
      </c>
      <c r="G36" s="48">
        <v>10782309.779999999</v>
      </c>
      <c r="H36" s="48">
        <v>10782309.779999999</v>
      </c>
      <c r="I36" s="48"/>
      <c r="J36" s="222">
        <v>46054</v>
      </c>
      <c r="K36" s="47" t="s">
        <v>1562</v>
      </c>
      <c r="L36" s="52"/>
      <c r="M36" s="52"/>
      <c r="N36" s="40" t="s">
        <v>107</v>
      </c>
      <c r="O36" s="40" t="s">
        <v>107</v>
      </c>
      <c r="P36" s="52">
        <v>1</v>
      </c>
      <c r="Q36" s="52" t="s">
        <v>111</v>
      </c>
      <c r="R36" s="58">
        <v>13885887.27</v>
      </c>
      <c r="S36" s="58" t="s">
        <v>99</v>
      </c>
      <c r="T36" s="58">
        <v>-3103577.49</v>
      </c>
      <c r="U36" s="52"/>
      <c r="V36" s="52"/>
      <c r="W36" s="58"/>
      <c r="X36" s="52" t="s">
        <v>17</v>
      </c>
      <c r="Y36" s="52" t="s">
        <v>16</v>
      </c>
      <c r="Z36" s="58"/>
      <c r="AA36" s="58" t="s">
        <v>111</v>
      </c>
      <c r="AB36" s="58">
        <v>10782309.779999999</v>
      </c>
      <c r="AC36" s="52" t="s">
        <v>99</v>
      </c>
      <c r="AD36" s="58">
        <v>0</v>
      </c>
      <c r="AE36" s="52"/>
      <c r="AF36" s="58"/>
      <c r="AG36" s="58" t="s">
        <v>16</v>
      </c>
      <c r="AH36" s="58"/>
      <c r="AI36" s="47"/>
      <c r="AJ36" s="52"/>
    </row>
    <row r="37" spans="1:36" ht="12.5" x14ac:dyDescent="0.25">
      <c r="A37" s="47" t="s">
        <v>227</v>
      </c>
      <c r="B37" s="47" t="s">
        <v>1060</v>
      </c>
      <c r="C37" s="220">
        <v>10573647</v>
      </c>
      <c r="D37" s="220"/>
      <c r="E37" s="221">
        <v>46054</v>
      </c>
      <c r="F37" s="47" t="s">
        <v>111</v>
      </c>
      <c r="G37" s="48">
        <v>2395517.71</v>
      </c>
      <c r="H37" s="48">
        <v>2395517.71</v>
      </c>
      <c r="I37" s="48"/>
      <c r="J37" s="222">
        <v>46054</v>
      </c>
      <c r="K37" s="47" t="s">
        <v>1562</v>
      </c>
      <c r="L37" s="52"/>
      <c r="M37" s="52"/>
      <c r="N37" s="40" t="s">
        <v>107</v>
      </c>
      <c r="O37" s="40" t="s">
        <v>107</v>
      </c>
      <c r="P37" s="52">
        <v>1</v>
      </c>
      <c r="Q37" s="52" t="s">
        <v>111</v>
      </c>
      <c r="R37" s="58">
        <v>3091118.43</v>
      </c>
      <c r="S37" s="58" t="s">
        <v>99</v>
      </c>
      <c r="T37" s="58">
        <v>-695600.7200000002</v>
      </c>
      <c r="U37" s="52" t="s">
        <v>105</v>
      </c>
      <c r="V37" s="52" t="s">
        <v>111</v>
      </c>
      <c r="W37" s="58">
        <v>3962972.35</v>
      </c>
      <c r="X37" s="52" t="s">
        <v>17</v>
      </c>
      <c r="Y37" s="52" t="s">
        <v>99</v>
      </c>
      <c r="Z37" s="58">
        <v>-1567454.6400000001</v>
      </c>
      <c r="AA37" s="58" t="s">
        <v>111</v>
      </c>
      <c r="AB37" s="58">
        <v>2395517.7000000002</v>
      </c>
      <c r="AC37" s="52" t="s">
        <v>99</v>
      </c>
      <c r="AD37" s="58">
        <v>9.9999997764825821E-3</v>
      </c>
      <c r="AE37" s="52"/>
      <c r="AF37" s="58"/>
      <c r="AG37" s="58" t="s">
        <v>16</v>
      </c>
      <c r="AH37" s="58"/>
      <c r="AI37" s="47"/>
      <c r="AJ37" s="52"/>
    </row>
    <row r="38" spans="1:36" ht="12.5" x14ac:dyDescent="0.25">
      <c r="A38" s="47" t="s">
        <v>106</v>
      </c>
      <c r="B38" s="47" t="s">
        <v>1891</v>
      </c>
      <c r="C38" s="220">
        <v>10573708</v>
      </c>
      <c r="D38" s="220"/>
      <c r="E38" s="221">
        <v>46054</v>
      </c>
      <c r="F38" s="47" t="s">
        <v>111</v>
      </c>
      <c r="G38" s="48">
        <v>551201.18000000005</v>
      </c>
      <c r="H38" s="48">
        <v>551201.18000000005</v>
      </c>
      <c r="I38" s="48"/>
      <c r="J38" s="222">
        <v>46054</v>
      </c>
      <c r="K38" s="47" t="s">
        <v>1562</v>
      </c>
      <c r="L38" s="52"/>
      <c r="M38" s="52"/>
      <c r="N38" s="40" t="s">
        <v>107</v>
      </c>
      <c r="O38" s="40" t="s">
        <v>435</v>
      </c>
      <c r="P38" s="52">
        <v>1</v>
      </c>
      <c r="Q38" s="52" t="s">
        <v>111</v>
      </c>
      <c r="R38" s="58">
        <v>711256.74</v>
      </c>
      <c r="S38" s="58" t="s">
        <v>99</v>
      </c>
      <c r="T38" s="58">
        <v>-160055.55999999994</v>
      </c>
      <c r="U38" s="52" t="s">
        <v>105</v>
      </c>
      <c r="V38" s="52" t="s">
        <v>111</v>
      </c>
      <c r="W38" s="58">
        <v>911867.62</v>
      </c>
      <c r="X38" s="52" t="s">
        <v>17</v>
      </c>
      <c r="Y38" s="52" t="s">
        <v>99</v>
      </c>
      <c r="Z38" s="58">
        <v>-360666.43999999994</v>
      </c>
      <c r="AA38" s="58" t="s">
        <v>111</v>
      </c>
      <c r="AB38" s="58">
        <v>551201.18000000005</v>
      </c>
      <c r="AC38" s="52" t="s">
        <v>99</v>
      </c>
      <c r="AD38" s="58">
        <v>0</v>
      </c>
      <c r="AE38" s="52"/>
      <c r="AF38" s="58"/>
      <c r="AG38" s="58" t="s">
        <v>16</v>
      </c>
      <c r="AH38" s="58"/>
      <c r="AI38" s="47"/>
      <c r="AJ38" s="52"/>
    </row>
    <row r="39" spans="1:36" ht="12.5" x14ac:dyDescent="0.25">
      <c r="A39" s="47" t="s">
        <v>254</v>
      </c>
      <c r="B39" s="47" t="s">
        <v>1127</v>
      </c>
      <c r="C39" s="220">
        <v>10573666</v>
      </c>
      <c r="D39" s="220"/>
      <c r="E39" s="221">
        <v>46054</v>
      </c>
      <c r="F39" s="47" t="s">
        <v>111</v>
      </c>
      <c r="G39" s="48">
        <v>998033.13</v>
      </c>
      <c r="H39" s="48">
        <v>998033.13</v>
      </c>
      <c r="I39" s="48"/>
      <c r="J39" s="222">
        <v>46054</v>
      </c>
      <c r="K39" s="47" t="s">
        <v>1562</v>
      </c>
      <c r="L39" s="52"/>
      <c r="M39" s="52"/>
      <c r="N39" s="40" t="s">
        <v>107</v>
      </c>
      <c r="O39" s="40" t="s">
        <v>107</v>
      </c>
      <c r="P39" s="52">
        <v>1</v>
      </c>
      <c r="Q39" s="52" t="s">
        <v>111</v>
      </c>
      <c r="R39" s="58">
        <v>1287837.94</v>
      </c>
      <c r="S39" s="58" t="s">
        <v>99</v>
      </c>
      <c r="T39" s="58">
        <v>-289804.80999999994</v>
      </c>
      <c r="U39" s="52" t="s">
        <v>105</v>
      </c>
      <c r="V39" s="52" t="s">
        <v>111</v>
      </c>
      <c r="W39" s="58">
        <v>1651074.27</v>
      </c>
      <c r="X39" s="52" t="s">
        <v>17</v>
      </c>
      <c r="Y39" s="52" t="s">
        <v>99</v>
      </c>
      <c r="Z39" s="58">
        <v>-653041.14</v>
      </c>
      <c r="AA39" s="58" t="s">
        <v>111</v>
      </c>
      <c r="AB39" s="58">
        <v>998033.13</v>
      </c>
      <c r="AC39" s="52" t="s">
        <v>99</v>
      </c>
      <c r="AD39" s="58">
        <v>0</v>
      </c>
      <c r="AE39" s="52"/>
      <c r="AF39" s="58"/>
      <c r="AG39" s="58" t="s">
        <v>16</v>
      </c>
      <c r="AH39" s="58"/>
      <c r="AI39" s="47"/>
      <c r="AJ39" s="52"/>
    </row>
    <row r="40" spans="1:36" ht="12.5" x14ac:dyDescent="0.25">
      <c r="A40" s="47" t="s">
        <v>113</v>
      </c>
      <c r="B40" s="47" t="s">
        <v>1892</v>
      </c>
      <c r="C40" s="220">
        <v>10573709</v>
      </c>
      <c r="D40" s="220"/>
      <c r="E40" s="221">
        <v>46054</v>
      </c>
      <c r="F40" s="47" t="s">
        <v>111</v>
      </c>
      <c r="G40" s="48">
        <v>2330587.08</v>
      </c>
      <c r="H40" s="48">
        <v>2330587.08</v>
      </c>
      <c r="I40" s="48"/>
      <c r="J40" s="222">
        <v>46054</v>
      </c>
      <c r="K40" s="47" t="s">
        <v>1562</v>
      </c>
      <c r="L40" s="52"/>
      <c r="M40" s="52"/>
      <c r="N40" s="40" t="s">
        <v>107</v>
      </c>
      <c r="O40" s="40" t="s">
        <v>107</v>
      </c>
      <c r="P40" s="52">
        <v>1</v>
      </c>
      <c r="Q40" s="52" t="s">
        <v>111</v>
      </c>
      <c r="R40" s="58">
        <v>3007333.52</v>
      </c>
      <c r="S40" s="58" t="s">
        <v>99</v>
      </c>
      <c r="T40" s="58">
        <v>-676746.44</v>
      </c>
      <c r="U40" s="52" t="s">
        <v>105</v>
      </c>
      <c r="V40" s="52" t="s">
        <v>111</v>
      </c>
      <c r="W40" s="58">
        <v>3855555.78</v>
      </c>
      <c r="X40" s="52" t="s">
        <v>17</v>
      </c>
      <c r="Y40" s="52" t="s">
        <v>99</v>
      </c>
      <c r="Z40" s="58">
        <v>-1524968.6999999997</v>
      </c>
      <c r="AA40" s="58" t="s">
        <v>111</v>
      </c>
      <c r="AB40" s="58">
        <v>2330587.09</v>
      </c>
      <c r="AC40" s="52" t="s">
        <v>99</v>
      </c>
      <c r="AD40" s="58">
        <v>-9.9999997764825821E-3</v>
      </c>
      <c r="AE40" s="52"/>
      <c r="AF40" s="58"/>
      <c r="AG40" s="58" t="s">
        <v>16</v>
      </c>
      <c r="AH40" s="58"/>
      <c r="AI40" s="47"/>
      <c r="AJ40" s="52"/>
    </row>
    <row r="41" spans="1:36" ht="12.5" x14ac:dyDescent="0.25">
      <c r="A41" s="47" t="s">
        <v>155</v>
      </c>
      <c r="B41" s="47" t="s">
        <v>872</v>
      </c>
      <c r="C41" s="220">
        <v>10573720</v>
      </c>
      <c r="D41" s="220"/>
      <c r="E41" s="221">
        <v>46054</v>
      </c>
      <c r="F41" s="47" t="s">
        <v>111</v>
      </c>
      <c r="G41" s="48">
        <v>1880159.04</v>
      </c>
      <c r="H41" s="48">
        <v>1880159.04</v>
      </c>
      <c r="I41" s="48"/>
      <c r="J41" s="222">
        <v>46054</v>
      </c>
      <c r="K41" s="47" t="s">
        <v>1562</v>
      </c>
      <c r="L41" s="52"/>
      <c r="M41" s="52"/>
      <c r="N41" s="40" t="s">
        <v>107</v>
      </c>
      <c r="O41" s="40" t="s">
        <v>107</v>
      </c>
      <c r="P41" s="52">
        <v>1</v>
      </c>
      <c r="Q41" s="52" t="s">
        <v>111</v>
      </c>
      <c r="R41" s="58">
        <v>2426112</v>
      </c>
      <c r="S41" s="58" t="s">
        <v>99</v>
      </c>
      <c r="T41" s="58">
        <v>-545952.96</v>
      </c>
      <c r="U41" s="52" t="s">
        <v>105</v>
      </c>
      <c r="V41" s="52" t="s">
        <v>111</v>
      </c>
      <c r="W41" s="58">
        <v>3110400</v>
      </c>
      <c r="X41" s="52" t="s">
        <v>17</v>
      </c>
      <c r="Y41" s="52" t="s">
        <v>99</v>
      </c>
      <c r="Z41" s="58">
        <v>-1230240.96</v>
      </c>
      <c r="AA41" s="58" t="s">
        <v>111</v>
      </c>
      <c r="AB41" s="58">
        <v>1880159.04</v>
      </c>
      <c r="AC41" s="52" t="s">
        <v>99</v>
      </c>
      <c r="AD41" s="58">
        <v>0</v>
      </c>
      <c r="AE41" s="52"/>
      <c r="AF41" s="58"/>
      <c r="AG41" s="58" t="s">
        <v>16</v>
      </c>
      <c r="AH41" s="58"/>
      <c r="AI41" s="47"/>
      <c r="AJ41" s="52"/>
    </row>
    <row r="42" spans="1:36" ht="12.5" x14ac:dyDescent="0.25">
      <c r="A42" s="47" t="s">
        <v>176</v>
      </c>
      <c r="B42" s="47" t="s">
        <v>1893</v>
      </c>
      <c r="C42" s="220">
        <v>10573626</v>
      </c>
      <c r="D42" s="220"/>
      <c r="E42" s="221">
        <v>46054</v>
      </c>
      <c r="F42" s="47" t="s">
        <v>111</v>
      </c>
      <c r="G42" s="48">
        <v>2940148.22</v>
      </c>
      <c r="H42" s="48">
        <v>2940148.22</v>
      </c>
      <c r="I42" s="48"/>
      <c r="J42" s="222">
        <v>46054</v>
      </c>
      <c r="K42" s="47" t="s">
        <v>1562</v>
      </c>
      <c r="L42" s="52"/>
      <c r="M42" s="52"/>
      <c r="N42" s="40" t="s">
        <v>107</v>
      </c>
      <c r="O42" s="40" t="s">
        <v>107</v>
      </c>
      <c r="P42" s="52">
        <v>1</v>
      </c>
      <c r="Q42" s="52" t="s">
        <v>111</v>
      </c>
      <c r="R42" s="58">
        <v>3786439.79</v>
      </c>
      <c r="S42" s="58" t="s">
        <v>99</v>
      </c>
      <c r="T42" s="58">
        <v>-846291.56999999983</v>
      </c>
      <c r="U42" s="52"/>
      <c r="V42" s="52"/>
      <c r="W42" s="58"/>
      <c r="X42" s="52" t="s">
        <v>17</v>
      </c>
      <c r="Y42" s="52" t="s">
        <v>16</v>
      </c>
      <c r="Z42" s="58"/>
      <c r="AA42" s="58" t="s">
        <v>111</v>
      </c>
      <c r="AB42" s="58">
        <v>2940148.23</v>
      </c>
      <c r="AC42" s="52" t="s">
        <v>99</v>
      </c>
      <c r="AD42" s="58">
        <v>-9.9999997764825821E-3</v>
      </c>
      <c r="AE42" s="52"/>
      <c r="AF42" s="58"/>
      <c r="AG42" s="58" t="s">
        <v>16</v>
      </c>
      <c r="AH42" s="58"/>
      <c r="AI42" s="47"/>
      <c r="AJ42" s="52"/>
    </row>
    <row r="43" spans="1:36" ht="12.5" x14ac:dyDescent="0.25">
      <c r="A43" s="47" t="s">
        <v>185</v>
      </c>
      <c r="B43" s="47" t="s">
        <v>1894</v>
      </c>
      <c r="C43" s="220">
        <v>10573653</v>
      </c>
      <c r="D43" s="220"/>
      <c r="E43" s="221">
        <v>46054</v>
      </c>
      <c r="F43" s="47" t="s">
        <v>111</v>
      </c>
      <c r="G43" s="48">
        <v>3753901.16</v>
      </c>
      <c r="H43" s="48">
        <v>3753901.16</v>
      </c>
      <c r="I43" s="48"/>
      <c r="J43" s="222">
        <v>46054</v>
      </c>
      <c r="K43" s="47" t="s">
        <v>1562</v>
      </c>
      <c r="L43" s="52"/>
      <c r="M43" s="52"/>
      <c r="N43" s="40" t="s">
        <v>107</v>
      </c>
      <c r="O43" s="40" t="s">
        <v>107</v>
      </c>
      <c r="P43" s="52">
        <v>1</v>
      </c>
      <c r="Q43" s="52" t="s">
        <v>111</v>
      </c>
      <c r="R43" s="58">
        <v>4843943.7699999996</v>
      </c>
      <c r="S43" s="58" t="s">
        <v>99</v>
      </c>
      <c r="T43" s="58">
        <v>-1090042.6099999994</v>
      </c>
      <c r="U43" s="52" t="s">
        <v>105</v>
      </c>
      <c r="V43" s="52" t="s">
        <v>111</v>
      </c>
      <c r="W43" s="58">
        <v>6210184.3099999996</v>
      </c>
      <c r="X43" s="52" t="s">
        <v>17</v>
      </c>
      <c r="Y43" s="52" t="s">
        <v>99</v>
      </c>
      <c r="Z43" s="58">
        <v>-2456283.1499999994</v>
      </c>
      <c r="AA43" s="58" t="s">
        <v>111</v>
      </c>
      <c r="AB43" s="58">
        <v>3753901.17</v>
      </c>
      <c r="AC43" s="52" t="s">
        <v>99</v>
      </c>
      <c r="AD43" s="58">
        <v>-9.9999997764825821E-3</v>
      </c>
      <c r="AE43" s="52"/>
      <c r="AF43" s="58"/>
      <c r="AG43" s="58" t="s">
        <v>16</v>
      </c>
      <c r="AH43" s="58"/>
      <c r="AI43" s="47"/>
      <c r="AJ43" s="52"/>
    </row>
    <row r="44" spans="1:36" ht="12.5" x14ac:dyDescent="0.25">
      <c r="A44" s="47" t="s">
        <v>188</v>
      </c>
      <c r="B44" s="47" t="s">
        <v>1895</v>
      </c>
      <c r="C44" s="220">
        <v>10573679</v>
      </c>
      <c r="D44" s="220"/>
      <c r="E44" s="221">
        <v>46054</v>
      </c>
      <c r="F44" s="47" t="s">
        <v>111</v>
      </c>
      <c r="G44" s="48">
        <v>3352682.93</v>
      </c>
      <c r="H44" s="48">
        <v>3352682.93</v>
      </c>
      <c r="I44" s="48"/>
      <c r="J44" s="222">
        <v>46054</v>
      </c>
      <c r="K44" s="47" t="s">
        <v>1562</v>
      </c>
      <c r="L44" s="52"/>
      <c r="M44" s="52"/>
      <c r="N44" s="40" t="s">
        <v>107</v>
      </c>
      <c r="O44" s="40" t="s">
        <v>107</v>
      </c>
      <c r="P44" s="52">
        <v>1</v>
      </c>
      <c r="Q44" s="52" t="s">
        <v>111</v>
      </c>
      <c r="R44" s="58">
        <v>4326221.41</v>
      </c>
      <c r="S44" s="58" t="s">
        <v>99</v>
      </c>
      <c r="T44" s="58">
        <v>-973538.48</v>
      </c>
      <c r="U44" s="52" t="s">
        <v>105</v>
      </c>
      <c r="V44" s="52" t="s">
        <v>111</v>
      </c>
      <c r="W44" s="58">
        <v>5546437.7000000002</v>
      </c>
      <c r="X44" s="52" t="s">
        <v>17</v>
      </c>
      <c r="Y44" s="52" t="s">
        <v>99</v>
      </c>
      <c r="Z44" s="58">
        <v>-2193754.77</v>
      </c>
      <c r="AA44" s="58" t="s">
        <v>111</v>
      </c>
      <c r="AB44" s="58">
        <v>3352682.93</v>
      </c>
      <c r="AC44" s="52" t="s">
        <v>99</v>
      </c>
      <c r="AD44" s="58">
        <v>0</v>
      </c>
      <c r="AE44" s="52"/>
      <c r="AF44" s="58"/>
      <c r="AG44" s="58" t="s">
        <v>16</v>
      </c>
      <c r="AH44" s="58"/>
      <c r="AI44" s="47"/>
      <c r="AJ44" s="52"/>
    </row>
    <row r="45" spans="1:36" ht="12.5" x14ac:dyDescent="0.25">
      <c r="A45" s="47" t="s">
        <v>159</v>
      </c>
      <c r="B45" s="47" t="s">
        <v>883</v>
      </c>
      <c r="C45" s="220">
        <v>10573735</v>
      </c>
      <c r="D45" s="220"/>
      <c r="E45" s="221">
        <v>46054</v>
      </c>
      <c r="F45" s="47" t="s">
        <v>111</v>
      </c>
      <c r="G45" s="48">
        <v>1880159.04</v>
      </c>
      <c r="H45" s="48">
        <v>1880159.04</v>
      </c>
      <c r="I45" s="48"/>
      <c r="J45" s="222">
        <v>46054</v>
      </c>
      <c r="K45" s="47" t="s">
        <v>1562</v>
      </c>
      <c r="L45" s="52"/>
      <c r="M45" s="52"/>
      <c r="N45" s="40" t="s">
        <v>107</v>
      </c>
      <c r="O45" s="40" t="s">
        <v>107</v>
      </c>
      <c r="P45" s="52">
        <v>1</v>
      </c>
      <c r="Q45" s="52" t="s">
        <v>111</v>
      </c>
      <c r="R45" s="58">
        <v>2426112</v>
      </c>
      <c r="S45" s="58" t="s">
        <v>99</v>
      </c>
      <c r="T45" s="58">
        <v>-545952.96</v>
      </c>
      <c r="U45" s="52" t="s">
        <v>105</v>
      </c>
      <c r="V45" s="52" t="s">
        <v>111</v>
      </c>
      <c r="W45" s="58">
        <v>3110400</v>
      </c>
      <c r="X45" s="52" t="s">
        <v>17</v>
      </c>
      <c r="Y45" s="52" t="s">
        <v>99</v>
      </c>
      <c r="Z45" s="58">
        <v>-1230240.96</v>
      </c>
      <c r="AA45" s="58" t="s">
        <v>111</v>
      </c>
      <c r="AB45" s="58">
        <v>1880159.04</v>
      </c>
      <c r="AC45" s="52" t="s">
        <v>99</v>
      </c>
      <c r="AD45" s="58">
        <v>0</v>
      </c>
      <c r="AE45" s="52"/>
      <c r="AF45" s="58"/>
      <c r="AG45" s="58" t="s">
        <v>16</v>
      </c>
      <c r="AH45" s="58"/>
      <c r="AI45" s="47"/>
      <c r="AJ45" s="52"/>
    </row>
    <row r="46" spans="1:36" ht="12.5" x14ac:dyDescent="0.25">
      <c r="A46" s="47" t="s">
        <v>182</v>
      </c>
      <c r="B46" s="47" t="s">
        <v>1893</v>
      </c>
      <c r="C46" s="220">
        <v>10573678</v>
      </c>
      <c r="D46" s="220"/>
      <c r="E46" s="221">
        <v>46054</v>
      </c>
      <c r="F46" s="47" t="s">
        <v>111</v>
      </c>
      <c r="G46" s="48">
        <v>930489.45</v>
      </c>
      <c r="H46" s="48">
        <v>930489.45</v>
      </c>
      <c r="I46" s="48"/>
      <c r="J46" s="222">
        <v>46054</v>
      </c>
      <c r="K46" s="47" t="s">
        <v>1562</v>
      </c>
      <c r="L46" s="52"/>
      <c r="M46" s="52"/>
      <c r="N46" s="40" t="s">
        <v>107</v>
      </c>
      <c r="O46" s="40" t="s">
        <v>107</v>
      </c>
      <c r="P46" s="52">
        <v>1</v>
      </c>
      <c r="Q46" s="52" t="s">
        <v>111</v>
      </c>
      <c r="R46" s="58">
        <v>1013994.9</v>
      </c>
      <c r="S46" s="58" t="s">
        <v>99</v>
      </c>
      <c r="T46" s="58">
        <v>-83505.45000000007</v>
      </c>
      <c r="U46" s="52"/>
      <c r="V46" s="52"/>
      <c r="W46" s="58"/>
      <c r="X46" s="52" t="s">
        <v>17</v>
      </c>
      <c r="Y46" s="52" t="s">
        <v>16</v>
      </c>
      <c r="Z46" s="58"/>
      <c r="AA46" s="58" t="s">
        <v>111</v>
      </c>
      <c r="AB46" s="58">
        <v>930489.44</v>
      </c>
      <c r="AC46" s="52" t="s">
        <v>99</v>
      </c>
      <c r="AD46" s="58">
        <v>1.0000000009313226E-2</v>
      </c>
      <c r="AE46" s="52"/>
      <c r="AF46" s="58"/>
      <c r="AG46" s="58" t="s">
        <v>16</v>
      </c>
      <c r="AH46" s="58"/>
      <c r="AI46" s="47"/>
      <c r="AJ46" s="52"/>
    </row>
    <row r="47" spans="1:36" ht="12.5" x14ac:dyDescent="0.25">
      <c r="A47" s="47" t="s">
        <v>262</v>
      </c>
      <c r="B47" s="47" t="s">
        <v>1896</v>
      </c>
      <c r="C47" s="220">
        <v>10573696</v>
      </c>
      <c r="D47" s="220"/>
      <c r="E47" s="221">
        <v>46054</v>
      </c>
      <c r="F47" s="47" t="s">
        <v>111</v>
      </c>
      <c r="G47" s="48">
        <v>4830663.0599999996</v>
      </c>
      <c r="H47" s="48">
        <v>4830663.0599999996</v>
      </c>
      <c r="I47" s="48"/>
      <c r="J47" s="222">
        <v>46054</v>
      </c>
      <c r="K47" s="47" t="s">
        <v>1562</v>
      </c>
      <c r="L47" s="52"/>
      <c r="M47" s="52"/>
      <c r="N47" s="40" t="s">
        <v>107</v>
      </c>
      <c r="O47" s="40" t="s">
        <v>107</v>
      </c>
      <c r="P47" s="52">
        <v>1</v>
      </c>
      <c r="Q47" s="52" t="s">
        <v>111</v>
      </c>
      <c r="R47" s="58">
        <v>6233371.4100000001</v>
      </c>
      <c r="S47" s="58" t="s">
        <v>99</v>
      </c>
      <c r="T47" s="58">
        <v>-1402708.3500000006</v>
      </c>
      <c r="U47" s="52" t="s">
        <v>105</v>
      </c>
      <c r="V47" s="52" t="s">
        <v>111</v>
      </c>
      <c r="W47" s="58">
        <v>7991501.8200000003</v>
      </c>
      <c r="X47" s="52" t="s">
        <v>17</v>
      </c>
      <c r="Y47" s="52" t="s">
        <v>99</v>
      </c>
      <c r="Z47" s="58">
        <v>-3160838.7600000007</v>
      </c>
      <c r="AA47" s="58" t="s">
        <v>111</v>
      </c>
      <c r="AB47" s="58">
        <v>4830663.04</v>
      </c>
      <c r="AC47" s="52" t="s">
        <v>99</v>
      </c>
      <c r="AD47" s="58">
        <v>1.9999999552965164E-2</v>
      </c>
      <c r="AE47" s="52"/>
      <c r="AF47" s="58"/>
      <c r="AG47" s="58" t="s">
        <v>16</v>
      </c>
      <c r="AH47" s="58"/>
      <c r="AI47" s="47"/>
      <c r="AJ47" s="52"/>
    </row>
    <row r="48" spans="1:36" ht="12.5" x14ac:dyDescent="0.25">
      <c r="A48" s="47" t="s">
        <v>129</v>
      </c>
      <c r="B48" s="47" t="s">
        <v>1897</v>
      </c>
      <c r="C48" s="220">
        <v>10573619</v>
      </c>
      <c r="D48" s="220"/>
      <c r="E48" s="221">
        <v>46054</v>
      </c>
      <c r="F48" s="47" t="s">
        <v>111</v>
      </c>
      <c r="G48" s="48">
        <v>767600.57</v>
      </c>
      <c r="H48" s="48">
        <v>767600.57</v>
      </c>
      <c r="I48" s="48"/>
      <c r="J48" s="222">
        <v>46054</v>
      </c>
      <c r="K48" s="47" t="s">
        <v>1562</v>
      </c>
      <c r="L48" s="52"/>
      <c r="M48" s="52"/>
      <c r="N48" s="40" t="s">
        <v>107</v>
      </c>
      <c r="O48" s="40" t="s">
        <v>107</v>
      </c>
      <c r="P48" s="52">
        <v>1</v>
      </c>
      <c r="Q48" s="52" t="s">
        <v>111</v>
      </c>
      <c r="R48" s="58">
        <v>990493.31</v>
      </c>
      <c r="S48" s="58" t="s">
        <v>99</v>
      </c>
      <c r="T48" s="58">
        <v>-222892.74000000011</v>
      </c>
      <c r="U48" s="52" t="s">
        <v>105</v>
      </c>
      <c r="V48" s="52" t="s">
        <v>111</v>
      </c>
      <c r="W48" s="58">
        <v>1269863.23</v>
      </c>
      <c r="X48" s="52" t="s">
        <v>17</v>
      </c>
      <c r="Y48" s="52" t="s">
        <v>99</v>
      </c>
      <c r="Z48" s="58">
        <v>-502262.66000000003</v>
      </c>
      <c r="AA48" s="58" t="s">
        <v>111</v>
      </c>
      <c r="AB48" s="58">
        <v>767600.57</v>
      </c>
      <c r="AC48" s="52" t="s">
        <v>99</v>
      </c>
      <c r="AD48" s="58">
        <v>0</v>
      </c>
      <c r="AE48" s="52"/>
      <c r="AF48" s="58"/>
      <c r="AG48" s="58" t="s">
        <v>16</v>
      </c>
      <c r="AH48" s="58"/>
      <c r="AI48" s="47"/>
      <c r="AJ48" s="52"/>
    </row>
    <row r="49" spans="1:36" ht="12.5" x14ac:dyDescent="0.25">
      <c r="A49" s="47" t="s">
        <v>381</v>
      </c>
      <c r="B49" s="47" t="s">
        <v>1898</v>
      </c>
      <c r="C49" s="220">
        <v>10573659</v>
      </c>
      <c r="D49" s="220"/>
      <c r="E49" s="221">
        <v>46054</v>
      </c>
      <c r="F49" s="47" t="s">
        <v>111</v>
      </c>
      <c r="G49" s="48">
        <v>7195447.7599999998</v>
      </c>
      <c r="H49" s="48">
        <v>7195447.7599999998</v>
      </c>
      <c r="I49" s="48"/>
      <c r="J49" s="222">
        <v>46054</v>
      </c>
      <c r="K49" s="47" t="s">
        <v>1562</v>
      </c>
      <c r="L49" s="52"/>
      <c r="M49" s="52"/>
      <c r="N49" s="40" t="s">
        <v>107</v>
      </c>
      <c r="O49" s="40" t="s">
        <v>107</v>
      </c>
      <c r="P49" s="52">
        <v>1</v>
      </c>
      <c r="Q49" s="52" t="s">
        <v>111</v>
      </c>
      <c r="R49" s="58">
        <v>7841193.0700000003</v>
      </c>
      <c r="S49" s="58" t="s">
        <v>99</v>
      </c>
      <c r="T49" s="58">
        <v>-645745.31000000052</v>
      </c>
      <c r="U49" s="52"/>
      <c r="V49" s="52"/>
      <c r="W49" s="58"/>
      <c r="X49" s="52" t="s">
        <v>17</v>
      </c>
      <c r="Y49" s="52" t="s">
        <v>16</v>
      </c>
      <c r="Z49" s="58"/>
      <c r="AA49" s="58" t="s">
        <v>111</v>
      </c>
      <c r="AB49" s="58">
        <v>7195447.7599999998</v>
      </c>
      <c r="AC49" s="52" t="s">
        <v>99</v>
      </c>
      <c r="AD49" s="58">
        <v>0</v>
      </c>
      <c r="AE49" s="52"/>
      <c r="AF49" s="58"/>
      <c r="AG49" s="58" t="s">
        <v>16</v>
      </c>
      <c r="AH49" s="58"/>
      <c r="AI49" s="47"/>
      <c r="AJ49" s="52"/>
    </row>
    <row r="50" spans="1:36" ht="12.5" x14ac:dyDescent="0.25">
      <c r="A50" s="47" t="s">
        <v>300</v>
      </c>
      <c r="B50" s="47" t="s">
        <v>1248</v>
      </c>
      <c r="C50" s="220">
        <v>10572880</v>
      </c>
      <c r="D50" s="220"/>
      <c r="E50" s="221">
        <v>46054</v>
      </c>
      <c r="F50" s="47" t="s">
        <v>95</v>
      </c>
      <c r="G50" s="48">
        <v>1463.7</v>
      </c>
      <c r="H50" s="48">
        <v>1463.7</v>
      </c>
      <c r="I50" s="48"/>
      <c r="J50" s="222">
        <v>46054</v>
      </c>
      <c r="K50" s="47" t="s">
        <v>1562</v>
      </c>
      <c r="L50" s="52"/>
      <c r="M50" s="52"/>
      <c r="N50" s="40" t="s">
        <v>107</v>
      </c>
      <c r="O50" s="40" t="s">
        <v>107</v>
      </c>
      <c r="P50" s="52">
        <v>1</v>
      </c>
      <c r="Q50" s="52" t="s">
        <v>95</v>
      </c>
      <c r="R50" s="58">
        <v>1463.7</v>
      </c>
      <c r="S50" s="58" t="s">
        <v>99</v>
      </c>
      <c r="T50" s="58">
        <v>0</v>
      </c>
      <c r="U50" s="52" t="s">
        <v>105</v>
      </c>
      <c r="V50" s="52" t="s">
        <v>95</v>
      </c>
      <c r="W50" s="58">
        <v>1722</v>
      </c>
      <c r="X50" s="52" t="s">
        <v>17</v>
      </c>
      <c r="Y50" s="52" t="s">
        <v>99</v>
      </c>
      <c r="Z50" s="58">
        <v>-258.29999999999995</v>
      </c>
      <c r="AA50" s="58" t="s">
        <v>95</v>
      </c>
      <c r="AB50" s="58">
        <v>1463.7</v>
      </c>
      <c r="AC50" s="52" t="s">
        <v>99</v>
      </c>
      <c r="AD50" s="58">
        <v>0</v>
      </c>
      <c r="AE50" s="52"/>
      <c r="AF50" s="58"/>
      <c r="AG50" s="58" t="s">
        <v>16</v>
      </c>
      <c r="AH50" s="58"/>
      <c r="AI50" s="47"/>
      <c r="AJ50" s="52"/>
    </row>
    <row r="51" spans="1:36" ht="12.5" x14ac:dyDescent="0.25">
      <c r="A51" s="47" t="s">
        <v>347</v>
      </c>
      <c r="B51" s="47" t="s">
        <v>1364</v>
      </c>
      <c r="C51" s="220">
        <v>10573646</v>
      </c>
      <c r="D51" s="220"/>
      <c r="E51" s="221">
        <v>46054</v>
      </c>
      <c r="F51" s="47" t="s">
        <v>111</v>
      </c>
      <c r="G51" s="48">
        <v>1815515.57</v>
      </c>
      <c r="H51" s="48">
        <v>1815515.57</v>
      </c>
      <c r="I51" s="48"/>
      <c r="J51" s="222">
        <v>46054</v>
      </c>
      <c r="K51" s="47" t="s">
        <v>1562</v>
      </c>
      <c r="L51" s="52"/>
      <c r="M51" s="52"/>
      <c r="N51" s="40" t="s">
        <v>107</v>
      </c>
      <c r="O51" s="40" t="s">
        <v>107</v>
      </c>
      <c r="P51" s="52">
        <v>1</v>
      </c>
      <c r="Q51" s="52" t="s">
        <v>111</v>
      </c>
      <c r="R51" s="58">
        <v>1815515.57</v>
      </c>
      <c r="S51" s="58" t="s">
        <v>99</v>
      </c>
      <c r="T51" s="58">
        <v>0</v>
      </c>
      <c r="U51" s="52" t="s">
        <v>105</v>
      </c>
      <c r="V51" s="52" t="s">
        <v>111</v>
      </c>
      <c r="W51" s="58">
        <v>2327584.0699999998</v>
      </c>
      <c r="X51" s="52" t="s">
        <v>17</v>
      </c>
      <c r="Y51" s="52" t="s">
        <v>99</v>
      </c>
      <c r="Z51" s="58">
        <v>-512068.49999999977</v>
      </c>
      <c r="AA51" s="58" t="s">
        <v>111</v>
      </c>
      <c r="AB51" s="58">
        <v>1815515.57</v>
      </c>
      <c r="AC51" s="52" t="s">
        <v>99</v>
      </c>
      <c r="AD51" s="58">
        <v>0</v>
      </c>
      <c r="AE51" s="52"/>
      <c r="AF51" s="58"/>
      <c r="AG51" s="58" t="s">
        <v>16</v>
      </c>
      <c r="AH51" s="58"/>
      <c r="AI51" s="47"/>
      <c r="AJ51" s="52"/>
    </row>
    <row r="52" spans="1:36" ht="12.5" x14ac:dyDescent="0.25">
      <c r="A52" s="47" t="s">
        <v>207</v>
      </c>
      <c r="B52" s="47" t="s">
        <v>1899</v>
      </c>
      <c r="C52" s="220">
        <v>10573736</v>
      </c>
      <c r="D52" s="220"/>
      <c r="E52" s="221">
        <v>46054</v>
      </c>
      <c r="F52" s="47" t="s">
        <v>111</v>
      </c>
      <c r="G52" s="48">
        <v>1014222.71</v>
      </c>
      <c r="H52" s="48">
        <v>1014222.71</v>
      </c>
      <c r="I52" s="48"/>
      <c r="J52" s="222">
        <v>46054</v>
      </c>
      <c r="K52" s="47" t="s">
        <v>1562</v>
      </c>
      <c r="L52" s="52"/>
      <c r="M52" s="52"/>
      <c r="N52" s="40" t="s">
        <v>107</v>
      </c>
      <c r="O52" s="40" t="s">
        <v>107</v>
      </c>
      <c r="P52" s="52">
        <v>1</v>
      </c>
      <c r="Q52" s="52" t="s">
        <v>111</v>
      </c>
      <c r="R52" s="58">
        <v>1308728.58</v>
      </c>
      <c r="S52" s="58" t="s">
        <v>99</v>
      </c>
      <c r="T52" s="58">
        <v>-294505.87000000011</v>
      </c>
      <c r="U52" s="52" t="s">
        <v>105</v>
      </c>
      <c r="V52" s="52" t="s">
        <v>111</v>
      </c>
      <c r="W52" s="58">
        <v>1677857.16</v>
      </c>
      <c r="X52" s="52" t="s">
        <v>17</v>
      </c>
      <c r="Y52" s="52" t="s">
        <v>99</v>
      </c>
      <c r="Z52" s="58">
        <v>-663634.44999999995</v>
      </c>
      <c r="AA52" s="58" t="s">
        <v>111</v>
      </c>
      <c r="AB52" s="58">
        <v>1014222.71</v>
      </c>
      <c r="AC52" s="52" t="s">
        <v>99</v>
      </c>
      <c r="AD52" s="58">
        <v>0</v>
      </c>
      <c r="AE52" s="52"/>
      <c r="AF52" s="58"/>
      <c r="AG52" s="58" t="s">
        <v>16</v>
      </c>
      <c r="AH52" s="58"/>
      <c r="AI52" s="47"/>
      <c r="AJ52" s="52"/>
    </row>
    <row r="53" spans="1:36" ht="12.5" x14ac:dyDescent="0.25">
      <c r="A53" s="47" t="s">
        <v>193</v>
      </c>
      <c r="B53" s="47" t="s">
        <v>1900</v>
      </c>
      <c r="C53" s="220">
        <v>10573627</v>
      </c>
      <c r="D53" s="220"/>
      <c r="E53" s="221">
        <v>46054</v>
      </c>
      <c r="F53" s="47" t="s">
        <v>111</v>
      </c>
      <c r="G53" s="48">
        <v>4178131.18</v>
      </c>
      <c r="H53" s="48">
        <v>4178131.18</v>
      </c>
      <c r="I53" s="48"/>
      <c r="J53" s="222">
        <v>46054</v>
      </c>
      <c r="K53" s="47" t="s">
        <v>1562</v>
      </c>
      <c r="L53" s="52"/>
      <c r="M53" s="52"/>
      <c r="N53" s="40" t="s">
        <v>107</v>
      </c>
      <c r="O53" s="40" t="s">
        <v>107</v>
      </c>
      <c r="P53" s="52">
        <v>1</v>
      </c>
      <c r="Q53" s="52" t="s">
        <v>111</v>
      </c>
      <c r="R53" s="58">
        <v>5391360</v>
      </c>
      <c r="S53" s="58" t="s">
        <v>99</v>
      </c>
      <c r="T53" s="58">
        <v>-1213228.8199999998</v>
      </c>
      <c r="U53" s="52" t="s">
        <v>105</v>
      </c>
      <c r="V53" s="52" t="s">
        <v>111</v>
      </c>
      <c r="W53" s="58">
        <v>6912000</v>
      </c>
      <c r="X53" s="52" t="s">
        <v>17</v>
      </c>
      <c r="Y53" s="52" t="s">
        <v>99</v>
      </c>
      <c r="Z53" s="58">
        <v>-2733868.82</v>
      </c>
      <c r="AA53" s="58" t="s">
        <v>111</v>
      </c>
      <c r="AB53" s="58">
        <v>4178131.18</v>
      </c>
      <c r="AC53" s="52" t="s">
        <v>99</v>
      </c>
      <c r="AD53" s="58">
        <v>0</v>
      </c>
      <c r="AE53" s="52"/>
      <c r="AF53" s="58"/>
      <c r="AG53" s="58" t="s">
        <v>16</v>
      </c>
      <c r="AH53" s="58"/>
      <c r="AI53" s="47"/>
      <c r="AJ53" s="52"/>
    </row>
    <row r="54" spans="1:36" ht="12.5" x14ac:dyDescent="0.25">
      <c r="A54" s="47" t="s">
        <v>362</v>
      </c>
      <c r="B54" s="47" t="s">
        <v>1901</v>
      </c>
      <c r="C54" s="220">
        <v>10573651</v>
      </c>
      <c r="D54" s="220"/>
      <c r="E54" s="221">
        <v>46054</v>
      </c>
      <c r="F54" s="47" t="s">
        <v>111</v>
      </c>
      <c r="G54" s="48">
        <v>779470.54</v>
      </c>
      <c r="H54" s="48">
        <v>779470.54</v>
      </c>
      <c r="I54" s="48"/>
      <c r="J54" s="222">
        <v>46054</v>
      </c>
      <c r="K54" s="47" t="s">
        <v>1562</v>
      </c>
      <c r="L54" s="52"/>
      <c r="M54" s="52"/>
      <c r="N54" s="40" t="s">
        <v>107</v>
      </c>
      <c r="O54" s="40" t="s">
        <v>107</v>
      </c>
      <c r="P54" s="52">
        <v>1</v>
      </c>
      <c r="Q54" s="52" t="s">
        <v>111</v>
      </c>
      <c r="R54" s="58">
        <v>779470.54</v>
      </c>
      <c r="S54" s="58" t="s">
        <v>99</v>
      </c>
      <c r="T54" s="58">
        <v>0</v>
      </c>
      <c r="U54" s="52" t="s">
        <v>105</v>
      </c>
      <c r="V54" s="52" t="s">
        <v>111</v>
      </c>
      <c r="W54" s="58">
        <v>999321.21</v>
      </c>
      <c r="X54" s="52" t="s">
        <v>17</v>
      </c>
      <c r="Y54" s="52" t="s">
        <v>99</v>
      </c>
      <c r="Z54" s="58">
        <v>-219850.66999999993</v>
      </c>
      <c r="AA54" s="58" t="s">
        <v>111</v>
      </c>
      <c r="AB54" s="58">
        <v>779470.54</v>
      </c>
      <c r="AC54" s="52" t="s">
        <v>99</v>
      </c>
      <c r="AD54" s="58">
        <v>0</v>
      </c>
      <c r="AE54" s="52"/>
      <c r="AF54" s="58"/>
      <c r="AG54" s="58" t="s">
        <v>16</v>
      </c>
      <c r="AH54" s="58"/>
      <c r="AI54" s="47"/>
      <c r="AJ54" s="52"/>
    </row>
    <row r="55" spans="1:36" ht="12.5" x14ac:dyDescent="0.25">
      <c r="A55" s="47" t="s">
        <v>356</v>
      </c>
      <c r="B55" s="47" t="s">
        <v>1902</v>
      </c>
      <c r="C55" s="220">
        <v>10573683</v>
      </c>
      <c r="D55" s="220"/>
      <c r="E55" s="221">
        <v>46054</v>
      </c>
      <c r="F55" s="47" t="s">
        <v>111</v>
      </c>
      <c r="G55" s="48">
        <v>2827777.68</v>
      </c>
      <c r="H55" s="48">
        <v>2827777.68</v>
      </c>
      <c r="I55" s="48"/>
      <c r="J55" s="222">
        <v>46054</v>
      </c>
      <c r="K55" s="47" t="s">
        <v>1562</v>
      </c>
      <c r="L55" s="52"/>
      <c r="M55" s="52"/>
      <c r="N55" s="40" t="s">
        <v>107</v>
      </c>
      <c r="O55" s="40" t="s">
        <v>107</v>
      </c>
      <c r="P55" s="52">
        <v>1</v>
      </c>
      <c r="Q55" s="52" t="s">
        <v>111</v>
      </c>
      <c r="R55" s="58">
        <v>2827777.68</v>
      </c>
      <c r="S55" s="58" t="s">
        <v>99</v>
      </c>
      <c r="T55" s="58">
        <v>0</v>
      </c>
      <c r="U55" s="52" t="s">
        <v>105</v>
      </c>
      <c r="V55" s="52" t="s">
        <v>111</v>
      </c>
      <c r="W55" s="58">
        <v>3625356</v>
      </c>
      <c r="X55" s="52" t="s">
        <v>17</v>
      </c>
      <c r="Y55" s="52" t="s">
        <v>99</v>
      </c>
      <c r="Z55" s="58">
        <v>-797578.31999999983</v>
      </c>
      <c r="AA55" s="58" t="s">
        <v>111</v>
      </c>
      <c r="AB55" s="58">
        <v>2827777.68</v>
      </c>
      <c r="AC55" s="52" t="s">
        <v>99</v>
      </c>
      <c r="AD55" s="58">
        <v>0</v>
      </c>
      <c r="AE55" s="52"/>
      <c r="AF55" s="58"/>
      <c r="AG55" s="58" t="s">
        <v>16</v>
      </c>
      <c r="AH55" s="58"/>
      <c r="AI55" s="47"/>
      <c r="AJ55" s="52"/>
    </row>
    <row r="56" spans="1:36" ht="12.5" x14ac:dyDescent="0.25">
      <c r="A56" s="47" t="s">
        <v>218</v>
      </c>
      <c r="B56" s="47" t="s">
        <v>1037</v>
      </c>
      <c r="C56" s="220">
        <v>10573693</v>
      </c>
      <c r="D56" s="220"/>
      <c r="E56" s="221">
        <v>46054</v>
      </c>
      <c r="F56" s="47" t="s">
        <v>111</v>
      </c>
      <c r="G56" s="48">
        <v>540858.18999999994</v>
      </c>
      <c r="H56" s="48">
        <v>540858.18999999994</v>
      </c>
      <c r="I56" s="48"/>
      <c r="J56" s="222">
        <v>46054</v>
      </c>
      <c r="K56" s="47" t="s">
        <v>1562</v>
      </c>
      <c r="L56" s="52"/>
      <c r="M56" s="52"/>
      <c r="N56" s="40" t="s">
        <v>107</v>
      </c>
      <c r="O56" s="40" t="s">
        <v>107</v>
      </c>
      <c r="P56" s="52">
        <v>1</v>
      </c>
      <c r="Q56" s="52" t="s">
        <v>111</v>
      </c>
      <c r="R56" s="58">
        <v>697910.39</v>
      </c>
      <c r="S56" s="58" t="s">
        <v>99</v>
      </c>
      <c r="T56" s="58">
        <v>-157052.20000000007</v>
      </c>
      <c r="U56" s="52" t="s">
        <v>105</v>
      </c>
      <c r="V56" s="52" t="s">
        <v>111</v>
      </c>
      <c r="W56" s="58">
        <v>894756.92</v>
      </c>
      <c r="X56" s="52" t="s">
        <v>17</v>
      </c>
      <c r="Y56" s="52" t="s">
        <v>99</v>
      </c>
      <c r="Z56" s="58">
        <v>-353898.7300000001</v>
      </c>
      <c r="AA56" s="58" t="s">
        <v>111</v>
      </c>
      <c r="AB56" s="58">
        <v>540858.18000000005</v>
      </c>
      <c r="AC56" s="52" t="s">
        <v>99</v>
      </c>
      <c r="AD56" s="58">
        <v>9.9999998928979039E-3</v>
      </c>
      <c r="AE56" s="52"/>
      <c r="AF56" s="58"/>
      <c r="AG56" s="58" t="s">
        <v>16</v>
      </c>
      <c r="AH56" s="58"/>
      <c r="AI56" s="47"/>
      <c r="AJ56" s="52"/>
    </row>
    <row r="57" spans="1:36" ht="12.5" x14ac:dyDescent="0.25">
      <c r="A57" s="47" t="s">
        <v>314</v>
      </c>
      <c r="B57" s="47" t="s">
        <v>1903</v>
      </c>
      <c r="C57" s="220">
        <v>10573624</v>
      </c>
      <c r="D57" s="220"/>
      <c r="E57" s="221">
        <v>46054</v>
      </c>
      <c r="F57" s="47" t="s">
        <v>111</v>
      </c>
      <c r="G57" s="48">
        <v>1504869.77</v>
      </c>
      <c r="H57" s="48">
        <v>1504869.77</v>
      </c>
      <c r="I57" s="48"/>
      <c r="J57" s="222">
        <v>46054</v>
      </c>
      <c r="K57" s="47" t="s">
        <v>1562</v>
      </c>
      <c r="L57" s="52"/>
      <c r="M57" s="52"/>
      <c r="N57" s="40" t="s">
        <v>107</v>
      </c>
      <c r="O57" s="40" t="s">
        <v>107</v>
      </c>
      <c r="P57" s="52">
        <v>1</v>
      </c>
      <c r="Q57" s="52" t="s">
        <v>111</v>
      </c>
      <c r="R57" s="58">
        <v>1941847.75</v>
      </c>
      <c r="S57" s="58" t="s">
        <v>99</v>
      </c>
      <c r="T57" s="58">
        <v>-436977.98</v>
      </c>
      <c r="U57" s="52" t="s">
        <v>105</v>
      </c>
      <c r="V57" s="52" t="s">
        <v>111</v>
      </c>
      <c r="W57" s="58">
        <v>2489548.39</v>
      </c>
      <c r="X57" s="52" t="s">
        <v>17</v>
      </c>
      <c r="Y57" s="52" t="s">
        <v>99</v>
      </c>
      <c r="Z57" s="58">
        <v>-984678.62000000011</v>
      </c>
      <c r="AA57" s="58" t="s">
        <v>111</v>
      </c>
      <c r="AB57" s="58">
        <v>1504869.77</v>
      </c>
      <c r="AC57" s="52" t="s">
        <v>99</v>
      </c>
      <c r="AD57" s="58">
        <v>0</v>
      </c>
      <c r="AE57" s="52"/>
      <c r="AF57" s="58"/>
      <c r="AG57" s="58" t="s">
        <v>16</v>
      </c>
      <c r="AH57" s="58"/>
      <c r="AI57" s="47"/>
      <c r="AJ57" s="52"/>
    </row>
    <row r="58" spans="1:36" ht="12.5" x14ac:dyDescent="0.25">
      <c r="A58" s="47" t="s">
        <v>307</v>
      </c>
      <c r="B58" s="47" t="s">
        <v>1904</v>
      </c>
      <c r="C58" s="220">
        <v>10573673</v>
      </c>
      <c r="D58" s="220"/>
      <c r="E58" s="221">
        <v>46054</v>
      </c>
      <c r="F58" s="47" t="s">
        <v>111</v>
      </c>
      <c r="G58" s="48">
        <v>2952718.93</v>
      </c>
      <c r="H58" s="48">
        <v>2952718.93</v>
      </c>
      <c r="I58" s="48"/>
      <c r="J58" s="222">
        <v>46054</v>
      </c>
      <c r="K58" s="47" t="s">
        <v>1562</v>
      </c>
      <c r="L58" s="52"/>
      <c r="M58" s="52"/>
      <c r="N58" s="40" t="s">
        <v>107</v>
      </c>
      <c r="O58" s="40" t="s">
        <v>107</v>
      </c>
      <c r="P58" s="52">
        <v>1</v>
      </c>
      <c r="Q58" s="52" t="s">
        <v>111</v>
      </c>
      <c r="R58" s="58">
        <v>3810117.48</v>
      </c>
      <c r="S58" s="58" t="s">
        <v>99</v>
      </c>
      <c r="T58" s="58">
        <v>-857398.54999999981</v>
      </c>
      <c r="U58" s="52" t="s">
        <v>105</v>
      </c>
      <c r="V58" s="52" t="s">
        <v>111</v>
      </c>
      <c r="W58" s="58">
        <v>4884766</v>
      </c>
      <c r="X58" s="52" t="s">
        <v>17</v>
      </c>
      <c r="Y58" s="52" t="s">
        <v>99</v>
      </c>
      <c r="Z58" s="58">
        <v>-1932047.0699999998</v>
      </c>
      <c r="AA58" s="58" t="s">
        <v>111</v>
      </c>
      <c r="AB58" s="58">
        <v>2952718.93</v>
      </c>
      <c r="AC58" s="52" t="s">
        <v>99</v>
      </c>
      <c r="AD58" s="58">
        <v>0</v>
      </c>
      <c r="AE58" s="52"/>
      <c r="AF58" s="58"/>
      <c r="AG58" s="58" t="s">
        <v>16</v>
      </c>
      <c r="AH58" s="58"/>
      <c r="AI58" s="47"/>
      <c r="AJ58" s="52"/>
    </row>
    <row r="59" spans="1:36" ht="12.5" x14ac:dyDescent="0.25">
      <c r="A59" s="47" t="s">
        <v>282</v>
      </c>
      <c r="B59" s="47" t="s">
        <v>1905</v>
      </c>
      <c r="C59" s="220">
        <v>10573655</v>
      </c>
      <c r="D59" s="220"/>
      <c r="E59" s="221">
        <v>46054</v>
      </c>
      <c r="F59" s="47" t="s">
        <v>111</v>
      </c>
      <c r="G59" s="48">
        <v>482688.16</v>
      </c>
      <c r="H59" s="48">
        <v>482688.16</v>
      </c>
      <c r="I59" s="48"/>
      <c r="J59" s="222">
        <v>46054</v>
      </c>
      <c r="K59" s="47" t="s">
        <v>1562</v>
      </c>
      <c r="L59" s="52"/>
      <c r="M59" s="52"/>
      <c r="N59" s="40" t="s">
        <v>107</v>
      </c>
      <c r="O59" s="40" t="s">
        <v>107</v>
      </c>
      <c r="P59" s="52">
        <v>1</v>
      </c>
      <c r="Q59" s="52" t="s">
        <v>111</v>
      </c>
      <c r="R59" s="58">
        <v>622849.19999999995</v>
      </c>
      <c r="S59" s="58" t="s">
        <v>99</v>
      </c>
      <c r="T59" s="58">
        <v>-140161.03999999998</v>
      </c>
      <c r="U59" s="52" t="s">
        <v>105</v>
      </c>
      <c r="V59" s="52" t="s">
        <v>111</v>
      </c>
      <c r="W59" s="58">
        <v>798524.61</v>
      </c>
      <c r="X59" s="52" t="s">
        <v>17</v>
      </c>
      <c r="Y59" s="52" t="s">
        <v>99</v>
      </c>
      <c r="Z59" s="58">
        <v>-315836.45</v>
      </c>
      <c r="AA59" s="58" t="s">
        <v>111</v>
      </c>
      <c r="AB59" s="58">
        <v>482688.16</v>
      </c>
      <c r="AC59" s="52" t="s">
        <v>99</v>
      </c>
      <c r="AD59" s="58">
        <v>0</v>
      </c>
      <c r="AE59" s="52"/>
      <c r="AF59" s="58"/>
      <c r="AG59" s="58" t="s">
        <v>16</v>
      </c>
      <c r="AH59" s="58"/>
      <c r="AI59" s="47"/>
      <c r="AJ59" s="52"/>
    </row>
    <row r="60" spans="1:36" ht="12.5" x14ac:dyDescent="0.25">
      <c r="A60" s="47" t="s">
        <v>384</v>
      </c>
      <c r="B60" s="47" t="s">
        <v>1450</v>
      </c>
      <c r="C60" s="220">
        <v>10573684</v>
      </c>
      <c r="D60" s="220"/>
      <c r="E60" s="221">
        <v>46054</v>
      </c>
      <c r="F60" s="47" t="s">
        <v>111</v>
      </c>
      <c r="G60" s="48">
        <v>181151.04</v>
      </c>
      <c r="H60" s="48">
        <v>181151.04</v>
      </c>
      <c r="I60" s="48"/>
      <c r="J60" s="222">
        <v>46054</v>
      </c>
      <c r="K60" s="47" t="s">
        <v>1562</v>
      </c>
      <c r="L60" s="52"/>
      <c r="M60" s="52"/>
      <c r="N60" s="40" t="s">
        <v>107</v>
      </c>
      <c r="O60" s="40" t="s">
        <v>107</v>
      </c>
      <c r="P60" s="52">
        <v>1</v>
      </c>
      <c r="Q60" s="52" t="s">
        <v>111</v>
      </c>
      <c r="R60" s="58">
        <v>181151.04</v>
      </c>
      <c r="S60" s="58" t="s">
        <v>99</v>
      </c>
      <c r="T60" s="58">
        <v>0</v>
      </c>
      <c r="U60" s="52" t="s">
        <v>105</v>
      </c>
      <c r="V60" s="52" t="s">
        <v>111</v>
      </c>
      <c r="W60" s="58">
        <v>232244.92</v>
      </c>
      <c r="X60" s="52" t="s">
        <v>17</v>
      </c>
      <c r="Y60" s="52" t="s">
        <v>99</v>
      </c>
      <c r="Z60" s="58">
        <v>-51093.880000000005</v>
      </c>
      <c r="AA60" s="58" t="s">
        <v>111</v>
      </c>
      <c r="AB60" s="58">
        <v>181151.04</v>
      </c>
      <c r="AC60" s="52" t="s">
        <v>99</v>
      </c>
      <c r="AD60" s="58">
        <v>0</v>
      </c>
      <c r="AE60" s="52"/>
      <c r="AF60" s="58"/>
      <c r="AG60" s="58" t="s">
        <v>16</v>
      </c>
      <c r="AH60" s="58"/>
      <c r="AI60" s="47"/>
      <c r="AJ60" s="52"/>
    </row>
    <row r="61" spans="1:36" ht="12.5" x14ac:dyDescent="0.25">
      <c r="A61" s="47" t="s">
        <v>211</v>
      </c>
      <c r="B61" s="47" t="s">
        <v>1906</v>
      </c>
      <c r="C61" s="220">
        <v>10573702</v>
      </c>
      <c r="D61" s="220"/>
      <c r="E61" s="221">
        <v>46054</v>
      </c>
      <c r="F61" s="47" t="s">
        <v>111</v>
      </c>
      <c r="G61" s="48">
        <v>1288636.54</v>
      </c>
      <c r="H61" s="48">
        <v>1288636.54</v>
      </c>
      <c r="I61" s="48"/>
      <c r="J61" s="222">
        <v>46054</v>
      </c>
      <c r="K61" s="47" t="s">
        <v>1562</v>
      </c>
      <c r="L61" s="52"/>
      <c r="M61" s="52"/>
      <c r="N61" s="40" t="s">
        <v>107</v>
      </c>
      <c r="O61" s="40" t="s">
        <v>107</v>
      </c>
      <c r="P61" s="52">
        <v>1</v>
      </c>
      <c r="Q61" s="52" t="s">
        <v>111</v>
      </c>
      <c r="R61" s="58">
        <v>1659557.37</v>
      </c>
      <c r="S61" s="58" t="s">
        <v>99</v>
      </c>
      <c r="T61" s="58">
        <v>-370920.83000000007</v>
      </c>
      <c r="U61" s="52"/>
      <c r="V61" s="52"/>
      <c r="W61" s="58"/>
      <c r="X61" s="52" t="s">
        <v>17</v>
      </c>
      <c r="Y61" s="52" t="s">
        <v>16</v>
      </c>
      <c r="Z61" s="58"/>
      <c r="AA61" s="58" t="s">
        <v>111</v>
      </c>
      <c r="AB61" s="58">
        <v>1288636.54</v>
      </c>
      <c r="AC61" s="52" t="s">
        <v>99</v>
      </c>
      <c r="AD61" s="58">
        <v>0</v>
      </c>
      <c r="AE61" s="52"/>
      <c r="AF61" s="58"/>
      <c r="AG61" s="58" t="s">
        <v>16</v>
      </c>
      <c r="AH61" s="58"/>
      <c r="AI61" s="47"/>
      <c r="AJ61" s="52"/>
    </row>
    <row r="62" spans="1:36" ht="12.5" x14ac:dyDescent="0.25">
      <c r="A62" s="47" t="s">
        <v>168</v>
      </c>
      <c r="B62" s="47" t="s">
        <v>1907</v>
      </c>
      <c r="C62" s="220">
        <v>10573652</v>
      </c>
      <c r="D62" s="220"/>
      <c r="E62" s="221">
        <v>46054</v>
      </c>
      <c r="F62" s="47" t="s">
        <v>111</v>
      </c>
      <c r="G62" s="48">
        <v>729431.15</v>
      </c>
      <c r="H62" s="48">
        <v>729431.15</v>
      </c>
      <c r="I62" s="48"/>
      <c r="J62" s="222">
        <v>46054</v>
      </c>
      <c r="K62" s="47" t="s">
        <v>1562</v>
      </c>
      <c r="L62" s="52"/>
      <c r="M62" s="52"/>
      <c r="N62" s="40" t="s">
        <v>107</v>
      </c>
      <c r="O62" s="40" t="s">
        <v>107</v>
      </c>
      <c r="P62" s="52">
        <v>1</v>
      </c>
      <c r="Q62" s="52" t="s">
        <v>111</v>
      </c>
      <c r="R62" s="58">
        <v>941240.41</v>
      </c>
      <c r="S62" s="58" t="s">
        <v>99</v>
      </c>
      <c r="T62" s="58">
        <v>-211809.26</v>
      </c>
      <c r="U62" s="52" t="s">
        <v>105</v>
      </c>
      <c r="V62" s="52" t="s">
        <v>111</v>
      </c>
      <c r="W62" s="58">
        <v>1206718.48</v>
      </c>
      <c r="X62" s="52" t="s">
        <v>17</v>
      </c>
      <c r="Y62" s="52" t="s">
        <v>99</v>
      </c>
      <c r="Z62" s="58">
        <v>-477287.32999999996</v>
      </c>
      <c r="AA62" s="58" t="s">
        <v>111</v>
      </c>
      <c r="AB62" s="58">
        <v>729431.15</v>
      </c>
      <c r="AC62" s="52" t="s">
        <v>99</v>
      </c>
      <c r="AD62" s="58">
        <v>0</v>
      </c>
      <c r="AE62" s="52"/>
      <c r="AF62" s="58"/>
      <c r="AG62" s="58" t="s">
        <v>16</v>
      </c>
      <c r="AH62" s="58"/>
      <c r="AI62" s="47"/>
      <c r="AJ62" s="52"/>
    </row>
    <row r="63" spans="1:36" ht="12.5" x14ac:dyDescent="0.25">
      <c r="A63" s="47" t="s">
        <v>296</v>
      </c>
      <c r="B63" s="47" t="s">
        <v>1238</v>
      </c>
      <c r="C63" s="220">
        <v>10572898</v>
      </c>
      <c r="D63" s="220"/>
      <c r="E63" s="221">
        <v>46054</v>
      </c>
      <c r="F63" s="47" t="s">
        <v>95</v>
      </c>
      <c r="G63" s="48">
        <v>7.1</v>
      </c>
      <c r="H63" s="48">
        <v>7.1</v>
      </c>
      <c r="I63" s="48"/>
      <c r="J63" s="222">
        <v>46054</v>
      </c>
      <c r="K63" s="47" t="s">
        <v>1562</v>
      </c>
      <c r="L63" s="52"/>
      <c r="M63" s="52"/>
      <c r="N63" s="40" t="s">
        <v>107</v>
      </c>
      <c r="O63" s="40" t="s">
        <v>107</v>
      </c>
      <c r="P63" s="52">
        <v>1</v>
      </c>
      <c r="Q63" s="52" t="s">
        <v>95</v>
      </c>
      <c r="R63" s="58">
        <v>7.1</v>
      </c>
      <c r="S63" s="58" t="s">
        <v>99</v>
      </c>
      <c r="T63" s="58">
        <v>0</v>
      </c>
      <c r="U63" s="52" t="s">
        <v>105</v>
      </c>
      <c r="V63" s="52" t="s">
        <v>95</v>
      </c>
      <c r="W63" s="58">
        <v>8.35</v>
      </c>
      <c r="X63" s="52" t="s">
        <v>17</v>
      </c>
      <c r="Y63" s="52" t="s">
        <v>99</v>
      </c>
      <c r="Z63" s="58">
        <v>-1.25</v>
      </c>
      <c r="AA63" s="58" t="s">
        <v>95</v>
      </c>
      <c r="AB63" s="58">
        <v>7.1</v>
      </c>
      <c r="AC63" s="52" t="s">
        <v>99</v>
      </c>
      <c r="AD63" s="58">
        <v>0</v>
      </c>
      <c r="AE63" s="52"/>
      <c r="AF63" s="58"/>
      <c r="AG63" s="58" t="s">
        <v>16</v>
      </c>
      <c r="AH63" s="58"/>
      <c r="AI63" s="47"/>
      <c r="AJ63" s="52"/>
    </row>
    <row r="64" spans="1:36" ht="12.5" x14ac:dyDescent="0.25">
      <c r="A64" s="47" t="s">
        <v>236</v>
      </c>
      <c r="B64" s="47" t="s">
        <v>1908</v>
      </c>
      <c r="C64" s="220">
        <v>10573628</v>
      </c>
      <c r="D64" s="220"/>
      <c r="E64" s="221">
        <v>46054</v>
      </c>
      <c r="F64" s="47" t="s">
        <v>111</v>
      </c>
      <c r="G64" s="48">
        <v>1027143.13</v>
      </c>
      <c r="H64" s="48">
        <v>1027143.13</v>
      </c>
      <c r="I64" s="48"/>
      <c r="J64" s="222">
        <v>46054</v>
      </c>
      <c r="K64" s="47" t="s">
        <v>1562</v>
      </c>
      <c r="L64" s="52"/>
      <c r="M64" s="52"/>
      <c r="N64" s="40" t="s">
        <v>107</v>
      </c>
      <c r="O64" s="40" t="s">
        <v>107</v>
      </c>
      <c r="P64" s="52">
        <v>1</v>
      </c>
      <c r="Q64" s="52" t="s">
        <v>111</v>
      </c>
      <c r="R64" s="58">
        <v>1325400.78</v>
      </c>
      <c r="S64" s="58" t="s">
        <v>99</v>
      </c>
      <c r="T64" s="58">
        <v>-298257.65000000002</v>
      </c>
      <c r="U64" s="52" t="s">
        <v>105</v>
      </c>
      <c r="V64" s="52" t="s">
        <v>111</v>
      </c>
      <c r="W64" s="58">
        <v>1699231.78</v>
      </c>
      <c r="X64" s="52" t="s">
        <v>17</v>
      </c>
      <c r="Y64" s="52" t="s">
        <v>99</v>
      </c>
      <c r="Z64" s="58">
        <v>-672088.65</v>
      </c>
      <c r="AA64" s="58" t="s">
        <v>111</v>
      </c>
      <c r="AB64" s="58">
        <v>1027143.13</v>
      </c>
      <c r="AC64" s="52" t="s">
        <v>99</v>
      </c>
      <c r="AD64" s="58">
        <v>0</v>
      </c>
      <c r="AE64" s="52"/>
      <c r="AF64" s="58"/>
      <c r="AG64" s="58" t="s">
        <v>16</v>
      </c>
      <c r="AH64" s="58"/>
      <c r="AI64" s="47"/>
      <c r="AJ64" s="52"/>
    </row>
    <row r="65" spans="1:36" ht="12.5" x14ac:dyDescent="0.25">
      <c r="A65" s="47" t="s">
        <v>275</v>
      </c>
      <c r="B65" s="47" t="s">
        <v>1909</v>
      </c>
      <c r="C65" s="220">
        <v>10573641</v>
      </c>
      <c r="D65" s="220"/>
      <c r="E65" s="221">
        <v>46054</v>
      </c>
      <c r="F65" s="47" t="s">
        <v>111</v>
      </c>
      <c r="G65" s="48">
        <v>55619.42</v>
      </c>
      <c r="H65" s="48">
        <v>55619.42</v>
      </c>
      <c r="I65" s="48"/>
      <c r="J65" s="222">
        <v>46054</v>
      </c>
      <c r="K65" s="47" t="s">
        <v>1562</v>
      </c>
      <c r="L65" s="52"/>
      <c r="M65" s="52"/>
      <c r="N65" s="40" t="s">
        <v>107</v>
      </c>
      <c r="O65" s="40" t="s">
        <v>107</v>
      </c>
      <c r="P65" s="52">
        <v>2</v>
      </c>
      <c r="Q65" s="52" t="s">
        <v>111</v>
      </c>
      <c r="R65" s="58">
        <v>71769.960000000006</v>
      </c>
      <c r="S65" s="58" t="s">
        <v>99</v>
      </c>
      <c r="T65" s="58">
        <v>-16150.540000000008</v>
      </c>
      <c r="U65" s="52" t="s">
        <v>105</v>
      </c>
      <c r="V65" s="52" t="s">
        <v>111</v>
      </c>
      <c r="W65" s="58">
        <v>92012.77</v>
      </c>
      <c r="X65" s="52" t="s">
        <v>17</v>
      </c>
      <c r="Y65" s="52" t="s">
        <v>99</v>
      </c>
      <c r="Z65" s="58">
        <v>-36393.350000000006</v>
      </c>
      <c r="AA65" s="58" t="s">
        <v>111</v>
      </c>
      <c r="AB65" s="58">
        <v>55619.42</v>
      </c>
      <c r="AC65" s="52" t="s">
        <v>99</v>
      </c>
      <c r="AD65" s="58">
        <v>0</v>
      </c>
      <c r="AE65" s="52"/>
      <c r="AF65" s="58"/>
      <c r="AG65" s="58" t="s">
        <v>16</v>
      </c>
      <c r="AH65" s="58"/>
      <c r="AI65" s="47"/>
      <c r="AJ65" s="52"/>
    </row>
    <row r="66" spans="1:36" ht="12.5" x14ac:dyDescent="0.25">
      <c r="A66" s="47" t="s">
        <v>286</v>
      </c>
      <c r="B66" s="47" t="s">
        <v>1910</v>
      </c>
      <c r="C66" s="220">
        <v>10573642</v>
      </c>
      <c r="D66" s="220"/>
      <c r="E66" s="221">
        <v>46054</v>
      </c>
      <c r="F66" s="47" t="s">
        <v>111</v>
      </c>
      <c r="G66" s="48">
        <v>1226057.8799999999</v>
      </c>
      <c r="H66" s="48">
        <v>1226057.8799999999</v>
      </c>
      <c r="I66" s="48"/>
      <c r="J66" s="222">
        <v>46054</v>
      </c>
      <c r="K66" s="47" t="s">
        <v>1562</v>
      </c>
      <c r="L66" s="52"/>
      <c r="M66" s="52"/>
      <c r="N66" s="40" t="s">
        <v>107</v>
      </c>
      <c r="O66" s="40" t="s">
        <v>107</v>
      </c>
      <c r="P66" s="52">
        <v>1</v>
      </c>
      <c r="Q66" s="52" t="s">
        <v>111</v>
      </c>
      <c r="R66" s="58">
        <v>1582075.59</v>
      </c>
      <c r="S66" s="58" t="s">
        <v>99</v>
      </c>
      <c r="T66" s="58">
        <v>-356017.7100000002</v>
      </c>
      <c r="U66" s="52" t="s">
        <v>105</v>
      </c>
      <c r="V66" s="52" t="s">
        <v>111</v>
      </c>
      <c r="W66" s="58">
        <v>2028302.04</v>
      </c>
      <c r="X66" s="52" t="s">
        <v>17</v>
      </c>
      <c r="Y66" s="52" t="s">
        <v>99</v>
      </c>
      <c r="Z66" s="58">
        <v>-802244.16000000015</v>
      </c>
      <c r="AA66" s="58" t="s">
        <v>111</v>
      </c>
      <c r="AB66" s="58">
        <v>1226057.8700000001</v>
      </c>
      <c r="AC66" s="52" t="s">
        <v>99</v>
      </c>
      <c r="AD66" s="58">
        <v>9.9999997764825821E-3</v>
      </c>
      <c r="AE66" s="52"/>
      <c r="AF66" s="58"/>
      <c r="AG66" s="58" t="s">
        <v>16</v>
      </c>
      <c r="AH66" s="58"/>
      <c r="AI66" s="47"/>
      <c r="AJ66" s="52"/>
    </row>
    <row r="67" spans="1:36" ht="12.5" x14ac:dyDescent="0.25">
      <c r="A67" s="47" t="s">
        <v>353</v>
      </c>
      <c r="B67" s="47" t="s">
        <v>1380</v>
      </c>
      <c r="C67" s="220">
        <v>10573664</v>
      </c>
      <c r="D67" s="220"/>
      <c r="E67" s="221">
        <v>46054</v>
      </c>
      <c r="F67" s="47" t="s">
        <v>111</v>
      </c>
      <c r="G67" s="48">
        <v>17506.72</v>
      </c>
      <c r="H67" s="48">
        <v>17506.72</v>
      </c>
      <c r="I67" s="48"/>
      <c r="J67" s="222">
        <v>46054</v>
      </c>
      <c r="K67" s="47" t="s">
        <v>1562</v>
      </c>
      <c r="L67" s="52"/>
      <c r="M67" s="52"/>
      <c r="N67" s="40" t="s">
        <v>107</v>
      </c>
      <c r="O67" s="40" t="s">
        <v>107</v>
      </c>
      <c r="P67" s="52">
        <v>1</v>
      </c>
      <c r="Q67" s="52" t="s">
        <v>111</v>
      </c>
      <c r="R67" s="58">
        <v>17506.72</v>
      </c>
      <c r="S67" s="58" t="s">
        <v>99</v>
      </c>
      <c r="T67" s="58">
        <v>0</v>
      </c>
      <c r="U67" s="52" t="s">
        <v>105</v>
      </c>
      <c r="V67" s="52" t="s">
        <v>111</v>
      </c>
      <c r="W67" s="58">
        <v>22444.51</v>
      </c>
      <c r="X67" s="52" t="s">
        <v>17</v>
      </c>
      <c r="Y67" s="52" t="s">
        <v>99</v>
      </c>
      <c r="Z67" s="58">
        <v>-4937.7899999999972</v>
      </c>
      <c r="AA67" s="58" t="s">
        <v>111</v>
      </c>
      <c r="AB67" s="58">
        <v>17506.72</v>
      </c>
      <c r="AC67" s="52" t="s">
        <v>99</v>
      </c>
      <c r="AD67" s="58">
        <v>0</v>
      </c>
      <c r="AE67" s="52"/>
      <c r="AF67" s="58"/>
      <c r="AG67" s="58" t="s">
        <v>16</v>
      </c>
      <c r="AH67" s="58"/>
      <c r="AI67" s="47"/>
      <c r="AJ67" s="52"/>
    </row>
    <row r="68" spans="1:36" ht="12.5" x14ac:dyDescent="0.25">
      <c r="A68" s="47" t="s">
        <v>394</v>
      </c>
      <c r="B68" s="47" t="s">
        <v>1911</v>
      </c>
      <c r="C68" s="220">
        <v>10573675</v>
      </c>
      <c r="D68" s="220"/>
      <c r="E68" s="221">
        <v>46054</v>
      </c>
      <c r="F68" s="47" t="s">
        <v>111</v>
      </c>
      <c r="G68" s="48">
        <v>421505.35</v>
      </c>
      <c r="H68" s="48">
        <v>421505.35</v>
      </c>
      <c r="I68" s="48"/>
      <c r="J68" s="222">
        <v>46054</v>
      </c>
      <c r="K68" s="47" t="s">
        <v>1562</v>
      </c>
      <c r="L68" s="52"/>
      <c r="M68" s="52"/>
      <c r="N68" s="40" t="s">
        <v>107</v>
      </c>
      <c r="O68" s="40" t="s">
        <v>107</v>
      </c>
      <c r="P68" s="52">
        <v>1</v>
      </c>
      <c r="Q68" s="52" t="s">
        <v>111</v>
      </c>
      <c r="R68" s="58">
        <v>459332.75</v>
      </c>
      <c r="S68" s="58" t="s">
        <v>99</v>
      </c>
      <c r="T68" s="58">
        <v>-37827.400000000023</v>
      </c>
      <c r="U68" s="52"/>
      <c r="V68" s="52"/>
      <c r="W68" s="58"/>
      <c r="X68" s="52" t="s">
        <v>17</v>
      </c>
      <c r="Y68" s="52" t="s">
        <v>16</v>
      </c>
      <c r="Z68" s="58"/>
      <c r="AA68" s="58" t="s">
        <v>111</v>
      </c>
      <c r="AB68" s="58">
        <v>421505.35</v>
      </c>
      <c r="AC68" s="52" t="s">
        <v>99</v>
      </c>
      <c r="AD68" s="58">
        <v>0</v>
      </c>
      <c r="AE68" s="52"/>
      <c r="AF68" s="58"/>
      <c r="AG68" s="58" t="s">
        <v>16</v>
      </c>
      <c r="AH68" s="58"/>
      <c r="AI68" s="47"/>
      <c r="AJ68" s="52"/>
    </row>
    <row r="69" spans="1:36" ht="12.5" x14ac:dyDescent="0.25">
      <c r="A69" s="47" t="s">
        <v>318</v>
      </c>
      <c r="B69" s="47" t="s">
        <v>1912</v>
      </c>
      <c r="C69" s="220">
        <v>10573657</v>
      </c>
      <c r="D69" s="220"/>
      <c r="E69" s="221">
        <v>46054</v>
      </c>
      <c r="F69" s="47" t="s">
        <v>111</v>
      </c>
      <c r="G69" s="48">
        <v>3429105.73</v>
      </c>
      <c r="H69" s="48">
        <v>3429105.73</v>
      </c>
      <c r="I69" s="48"/>
      <c r="J69" s="222">
        <v>46054</v>
      </c>
      <c r="K69" s="47" t="s">
        <v>1562</v>
      </c>
      <c r="L69" s="52"/>
      <c r="M69" s="52"/>
      <c r="N69" s="40" t="s">
        <v>107</v>
      </c>
      <c r="O69" s="40" t="s">
        <v>107</v>
      </c>
      <c r="P69" s="52">
        <v>1</v>
      </c>
      <c r="Q69" s="52" t="s">
        <v>111</v>
      </c>
      <c r="R69" s="58">
        <v>3429105.73</v>
      </c>
      <c r="S69" s="58" t="s">
        <v>99</v>
      </c>
      <c r="T69" s="58">
        <v>0</v>
      </c>
      <c r="U69" s="52" t="s">
        <v>105</v>
      </c>
      <c r="V69" s="52" t="s">
        <v>111</v>
      </c>
      <c r="W69" s="58">
        <v>4396289.4000000004</v>
      </c>
      <c r="X69" s="52" t="s">
        <v>17</v>
      </c>
      <c r="Y69" s="52" t="s">
        <v>99</v>
      </c>
      <c r="Z69" s="58">
        <v>-967183.67000000039</v>
      </c>
      <c r="AA69" s="58" t="s">
        <v>111</v>
      </c>
      <c r="AB69" s="58">
        <v>3429105.73</v>
      </c>
      <c r="AC69" s="52" t="s">
        <v>99</v>
      </c>
      <c r="AD69" s="58">
        <v>0</v>
      </c>
      <c r="AE69" s="52"/>
      <c r="AF69" s="58"/>
      <c r="AG69" s="58" t="s">
        <v>16</v>
      </c>
      <c r="AH69" s="58"/>
      <c r="AI69" s="47"/>
      <c r="AJ69" s="52"/>
    </row>
    <row r="70" spans="1:36" ht="12.5" x14ac:dyDescent="0.25">
      <c r="A70" s="47" t="s">
        <v>377</v>
      </c>
      <c r="B70" s="47" t="s">
        <v>1434</v>
      </c>
      <c r="C70" s="220">
        <v>10573680</v>
      </c>
      <c r="D70" s="220"/>
      <c r="E70" s="221">
        <v>46054</v>
      </c>
      <c r="F70" s="47" t="s">
        <v>111</v>
      </c>
      <c r="G70" s="48">
        <v>1794000</v>
      </c>
      <c r="H70" s="48">
        <v>1794000</v>
      </c>
      <c r="I70" s="48"/>
      <c r="J70" s="222">
        <v>46054</v>
      </c>
      <c r="K70" s="47" t="s">
        <v>1562</v>
      </c>
      <c r="L70" s="52"/>
      <c r="M70" s="52"/>
      <c r="N70" s="40" t="s">
        <v>107</v>
      </c>
      <c r="O70" s="40" t="s">
        <v>107</v>
      </c>
      <c r="P70" s="52">
        <v>1</v>
      </c>
      <c r="Q70" s="52" t="s">
        <v>111</v>
      </c>
      <c r="R70" s="58">
        <v>1794000</v>
      </c>
      <c r="S70" s="58" t="s">
        <v>99</v>
      </c>
      <c r="T70" s="58">
        <v>0</v>
      </c>
      <c r="U70" s="52" t="s">
        <v>105</v>
      </c>
      <c r="V70" s="52" t="s">
        <v>111</v>
      </c>
      <c r="W70" s="58">
        <v>2302160.9300000002</v>
      </c>
      <c r="X70" s="52" t="s">
        <v>17</v>
      </c>
      <c r="Y70" s="52" t="s">
        <v>99</v>
      </c>
      <c r="Z70" s="58">
        <v>-508160.93000000017</v>
      </c>
      <c r="AA70" s="58" t="s">
        <v>111</v>
      </c>
      <c r="AB70" s="58">
        <v>1793999.99</v>
      </c>
      <c r="AC70" s="52" t="s">
        <v>99</v>
      </c>
      <c r="AD70" s="58">
        <v>1.0000000009313226E-2</v>
      </c>
      <c r="AE70" s="52"/>
      <c r="AF70" s="58"/>
      <c r="AG70" s="58" t="s">
        <v>16</v>
      </c>
      <c r="AH70" s="58"/>
      <c r="AI70" s="47"/>
      <c r="AJ70" s="52"/>
    </row>
    <row r="71" spans="1:36" ht="12.5" x14ac:dyDescent="0.25">
      <c r="A71" s="47" t="s">
        <v>370</v>
      </c>
      <c r="B71" s="47" t="s">
        <v>1418</v>
      </c>
      <c r="C71" s="220">
        <v>10573682</v>
      </c>
      <c r="D71" s="220"/>
      <c r="E71" s="221">
        <v>46054</v>
      </c>
      <c r="F71" s="47" t="s">
        <v>111</v>
      </c>
      <c r="G71" s="48">
        <v>4832872.2</v>
      </c>
      <c r="H71" s="48">
        <v>4832872.2</v>
      </c>
      <c r="I71" s="48"/>
      <c r="J71" s="222">
        <v>46054</v>
      </c>
      <c r="K71" s="47" t="s">
        <v>1562</v>
      </c>
      <c r="L71" s="52"/>
      <c r="M71" s="52"/>
      <c r="N71" s="40" t="s">
        <v>107</v>
      </c>
      <c r="O71" s="40" t="s">
        <v>107</v>
      </c>
      <c r="P71" s="52">
        <v>1</v>
      </c>
      <c r="Q71" s="52" t="s">
        <v>111</v>
      </c>
      <c r="R71" s="58">
        <v>4832872.1900000004</v>
      </c>
      <c r="S71" s="58" t="s">
        <v>99</v>
      </c>
      <c r="T71" s="58">
        <v>9.9999997764825821E-3</v>
      </c>
      <c r="U71" s="52" t="s">
        <v>105</v>
      </c>
      <c r="V71" s="52" t="s">
        <v>111</v>
      </c>
      <c r="W71" s="58">
        <v>6200280.3600000003</v>
      </c>
      <c r="X71" s="52" t="s">
        <v>17</v>
      </c>
      <c r="Y71" s="52" t="s">
        <v>99</v>
      </c>
      <c r="Z71" s="58">
        <v>-1367408.1600000001</v>
      </c>
      <c r="AA71" s="58" t="s">
        <v>111</v>
      </c>
      <c r="AB71" s="58">
        <v>4832872.2</v>
      </c>
      <c r="AC71" s="52" t="s">
        <v>99</v>
      </c>
      <c r="AD71" s="58">
        <v>0</v>
      </c>
      <c r="AE71" s="52"/>
      <c r="AF71" s="58"/>
      <c r="AG71" s="58" t="s">
        <v>16</v>
      </c>
      <c r="AH71" s="58"/>
      <c r="AI71" s="47"/>
      <c r="AJ71" s="52"/>
    </row>
    <row r="72" spans="1:36" ht="12.5" x14ac:dyDescent="0.25">
      <c r="A72" s="47" t="s">
        <v>279</v>
      </c>
      <c r="B72" s="47" t="s">
        <v>1187</v>
      </c>
      <c r="C72" s="220">
        <v>10573633</v>
      </c>
      <c r="D72" s="220"/>
      <c r="E72" s="221">
        <v>46054</v>
      </c>
      <c r="F72" s="47" t="s">
        <v>111</v>
      </c>
      <c r="G72" s="48">
        <v>2484371.08</v>
      </c>
      <c r="H72" s="48">
        <v>2484371.08</v>
      </c>
      <c r="I72" s="48"/>
      <c r="J72" s="222">
        <v>46054</v>
      </c>
      <c r="K72" s="47" t="s">
        <v>1562</v>
      </c>
      <c r="L72" s="52"/>
      <c r="M72" s="52"/>
      <c r="N72" s="40" t="s">
        <v>107</v>
      </c>
      <c r="O72" s="40" t="s">
        <v>107</v>
      </c>
      <c r="P72" s="52">
        <v>1</v>
      </c>
      <c r="Q72" s="52" t="s">
        <v>111</v>
      </c>
      <c r="R72" s="58">
        <v>3205772.68</v>
      </c>
      <c r="S72" s="58" t="s">
        <v>99</v>
      </c>
      <c r="T72" s="58">
        <v>-721401.60000000009</v>
      </c>
      <c r="U72" s="52" t="s">
        <v>105</v>
      </c>
      <c r="V72" s="52" t="s">
        <v>111</v>
      </c>
      <c r="W72" s="58">
        <v>4109964.98</v>
      </c>
      <c r="X72" s="52" t="s">
        <v>17</v>
      </c>
      <c r="Y72" s="52" t="s">
        <v>99</v>
      </c>
      <c r="Z72" s="58">
        <v>-1625593.9</v>
      </c>
      <c r="AA72" s="58" t="s">
        <v>111</v>
      </c>
      <c r="AB72" s="58">
        <v>2484371.08</v>
      </c>
      <c r="AC72" s="52" t="s">
        <v>99</v>
      </c>
      <c r="AD72" s="58">
        <v>0</v>
      </c>
      <c r="AE72" s="52"/>
      <c r="AF72" s="58"/>
      <c r="AG72" s="58" t="s">
        <v>16</v>
      </c>
      <c r="AH72" s="58"/>
      <c r="AI72" s="47"/>
      <c r="AJ72" s="52"/>
    </row>
    <row r="73" spans="1:36" ht="12.5" x14ac:dyDescent="0.25">
      <c r="A73" s="47" t="s">
        <v>221</v>
      </c>
      <c r="B73" s="47" t="s">
        <v>1913</v>
      </c>
      <c r="C73" s="220">
        <v>10573699</v>
      </c>
      <c r="D73" s="220"/>
      <c r="E73" s="221">
        <v>46054</v>
      </c>
      <c r="F73" s="47" t="s">
        <v>111</v>
      </c>
      <c r="G73" s="48">
        <v>893141.33</v>
      </c>
      <c r="H73" s="48">
        <v>893141.33</v>
      </c>
      <c r="I73" s="48"/>
      <c r="J73" s="222">
        <v>46054</v>
      </c>
      <c r="K73" s="47" t="s">
        <v>1562</v>
      </c>
      <c r="L73" s="52"/>
      <c r="M73" s="52"/>
      <c r="N73" s="40" t="s">
        <v>107</v>
      </c>
      <c r="O73" s="40" t="s">
        <v>107</v>
      </c>
      <c r="P73" s="52">
        <v>1</v>
      </c>
      <c r="Q73" s="52" t="s">
        <v>111</v>
      </c>
      <c r="R73" s="58">
        <v>1150222.92</v>
      </c>
      <c r="S73" s="58" t="s">
        <v>99</v>
      </c>
      <c r="T73" s="58">
        <v>-257081.58999999997</v>
      </c>
      <c r="U73" s="52"/>
      <c r="V73" s="52"/>
      <c r="W73" s="58"/>
      <c r="X73" s="52" t="s">
        <v>17</v>
      </c>
      <c r="Y73" s="52" t="s">
        <v>16</v>
      </c>
      <c r="Z73" s="58"/>
      <c r="AA73" s="58" t="s">
        <v>111</v>
      </c>
      <c r="AB73" s="58">
        <v>893141.33</v>
      </c>
      <c r="AC73" s="52" t="s">
        <v>99</v>
      </c>
      <c r="AD73" s="58">
        <v>0</v>
      </c>
      <c r="AE73" s="52"/>
      <c r="AF73" s="58"/>
      <c r="AG73" s="58" t="s">
        <v>16</v>
      </c>
      <c r="AH73" s="58"/>
      <c r="AI73" s="47"/>
      <c r="AJ73" s="52"/>
    </row>
    <row r="74" spans="1:36" ht="12.5" x14ac:dyDescent="0.25">
      <c r="A74" s="47" t="s">
        <v>290</v>
      </c>
      <c r="B74" s="47" t="s">
        <v>1217</v>
      </c>
      <c r="C74" s="220">
        <v>10573643</v>
      </c>
      <c r="D74" s="220"/>
      <c r="E74" s="221">
        <v>46054</v>
      </c>
      <c r="F74" s="47" t="s">
        <v>111</v>
      </c>
      <c r="G74" s="48">
        <v>858171.37</v>
      </c>
      <c r="H74" s="48">
        <v>858171.37</v>
      </c>
      <c r="I74" s="48"/>
      <c r="J74" s="222">
        <v>46054</v>
      </c>
      <c r="K74" s="47" t="s">
        <v>1562</v>
      </c>
      <c r="L74" s="52"/>
      <c r="M74" s="52"/>
      <c r="N74" s="40" t="s">
        <v>107</v>
      </c>
      <c r="O74" s="40" t="s">
        <v>107</v>
      </c>
      <c r="P74" s="52">
        <v>1</v>
      </c>
      <c r="Q74" s="52" t="s">
        <v>111</v>
      </c>
      <c r="R74" s="58">
        <v>1107363.68</v>
      </c>
      <c r="S74" s="58" t="s">
        <v>99</v>
      </c>
      <c r="T74" s="58">
        <v>-249192.30999999994</v>
      </c>
      <c r="U74" s="52" t="s">
        <v>105</v>
      </c>
      <c r="V74" s="52" t="s">
        <v>111</v>
      </c>
      <c r="W74" s="58">
        <v>1419697.04</v>
      </c>
      <c r="X74" s="52" t="s">
        <v>17</v>
      </c>
      <c r="Y74" s="52" t="s">
        <v>99</v>
      </c>
      <c r="Z74" s="58">
        <v>-561525.67000000004</v>
      </c>
      <c r="AA74" s="58" t="s">
        <v>111</v>
      </c>
      <c r="AB74" s="58">
        <v>858171.36</v>
      </c>
      <c r="AC74" s="52" t="s">
        <v>99</v>
      </c>
      <c r="AD74" s="58">
        <v>1.0000000009313226E-2</v>
      </c>
      <c r="AE74" s="52"/>
      <c r="AF74" s="58"/>
      <c r="AG74" s="58" t="s">
        <v>16</v>
      </c>
      <c r="AH74" s="58"/>
      <c r="AI74" s="47"/>
      <c r="AJ74" s="52"/>
    </row>
    <row r="75" spans="1:36" ht="12.5" x14ac:dyDescent="0.25">
      <c r="A75" s="47" t="s">
        <v>165</v>
      </c>
      <c r="B75" s="47" t="s">
        <v>1914</v>
      </c>
      <c r="C75" s="220">
        <v>10573725</v>
      </c>
      <c r="D75" s="220"/>
      <c r="E75" s="221">
        <v>46054</v>
      </c>
      <c r="F75" s="47" t="s">
        <v>111</v>
      </c>
      <c r="G75" s="48">
        <v>434180.46</v>
      </c>
      <c r="H75" s="48">
        <v>434180.46</v>
      </c>
      <c r="I75" s="48"/>
      <c r="J75" s="222">
        <v>46054</v>
      </c>
      <c r="K75" s="47" t="s">
        <v>1562</v>
      </c>
      <c r="L75" s="52"/>
      <c r="M75" s="52"/>
      <c r="N75" s="40" t="s">
        <v>107</v>
      </c>
      <c r="O75" s="40" t="s">
        <v>107</v>
      </c>
      <c r="P75" s="52">
        <v>1</v>
      </c>
      <c r="Q75" s="52" t="s">
        <v>111</v>
      </c>
      <c r="R75" s="58">
        <v>560256.02</v>
      </c>
      <c r="S75" s="58" t="s">
        <v>99</v>
      </c>
      <c r="T75" s="58">
        <v>-126075.56</v>
      </c>
      <c r="U75" s="52" t="s">
        <v>105</v>
      </c>
      <c r="V75" s="52" t="s">
        <v>111</v>
      </c>
      <c r="W75" s="58">
        <v>718276.95</v>
      </c>
      <c r="X75" s="52" t="s">
        <v>17</v>
      </c>
      <c r="Y75" s="52" t="s">
        <v>99</v>
      </c>
      <c r="Z75" s="58">
        <v>-284096.48999999993</v>
      </c>
      <c r="AA75" s="58" t="s">
        <v>111</v>
      </c>
      <c r="AB75" s="58">
        <v>434180.46</v>
      </c>
      <c r="AC75" s="52" t="s">
        <v>99</v>
      </c>
      <c r="AD75" s="58">
        <v>0</v>
      </c>
      <c r="AE75" s="52"/>
      <c r="AF75" s="58"/>
      <c r="AG75" s="58" t="s">
        <v>16</v>
      </c>
      <c r="AH75" s="58"/>
      <c r="AI75" s="47"/>
      <c r="AJ75" s="52"/>
    </row>
    <row r="76" spans="1:36" ht="12.5" x14ac:dyDescent="0.25">
      <c r="A76" s="47" t="s">
        <v>201</v>
      </c>
      <c r="B76" s="47" t="s">
        <v>999</v>
      </c>
      <c r="C76" s="220">
        <v>10573667</v>
      </c>
      <c r="D76" s="220"/>
      <c r="E76" s="221">
        <v>46054</v>
      </c>
      <c r="F76" s="47" t="s">
        <v>111</v>
      </c>
      <c r="G76" s="48">
        <v>188702.43</v>
      </c>
      <c r="H76" s="48">
        <v>188702.43</v>
      </c>
      <c r="I76" s="48"/>
      <c r="J76" s="222">
        <v>46054</v>
      </c>
      <c r="K76" s="47" t="s">
        <v>1562</v>
      </c>
      <c r="L76" s="52"/>
      <c r="M76" s="52"/>
      <c r="N76" s="40" t="s">
        <v>107</v>
      </c>
      <c r="O76" s="40" t="s">
        <v>107</v>
      </c>
      <c r="P76" s="52">
        <v>1</v>
      </c>
      <c r="Q76" s="52" t="s">
        <v>111</v>
      </c>
      <c r="R76" s="58">
        <v>188702.43</v>
      </c>
      <c r="S76" s="58" t="s">
        <v>99</v>
      </c>
      <c r="T76" s="58">
        <v>0</v>
      </c>
      <c r="U76" s="52" t="s">
        <v>105</v>
      </c>
      <c r="V76" s="52" t="s">
        <v>111</v>
      </c>
      <c r="W76" s="58">
        <v>241926.19</v>
      </c>
      <c r="X76" s="52" t="s">
        <v>17</v>
      </c>
      <c r="Y76" s="52" t="s">
        <v>99</v>
      </c>
      <c r="Z76" s="58">
        <v>-53223.760000000009</v>
      </c>
      <c r="AA76" s="58" t="s">
        <v>111</v>
      </c>
      <c r="AB76" s="58">
        <v>188702.43</v>
      </c>
      <c r="AC76" s="52" t="s">
        <v>99</v>
      </c>
      <c r="AD76" s="58">
        <v>0</v>
      </c>
      <c r="AE76" s="52"/>
      <c r="AF76" s="58"/>
      <c r="AG76" s="58" t="s">
        <v>16</v>
      </c>
      <c r="AH76" s="58"/>
      <c r="AI76" s="47"/>
      <c r="AJ76" s="52"/>
    </row>
    <row r="77" spans="1:36" ht="12.5" x14ac:dyDescent="0.25">
      <c r="A77" s="47" t="s">
        <v>117</v>
      </c>
      <c r="B77" s="47" t="s">
        <v>1915</v>
      </c>
      <c r="C77" s="220">
        <v>10573710</v>
      </c>
      <c r="D77" s="220"/>
      <c r="E77" s="221">
        <v>46054</v>
      </c>
      <c r="F77" s="47" t="s">
        <v>111</v>
      </c>
      <c r="G77" s="48">
        <v>1882282.61</v>
      </c>
      <c r="H77" s="48">
        <v>1882282.61</v>
      </c>
      <c r="I77" s="48"/>
      <c r="J77" s="222">
        <v>46054</v>
      </c>
      <c r="K77" s="47" t="s">
        <v>1562</v>
      </c>
      <c r="L77" s="52"/>
      <c r="M77" s="52"/>
      <c r="N77" s="40" t="s">
        <v>107</v>
      </c>
      <c r="O77" s="40" t="s">
        <v>107</v>
      </c>
      <c r="P77" s="52">
        <v>1</v>
      </c>
      <c r="Q77" s="52" t="s">
        <v>111</v>
      </c>
      <c r="R77" s="58">
        <v>2428852.2000000002</v>
      </c>
      <c r="S77" s="58" t="s">
        <v>99</v>
      </c>
      <c r="T77" s="58">
        <v>-546569.59000000008</v>
      </c>
      <c r="U77" s="52" t="s">
        <v>105</v>
      </c>
      <c r="V77" s="52" t="s">
        <v>111</v>
      </c>
      <c r="W77" s="58">
        <v>3113913.08</v>
      </c>
      <c r="X77" s="52" t="s">
        <v>17</v>
      </c>
      <c r="Y77" s="52" t="s">
        <v>99</v>
      </c>
      <c r="Z77" s="58">
        <v>-1231630.47</v>
      </c>
      <c r="AA77" s="58" t="s">
        <v>111</v>
      </c>
      <c r="AB77" s="58">
        <v>1882282.61</v>
      </c>
      <c r="AC77" s="52" t="s">
        <v>99</v>
      </c>
      <c r="AD77" s="58">
        <v>0</v>
      </c>
      <c r="AE77" s="52"/>
      <c r="AF77" s="58"/>
      <c r="AG77" s="58" t="s">
        <v>16</v>
      </c>
      <c r="AH77" s="58"/>
      <c r="AI77" s="47"/>
      <c r="AJ77" s="52"/>
    </row>
    <row r="78" spans="1:36" ht="12.5" x14ac:dyDescent="0.25">
      <c r="A78" s="47" t="s">
        <v>162</v>
      </c>
      <c r="B78" s="47" t="s">
        <v>1916</v>
      </c>
      <c r="C78" s="220">
        <v>10573724</v>
      </c>
      <c r="D78" s="220"/>
      <c r="E78" s="221">
        <v>46054</v>
      </c>
      <c r="F78" s="47" t="s">
        <v>111</v>
      </c>
      <c r="G78" s="48">
        <v>1520686.0800000001</v>
      </c>
      <c r="H78" s="48">
        <v>1520686.0800000001</v>
      </c>
      <c r="I78" s="48"/>
      <c r="J78" s="222">
        <v>46054</v>
      </c>
      <c r="K78" s="47" t="s">
        <v>1562</v>
      </c>
      <c r="L78" s="52"/>
      <c r="M78" s="52"/>
      <c r="N78" s="40" t="s">
        <v>107</v>
      </c>
      <c r="O78" s="40" t="s">
        <v>107</v>
      </c>
      <c r="P78" s="52">
        <v>1</v>
      </c>
      <c r="Q78" s="52" t="s">
        <v>111</v>
      </c>
      <c r="R78" s="58">
        <v>1958400</v>
      </c>
      <c r="S78" s="58" t="s">
        <v>99</v>
      </c>
      <c r="T78" s="58">
        <v>-437713.91999999993</v>
      </c>
      <c r="U78" s="52"/>
      <c r="V78" s="52"/>
      <c r="W78" s="58"/>
      <c r="X78" s="52" t="s">
        <v>17</v>
      </c>
      <c r="Y78" s="52" t="s">
        <v>16</v>
      </c>
      <c r="Z78" s="58"/>
      <c r="AA78" s="58" t="s">
        <v>111</v>
      </c>
      <c r="AB78" s="58">
        <v>1520686.0800000001</v>
      </c>
      <c r="AC78" s="52" t="s">
        <v>99</v>
      </c>
      <c r="AD78" s="58">
        <v>0</v>
      </c>
      <c r="AE78" s="52"/>
      <c r="AF78" s="58"/>
      <c r="AG78" s="58" t="s">
        <v>16</v>
      </c>
      <c r="AH78" s="58"/>
      <c r="AI78" s="47"/>
      <c r="AJ78" s="52"/>
    </row>
    <row r="79" spans="1:36" ht="12.5" x14ac:dyDescent="0.25">
      <c r="A79" s="47" t="s">
        <v>233</v>
      </c>
      <c r="B79" s="47" t="s">
        <v>1074</v>
      </c>
      <c r="C79" s="220">
        <v>10573704</v>
      </c>
      <c r="D79" s="220"/>
      <c r="E79" s="221">
        <v>46054</v>
      </c>
      <c r="F79" s="47" t="s">
        <v>111</v>
      </c>
      <c r="G79" s="48">
        <v>2451731.4500000002</v>
      </c>
      <c r="H79" s="48">
        <v>2451731.4500000002</v>
      </c>
      <c r="I79" s="48"/>
      <c r="J79" s="222">
        <v>46054</v>
      </c>
      <c r="K79" s="47" t="s">
        <v>1562</v>
      </c>
      <c r="L79" s="52"/>
      <c r="M79" s="52"/>
      <c r="N79" s="40" t="s">
        <v>107</v>
      </c>
      <c r="O79" s="40" t="s">
        <v>107</v>
      </c>
      <c r="P79" s="52">
        <v>1</v>
      </c>
      <c r="Q79" s="52" t="s">
        <v>111</v>
      </c>
      <c r="R79" s="58">
        <v>3163655.29</v>
      </c>
      <c r="S79" s="58" t="s">
        <v>99</v>
      </c>
      <c r="T79" s="58">
        <v>-711923.83999999985</v>
      </c>
      <c r="U79" s="52" t="s">
        <v>105</v>
      </c>
      <c r="V79" s="52" t="s">
        <v>111</v>
      </c>
      <c r="W79" s="58">
        <v>4055968.33</v>
      </c>
      <c r="X79" s="52" t="s">
        <v>17</v>
      </c>
      <c r="Y79" s="52" t="s">
        <v>99</v>
      </c>
      <c r="Z79" s="58">
        <v>-1604236.88</v>
      </c>
      <c r="AA79" s="58" t="s">
        <v>111</v>
      </c>
      <c r="AB79" s="58">
        <v>2451731.44</v>
      </c>
      <c r="AC79" s="52" t="s">
        <v>99</v>
      </c>
      <c r="AD79" s="58">
        <v>1.0000000242143869E-2</v>
      </c>
      <c r="AE79" s="52"/>
      <c r="AF79" s="58"/>
      <c r="AG79" s="58" t="s">
        <v>16</v>
      </c>
      <c r="AH79" s="58"/>
      <c r="AI79" s="47"/>
      <c r="AJ79" s="52"/>
    </row>
    <row r="80" spans="1:36" ht="12.5" x14ac:dyDescent="0.25">
      <c r="A80" s="47" t="s">
        <v>325</v>
      </c>
      <c r="B80" s="47" t="s">
        <v>1312</v>
      </c>
      <c r="C80" s="220">
        <v>10573623</v>
      </c>
      <c r="D80" s="220"/>
      <c r="E80" s="221">
        <v>46054</v>
      </c>
      <c r="F80" s="47" t="s">
        <v>111</v>
      </c>
      <c r="G80" s="48">
        <v>2417900</v>
      </c>
      <c r="H80" s="48">
        <v>2417900</v>
      </c>
      <c r="I80" s="48"/>
      <c r="J80" s="222">
        <v>46054</v>
      </c>
      <c r="K80" s="47" t="s">
        <v>1562</v>
      </c>
      <c r="L80" s="52"/>
      <c r="M80" s="52"/>
      <c r="N80" s="40" t="s">
        <v>107</v>
      </c>
      <c r="O80" s="40" t="s">
        <v>107</v>
      </c>
      <c r="P80" s="52">
        <v>1</v>
      </c>
      <c r="Q80" s="52" t="s">
        <v>111</v>
      </c>
      <c r="R80" s="58">
        <v>3120000</v>
      </c>
      <c r="S80" s="58" t="s">
        <v>99</v>
      </c>
      <c r="T80" s="58">
        <v>-702100</v>
      </c>
      <c r="U80" s="52" t="s">
        <v>105</v>
      </c>
      <c r="V80" s="52" t="s">
        <v>111</v>
      </c>
      <c r="W80" s="58">
        <v>4002572.21</v>
      </c>
      <c r="X80" s="52" t="s">
        <v>17</v>
      </c>
      <c r="Y80" s="52" t="s">
        <v>99</v>
      </c>
      <c r="Z80" s="58">
        <v>-1584672.21</v>
      </c>
      <c r="AA80" s="58" t="s">
        <v>111</v>
      </c>
      <c r="AB80" s="58">
        <v>2417900</v>
      </c>
      <c r="AC80" s="52" t="s">
        <v>99</v>
      </c>
      <c r="AD80" s="58">
        <v>0</v>
      </c>
      <c r="AE80" s="52"/>
      <c r="AF80" s="58"/>
      <c r="AG80" s="58" t="s">
        <v>16</v>
      </c>
      <c r="AH80" s="58"/>
      <c r="AI80" s="47"/>
      <c r="AJ80" s="52"/>
    </row>
    <row r="81" spans="1:36" ht="12.5" x14ac:dyDescent="0.25">
      <c r="A81" s="47" t="s">
        <v>133</v>
      </c>
      <c r="B81" s="47" t="s">
        <v>1917</v>
      </c>
      <c r="C81" s="220">
        <v>10573629</v>
      </c>
      <c r="D81" s="220"/>
      <c r="E81" s="221">
        <v>46054</v>
      </c>
      <c r="F81" s="47" t="s">
        <v>111</v>
      </c>
      <c r="G81" s="48">
        <v>1148700.73</v>
      </c>
      <c r="H81" s="48">
        <v>1148700.73</v>
      </c>
      <c r="I81" s="48"/>
      <c r="J81" s="222">
        <v>46054</v>
      </c>
      <c r="K81" s="47" t="s">
        <v>1562</v>
      </c>
      <c r="L81" s="52"/>
      <c r="M81" s="52"/>
      <c r="N81" s="40" t="s">
        <v>107</v>
      </c>
      <c r="O81" s="40" t="s">
        <v>107</v>
      </c>
      <c r="P81" s="52">
        <v>1</v>
      </c>
      <c r="Q81" s="52" t="s">
        <v>111</v>
      </c>
      <c r="R81" s="58">
        <v>1482255.8</v>
      </c>
      <c r="S81" s="58" t="s">
        <v>99</v>
      </c>
      <c r="T81" s="58">
        <v>-333555.07000000007</v>
      </c>
      <c r="U81" s="52" t="s">
        <v>105</v>
      </c>
      <c r="V81" s="52" t="s">
        <v>111</v>
      </c>
      <c r="W81" s="58">
        <v>1900327.94</v>
      </c>
      <c r="X81" s="52" t="s">
        <v>17</v>
      </c>
      <c r="Y81" s="52" t="s">
        <v>99</v>
      </c>
      <c r="Z81" s="58">
        <v>-751627.21</v>
      </c>
      <c r="AA81" s="58" t="s">
        <v>111</v>
      </c>
      <c r="AB81" s="58">
        <v>1148700.74</v>
      </c>
      <c r="AC81" s="52" t="s">
        <v>99</v>
      </c>
      <c r="AD81" s="58">
        <v>-1.0000000009313226E-2</v>
      </c>
      <c r="AE81" s="52"/>
      <c r="AF81" s="58"/>
      <c r="AG81" s="58" t="s">
        <v>16</v>
      </c>
      <c r="AH81" s="58"/>
      <c r="AI81" s="47"/>
      <c r="AJ81" s="52"/>
    </row>
    <row r="82" spans="1:36" ht="12.5" x14ac:dyDescent="0.25">
      <c r="A82" s="47" t="s">
        <v>247</v>
      </c>
      <c r="B82" s="47" t="s">
        <v>1109</v>
      </c>
      <c r="C82" s="220">
        <v>10573649</v>
      </c>
      <c r="D82" s="220"/>
      <c r="E82" s="221">
        <v>46054</v>
      </c>
      <c r="F82" s="47" t="s">
        <v>111</v>
      </c>
      <c r="G82" s="48">
        <v>4702805.49</v>
      </c>
      <c r="H82" s="48">
        <v>4702805.49</v>
      </c>
      <c r="I82" s="48"/>
      <c r="J82" s="222">
        <v>46054</v>
      </c>
      <c r="K82" s="47" t="s">
        <v>1562</v>
      </c>
      <c r="L82" s="52"/>
      <c r="M82" s="52"/>
      <c r="N82" s="40" t="s">
        <v>107</v>
      </c>
      <c r="O82" s="40" t="s">
        <v>107</v>
      </c>
      <c r="P82" s="52">
        <v>1</v>
      </c>
      <c r="Q82" s="52" t="s">
        <v>111</v>
      </c>
      <c r="R82" s="58">
        <v>6068387.0800000001</v>
      </c>
      <c r="S82" s="58" t="s">
        <v>99</v>
      </c>
      <c r="T82" s="58">
        <v>-1365581.5899999999</v>
      </c>
      <c r="U82" s="52" t="s">
        <v>105</v>
      </c>
      <c r="V82" s="52" t="s">
        <v>111</v>
      </c>
      <c r="W82" s="58">
        <v>7779983.4400000004</v>
      </c>
      <c r="X82" s="52" t="s">
        <v>17</v>
      </c>
      <c r="Y82" s="52" t="s">
        <v>99</v>
      </c>
      <c r="Z82" s="58">
        <v>-3077177.95</v>
      </c>
      <c r="AA82" s="58" t="s">
        <v>111</v>
      </c>
      <c r="AB82" s="58">
        <v>4702805.49</v>
      </c>
      <c r="AC82" s="52" t="s">
        <v>99</v>
      </c>
      <c r="AD82" s="58">
        <v>0</v>
      </c>
      <c r="AE82" s="52"/>
      <c r="AF82" s="58"/>
      <c r="AG82" s="58" t="s">
        <v>16</v>
      </c>
      <c r="AH82" s="58"/>
      <c r="AI82" s="47"/>
      <c r="AJ82" s="52"/>
    </row>
    <row r="83" spans="1:36" ht="12.5" x14ac:dyDescent="0.25">
      <c r="A83" s="47" t="s">
        <v>172</v>
      </c>
      <c r="B83" s="47" t="s">
        <v>1918</v>
      </c>
      <c r="C83" s="220">
        <v>10573662</v>
      </c>
      <c r="D83" s="220"/>
      <c r="E83" s="221">
        <v>46054</v>
      </c>
      <c r="F83" s="47" t="s">
        <v>111</v>
      </c>
      <c r="G83" s="48">
        <v>1469739.33</v>
      </c>
      <c r="H83" s="48">
        <v>1469739.33</v>
      </c>
      <c r="I83" s="48"/>
      <c r="J83" s="222">
        <v>46054</v>
      </c>
      <c r="K83" s="47" t="s">
        <v>1562</v>
      </c>
      <c r="L83" s="52"/>
      <c r="M83" s="52"/>
      <c r="N83" s="40" t="s">
        <v>107</v>
      </c>
      <c r="O83" s="40" t="s">
        <v>107</v>
      </c>
      <c r="P83" s="52">
        <v>1</v>
      </c>
      <c r="Q83" s="52" t="s">
        <v>111</v>
      </c>
      <c r="R83" s="58">
        <v>1896516.27</v>
      </c>
      <c r="S83" s="58" t="s">
        <v>99</v>
      </c>
      <c r="T83" s="58">
        <v>-426776.93999999994</v>
      </c>
      <c r="U83" s="52" t="s">
        <v>105</v>
      </c>
      <c r="V83" s="52" t="s">
        <v>111</v>
      </c>
      <c r="W83" s="58">
        <v>2431431.11</v>
      </c>
      <c r="X83" s="52" t="s">
        <v>17</v>
      </c>
      <c r="Y83" s="52" t="s">
        <v>99</v>
      </c>
      <c r="Z83" s="58">
        <v>-961691.7799999998</v>
      </c>
      <c r="AA83" s="58" t="s">
        <v>111</v>
      </c>
      <c r="AB83" s="58">
        <v>1469739.32</v>
      </c>
      <c r="AC83" s="52" t="s">
        <v>99</v>
      </c>
      <c r="AD83" s="58">
        <v>1.0000000009313226E-2</v>
      </c>
      <c r="AE83" s="52"/>
      <c r="AF83" s="58"/>
      <c r="AG83" s="58" t="s">
        <v>16</v>
      </c>
      <c r="AH83" s="58"/>
      <c r="AI83" s="47"/>
      <c r="AJ83" s="52"/>
    </row>
    <row r="84" spans="1:36" ht="12.5" x14ac:dyDescent="0.25">
      <c r="A84" s="47" t="s">
        <v>258</v>
      </c>
      <c r="B84" s="47" t="s">
        <v>1134</v>
      </c>
      <c r="C84" s="220">
        <v>10573630</v>
      </c>
      <c r="D84" s="220"/>
      <c r="E84" s="221">
        <v>46054</v>
      </c>
      <c r="F84" s="47" t="s">
        <v>111</v>
      </c>
      <c r="G84" s="48">
        <v>4542117.71</v>
      </c>
      <c r="H84" s="48">
        <v>4542117.71</v>
      </c>
      <c r="I84" s="48"/>
      <c r="J84" s="222">
        <v>46054</v>
      </c>
      <c r="K84" s="47" t="s">
        <v>1562</v>
      </c>
      <c r="L84" s="52"/>
      <c r="M84" s="52"/>
      <c r="N84" s="40" t="s">
        <v>107</v>
      </c>
      <c r="O84" s="40" t="s">
        <v>107</v>
      </c>
      <c r="P84" s="52">
        <v>1</v>
      </c>
      <c r="Q84" s="52" t="s">
        <v>111</v>
      </c>
      <c r="R84" s="58">
        <v>5861039.4400000004</v>
      </c>
      <c r="S84" s="58" t="s">
        <v>99</v>
      </c>
      <c r="T84" s="58">
        <v>-1318921.7300000004</v>
      </c>
      <c r="U84" s="52" t="s">
        <v>105</v>
      </c>
      <c r="V84" s="52" t="s">
        <v>111</v>
      </c>
      <c r="W84" s="58">
        <v>7514153.1299999999</v>
      </c>
      <c r="X84" s="52" t="s">
        <v>17</v>
      </c>
      <c r="Y84" s="52" t="s">
        <v>99</v>
      </c>
      <c r="Z84" s="58">
        <v>-2972035.42</v>
      </c>
      <c r="AA84" s="58" t="s">
        <v>111</v>
      </c>
      <c r="AB84" s="58">
        <v>4542117.71</v>
      </c>
      <c r="AC84" s="52" t="s">
        <v>99</v>
      </c>
      <c r="AD84" s="58">
        <v>0</v>
      </c>
      <c r="AE84" s="52"/>
      <c r="AF84" s="58"/>
      <c r="AG84" s="58" t="s">
        <v>16</v>
      </c>
      <c r="AH84" s="58"/>
      <c r="AI84" s="47"/>
      <c r="AJ84" s="52"/>
    </row>
    <row r="85" spans="1:36" ht="12.5" x14ac:dyDescent="0.25">
      <c r="A85" s="47" t="s">
        <v>391</v>
      </c>
      <c r="B85" s="47" t="s">
        <v>1471</v>
      </c>
      <c r="C85" s="220">
        <v>10573674</v>
      </c>
      <c r="D85" s="220"/>
      <c r="E85" s="221">
        <v>46054</v>
      </c>
      <c r="F85" s="47" t="s">
        <v>111</v>
      </c>
      <c r="G85" s="48">
        <v>1236375.27</v>
      </c>
      <c r="H85" s="48">
        <v>1236375.27</v>
      </c>
      <c r="I85" s="48"/>
      <c r="J85" s="222">
        <v>46054</v>
      </c>
      <c r="K85" s="47" t="s">
        <v>1562</v>
      </c>
      <c r="L85" s="52"/>
      <c r="M85" s="52"/>
      <c r="N85" s="40" t="s">
        <v>107</v>
      </c>
      <c r="O85" s="40" t="s">
        <v>107</v>
      </c>
      <c r="P85" s="52">
        <v>1</v>
      </c>
      <c r="Q85" s="52" t="s">
        <v>111</v>
      </c>
      <c r="R85" s="58">
        <v>1236375.27</v>
      </c>
      <c r="S85" s="58" t="s">
        <v>99</v>
      </c>
      <c r="T85" s="58">
        <v>0</v>
      </c>
      <c r="U85" s="52" t="s">
        <v>105</v>
      </c>
      <c r="V85" s="52" t="s">
        <v>111</v>
      </c>
      <c r="W85" s="58">
        <v>1585096.5</v>
      </c>
      <c r="X85" s="52" t="s">
        <v>17</v>
      </c>
      <c r="Y85" s="52" t="s">
        <v>99</v>
      </c>
      <c r="Z85" s="58">
        <v>-348721.23</v>
      </c>
      <c r="AA85" s="58" t="s">
        <v>111</v>
      </c>
      <c r="AB85" s="58">
        <v>1236375.27</v>
      </c>
      <c r="AC85" s="52" t="s">
        <v>99</v>
      </c>
      <c r="AD85" s="58">
        <v>0</v>
      </c>
      <c r="AE85" s="52"/>
      <c r="AF85" s="58"/>
      <c r="AG85" s="58" t="s">
        <v>16</v>
      </c>
      <c r="AH85" s="58"/>
      <c r="AI85" s="47"/>
      <c r="AJ85" s="52"/>
    </row>
    <row r="86" spans="1:36" ht="12.5" x14ac:dyDescent="0.25">
      <c r="A86" s="47" t="s">
        <v>121</v>
      </c>
      <c r="B86" s="47" t="s">
        <v>1919</v>
      </c>
      <c r="C86" s="220">
        <v>10573711</v>
      </c>
      <c r="D86" s="220"/>
      <c r="E86" s="221">
        <v>46054</v>
      </c>
      <c r="F86" s="47" t="s">
        <v>111</v>
      </c>
      <c r="G86" s="48">
        <v>1624732.96</v>
      </c>
      <c r="H86" s="48">
        <v>1624732.96</v>
      </c>
      <c r="I86" s="48"/>
      <c r="J86" s="222">
        <v>46054</v>
      </c>
      <c r="K86" s="47" t="s">
        <v>1562</v>
      </c>
      <c r="L86" s="52"/>
      <c r="M86" s="52"/>
      <c r="N86" s="40" t="s">
        <v>107</v>
      </c>
      <c r="O86" s="40" t="s">
        <v>107</v>
      </c>
      <c r="P86" s="52">
        <v>1</v>
      </c>
      <c r="Q86" s="52" t="s">
        <v>111</v>
      </c>
      <c r="R86" s="58">
        <v>2096516.34</v>
      </c>
      <c r="S86" s="58" t="s">
        <v>99</v>
      </c>
      <c r="T86" s="58">
        <v>-471783.38000000012</v>
      </c>
      <c r="U86" s="52" t="s">
        <v>105</v>
      </c>
      <c r="V86" s="52" t="s">
        <v>111</v>
      </c>
      <c r="W86" s="58">
        <v>2687841.45</v>
      </c>
      <c r="X86" s="52" t="s">
        <v>17</v>
      </c>
      <c r="Y86" s="52" t="s">
        <v>99</v>
      </c>
      <c r="Z86" s="58">
        <v>-1063108.4900000002</v>
      </c>
      <c r="AA86" s="58" t="s">
        <v>111</v>
      </c>
      <c r="AB86" s="58">
        <v>1624732.97</v>
      </c>
      <c r="AC86" s="52" t="s">
        <v>99</v>
      </c>
      <c r="AD86" s="58">
        <v>-1.0000000009313226E-2</v>
      </c>
      <c r="AE86" s="52"/>
      <c r="AF86" s="58"/>
      <c r="AG86" s="58" t="s">
        <v>16</v>
      </c>
      <c r="AH86" s="58"/>
      <c r="AI86" s="47"/>
      <c r="AJ86" s="52"/>
    </row>
    <row r="87" spans="1:36" ht="12.5" x14ac:dyDescent="0.25">
      <c r="A87" s="47" t="s">
        <v>272</v>
      </c>
      <c r="B87" s="47" t="s">
        <v>1920</v>
      </c>
      <c r="C87" s="220">
        <v>10573639</v>
      </c>
      <c r="D87" s="220"/>
      <c r="E87" s="221">
        <v>46054</v>
      </c>
      <c r="F87" s="47" t="s">
        <v>111</v>
      </c>
      <c r="G87" s="48">
        <v>1152216.1599999999</v>
      </c>
      <c r="H87" s="48">
        <v>1152216.1599999999</v>
      </c>
      <c r="I87" s="48"/>
      <c r="J87" s="222">
        <v>46054</v>
      </c>
      <c r="K87" s="47" t="s">
        <v>1562</v>
      </c>
      <c r="L87" s="52"/>
      <c r="M87" s="52"/>
      <c r="N87" s="40" t="s">
        <v>107</v>
      </c>
      <c r="O87" s="40" t="s">
        <v>107</v>
      </c>
      <c r="P87" s="52">
        <v>1</v>
      </c>
      <c r="Q87" s="52" t="s">
        <v>111</v>
      </c>
      <c r="R87" s="58">
        <v>1483869.79</v>
      </c>
      <c r="S87" s="58" t="s">
        <v>99</v>
      </c>
      <c r="T87" s="58">
        <v>-331653.63000000012</v>
      </c>
      <c r="U87" s="52"/>
      <c r="V87" s="52"/>
      <c r="W87" s="58"/>
      <c r="X87" s="52" t="s">
        <v>17</v>
      </c>
      <c r="Y87" s="52" t="s">
        <v>16</v>
      </c>
      <c r="Z87" s="58"/>
      <c r="AA87" s="58" t="s">
        <v>111</v>
      </c>
      <c r="AB87" s="58">
        <v>1152216.1599999999</v>
      </c>
      <c r="AC87" s="52" t="s">
        <v>99</v>
      </c>
      <c r="AD87" s="58">
        <v>0</v>
      </c>
      <c r="AE87" s="52"/>
      <c r="AF87" s="58"/>
      <c r="AG87" s="58" t="s">
        <v>16</v>
      </c>
      <c r="AH87" s="58"/>
      <c r="AI87" s="47"/>
      <c r="AJ87" s="52"/>
    </row>
    <row r="88" spans="1:36" ht="12.5" x14ac:dyDescent="0.25">
      <c r="A88" s="47" t="s">
        <v>293</v>
      </c>
      <c r="B88" s="47" t="s">
        <v>1229</v>
      </c>
      <c r="C88" s="220">
        <v>10573622</v>
      </c>
      <c r="D88" s="220"/>
      <c r="E88" s="221">
        <v>46054</v>
      </c>
      <c r="F88" s="47" t="s">
        <v>111</v>
      </c>
      <c r="G88" s="48">
        <v>1880159.04</v>
      </c>
      <c r="H88" s="48">
        <v>1880159.04</v>
      </c>
      <c r="I88" s="48"/>
      <c r="J88" s="222">
        <v>46054</v>
      </c>
      <c r="K88" s="47" t="s">
        <v>1562</v>
      </c>
      <c r="L88" s="52"/>
      <c r="M88" s="52"/>
      <c r="N88" s="40" t="s">
        <v>107</v>
      </c>
      <c r="O88" s="40" t="s">
        <v>107</v>
      </c>
      <c r="P88" s="52">
        <v>1</v>
      </c>
      <c r="Q88" s="52" t="s">
        <v>111</v>
      </c>
      <c r="R88" s="58">
        <v>2426112</v>
      </c>
      <c r="S88" s="58" t="s">
        <v>99</v>
      </c>
      <c r="T88" s="58">
        <v>-545952.96</v>
      </c>
      <c r="U88" s="52" t="s">
        <v>105</v>
      </c>
      <c r="V88" s="52" t="s">
        <v>111</v>
      </c>
      <c r="W88" s="58">
        <v>3110400</v>
      </c>
      <c r="X88" s="52" t="s">
        <v>17</v>
      </c>
      <c r="Y88" s="52" t="s">
        <v>99</v>
      </c>
      <c r="Z88" s="58">
        <v>-1230240.96</v>
      </c>
      <c r="AA88" s="58" t="s">
        <v>111</v>
      </c>
      <c r="AB88" s="58">
        <v>1880159.04</v>
      </c>
      <c r="AC88" s="52" t="s">
        <v>99</v>
      </c>
      <c r="AD88" s="58">
        <v>0</v>
      </c>
      <c r="AE88" s="52"/>
      <c r="AF88" s="58"/>
      <c r="AG88" s="58" t="s">
        <v>16</v>
      </c>
      <c r="AH88" s="58"/>
      <c r="AI88" s="47"/>
      <c r="AJ88" s="52"/>
    </row>
    <row r="89" spans="1:36" ht="12.5" x14ac:dyDescent="0.25">
      <c r="A89" s="47" t="s">
        <v>214</v>
      </c>
      <c r="B89" s="47" t="s">
        <v>1030</v>
      </c>
      <c r="C89" s="220">
        <v>10573692</v>
      </c>
      <c r="D89" s="220"/>
      <c r="E89" s="221">
        <v>46054</v>
      </c>
      <c r="F89" s="47" t="s">
        <v>111</v>
      </c>
      <c r="G89" s="48">
        <v>5789370.5999999996</v>
      </c>
      <c r="H89" s="48">
        <v>5789370.5999999996</v>
      </c>
      <c r="I89" s="48"/>
      <c r="J89" s="222">
        <v>46054</v>
      </c>
      <c r="K89" s="47" t="s">
        <v>1562</v>
      </c>
      <c r="L89" s="52"/>
      <c r="M89" s="52"/>
      <c r="N89" s="40" t="s">
        <v>107</v>
      </c>
      <c r="O89" s="40" t="s">
        <v>107</v>
      </c>
      <c r="P89" s="52">
        <v>1</v>
      </c>
      <c r="Q89" s="52" t="s">
        <v>111</v>
      </c>
      <c r="R89" s="58">
        <v>7470464.5700000003</v>
      </c>
      <c r="S89" s="58" t="s">
        <v>99</v>
      </c>
      <c r="T89" s="58">
        <v>-1681093.9700000007</v>
      </c>
      <c r="U89" s="52" t="s">
        <v>105</v>
      </c>
      <c r="V89" s="52" t="s">
        <v>111</v>
      </c>
      <c r="W89" s="58">
        <v>9577518.6899999995</v>
      </c>
      <c r="X89" s="52" t="s">
        <v>17</v>
      </c>
      <c r="Y89" s="52" t="s">
        <v>99</v>
      </c>
      <c r="Z89" s="58">
        <v>-3788148.09</v>
      </c>
      <c r="AA89" s="58" t="s">
        <v>111</v>
      </c>
      <c r="AB89" s="58">
        <v>5789370.5999999996</v>
      </c>
      <c r="AC89" s="52" t="s">
        <v>99</v>
      </c>
      <c r="AD89" s="58">
        <v>0</v>
      </c>
      <c r="AE89" s="52"/>
      <c r="AF89" s="58"/>
      <c r="AG89" s="58" t="s">
        <v>16</v>
      </c>
      <c r="AH89" s="58"/>
      <c r="AI89" s="47"/>
      <c r="AJ89" s="52"/>
    </row>
  </sheetData>
  <autoFilter ref="A5:AJ89" xr:uid="{00000000-0001-0000-1200-000000000000}"/>
  <customSheetViews>
    <customSheetView guid="{B69C2AF0-12B4-47BC-BE1C-46866B4BF7BB}" filter="1" showAutoFilter="1">
      <pageMargins left="0.7" right="0.7" top="0.75" bottom="0.75" header="0.3" footer="0.3"/>
      <autoFilter ref="A5:AI2720" xr:uid="{397F43B0-25C9-4A55-9244-816B8194D38C}"/>
    </customSheetView>
    <customSheetView guid="{9F6EC69A-CD52-438A-B4BF-FE4AD278465E}" filter="1" showAutoFilter="1">
      <pageMargins left="0.7" right="0.7" top="0.75" bottom="0.75" header="0.3" footer="0.3"/>
      <autoFilter ref="A5:AI2720" xr:uid="{92C61C51-78BE-4B95-AF82-B260F005EA25}"/>
    </customSheetView>
    <customSheetView guid="{4CE4C9B3-B3DB-4A32-999F-DDF3DBD00E3C}" filter="1" showAutoFilter="1">
      <pageMargins left="0.7" right="0.7" top="0.75" bottom="0.75" header="0.3" footer="0.3"/>
      <autoFilter ref="A5:AI2720" xr:uid="{36E87EB8-08FE-4CBA-9E24-F6B3763C957D}"/>
    </customSheetView>
    <customSheetView guid="{C36BEF50-5077-447F-A8BD-A7FE4D00D48F}" filter="1" showAutoFilter="1">
      <pageMargins left="0.7" right="0.7" top="0.75" bottom="0.75" header="0.3" footer="0.3"/>
      <autoFilter ref="A5:AI2720" xr:uid="{85D2244B-0FB8-4DB1-8B81-CC452F53800E}"/>
    </customSheetView>
    <customSheetView guid="{6FC748F9-A69B-449E-9167-6ABA5BC34FD0}" filter="1" showAutoFilter="1">
      <pageMargins left="0.7" right="0.7" top="0.75" bottom="0.75" header="0.3" footer="0.3"/>
      <autoFilter ref="A5:AI2720" xr:uid="{5CFE9658-4DB7-4FB1-B002-E744753CDCC5}"/>
    </customSheetView>
    <customSheetView guid="{0A0A1ECB-C18A-4643-9ACC-191BCF49A61C}" filter="1" showAutoFilter="1">
      <pageMargins left="0.7" right="0.7" top="0.75" bottom="0.75" header="0.3" footer="0.3"/>
      <autoFilter ref="A5:AJ2575" xr:uid="{9E8C6A7F-DC8E-418C-BA21-50F09DBB2CE2}"/>
    </customSheetView>
    <customSheetView guid="{ACF45445-6E94-4EAA-AA05-190F110B1BA7}" filter="1" showAutoFilter="1">
      <pageMargins left="0.7" right="0.7" top="0.75" bottom="0.75" header="0.3" footer="0.3"/>
      <autoFilter ref="A5:AI2720" xr:uid="{58E358A0-6F6E-40F9-8399-FFBE24CAADAB}"/>
    </customSheetView>
    <customSheetView guid="{16235030-164F-40BD-99D5-7573AF44E29C}" filter="1" showAutoFilter="1">
      <pageMargins left="0.7" right="0.7" top="0.75" bottom="0.75" header="0.3" footer="0.3"/>
      <autoFilter ref="A5:AI2720" xr:uid="{359B0318-1F76-44D2-BB71-0D14271AFD5C}"/>
    </customSheetView>
    <customSheetView guid="{13E5F62F-9DD8-49C1-B22D-FEF68D55D4AA}" filter="1" showAutoFilter="1">
      <pageMargins left="0.7" right="0.7" top="0.75" bottom="0.75" header="0.3" footer="0.3"/>
      <autoFilter ref="A5:AI2720" xr:uid="{3A0008DE-F140-4290-BDA1-3155E5BA14F0}"/>
    </customSheetView>
    <customSheetView guid="{9DC8DD01-B53C-4A7F-AE55-B54A23D483F2}" filter="1" showAutoFilter="1">
      <pageMargins left="0.7" right="0.7" top="0.75" bottom="0.75" header="0.3" footer="0.3"/>
      <autoFilter ref="A5:AI2720" xr:uid="{FB0766B7-A9FF-4A66-85D9-25FFCDD59DD3}"/>
    </customSheetView>
    <customSheetView guid="{F2750B43-1C51-408A-A67B-CB2BBF0005A0}" filter="1" showAutoFilter="1">
      <pageMargins left="0.7" right="0.7" top="0.75" bottom="0.75" header="0.3" footer="0.3"/>
      <autoFilter ref="A5:AI2720" xr:uid="{5A7C922A-39BB-4ADD-948D-E392EC39EA0E}"/>
    </customSheetView>
  </customSheetViews>
  <mergeCells count="7">
    <mergeCell ref="AE4:AH4"/>
    <mergeCell ref="AI4:AJ4"/>
    <mergeCell ref="A1:A2"/>
    <mergeCell ref="A4:K4"/>
    <mergeCell ref="N4:T4"/>
    <mergeCell ref="U4:Z4"/>
    <mergeCell ref="AA4:AD4"/>
  </mergeCells>
  <conditionalFormatting sqref="A3:A89">
    <cfRule type="expression" dxfId="4" priority="5">
      <formula>COUNTIF(A:A,A3)&gt;1</formula>
    </cfRule>
  </conditionalFormatting>
  <conditionalFormatting sqref="A6:AJ89">
    <cfRule type="cellIs" dxfId="3" priority="4" operator="equal">
      <formula>"Miss"</formula>
    </cfRule>
  </conditionalFormatting>
  <conditionalFormatting sqref="S2:T3 X2:Z3 AC2:AD3 AH2:AH3">
    <cfRule type="cellIs" dxfId="2" priority="1" operator="equal">
      <formula>"Miss"</formula>
    </cfRule>
  </conditionalFormatting>
  <conditionalFormatting sqref="S3:T3 X3:Z3 AC3:AD3 AH3 A4:F4">
    <cfRule type="containsText" dxfId="1" priority="2" operator="containsText" text="Miss">
      <formula>NOT(ISERROR(SEARCH(("Miss"),(S3))))</formula>
    </cfRule>
    <cfRule type="containsText" dxfId="0" priority="3" operator="containsText" text="Incorrect">
      <formula>NOT(ISERROR(SEARCH(("Incorrect"),(S3))))</formula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F2CC"/>
    <outlinePr summaryBelow="0" summaryRight="0"/>
  </sheetPr>
  <dimension ref="A3:H78"/>
  <sheetViews>
    <sheetView workbookViewId="0">
      <pane ySplit="5" topLeftCell="A6" activePane="bottomLeft" state="frozen"/>
      <selection activeCell="B9" sqref="B9"/>
      <selection pane="bottomLeft" activeCell="B9" sqref="B9"/>
    </sheetView>
  </sheetViews>
  <sheetFormatPr defaultColWidth="12.6328125" defaultRowHeight="15.75" customHeight="1" x14ac:dyDescent="0.25"/>
  <cols>
    <col min="1" max="1" width="19.36328125" customWidth="1"/>
    <col min="2" max="2" width="13.36328125" customWidth="1"/>
    <col min="3" max="3" width="18" customWidth="1"/>
    <col min="4" max="4" width="16.90625" customWidth="1"/>
    <col min="5" max="5" width="10.08984375" customWidth="1"/>
  </cols>
  <sheetData>
    <row r="3" spans="1:8" ht="15.75" customHeight="1" x14ac:dyDescent="0.25">
      <c r="A3" s="336" t="s">
        <v>42</v>
      </c>
      <c r="B3" s="337" t="s">
        <v>3108</v>
      </c>
    </row>
    <row r="4" spans="1:8" ht="12.5" x14ac:dyDescent="0.25">
      <c r="A4" s="326" t="s">
        <v>27</v>
      </c>
      <c r="B4" s="306"/>
      <c r="C4" s="306"/>
      <c r="D4" s="306"/>
      <c r="E4" s="306"/>
    </row>
    <row r="5" spans="1:8" ht="13" x14ac:dyDescent="0.25">
      <c r="A5" s="328" t="s">
        <v>46</v>
      </c>
      <c r="B5" s="328" t="s">
        <v>31</v>
      </c>
      <c r="C5" s="328" t="s">
        <v>37</v>
      </c>
      <c r="D5" s="328" t="s">
        <v>35</v>
      </c>
      <c r="E5" s="329" t="s">
        <v>1924</v>
      </c>
      <c r="F5" s="224"/>
      <c r="G5" s="224"/>
      <c r="H5" s="224"/>
    </row>
    <row r="6" spans="1:8" ht="12.5" x14ac:dyDescent="0.25">
      <c r="A6" s="330" t="s">
        <v>105</v>
      </c>
      <c r="B6" s="330" t="s">
        <v>100</v>
      </c>
      <c r="C6" s="330" t="s">
        <v>436</v>
      </c>
      <c r="D6" s="330" t="s">
        <v>107</v>
      </c>
      <c r="E6" s="331">
        <v>6445.1861016463845</v>
      </c>
    </row>
    <row r="7" spans="1:8" ht="12.5" x14ac:dyDescent="0.25">
      <c r="A7" s="332"/>
      <c r="B7" s="330" t="s">
        <v>96</v>
      </c>
      <c r="C7" s="330" t="s">
        <v>436</v>
      </c>
      <c r="D7" s="330" t="s">
        <v>107</v>
      </c>
      <c r="E7" s="331">
        <v>22366.891964924831</v>
      </c>
    </row>
    <row r="8" spans="1:8" ht="12.5" x14ac:dyDescent="0.25">
      <c r="A8" s="332"/>
      <c r="B8" s="332"/>
      <c r="C8" s="330" t="s">
        <v>433</v>
      </c>
      <c r="D8" s="330" t="s">
        <v>107</v>
      </c>
      <c r="E8" s="331">
        <v>97.909909090909096</v>
      </c>
    </row>
    <row r="9" spans="1:8" ht="12.5" x14ac:dyDescent="0.25">
      <c r="A9" s="333" t="s">
        <v>3107</v>
      </c>
      <c r="B9" s="334"/>
      <c r="C9" s="334"/>
      <c r="D9" s="334"/>
      <c r="E9" s="335">
        <v>28909.987975662123</v>
      </c>
    </row>
    <row r="10" spans="1:8" ht="12.5" x14ac:dyDescent="0.25"/>
    <row r="11" spans="1:8" ht="12.5" x14ac:dyDescent="0.25"/>
    <row r="12" spans="1:8" ht="12.5" x14ac:dyDescent="0.25"/>
    <row r="13" spans="1:8" ht="12.5" x14ac:dyDescent="0.25"/>
    <row r="14" spans="1:8" ht="12.5" x14ac:dyDescent="0.25"/>
    <row r="15" spans="1:8" ht="12.5" x14ac:dyDescent="0.25"/>
    <row r="16" spans="1:8" ht="12.5" x14ac:dyDescent="0.25"/>
    <row r="17" ht="12.5" x14ac:dyDescent="0.25"/>
    <row r="18" ht="12.5" x14ac:dyDescent="0.25"/>
    <row r="19" ht="12.5" x14ac:dyDescent="0.25"/>
    <row r="20" ht="12.5" x14ac:dyDescent="0.25"/>
    <row r="21" ht="12.5" x14ac:dyDescent="0.25"/>
    <row r="22" ht="12.5" x14ac:dyDescent="0.25"/>
    <row r="23" ht="12.5" x14ac:dyDescent="0.25"/>
    <row r="24" ht="12.5" x14ac:dyDescent="0.25"/>
    <row r="25" ht="12.5" x14ac:dyDescent="0.25"/>
    <row r="26" ht="12.5" x14ac:dyDescent="0.25"/>
    <row r="27" ht="12.5" x14ac:dyDescent="0.25"/>
    <row r="28" ht="12.5" x14ac:dyDescent="0.25"/>
    <row r="29" ht="12.5" x14ac:dyDescent="0.25"/>
    <row r="30" ht="12.5" x14ac:dyDescent="0.25"/>
    <row r="31" ht="12.5" x14ac:dyDescent="0.25"/>
    <row r="32" ht="12.5" x14ac:dyDescent="0.25"/>
    <row r="33" ht="12.5" x14ac:dyDescent="0.25"/>
    <row r="34" ht="12.5" x14ac:dyDescent="0.25"/>
    <row r="35" ht="12.5" x14ac:dyDescent="0.25"/>
    <row r="36" ht="12.5" x14ac:dyDescent="0.25"/>
    <row r="37" ht="12.5" x14ac:dyDescent="0.25"/>
    <row r="38" ht="12.5" x14ac:dyDescent="0.25"/>
    <row r="39" ht="12.5" x14ac:dyDescent="0.25"/>
    <row r="40" ht="12.5" x14ac:dyDescent="0.25"/>
    <row r="41" ht="12.5" x14ac:dyDescent="0.25"/>
    <row r="42" ht="12.5" x14ac:dyDescent="0.25"/>
    <row r="43" ht="12.5" x14ac:dyDescent="0.25"/>
    <row r="44" ht="12.5" x14ac:dyDescent="0.25"/>
    <row r="45" ht="12.5" x14ac:dyDescent="0.25"/>
    <row r="46" ht="12.5" x14ac:dyDescent="0.25"/>
    <row r="47" ht="12.5" x14ac:dyDescent="0.25"/>
    <row r="48" ht="12.5" x14ac:dyDescent="0.25"/>
    <row r="49" ht="12.5" x14ac:dyDescent="0.25"/>
    <row r="50" ht="12.5" x14ac:dyDescent="0.25"/>
    <row r="51" ht="12.5" x14ac:dyDescent="0.25"/>
    <row r="52" ht="12.5" x14ac:dyDescent="0.25"/>
    <row r="53" ht="12.5" x14ac:dyDescent="0.25"/>
    <row r="54" ht="12.5" x14ac:dyDescent="0.25"/>
    <row r="55" ht="12.5" x14ac:dyDescent="0.25"/>
    <row r="56" ht="12.5" x14ac:dyDescent="0.25"/>
    <row r="57" ht="12.5" x14ac:dyDescent="0.25"/>
    <row r="58" ht="12.5" x14ac:dyDescent="0.25"/>
    <row r="59" ht="12.5" x14ac:dyDescent="0.25"/>
    <row r="60" ht="12.5" x14ac:dyDescent="0.25"/>
    <row r="61" ht="12.5" x14ac:dyDescent="0.25"/>
    <row r="62" ht="12.5" x14ac:dyDescent="0.25"/>
    <row r="63" ht="12.5" x14ac:dyDescent="0.25"/>
    <row r="64" ht="12.5" x14ac:dyDescent="0.25"/>
    <row r="65" ht="12.5" x14ac:dyDescent="0.25"/>
    <row r="66" ht="12.5" x14ac:dyDescent="0.25"/>
    <row r="67" ht="12.5" x14ac:dyDescent="0.25"/>
    <row r="68" ht="12.5" x14ac:dyDescent="0.25"/>
    <row r="69" ht="12.5" x14ac:dyDescent="0.25"/>
    <row r="70" ht="12.5" x14ac:dyDescent="0.25"/>
    <row r="71" ht="12.5" x14ac:dyDescent="0.25"/>
    <row r="72" ht="12.5" x14ac:dyDescent="0.25"/>
    <row r="73" ht="12.5" x14ac:dyDescent="0.25"/>
    <row r="74" ht="12.5" x14ac:dyDescent="0.25"/>
    <row r="75" ht="12.5" x14ac:dyDescent="0.25"/>
    <row r="76" ht="12.5" x14ac:dyDescent="0.25"/>
    <row r="77" ht="12.5" x14ac:dyDescent="0.25"/>
    <row r="78" ht="12.5" x14ac:dyDescent="0.25"/>
  </sheetData>
  <mergeCells count="1">
    <mergeCell ref="A4:E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F2CC"/>
    <outlinePr summaryBelow="0" summaryRight="0"/>
  </sheetPr>
  <dimension ref="A1:I5"/>
  <sheetViews>
    <sheetView workbookViewId="0">
      <pane ySplit="1" topLeftCell="A2" activePane="bottomLeft" state="frozen"/>
      <selection activeCell="B9" sqref="B9"/>
      <selection pane="bottomLeft" activeCell="E7" sqref="E7"/>
    </sheetView>
  </sheetViews>
  <sheetFormatPr defaultColWidth="12.6328125" defaultRowHeight="15.75" customHeight="1" x14ac:dyDescent="0.25"/>
  <cols>
    <col min="1" max="1" width="10.90625" customWidth="1"/>
    <col min="2" max="2" width="15.90625" customWidth="1"/>
    <col min="3" max="3" width="12.6328125" customWidth="1"/>
    <col min="4" max="4" width="17.6328125" customWidth="1"/>
    <col min="5" max="5" width="10.08984375" customWidth="1"/>
    <col min="6" max="6" width="8.36328125" customWidth="1"/>
    <col min="7" max="9" width="7.36328125" customWidth="1"/>
  </cols>
  <sheetData>
    <row r="1" spans="1:9" x14ac:dyDescent="0.25">
      <c r="A1" s="225" t="s">
        <v>12</v>
      </c>
      <c r="B1" s="225" t="s">
        <v>69</v>
      </c>
      <c r="C1" s="225" t="s">
        <v>1925</v>
      </c>
      <c r="D1" s="225" t="s">
        <v>70</v>
      </c>
      <c r="E1" s="225" t="s">
        <v>1926</v>
      </c>
      <c r="F1" s="226" t="s">
        <v>1927</v>
      </c>
      <c r="G1" s="227" t="s">
        <v>1928</v>
      </c>
      <c r="H1" s="227" t="s">
        <v>424</v>
      </c>
      <c r="I1" s="227" t="s">
        <v>1929</v>
      </c>
    </row>
    <row r="2" spans="1:9" x14ac:dyDescent="0.25">
      <c r="A2" s="3" t="s">
        <v>96</v>
      </c>
      <c r="B2" s="3" t="s">
        <v>107</v>
      </c>
      <c r="C2" s="3"/>
      <c r="D2" s="3" t="s">
        <v>436</v>
      </c>
      <c r="E2" s="228">
        <v>0.15</v>
      </c>
      <c r="F2" s="95">
        <v>4.9000000000000002E-2</v>
      </c>
      <c r="G2" s="229">
        <v>0.1575</v>
      </c>
      <c r="H2" s="229">
        <v>7.0000000000000007E-2</v>
      </c>
      <c r="I2" s="229"/>
    </row>
    <row r="3" spans="1:9" x14ac:dyDescent="0.25">
      <c r="A3" s="3" t="s">
        <v>96</v>
      </c>
      <c r="B3" s="3" t="s">
        <v>110</v>
      </c>
      <c r="C3" s="3"/>
      <c r="D3" s="3" t="s">
        <v>433</v>
      </c>
      <c r="E3" s="53">
        <v>0.15</v>
      </c>
      <c r="F3" s="95">
        <v>0</v>
      </c>
      <c r="G3" s="229">
        <v>0</v>
      </c>
      <c r="H3" s="229"/>
      <c r="I3" s="229"/>
    </row>
    <row r="4" spans="1:9" x14ac:dyDescent="0.25">
      <c r="A4" s="3" t="s">
        <v>100</v>
      </c>
      <c r="B4" s="3" t="s">
        <v>107</v>
      </c>
      <c r="C4" s="3"/>
      <c r="D4" s="3" t="s">
        <v>436</v>
      </c>
      <c r="E4" s="228">
        <v>0.15</v>
      </c>
      <c r="F4" s="95">
        <v>4.9000000000000002E-2</v>
      </c>
      <c r="G4" s="229">
        <v>0.1575</v>
      </c>
      <c r="H4" s="229"/>
      <c r="I4" s="229"/>
    </row>
    <row r="5" spans="1:9" x14ac:dyDescent="0.25">
      <c r="A5" s="3" t="s">
        <v>100</v>
      </c>
      <c r="B5" s="3" t="s">
        <v>110</v>
      </c>
      <c r="C5" s="3"/>
      <c r="D5" s="3" t="s">
        <v>433</v>
      </c>
      <c r="E5" s="228">
        <v>0.08</v>
      </c>
      <c r="F5" s="95">
        <v>0</v>
      </c>
      <c r="G5" s="229">
        <v>0.15</v>
      </c>
      <c r="H5" s="229"/>
      <c r="I5" s="229"/>
    </row>
  </sheetData>
  <autoFilter ref="A1:I5" xr:uid="{00000000-0001-0000-1800-000000000000}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F2CC"/>
    <outlinePr summaryBelow="0" summaryRight="0"/>
  </sheetPr>
  <dimension ref="A3:R124"/>
  <sheetViews>
    <sheetView workbookViewId="0">
      <pane ySplit="5" topLeftCell="A6" activePane="bottomLeft" state="frozen"/>
      <selection activeCell="B9" sqref="B9"/>
      <selection pane="bottomLeft" activeCell="E10" sqref="E10"/>
    </sheetView>
  </sheetViews>
  <sheetFormatPr defaultColWidth="12.6328125" defaultRowHeight="15.75" customHeight="1" x14ac:dyDescent="0.25"/>
  <cols>
    <col min="1" max="1" width="19.36328125" customWidth="1"/>
    <col min="2" max="2" width="18" customWidth="1"/>
    <col min="3" max="3" width="8.6328125" customWidth="1"/>
    <col min="4" max="4" width="16.90625" customWidth="1"/>
    <col min="5" max="5" width="14" customWidth="1"/>
    <col min="6" max="6" width="3" customWidth="1"/>
    <col min="7" max="7" width="19.36328125" customWidth="1"/>
    <col min="8" max="8" width="18" customWidth="1"/>
    <col min="9" max="9" width="7.36328125" customWidth="1"/>
    <col min="10" max="10" width="16.90625" customWidth="1"/>
    <col min="11" max="11" width="10.08984375" customWidth="1"/>
    <col min="12" max="12" width="3" customWidth="1"/>
    <col min="13" max="13" width="16.90625" customWidth="1"/>
    <col min="14" max="14" width="15.453125" customWidth="1"/>
    <col min="15" max="15" width="5.81640625" customWidth="1"/>
    <col min="16" max="16" width="16.90625" customWidth="1"/>
    <col min="17" max="17" width="14" customWidth="1"/>
  </cols>
  <sheetData>
    <row r="3" spans="1:18" ht="12.5" x14ac:dyDescent="0.25">
      <c r="A3" s="3" t="s">
        <v>1930</v>
      </c>
      <c r="G3" s="3" t="s">
        <v>1931</v>
      </c>
      <c r="M3" s="3" t="s">
        <v>1931</v>
      </c>
    </row>
    <row r="4" spans="1:18" ht="12.5" x14ac:dyDescent="0.25">
      <c r="A4" s="326" t="s">
        <v>27</v>
      </c>
      <c r="B4" s="306"/>
      <c r="C4" s="306"/>
      <c r="D4" s="306"/>
      <c r="E4" s="306"/>
      <c r="G4" s="326" t="s">
        <v>27</v>
      </c>
      <c r="H4" s="306"/>
      <c r="I4" s="306"/>
      <c r="J4" s="306"/>
      <c r="K4" s="306"/>
      <c r="M4" s="326" t="s">
        <v>27</v>
      </c>
      <c r="N4" s="306"/>
      <c r="O4" s="306"/>
      <c r="P4" s="306"/>
      <c r="Q4" s="306"/>
    </row>
    <row r="5" spans="1:18" ht="13" x14ac:dyDescent="0.25">
      <c r="A5" s="336" t="s">
        <v>31</v>
      </c>
      <c r="B5" s="337" t="s">
        <v>3108</v>
      </c>
      <c r="F5" s="224"/>
      <c r="G5" s="336" t="s">
        <v>410</v>
      </c>
      <c r="H5" s="339" t="s">
        <v>105</v>
      </c>
      <c r="L5" s="224"/>
      <c r="M5" s="336" t="s">
        <v>410</v>
      </c>
      <c r="N5" s="339" t="s">
        <v>105</v>
      </c>
      <c r="R5" s="224"/>
    </row>
    <row r="6" spans="1:18" ht="12.5" x14ac:dyDescent="0.25"/>
    <row r="7" spans="1:18" ht="12.5" x14ac:dyDescent="0.25">
      <c r="A7" s="328" t="s">
        <v>46</v>
      </c>
      <c r="B7" s="328" t="s">
        <v>37</v>
      </c>
      <c r="C7" s="328" t="s">
        <v>44</v>
      </c>
      <c r="D7" s="328" t="s">
        <v>35</v>
      </c>
      <c r="E7" s="329" t="s">
        <v>43</v>
      </c>
      <c r="G7" s="328" t="s">
        <v>46</v>
      </c>
      <c r="H7" s="328" t="s">
        <v>37</v>
      </c>
      <c r="I7" s="328" t="s">
        <v>44</v>
      </c>
      <c r="J7" s="328" t="s">
        <v>35</v>
      </c>
      <c r="K7" s="329" t="s">
        <v>415</v>
      </c>
      <c r="M7" s="328" t="s">
        <v>46</v>
      </c>
      <c r="N7" s="328" t="s">
        <v>37</v>
      </c>
      <c r="O7" s="328" t="s">
        <v>44</v>
      </c>
      <c r="P7" s="328" t="s">
        <v>35</v>
      </c>
      <c r="Q7" s="329" t="s">
        <v>1932</v>
      </c>
    </row>
    <row r="8" spans="1:18" ht="12.5" x14ac:dyDescent="0.25">
      <c r="A8" s="330" t="s">
        <v>105</v>
      </c>
      <c r="B8" s="330" t="s">
        <v>436</v>
      </c>
      <c r="C8" s="330" t="s">
        <v>111</v>
      </c>
      <c r="D8" s="330" t="s">
        <v>107</v>
      </c>
      <c r="E8" s="331">
        <v>164074162.23000002</v>
      </c>
      <c r="G8" s="330" t="s">
        <v>105</v>
      </c>
      <c r="H8" s="330" t="s">
        <v>436</v>
      </c>
      <c r="I8" s="330" t="s">
        <v>111</v>
      </c>
      <c r="J8" s="330" t="s">
        <v>107</v>
      </c>
      <c r="K8" s="331">
        <v>39887878.216500007</v>
      </c>
      <c r="M8" s="330" t="s">
        <v>105</v>
      </c>
      <c r="N8" s="330" t="s">
        <v>436</v>
      </c>
      <c r="O8" s="330" t="s">
        <v>111</v>
      </c>
      <c r="P8" s="330" t="s">
        <v>107</v>
      </c>
      <c r="Q8" s="331">
        <v>-39887878.216500007</v>
      </c>
    </row>
    <row r="9" spans="1:18" ht="12.5" x14ac:dyDescent="0.25">
      <c r="A9" s="332"/>
      <c r="B9" s="332"/>
      <c r="C9" s="330" t="s">
        <v>95</v>
      </c>
      <c r="D9" s="330" t="s">
        <v>107</v>
      </c>
      <c r="E9" s="331">
        <v>1139.82</v>
      </c>
      <c r="G9" s="332"/>
      <c r="H9" s="332"/>
      <c r="I9" s="330" t="s">
        <v>95</v>
      </c>
      <c r="J9" s="330" t="s">
        <v>107</v>
      </c>
      <c r="K9" s="331">
        <v>259.55250000000001</v>
      </c>
      <c r="M9" s="332"/>
      <c r="N9" s="332"/>
      <c r="O9" s="330" t="s">
        <v>95</v>
      </c>
      <c r="P9" s="330" t="s">
        <v>107</v>
      </c>
      <c r="Q9" s="331">
        <v>-259.55250000000001</v>
      </c>
    </row>
    <row r="10" spans="1:18" ht="12.5" x14ac:dyDescent="0.25">
      <c r="A10" s="338"/>
      <c r="B10" s="333" t="s">
        <v>433</v>
      </c>
      <c r="C10" s="333" t="s">
        <v>111</v>
      </c>
      <c r="D10" s="333" t="s">
        <v>107</v>
      </c>
      <c r="E10" s="335">
        <v>711256.74</v>
      </c>
      <c r="G10" s="338"/>
      <c r="H10" s="333" t="s">
        <v>433</v>
      </c>
      <c r="I10" s="333" t="s">
        <v>111</v>
      </c>
      <c r="J10" s="333" t="s">
        <v>107</v>
      </c>
      <c r="K10" s="335">
        <v>136780.14299999998</v>
      </c>
      <c r="M10" s="338"/>
      <c r="N10" s="333" t="s">
        <v>433</v>
      </c>
      <c r="O10" s="333" t="s">
        <v>111</v>
      </c>
      <c r="P10" s="333" t="s">
        <v>107</v>
      </c>
      <c r="Q10" s="335">
        <v>-136780.14299999998</v>
      </c>
    </row>
    <row r="11" spans="1:18" ht="12.5" x14ac:dyDescent="0.25"/>
    <row r="12" spans="1:18" ht="12.5" x14ac:dyDescent="0.25"/>
    <row r="13" spans="1:18" ht="12.5" x14ac:dyDescent="0.25"/>
    <row r="14" spans="1:18" ht="12.5" x14ac:dyDescent="0.25"/>
    <row r="15" spans="1:18" ht="12.5" x14ac:dyDescent="0.25"/>
    <row r="16" spans="1:18" ht="12.5" x14ac:dyDescent="0.25"/>
    <row r="17" ht="12.5" x14ac:dyDescent="0.25"/>
    <row r="18" ht="12.5" x14ac:dyDescent="0.25"/>
    <row r="19" ht="12.5" x14ac:dyDescent="0.25"/>
    <row r="20" ht="12.5" x14ac:dyDescent="0.25"/>
    <row r="21" ht="12.5" x14ac:dyDescent="0.25"/>
    <row r="22" ht="12.5" x14ac:dyDescent="0.25"/>
    <row r="23" ht="12.5" x14ac:dyDescent="0.25"/>
    <row r="24" ht="12.5" x14ac:dyDescent="0.25"/>
    <row r="25" ht="12.5" x14ac:dyDescent="0.25"/>
    <row r="26" ht="12.5" x14ac:dyDescent="0.25"/>
    <row r="27" ht="12.5" x14ac:dyDescent="0.25"/>
    <row r="28" ht="12.5" x14ac:dyDescent="0.25"/>
    <row r="29" ht="12.5" x14ac:dyDescent="0.25"/>
    <row r="30" ht="12.5" x14ac:dyDescent="0.25"/>
    <row r="31" ht="12.5" x14ac:dyDescent="0.25"/>
    <row r="32" ht="12.5" x14ac:dyDescent="0.25"/>
    <row r="33" ht="12.5" x14ac:dyDescent="0.25"/>
    <row r="34" ht="12.5" x14ac:dyDescent="0.25"/>
    <row r="35" ht="12.5" x14ac:dyDescent="0.25"/>
    <row r="36" ht="12.5" x14ac:dyDescent="0.25"/>
    <row r="37" ht="12.5" x14ac:dyDescent="0.25"/>
    <row r="38" ht="12.5" x14ac:dyDescent="0.25"/>
    <row r="39" ht="12.5" x14ac:dyDescent="0.25"/>
    <row r="40" ht="12.5" x14ac:dyDescent="0.25"/>
    <row r="41" ht="12.5" x14ac:dyDescent="0.25"/>
    <row r="42" ht="12.5" x14ac:dyDescent="0.25"/>
    <row r="43" ht="12.5" x14ac:dyDescent="0.25"/>
    <row r="44" ht="12.5" x14ac:dyDescent="0.25"/>
    <row r="45" ht="12.5" x14ac:dyDescent="0.25"/>
    <row r="46" ht="12.5" x14ac:dyDescent="0.25"/>
    <row r="47" ht="12.5" x14ac:dyDescent="0.25"/>
    <row r="48" ht="12.5" x14ac:dyDescent="0.25"/>
    <row r="49" ht="12.5" x14ac:dyDescent="0.25"/>
    <row r="50" ht="12.5" x14ac:dyDescent="0.25"/>
    <row r="51" ht="12.5" x14ac:dyDescent="0.25"/>
    <row r="52" ht="12.5" x14ac:dyDescent="0.25"/>
    <row r="53" ht="12.5" x14ac:dyDescent="0.25"/>
    <row r="54" ht="12.5" x14ac:dyDescent="0.25"/>
    <row r="55" ht="12.5" x14ac:dyDescent="0.25"/>
    <row r="56" ht="12.5" x14ac:dyDescent="0.25"/>
    <row r="57" ht="12.5" x14ac:dyDescent="0.25"/>
    <row r="58" ht="12.5" x14ac:dyDescent="0.25"/>
    <row r="59" ht="12.5" x14ac:dyDescent="0.25"/>
    <row r="60" ht="12.5" x14ac:dyDescent="0.25"/>
    <row r="61" ht="12.5" x14ac:dyDescent="0.25"/>
    <row r="62" ht="12.5" x14ac:dyDescent="0.25"/>
    <row r="63" ht="12.5" x14ac:dyDescent="0.25"/>
    <row r="64" ht="12.5" x14ac:dyDescent="0.25"/>
    <row r="65" ht="12.5" x14ac:dyDescent="0.25"/>
    <row r="66" ht="12.5" x14ac:dyDescent="0.25"/>
    <row r="67" ht="12.5" x14ac:dyDescent="0.25"/>
    <row r="68" ht="12.5" x14ac:dyDescent="0.25"/>
    <row r="69" ht="12.5" x14ac:dyDescent="0.25"/>
    <row r="70" ht="12.5" x14ac:dyDescent="0.25"/>
    <row r="71" ht="12.5" x14ac:dyDescent="0.25"/>
    <row r="72" ht="12.5" x14ac:dyDescent="0.25"/>
    <row r="73" ht="12.5" x14ac:dyDescent="0.25"/>
    <row r="74" ht="12.5" x14ac:dyDescent="0.25"/>
    <row r="75" ht="12.5" x14ac:dyDescent="0.25"/>
    <row r="76" ht="12.5" x14ac:dyDescent="0.25"/>
    <row r="77" ht="12.5" x14ac:dyDescent="0.25"/>
    <row r="78" ht="12.5" x14ac:dyDescent="0.25"/>
    <row r="79" ht="12.5" x14ac:dyDescent="0.25"/>
    <row r="80" ht="12.5" x14ac:dyDescent="0.25"/>
    <row r="81" spans="13:17" ht="12.5" x14ac:dyDescent="0.25"/>
    <row r="82" spans="13:17" ht="12.5" x14ac:dyDescent="0.25"/>
    <row r="83" spans="13:17" ht="12.5" x14ac:dyDescent="0.25"/>
    <row r="84" spans="13:17" ht="12.5" x14ac:dyDescent="0.25"/>
    <row r="85" spans="13:17" ht="12.5" x14ac:dyDescent="0.25"/>
    <row r="92" spans="13:17" ht="12.5" x14ac:dyDescent="0.25">
      <c r="M92" s="8" t="str">
        <f t="shared" ref="M92:P92" si="0">IF(G92="","",G92)</f>
        <v/>
      </c>
      <c r="N92" s="8" t="str">
        <f t="shared" si="0"/>
        <v/>
      </c>
      <c r="O92" s="8" t="str">
        <f t="shared" si="0"/>
        <v/>
      </c>
      <c r="P92" s="8" t="str">
        <f t="shared" si="0"/>
        <v/>
      </c>
      <c r="Q92" s="8" t="str">
        <f t="shared" ref="Q92:Q124" si="1">IF(D92="","",(E92-K92))</f>
        <v/>
      </c>
    </row>
    <row r="93" spans="13:17" ht="12.5" x14ac:dyDescent="0.25">
      <c r="M93" s="8" t="str">
        <f t="shared" ref="M93:P93" si="2">IF(G93="","",G93)</f>
        <v/>
      </c>
      <c r="N93" s="8" t="str">
        <f t="shared" si="2"/>
        <v/>
      </c>
      <c r="O93" s="8" t="str">
        <f t="shared" si="2"/>
        <v/>
      </c>
      <c r="P93" s="8" t="str">
        <f t="shared" si="2"/>
        <v/>
      </c>
      <c r="Q93" s="8" t="str">
        <f t="shared" si="1"/>
        <v/>
      </c>
    </row>
    <row r="94" spans="13:17" ht="12.5" x14ac:dyDescent="0.25">
      <c r="M94" s="8" t="str">
        <f t="shared" ref="M94:P94" si="3">IF(G94="","",G94)</f>
        <v/>
      </c>
      <c r="N94" s="8" t="str">
        <f t="shared" si="3"/>
        <v/>
      </c>
      <c r="O94" s="8" t="str">
        <f t="shared" si="3"/>
        <v/>
      </c>
      <c r="P94" s="8" t="str">
        <f t="shared" si="3"/>
        <v/>
      </c>
      <c r="Q94" s="8" t="str">
        <f t="shared" si="1"/>
        <v/>
      </c>
    </row>
    <row r="95" spans="13:17" ht="12.5" x14ac:dyDescent="0.25">
      <c r="M95" s="8" t="str">
        <f t="shared" ref="M95:P95" si="4">IF(G95="","",G95)</f>
        <v/>
      </c>
      <c r="N95" s="8" t="str">
        <f t="shared" si="4"/>
        <v/>
      </c>
      <c r="O95" s="8" t="str">
        <f t="shared" si="4"/>
        <v/>
      </c>
      <c r="P95" s="8" t="str">
        <f t="shared" si="4"/>
        <v/>
      </c>
      <c r="Q95" s="8" t="str">
        <f t="shared" si="1"/>
        <v/>
      </c>
    </row>
    <row r="96" spans="13:17" ht="12.5" x14ac:dyDescent="0.25">
      <c r="M96" s="8" t="str">
        <f t="shared" ref="M96:P96" si="5">IF(G96="","",G96)</f>
        <v/>
      </c>
      <c r="N96" s="8" t="str">
        <f t="shared" si="5"/>
        <v/>
      </c>
      <c r="O96" s="8" t="str">
        <f t="shared" si="5"/>
        <v/>
      </c>
      <c r="P96" s="8" t="str">
        <f t="shared" si="5"/>
        <v/>
      </c>
      <c r="Q96" s="8" t="str">
        <f t="shared" si="1"/>
        <v/>
      </c>
    </row>
    <row r="97" spans="13:17" ht="12.5" x14ac:dyDescent="0.25">
      <c r="M97" s="8" t="str">
        <f t="shared" ref="M97:P97" si="6">IF(G97="","",G97)</f>
        <v/>
      </c>
      <c r="N97" s="8" t="str">
        <f t="shared" si="6"/>
        <v/>
      </c>
      <c r="O97" s="8" t="str">
        <f t="shared" si="6"/>
        <v/>
      </c>
      <c r="P97" s="8" t="str">
        <f t="shared" si="6"/>
        <v/>
      </c>
      <c r="Q97" s="8" t="str">
        <f t="shared" si="1"/>
        <v/>
      </c>
    </row>
    <row r="98" spans="13:17" ht="12.5" x14ac:dyDescent="0.25">
      <c r="M98" s="8" t="str">
        <f t="shared" ref="M98:P98" si="7">IF(G98="","",G98)</f>
        <v/>
      </c>
      <c r="N98" s="8" t="str">
        <f t="shared" si="7"/>
        <v/>
      </c>
      <c r="O98" s="8" t="str">
        <f t="shared" si="7"/>
        <v/>
      </c>
      <c r="P98" s="8" t="str">
        <f t="shared" si="7"/>
        <v/>
      </c>
      <c r="Q98" s="8" t="str">
        <f t="shared" si="1"/>
        <v/>
      </c>
    </row>
    <row r="99" spans="13:17" ht="12.5" x14ac:dyDescent="0.25">
      <c r="M99" s="8" t="str">
        <f t="shared" ref="M99:P99" si="8">IF(G99="","",G99)</f>
        <v/>
      </c>
      <c r="N99" s="8" t="str">
        <f t="shared" si="8"/>
        <v/>
      </c>
      <c r="O99" s="8" t="str">
        <f t="shared" si="8"/>
        <v/>
      </c>
      <c r="P99" s="8" t="str">
        <f t="shared" si="8"/>
        <v/>
      </c>
      <c r="Q99" s="8" t="str">
        <f t="shared" si="1"/>
        <v/>
      </c>
    </row>
    <row r="100" spans="13:17" ht="12.5" x14ac:dyDescent="0.25">
      <c r="M100" s="8" t="str">
        <f t="shared" ref="M100:P100" si="9">IF(G100="","",G100)</f>
        <v/>
      </c>
      <c r="N100" s="8" t="str">
        <f t="shared" si="9"/>
        <v/>
      </c>
      <c r="O100" s="8" t="str">
        <f t="shared" si="9"/>
        <v/>
      </c>
      <c r="P100" s="8" t="str">
        <f t="shared" si="9"/>
        <v/>
      </c>
      <c r="Q100" s="8" t="str">
        <f t="shared" si="1"/>
        <v/>
      </c>
    </row>
    <row r="101" spans="13:17" ht="12.5" x14ac:dyDescent="0.25">
      <c r="M101" s="8" t="str">
        <f t="shared" ref="M101:P101" si="10">IF(G101="","",G101)</f>
        <v/>
      </c>
      <c r="N101" s="8" t="str">
        <f t="shared" si="10"/>
        <v/>
      </c>
      <c r="O101" s="8" t="str">
        <f t="shared" si="10"/>
        <v/>
      </c>
      <c r="P101" s="8" t="str">
        <f t="shared" si="10"/>
        <v/>
      </c>
      <c r="Q101" s="8" t="str">
        <f t="shared" si="1"/>
        <v/>
      </c>
    </row>
    <row r="102" spans="13:17" ht="12.5" x14ac:dyDescent="0.25">
      <c r="M102" s="8" t="str">
        <f t="shared" ref="M102:P102" si="11">IF(G102="","",G102)</f>
        <v/>
      </c>
      <c r="N102" s="8" t="str">
        <f t="shared" si="11"/>
        <v/>
      </c>
      <c r="O102" s="8" t="str">
        <f t="shared" si="11"/>
        <v/>
      </c>
      <c r="P102" s="8" t="str">
        <f t="shared" si="11"/>
        <v/>
      </c>
      <c r="Q102" s="8" t="str">
        <f t="shared" si="1"/>
        <v/>
      </c>
    </row>
    <row r="103" spans="13:17" ht="12.5" x14ac:dyDescent="0.25">
      <c r="M103" s="8" t="str">
        <f t="shared" ref="M103:P103" si="12">IF(G103="","",G103)</f>
        <v/>
      </c>
      <c r="N103" s="8" t="str">
        <f t="shared" si="12"/>
        <v/>
      </c>
      <c r="O103" s="8" t="str">
        <f t="shared" si="12"/>
        <v/>
      </c>
      <c r="P103" s="8" t="str">
        <f t="shared" si="12"/>
        <v/>
      </c>
      <c r="Q103" s="8" t="str">
        <f t="shared" si="1"/>
        <v/>
      </c>
    </row>
    <row r="104" spans="13:17" ht="12.5" x14ac:dyDescent="0.25">
      <c r="M104" s="8" t="str">
        <f t="shared" ref="M104:P104" si="13">IF(G104="","",G104)</f>
        <v/>
      </c>
      <c r="N104" s="8" t="str">
        <f t="shared" si="13"/>
        <v/>
      </c>
      <c r="O104" s="8" t="str">
        <f t="shared" si="13"/>
        <v/>
      </c>
      <c r="P104" s="8" t="str">
        <f t="shared" si="13"/>
        <v/>
      </c>
      <c r="Q104" s="8" t="str">
        <f t="shared" si="1"/>
        <v/>
      </c>
    </row>
    <row r="105" spans="13:17" ht="12.5" x14ac:dyDescent="0.25">
      <c r="M105" s="8" t="str">
        <f t="shared" ref="M105:P105" si="14">IF(G105="","",G105)</f>
        <v/>
      </c>
      <c r="N105" s="8" t="str">
        <f t="shared" si="14"/>
        <v/>
      </c>
      <c r="O105" s="8" t="str">
        <f t="shared" si="14"/>
        <v/>
      </c>
      <c r="P105" s="8" t="str">
        <f t="shared" si="14"/>
        <v/>
      </c>
      <c r="Q105" s="8" t="str">
        <f t="shared" si="1"/>
        <v/>
      </c>
    </row>
    <row r="106" spans="13:17" ht="12.5" x14ac:dyDescent="0.25">
      <c r="M106" s="8" t="str">
        <f t="shared" ref="M106:P106" si="15">IF(G106="","",G106)</f>
        <v/>
      </c>
      <c r="N106" s="8" t="str">
        <f t="shared" si="15"/>
        <v/>
      </c>
      <c r="O106" s="8" t="str">
        <f t="shared" si="15"/>
        <v/>
      </c>
      <c r="P106" s="8" t="str">
        <f t="shared" si="15"/>
        <v/>
      </c>
      <c r="Q106" s="8" t="str">
        <f t="shared" si="1"/>
        <v/>
      </c>
    </row>
    <row r="107" spans="13:17" ht="12.5" x14ac:dyDescent="0.25">
      <c r="M107" s="8" t="str">
        <f t="shared" ref="M107:P107" si="16">IF(G107="","",G107)</f>
        <v/>
      </c>
      <c r="N107" s="8" t="str">
        <f t="shared" si="16"/>
        <v/>
      </c>
      <c r="O107" s="8" t="str">
        <f t="shared" si="16"/>
        <v/>
      </c>
      <c r="P107" s="8" t="str">
        <f t="shared" si="16"/>
        <v/>
      </c>
      <c r="Q107" s="8" t="str">
        <f t="shared" si="1"/>
        <v/>
      </c>
    </row>
    <row r="108" spans="13:17" ht="12.5" x14ac:dyDescent="0.25">
      <c r="M108" s="8" t="str">
        <f t="shared" ref="M108:P108" si="17">IF(G108="","",G108)</f>
        <v/>
      </c>
      <c r="N108" s="8" t="str">
        <f t="shared" si="17"/>
        <v/>
      </c>
      <c r="O108" s="8" t="str">
        <f t="shared" si="17"/>
        <v/>
      </c>
      <c r="P108" s="8" t="str">
        <f t="shared" si="17"/>
        <v/>
      </c>
      <c r="Q108" s="8" t="str">
        <f t="shared" si="1"/>
        <v/>
      </c>
    </row>
    <row r="109" spans="13:17" ht="12.5" x14ac:dyDescent="0.25">
      <c r="M109" s="8" t="str">
        <f t="shared" ref="M109:P109" si="18">IF(G109="","",G109)</f>
        <v/>
      </c>
      <c r="N109" s="8" t="str">
        <f t="shared" si="18"/>
        <v/>
      </c>
      <c r="O109" s="8" t="str">
        <f t="shared" si="18"/>
        <v/>
      </c>
      <c r="P109" s="8" t="str">
        <f t="shared" si="18"/>
        <v/>
      </c>
      <c r="Q109" s="8" t="str">
        <f t="shared" si="1"/>
        <v/>
      </c>
    </row>
    <row r="110" spans="13:17" ht="12.5" x14ac:dyDescent="0.25">
      <c r="M110" s="8" t="str">
        <f t="shared" ref="M110:P110" si="19">IF(G110="","",G110)</f>
        <v/>
      </c>
      <c r="N110" s="8" t="str">
        <f t="shared" si="19"/>
        <v/>
      </c>
      <c r="O110" s="8" t="str">
        <f t="shared" si="19"/>
        <v/>
      </c>
      <c r="P110" s="8" t="str">
        <f t="shared" si="19"/>
        <v/>
      </c>
      <c r="Q110" s="8" t="str">
        <f t="shared" si="1"/>
        <v/>
      </c>
    </row>
    <row r="111" spans="13:17" ht="12.5" x14ac:dyDescent="0.25">
      <c r="M111" s="8" t="str">
        <f t="shared" ref="M111:P111" si="20">IF(G111="","",G111)</f>
        <v/>
      </c>
      <c r="N111" s="8" t="str">
        <f t="shared" si="20"/>
        <v/>
      </c>
      <c r="O111" s="8" t="str">
        <f t="shared" si="20"/>
        <v/>
      </c>
      <c r="P111" s="8" t="str">
        <f t="shared" si="20"/>
        <v/>
      </c>
      <c r="Q111" s="8" t="str">
        <f t="shared" si="1"/>
        <v/>
      </c>
    </row>
    <row r="112" spans="13:17" ht="12.5" x14ac:dyDescent="0.25">
      <c r="M112" s="8" t="str">
        <f t="shared" ref="M112:P112" si="21">IF(G112="","",G112)</f>
        <v/>
      </c>
      <c r="N112" s="8" t="str">
        <f t="shared" si="21"/>
        <v/>
      </c>
      <c r="O112" s="8" t="str">
        <f t="shared" si="21"/>
        <v/>
      </c>
      <c r="P112" s="8" t="str">
        <f t="shared" si="21"/>
        <v/>
      </c>
      <c r="Q112" s="8" t="str">
        <f t="shared" si="1"/>
        <v/>
      </c>
    </row>
    <row r="113" spans="13:17" ht="12.5" x14ac:dyDescent="0.25">
      <c r="M113" s="8" t="str">
        <f t="shared" ref="M113:P113" si="22">IF(G113="","",G113)</f>
        <v/>
      </c>
      <c r="N113" s="8" t="str">
        <f t="shared" si="22"/>
        <v/>
      </c>
      <c r="O113" s="8" t="str">
        <f t="shared" si="22"/>
        <v/>
      </c>
      <c r="P113" s="8" t="str">
        <f t="shared" si="22"/>
        <v/>
      </c>
      <c r="Q113" s="8" t="str">
        <f t="shared" si="1"/>
        <v/>
      </c>
    </row>
    <row r="114" spans="13:17" ht="12.5" x14ac:dyDescent="0.25">
      <c r="M114" s="8" t="str">
        <f t="shared" ref="M114:P114" si="23">IF(G114="","",G114)</f>
        <v/>
      </c>
      <c r="N114" s="8" t="str">
        <f t="shared" si="23"/>
        <v/>
      </c>
      <c r="O114" s="8" t="str">
        <f t="shared" si="23"/>
        <v/>
      </c>
      <c r="P114" s="8" t="str">
        <f t="shared" si="23"/>
        <v/>
      </c>
      <c r="Q114" s="8" t="str">
        <f t="shared" si="1"/>
        <v/>
      </c>
    </row>
    <row r="115" spans="13:17" ht="12.5" x14ac:dyDescent="0.25">
      <c r="M115" s="8" t="str">
        <f t="shared" ref="M115:P115" si="24">IF(G115="","",G115)</f>
        <v/>
      </c>
      <c r="N115" s="8" t="str">
        <f t="shared" si="24"/>
        <v/>
      </c>
      <c r="O115" s="8" t="str">
        <f t="shared" si="24"/>
        <v/>
      </c>
      <c r="P115" s="8" t="str">
        <f t="shared" si="24"/>
        <v/>
      </c>
      <c r="Q115" s="8" t="str">
        <f t="shared" si="1"/>
        <v/>
      </c>
    </row>
    <row r="116" spans="13:17" ht="12.5" x14ac:dyDescent="0.25">
      <c r="M116" s="8" t="str">
        <f t="shared" ref="M116:P116" si="25">IF(G116="","",G116)</f>
        <v/>
      </c>
      <c r="N116" s="8" t="str">
        <f t="shared" si="25"/>
        <v/>
      </c>
      <c r="O116" s="8" t="str">
        <f t="shared" si="25"/>
        <v/>
      </c>
      <c r="P116" s="8" t="str">
        <f t="shared" si="25"/>
        <v/>
      </c>
      <c r="Q116" s="8" t="str">
        <f t="shared" si="1"/>
        <v/>
      </c>
    </row>
    <row r="117" spans="13:17" ht="12.5" x14ac:dyDescent="0.25">
      <c r="M117" s="8" t="str">
        <f t="shared" ref="M117:P117" si="26">IF(G117="","",G117)</f>
        <v/>
      </c>
      <c r="N117" s="8" t="str">
        <f t="shared" si="26"/>
        <v/>
      </c>
      <c r="O117" s="8" t="str">
        <f t="shared" si="26"/>
        <v/>
      </c>
      <c r="P117" s="8" t="str">
        <f t="shared" si="26"/>
        <v/>
      </c>
      <c r="Q117" s="8" t="str">
        <f t="shared" si="1"/>
        <v/>
      </c>
    </row>
    <row r="118" spans="13:17" ht="12.5" x14ac:dyDescent="0.25">
      <c r="M118" s="8" t="str">
        <f t="shared" ref="M118:P118" si="27">IF(G118="","",G118)</f>
        <v/>
      </c>
      <c r="N118" s="8" t="str">
        <f t="shared" si="27"/>
        <v/>
      </c>
      <c r="O118" s="8" t="str">
        <f t="shared" si="27"/>
        <v/>
      </c>
      <c r="P118" s="8" t="str">
        <f t="shared" si="27"/>
        <v/>
      </c>
      <c r="Q118" s="8" t="str">
        <f t="shared" si="1"/>
        <v/>
      </c>
    </row>
    <row r="119" spans="13:17" ht="12.5" x14ac:dyDescent="0.25">
      <c r="M119" s="8" t="str">
        <f t="shared" ref="M119:P119" si="28">IF(G119="","",G119)</f>
        <v/>
      </c>
      <c r="N119" s="8" t="str">
        <f t="shared" si="28"/>
        <v/>
      </c>
      <c r="O119" s="8" t="str">
        <f t="shared" si="28"/>
        <v/>
      </c>
      <c r="P119" s="8" t="str">
        <f t="shared" si="28"/>
        <v/>
      </c>
      <c r="Q119" s="8" t="str">
        <f t="shared" si="1"/>
        <v/>
      </c>
    </row>
    <row r="120" spans="13:17" ht="12.5" x14ac:dyDescent="0.25">
      <c r="M120" s="8" t="str">
        <f t="shared" ref="M120:P120" si="29">IF(G120="","",G120)</f>
        <v/>
      </c>
      <c r="N120" s="8" t="str">
        <f t="shared" si="29"/>
        <v/>
      </c>
      <c r="O120" s="8" t="str">
        <f t="shared" si="29"/>
        <v/>
      </c>
      <c r="P120" s="8" t="str">
        <f t="shared" si="29"/>
        <v/>
      </c>
      <c r="Q120" s="8" t="str">
        <f t="shared" si="1"/>
        <v/>
      </c>
    </row>
    <row r="121" spans="13:17" ht="12.5" x14ac:dyDescent="0.25">
      <c r="M121" s="8" t="str">
        <f t="shared" ref="M121:P121" si="30">IF(G121="","",G121)</f>
        <v/>
      </c>
      <c r="N121" s="8" t="str">
        <f t="shared" si="30"/>
        <v/>
      </c>
      <c r="O121" s="8" t="str">
        <f t="shared" si="30"/>
        <v/>
      </c>
      <c r="P121" s="8" t="str">
        <f t="shared" si="30"/>
        <v/>
      </c>
      <c r="Q121" s="8" t="str">
        <f t="shared" si="1"/>
        <v/>
      </c>
    </row>
    <row r="122" spans="13:17" ht="12.5" x14ac:dyDescent="0.25">
      <c r="M122" s="8" t="str">
        <f t="shared" ref="M122:P122" si="31">IF(G122="","",G122)</f>
        <v/>
      </c>
      <c r="N122" s="8" t="str">
        <f t="shared" si="31"/>
        <v/>
      </c>
      <c r="O122" s="8" t="str">
        <f t="shared" si="31"/>
        <v/>
      </c>
      <c r="P122" s="8" t="str">
        <f t="shared" si="31"/>
        <v/>
      </c>
      <c r="Q122" s="8" t="str">
        <f t="shared" si="1"/>
        <v/>
      </c>
    </row>
    <row r="123" spans="13:17" ht="12.5" x14ac:dyDescent="0.25">
      <c r="M123" s="8" t="str">
        <f t="shared" ref="M123:P123" si="32">IF(G123="","",G123)</f>
        <v/>
      </c>
      <c r="N123" s="8" t="str">
        <f t="shared" si="32"/>
        <v/>
      </c>
      <c r="O123" s="8" t="str">
        <f t="shared" si="32"/>
        <v/>
      </c>
      <c r="P123" s="8" t="str">
        <f t="shared" si="32"/>
        <v/>
      </c>
      <c r="Q123" s="8" t="str">
        <f t="shared" si="1"/>
        <v/>
      </c>
    </row>
    <row r="124" spans="13:17" ht="12.5" x14ac:dyDescent="0.25">
      <c r="M124" s="8" t="str">
        <f t="shared" ref="M124:P124" si="33">IF(G124="","",G124)</f>
        <v/>
      </c>
      <c r="N124" s="8" t="str">
        <f t="shared" si="33"/>
        <v/>
      </c>
      <c r="O124" s="8" t="str">
        <f t="shared" si="33"/>
        <v/>
      </c>
      <c r="P124" s="8" t="str">
        <f t="shared" si="33"/>
        <v/>
      </c>
      <c r="Q124" s="8" t="str">
        <f t="shared" si="1"/>
        <v/>
      </c>
    </row>
  </sheetData>
  <mergeCells count="3">
    <mergeCell ref="A4:E4"/>
    <mergeCell ref="G4:K4"/>
    <mergeCell ref="M4:Q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C3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 x14ac:dyDescent="0.25"/>
  <cols>
    <col min="1" max="1" width="36.90625" customWidth="1"/>
    <col min="2" max="2" width="9.81640625" customWidth="1"/>
  </cols>
  <sheetData>
    <row r="1" spans="1:3" ht="35.25" customHeight="1" x14ac:dyDescent="0.25">
      <c r="A1" s="230" t="s">
        <v>1933</v>
      </c>
      <c r="B1" s="230" t="s">
        <v>1934</v>
      </c>
      <c r="C1" s="230"/>
    </row>
    <row r="2" spans="1:3" ht="12.5" x14ac:dyDescent="0.25">
      <c r="A2" s="8" t="s">
        <v>1935</v>
      </c>
      <c r="B2" s="97">
        <v>1</v>
      </c>
    </row>
    <row r="3" spans="1:3" ht="12.5" x14ac:dyDescent="0.25">
      <c r="A3" s="8" t="s">
        <v>442</v>
      </c>
      <c r="B3" s="97">
        <v>1</v>
      </c>
    </row>
  </sheetData>
  <autoFilter ref="A1:B3" xr:uid="{00000000-0001-0000-1C00-000000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filterMode="1">
    <tabColor rgb="FF6D9EEB"/>
    <outlinePr summaryBelow="0" summaryRight="0"/>
  </sheetPr>
  <dimension ref="A1:G598"/>
  <sheetViews>
    <sheetView workbookViewId="0">
      <pane ySplit="2" topLeftCell="A39" activePane="bottomLeft" state="frozen"/>
      <selection pane="bottomLeft" activeCell="A2" sqref="A2"/>
    </sheetView>
  </sheetViews>
  <sheetFormatPr defaultColWidth="12.6328125" defaultRowHeight="15.75" customHeight="1" x14ac:dyDescent="0.25"/>
  <cols>
    <col min="1" max="1" width="11.1796875" customWidth="1"/>
    <col min="2" max="2" width="16.08984375" customWidth="1"/>
    <col min="3" max="3" width="9.81640625" customWidth="1"/>
    <col min="4" max="4" width="19.453125" customWidth="1"/>
    <col min="5" max="5" width="10.36328125" bestFit="1" customWidth="1"/>
    <col min="6" max="7" width="19.453125" customWidth="1"/>
  </cols>
  <sheetData>
    <row r="1" spans="1:7" ht="13" x14ac:dyDescent="0.25">
      <c r="A1" s="327" t="s">
        <v>1936</v>
      </c>
      <c r="B1" s="304"/>
      <c r="C1" s="304"/>
      <c r="D1" s="304"/>
      <c r="E1" s="304"/>
      <c r="F1" s="304"/>
      <c r="G1" s="231"/>
    </row>
    <row r="2" spans="1:7" ht="39" x14ac:dyDescent="0.25">
      <c r="A2" s="232" t="s">
        <v>625</v>
      </c>
      <c r="B2" s="233" t="s">
        <v>1937</v>
      </c>
      <c r="C2" s="233" t="s">
        <v>1938</v>
      </c>
      <c r="D2" s="234" t="s">
        <v>95</v>
      </c>
      <c r="E2" s="234" t="s">
        <v>1939</v>
      </c>
      <c r="F2" s="234" t="s">
        <v>97</v>
      </c>
      <c r="G2" s="234" t="s">
        <v>1940</v>
      </c>
    </row>
    <row r="3" spans="1:7" ht="12.5" hidden="1" x14ac:dyDescent="0.25">
      <c r="A3" s="235">
        <f ca="1">IFERROR(__xludf.DUMMYFUNCTION("QUERY(IMPORTRANGE(""https://docs.google.com/spreadsheets/d/1Zrt8ZVJ8DLeZ_wB-ssSaa_JtKwo17iLAjJL6WskIIGU/edit"", ""Extract 1!A2:G""), ""SELECT * WHERE Col1 &gt;= DATE '2025-01-01'"")"),46054)</f>
        <v>46054</v>
      </c>
      <c r="B3" s="156">
        <f ca="1">IFERROR(__xludf.DUMMYFUNCTION("""COMPUTED_VALUE"""),2958100)</f>
        <v>2958100</v>
      </c>
      <c r="C3" s="2" t="str">
        <f ca="1">IFERROR(__xludf.DUMMYFUNCTION("""COMPUTED_VALUE"""),"SAR")</f>
        <v>SAR</v>
      </c>
      <c r="D3" s="236">
        <f ca="1">IFERROR(__xludf.DUMMYFUNCTION("""COMPUTED_VALUE"""),3.75)</f>
        <v>3.75</v>
      </c>
      <c r="E3" s="236">
        <f ca="1">IFERROR(__xludf.DUMMYFUNCTION("""COMPUTED_VALUE"""),0.847099)</f>
        <v>0.84709900000000005</v>
      </c>
      <c r="F3" s="236">
        <f ca="1">IFERROR(__xludf.DUMMYFUNCTION("""COMPUTED_VALUE"""),4.42687336427029)</f>
        <v>4.42687336427029</v>
      </c>
      <c r="G3" s="236" t="str">
        <f ca="1">IFERROR(__xludf.DUMMYFUNCTION("""COMPUTED_VALUE"""),"2026-03-06 16:26")</f>
        <v>2026-03-06 16:26</v>
      </c>
    </row>
    <row r="4" spans="1:7" ht="12.5" hidden="1" x14ac:dyDescent="0.25">
      <c r="A4" s="235">
        <f ca="1">IFERROR(__xludf.DUMMYFUNCTION("""COMPUTED_VALUE"""),46054)</f>
        <v>46054</v>
      </c>
      <c r="B4" s="156">
        <f ca="1">IFERROR(__xludf.DUMMYFUNCTION("""COMPUTED_VALUE"""),2958100)</f>
        <v>2958100</v>
      </c>
      <c r="C4" s="2" t="str">
        <f ca="1">IFERROR(__xludf.DUMMYFUNCTION("""COMPUTED_VALUE"""),"USD")</f>
        <v>USD</v>
      </c>
      <c r="D4" s="236">
        <f ca="1">IFERROR(__xludf.DUMMYFUNCTION("""COMPUTED_VALUE"""),1)</f>
        <v>1</v>
      </c>
      <c r="E4" s="236">
        <f ca="1">IFERROR(__xludf.DUMMYFUNCTION("""COMPUTED_VALUE"""),0.847099)</f>
        <v>0.84709900000000005</v>
      </c>
      <c r="F4" s="236">
        <f ca="1">IFERROR(__xludf.DUMMYFUNCTION("""COMPUTED_VALUE"""),1.18049956380541)</f>
        <v>1.1804995638054101</v>
      </c>
      <c r="G4" s="236" t="str">
        <f ca="1">IFERROR(__xludf.DUMMYFUNCTION("""COMPUTED_VALUE"""),"2026-03-06 16:26")</f>
        <v>2026-03-06 16:26</v>
      </c>
    </row>
    <row r="5" spans="1:7" ht="12.5" hidden="1" x14ac:dyDescent="0.25">
      <c r="A5" s="156">
        <f ca="1">IFERROR(__xludf.DUMMYFUNCTION("""COMPUTED_VALUE"""),46054)</f>
        <v>46054</v>
      </c>
      <c r="B5" s="156">
        <f ca="1">IFERROR(__xludf.DUMMYFUNCTION("""COMPUTED_VALUE"""),2958100)</f>
        <v>2958100</v>
      </c>
      <c r="C5" s="2" t="str">
        <f ca="1">IFERROR(__xludf.DUMMYFUNCTION("""COMPUTED_VALUE"""),"MNT")</f>
        <v>MNT</v>
      </c>
      <c r="D5" s="236">
        <f ca="1">IFERROR(__xludf.DUMMYFUNCTION("""COMPUTED_VALUE"""),3568.267683)</f>
        <v>3568.267683</v>
      </c>
      <c r="E5" s="236">
        <f ca="1">IFERROR(__xludf.DUMMYFUNCTION("""COMPUTED_VALUE"""),0.847099)</f>
        <v>0.84709900000000005</v>
      </c>
      <c r="F5" s="236">
        <f ca="1">IFERROR(__xludf.DUMMYFUNCTION("""COMPUTED_VALUE"""),4212.33844332244)</f>
        <v>4212.3384433224401</v>
      </c>
      <c r="G5" s="236" t="str">
        <f ca="1">IFERROR(__xludf.DUMMYFUNCTION("""COMPUTED_VALUE"""),"2026-03-06 16:26")</f>
        <v>2026-03-06 16:26</v>
      </c>
    </row>
    <row r="6" spans="1:7" ht="12.5" hidden="1" x14ac:dyDescent="0.25">
      <c r="A6" s="156">
        <f ca="1">IFERROR(__xludf.DUMMYFUNCTION("""COMPUTED_VALUE"""),46054)</f>
        <v>46054</v>
      </c>
      <c r="B6" s="156">
        <f ca="1">IFERROR(__xludf.DUMMYFUNCTION("""COMPUTED_VALUE"""),2958100)</f>
        <v>2958100</v>
      </c>
      <c r="C6" s="2" t="str">
        <f ca="1">IFERROR(__xludf.DUMMYFUNCTION("""COMPUTED_VALUE"""),"HKD")</f>
        <v>HKD</v>
      </c>
      <c r="D6" s="236">
        <f ca="1">IFERROR(__xludf.DUMMYFUNCTION("""COMPUTED_VALUE"""),7.823719)</f>
        <v>7.8237189999999996</v>
      </c>
      <c r="E6" s="236">
        <f ca="1">IFERROR(__xludf.DUMMYFUNCTION("""COMPUTED_VALUE"""),0.847099)</f>
        <v>0.84709900000000005</v>
      </c>
      <c r="F6" s="236">
        <f ca="1">IFERROR(__xludf.DUMMYFUNCTION("""COMPUTED_VALUE"""),9.2358968668361)</f>
        <v>9.2358968668361001</v>
      </c>
      <c r="G6" s="236" t="str">
        <f ca="1">IFERROR(__xludf.DUMMYFUNCTION("""COMPUTED_VALUE"""),"2026-03-06 16:26")</f>
        <v>2026-03-06 16:26</v>
      </c>
    </row>
    <row r="7" spans="1:7" ht="12.5" hidden="1" x14ac:dyDescent="0.25">
      <c r="A7" s="156">
        <f ca="1">IFERROR(__xludf.DUMMYFUNCTION("""COMPUTED_VALUE"""),46054)</f>
        <v>46054</v>
      </c>
      <c r="B7" s="156">
        <f ca="1">IFERROR(__xludf.DUMMYFUNCTION("""COMPUTED_VALUE"""),2958100)</f>
        <v>2958100</v>
      </c>
      <c r="C7" s="2" t="str">
        <f ca="1">IFERROR(__xludf.DUMMYFUNCTION("""COMPUTED_VALUE"""),"RSD")</f>
        <v>RSD</v>
      </c>
      <c r="D7" s="236">
        <f ca="1">IFERROR(__xludf.DUMMYFUNCTION("""COMPUTED_VALUE"""),99.450487)</f>
        <v>99.450486999999995</v>
      </c>
      <c r="E7" s="236">
        <f ca="1">IFERROR(__xludf.DUMMYFUNCTION("""COMPUTED_VALUE"""),0.847099)</f>
        <v>0.84709900000000005</v>
      </c>
      <c r="F7" s="236">
        <f ca="1">IFERROR(__xludf.DUMMYFUNCTION("""COMPUTED_VALUE"""),117.401256523735)</f>
        <v>117.401256523735</v>
      </c>
      <c r="G7" s="236" t="str">
        <f ca="1">IFERROR(__xludf.DUMMYFUNCTION("""COMPUTED_VALUE"""),"2026-03-06 16:26")</f>
        <v>2026-03-06 16:26</v>
      </c>
    </row>
    <row r="8" spans="1:7" ht="12.5" hidden="1" x14ac:dyDescent="0.25">
      <c r="A8" s="156">
        <f ca="1">IFERROR(__xludf.DUMMYFUNCTION("""COMPUTED_VALUE"""),46054)</f>
        <v>46054</v>
      </c>
      <c r="B8" s="156">
        <f ca="1">IFERROR(__xludf.DUMMYFUNCTION("""COMPUTED_VALUE"""),2958100)</f>
        <v>2958100</v>
      </c>
      <c r="C8" s="2" t="str">
        <f ca="1">IFERROR(__xludf.DUMMYFUNCTION("""COMPUTED_VALUE"""),"KHR")</f>
        <v>KHR</v>
      </c>
      <c r="D8" s="236">
        <f ca="1">IFERROR(__xludf.DUMMYFUNCTION("""COMPUTED_VALUE"""),4030.495553)</f>
        <v>4030.4955530000002</v>
      </c>
      <c r="E8" s="236">
        <f ca="1">IFERROR(__xludf.DUMMYFUNCTION("""COMPUTED_VALUE"""),0.847099)</f>
        <v>0.84709900000000005</v>
      </c>
      <c r="F8" s="236">
        <f ca="1">IFERROR(__xludf.DUMMYFUNCTION("""COMPUTED_VALUE"""),4757.99824223614)</f>
        <v>4757.99824223614</v>
      </c>
      <c r="G8" s="236" t="str">
        <f ca="1">IFERROR(__xludf.DUMMYFUNCTION("""COMPUTED_VALUE"""),"2026-03-06 16:26")</f>
        <v>2026-03-06 16:26</v>
      </c>
    </row>
    <row r="9" spans="1:7" ht="12.5" hidden="1" x14ac:dyDescent="0.25">
      <c r="A9" s="156">
        <f ca="1">IFERROR(__xludf.DUMMYFUNCTION("""COMPUTED_VALUE"""),46054)</f>
        <v>46054</v>
      </c>
      <c r="B9" s="156">
        <f ca="1">IFERROR(__xludf.DUMMYFUNCTION("""COMPUTED_VALUE"""),2958100)</f>
        <v>2958100</v>
      </c>
      <c r="C9" s="2" t="str">
        <f ca="1">IFERROR(__xludf.DUMMYFUNCTION("""COMPUTED_VALUE"""),"RON")</f>
        <v>RON</v>
      </c>
      <c r="D9" s="236">
        <f ca="1">IFERROR(__xludf.DUMMYFUNCTION("""COMPUTED_VALUE"""),4.316561)</f>
        <v>4.3165610000000001</v>
      </c>
      <c r="E9" s="236">
        <f ca="1">IFERROR(__xludf.DUMMYFUNCTION("""COMPUTED_VALUE"""),0.847099)</f>
        <v>0.84709900000000005</v>
      </c>
      <c r="F9" s="236">
        <f ca="1">IFERROR(__xludf.DUMMYFUNCTION("""COMPUTED_VALUE"""),5.09569837763944)</f>
        <v>5.0956983776394402</v>
      </c>
      <c r="G9" s="236" t="str">
        <f ca="1">IFERROR(__xludf.DUMMYFUNCTION("""COMPUTED_VALUE"""),"2026-03-06 16:26")</f>
        <v>2026-03-06 16:26</v>
      </c>
    </row>
    <row r="10" spans="1:7" ht="12.5" hidden="1" x14ac:dyDescent="0.25">
      <c r="A10" s="156">
        <f ca="1">IFERROR(__xludf.DUMMYFUNCTION("""COMPUTED_VALUE"""),46054)</f>
        <v>46054</v>
      </c>
      <c r="B10" s="156">
        <f ca="1">IFERROR(__xludf.DUMMYFUNCTION("""COMPUTED_VALUE"""),2958100)</f>
        <v>2958100</v>
      </c>
      <c r="C10" s="2" t="str">
        <f ca="1">IFERROR(__xludf.DUMMYFUNCTION("""COMPUTED_VALUE"""),"KGS")</f>
        <v>KGS</v>
      </c>
      <c r="D10" s="236">
        <f ca="1">IFERROR(__xludf.DUMMYFUNCTION("""COMPUTED_VALUE"""),87.461076)</f>
        <v>87.461076000000006</v>
      </c>
      <c r="E10" s="236">
        <f ca="1">IFERROR(__xludf.DUMMYFUNCTION("""COMPUTED_VALUE"""),0.847099)</f>
        <v>0.84709900000000005</v>
      </c>
      <c r="F10" s="236">
        <f ca="1">IFERROR(__xludf.DUMMYFUNCTION("""COMPUTED_VALUE"""),103.247762067951)</f>
        <v>103.247762067951</v>
      </c>
      <c r="G10" s="236" t="str">
        <f ca="1">IFERROR(__xludf.DUMMYFUNCTION("""COMPUTED_VALUE"""),"2026-03-06 16:26")</f>
        <v>2026-03-06 16:26</v>
      </c>
    </row>
    <row r="11" spans="1:7" ht="12.5" hidden="1" x14ac:dyDescent="0.25">
      <c r="A11" s="156">
        <f ca="1">IFERROR(__xludf.DUMMYFUNCTION("""COMPUTED_VALUE"""),46054)</f>
        <v>46054</v>
      </c>
      <c r="B11" s="156">
        <f ca="1">IFERROR(__xludf.DUMMYFUNCTION("""COMPUTED_VALUE"""),2958100)</f>
        <v>2958100</v>
      </c>
      <c r="C11" s="2" t="str">
        <f ca="1">IFERROR(__xludf.DUMMYFUNCTION("""COMPUTED_VALUE"""),"UAH")</f>
        <v>UAH</v>
      </c>
      <c r="D11" s="236">
        <f ca="1">IFERROR(__xludf.DUMMYFUNCTION("""COMPUTED_VALUE"""),43.222702)</f>
        <v>43.222701999999998</v>
      </c>
      <c r="E11" s="236">
        <f ca="1">IFERROR(__xludf.DUMMYFUNCTION("""COMPUTED_VALUE"""),0.847099)</f>
        <v>0.84709900000000005</v>
      </c>
      <c r="F11" s="236">
        <f ca="1">IFERROR(__xludf.DUMMYFUNCTION("""COMPUTED_VALUE"""),51.0243808574912)</f>
        <v>51.024380857491202</v>
      </c>
      <c r="G11" s="236" t="str">
        <f ca="1">IFERROR(__xludf.DUMMYFUNCTION("""COMPUTED_VALUE"""),"2026-03-06 16:26")</f>
        <v>2026-03-06 16:26</v>
      </c>
    </row>
    <row r="12" spans="1:7" ht="12.5" hidden="1" x14ac:dyDescent="0.25">
      <c r="A12" s="156">
        <f ca="1">IFERROR(__xludf.DUMMYFUNCTION("""COMPUTED_VALUE"""),46054)</f>
        <v>46054</v>
      </c>
      <c r="B12" s="156">
        <f ca="1">IFERROR(__xludf.DUMMYFUNCTION("""COMPUTED_VALUE"""),2958100)</f>
        <v>2958100</v>
      </c>
      <c r="C12" s="2" t="str">
        <f ca="1">IFERROR(__xludf.DUMMYFUNCTION("""COMPUTED_VALUE"""),"BGN")</f>
        <v>BGN</v>
      </c>
      <c r="D12" s="236">
        <f ca="1">IFERROR(__xludf.DUMMYFUNCTION("""COMPUTED_VALUE"""),1.656781)</f>
        <v>1.6567810000000001</v>
      </c>
      <c r="E12" s="236">
        <f ca="1">IFERROR(__xludf.DUMMYFUNCTION("""COMPUTED_VALUE"""),0.847099)</f>
        <v>0.84709900000000005</v>
      </c>
      <c r="F12" s="236">
        <f ca="1">IFERROR(__xludf.DUMMYFUNCTION("""COMPUTED_VALUE"""),1.95582924782109)</f>
        <v>1.9558292478210899</v>
      </c>
      <c r="G12" s="236" t="str">
        <f ca="1">IFERROR(__xludf.DUMMYFUNCTION("""COMPUTED_VALUE"""),"2026-03-06 16:26")</f>
        <v>2026-03-06 16:26</v>
      </c>
    </row>
    <row r="13" spans="1:7" ht="12.5" hidden="1" x14ac:dyDescent="0.25">
      <c r="A13" s="156">
        <f ca="1">IFERROR(__xludf.DUMMYFUNCTION("""COMPUTED_VALUE"""),46054)</f>
        <v>46054</v>
      </c>
      <c r="B13" s="156">
        <f ca="1">IFERROR(__xludf.DUMMYFUNCTION("""COMPUTED_VALUE"""),2958100)</f>
        <v>2958100</v>
      </c>
      <c r="C13" s="2" t="str">
        <f ca="1">IFERROR(__xludf.DUMMYFUNCTION("""COMPUTED_VALUE"""),"TWD")</f>
        <v>TWD</v>
      </c>
      <c r="D13" s="236">
        <f ca="1">IFERROR(__xludf.DUMMYFUNCTION("""COMPUTED_VALUE"""),31.351122)</f>
        <v>31.351122</v>
      </c>
      <c r="E13" s="236">
        <f ca="1">IFERROR(__xludf.DUMMYFUNCTION("""COMPUTED_VALUE"""),0.847099)</f>
        <v>0.84709900000000005</v>
      </c>
      <c r="F13" s="236">
        <f ca="1">IFERROR(__xludf.DUMMYFUNCTION("""COMPUTED_VALUE"""),37.0099858458102)</f>
        <v>37.009985845810199</v>
      </c>
      <c r="G13" s="236" t="str">
        <f ca="1">IFERROR(__xludf.DUMMYFUNCTION("""COMPUTED_VALUE"""),"2026-03-06 16:26")</f>
        <v>2026-03-06 16:26</v>
      </c>
    </row>
    <row r="14" spans="1:7" ht="12.5" hidden="1" x14ac:dyDescent="0.25">
      <c r="A14" s="156">
        <f ca="1">IFERROR(__xludf.DUMMYFUNCTION("""COMPUTED_VALUE"""),46054)</f>
        <v>46054</v>
      </c>
      <c r="B14" s="156">
        <f ca="1">IFERROR(__xludf.DUMMYFUNCTION("""COMPUTED_VALUE"""),2958100)</f>
        <v>2958100</v>
      </c>
      <c r="C14" s="2" t="str">
        <f ca="1">IFERROR(__xludf.DUMMYFUNCTION("""COMPUTED_VALUE"""),"SGD")</f>
        <v>SGD</v>
      </c>
      <c r="D14" s="236">
        <f ca="1">IFERROR(__xludf.DUMMYFUNCTION("""COMPUTED_VALUE"""),1.265735)</f>
        <v>1.2657350000000001</v>
      </c>
      <c r="E14" s="236">
        <f ca="1">IFERROR(__xludf.DUMMYFUNCTION("""COMPUTED_VALUE"""),0.847099)</f>
        <v>0.84709900000000005</v>
      </c>
      <c r="F14" s="236">
        <f ca="1">IFERROR(__xludf.DUMMYFUNCTION("""COMPUTED_VALUE"""),1.49419961539324)</f>
        <v>1.49419961539324</v>
      </c>
      <c r="G14" s="236" t="str">
        <f ca="1">IFERROR(__xludf.DUMMYFUNCTION("""COMPUTED_VALUE"""),"2026-03-06 16:26")</f>
        <v>2026-03-06 16:26</v>
      </c>
    </row>
    <row r="15" spans="1:7" ht="12.5" hidden="1" x14ac:dyDescent="0.25">
      <c r="A15" s="156">
        <f ca="1">IFERROR(__xludf.DUMMYFUNCTION("""COMPUTED_VALUE"""),46054)</f>
        <v>46054</v>
      </c>
      <c r="B15" s="156">
        <f ca="1">IFERROR(__xludf.DUMMYFUNCTION("""COMPUTED_VALUE"""),2958100)</f>
        <v>2958100</v>
      </c>
      <c r="C15" s="2" t="str">
        <f ca="1">IFERROR(__xludf.DUMMYFUNCTION("""COMPUTED_VALUE"""),"MKD")</f>
        <v>MKD</v>
      </c>
      <c r="D15" s="236">
        <f ca="1">IFERROR(__xludf.DUMMYFUNCTION("""COMPUTED_VALUE"""),52.2616)</f>
        <v>52.261600000000001</v>
      </c>
      <c r="E15" s="236">
        <f ca="1">IFERROR(__xludf.DUMMYFUNCTION("""COMPUTED_VALUE"""),0.847099)</f>
        <v>0.84709900000000005</v>
      </c>
      <c r="F15" s="236">
        <f ca="1">IFERROR(__xludf.DUMMYFUNCTION("""COMPUTED_VALUE"""),61.6947960037728)</f>
        <v>61.694796003772801</v>
      </c>
      <c r="G15" s="236" t="str">
        <f ca="1">IFERROR(__xludf.DUMMYFUNCTION("""COMPUTED_VALUE"""),"2026-03-06 16:26")</f>
        <v>2026-03-06 16:26</v>
      </c>
    </row>
    <row r="16" spans="1:7" ht="12.5" hidden="1" x14ac:dyDescent="0.25">
      <c r="A16" s="156">
        <f ca="1">IFERROR(__xludf.DUMMYFUNCTION("""COMPUTED_VALUE"""),46054)</f>
        <v>46054</v>
      </c>
      <c r="B16" s="156">
        <f ca="1">IFERROR(__xludf.DUMMYFUNCTION("""COMPUTED_VALUE"""),2958100)</f>
        <v>2958100</v>
      </c>
      <c r="C16" s="2" t="str">
        <f ca="1">IFERROR(__xludf.DUMMYFUNCTION("""COMPUTED_VALUE"""),"LKR")</f>
        <v>LKR</v>
      </c>
      <c r="D16" s="236">
        <f ca="1">IFERROR(__xludf.DUMMYFUNCTION("""COMPUTED_VALUE"""),309.073274)</f>
        <v>309.07327400000003</v>
      </c>
      <c r="E16" s="236">
        <f ca="1">IFERROR(__xludf.DUMMYFUNCTION("""COMPUTED_VALUE"""),0.847099)</f>
        <v>0.84709900000000005</v>
      </c>
      <c r="F16" s="236">
        <f ca="1">IFERROR(__xludf.DUMMYFUNCTION("""COMPUTED_VALUE"""),364.86086514091)</f>
        <v>364.86086514090999</v>
      </c>
      <c r="G16" s="236" t="str">
        <f ca="1">IFERROR(__xludf.DUMMYFUNCTION("""COMPUTED_VALUE"""),"2026-03-06 16:26")</f>
        <v>2026-03-06 16:26</v>
      </c>
    </row>
    <row r="17" spans="1:7" ht="12.5" hidden="1" x14ac:dyDescent="0.25">
      <c r="A17" s="156">
        <f ca="1">IFERROR(__xludf.DUMMYFUNCTION("""COMPUTED_VALUE"""),46054)</f>
        <v>46054</v>
      </c>
      <c r="B17" s="156">
        <f ca="1">IFERROR(__xludf.DUMMYFUNCTION("""COMPUTED_VALUE"""),2958100)</f>
        <v>2958100</v>
      </c>
      <c r="C17" s="2" t="str">
        <f ca="1">IFERROR(__xludf.DUMMYFUNCTION("""COMPUTED_VALUE"""),"PLN")</f>
        <v>PLN</v>
      </c>
      <c r="D17" s="236">
        <f ca="1">IFERROR(__xludf.DUMMYFUNCTION("""COMPUTED_VALUE"""),3.577552)</f>
        <v>3.5775519999999998</v>
      </c>
      <c r="E17" s="236">
        <f ca="1">IFERROR(__xludf.DUMMYFUNCTION("""COMPUTED_VALUE"""),0.847099)</f>
        <v>0.84709900000000005</v>
      </c>
      <c r="F17" s="236">
        <f ca="1">IFERROR(__xludf.DUMMYFUNCTION("""COMPUTED_VALUE"""),4.22329857549117)</f>
        <v>4.22329857549117</v>
      </c>
      <c r="G17" s="236" t="str">
        <f ca="1">IFERROR(__xludf.DUMMYFUNCTION("""COMPUTED_VALUE"""),"2026-03-06 16:26")</f>
        <v>2026-03-06 16:26</v>
      </c>
    </row>
    <row r="18" spans="1:7" ht="12.5" hidden="1" x14ac:dyDescent="0.25">
      <c r="A18" s="156">
        <f ca="1">IFERROR(__xludf.DUMMYFUNCTION("""COMPUTED_VALUE"""),46054)</f>
        <v>46054</v>
      </c>
      <c r="B18" s="156">
        <f ca="1">IFERROR(__xludf.DUMMYFUNCTION("""COMPUTED_VALUE"""),2958100)</f>
        <v>2958100</v>
      </c>
      <c r="C18" s="2" t="str">
        <f ca="1">IFERROR(__xludf.DUMMYFUNCTION("""COMPUTED_VALUE"""),"RUB")</f>
        <v>RUB</v>
      </c>
      <c r="D18" s="236">
        <f ca="1">IFERROR(__xludf.DUMMYFUNCTION("""COMPUTED_VALUE"""),77.337145)</f>
        <v>77.337145000000007</v>
      </c>
      <c r="E18" s="236">
        <f ca="1">IFERROR(__xludf.DUMMYFUNCTION("""COMPUTED_VALUE"""),0.847099)</f>
        <v>0.84709900000000005</v>
      </c>
      <c r="F18" s="236">
        <f ca="1">IFERROR(__xludf.DUMMYFUNCTION("""COMPUTED_VALUE"""),91.2964659384558)</f>
        <v>91.296465938455796</v>
      </c>
      <c r="G18" s="236" t="str">
        <f ca="1">IFERROR(__xludf.DUMMYFUNCTION("""COMPUTED_VALUE"""),"2026-03-06 16:26")</f>
        <v>2026-03-06 16:26</v>
      </c>
    </row>
    <row r="19" spans="1:7" ht="12.5" hidden="1" x14ac:dyDescent="0.25">
      <c r="A19" s="156">
        <f ca="1">IFERROR(__xludf.DUMMYFUNCTION("""COMPUTED_VALUE"""),46054)</f>
        <v>46054</v>
      </c>
      <c r="B19" s="156">
        <f ca="1">IFERROR(__xludf.DUMMYFUNCTION("""COMPUTED_VALUE"""),2958100)</f>
        <v>2958100</v>
      </c>
      <c r="C19" s="2" t="str">
        <f ca="1">IFERROR(__xludf.DUMMYFUNCTION("""COMPUTED_VALUE"""),"HUF")</f>
        <v>HUF</v>
      </c>
      <c r="D19" s="236">
        <f ca="1">IFERROR(__xludf.DUMMYFUNCTION("""COMPUTED_VALUE"""),318.288861)</f>
        <v>318.288861</v>
      </c>
      <c r="E19" s="236">
        <f ca="1">IFERROR(__xludf.DUMMYFUNCTION("""COMPUTED_VALUE"""),0.847099)</f>
        <v>0.84709900000000005</v>
      </c>
      <c r="F19" s="236">
        <f ca="1">IFERROR(__xludf.DUMMYFUNCTION("""COMPUTED_VALUE"""),375.739861574621)</f>
        <v>375.73986157462099</v>
      </c>
      <c r="G19" s="236" t="str">
        <f ca="1">IFERROR(__xludf.DUMMYFUNCTION("""COMPUTED_VALUE"""),"2026-03-06 16:26")</f>
        <v>2026-03-06 16:26</v>
      </c>
    </row>
    <row r="20" spans="1:7" ht="12.5" hidden="1" x14ac:dyDescent="0.25">
      <c r="A20" s="156">
        <f ca="1">IFERROR(__xludf.DUMMYFUNCTION("""COMPUTED_VALUE"""),46054)</f>
        <v>46054</v>
      </c>
      <c r="B20" s="156">
        <f ca="1">IFERROR(__xludf.DUMMYFUNCTION("""COMPUTED_VALUE"""),2958100)</f>
        <v>2958100</v>
      </c>
      <c r="C20" s="2" t="str">
        <f ca="1">IFERROR(__xludf.DUMMYFUNCTION("""COMPUTED_VALUE"""),"BYN")</f>
        <v>BYN</v>
      </c>
      <c r="D20" s="236">
        <f ca="1">IFERROR(__xludf.DUMMYFUNCTION("""COMPUTED_VALUE"""),2.628547)</f>
        <v>2.6285470000000002</v>
      </c>
      <c r="E20" s="236">
        <f ca="1">IFERROR(__xludf.DUMMYFUNCTION("""COMPUTED_VALUE"""),0.847099)</f>
        <v>0.84709900000000005</v>
      </c>
      <c r="F20" s="236">
        <f ca="1">IFERROR(__xludf.DUMMYFUNCTION("""COMPUTED_VALUE"""),3.10299858694202)</f>
        <v>3.1029985869420198</v>
      </c>
      <c r="G20" s="236" t="str">
        <f ca="1">IFERROR(__xludf.DUMMYFUNCTION("""COMPUTED_VALUE"""),"2026-03-06 16:26")</f>
        <v>2026-03-06 16:26</v>
      </c>
    </row>
    <row r="21" spans="1:7" ht="12.5" hidden="1" x14ac:dyDescent="0.25">
      <c r="A21" s="156">
        <f ca="1">IFERROR(__xludf.DUMMYFUNCTION("""COMPUTED_VALUE"""),46054)</f>
        <v>46054</v>
      </c>
      <c r="B21" s="156">
        <f ca="1">IFERROR(__xludf.DUMMYFUNCTION("""COMPUTED_VALUE"""),2958100)</f>
        <v>2958100</v>
      </c>
      <c r="C21" s="2" t="str">
        <f ca="1">IFERROR(__xludf.DUMMYFUNCTION("""COMPUTED_VALUE"""),"NPR")</f>
        <v>NPR</v>
      </c>
      <c r="D21" s="236">
        <f ca="1">IFERROR(__xludf.DUMMYFUNCTION("""COMPUTED_VALUE"""),145.853452)</f>
        <v>145.853452</v>
      </c>
      <c r="E21" s="236">
        <f ca="1">IFERROR(__xludf.DUMMYFUNCTION("""COMPUTED_VALUE"""),0.847099)</f>
        <v>0.84709900000000005</v>
      </c>
      <c r="F21" s="236">
        <f ca="1">IFERROR(__xludf.DUMMYFUNCTION("""COMPUTED_VALUE"""),172.179936465513)</f>
        <v>172.17993646551301</v>
      </c>
      <c r="G21" s="236" t="str">
        <f ca="1">IFERROR(__xludf.DUMMYFUNCTION("""COMPUTED_VALUE"""),"2026-03-06 16:26")</f>
        <v>2026-03-06 16:26</v>
      </c>
    </row>
    <row r="22" spans="1:7" ht="12.5" hidden="1" x14ac:dyDescent="0.25">
      <c r="A22" s="156">
        <f ca="1">IFERROR(__xludf.DUMMYFUNCTION("""COMPUTED_VALUE"""),46054)</f>
        <v>46054</v>
      </c>
      <c r="B22" s="156">
        <f ca="1">IFERROR(__xludf.DUMMYFUNCTION("""COMPUTED_VALUE"""),2958100)</f>
        <v>2958100</v>
      </c>
      <c r="C22" s="2" t="str">
        <f ca="1">IFERROR(__xludf.DUMMYFUNCTION("""COMPUTED_VALUE"""),"TRY")</f>
        <v>TRY</v>
      </c>
      <c r="D22" s="236">
        <f ca="1">IFERROR(__xludf.DUMMYFUNCTION("""COMPUTED_VALUE"""),43.959848)</f>
        <v>43.959848000000001</v>
      </c>
      <c r="E22" s="236">
        <f ca="1">IFERROR(__xludf.DUMMYFUNCTION("""COMPUTED_VALUE"""),0.847099)</f>
        <v>0.84709900000000005</v>
      </c>
      <c r="F22" s="236">
        <f ca="1">IFERROR(__xludf.DUMMYFUNCTION("""COMPUTED_VALUE"""),51.8945813889521)</f>
        <v>51.894581388952098</v>
      </c>
      <c r="G22" s="236" t="str">
        <f ca="1">IFERROR(__xludf.DUMMYFUNCTION("""COMPUTED_VALUE"""),"2026-03-06 16:26")</f>
        <v>2026-03-06 16:26</v>
      </c>
    </row>
    <row r="23" spans="1:7" ht="12.5" hidden="1" x14ac:dyDescent="0.25">
      <c r="A23" s="156">
        <f ca="1">IFERROR(__xludf.DUMMYFUNCTION("""COMPUTED_VALUE"""),46054)</f>
        <v>46054</v>
      </c>
      <c r="B23" s="156">
        <f ca="1">IFERROR(__xludf.DUMMYFUNCTION("""COMPUTED_VALUE"""),2958100)</f>
        <v>2958100</v>
      </c>
      <c r="C23" s="2" t="str">
        <f ca="1">IFERROR(__xludf.DUMMYFUNCTION("""COMPUTED_VALUE"""),"COP")</f>
        <v>COP</v>
      </c>
      <c r="D23" s="236">
        <f ca="1">IFERROR(__xludf.DUMMYFUNCTION("""COMPUTED_VALUE"""),3766.3)</f>
        <v>3766.3</v>
      </c>
      <c r="E23" s="236">
        <f ca="1">IFERROR(__xludf.DUMMYFUNCTION("""COMPUTED_VALUE"""),0.847099)</f>
        <v>0.84709900000000005</v>
      </c>
      <c r="F23" s="236">
        <f ca="1">IFERROR(__xludf.DUMMYFUNCTION("""COMPUTED_VALUE"""),4446.11550716032)</f>
        <v>4446.1155071603198</v>
      </c>
      <c r="G23" s="236" t="str">
        <f ca="1">IFERROR(__xludf.DUMMYFUNCTION("""COMPUTED_VALUE"""),"2026-03-06 16:26")</f>
        <v>2026-03-06 16:26</v>
      </c>
    </row>
    <row r="24" spans="1:7" ht="12.5" hidden="1" x14ac:dyDescent="0.25">
      <c r="A24" s="156">
        <f ca="1">IFERROR(__xludf.DUMMYFUNCTION("""COMPUTED_VALUE"""),46054)</f>
        <v>46054</v>
      </c>
      <c r="B24" s="156">
        <f ca="1">IFERROR(__xludf.DUMMYFUNCTION("""COMPUTED_VALUE"""),2958100)</f>
        <v>2958100</v>
      </c>
      <c r="C24" s="2" t="str">
        <f ca="1">IFERROR(__xludf.DUMMYFUNCTION("""COMPUTED_VALUE"""),"IQD")</f>
        <v>IQD</v>
      </c>
      <c r="D24" s="236">
        <f ca="1">IFERROR(__xludf.DUMMYFUNCTION("""COMPUTED_VALUE"""),1300)</f>
        <v>1300</v>
      </c>
      <c r="E24" s="236">
        <f ca="1">IFERROR(__xludf.DUMMYFUNCTION("""COMPUTED_VALUE"""),0.847099)</f>
        <v>0.84709900000000005</v>
      </c>
      <c r="F24" s="236">
        <f ca="1">IFERROR(__xludf.DUMMYFUNCTION("""COMPUTED_VALUE"""),1534.64943294703)</f>
        <v>1534.6494329470299</v>
      </c>
      <c r="G24" s="236" t="str">
        <f ca="1">IFERROR(__xludf.DUMMYFUNCTION("""COMPUTED_VALUE"""),"2026-03-06 16:26")</f>
        <v>2026-03-06 16:26</v>
      </c>
    </row>
    <row r="25" spans="1:7" ht="12.5" hidden="1" x14ac:dyDescent="0.25">
      <c r="A25" s="156">
        <f ca="1">IFERROR(__xludf.DUMMYFUNCTION("""COMPUTED_VALUE"""),46054)</f>
        <v>46054</v>
      </c>
      <c r="B25" s="156">
        <f ca="1">IFERROR(__xludf.DUMMYFUNCTION("""COMPUTED_VALUE"""),2958100)</f>
        <v>2958100</v>
      </c>
      <c r="C25" s="2" t="str">
        <f ca="1">IFERROR(__xludf.DUMMYFUNCTION("""COMPUTED_VALUE"""),"BOB")</f>
        <v>BOB</v>
      </c>
      <c r="D25" s="236">
        <f ca="1">IFERROR(__xludf.DUMMYFUNCTION("""COMPUTED_VALUE"""),6.96)</f>
        <v>6.96</v>
      </c>
      <c r="E25" s="236">
        <f ca="1">IFERROR(__xludf.DUMMYFUNCTION("""COMPUTED_VALUE"""),0.847099)</f>
        <v>0.84709900000000005</v>
      </c>
      <c r="F25" s="236">
        <f ca="1">IFERROR(__xludf.DUMMYFUNCTION("""COMPUTED_VALUE"""),8.21627696408566)</f>
        <v>8.2162769640856599</v>
      </c>
      <c r="G25" s="236" t="str">
        <f ca="1">IFERROR(__xludf.DUMMYFUNCTION("""COMPUTED_VALUE"""),"2026-03-06 16:26")</f>
        <v>2026-03-06 16:26</v>
      </c>
    </row>
    <row r="26" spans="1:7" ht="12.5" hidden="1" x14ac:dyDescent="0.25">
      <c r="A26" s="156">
        <f ca="1">IFERROR(__xludf.DUMMYFUNCTION("""COMPUTED_VALUE"""),46054)</f>
        <v>46054</v>
      </c>
      <c r="B26" s="156">
        <f ca="1">IFERROR(__xludf.DUMMYFUNCTION("""COMPUTED_VALUE"""),2958100)</f>
        <v>2958100</v>
      </c>
      <c r="C26" s="2" t="str">
        <f ca="1">IFERROR(__xludf.DUMMYFUNCTION("""COMPUTED_VALUE"""),"NZD")</f>
        <v>NZD</v>
      </c>
      <c r="D26" s="236">
        <f ca="1">IFERROR(__xludf.DUMMYFUNCTION("""COMPUTED_VALUE"""),1.67141)</f>
        <v>1.6714100000000001</v>
      </c>
      <c r="E26" s="236">
        <f ca="1">IFERROR(__xludf.DUMMYFUNCTION("""COMPUTED_VALUE"""),0.847099)</f>
        <v>0.84709900000000005</v>
      </c>
      <c r="F26" s="236">
        <f ca="1">IFERROR(__xludf.DUMMYFUNCTION("""COMPUTED_VALUE"""),1.97309877594)</f>
        <v>1.97309877594</v>
      </c>
      <c r="G26" s="236" t="str">
        <f ca="1">IFERROR(__xludf.DUMMYFUNCTION("""COMPUTED_VALUE"""),"2026-03-06 16:26")</f>
        <v>2026-03-06 16:26</v>
      </c>
    </row>
    <row r="27" spans="1:7" ht="12.5" hidden="1" x14ac:dyDescent="0.25">
      <c r="A27" s="156">
        <f ca="1">IFERROR(__xludf.DUMMYFUNCTION("""COMPUTED_VALUE"""),46054)</f>
        <v>46054</v>
      </c>
      <c r="B27" s="156">
        <f ca="1">IFERROR(__xludf.DUMMYFUNCTION("""COMPUTED_VALUE"""),2958100)</f>
        <v>2958100</v>
      </c>
      <c r="C27" s="2" t="str">
        <f ca="1">IFERROR(__xludf.DUMMYFUNCTION("""COMPUTED_VALUE"""),"ILS")</f>
        <v>ILS</v>
      </c>
      <c r="D27" s="236">
        <f ca="1">IFERROR(__xludf.DUMMYFUNCTION("""COMPUTED_VALUE"""),3.143329)</f>
        <v>3.143329</v>
      </c>
      <c r="E27" s="236">
        <f ca="1">IFERROR(__xludf.DUMMYFUNCTION("""COMPUTED_VALUE"""),0.847099)</f>
        <v>0.84709900000000005</v>
      </c>
      <c r="F27" s="236">
        <f ca="1">IFERROR(__xludf.DUMMYFUNCTION("""COMPUTED_VALUE"""),3.71069851339689)</f>
        <v>3.7106985133968902</v>
      </c>
      <c r="G27" s="236" t="str">
        <f ca="1">IFERROR(__xludf.DUMMYFUNCTION("""COMPUTED_VALUE"""),"2026-03-06 16:26")</f>
        <v>2026-03-06 16:26</v>
      </c>
    </row>
    <row r="28" spans="1:7" ht="12.5" hidden="1" x14ac:dyDescent="0.25">
      <c r="A28" s="156">
        <f ca="1">IFERROR(__xludf.DUMMYFUNCTION("""COMPUTED_VALUE"""),46054)</f>
        <v>46054</v>
      </c>
      <c r="B28" s="156">
        <f ca="1">IFERROR(__xludf.DUMMYFUNCTION("""COMPUTED_VALUE"""),2958100)</f>
        <v>2958100</v>
      </c>
      <c r="C28" s="2" t="str">
        <f ca="1">IFERROR(__xludf.DUMMYFUNCTION("""COMPUTED_VALUE"""),"JPY")</f>
        <v>JPY</v>
      </c>
      <c r="D28" s="236">
        <f ca="1">IFERROR(__xludf.DUMMYFUNCTION("""COMPUTED_VALUE"""),155.976281)</f>
        <v>155.976281</v>
      </c>
      <c r="E28" s="236">
        <f ca="1">IFERROR(__xludf.DUMMYFUNCTION("""COMPUTED_VALUE"""),0.847099)</f>
        <v>0.84709900000000005</v>
      </c>
      <c r="F28" s="236">
        <f ca="1">IFERROR(__xludf.DUMMYFUNCTION("""COMPUTED_VALUE"""),184.12993168449)</f>
        <v>184.12993168449</v>
      </c>
      <c r="G28" s="236" t="str">
        <f ca="1">IFERROR(__xludf.DUMMYFUNCTION("""COMPUTED_VALUE"""),"2026-03-06 16:26")</f>
        <v>2026-03-06 16:26</v>
      </c>
    </row>
    <row r="29" spans="1:7" ht="12.5" hidden="1" x14ac:dyDescent="0.25">
      <c r="A29" s="156">
        <f ca="1">IFERROR(__xludf.DUMMYFUNCTION("""COMPUTED_VALUE"""),46054)</f>
        <v>46054</v>
      </c>
      <c r="B29" s="156">
        <f ca="1">IFERROR(__xludf.DUMMYFUNCTION("""COMPUTED_VALUE"""),2958100)</f>
        <v>2958100</v>
      </c>
      <c r="C29" s="2" t="str">
        <f ca="1">IFERROR(__xludf.DUMMYFUNCTION("""COMPUTED_VALUE"""),"BAM")</f>
        <v>BAM</v>
      </c>
      <c r="D29" s="236">
        <f ca="1">IFERROR(__xludf.DUMMYFUNCTION("""COMPUTED_VALUE"""),1.656781)</f>
        <v>1.6567810000000001</v>
      </c>
      <c r="E29" s="236">
        <f ca="1">IFERROR(__xludf.DUMMYFUNCTION("""COMPUTED_VALUE"""),0.847099)</f>
        <v>0.84709900000000005</v>
      </c>
      <c r="F29" s="236">
        <f ca="1">IFERROR(__xludf.DUMMYFUNCTION("""COMPUTED_VALUE"""),1.95582924782109)</f>
        <v>1.9558292478210899</v>
      </c>
      <c r="G29" s="236" t="str">
        <f ca="1">IFERROR(__xludf.DUMMYFUNCTION("""COMPUTED_VALUE"""),"2026-03-06 16:26")</f>
        <v>2026-03-06 16:26</v>
      </c>
    </row>
    <row r="30" spans="1:7" ht="12.5" hidden="1" x14ac:dyDescent="0.25">
      <c r="A30" s="156">
        <f ca="1">IFERROR(__xludf.DUMMYFUNCTION("""COMPUTED_VALUE"""),46054)</f>
        <v>46054</v>
      </c>
      <c r="B30" s="156">
        <f ca="1">IFERROR(__xludf.DUMMYFUNCTION("""COMPUTED_VALUE"""),2958100)</f>
        <v>2958100</v>
      </c>
      <c r="C30" s="2" t="str">
        <f ca="1">IFERROR(__xludf.DUMMYFUNCTION("""COMPUTED_VALUE"""),"MXN")</f>
        <v>MXN</v>
      </c>
      <c r="D30" s="236">
        <f ca="1">IFERROR(__xludf.DUMMYFUNCTION("""COMPUTED_VALUE"""),17.2563)</f>
        <v>17.2563</v>
      </c>
      <c r="E30" s="236">
        <f ca="1">IFERROR(__xludf.DUMMYFUNCTION("""COMPUTED_VALUE"""),0.847099)</f>
        <v>0.84709900000000005</v>
      </c>
      <c r="F30" s="236">
        <f ca="1">IFERROR(__xludf.DUMMYFUNCTION("""COMPUTED_VALUE"""),20.3710546228953)</f>
        <v>20.371054622895301</v>
      </c>
      <c r="G30" s="236" t="str">
        <f ca="1">IFERROR(__xludf.DUMMYFUNCTION("""COMPUTED_VALUE"""),"2026-03-06 16:26")</f>
        <v>2026-03-06 16:26</v>
      </c>
    </row>
    <row r="31" spans="1:7" ht="12.5" hidden="1" x14ac:dyDescent="0.25">
      <c r="A31" s="156">
        <f ca="1">IFERROR(__xludf.DUMMYFUNCTION("""COMPUTED_VALUE"""),46054)</f>
        <v>46054</v>
      </c>
      <c r="B31" s="156">
        <f ca="1">IFERROR(__xludf.DUMMYFUNCTION("""COMPUTED_VALUE"""),2958100)</f>
        <v>2958100</v>
      </c>
      <c r="C31" s="2" t="str">
        <f ca="1">IFERROR(__xludf.DUMMYFUNCTION("""COMPUTED_VALUE"""),"CLP")</f>
        <v>CLP</v>
      </c>
      <c r="D31" s="236">
        <f ca="1">IFERROR(__xludf.DUMMYFUNCTION("""COMPUTED_VALUE"""),861.19)</f>
        <v>861.19</v>
      </c>
      <c r="E31" s="236">
        <f ca="1">IFERROR(__xludf.DUMMYFUNCTION("""COMPUTED_VALUE"""),0.847099)</f>
        <v>0.84709900000000005</v>
      </c>
      <c r="F31" s="236">
        <f ca="1">IFERROR(__xludf.DUMMYFUNCTION("""COMPUTED_VALUE"""),1016.63441935358)</f>
        <v>1016.63441935358</v>
      </c>
      <c r="G31" s="236" t="str">
        <f ca="1">IFERROR(__xludf.DUMMYFUNCTION("""COMPUTED_VALUE"""),"2026-03-06 16:26")</f>
        <v>2026-03-06 16:26</v>
      </c>
    </row>
    <row r="32" spans="1:7" ht="12.5" hidden="1" x14ac:dyDescent="0.25">
      <c r="A32" s="156">
        <f ca="1">IFERROR(__xludf.DUMMYFUNCTION("""COMPUTED_VALUE"""),46054)</f>
        <v>46054</v>
      </c>
      <c r="B32" s="156">
        <f ca="1">IFERROR(__xludf.DUMMYFUNCTION("""COMPUTED_VALUE"""),2958100)</f>
        <v>2958100</v>
      </c>
      <c r="C32" s="2" t="str">
        <f ca="1">IFERROR(__xludf.DUMMYFUNCTION("""COMPUTED_VALUE"""),"KES")</f>
        <v>KES</v>
      </c>
      <c r="D32" s="236">
        <f ca="1">IFERROR(__xludf.DUMMYFUNCTION("""COMPUTED_VALUE"""),129.089369)</f>
        <v>129.089369</v>
      </c>
      <c r="E32" s="236">
        <f ca="1">IFERROR(__xludf.DUMMYFUNCTION("""COMPUTED_VALUE"""),0.847099)</f>
        <v>0.84709900000000005</v>
      </c>
      <c r="F32" s="236">
        <f ca="1">IFERROR(__xludf.DUMMYFUNCTION("""COMPUTED_VALUE"""),152.389943796415)</f>
        <v>152.389943796415</v>
      </c>
      <c r="G32" s="236" t="str">
        <f ca="1">IFERROR(__xludf.DUMMYFUNCTION("""COMPUTED_VALUE"""),"2026-03-06 16:26")</f>
        <v>2026-03-06 16:26</v>
      </c>
    </row>
    <row r="33" spans="1:7" ht="12.5" hidden="1" x14ac:dyDescent="0.25">
      <c r="A33" s="156">
        <f ca="1">IFERROR(__xludf.DUMMYFUNCTION("""COMPUTED_VALUE"""),46054)</f>
        <v>46054</v>
      </c>
      <c r="B33" s="156">
        <f ca="1">IFERROR(__xludf.DUMMYFUNCTION("""COMPUTED_VALUE"""),2958100)</f>
        <v>2958100</v>
      </c>
      <c r="C33" s="2" t="str">
        <f ca="1">IFERROR(__xludf.DUMMYFUNCTION("""COMPUTED_VALUE"""),"CZK")</f>
        <v>CZK</v>
      </c>
      <c r="D33" s="236">
        <f ca="1">IFERROR(__xludf.DUMMYFUNCTION("""COMPUTED_VALUE"""),20.537908)</f>
        <v>20.537908000000002</v>
      </c>
      <c r="E33" s="236">
        <f ca="1">IFERROR(__xludf.DUMMYFUNCTION("""COMPUTED_VALUE"""),0.847099)</f>
        <v>0.84709900000000005</v>
      </c>
      <c r="F33" s="236">
        <f ca="1">IFERROR(__xludf.DUMMYFUNCTION("""COMPUTED_VALUE"""),24.2449914354756)</f>
        <v>24.244991435475601</v>
      </c>
      <c r="G33" s="236" t="str">
        <f ca="1">IFERROR(__xludf.DUMMYFUNCTION("""COMPUTED_VALUE"""),"2026-03-06 16:26")</f>
        <v>2026-03-06 16:26</v>
      </c>
    </row>
    <row r="34" spans="1:7" ht="12.5" hidden="1" x14ac:dyDescent="0.25">
      <c r="A34" s="156">
        <f ca="1">IFERROR(__xludf.DUMMYFUNCTION("""COMPUTED_VALUE"""),46054)</f>
        <v>46054</v>
      </c>
      <c r="B34" s="156">
        <f ca="1">IFERROR(__xludf.DUMMYFUNCTION("""COMPUTED_VALUE"""),2958100)</f>
        <v>2958100</v>
      </c>
      <c r="C34" s="2" t="str">
        <f ca="1">IFERROR(__xludf.DUMMYFUNCTION("""COMPUTED_VALUE"""),"THB")</f>
        <v>THB</v>
      </c>
      <c r="D34" s="236">
        <f ca="1">IFERROR(__xludf.DUMMYFUNCTION("""COMPUTED_VALUE"""),31.378568)</f>
        <v>31.378568000000001</v>
      </c>
      <c r="E34" s="236">
        <f ca="1">IFERROR(__xludf.DUMMYFUNCTION("""COMPUTED_VALUE"""),0.847099)</f>
        <v>0.84709900000000005</v>
      </c>
      <c r="F34" s="236">
        <f ca="1">IFERROR(__xludf.DUMMYFUNCTION("""COMPUTED_VALUE"""),37.0423858368384)</f>
        <v>37.042385836838399</v>
      </c>
      <c r="G34" s="236" t="str">
        <f ca="1">IFERROR(__xludf.DUMMYFUNCTION("""COMPUTED_VALUE"""),"2026-03-06 16:26")</f>
        <v>2026-03-06 16:26</v>
      </c>
    </row>
    <row r="35" spans="1:7" ht="12.5" hidden="1" x14ac:dyDescent="0.25">
      <c r="A35" s="156">
        <f ca="1">IFERROR(__xludf.DUMMYFUNCTION("""COMPUTED_VALUE"""),46054)</f>
        <v>46054</v>
      </c>
      <c r="B35" s="156">
        <f ca="1">IFERROR(__xludf.DUMMYFUNCTION("""COMPUTED_VALUE"""),2958100)</f>
        <v>2958100</v>
      </c>
      <c r="C35" s="2" t="str">
        <f ca="1">IFERROR(__xludf.DUMMYFUNCTION("""COMPUTED_VALUE"""),"MYR")</f>
        <v>MYR</v>
      </c>
      <c r="D35" s="236">
        <f ca="1">IFERROR(__xludf.DUMMYFUNCTION("""COMPUTED_VALUE"""),3.890978)</f>
        <v>3.890978</v>
      </c>
      <c r="E35" s="236">
        <f ca="1">IFERROR(__xludf.DUMMYFUNCTION("""COMPUTED_VALUE"""),0.847099)</f>
        <v>0.84709900000000005</v>
      </c>
      <c r="F35" s="236">
        <f ca="1">IFERROR(__xludf.DUMMYFUNCTION("""COMPUTED_VALUE"""),4.59329783177645)</f>
        <v>4.5932978317764501</v>
      </c>
      <c r="G35" s="236" t="str">
        <f ca="1">IFERROR(__xludf.DUMMYFUNCTION("""COMPUTED_VALUE"""),"2026-03-06 16:26")</f>
        <v>2026-03-06 16:26</v>
      </c>
    </row>
    <row r="36" spans="1:7" ht="12.5" hidden="1" x14ac:dyDescent="0.25">
      <c r="A36" s="156">
        <f ca="1">IFERROR(__xludf.DUMMYFUNCTION("""COMPUTED_VALUE"""),46054)</f>
        <v>46054</v>
      </c>
      <c r="B36" s="156">
        <f ca="1">IFERROR(__xludf.DUMMYFUNCTION("""COMPUTED_VALUE"""),2958100)</f>
        <v>2958100</v>
      </c>
      <c r="C36" s="2" t="str">
        <f ca="1">IFERROR(__xludf.DUMMYFUNCTION("""COMPUTED_VALUE"""),"HNL")</f>
        <v>HNL</v>
      </c>
      <c r="D36" s="236">
        <f ca="1">IFERROR(__xludf.DUMMYFUNCTION("""COMPUTED_VALUE"""),26.6097)</f>
        <v>26.6097</v>
      </c>
      <c r="E36" s="236">
        <f ca="1">IFERROR(__xludf.DUMMYFUNCTION("""COMPUTED_VALUE"""),0.847099)</f>
        <v>0.84709900000000005</v>
      </c>
      <c r="F36" s="236">
        <f ca="1">IFERROR(__xludf.DUMMYFUNCTION("""COMPUTED_VALUE"""),31.4127392429928)</f>
        <v>31.412739242992799</v>
      </c>
      <c r="G36" s="236" t="str">
        <f ca="1">IFERROR(__xludf.DUMMYFUNCTION("""COMPUTED_VALUE"""),"2026-03-06 16:26")</f>
        <v>2026-03-06 16:26</v>
      </c>
    </row>
    <row r="37" spans="1:7" ht="12.5" hidden="1" x14ac:dyDescent="0.25">
      <c r="A37" s="156">
        <f ca="1">IFERROR(__xludf.DUMMYFUNCTION("""COMPUTED_VALUE"""),46054)</f>
        <v>46054</v>
      </c>
      <c r="B37" s="156">
        <f ca="1">IFERROR(__xludf.DUMMYFUNCTION("""COMPUTED_VALUE"""),2958100)</f>
        <v>2958100</v>
      </c>
      <c r="C37" s="2" t="str">
        <f ca="1">IFERROR(__xludf.DUMMYFUNCTION("""COMPUTED_VALUE"""),"ALL")</f>
        <v>ALL</v>
      </c>
      <c r="D37" s="236">
        <f ca="1">IFERROR(__xludf.DUMMYFUNCTION("""COMPUTED_VALUE"""),81.626429)</f>
        <v>81.626429000000002</v>
      </c>
      <c r="E37" s="236">
        <f ca="1">IFERROR(__xludf.DUMMYFUNCTION("""COMPUTED_VALUE"""),0.847099)</f>
        <v>0.84709900000000005</v>
      </c>
      <c r="F37" s="236">
        <f ca="1">IFERROR(__xludf.DUMMYFUNCTION("""COMPUTED_VALUE"""),96.3599638294933)</f>
        <v>96.359963829493296</v>
      </c>
      <c r="G37" s="236" t="str">
        <f ca="1">IFERROR(__xludf.DUMMYFUNCTION("""COMPUTED_VALUE"""),"2026-03-06 16:26")</f>
        <v>2026-03-06 16:26</v>
      </c>
    </row>
    <row r="38" spans="1:7" ht="12.5" hidden="1" x14ac:dyDescent="0.25">
      <c r="A38" s="156">
        <f ca="1">IFERROR(__xludf.DUMMYFUNCTION("""COMPUTED_VALUE"""),46054)</f>
        <v>46054</v>
      </c>
      <c r="B38" s="156">
        <f ca="1">IFERROR(__xludf.DUMMYFUNCTION("""COMPUTED_VALUE"""),2958100)</f>
        <v>2958100</v>
      </c>
      <c r="C38" s="2" t="str">
        <f ca="1">IFERROR(__xludf.DUMMYFUNCTION("""COMPUTED_VALUE"""),"DOP")</f>
        <v>DOP</v>
      </c>
      <c r="D38" s="236">
        <f ca="1">IFERROR(__xludf.DUMMYFUNCTION("""COMPUTED_VALUE"""),60.146)</f>
        <v>60.146000000000001</v>
      </c>
      <c r="E38" s="236">
        <f ca="1">IFERROR(__xludf.DUMMYFUNCTION("""COMPUTED_VALUE"""),0.847099)</f>
        <v>0.84709900000000005</v>
      </c>
      <c r="F38" s="236">
        <f ca="1">IFERROR(__xludf.DUMMYFUNCTION("""COMPUTED_VALUE"""),71.0023267646402)</f>
        <v>71.002326764640202</v>
      </c>
      <c r="G38" s="236" t="str">
        <f ca="1">IFERROR(__xludf.DUMMYFUNCTION("""COMPUTED_VALUE"""),"2026-03-06 16:26")</f>
        <v>2026-03-06 16:26</v>
      </c>
    </row>
    <row r="39" spans="1:7" ht="12.5" hidden="1" x14ac:dyDescent="0.25">
      <c r="A39" s="156">
        <f ca="1">IFERROR(__xludf.DUMMYFUNCTION("""COMPUTED_VALUE"""),46054)</f>
        <v>46054</v>
      </c>
      <c r="B39" s="156">
        <f ca="1">IFERROR(__xludf.DUMMYFUNCTION("""COMPUTED_VALUE"""),2958100)</f>
        <v>2958100</v>
      </c>
      <c r="C39" s="2" t="str">
        <f ca="1">IFERROR(__xludf.DUMMYFUNCTION("""COMPUTED_VALUE"""),"GBP")</f>
        <v>GBP</v>
      </c>
      <c r="D39" s="236">
        <f ca="1">IFERROR(__xludf.DUMMYFUNCTION("""COMPUTED_VALUE"""),0.739953)</f>
        <v>0.73995299999999997</v>
      </c>
      <c r="E39" s="236">
        <f ca="1">IFERROR(__xludf.DUMMYFUNCTION("""COMPUTED_VALUE"""),0.847099)</f>
        <v>0.84709900000000005</v>
      </c>
      <c r="F39" s="236">
        <f ca="1">IFERROR(__xludf.DUMMYFUNCTION("""COMPUTED_VALUE"""),0.873514193736505)</f>
        <v>0.87351419373650496</v>
      </c>
      <c r="G39" s="236" t="str">
        <f ca="1">IFERROR(__xludf.DUMMYFUNCTION("""COMPUTED_VALUE"""),"2026-03-06 16:26")</f>
        <v>2026-03-06 16:26</v>
      </c>
    </row>
    <row r="40" spans="1:7" ht="12.5" hidden="1" x14ac:dyDescent="0.25">
      <c r="A40" s="156">
        <f ca="1">IFERROR(__xludf.DUMMYFUNCTION("""COMPUTED_VALUE"""),46054)</f>
        <v>46054</v>
      </c>
      <c r="B40" s="156">
        <f ca="1">IFERROR(__xludf.DUMMYFUNCTION("""COMPUTED_VALUE"""),2958100)</f>
        <v>2958100</v>
      </c>
      <c r="C40" s="2" t="str">
        <f ca="1">IFERROR(__xludf.DUMMYFUNCTION("""COMPUTED_VALUE"""),"INR")</f>
        <v>INR</v>
      </c>
      <c r="D40" s="236">
        <f ca="1">IFERROR(__xludf.DUMMYFUNCTION("""COMPUTED_VALUE"""),91.080474)</f>
        <v>91.080473999999995</v>
      </c>
      <c r="E40" s="236">
        <f ca="1">IFERROR(__xludf.DUMMYFUNCTION("""COMPUTED_VALUE"""),0.847099)</f>
        <v>0.84709900000000005</v>
      </c>
      <c r="F40" s="236">
        <f ca="1">IFERROR(__xludf.DUMMYFUNCTION("""COMPUTED_VALUE"""),107.52045982819)</f>
        <v>107.52045982819</v>
      </c>
      <c r="G40" s="236" t="str">
        <f ca="1">IFERROR(__xludf.DUMMYFUNCTION("""COMPUTED_VALUE"""),"2026-03-06 16:26")</f>
        <v>2026-03-06 16:26</v>
      </c>
    </row>
    <row r="41" spans="1:7" ht="12.5" hidden="1" x14ac:dyDescent="0.25">
      <c r="A41" s="156">
        <f ca="1">IFERROR(__xludf.DUMMYFUNCTION("""COMPUTED_VALUE"""),46054)</f>
        <v>46054</v>
      </c>
      <c r="B41" s="156">
        <f ca="1">IFERROR(__xludf.DUMMYFUNCTION("""COMPUTED_VALUE"""),2958100)</f>
        <v>2958100</v>
      </c>
      <c r="C41" s="2" t="str">
        <f ca="1">IFERROR(__xludf.DUMMYFUNCTION("""COMPUTED_VALUE"""),"QAR")</f>
        <v>QAR</v>
      </c>
      <c r="D41" s="236">
        <f ca="1">IFERROR(__xludf.DUMMYFUNCTION("""COMPUTED_VALUE"""),3.646252)</f>
        <v>3.646252</v>
      </c>
      <c r="E41" s="236">
        <f ca="1">IFERROR(__xludf.DUMMYFUNCTION("""COMPUTED_VALUE"""),0.847099)</f>
        <v>0.84709900000000005</v>
      </c>
      <c r="F41" s="236">
        <f ca="1">IFERROR(__xludf.DUMMYFUNCTION("""COMPUTED_VALUE"""),4.3043988955246)</f>
        <v>4.3043988955246002</v>
      </c>
      <c r="G41" s="236" t="str">
        <f ca="1">IFERROR(__xludf.DUMMYFUNCTION("""COMPUTED_VALUE"""),"2026-03-06 16:26")</f>
        <v>2026-03-06 16:26</v>
      </c>
    </row>
    <row r="42" spans="1:7" ht="12.5" hidden="1" x14ac:dyDescent="0.25">
      <c r="A42" s="156">
        <f ca="1">IFERROR(__xludf.DUMMYFUNCTION("""COMPUTED_VALUE"""),46054)</f>
        <v>46054</v>
      </c>
      <c r="B42" s="156">
        <f ca="1">IFERROR(__xludf.DUMMYFUNCTION("""COMPUTED_VALUE"""),2958100)</f>
        <v>2958100</v>
      </c>
      <c r="C42" s="2" t="str">
        <f ca="1">IFERROR(__xludf.DUMMYFUNCTION("""COMPUTED_VALUE"""),"EUR")</f>
        <v>EUR</v>
      </c>
      <c r="D42" s="236">
        <f ca="1">IFERROR(__xludf.DUMMYFUNCTION("""COMPUTED_VALUE"""),0.847099)</f>
        <v>0.84709900000000005</v>
      </c>
      <c r="E42" s="236">
        <f ca="1">IFERROR(__xludf.DUMMYFUNCTION("""COMPUTED_VALUE"""),0.847099)</f>
        <v>0.84709900000000005</v>
      </c>
      <c r="F42" s="236">
        <f ca="1">IFERROR(__xludf.DUMMYFUNCTION("""COMPUTED_VALUE"""),1)</f>
        <v>1</v>
      </c>
      <c r="G42" s="236" t="str">
        <f ca="1">IFERROR(__xludf.DUMMYFUNCTION("""COMPUTED_VALUE"""),"2026-03-06 16:26")</f>
        <v>2026-03-06 16:26</v>
      </c>
    </row>
    <row r="43" spans="1:7" ht="12.5" hidden="1" x14ac:dyDescent="0.25">
      <c r="A43" s="156">
        <f ca="1">IFERROR(__xludf.DUMMYFUNCTION("""COMPUTED_VALUE"""),46054)</f>
        <v>46054</v>
      </c>
      <c r="B43" s="156">
        <f ca="1">IFERROR(__xludf.DUMMYFUNCTION("""COMPUTED_VALUE"""),2958100)</f>
        <v>2958100</v>
      </c>
      <c r="C43" s="2" t="str">
        <f ca="1">IFERROR(__xludf.DUMMYFUNCTION("""COMPUTED_VALUE"""),"UYU")</f>
        <v>UYU</v>
      </c>
      <c r="D43" s="236">
        <f ca="1">IFERROR(__xludf.DUMMYFUNCTION("""COMPUTED_VALUE"""),38.402)</f>
        <v>38.402000000000001</v>
      </c>
      <c r="E43" s="236">
        <f ca="1">IFERROR(__xludf.DUMMYFUNCTION("""COMPUTED_VALUE"""),0.847099)</f>
        <v>0.84709900000000005</v>
      </c>
      <c r="F43" s="236">
        <f ca="1">IFERROR(__xludf.DUMMYFUNCTION("""COMPUTED_VALUE"""),45.3335442492554)</f>
        <v>45.333544249255397</v>
      </c>
      <c r="G43" s="236" t="str">
        <f ca="1">IFERROR(__xludf.DUMMYFUNCTION("""COMPUTED_VALUE"""),"2026-03-06 16:26")</f>
        <v>2026-03-06 16:26</v>
      </c>
    </row>
    <row r="44" spans="1:7" ht="12.5" hidden="1" x14ac:dyDescent="0.25">
      <c r="A44" s="156">
        <f ca="1">IFERROR(__xludf.DUMMYFUNCTION("""COMPUTED_VALUE"""),46054)</f>
        <v>46054</v>
      </c>
      <c r="B44" s="156">
        <f ca="1">IFERROR(__xludf.DUMMYFUNCTION("""COMPUTED_VALUE"""),2958100)</f>
        <v>2958100</v>
      </c>
      <c r="C44" s="2" t="str">
        <f ca="1">IFERROR(__xludf.DUMMYFUNCTION("""COMPUTED_VALUE"""),"EGP")</f>
        <v>EGP</v>
      </c>
      <c r="D44" s="236">
        <f ca="1">IFERROR(__xludf.DUMMYFUNCTION("""COMPUTED_VALUE"""),47.9955)</f>
        <v>47.9955</v>
      </c>
      <c r="E44" s="236">
        <f ca="1">IFERROR(__xludf.DUMMYFUNCTION("""COMPUTED_VALUE"""),0.847099)</f>
        <v>0.84709900000000005</v>
      </c>
      <c r="F44" s="236">
        <f ca="1">IFERROR(__xludf.DUMMYFUNCTION("""COMPUTED_VALUE"""),56.6586668146226)</f>
        <v>56.658666814622599</v>
      </c>
      <c r="G44" s="236" t="str">
        <f ca="1">IFERROR(__xludf.DUMMYFUNCTION("""COMPUTED_VALUE"""),"2026-03-06 16:26")</f>
        <v>2026-03-06 16:26</v>
      </c>
    </row>
    <row r="45" spans="1:7" ht="12.5" hidden="1" x14ac:dyDescent="0.25">
      <c r="A45" s="156">
        <f ca="1">IFERROR(__xludf.DUMMYFUNCTION("""COMPUTED_VALUE"""),46054)</f>
        <v>46054</v>
      </c>
      <c r="B45" s="156">
        <f ca="1">IFERROR(__xludf.DUMMYFUNCTION("""COMPUTED_VALUE"""),2958100)</f>
        <v>2958100</v>
      </c>
      <c r="C45" s="2" t="str">
        <f ca="1">IFERROR(__xludf.DUMMYFUNCTION("""COMPUTED_VALUE"""),"PEN")</f>
        <v>PEN</v>
      </c>
      <c r="D45" s="236">
        <f ca="1">IFERROR(__xludf.DUMMYFUNCTION("""COMPUTED_VALUE"""),3.361)</f>
        <v>3.3610000000000002</v>
      </c>
      <c r="E45" s="236">
        <f ca="1">IFERROR(__xludf.DUMMYFUNCTION("""COMPUTED_VALUE"""),0.847099)</f>
        <v>0.84709900000000005</v>
      </c>
      <c r="F45" s="236">
        <f ca="1">IFERROR(__xludf.DUMMYFUNCTION("""COMPUTED_VALUE"""),3.96765903394998)</f>
        <v>3.96765903394998</v>
      </c>
      <c r="G45" s="236" t="str">
        <f ca="1">IFERROR(__xludf.DUMMYFUNCTION("""COMPUTED_VALUE"""),"2026-03-06 16:26")</f>
        <v>2026-03-06 16:26</v>
      </c>
    </row>
    <row r="46" spans="1:7" ht="12.5" hidden="1" x14ac:dyDescent="0.25">
      <c r="A46" s="156">
        <f ca="1">IFERROR(__xludf.DUMMYFUNCTION("""COMPUTED_VALUE"""),46054)</f>
        <v>46054</v>
      </c>
      <c r="B46" s="156">
        <f ca="1">IFERROR(__xludf.DUMMYFUNCTION("""COMPUTED_VALUE"""),2958100)</f>
        <v>2958100</v>
      </c>
      <c r="C46" s="2" t="str">
        <f ca="1">IFERROR(__xludf.DUMMYFUNCTION("""COMPUTED_VALUE"""),"GTQ")</f>
        <v>GTQ</v>
      </c>
      <c r="D46" s="236">
        <f ca="1">IFERROR(__xludf.DUMMYFUNCTION("""COMPUTED_VALUE"""),7.66476)</f>
        <v>7.6647600000000002</v>
      </c>
      <c r="E46" s="236">
        <f ca="1">IFERROR(__xludf.DUMMYFUNCTION("""COMPUTED_VALUE"""),0.847099)</f>
        <v>0.84709900000000005</v>
      </c>
      <c r="F46" s="236">
        <f ca="1">IFERROR(__xludf.DUMMYFUNCTION("""COMPUTED_VALUE"""),9.04824583667316)</f>
        <v>9.0482458366731606</v>
      </c>
      <c r="G46" s="236" t="str">
        <f ca="1">IFERROR(__xludf.DUMMYFUNCTION("""COMPUTED_VALUE"""),"2026-03-06 16:26")</f>
        <v>2026-03-06 16:26</v>
      </c>
    </row>
    <row r="47" spans="1:7" ht="12.5" hidden="1" x14ac:dyDescent="0.25">
      <c r="A47" s="156">
        <f ca="1">IFERROR(__xludf.DUMMYFUNCTION("""COMPUTED_VALUE"""),46054)</f>
        <v>46054</v>
      </c>
      <c r="B47" s="156">
        <f ca="1">IFERROR(__xludf.DUMMYFUNCTION("""COMPUTED_VALUE"""),2958100)</f>
        <v>2958100</v>
      </c>
      <c r="C47" s="2" t="str">
        <f ca="1">IFERROR(__xludf.DUMMYFUNCTION("""COMPUTED_VALUE"""),"MMK")</f>
        <v>MMK</v>
      </c>
      <c r="D47" s="236">
        <f ca="1">IFERROR(__xludf.DUMMYFUNCTION("""COMPUTED_VALUE"""),2099.822109)</f>
        <v>2099.8221090000002</v>
      </c>
      <c r="E47" s="236">
        <f ca="1">IFERROR(__xludf.DUMMYFUNCTION("""COMPUTED_VALUE"""),0.847099)</f>
        <v>0.84709900000000005</v>
      </c>
      <c r="F47" s="236">
        <f ca="1">IFERROR(__xludf.DUMMYFUNCTION("""COMPUTED_VALUE"""),2478.83908374345)</f>
        <v>2478.8390837434499</v>
      </c>
      <c r="G47" s="236" t="str">
        <f ca="1">IFERROR(__xludf.DUMMYFUNCTION("""COMPUTED_VALUE"""),"2026-03-06 16:26")</f>
        <v>2026-03-06 16:26</v>
      </c>
    </row>
    <row r="48" spans="1:7" ht="12.5" hidden="1" x14ac:dyDescent="0.25">
      <c r="A48" s="156">
        <f ca="1">IFERROR(__xludf.DUMMYFUNCTION("""COMPUTED_VALUE"""),46054)</f>
        <v>46054</v>
      </c>
      <c r="B48" s="156">
        <f ca="1">IFERROR(__xludf.DUMMYFUNCTION("""COMPUTED_VALUE"""),2958100)</f>
        <v>2958100</v>
      </c>
      <c r="C48" s="2" t="str">
        <f ca="1">IFERROR(__xludf.DUMMYFUNCTION("""COMPUTED_VALUE"""),"NGN")</f>
        <v>NGN</v>
      </c>
      <c r="D48" s="236">
        <f ca="1">IFERROR(__xludf.DUMMYFUNCTION("""COMPUTED_VALUE"""),1362.664464)</f>
        <v>1362.664464</v>
      </c>
      <c r="E48" s="236">
        <f ca="1">IFERROR(__xludf.DUMMYFUNCTION("""COMPUTED_VALUE"""),0.847099)</f>
        <v>0.84709900000000005</v>
      </c>
      <c r="F48" s="236">
        <f ca="1">IFERROR(__xludf.DUMMYFUNCTION("""COMPUTED_VALUE"""),1608.62480536513)</f>
        <v>1608.62480536513</v>
      </c>
      <c r="G48" s="236" t="str">
        <f ca="1">IFERROR(__xludf.DUMMYFUNCTION("""COMPUTED_VALUE"""),"2026-03-06 16:26")</f>
        <v>2026-03-06 16:26</v>
      </c>
    </row>
    <row r="49" spans="1:7" ht="12.5" hidden="1" x14ac:dyDescent="0.25">
      <c r="A49" s="156">
        <f ca="1">IFERROR(__xludf.DUMMYFUNCTION("""COMPUTED_VALUE"""),46054)</f>
        <v>46054</v>
      </c>
      <c r="B49" s="156">
        <f ca="1">IFERROR(__xludf.DUMMYFUNCTION("""COMPUTED_VALUE"""),2958100)</f>
        <v>2958100</v>
      </c>
      <c r="C49" s="2" t="str">
        <f ca="1">IFERROR(__xludf.DUMMYFUNCTION("""COMPUTED_VALUE"""),"CRC")</f>
        <v>CRC</v>
      </c>
      <c r="D49" s="236">
        <f ca="1">IFERROR(__xludf.DUMMYFUNCTION("""COMPUTED_VALUE"""),474.25)</f>
        <v>474.25</v>
      </c>
      <c r="E49" s="236">
        <f ca="1">IFERROR(__xludf.DUMMYFUNCTION("""COMPUTED_VALUE"""),0.847099)</f>
        <v>0.84709900000000005</v>
      </c>
      <c r="F49" s="236">
        <f ca="1">IFERROR(__xludf.DUMMYFUNCTION("""COMPUTED_VALUE"""),559.851918134716)</f>
        <v>559.85191813471602</v>
      </c>
      <c r="G49" s="236" t="str">
        <f ca="1">IFERROR(__xludf.DUMMYFUNCTION("""COMPUTED_VALUE"""),"2026-03-06 16:26")</f>
        <v>2026-03-06 16:26</v>
      </c>
    </row>
    <row r="50" spans="1:7" ht="12.5" hidden="1" x14ac:dyDescent="0.25">
      <c r="A50" s="156">
        <f ca="1">IFERROR(__xludf.DUMMYFUNCTION("""COMPUTED_VALUE"""),46054)</f>
        <v>46054</v>
      </c>
      <c r="B50" s="156">
        <f ca="1">IFERROR(__xludf.DUMMYFUNCTION("""COMPUTED_VALUE"""),2958100)</f>
        <v>2958100</v>
      </c>
      <c r="C50" s="2" t="str">
        <f ca="1">IFERROR(__xludf.DUMMYFUNCTION("""COMPUTED_VALUE"""),"AED")</f>
        <v>AED</v>
      </c>
      <c r="D50" s="236">
        <f ca="1">IFERROR(__xludf.DUMMYFUNCTION("""COMPUTED_VALUE"""),3.6725)</f>
        <v>3.6724999999999999</v>
      </c>
      <c r="E50" s="236">
        <f ca="1">IFERROR(__xludf.DUMMYFUNCTION("""COMPUTED_VALUE"""),0.847099)</f>
        <v>0.84709900000000005</v>
      </c>
      <c r="F50" s="236">
        <f ca="1">IFERROR(__xludf.DUMMYFUNCTION("""COMPUTED_VALUE"""),4.33538464807537)</f>
        <v>4.3353846480753697</v>
      </c>
      <c r="G50" s="236" t="str">
        <f ca="1">IFERROR(__xludf.DUMMYFUNCTION("""COMPUTED_VALUE"""),"2026-03-06 16:26")</f>
        <v>2026-03-06 16:26</v>
      </c>
    </row>
    <row r="51" spans="1:7" ht="12.5" hidden="1" x14ac:dyDescent="0.25">
      <c r="A51" s="156">
        <f ca="1">IFERROR(__xludf.DUMMYFUNCTION("""COMPUTED_VALUE"""),46054)</f>
        <v>46054</v>
      </c>
      <c r="B51" s="156">
        <f ca="1">IFERROR(__xludf.DUMMYFUNCTION("""COMPUTED_VALUE"""),2958100)</f>
        <v>2958100</v>
      </c>
      <c r="C51" s="2" t="str">
        <f ca="1">IFERROR(__xludf.DUMMYFUNCTION("""COMPUTED_VALUE"""),"IDR")</f>
        <v>IDR</v>
      </c>
      <c r="D51" s="236">
        <f ca="1">IFERROR(__xludf.DUMMYFUNCTION("""COMPUTED_VALUE"""),16801.101228)</f>
        <v>16801.101228</v>
      </c>
      <c r="E51" s="236">
        <f ca="1">IFERROR(__xludf.DUMMYFUNCTION("""COMPUTED_VALUE"""),0.847099)</f>
        <v>0.84709900000000005</v>
      </c>
      <c r="F51" s="236">
        <f ca="1">IFERROR(__xludf.DUMMYFUNCTION("""COMPUTED_VALUE"""),19833.6926711045)</f>
        <v>19833.692671104502</v>
      </c>
      <c r="G51" s="236" t="str">
        <f ca="1">IFERROR(__xludf.DUMMYFUNCTION("""COMPUTED_VALUE"""),"2026-03-06 16:26")</f>
        <v>2026-03-06 16:26</v>
      </c>
    </row>
    <row r="52" spans="1:7" ht="12.5" hidden="1" x14ac:dyDescent="0.25">
      <c r="A52" s="156">
        <f ca="1">IFERROR(__xludf.DUMMYFUNCTION("""COMPUTED_VALUE"""),46054)</f>
        <v>46054</v>
      </c>
      <c r="B52" s="156">
        <f ca="1">IFERROR(__xludf.DUMMYFUNCTION("""COMPUTED_VALUE"""),2958100)</f>
        <v>2958100</v>
      </c>
      <c r="C52" s="2" t="str">
        <f ca="1">IFERROR(__xludf.DUMMYFUNCTION("""COMPUTED_VALUE"""),"PKR")</f>
        <v>PKR</v>
      </c>
      <c r="D52" s="236">
        <f ca="1">IFERROR(__xludf.DUMMYFUNCTION("""COMPUTED_VALUE"""),279.038)</f>
        <v>279.03800000000001</v>
      </c>
      <c r="E52" s="236">
        <f ca="1">IFERROR(__xludf.DUMMYFUNCTION("""COMPUTED_VALUE"""),0.847099)</f>
        <v>0.84709900000000005</v>
      </c>
      <c r="F52" s="236">
        <f ca="1">IFERROR(__xludf.DUMMYFUNCTION("""COMPUTED_VALUE"""),329.404237285134)</f>
        <v>329.404237285134</v>
      </c>
      <c r="G52" s="236" t="str">
        <f ca="1">IFERROR(__xludf.DUMMYFUNCTION("""COMPUTED_VALUE"""),"2026-03-06 16:26")</f>
        <v>2026-03-06 16:26</v>
      </c>
    </row>
    <row r="53" spans="1:7" ht="12.5" x14ac:dyDescent="0.25">
      <c r="A53" s="156">
        <f ca="1">IFERROR(__xludf.DUMMYFUNCTION("""COMPUTED_VALUE"""),46054)</f>
        <v>46054</v>
      </c>
      <c r="B53" s="156">
        <f ca="1">IFERROR(__xludf.DUMMYFUNCTION("""COMPUTED_VALUE"""),2958100)</f>
        <v>2958100</v>
      </c>
      <c r="C53" s="2" t="str">
        <f ca="1">IFERROR(__xludf.DUMMYFUNCTION("""COMPUTED_VALUE"""),"ARS")</f>
        <v>ARS</v>
      </c>
      <c r="D53" s="236">
        <f ca="1">IFERROR(__xludf.DUMMYFUNCTION("""COMPUTED_VALUE"""),1397)</f>
        <v>1397</v>
      </c>
      <c r="E53" s="236">
        <f ca="1">IFERROR(__xludf.DUMMYFUNCTION("""COMPUTED_VALUE"""),0.847099)</f>
        <v>0.84709900000000005</v>
      </c>
      <c r="F53" s="236">
        <f ca="1">IFERROR(__xludf.DUMMYFUNCTION("""COMPUTED_VALUE"""),1649.15789063615)</f>
        <v>1649.1578906361499</v>
      </c>
      <c r="G53" s="236" t="str">
        <f ca="1">IFERROR(__xludf.DUMMYFUNCTION("""COMPUTED_VALUE"""),"2026-03-06 16:26")</f>
        <v>2026-03-06 16:26</v>
      </c>
    </row>
    <row r="54" spans="1:7" ht="12.5" hidden="1" x14ac:dyDescent="0.25">
      <c r="A54" s="156">
        <f ca="1">IFERROR(__xludf.DUMMYFUNCTION("""COMPUTED_VALUE"""),46054)</f>
        <v>46054</v>
      </c>
      <c r="B54" s="156">
        <f ca="1">IFERROR(__xludf.DUMMYFUNCTION("""COMPUTED_VALUE"""),2958100)</f>
        <v>2958100</v>
      </c>
      <c r="C54" s="2" t="str">
        <f ca="1">IFERROR(__xludf.DUMMYFUNCTION("""COMPUTED_VALUE"""),"UZS")</f>
        <v>UZS</v>
      </c>
      <c r="D54" s="236">
        <f ca="1">IFERROR(__xludf.DUMMYFUNCTION("""COMPUTED_VALUE"""),12129.377382)</f>
        <v>12129.377382000001</v>
      </c>
      <c r="E54" s="236">
        <f ca="1">IFERROR(__xludf.DUMMYFUNCTION("""COMPUTED_VALUE"""),0.847099)</f>
        <v>0.84709900000000005</v>
      </c>
      <c r="F54" s="236">
        <f ca="1">IFERROR(__xludf.DUMMYFUNCTION("""COMPUTED_VALUE"""),14318.7247086822)</f>
        <v>14318.724708682201</v>
      </c>
      <c r="G54" s="236" t="str">
        <f ca="1">IFERROR(__xludf.DUMMYFUNCTION("""COMPUTED_VALUE"""),"2026-03-06 16:26")</f>
        <v>2026-03-06 16:26</v>
      </c>
    </row>
    <row r="55" spans="1:7" ht="12.5" hidden="1" x14ac:dyDescent="0.25">
      <c r="A55" s="156">
        <f ca="1">IFERROR(__xludf.DUMMYFUNCTION("""COMPUTED_VALUE"""),46054)</f>
        <v>46054</v>
      </c>
      <c r="B55" s="156">
        <f ca="1">IFERROR(__xludf.DUMMYFUNCTION("""COMPUTED_VALUE"""),2958100)</f>
        <v>2958100</v>
      </c>
      <c r="C55" s="2" t="str">
        <f ca="1">IFERROR(__xludf.DUMMYFUNCTION("""COMPUTED_VALUE"""),"NOK")</f>
        <v>NOK</v>
      </c>
      <c r="D55" s="236">
        <f ca="1">IFERROR(__xludf.DUMMYFUNCTION("""COMPUTED_VALUE"""),9.494706)</f>
        <v>9.4947060000000008</v>
      </c>
      <c r="E55" s="236">
        <f ca="1">IFERROR(__xludf.DUMMYFUNCTION("""COMPUTED_VALUE"""),0.847099)</f>
        <v>0.84709900000000005</v>
      </c>
      <c r="F55" s="236">
        <f ca="1">IFERROR(__xludf.DUMMYFUNCTION("""COMPUTED_VALUE"""),11.2084962914606)</f>
        <v>11.2084962914606</v>
      </c>
      <c r="G55" s="236" t="str">
        <f ca="1">IFERROR(__xludf.DUMMYFUNCTION("""COMPUTED_VALUE"""),"2026-03-06 16:26")</f>
        <v>2026-03-06 16:26</v>
      </c>
    </row>
    <row r="56" spans="1:7" ht="12.5" hidden="1" x14ac:dyDescent="0.25">
      <c r="A56" s="156">
        <f ca="1">IFERROR(__xludf.DUMMYFUNCTION("""COMPUTED_VALUE"""),46054)</f>
        <v>46054</v>
      </c>
      <c r="B56" s="156">
        <f ca="1">IFERROR(__xludf.DUMMYFUNCTION("""COMPUTED_VALUE"""),2958100)</f>
        <v>2958100</v>
      </c>
      <c r="C56" s="2" t="str">
        <f ca="1">IFERROR(__xludf.DUMMYFUNCTION("""COMPUTED_VALUE"""),"KRW")</f>
        <v>KRW</v>
      </c>
      <c r="D56" s="236">
        <f ca="1">IFERROR(__xludf.DUMMYFUNCTION("""COMPUTED_VALUE"""),1441.97374)</f>
        <v>1441.9737399999999</v>
      </c>
      <c r="E56" s="236">
        <f ca="1">IFERROR(__xludf.DUMMYFUNCTION("""COMPUTED_VALUE"""),0.847099)</f>
        <v>0.84709900000000005</v>
      </c>
      <c r="F56" s="236">
        <f ca="1">IFERROR(__xludf.DUMMYFUNCTION("""COMPUTED_VALUE"""),1702.24937108885)</f>
        <v>1702.24937108885</v>
      </c>
      <c r="G56" s="236" t="str">
        <f ca="1">IFERROR(__xludf.DUMMYFUNCTION("""COMPUTED_VALUE"""),"2026-03-06 16:26")</f>
        <v>2026-03-06 16:26</v>
      </c>
    </row>
    <row r="57" spans="1:7" ht="12.5" hidden="1" x14ac:dyDescent="0.25">
      <c r="A57" s="156">
        <f ca="1">IFERROR(__xludf.DUMMYFUNCTION("""COMPUTED_VALUE"""),46054)</f>
        <v>46054</v>
      </c>
      <c r="B57" s="156">
        <f ca="1">IFERROR(__xludf.DUMMYFUNCTION("""COMPUTED_VALUE"""),2958100)</f>
        <v>2958100</v>
      </c>
      <c r="C57" s="2" t="str">
        <f ca="1">IFERROR(__xludf.DUMMYFUNCTION("""COMPUTED_VALUE"""),"BDT")</f>
        <v>BDT</v>
      </c>
      <c r="D57" s="236">
        <f ca="1">IFERROR(__xludf.DUMMYFUNCTION("""COMPUTED_VALUE"""),122.38255)</f>
        <v>122.38254999999999</v>
      </c>
      <c r="E57" s="236">
        <f ca="1">IFERROR(__xludf.DUMMYFUNCTION("""COMPUTED_VALUE"""),0.847099)</f>
        <v>0.84709900000000005</v>
      </c>
      <c r="F57" s="236">
        <f ca="1">IFERROR(__xludf.DUMMYFUNCTION("""COMPUTED_VALUE"""),144.472546892393)</f>
        <v>144.47254689239301</v>
      </c>
      <c r="G57" s="236" t="str">
        <f ca="1">IFERROR(__xludf.DUMMYFUNCTION("""COMPUTED_VALUE"""),"2026-03-06 16:26")</f>
        <v>2026-03-06 16:26</v>
      </c>
    </row>
    <row r="58" spans="1:7" ht="12.5" hidden="1" x14ac:dyDescent="0.25">
      <c r="A58" s="156">
        <f ca="1">IFERROR(__xludf.DUMMYFUNCTION("""COMPUTED_VALUE"""),46054)</f>
        <v>46054</v>
      </c>
      <c r="B58" s="156">
        <f ca="1">IFERROR(__xludf.DUMMYFUNCTION("""COMPUTED_VALUE"""),2958100)</f>
        <v>2958100</v>
      </c>
      <c r="C58" s="2" t="str">
        <f ca="1">IFERROR(__xludf.DUMMYFUNCTION("""COMPUTED_VALUE"""),"CHF")</f>
        <v>CHF</v>
      </c>
      <c r="D58" s="236">
        <f ca="1">IFERROR(__xludf.DUMMYFUNCTION("""COMPUTED_VALUE"""),0.771199)</f>
        <v>0.77119899999999997</v>
      </c>
      <c r="E58" s="236">
        <f ca="1">IFERROR(__xludf.DUMMYFUNCTION("""COMPUTED_VALUE"""),0.847099)</f>
        <v>0.84709900000000005</v>
      </c>
      <c r="F58" s="236">
        <f ca="1">IFERROR(__xludf.DUMMYFUNCTION("""COMPUTED_VALUE"""),0.910400083107169)</f>
        <v>0.91040008310716902</v>
      </c>
      <c r="G58" s="236" t="str">
        <f ca="1">IFERROR(__xludf.DUMMYFUNCTION("""COMPUTED_VALUE"""),"2026-03-06 16:26")</f>
        <v>2026-03-06 16:26</v>
      </c>
    </row>
    <row r="59" spans="1:7" ht="12.5" hidden="1" x14ac:dyDescent="0.25">
      <c r="A59" s="156">
        <f ca="1">IFERROR(__xludf.DUMMYFUNCTION("""COMPUTED_VALUE"""),46054)</f>
        <v>46054</v>
      </c>
      <c r="B59" s="156">
        <f ca="1">IFERROR(__xludf.DUMMYFUNCTION("""COMPUTED_VALUE"""),2958100)</f>
        <v>2958100</v>
      </c>
      <c r="C59" s="2" t="str">
        <f ca="1">IFERROR(__xludf.DUMMYFUNCTION("""COMPUTED_VALUE"""),"MAD")</f>
        <v>MAD</v>
      </c>
      <c r="D59" s="236">
        <f ca="1">IFERROR(__xludf.DUMMYFUNCTION("""COMPUTED_VALUE"""),9.1591)</f>
        <v>9.1591000000000005</v>
      </c>
      <c r="E59" s="236">
        <f ca="1">IFERROR(__xludf.DUMMYFUNCTION("""COMPUTED_VALUE"""),0.847099)</f>
        <v>0.84709900000000005</v>
      </c>
      <c r="F59" s="236">
        <f ca="1">IFERROR(__xludf.DUMMYFUNCTION("""COMPUTED_VALUE"""),10.8123135548501)</f>
        <v>10.8123135548501</v>
      </c>
      <c r="G59" s="236" t="str">
        <f ca="1">IFERROR(__xludf.DUMMYFUNCTION("""COMPUTED_VALUE"""),"2026-03-06 16:26")</f>
        <v>2026-03-06 16:26</v>
      </c>
    </row>
    <row r="60" spans="1:7" ht="12.5" hidden="1" x14ac:dyDescent="0.25">
      <c r="A60" s="156">
        <f ca="1">IFERROR(__xludf.DUMMYFUNCTION("""COMPUTED_VALUE"""),46054)</f>
        <v>46054</v>
      </c>
      <c r="B60" s="156">
        <f ca="1">IFERROR(__xludf.DUMMYFUNCTION("""COMPUTED_VALUE"""),2958100)</f>
        <v>2958100</v>
      </c>
      <c r="C60" s="2" t="str">
        <f ca="1">IFERROR(__xludf.DUMMYFUNCTION("""COMPUTED_VALUE"""),"BRL")</f>
        <v>BRL</v>
      </c>
      <c r="D60" s="236">
        <f ca="1">IFERROR(__xludf.DUMMYFUNCTION("""COMPUTED_VALUE"""),5.1495)</f>
        <v>5.1494999999999997</v>
      </c>
      <c r="E60" s="236">
        <f ca="1">IFERROR(__xludf.DUMMYFUNCTION("""COMPUTED_VALUE"""),0.847099)</f>
        <v>0.84709900000000005</v>
      </c>
      <c r="F60" s="236">
        <f ca="1">IFERROR(__xludf.DUMMYFUNCTION("""COMPUTED_VALUE"""),6.07898250381596)</f>
        <v>6.0789825038159604</v>
      </c>
      <c r="G60" s="236" t="str">
        <f ca="1">IFERROR(__xludf.DUMMYFUNCTION("""COMPUTED_VALUE"""),"2026-03-06 16:26")</f>
        <v>2026-03-06 16:26</v>
      </c>
    </row>
    <row r="61" spans="1:7" ht="12.5" hidden="1" x14ac:dyDescent="0.25">
      <c r="A61" s="156">
        <f ca="1">IFERROR(__xludf.DUMMYFUNCTION("""COMPUTED_VALUE"""),46054)</f>
        <v>46054</v>
      </c>
      <c r="B61" s="156">
        <f ca="1">IFERROR(__xludf.DUMMYFUNCTION("""COMPUTED_VALUE"""),2958100)</f>
        <v>2958100</v>
      </c>
      <c r="C61" s="2" t="str">
        <f ca="1">IFERROR(__xludf.DUMMYFUNCTION("""COMPUTED_VALUE"""),"SEK")</f>
        <v>SEK</v>
      </c>
      <c r="D61" s="236">
        <f ca="1">IFERROR(__xludf.DUMMYFUNCTION("""COMPUTED_VALUE"""),9.033715)</f>
        <v>9.0337150000000008</v>
      </c>
      <c r="E61" s="236">
        <f ca="1">IFERROR(__xludf.DUMMYFUNCTION("""COMPUTED_VALUE"""),0.847099)</f>
        <v>0.84709900000000005</v>
      </c>
      <c r="F61" s="236">
        <f ca="1">IFERROR(__xludf.DUMMYFUNCTION("""COMPUTED_VALUE"""),10.6642966170424)</f>
        <v>10.6642966170424</v>
      </c>
      <c r="G61" s="236" t="str">
        <f ca="1">IFERROR(__xludf.DUMMYFUNCTION("""COMPUTED_VALUE"""),"2026-03-06 16:26")</f>
        <v>2026-03-06 16:26</v>
      </c>
    </row>
    <row r="62" spans="1:7" ht="12.5" hidden="1" x14ac:dyDescent="0.25">
      <c r="A62" s="156">
        <f ca="1">IFERROR(__xludf.DUMMYFUNCTION("""COMPUTED_VALUE"""),46054)</f>
        <v>46054</v>
      </c>
      <c r="B62" s="156">
        <f ca="1">IFERROR(__xludf.DUMMYFUNCTION("""COMPUTED_VALUE"""),2958100)</f>
        <v>2958100</v>
      </c>
      <c r="C62" s="2" t="str">
        <f ca="1">IFERROR(__xludf.DUMMYFUNCTION("""COMPUTED_VALUE"""),"ZAR")</f>
        <v>ZAR</v>
      </c>
      <c r="D62" s="236">
        <f ca="1">IFERROR(__xludf.DUMMYFUNCTION("""COMPUTED_VALUE"""),15.940534)</f>
        <v>15.940534</v>
      </c>
      <c r="E62" s="236">
        <f ca="1">IFERROR(__xludf.DUMMYFUNCTION("""COMPUTED_VALUE"""),0.847099)</f>
        <v>0.84709900000000005</v>
      </c>
      <c r="F62" s="236">
        <f ca="1">IFERROR(__xludf.DUMMYFUNCTION("""COMPUTED_VALUE"""),18.8177934338253)</f>
        <v>18.817793433825301</v>
      </c>
      <c r="G62" s="236" t="str">
        <f ca="1">IFERROR(__xludf.DUMMYFUNCTION("""COMPUTED_VALUE"""),"2026-03-06 16:26")</f>
        <v>2026-03-06 16:26</v>
      </c>
    </row>
    <row r="63" spans="1:7" ht="12.5" hidden="1" x14ac:dyDescent="0.25">
      <c r="A63" s="156">
        <f ca="1">IFERROR(__xludf.DUMMYFUNCTION("""COMPUTED_VALUE"""),46054)</f>
        <v>46054</v>
      </c>
      <c r="B63" s="156">
        <f ca="1">IFERROR(__xludf.DUMMYFUNCTION("""COMPUTED_VALUE"""),2958100)</f>
        <v>2958100</v>
      </c>
      <c r="C63" s="2" t="str">
        <f ca="1">IFERROR(__xludf.DUMMYFUNCTION("""COMPUTED_VALUE"""),"LAK")</f>
        <v>LAK</v>
      </c>
      <c r="D63" s="236">
        <f ca="1">IFERROR(__xludf.DUMMYFUNCTION("""COMPUTED_VALUE"""),21581.533249)</f>
        <v>21581.533249</v>
      </c>
      <c r="E63" s="236">
        <f ca="1">IFERROR(__xludf.DUMMYFUNCTION("""COMPUTED_VALUE"""),0.847099)</f>
        <v>0.84709900000000005</v>
      </c>
      <c r="F63" s="236">
        <f ca="1">IFERROR(__xludf.DUMMYFUNCTION("""COMPUTED_VALUE"""),25476.9905866964)</f>
        <v>25476.9905866964</v>
      </c>
      <c r="G63" s="236" t="str">
        <f ca="1">IFERROR(__xludf.DUMMYFUNCTION("""COMPUTED_VALUE"""),"2026-03-06 16:26")</f>
        <v>2026-03-06 16:26</v>
      </c>
    </row>
    <row r="64" spans="1:7" ht="12.5" hidden="1" x14ac:dyDescent="0.25">
      <c r="A64" s="156">
        <f ca="1">IFERROR(__xludf.DUMMYFUNCTION("""COMPUTED_VALUE"""),46054)</f>
        <v>46054</v>
      </c>
      <c r="B64" s="156">
        <f ca="1">IFERROR(__xludf.DUMMYFUNCTION("""COMPUTED_VALUE"""),2958100)</f>
        <v>2958100</v>
      </c>
      <c r="C64" s="2" t="str">
        <f ca="1">IFERROR(__xludf.DUMMYFUNCTION("""COMPUTED_VALUE"""),"AUD")</f>
        <v>AUD</v>
      </c>
      <c r="D64" s="236">
        <f ca="1">IFERROR(__xludf.DUMMYFUNCTION("""COMPUTED_VALUE"""),1.4072)</f>
        <v>1.4072</v>
      </c>
      <c r="E64" s="236">
        <f ca="1">IFERROR(__xludf.DUMMYFUNCTION("""COMPUTED_VALUE"""),0.847099)</f>
        <v>0.84709900000000005</v>
      </c>
      <c r="F64" s="236">
        <f ca="1">IFERROR(__xludf.DUMMYFUNCTION("""COMPUTED_VALUE"""),1.66119898618697)</f>
        <v>1.66119898618697</v>
      </c>
      <c r="G64" s="236" t="str">
        <f ca="1">IFERROR(__xludf.DUMMYFUNCTION("""COMPUTED_VALUE"""),"2026-03-06 16:26")</f>
        <v>2026-03-06 16:26</v>
      </c>
    </row>
    <row r="65" spans="1:7" ht="12.5" hidden="1" x14ac:dyDescent="0.25">
      <c r="A65" s="156">
        <f ca="1">IFERROR(__xludf.DUMMYFUNCTION("""COMPUTED_VALUE"""),46054)</f>
        <v>46054</v>
      </c>
      <c r="B65" s="156">
        <f ca="1">IFERROR(__xludf.DUMMYFUNCTION("""COMPUTED_VALUE"""),2958100)</f>
        <v>2958100</v>
      </c>
      <c r="C65" s="2" t="str">
        <f ca="1">IFERROR(__xludf.DUMMYFUNCTION("""COMPUTED_VALUE"""),"MDL")</f>
        <v>MDL</v>
      </c>
      <c r="D65" s="236">
        <f ca="1">IFERROR(__xludf.DUMMYFUNCTION("""COMPUTED_VALUE"""),17.113596)</f>
        <v>17.113596000000001</v>
      </c>
      <c r="E65" s="236">
        <f ca="1">IFERROR(__xludf.DUMMYFUNCTION("""COMPUTED_VALUE"""),0.847099)</f>
        <v>0.84709900000000005</v>
      </c>
      <c r="F65" s="236">
        <f ca="1">IFERROR(__xludf.DUMMYFUNCTION("""COMPUTED_VALUE"""),20.202592613142)</f>
        <v>20.202592613141999</v>
      </c>
      <c r="G65" s="236" t="str">
        <f ca="1">IFERROR(__xludf.DUMMYFUNCTION("""COMPUTED_VALUE"""),"2026-03-06 16:26")</f>
        <v>2026-03-06 16:26</v>
      </c>
    </row>
    <row r="66" spans="1:7" ht="12.5" hidden="1" x14ac:dyDescent="0.25">
      <c r="A66" s="156">
        <f ca="1">IFERROR(__xludf.DUMMYFUNCTION("""COMPUTED_VALUE"""),46054)</f>
        <v>46054</v>
      </c>
      <c r="B66" s="156">
        <f ca="1">IFERROR(__xludf.DUMMYFUNCTION("""COMPUTED_VALUE"""),2958100)</f>
        <v>2958100</v>
      </c>
      <c r="C66" s="2" t="str">
        <f ca="1">IFERROR(__xludf.DUMMYFUNCTION("""COMPUTED_VALUE"""),"PAB")</f>
        <v>PAB</v>
      </c>
      <c r="D66" s="236">
        <f ca="1">IFERROR(__xludf.DUMMYFUNCTION("""COMPUTED_VALUE"""),1)</f>
        <v>1</v>
      </c>
      <c r="E66" s="236">
        <f ca="1">IFERROR(__xludf.DUMMYFUNCTION("""COMPUTED_VALUE"""),0.847099)</f>
        <v>0.84709900000000005</v>
      </c>
      <c r="F66" s="236">
        <f ca="1">IFERROR(__xludf.DUMMYFUNCTION("""COMPUTED_VALUE"""),1.18049956380541)</f>
        <v>1.1804995638054101</v>
      </c>
      <c r="G66" s="236" t="str">
        <f ca="1">IFERROR(__xludf.DUMMYFUNCTION("""COMPUTED_VALUE"""),"2026-03-06 16:26")</f>
        <v>2026-03-06 16:26</v>
      </c>
    </row>
    <row r="67" spans="1:7" ht="12.5" hidden="1" x14ac:dyDescent="0.25">
      <c r="A67" s="156">
        <f ca="1">IFERROR(__xludf.DUMMYFUNCTION("""COMPUTED_VALUE"""),46054)</f>
        <v>46054</v>
      </c>
      <c r="B67" s="156">
        <f ca="1">IFERROR(__xludf.DUMMYFUNCTION("""COMPUTED_VALUE"""),2958100)</f>
        <v>2958100</v>
      </c>
      <c r="C67" s="2" t="str">
        <f ca="1">IFERROR(__xludf.DUMMYFUNCTION("""COMPUTED_VALUE"""),"PYG")</f>
        <v>PYG</v>
      </c>
      <c r="D67" s="236">
        <f ca="1">IFERROR(__xludf.DUMMYFUNCTION("""COMPUTED_VALUE"""),6459.98)</f>
        <v>6459.98</v>
      </c>
      <c r="E67" s="236">
        <f ca="1">IFERROR(__xludf.DUMMYFUNCTION("""COMPUTED_VALUE"""),0.847099)</f>
        <v>0.84709900000000005</v>
      </c>
      <c r="F67" s="236">
        <f ca="1">IFERROR(__xludf.DUMMYFUNCTION("""COMPUTED_VALUE"""),7626.00357219167)</f>
        <v>7626.0035721916702</v>
      </c>
      <c r="G67" s="236" t="str">
        <f ca="1">IFERROR(__xludf.DUMMYFUNCTION("""COMPUTED_VALUE"""),"2026-03-06 16:26")</f>
        <v>2026-03-06 16:26</v>
      </c>
    </row>
    <row r="68" spans="1:7" ht="12.5" hidden="1" x14ac:dyDescent="0.25">
      <c r="A68" s="156">
        <f ca="1">IFERROR(__xludf.DUMMYFUNCTION("""COMPUTED_VALUE"""),46054)</f>
        <v>46054</v>
      </c>
      <c r="B68" s="156">
        <f ca="1">IFERROR(__xludf.DUMMYFUNCTION("""COMPUTED_VALUE"""),2958100)</f>
        <v>2958100</v>
      </c>
      <c r="C68" s="2" t="str">
        <f ca="1">IFERROR(__xludf.DUMMYFUNCTION("""COMPUTED_VALUE"""),"VND")</f>
        <v>VND</v>
      </c>
      <c r="D68" s="236">
        <f ca="1">IFERROR(__xludf.DUMMYFUNCTION("""COMPUTED_VALUE"""),26030.6)</f>
        <v>26030.6</v>
      </c>
      <c r="E68" s="236">
        <f ca="1">IFERROR(__xludf.DUMMYFUNCTION("""COMPUTED_VALUE"""),0.847099)</f>
        <v>0.84709900000000005</v>
      </c>
      <c r="F68" s="236">
        <f ca="1">IFERROR(__xludf.DUMMYFUNCTION("""COMPUTED_VALUE"""),30729.1119455931)</f>
        <v>30729.1119455931</v>
      </c>
      <c r="G68" s="236" t="str">
        <f ca="1">IFERROR(__xludf.DUMMYFUNCTION("""COMPUTED_VALUE"""),"2026-03-06 16:26")</f>
        <v>2026-03-06 16:26</v>
      </c>
    </row>
    <row r="69" spans="1:7" ht="12.5" hidden="1" x14ac:dyDescent="0.25">
      <c r="A69" s="156">
        <f ca="1">IFERROR(__xludf.DUMMYFUNCTION("""COMPUTED_VALUE"""),46054)</f>
        <v>46054</v>
      </c>
      <c r="B69" s="156">
        <f ca="1">IFERROR(__xludf.DUMMYFUNCTION("""COMPUTED_VALUE"""),2958100)</f>
        <v>2958100</v>
      </c>
      <c r="C69" s="2" t="str">
        <f ca="1">IFERROR(__xludf.DUMMYFUNCTION("""COMPUTED_VALUE"""),"CAD")</f>
        <v>CAD</v>
      </c>
      <c r="D69" s="236">
        <f ca="1">IFERROR(__xludf.DUMMYFUNCTION("""COMPUTED_VALUE"""),1.367133)</f>
        <v>1.3671329999999999</v>
      </c>
      <c r="E69" s="236">
        <f ca="1">IFERROR(__xludf.DUMMYFUNCTION("""COMPUTED_VALUE"""),0.847099)</f>
        <v>0.84709900000000005</v>
      </c>
      <c r="F69" s="236">
        <f ca="1">IFERROR(__xludf.DUMMYFUNCTION("""COMPUTED_VALUE"""),1.61389991016398)</f>
        <v>1.6138999101639799</v>
      </c>
      <c r="G69" s="236" t="str">
        <f ca="1">IFERROR(__xludf.DUMMYFUNCTION("""COMPUTED_VALUE"""),"2026-03-06 16:26")</f>
        <v>2026-03-06 16:26</v>
      </c>
    </row>
    <row r="70" spans="1:7" ht="12.5" hidden="1" x14ac:dyDescent="0.25">
      <c r="A70" s="156">
        <f ca="1">IFERROR(__xludf.DUMMYFUNCTION("""COMPUTED_VALUE"""),46054)</f>
        <v>46054</v>
      </c>
      <c r="B70" s="156">
        <f ca="1">IFERROR(__xludf.DUMMYFUNCTION("""COMPUTED_VALUE"""),2958100)</f>
        <v>2958100</v>
      </c>
      <c r="C70" s="2" t="str">
        <f ca="1">IFERROR(__xludf.DUMMYFUNCTION("""COMPUTED_VALUE"""),"PHP")</f>
        <v>PHP</v>
      </c>
      <c r="D70" s="236">
        <f ca="1">IFERROR(__xludf.DUMMYFUNCTION("""COMPUTED_VALUE"""),57.683185)</f>
        <v>57.683185000000002</v>
      </c>
      <c r="E70" s="236">
        <f ca="1">IFERROR(__xludf.DUMMYFUNCTION("""COMPUTED_VALUE"""),0.847099)</f>
        <v>0.84709900000000005</v>
      </c>
      <c r="F70" s="236">
        <f ca="1">IFERROR(__xludf.DUMMYFUNCTION("""COMPUTED_VALUE"""),68.0949747314068)</f>
        <v>68.094974731406793</v>
      </c>
      <c r="G70" s="236" t="str">
        <f ca="1">IFERROR(__xludf.DUMMYFUNCTION("""COMPUTED_VALUE"""),"2026-03-06 16:26")</f>
        <v>2026-03-06 16:26</v>
      </c>
    </row>
    <row r="71" spans="1:7" ht="12.5" hidden="1" x14ac:dyDescent="0.25">
      <c r="A71" s="156">
        <f ca="1">IFERROR(__xludf.DUMMYFUNCTION("""COMPUTED_VALUE"""),46054)</f>
        <v>46054</v>
      </c>
      <c r="B71" s="156">
        <f ca="1">IFERROR(__xludf.DUMMYFUNCTION("""COMPUTED_VALUE"""),2958100)</f>
        <v>2958100</v>
      </c>
      <c r="C71" s="2" t="str">
        <f ca="1">IFERROR(__xludf.DUMMYFUNCTION("""COMPUTED_VALUE"""),"HRK")</f>
        <v>HRK</v>
      </c>
      <c r="D71" s="236">
        <f ca="1">IFERROR(__xludf.DUMMYFUNCTION("""COMPUTED_VALUE"""),0.847099)</f>
        <v>0.84709900000000005</v>
      </c>
      <c r="E71" s="236">
        <f ca="1">IFERROR(__xludf.DUMMYFUNCTION("""COMPUTED_VALUE"""),0.847099)</f>
        <v>0.84709900000000005</v>
      </c>
      <c r="F71" s="236">
        <f ca="1">IFERROR(__xludf.DUMMYFUNCTION("""COMPUTED_VALUE"""),1)</f>
        <v>1</v>
      </c>
      <c r="G71" s="236" t="str">
        <f ca="1">IFERROR(__xludf.DUMMYFUNCTION("""COMPUTED_VALUE"""),"2026-03-06 16:26")</f>
        <v>2026-03-06 16:26</v>
      </c>
    </row>
    <row r="72" spans="1:7" ht="12.5" hidden="1" x14ac:dyDescent="0.25">
      <c r="A72" s="156">
        <f ca="1">IFERROR(__xludf.DUMMYFUNCTION("""COMPUTED_VALUE"""),46054)</f>
        <v>46054</v>
      </c>
      <c r="B72" s="156">
        <f ca="1">IFERROR(__xludf.DUMMYFUNCTION("""COMPUTED_VALUE"""),2958100)</f>
        <v>2958100</v>
      </c>
      <c r="C72" s="2" t="str">
        <f ca="1">IFERROR(__xludf.DUMMYFUNCTION("""COMPUTED_VALUE"""),"CNY")</f>
        <v>CNY</v>
      </c>
      <c r="D72" s="236">
        <f ca="1">IFERROR(__xludf.DUMMYFUNCTION("""COMPUTED_VALUE"""),6.858196)</f>
        <v>6.8581960000000004</v>
      </c>
      <c r="E72" s="236">
        <f ca="1">IFERROR(__xludf.DUMMYFUNCTION("""COMPUTED_VALUE"""),0.847099)</f>
        <v>0.84709900000000005</v>
      </c>
      <c r="F72" s="236">
        <f ca="1">IFERROR(__xludf.DUMMYFUNCTION("""COMPUTED_VALUE"""),8.09609738649201)</f>
        <v>8.0960973864920103</v>
      </c>
      <c r="G72" s="236" t="str">
        <f ca="1">IFERROR(__xludf.DUMMYFUNCTION("""COMPUTED_VALUE"""),"2026-03-06 16:26")</f>
        <v>2026-03-06 16:26</v>
      </c>
    </row>
    <row r="73" spans="1:7" ht="12.5" hidden="1" x14ac:dyDescent="0.25">
      <c r="A73" s="156">
        <f ca="1">IFERROR(__xludf.DUMMYFUNCTION("""COMPUTED_VALUE"""),46054)</f>
        <v>46054</v>
      </c>
      <c r="B73" s="156">
        <f ca="1">IFERROR(__xludf.DUMMYFUNCTION("""COMPUTED_VALUE"""),2958100)</f>
        <v>2958100</v>
      </c>
      <c r="C73" s="2" t="str">
        <f ca="1">IFERROR(__xludf.DUMMYFUNCTION("""COMPUTED_VALUE"""),"KZT")</f>
        <v>KZT</v>
      </c>
      <c r="D73" s="236">
        <f ca="1">IFERROR(__xludf.DUMMYFUNCTION("""COMPUTED_VALUE"""),497.179161)</f>
        <v>497.17916100000002</v>
      </c>
      <c r="E73" s="236">
        <f ca="1">IFERROR(__xludf.DUMMYFUNCTION("""COMPUTED_VALUE"""),0.847099)</f>
        <v>0.84709900000000005</v>
      </c>
      <c r="F73" s="236">
        <f ca="1">IFERROR(__xludf.DUMMYFUNCTION("""COMPUTED_VALUE"""),586.91978269364)</f>
        <v>586.91978269363995</v>
      </c>
      <c r="G73" s="236" t="str">
        <f ca="1">IFERROR(__xludf.DUMMYFUNCTION("""COMPUTED_VALUE"""),"2026-03-06 16:26")</f>
        <v>2026-03-06 16:26</v>
      </c>
    </row>
    <row r="74" spans="1:7" ht="12.5" hidden="1" x14ac:dyDescent="0.25">
      <c r="A74" s="156">
        <f ca="1">IFERROR(__xludf.DUMMYFUNCTION("""COMPUTED_VALUE"""),46054)</f>
        <v>46054</v>
      </c>
      <c r="B74" s="156">
        <f ca="1">IFERROR(__xludf.DUMMYFUNCTION("""COMPUTED_VALUE"""),2958100)</f>
        <v>2958100</v>
      </c>
      <c r="C74" s="2" t="str">
        <f ca="1">IFERROR(__xludf.DUMMYFUNCTION("""COMPUTED_VALUE"""),"DKK")</f>
        <v>DKK</v>
      </c>
      <c r="D74" s="236">
        <f ca="1">IFERROR(__xludf.DUMMYFUNCTION("""COMPUTED_VALUE"""),6.329352)</f>
        <v>6.3293520000000001</v>
      </c>
      <c r="E74" s="236">
        <f ca="1">IFERROR(__xludf.DUMMYFUNCTION("""COMPUTED_VALUE"""),0.847099)</f>
        <v>0.84709900000000005</v>
      </c>
      <c r="F74" s="236">
        <f ca="1">IFERROR(__xludf.DUMMYFUNCTION("""COMPUTED_VALUE"""),7.4717972751709)</f>
        <v>7.4717972751708999</v>
      </c>
      <c r="G74" s="236" t="str">
        <f ca="1">IFERROR(__xludf.DUMMYFUNCTION("""COMPUTED_VALUE"""),"2026-03-06 16:26")</f>
        <v>2026-03-06 16:26</v>
      </c>
    </row>
    <row r="75" spans="1:7" ht="12.5" hidden="1" x14ac:dyDescent="0.25">
      <c r="A75" s="156">
        <f ca="1">IFERROR(__xludf.DUMMYFUNCTION("""COMPUTED_VALUE"""),46054)</f>
        <v>46054</v>
      </c>
      <c r="B75" s="156">
        <f ca="1">IFERROR(__xludf.DUMMYFUNCTION("""COMPUTED_VALUE"""),2958100)</f>
        <v>2958100</v>
      </c>
      <c r="C75" s="2" t="str">
        <f ca="1">IFERROR(__xludf.DUMMYFUNCTION("""COMPUTED_VALUE"""),"AZN")</f>
        <v>AZN</v>
      </c>
      <c r="D75" s="236">
        <f ca="1">IFERROR(__xludf.DUMMYFUNCTION("""COMPUTED_VALUE"""),1.700974)</f>
        <v>1.700974</v>
      </c>
      <c r="E75" s="236">
        <f ca="1">IFERROR(__xludf.DUMMYFUNCTION("""COMPUTED_VALUE"""),0.847099)</f>
        <v>0.84709900000000005</v>
      </c>
      <c r="F75" s="236">
        <f ca="1">IFERROR(__xludf.DUMMYFUNCTION("""COMPUTED_VALUE"""),2.00799906504434)</f>
        <v>2.00799906504434</v>
      </c>
      <c r="G75" s="236" t="str">
        <f ca="1">IFERROR(__xludf.DUMMYFUNCTION("""COMPUTED_VALUE"""),"2026-03-06 16:26")</f>
        <v>2026-03-06 16:26</v>
      </c>
    </row>
    <row r="76" spans="1:7" ht="12.5" x14ac:dyDescent="0.25">
      <c r="A76" s="2"/>
      <c r="B76" s="2"/>
      <c r="C76" s="2"/>
      <c r="D76" s="236"/>
      <c r="E76" s="236"/>
      <c r="F76" s="236"/>
      <c r="G76" s="236"/>
    </row>
    <row r="77" spans="1:7" ht="12.5" x14ac:dyDescent="0.25">
      <c r="A77" s="2"/>
      <c r="B77" s="2"/>
      <c r="C77" s="2"/>
      <c r="D77" s="236"/>
      <c r="E77" s="236"/>
      <c r="F77" s="236"/>
      <c r="G77" s="236"/>
    </row>
    <row r="78" spans="1:7" ht="12.5" x14ac:dyDescent="0.25">
      <c r="A78" s="2"/>
      <c r="B78" s="2"/>
      <c r="C78" s="2"/>
      <c r="D78" s="236"/>
      <c r="E78" s="236"/>
      <c r="F78" s="236"/>
      <c r="G78" s="236"/>
    </row>
    <row r="79" spans="1:7" ht="12.5" x14ac:dyDescent="0.25">
      <c r="A79" s="2"/>
      <c r="B79" s="2"/>
      <c r="C79" s="2"/>
      <c r="D79" s="236"/>
      <c r="E79" s="236"/>
      <c r="F79" s="236"/>
      <c r="G79" s="236"/>
    </row>
    <row r="80" spans="1:7" ht="12.5" x14ac:dyDescent="0.25">
      <c r="A80" s="2"/>
      <c r="B80" s="2"/>
      <c r="C80" s="2"/>
      <c r="D80" s="236"/>
      <c r="E80" s="236"/>
      <c r="F80" s="236"/>
      <c r="G80" s="236"/>
    </row>
    <row r="81" spans="1:7" ht="12.5" x14ac:dyDescent="0.25">
      <c r="A81" s="2"/>
      <c r="B81" s="2"/>
      <c r="C81" s="2"/>
      <c r="D81" s="236"/>
      <c r="E81" s="236"/>
      <c r="F81" s="236"/>
      <c r="G81" s="236"/>
    </row>
    <row r="82" spans="1:7" ht="12.5" x14ac:dyDescent="0.25">
      <c r="A82" s="2"/>
      <c r="B82" s="2"/>
      <c r="C82" s="2"/>
      <c r="D82" s="236"/>
      <c r="E82" s="236"/>
      <c r="F82" s="236"/>
      <c r="G82" s="236"/>
    </row>
    <row r="83" spans="1:7" ht="12.5" x14ac:dyDescent="0.25">
      <c r="A83" s="2"/>
      <c r="B83" s="2"/>
      <c r="C83" s="2"/>
      <c r="D83" s="236"/>
      <c r="E83" s="236"/>
      <c r="F83" s="236"/>
      <c r="G83" s="236"/>
    </row>
    <row r="84" spans="1:7" ht="12.5" x14ac:dyDescent="0.25">
      <c r="A84" s="2"/>
      <c r="B84" s="2"/>
      <c r="C84" s="2"/>
      <c r="D84" s="236"/>
      <c r="E84" s="236"/>
      <c r="F84" s="236"/>
      <c r="G84" s="236"/>
    </row>
    <row r="85" spans="1:7" ht="12.5" x14ac:dyDescent="0.25">
      <c r="A85" s="2"/>
      <c r="B85" s="2"/>
      <c r="C85" s="2"/>
      <c r="D85" s="236"/>
      <c r="E85" s="236"/>
      <c r="F85" s="236"/>
      <c r="G85" s="236"/>
    </row>
    <row r="86" spans="1:7" ht="12.5" x14ac:dyDescent="0.25">
      <c r="A86" s="2"/>
      <c r="B86" s="2"/>
      <c r="C86" s="2"/>
      <c r="D86" s="236"/>
      <c r="E86" s="236"/>
      <c r="F86" s="236"/>
      <c r="G86" s="236"/>
    </row>
    <row r="87" spans="1:7" ht="12.5" x14ac:dyDescent="0.25">
      <c r="A87" s="2"/>
      <c r="B87" s="2"/>
      <c r="C87" s="2"/>
      <c r="D87" s="236"/>
      <c r="E87" s="236"/>
      <c r="F87" s="236"/>
      <c r="G87" s="236"/>
    </row>
    <row r="88" spans="1:7" ht="12.5" x14ac:dyDescent="0.25">
      <c r="A88" s="2"/>
      <c r="B88" s="2"/>
      <c r="C88" s="2"/>
      <c r="D88" s="236"/>
      <c r="E88" s="236"/>
      <c r="F88" s="236"/>
      <c r="G88" s="236"/>
    </row>
    <row r="89" spans="1:7" ht="12.5" x14ac:dyDescent="0.25">
      <c r="A89" s="2"/>
      <c r="B89" s="2"/>
      <c r="C89" s="2"/>
      <c r="D89" s="236"/>
      <c r="E89" s="236"/>
      <c r="F89" s="236"/>
      <c r="G89" s="236"/>
    </row>
    <row r="90" spans="1:7" ht="12.5" x14ac:dyDescent="0.25">
      <c r="A90" s="2"/>
      <c r="B90" s="2"/>
      <c r="C90" s="2"/>
      <c r="D90" s="236"/>
      <c r="E90" s="236"/>
      <c r="F90" s="236"/>
      <c r="G90" s="236"/>
    </row>
    <row r="91" spans="1:7" ht="12.5" x14ac:dyDescent="0.25">
      <c r="A91" s="2"/>
      <c r="B91" s="2"/>
      <c r="C91" s="2"/>
      <c r="D91" s="236"/>
      <c r="E91" s="236"/>
      <c r="F91" s="236"/>
      <c r="G91" s="236"/>
    </row>
    <row r="92" spans="1:7" ht="12.5" x14ac:dyDescent="0.25">
      <c r="A92" s="2"/>
      <c r="B92" s="2"/>
      <c r="C92" s="2"/>
      <c r="D92" s="236"/>
      <c r="E92" s="236"/>
      <c r="F92" s="236"/>
      <c r="G92" s="236"/>
    </row>
    <row r="93" spans="1:7" ht="12.5" x14ac:dyDescent="0.25">
      <c r="A93" s="2"/>
      <c r="B93" s="2"/>
      <c r="C93" s="2"/>
      <c r="D93" s="236"/>
      <c r="E93" s="236"/>
      <c r="F93" s="236"/>
      <c r="G93" s="236"/>
    </row>
    <row r="94" spans="1:7" ht="12.5" x14ac:dyDescent="0.25">
      <c r="A94" s="2"/>
      <c r="B94" s="2"/>
      <c r="C94" s="2"/>
      <c r="D94" s="236"/>
      <c r="E94" s="236"/>
      <c r="F94" s="236"/>
      <c r="G94" s="236"/>
    </row>
    <row r="95" spans="1:7" ht="12.5" x14ac:dyDescent="0.25">
      <c r="A95" s="2"/>
      <c r="B95" s="2"/>
      <c r="C95" s="2"/>
      <c r="D95" s="236"/>
      <c r="E95" s="236"/>
      <c r="F95" s="236"/>
      <c r="G95" s="236"/>
    </row>
    <row r="96" spans="1:7" ht="12.5" x14ac:dyDescent="0.25">
      <c r="A96" s="2"/>
      <c r="B96" s="2"/>
      <c r="C96" s="2"/>
      <c r="D96" s="236"/>
      <c r="E96" s="236"/>
      <c r="F96" s="236"/>
      <c r="G96" s="236"/>
    </row>
    <row r="97" spans="1:7" ht="12.5" x14ac:dyDescent="0.25">
      <c r="A97" s="2"/>
      <c r="B97" s="2"/>
      <c r="C97" s="2"/>
      <c r="D97" s="236"/>
      <c r="E97" s="236"/>
      <c r="F97" s="236"/>
      <c r="G97" s="236"/>
    </row>
    <row r="98" spans="1:7" ht="12.5" x14ac:dyDescent="0.25">
      <c r="A98" s="2"/>
      <c r="B98" s="2"/>
      <c r="C98" s="2"/>
      <c r="D98" s="236"/>
      <c r="E98" s="236"/>
      <c r="F98" s="236"/>
      <c r="G98" s="236"/>
    </row>
    <row r="99" spans="1:7" ht="12.5" x14ac:dyDescent="0.25">
      <c r="A99" s="2"/>
      <c r="B99" s="2"/>
      <c r="C99" s="2"/>
      <c r="D99" s="236"/>
      <c r="E99" s="236"/>
      <c r="F99" s="236"/>
      <c r="G99" s="236"/>
    </row>
    <row r="100" spans="1:7" ht="12.5" x14ac:dyDescent="0.25">
      <c r="A100" s="2"/>
      <c r="B100" s="2"/>
      <c r="C100" s="2"/>
      <c r="D100" s="236"/>
      <c r="E100" s="236"/>
      <c r="F100" s="236"/>
      <c r="G100" s="236"/>
    </row>
    <row r="101" spans="1:7" ht="12.5" x14ac:dyDescent="0.25">
      <c r="A101" s="2"/>
      <c r="B101" s="2"/>
      <c r="C101" s="2"/>
      <c r="D101" s="236"/>
      <c r="E101" s="236"/>
      <c r="F101" s="236"/>
      <c r="G101" s="236"/>
    </row>
    <row r="102" spans="1:7" ht="12.5" x14ac:dyDescent="0.25">
      <c r="A102" s="2"/>
      <c r="B102" s="2"/>
      <c r="C102" s="2"/>
      <c r="D102" s="236"/>
      <c r="E102" s="236"/>
      <c r="F102" s="236"/>
      <c r="G102" s="236"/>
    </row>
    <row r="103" spans="1:7" ht="12.5" x14ac:dyDescent="0.25">
      <c r="A103" s="2"/>
      <c r="B103" s="2"/>
      <c r="C103" s="2"/>
      <c r="D103" s="236"/>
      <c r="E103" s="236"/>
      <c r="F103" s="236"/>
      <c r="G103" s="236"/>
    </row>
    <row r="104" spans="1:7" ht="12.5" x14ac:dyDescent="0.25">
      <c r="A104" s="2"/>
      <c r="B104" s="2"/>
      <c r="C104" s="2"/>
      <c r="D104" s="236"/>
      <c r="E104" s="236"/>
      <c r="F104" s="236"/>
      <c r="G104" s="236"/>
    </row>
    <row r="105" spans="1:7" ht="12.5" x14ac:dyDescent="0.25">
      <c r="A105" s="2"/>
      <c r="B105" s="2"/>
      <c r="C105" s="2"/>
      <c r="D105" s="236"/>
      <c r="E105" s="236"/>
      <c r="F105" s="236"/>
      <c r="G105" s="236"/>
    </row>
    <row r="106" spans="1:7" ht="12.5" x14ac:dyDescent="0.25">
      <c r="A106" s="2"/>
      <c r="B106" s="2"/>
      <c r="C106" s="2"/>
      <c r="D106" s="236"/>
      <c r="E106" s="236"/>
      <c r="F106" s="236"/>
      <c r="G106" s="236"/>
    </row>
    <row r="107" spans="1:7" ht="12.5" x14ac:dyDescent="0.25">
      <c r="A107" s="2"/>
      <c r="B107" s="2"/>
      <c r="C107" s="2"/>
      <c r="D107" s="236"/>
      <c r="E107" s="236"/>
      <c r="F107" s="236"/>
      <c r="G107" s="236"/>
    </row>
    <row r="108" spans="1:7" ht="12.5" x14ac:dyDescent="0.25">
      <c r="A108" s="2"/>
      <c r="B108" s="2"/>
      <c r="C108" s="2"/>
      <c r="D108" s="236"/>
      <c r="E108" s="236"/>
      <c r="F108" s="236"/>
      <c r="G108" s="236"/>
    </row>
    <row r="109" spans="1:7" ht="12.5" x14ac:dyDescent="0.25">
      <c r="A109" s="2"/>
      <c r="B109" s="2"/>
      <c r="C109" s="2"/>
      <c r="D109" s="236"/>
      <c r="E109" s="236"/>
      <c r="F109" s="236"/>
      <c r="G109" s="236"/>
    </row>
    <row r="110" spans="1:7" ht="12.5" x14ac:dyDescent="0.25">
      <c r="A110" s="2"/>
      <c r="B110" s="2"/>
      <c r="C110" s="2"/>
      <c r="D110" s="236"/>
      <c r="E110" s="236"/>
      <c r="F110" s="236"/>
      <c r="G110" s="236"/>
    </row>
    <row r="111" spans="1:7" ht="12.5" x14ac:dyDescent="0.25">
      <c r="A111" s="2"/>
      <c r="B111" s="2"/>
      <c r="C111" s="2"/>
      <c r="D111" s="236"/>
      <c r="E111" s="236"/>
      <c r="F111" s="236"/>
      <c r="G111" s="236"/>
    </row>
    <row r="112" spans="1:7" ht="12.5" x14ac:dyDescent="0.25">
      <c r="A112" s="2"/>
      <c r="B112" s="2"/>
      <c r="C112" s="2"/>
      <c r="D112" s="236"/>
      <c r="E112" s="236"/>
      <c r="F112" s="236"/>
      <c r="G112" s="236"/>
    </row>
    <row r="113" spans="1:7" ht="12.5" x14ac:dyDescent="0.25">
      <c r="A113" s="2"/>
      <c r="B113" s="2"/>
      <c r="C113" s="2"/>
      <c r="D113" s="236"/>
      <c r="E113" s="236"/>
      <c r="F113" s="236"/>
      <c r="G113" s="236"/>
    </row>
    <row r="114" spans="1:7" ht="12.5" x14ac:dyDescent="0.25">
      <c r="A114" s="2"/>
      <c r="B114" s="2"/>
      <c r="C114" s="2"/>
      <c r="D114" s="236"/>
      <c r="E114" s="236"/>
      <c r="F114" s="236"/>
      <c r="G114" s="236"/>
    </row>
    <row r="115" spans="1:7" ht="12.5" x14ac:dyDescent="0.25">
      <c r="A115" s="2"/>
      <c r="B115" s="2"/>
      <c r="C115" s="2"/>
      <c r="D115" s="236"/>
      <c r="E115" s="236"/>
      <c r="F115" s="236"/>
      <c r="G115" s="236"/>
    </row>
    <row r="116" spans="1:7" ht="12.5" x14ac:dyDescent="0.25">
      <c r="A116" s="2"/>
      <c r="B116" s="2"/>
      <c r="C116" s="2"/>
      <c r="D116" s="236"/>
      <c r="E116" s="236"/>
      <c r="F116" s="236"/>
      <c r="G116" s="236"/>
    </row>
    <row r="117" spans="1:7" ht="12.5" x14ac:dyDescent="0.25">
      <c r="A117" s="2"/>
      <c r="B117" s="2"/>
      <c r="C117" s="2"/>
      <c r="D117" s="236"/>
      <c r="E117" s="236"/>
      <c r="F117" s="236"/>
      <c r="G117" s="236"/>
    </row>
    <row r="118" spans="1:7" ht="12.5" x14ac:dyDescent="0.25">
      <c r="A118" s="2"/>
      <c r="B118" s="2"/>
      <c r="C118" s="2"/>
      <c r="D118" s="236"/>
      <c r="E118" s="236"/>
      <c r="F118" s="236"/>
      <c r="G118" s="236"/>
    </row>
    <row r="119" spans="1:7" ht="12.5" x14ac:dyDescent="0.25">
      <c r="A119" s="2"/>
      <c r="B119" s="2"/>
      <c r="C119" s="2"/>
      <c r="D119" s="236"/>
      <c r="E119" s="236"/>
      <c r="F119" s="236"/>
      <c r="G119" s="236"/>
    </row>
    <row r="120" spans="1:7" ht="12.5" x14ac:dyDescent="0.25">
      <c r="A120" s="2"/>
      <c r="B120" s="2"/>
      <c r="C120" s="2"/>
      <c r="D120" s="236"/>
      <c r="E120" s="236"/>
      <c r="F120" s="236"/>
      <c r="G120" s="236"/>
    </row>
    <row r="121" spans="1:7" ht="12.5" x14ac:dyDescent="0.25">
      <c r="A121" s="2"/>
      <c r="B121" s="2"/>
      <c r="C121" s="2"/>
      <c r="D121" s="236"/>
      <c r="E121" s="236"/>
      <c r="F121" s="236"/>
      <c r="G121" s="236"/>
    </row>
    <row r="122" spans="1:7" ht="12.5" x14ac:dyDescent="0.25">
      <c r="A122" s="2"/>
      <c r="B122" s="2"/>
      <c r="C122" s="2"/>
      <c r="D122" s="236"/>
      <c r="E122" s="236"/>
      <c r="F122" s="236"/>
      <c r="G122" s="236"/>
    </row>
    <row r="123" spans="1:7" ht="12.5" x14ac:dyDescent="0.25">
      <c r="A123" s="2"/>
      <c r="B123" s="2"/>
      <c r="C123" s="2"/>
      <c r="D123" s="236"/>
      <c r="E123" s="236"/>
      <c r="F123" s="236"/>
      <c r="G123" s="236"/>
    </row>
    <row r="124" spans="1:7" ht="12.5" x14ac:dyDescent="0.25">
      <c r="A124" s="2"/>
      <c r="B124" s="2"/>
      <c r="C124" s="2"/>
      <c r="D124" s="236"/>
      <c r="E124" s="236"/>
      <c r="F124" s="236"/>
      <c r="G124" s="236"/>
    </row>
    <row r="125" spans="1:7" ht="12.5" x14ac:dyDescent="0.25">
      <c r="A125" s="2"/>
      <c r="B125" s="2"/>
      <c r="C125" s="2"/>
      <c r="D125" s="236"/>
      <c r="E125" s="236"/>
      <c r="F125" s="236"/>
      <c r="G125" s="236"/>
    </row>
    <row r="126" spans="1:7" ht="12.5" x14ac:dyDescent="0.25">
      <c r="A126" s="2"/>
      <c r="B126" s="2"/>
      <c r="C126" s="2"/>
      <c r="D126" s="236"/>
      <c r="E126" s="236"/>
      <c r="F126" s="236"/>
      <c r="G126" s="236"/>
    </row>
    <row r="127" spans="1:7" ht="12.5" x14ac:dyDescent="0.25">
      <c r="A127" s="2"/>
      <c r="B127" s="2"/>
      <c r="C127" s="2"/>
      <c r="D127" s="236"/>
      <c r="E127" s="236"/>
      <c r="F127" s="236"/>
      <c r="G127" s="236"/>
    </row>
    <row r="128" spans="1:7" ht="12.5" x14ac:dyDescent="0.25">
      <c r="A128" s="2"/>
      <c r="B128" s="2"/>
      <c r="C128" s="2"/>
      <c r="D128" s="236"/>
      <c r="E128" s="236"/>
      <c r="F128" s="236"/>
      <c r="G128" s="236"/>
    </row>
    <row r="129" spans="1:7" ht="12.5" x14ac:dyDescent="0.25">
      <c r="A129" s="2"/>
      <c r="B129" s="2"/>
      <c r="C129" s="2"/>
      <c r="D129" s="236"/>
      <c r="E129" s="236"/>
      <c r="F129" s="236"/>
      <c r="G129" s="236"/>
    </row>
    <row r="130" spans="1:7" ht="12.5" x14ac:dyDescent="0.25">
      <c r="A130" s="2"/>
      <c r="B130" s="2"/>
      <c r="C130" s="2"/>
      <c r="D130" s="236"/>
      <c r="E130" s="236"/>
      <c r="F130" s="236"/>
      <c r="G130" s="236"/>
    </row>
    <row r="131" spans="1:7" ht="12.5" x14ac:dyDescent="0.25">
      <c r="A131" s="2"/>
      <c r="B131" s="2"/>
      <c r="C131" s="2"/>
      <c r="D131" s="236"/>
      <c r="E131" s="236"/>
      <c r="F131" s="236"/>
      <c r="G131" s="236"/>
    </row>
    <row r="132" spans="1:7" ht="12.5" x14ac:dyDescent="0.25">
      <c r="A132" s="2"/>
      <c r="B132" s="2"/>
      <c r="C132" s="2"/>
      <c r="D132" s="236"/>
      <c r="E132" s="236"/>
      <c r="F132" s="236"/>
      <c r="G132" s="236"/>
    </row>
    <row r="133" spans="1:7" ht="12.5" x14ac:dyDescent="0.25">
      <c r="A133" s="2"/>
      <c r="B133" s="2"/>
      <c r="C133" s="2"/>
      <c r="D133" s="236"/>
      <c r="E133" s="236"/>
      <c r="F133" s="236"/>
      <c r="G133" s="236"/>
    </row>
    <row r="134" spans="1:7" ht="12.5" x14ac:dyDescent="0.25">
      <c r="A134" s="2"/>
      <c r="B134" s="2"/>
      <c r="C134" s="2"/>
      <c r="D134" s="236"/>
      <c r="E134" s="236"/>
      <c r="F134" s="236"/>
      <c r="G134" s="236"/>
    </row>
    <row r="135" spans="1:7" ht="12.5" x14ac:dyDescent="0.25">
      <c r="A135" s="2"/>
      <c r="B135" s="2"/>
      <c r="C135" s="2"/>
      <c r="D135" s="236"/>
      <c r="E135" s="236"/>
      <c r="F135" s="236"/>
      <c r="G135" s="236"/>
    </row>
    <row r="136" spans="1:7" ht="12.5" x14ac:dyDescent="0.25">
      <c r="A136" s="2"/>
      <c r="B136" s="2"/>
      <c r="C136" s="2"/>
      <c r="D136" s="236"/>
      <c r="E136" s="236"/>
      <c r="F136" s="236"/>
      <c r="G136" s="236"/>
    </row>
    <row r="137" spans="1:7" ht="12.5" x14ac:dyDescent="0.25">
      <c r="A137" s="2"/>
      <c r="B137" s="2"/>
      <c r="C137" s="2"/>
      <c r="D137" s="236"/>
      <c r="E137" s="236"/>
      <c r="F137" s="236"/>
      <c r="G137" s="236"/>
    </row>
    <row r="138" spans="1:7" ht="12.5" x14ac:dyDescent="0.25">
      <c r="A138" s="2"/>
      <c r="B138" s="2"/>
      <c r="C138" s="2"/>
      <c r="D138" s="236"/>
      <c r="E138" s="236"/>
      <c r="F138" s="236"/>
      <c r="G138" s="236"/>
    </row>
    <row r="139" spans="1:7" ht="12.5" x14ac:dyDescent="0.25">
      <c r="A139" s="2"/>
      <c r="B139" s="2"/>
      <c r="C139" s="2"/>
      <c r="D139" s="236"/>
      <c r="E139" s="236"/>
      <c r="F139" s="236"/>
      <c r="G139" s="236"/>
    </row>
    <row r="140" spans="1:7" ht="12.5" x14ac:dyDescent="0.25">
      <c r="A140" s="2"/>
      <c r="B140" s="2"/>
      <c r="C140" s="2"/>
      <c r="D140" s="236"/>
      <c r="E140" s="236"/>
      <c r="F140" s="236"/>
      <c r="G140" s="236"/>
    </row>
    <row r="141" spans="1:7" ht="12.5" x14ac:dyDescent="0.25">
      <c r="A141" s="2"/>
      <c r="B141" s="2"/>
      <c r="C141" s="2"/>
      <c r="D141" s="236"/>
      <c r="E141" s="236"/>
      <c r="F141" s="236"/>
      <c r="G141" s="236"/>
    </row>
    <row r="142" spans="1:7" ht="12.5" x14ac:dyDescent="0.25">
      <c r="A142" s="2"/>
      <c r="B142" s="2"/>
      <c r="C142" s="2"/>
      <c r="D142" s="236"/>
      <c r="E142" s="236"/>
      <c r="F142" s="236"/>
      <c r="G142" s="236"/>
    </row>
    <row r="143" spans="1:7" ht="12.5" x14ac:dyDescent="0.25">
      <c r="A143" s="2"/>
      <c r="B143" s="2"/>
      <c r="C143" s="2"/>
      <c r="D143" s="236"/>
      <c r="E143" s="236"/>
      <c r="F143" s="236"/>
      <c r="G143" s="236"/>
    </row>
    <row r="144" spans="1:7" ht="12.5" x14ac:dyDescent="0.25">
      <c r="A144" s="2"/>
      <c r="B144" s="2"/>
      <c r="C144" s="2"/>
      <c r="D144" s="236"/>
      <c r="E144" s="236"/>
      <c r="F144" s="236"/>
      <c r="G144" s="236"/>
    </row>
    <row r="145" spans="1:7" ht="12.5" x14ac:dyDescent="0.25">
      <c r="A145" s="2"/>
      <c r="B145" s="2"/>
      <c r="C145" s="2"/>
      <c r="D145" s="236"/>
      <c r="E145" s="236"/>
      <c r="F145" s="236"/>
      <c r="G145" s="236"/>
    </row>
    <row r="146" spans="1:7" ht="12.5" x14ac:dyDescent="0.25">
      <c r="A146" s="2"/>
      <c r="B146" s="2"/>
      <c r="C146" s="2"/>
      <c r="D146" s="236"/>
      <c r="E146" s="236"/>
      <c r="F146" s="236"/>
      <c r="G146" s="236"/>
    </row>
    <row r="147" spans="1:7" ht="12.5" x14ac:dyDescent="0.25">
      <c r="A147" s="2"/>
      <c r="B147" s="2"/>
      <c r="C147" s="2"/>
      <c r="D147" s="236"/>
      <c r="E147" s="236"/>
      <c r="F147" s="236"/>
      <c r="G147" s="236"/>
    </row>
    <row r="148" spans="1:7" ht="12.5" x14ac:dyDescent="0.25">
      <c r="A148" s="2"/>
      <c r="B148" s="2"/>
      <c r="C148" s="2"/>
      <c r="D148" s="236"/>
      <c r="E148" s="236"/>
      <c r="F148" s="236"/>
      <c r="G148" s="236"/>
    </row>
    <row r="149" spans="1:7" ht="12.5" x14ac:dyDescent="0.25">
      <c r="A149" s="2"/>
      <c r="B149" s="2"/>
      <c r="C149" s="2"/>
      <c r="D149" s="236"/>
      <c r="E149" s="236"/>
      <c r="F149" s="236"/>
      <c r="G149" s="236"/>
    </row>
    <row r="150" spans="1:7" ht="12.5" x14ac:dyDescent="0.25">
      <c r="A150" s="2"/>
      <c r="B150" s="2"/>
      <c r="C150" s="2"/>
      <c r="D150" s="236"/>
      <c r="E150" s="236"/>
      <c r="F150" s="236"/>
      <c r="G150" s="236"/>
    </row>
    <row r="151" spans="1:7" ht="12.5" x14ac:dyDescent="0.25">
      <c r="A151" s="2"/>
      <c r="B151" s="2"/>
      <c r="C151" s="2"/>
      <c r="D151" s="236"/>
      <c r="E151" s="236"/>
      <c r="F151" s="236"/>
      <c r="G151" s="236"/>
    </row>
    <row r="152" spans="1:7" ht="12.5" x14ac:dyDescent="0.25">
      <c r="A152" s="2"/>
      <c r="B152" s="2"/>
      <c r="C152" s="2"/>
      <c r="D152" s="236"/>
      <c r="E152" s="236"/>
      <c r="F152" s="236"/>
      <c r="G152" s="236"/>
    </row>
    <row r="153" spans="1:7" ht="12.5" x14ac:dyDescent="0.25">
      <c r="A153" s="2"/>
      <c r="B153" s="2"/>
      <c r="C153" s="2"/>
      <c r="D153" s="236"/>
      <c r="E153" s="236"/>
      <c r="F153" s="236"/>
      <c r="G153" s="236"/>
    </row>
    <row r="154" spans="1:7" ht="12.5" x14ac:dyDescent="0.25">
      <c r="A154" s="2"/>
      <c r="B154" s="2"/>
      <c r="C154" s="2"/>
      <c r="D154" s="236"/>
      <c r="E154" s="236"/>
      <c r="F154" s="236"/>
      <c r="G154" s="236"/>
    </row>
    <row r="155" spans="1:7" ht="12.5" x14ac:dyDescent="0.25">
      <c r="A155" s="2"/>
      <c r="B155" s="2"/>
      <c r="C155" s="2"/>
      <c r="D155" s="236"/>
      <c r="E155" s="236"/>
      <c r="F155" s="236"/>
      <c r="G155" s="236"/>
    </row>
    <row r="156" spans="1:7" ht="12.5" x14ac:dyDescent="0.25">
      <c r="A156" s="2"/>
      <c r="B156" s="2"/>
      <c r="C156" s="2"/>
      <c r="D156" s="236"/>
      <c r="E156" s="236"/>
      <c r="F156" s="236"/>
      <c r="G156" s="236"/>
    </row>
    <row r="157" spans="1:7" ht="12.5" x14ac:dyDescent="0.25">
      <c r="A157" s="2"/>
      <c r="B157" s="2"/>
      <c r="C157" s="2"/>
      <c r="D157" s="236"/>
      <c r="E157" s="236"/>
      <c r="F157" s="236"/>
      <c r="G157" s="236"/>
    </row>
    <row r="158" spans="1:7" ht="12.5" x14ac:dyDescent="0.25">
      <c r="A158" s="2"/>
      <c r="B158" s="2"/>
      <c r="C158" s="2"/>
      <c r="D158" s="236"/>
      <c r="E158" s="236"/>
      <c r="F158" s="236"/>
      <c r="G158" s="236"/>
    </row>
    <row r="159" spans="1:7" ht="12.5" x14ac:dyDescent="0.25">
      <c r="A159" s="2"/>
      <c r="B159" s="2"/>
      <c r="C159" s="2"/>
      <c r="D159" s="236"/>
      <c r="E159" s="236"/>
      <c r="F159" s="236"/>
      <c r="G159" s="236"/>
    </row>
    <row r="160" spans="1:7" ht="12.5" x14ac:dyDescent="0.25">
      <c r="A160" s="2"/>
      <c r="B160" s="2"/>
      <c r="C160" s="2"/>
      <c r="D160" s="236"/>
      <c r="E160" s="236"/>
      <c r="F160" s="236"/>
      <c r="G160" s="236"/>
    </row>
    <row r="161" spans="1:7" ht="12.5" x14ac:dyDescent="0.25">
      <c r="A161" s="2"/>
      <c r="B161" s="2"/>
      <c r="C161" s="2"/>
      <c r="D161" s="236"/>
      <c r="E161" s="236"/>
      <c r="F161" s="236"/>
      <c r="G161" s="236"/>
    </row>
    <row r="162" spans="1:7" ht="12.5" x14ac:dyDescent="0.25">
      <c r="A162" s="2"/>
      <c r="B162" s="2"/>
      <c r="C162" s="2"/>
      <c r="D162" s="236"/>
      <c r="E162" s="236"/>
      <c r="F162" s="236"/>
      <c r="G162" s="236"/>
    </row>
    <row r="163" spans="1:7" ht="12.5" x14ac:dyDescent="0.25">
      <c r="A163" s="2"/>
      <c r="B163" s="2"/>
      <c r="C163" s="2"/>
      <c r="D163" s="236"/>
      <c r="E163" s="236"/>
      <c r="F163" s="236"/>
      <c r="G163" s="236"/>
    </row>
    <row r="164" spans="1:7" ht="12.5" x14ac:dyDescent="0.25">
      <c r="A164" s="2"/>
      <c r="B164" s="2"/>
      <c r="C164" s="2"/>
      <c r="D164" s="236"/>
      <c r="E164" s="236"/>
      <c r="F164" s="236"/>
      <c r="G164" s="236"/>
    </row>
    <row r="165" spans="1:7" ht="12.5" x14ac:dyDescent="0.25">
      <c r="A165" s="2"/>
      <c r="B165" s="2"/>
      <c r="C165" s="2"/>
      <c r="D165" s="236"/>
      <c r="E165" s="236"/>
      <c r="F165" s="236"/>
      <c r="G165" s="236"/>
    </row>
    <row r="166" spans="1:7" ht="12.5" x14ac:dyDescent="0.25">
      <c r="A166" s="2"/>
      <c r="B166" s="2"/>
      <c r="C166" s="2"/>
      <c r="D166" s="236"/>
      <c r="E166" s="236"/>
      <c r="F166" s="236"/>
      <c r="G166" s="236"/>
    </row>
    <row r="167" spans="1:7" ht="12.5" x14ac:dyDescent="0.25">
      <c r="A167" s="2"/>
      <c r="B167" s="2"/>
      <c r="C167" s="2"/>
      <c r="D167" s="236"/>
      <c r="E167" s="236"/>
      <c r="F167" s="236"/>
      <c r="G167" s="236"/>
    </row>
    <row r="168" spans="1:7" ht="12.5" x14ac:dyDescent="0.25">
      <c r="A168" s="2"/>
      <c r="B168" s="2"/>
      <c r="C168" s="2"/>
      <c r="D168" s="236"/>
      <c r="E168" s="236"/>
      <c r="F168" s="236"/>
      <c r="G168" s="236"/>
    </row>
    <row r="169" spans="1:7" ht="12.5" x14ac:dyDescent="0.25">
      <c r="A169" s="2"/>
      <c r="B169" s="2"/>
      <c r="C169" s="2"/>
      <c r="D169" s="236"/>
      <c r="E169" s="236"/>
      <c r="F169" s="236"/>
      <c r="G169" s="236"/>
    </row>
    <row r="170" spans="1:7" ht="12.5" x14ac:dyDescent="0.25">
      <c r="A170" s="2"/>
      <c r="B170" s="2"/>
      <c r="C170" s="2"/>
      <c r="D170" s="236"/>
      <c r="E170" s="236"/>
      <c r="F170" s="236"/>
      <c r="G170" s="236"/>
    </row>
    <row r="171" spans="1:7" ht="12.5" x14ac:dyDescent="0.25">
      <c r="A171" s="2"/>
      <c r="B171" s="2"/>
      <c r="C171" s="2"/>
      <c r="D171" s="236"/>
      <c r="E171" s="236"/>
      <c r="F171" s="236"/>
      <c r="G171" s="236"/>
    </row>
    <row r="172" spans="1:7" ht="12.5" x14ac:dyDescent="0.25">
      <c r="A172" s="2"/>
      <c r="B172" s="2"/>
      <c r="C172" s="2"/>
      <c r="D172" s="236"/>
      <c r="E172" s="236"/>
      <c r="F172" s="236"/>
      <c r="G172" s="236"/>
    </row>
    <row r="173" spans="1:7" ht="12.5" x14ac:dyDescent="0.25">
      <c r="A173" s="2"/>
      <c r="B173" s="2"/>
      <c r="C173" s="2"/>
      <c r="D173" s="236"/>
      <c r="E173" s="236"/>
      <c r="F173" s="236"/>
      <c r="G173" s="236"/>
    </row>
    <row r="174" spans="1:7" ht="12.5" x14ac:dyDescent="0.25">
      <c r="A174" s="2"/>
      <c r="B174" s="2"/>
      <c r="C174" s="2"/>
      <c r="D174" s="236"/>
      <c r="E174" s="236"/>
      <c r="F174" s="236"/>
      <c r="G174" s="236"/>
    </row>
    <row r="175" spans="1:7" ht="12.5" x14ac:dyDescent="0.25">
      <c r="A175" s="2"/>
      <c r="B175" s="2"/>
      <c r="C175" s="2"/>
      <c r="D175" s="236"/>
      <c r="E175" s="236"/>
      <c r="F175" s="236"/>
      <c r="G175" s="236"/>
    </row>
    <row r="176" spans="1:7" ht="12.5" x14ac:dyDescent="0.25">
      <c r="A176" s="2"/>
      <c r="B176" s="2"/>
      <c r="C176" s="2"/>
      <c r="D176" s="236"/>
      <c r="E176" s="236"/>
      <c r="F176" s="236"/>
      <c r="G176" s="236"/>
    </row>
    <row r="177" spans="1:7" ht="12.5" x14ac:dyDescent="0.25">
      <c r="A177" s="2"/>
      <c r="B177" s="2"/>
      <c r="C177" s="2"/>
      <c r="D177" s="236"/>
      <c r="E177" s="236"/>
      <c r="F177" s="236"/>
      <c r="G177" s="236"/>
    </row>
    <row r="178" spans="1:7" ht="12.5" x14ac:dyDescent="0.25">
      <c r="A178" s="2"/>
      <c r="B178" s="2"/>
      <c r="C178" s="2"/>
      <c r="D178" s="236"/>
      <c r="E178" s="236"/>
      <c r="F178" s="236"/>
      <c r="G178" s="236"/>
    </row>
    <row r="179" spans="1:7" ht="12.5" x14ac:dyDescent="0.25">
      <c r="A179" s="2"/>
      <c r="B179" s="2"/>
      <c r="C179" s="2"/>
      <c r="D179" s="236"/>
      <c r="E179" s="236"/>
      <c r="F179" s="236"/>
      <c r="G179" s="236"/>
    </row>
    <row r="180" spans="1:7" ht="12.5" x14ac:dyDescent="0.25">
      <c r="A180" s="2"/>
      <c r="B180" s="2"/>
      <c r="C180" s="2"/>
      <c r="D180" s="236"/>
      <c r="E180" s="236"/>
      <c r="F180" s="236"/>
      <c r="G180" s="236"/>
    </row>
    <row r="181" spans="1:7" ht="12.5" x14ac:dyDescent="0.25">
      <c r="A181" s="2"/>
      <c r="B181" s="2"/>
      <c r="C181" s="2"/>
      <c r="D181" s="236"/>
      <c r="E181" s="236"/>
      <c r="F181" s="236"/>
      <c r="G181" s="236"/>
    </row>
    <row r="182" spans="1:7" ht="12.5" x14ac:dyDescent="0.25">
      <c r="A182" s="2"/>
      <c r="B182" s="2"/>
      <c r="C182" s="2"/>
      <c r="D182" s="236"/>
      <c r="E182" s="236"/>
      <c r="F182" s="236"/>
      <c r="G182" s="236"/>
    </row>
    <row r="183" spans="1:7" ht="12.5" x14ac:dyDescent="0.25">
      <c r="A183" s="2"/>
      <c r="B183" s="2"/>
      <c r="C183" s="2"/>
      <c r="D183" s="236"/>
      <c r="E183" s="236"/>
      <c r="F183" s="236"/>
      <c r="G183" s="236"/>
    </row>
    <row r="184" spans="1:7" ht="12.5" x14ac:dyDescent="0.25">
      <c r="A184" s="2"/>
      <c r="B184" s="2"/>
      <c r="C184" s="2"/>
      <c r="D184" s="236"/>
      <c r="E184" s="236"/>
      <c r="F184" s="236"/>
      <c r="G184" s="236"/>
    </row>
    <row r="185" spans="1:7" ht="12.5" x14ac:dyDescent="0.25">
      <c r="A185" s="2"/>
      <c r="B185" s="2"/>
      <c r="C185" s="2"/>
      <c r="D185" s="236"/>
      <c r="E185" s="236"/>
      <c r="F185" s="236"/>
      <c r="G185" s="236"/>
    </row>
    <row r="186" spans="1:7" ht="12.5" x14ac:dyDescent="0.25">
      <c r="A186" s="2"/>
      <c r="B186" s="2"/>
      <c r="C186" s="2"/>
      <c r="D186" s="236"/>
      <c r="E186" s="236"/>
      <c r="F186" s="236"/>
      <c r="G186" s="236"/>
    </row>
    <row r="187" spans="1:7" ht="12.5" x14ac:dyDescent="0.25">
      <c r="A187" s="2"/>
      <c r="B187" s="2"/>
      <c r="C187" s="2"/>
      <c r="D187" s="236"/>
      <c r="E187" s="236"/>
      <c r="F187" s="236"/>
      <c r="G187" s="236"/>
    </row>
    <row r="188" spans="1:7" ht="12.5" x14ac:dyDescent="0.25">
      <c r="A188" s="2"/>
      <c r="B188" s="2"/>
      <c r="C188" s="2"/>
      <c r="D188" s="236"/>
      <c r="E188" s="236"/>
      <c r="F188" s="236"/>
      <c r="G188" s="236"/>
    </row>
    <row r="189" spans="1:7" ht="12.5" x14ac:dyDescent="0.25">
      <c r="A189" s="2"/>
      <c r="B189" s="2"/>
      <c r="C189" s="2"/>
      <c r="D189" s="236"/>
      <c r="E189" s="236"/>
      <c r="F189" s="236"/>
      <c r="G189" s="236"/>
    </row>
    <row r="190" spans="1:7" ht="12.5" x14ac:dyDescent="0.25">
      <c r="A190" s="2"/>
      <c r="B190" s="2"/>
      <c r="C190" s="2"/>
      <c r="D190" s="236"/>
      <c r="E190" s="236"/>
      <c r="F190" s="236"/>
      <c r="G190" s="236"/>
    </row>
    <row r="191" spans="1:7" ht="12.5" x14ac:dyDescent="0.25">
      <c r="A191" s="2"/>
      <c r="B191" s="2"/>
      <c r="C191" s="2"/>
      <c r="D191" s="236"/>
      <c r="E191" s="236"/>
      <c r="F191" s="236"/>
      <c r="G191" s="236"/>
    </row>
    <row r="192" spans="1:7" ht="12.5" x14ac:dyDescent="0.25">
      <c r="A192" s="2"/>
      <c r="B192" s="2"/>
      <c r="C192" s="2"/>
      <c r="D192" s="236"/>
      <c r="E192" s="236"/>
      <c r="F192" s="236"/>
      <c r="G192" s="236"/>
    </row>
    <row r="193" spans="1:7" ht="12.5" x14ac:dyDescent="0.25">
      <c r="A193" s="2"/>
      <c r="B193" s="2"/>
      <c r="C193" s="2"/>
      <c r="D193" s="236"/>
      <c r="E193" s="236"/>
      <c r="F193" s="236"/>
      <c r="G193" s="236"/>
    </row>
    <row r="194" spans="1:7" ht="12.5" x14ac:dyDescent="0.25">
      <c r="A194" s="2"/>
      <c r="B194" s="2"/>
      <c r="C194" s="2"/>
      <c r="D194" s="236"/>
      <c r="E194" s="236"/>
      <c r="F194" s="236"/>
      <c r="G194" s="236"/>
    </row>
    <row r="195" spans="1:7" ht="12.5" x14ac:dyDescent="0.25">
      <c r="A195" s="2"/>
      <c r="B195" s="2"/>
      <c r="C195" s="2"/>
      <c r="D195" s="236"/>
      <c r="E195" s="236"/>
      <c r="F195" s="236"/>
      <c r="G195" s="236"/>
    </row>
    <row r="196" spans="1:7" ht="12.5" x14ac:dyDescent="0.25">
      <c r="A196" s="2"/>
      <c r="B196" s="2"/>
      <c r="C196" s="2"/>
      <c r="D196" s="236"/>
      <c r="E196" s="236"/>
      <c r="F196" s="236"/>
      <c r="G196" s="236"/>
    </row>
    <row r="197" spans="1:7" ht="12.5" x14ac:dyDescent="0.25">
      <c r="A197" s="2"/>
      <c r="B197" s="2"/>
      <c r="C197" s="2"/>
      <c r="D197" s="236"/>
      <c r="E197" s="236"/>
      <c r="F197" s="236"/>
      <c r="G197" s="236"/>
    </row>
    <row r="198" spans="1:7" ht="12.5" x14ac:dyDescent="0.25">
      <c r="A198" s="2"/>
      <c r="B198" s="2"/>
      <c r="C198" s="2"/>
      <c r="D198" s="236"/>
      <c r="E198" s="236"/>
      <c r="F198" s="236"/>
      <c r="G198" s="236"/>
    </row>
    <row r="199" spans="1:7" ht="12.5" x14ac:dyDescent="0.25">
      <c r="A199" s="2"/>
      <c r="B199" s="2"/>
      <c r="C199" s="2"/>
      <c r="D199" s="236"/>
      <c r="E199" s="236"/>
      <c r="F199" s="236"/>
      <c r="G199" s="236"/>
    </row>
    <row r="200" spans="1:7" ht="12.5" x14ac:dyDescent="0.25">
      <c r="A200" s="2"/>
      <c r="B200" s="2"/>
      <c r="C200" s="2"/>
      <c r="D200" s="236"/>
      <c r="E200" s="236"/>
      <c r="F200" s="236"/>
      <c r="G200" s="236"/>
    </row>
    <row r="201" spans="1:7" ht="12.5" x14ac:dyDescent="0.25">
      <c r="A201" s="2"/>
      <c r="B201" s="2"/>
      <c r="C201" s="2"/>
      <c r="D201" s="236"/>
      <c r="E201" s="236"/>
      <c r="F201" s="236"/>
      <c r="G201" s="236"/>
    </row>
    <row r="202" spans="1:7" ht="12.5" x14ac:dyDescent="0.25">
      <c r="A202" s="2"/>
      <c r="B202" s="2"/>
      <c r="C202" s="2"/>
      <c r="D202" s="236"/>
      <c r="E202" s="236"/>
      <c r="F202" s="236"/>
      <c r="G202" s="236"/>
    </row>
    <row r="203" spans="1:7" ht="12.5" x14ac:dyDescent="0.25">
      <c r="A203" s="2"/>
      <c r="B203" s="2"/>
      <c r="C203" s="2"/>
      <c r="D203" s="236"/>
      <c r="E203" s="236"/>
      <c r="F203" s="236"/>
      <c r="G203" s="236"/>
    </row>
    <row r="204" spans="1:7" ht="12.5" x14ac:dyDescent="0.25">
      <c r="A204" s="2"/>
      <c r="B204" s="2"/>
      <c r="C204" s="2"/>
      <c r="D204" s="236"/>
      <c r="E204" s="236"/>
      <c r="F204" s="236"/>
      <c r="G204" s="236"/>
    </row>
    <row r="205" spans="1:7" ht="12.5" x14ac:dyDescent="0.25">
      <c r="A205" s="2"/>
      <c r="B205" s="2"/>
      <c r="C205" s="2"/>
      <c r="D205" s="236"/>
      <c r="E205" s="236"/>
      <c r="F205" s="236"/>
      <c r="G205" s="236"/>
    </row>
    <row r="206" spans="1:7" ht="12.5" x14ac:dyDescent="0.25">
      <c r="A206" s="2"/>
      <c r="B206" s="2"/>
      <c r="C206" s="2"/>
      <c r="D206" s="236"/>
      <c r="E206" s="236"/>
      <c r="F206" s="236"/>
      <c r="G206" s="236"/>
    </row>
    <row r="207" spans="1:7" ht="12.5" x14ac:dyDescent="0.25">
      <c r="A207" s="2"/>
      <c r="B207" s="2"/>
      <c r="C207" s="2"/>
      <c r="D207" s="236"/>
      <c r="E207" s="236"/>
      <c r="F207" s="236"/>
      <c r="G207" s="236"/>
    </row>
    <row r="208" spans="1:7" ht="12.5" x14ac:dyDescent="0.25">
      <c r="A208" s="2"/>
      <c r="B208" s="2"/>
      <c r="C208" s="2"/>
      <c r="D208" s="236"/>
      <c r="E208" s="236"/>
      <c r="F208" s="236"/>
      <c r="G208" s="236"/>
    </row>
    <row r="209" spans="1:7" ht="12.5" x14ac:dyDescent="0.25">
      <c r="A209" s="2"/>
      <c r="B209" s="2"/>
      <c r="C209" s="2"/>
      <c r="D209" s="236"/>
      <c r="E209" s="236"/>
      <c r="F209" s="236"/>
      <c r="G209" s="236"/>
    </row>
    <row r="210" spans="1:7" ht="12.5" x14ac:dyDescent="0.25">
      <c r="A210" s="2"/>
      <c r="B210" s="2"/>
      <c r="C210" s="2"/>
      <c r="D210" s="236"/>
      <c r="E210" s="236"/>
      <c r="F210" s="236"/>
      <c r="G210" s="236"/>
    </row>
    <row r="211" spans="1:7" ht="12.5" x14ac:dyDescent="0.25">
      <c r="A211" s="2"/>
      <c r="B211" s="2"/>
      <c r="C211" s="2"/>
      <c r="D211" s="236"/>
      <c r="E211" s="236"/>
      <c r="F211" s="236"/>
      <c r="G211" s="236"/>
    </row>
    <row r="212" spans="1:7" ht="12.5" x14ac:dyDescent="0.25">
      <c r="A212" s="2"/>
      <c r="B212" s="2"/>
      <c r="C212" s="2"/>
      <c r="D212" s="236"/>
      <c r="E212" s="236"/>
      <c r="F212" s="236"/>
      <c r="G212" s="236"/>
    </row>
    <row r="213" spans="1:7" ht="12.5" x14ac:dyDescent="0.25">
      <c r="A213" s="2"/>
      <c r="B213" s="2"/>
      <c r="C213" s="2"/>
      <c r="D213" s="236"/>
      <c r="E213" s="236"/>
      <c r="F213" s="236"/>
      <c r="G213" s="236"/>
    </row>
    <row r="214" spans="1:7" ht="12.5" x14ac:dyDescent="0.25">
      <c r="A214" s="2"/>
      <c r="B214" s="2"/>
      <c r="C214" s="2"/>
      <c r="D214" s="236"/>
      <c r="E214" s="236"/>
      <c r="F214" s="236"/>
      <c r="G214" s="236"/>
    </row>
    <row r="215" spans="1:7" ht="12.5" x14ac:dyDescent="0.25">
      <c r="A215" s="2"/>
      <c r="B215" s="2"/>
      <c r="C215" s="2"/>
      <c r="D215" s="236"/>
      <c r="E215" s="236"/>
      <c r="F215" s="236"/>
      <c r="G215" s="236"/>
    </row>
    <row r="216" spans="1:7" ht="12.5" x14ac:dyDescent="0.25">
      <c r="A216" s="2"/>
      <c r="B216" s="2"/>
      <c r="C216" s="2"/>
      <c r="D216" s="236"/>
      <c r="E216" s="236"/>
      <c r="F216" s="236"/>
      <c r="G216" s="236"/>
    </row>
    <row r="217" spans="1:7" ht="12.5" x14ac:dyDescent="0.25">
      <c r="A217" s="2"/>
      <c r="B217" s="2"/>
      <c r="C217" s="2"/>
      <c r="D217" s="236"/>
      <c r="E217" s="236"/>
      <c r="F217" s="236"/>
      <c r="G217" s="236"/>
    </row>
    <row r="218" spans="1:7" ht="12.5" x14ac:dyDescent="0.25">
      <c r="A218" s="2"/>
      <c r="B218" s="2"/>
      <c r="C218" s="2"/>
      <c r="D218" s="236"/>
      <c r="E218" s="236"/>
      <c r="F218" s="236"/>
      <c r="G218" s="236"/>
    </row>
    <row r="219" spans="1:7" ht="12.5" x14ac:dyDescent="0.25">
      <c r="A219" s="2"/>
      <c r="B219" s="2"/>
      <c r="C219" s="2"/>
      <c r="D219" s="236"/>
      <c r="E219" s="236"/>
      <c r="F219" s="236"/>
      <c r="G219" s="236"/>
    </row>
    <row r="220" spans="1:7" ht="12.5" x14ac:dyDescent="0.25">
      <c r="A220" s="2"/>
      <c r="B220" s="2"/>
      <c r="C220" s="2"/>
      <c r="D220" s="236"/>
      <c r="E220" s="236"/>
      <c r="F220" s="236"/>
      <c r="G220" s="236"/>
    </row>
    <row r="221" spans="1:7" ht="12.5" x14ac:dyDescent="0.25">
      <c r="A221" s="2"/>
      <c r="B221" s="2"/>
      <c r="C221" s="2"/>
      <c r="D221" s="236"/>
      <c r="E221" s="236"/>
      <c r="F221" s="236"/>
      <c r="G221" s="236"/>
    </row>
    <row r="222" spans="1:7" ht="12.5" x14ac:dyDescent="0.25">
      <c r="A222" s="2"/>
      <c r="B222" s="2"/>
      <c r="C222" s="2"/>
      <c r="D222" s="236"/>
      <c r="E222" s="236"/>
      <c r="F222" s="236"/>
      <c r="G222" s="236"/>
    </row>
    <row r="223" spans="1:7" ht="12.5" x14ac:dyDescent="0.25">
      <c r="A223" s="2"/>
      <c r="B223" s="2"/>
      <c r="C223" s="2"/>
      <c r="D223" s="236"/>
      <c r="E223" s="236"/>
      <c r="F223" s="236"/>
      <c r="G223" s="236"/>
    </row>
    <row r="224" spans="1:7" ht="12.5" x14ac:dyDescent="0.25">
      <c r="A224" s="2"/>
      <c r="B224" s="2"/>
      <c r="C224" s="2"/>
      <c r="D224" s="236"/>
      <c r="E224" s="236"/>
      <c r="F224" s="236"/>
      <c r="G224" s="236"/>
    </row>
    <row r="225" spans="1:7" ht="12.5" x14ac:dyDescent="0.25">
      <c r="A225" s="2"/>
      <c r="B225" s="2"/>
      <c r="C225" s="2"/>
      <c r="D225" s="236"/>
      <c r="E225" s="236"/>
      <c r="F225" s="236"/>
      <c r="G225" s="236"/>
    </row>
    <row r="226" spans="1:7" ht="12.5" x14ac:dyDescent="0.25">
      <c r="A226" s="2"/>
      <c r="B226" s="2"/>
      <c r="C226" s="2"/>
      <c r="D226" s="236"/>
      <c r="E226" s="236"/>
      <c r="F226" s="236"/>
      <c r="G226" s="236"/>
    </row>
    <row r="227" spans="1:7" ht="12.5" x14ac:dyDescent="0.25">
      <c r="A227" s="2"/>
      <c r="B227" s="2"/>
      <c r="C227" s="2"/>
      <c r="D227" s="236"/>
      <c r="E227" s="236"/>
      <c r="F227" s="236"/>
      <c r="G227" s="236"/>
    </row>
    <row r="228" spans="1:7" ht="12.5" x14ac:dyDescent="0.25">
      <c r="A228" s="2"/>
      <c r="B228" s="2"/>
      <c r="C228" s="2"/>
      <c r="D228" s="236"/>
      <c r="E228" s="236"/>
      <c r="F228" s="236"/>
      <c r="G228" s="236"/>
    </row>
    <row r="229" spans="1:7" ht="12.5" x14ac:dyDescent="0.25">
      <c r="A229" s="2"/>
      <c r="B229" s="2"/>
      <c r="C229" s="2"/>
      <c r="D229" s="236"/>
      <c r="E229" s="236"/>
      <c r="F229" s="236"/>
      <c r="G229" s="236"/>
    </row>
    <row r="230" spans="1:7" ht="12.5" x14ac:dyDescent="0.25">
      <c r="A230" s="2"/>
      <c r="B230" s="2"/>
      <c r="C230" s="2"/>
      <c r="D230" s="236"/>
      <c r="E230" s="236"/>
      <c r="F230" s="236"/>
      <c r="G230" s="236"/>
    </row>
    <row r="231" spans="1:7" ht="12.5" x14ac:dyDescent="0.25">
      <c r="A231" s="2"/>
      <c r="B231" s="2"/>
      <c r="C231" s="2"/>
      <c r="D231" s="236"/>
      <c r="E231" s="236"/>
      <c r="F231" s="236"/>
      <c r="G231" s="236"/>
    </row>
    <row r="232" spans="1:7" ht="12.5" x14ac:dyDescent="0.25">
      <c r="A232" s="2"/>
      <c r="B232" s="2"/>
      <c r="C232" s="2"/>
      <c r="D232" s="236"/>
      <c r="E232" s="236"/>
      <c r="F232" s="236"/>
      <c r="G232" s="236"/>
    </row>
    <row r="233" spans="1:7" ht="12.5" x14ac:dyDescent="0.25">
      <c r="A233" s="2"/>
      <c r="B233" s="2"/>
      <c r="C233" s="2"/>
      <c r="D233" s="236"/>
      <c r="E233" s="236"/>
      <c r="F233" s="236"/>
      <c r="G233" s="236"/>
    </row>
    <row r="234" spans="1:7" ht="12.5" x14ac:dyDescent="0.25">
      <c r="A234" s="2"/>
      <c r="B234" s="2"/>
      <c r="C234" s="2"/>
      <c r="D234" s="236"/>
      <c r="E234" s="236"/>
      <c r="F234" s="236"/>
      <c r="G234" s="236"/>
    </row>
    <row r="235" spans="1:7" ht="12.5" x14ac:dyDescent="0.25">
      <c r="A235" s="2"/>
      <c r="B235" s="2"/>
      <c r="C235" s="2"/>
      <c r="D235" s="236"/>
      <c r="E235" s="236"/>
      <c r="F235" s="236"/>
      <c r="G235" s="236"/>
    </row>
    <row r="236" spans="1:7" ht="12.5" x14ac:dyDescent="0.25">
      <c r="A236" s="2"/>
      <c r="B236" s="2"/>
      <c r="C236" s="2"/>
      <c r="D236" s="236"/>
      <c r="E236" s="236"/>
      <c r="F236" s="236"/>
      <c r="G236" s="236"/>
    </row>
    <row r="237" spans="1:7" ht="12.5" x14ac:dyDescent="0.25">
      <c r="A237" s="2"/>
      <c r="B237" s="2"/>
      <c r="C237" s="2"/>
      <c r="D237" s="236"/>
      <c r="E237" s="236"/>
      <c r="F237" s="236"/>
      <c r="G237" s="236"/>
    </row>
    <row r="238" spans="1:7" ht="12.5" x14ac:dyDescent="0.25">
      <c r="A238" s="2"/>
      <c r="B238" s="2"/>
      <c r="C238" s="2"/>
      <c r="D238" s="236"/>
      <c r="E238" s="236"/>
      <c r="F238" s="236"/>
      <c r="G238" s="236"/>
    </row>
    <row r="239" spans="1:7" ht="12.5" x14ac:dyDescent="0.25">
      <c r="A239" s="2"/>
      <c r="B239" s="2"/>
      <c r="C239" s="2"/>
      <c r="D239" s="236"/>
      <c r="E239" s="236"/>
      <c r="F239" s="236"/>
      <c r="G239" s="236"/>
    </row>
    <row r="240" spans="1:7" ht="12.5" x14ac:dyDescent="0.25">
      <c r="A240" s="2"/>
      <c r="B240" s="2"/>
      <c r="C240" s="2"/>
      <c r="D240" s="236"/>
      <c r="E240" s="236"/>
      <c r="F240" s="236"/>
      <c r="G240" s="236"/>
    </row>
    <row r="241" spans="1:7" ht="12.5" x14ac:dyDescent="0.25">
      <c r="A241" s="2"/>
      <c r="B241" s="2"/>
      <c r="C241" s="2"/>
      <c r="D241" s="236"/>
      <c r="E241" s="236"/>
      <c r="F241" s="236"/>
      <c r="G241" s="236"/>
    </row>
    <row r="242" spans="1:7" ht="12.5" x14ac:dyDescent="0.25">
      <c r="A242" s="2"/>
      <c r="B242" s="2"/>
      <c r="C242" s="2"/>
      <c r="D242" s="236"/>
      <c r="E242" s="236"/>
      <c r="F242" s="236"/>
      <c r="G242" s="236"/>
    </row>
    <row r="243" spans="1:7" ht="12.5" x14ac:dyDescent="0.25">
      <c r="A243" s="2"/>
      <c r="B243" s="2"/>
      <c r="C243" s="2"/>
      <c r="D243" s="236"/>
      <c r="E243" s="236"/>
      <c r="F243" s="236"/>
      <c r="G243" s="236"/>
    </row>
    <row r="244" spans="1:7" ht="12.5" x14ac:dyDescent="0.25">
      <c r="A244" s="2"/>
      <c r="B244" s="2"/>
      <c r="C244" s="2"/>
      <c r="D244" s="236"/>
      <c r="E244" s="236"/>
      <c r="F244" s="236"/>
      <c r="G244" s="236"/>
    </row>
    <row r="245" spans="1:7" ht="12.5" x14ac:dyDescent="0.25">
      <c r="A245" s="2"/>
      <c r="B245" s="2"/>
      <c r="C245" s="2"/>
      <c r="D245" s="236"/>
      <c r="E245" s="236"/>
      <c r="F245" s="236"/>
      <c r="G245" s="236"/>
    </row>
    <row r="246" spans="1:7" ht="12.5" x14ac:dyDescent="0.25">
      <c r="A246" s="2"/>
      <c r="B246" s="2"/>
      <c r="C246" s="2"/>
      <c r="D246" s="236"/>
      <c r="E246" s="236"/>
      <c r="F246" s="236"/>
      <c r="G246" s="236"/>
    </row>
    <row r="247" spans="1:7" ht="12.5" x14ac:dyDescent="0.25">
      <c r="A247" s="2"/>
      <c r="B247" s="2"/>
      <c r="C247" s="2"/>
      <c r="D247" s="236"/>
      <c r="E247" s="236"/>
      <c r="F247" s="236"/>
      <c r="G247" s="236"/>
    </row>
    <row r="248" spans="1:7" ht="12.5" x14ac:dyDescent="0.25">
      <c r="A248" s="2"/>
      <c r="B248" s="2"/>
      <c r="C248" s="2"/>
      <c r="D248" s="236"/>
      <c r="E248" s="236"/>
      <c r="F248" s="236"/>
      <c r="G248" s="236"/>
    </row>
    <row r="249" spans="1:7" ht="12.5" x14ac:dyDescent="0.25">
      <c r="A249" s="2"/>
      <c r="B249" s="2"/>
      <c r="C249" s="2"/>
      <c r="D249" s="236"/>
      <c r="E249" s="236"/>
      <c r="F249" s="236"/>
      <c r="G249" s="236"/>
    </row>
    <row r="250" spans="1:7" ht="12.5" x14ac:dyDescent="0.25">
      <c r="A250" s="2"/>
      <c r="B250" s="2"/>
      <c r="C250" s="2"/>
      <c r="D250" s="236"/>
      <c r="E250" s="236"/>
      <c r="F250" s="236"/>
      <c r="G250" s="236"/>
    </row>
    <row r="251" spans="1:7" ht="12.5" x14ac:dyDescent="0.25">
      <c r="A251" s="2"/>
      <c r="B251" s="2"/>
      <c r="C251" s="2"/>
      <c r="D251" s="236"/>
      <c r="E251" s="236"/>
      <c r="F251" s="236"/>
      <c r="G251" s="236"/>
    </row>
    <row r="252" spans="1:7" ht="12.5" x14ac:dyDescent="0.25">
      <c r="A252" s="2"/>
      <c r="B252" s="2"/>
      <c r="C252" s="2"/>
      <c r="D252" s="236"/>
      <c r="E252" s="236"/>
      <c r="F252" s="236"/>
      <c r="G252" s="236"/>
    </row>
    <row r="253" spans="1:7" ht="12.5" x14ac:dyDescent="0.25">
      <c r="A253" s="2"/>
      <c r="B253" s="2"/>
      <c r="C253" s="2"/>
      <c r="D253" s="236"/>
      <c r="E253" s="236"/>
      <c r="F253" s="236"/>
      <c r="G253" s="236"/>
    </row>
    <row r="254" spans="1:7" ht="12.5" x14ac:dyDescent="0.25">
      <c r="A254" s="2"/>
      <c r="B254" s="2"/>
      <c r="C254" s="2"/>
      <c r="D254" s="236"/>
      <c r="E254" s="236"/>
      <c r="F254" s="236"/>
      <c r="G254" s="236"/>
    </row>
    <row r="255" spans="1:7" ht="12.5" x14ac:dyDescent="0.25">
      <c r="A255" s="2"/>
      <c r="B255" s="2"/>
      <c r="C255" s="2"/>
      <c r="D255" s="236"/>
      <c r="E255" s="236"/>
      <c r="F255" s="236"/>
      <c r="G255" s="236"/>
    </row>
    <row r="256" spans="1:7" ht="12.5" x14ac:dyDescent="0.25">
      <c r="A256" s="2"/>
      <c r="B256" s="2"/>
      <c r="C256" s="2"/>
      <c r="D256" s="236"/>
      <c r="E256" s="236"/>
      <c r="F256" s="236"/>
      <c r="G256" s="236"/>
    </row>
    <row r="257" spans="1:7" ht="12.5" x14ac:dyDescent="0.25">
      <c r="A257" s="2"/>
      <c r="B257" s="2"/>
      <c r="C257" s="2"/>
      <c r="D257" s="236"/>
      <c r="E257" s="236"/>
      <c r="F257" s="236"/>
      <c r="G257" s="236"/>
    </row>
    <row r="258" spans="1:7" ht="12.5" x14ac:dyDescent="0.25">
      <c r="A258" s="2"/>
      <c r="B258" s="2"/>
      <c r="C258" s="2"/>
      <c r="D258" s="236"/>
      <c r="E258" s="236"/>
      <c r="F258" s="236"/>
      <c r="G258" s="236"/>
    </row>
    <row r="259" spans="1:7" ht="12.5" x14ac:dyDescent="0.25">
      <c r="A259" s="2"/>
      <c r="B259" s="2"/>
      <c r="C259" s="2"/>
      <c r="D259" s="236"/>
      <c r="E259" s="236"/>
      <c r="F259" s="236"/>
      <c r="G259" s="236"/>
    </row>
    <row r="260" spans="1:7" ht="12.5" x14ac:dyDescent="0.25">
      <c r="A260" s="2"/>
      <c r="B260" s="2"/>
      <c r="C260" s="2"/>
      <c r="D260" s="236"/>
      <c r="E260" s="236"/>
      <c r="F260" s="236"/>
      <c r="G260" s="236"/>
    </row>
    <row r="261" spans="1:7" ht="12.5" x14ac:dyDescent="0.25">
      <c r="A261" s="2"/>
      <c r="B261" s="2"/>
      <c r="C261" s="2"/>
      <c r="D261" s="236"/>
      <c r="E261" s="236"/>
      <c r="F261" s="236"/>
      <c r="G261" s="236"/>
    </row>
    <row r="262" spans="1:7" ht="12.5" x14ac:dyDescent="0.25">
      <c r="A262" s="2"/>
      <c r="B262" s="2"/>
      <c r="C262" s="2"/>
      <c r="D262" s="236"/>
      <c r="E262" s="236"/>
      <c r="F262" s="236"/>
      <c r="G262" s="236"/>
    </row>
    <row r="263" spans="1:7" ht="12.5" x14ac:dyDescent="0.25">
      <c r="A263" s="2"/>
      <c r="B263" s="2"/>
      <c r="C263" s="2"/>
      <c r="D263" s="236"/>
      <c r="E263" s="236"/>
      <c r="F263" s="236"/>
      <c r="G263" s="236"/>
    </row>
    <row r="264" spans="1:7" ht="12.5" x14ac:dyDescent="0.25">
      <c r="A264" s="2"/>
      <c r="B264" s="2"/>
      <c r="C264" s="2"/>
      <c r="D264" s="236"/>
      <c r="E264" s="236"/>
      <c r="F264" s="236"/>
      <c r="G264" s="236"/>
    </row>
    <row r="265" spans="1:7" ht="12.5" x14ac:dyDescent="0.25">
      <c r="A265" s="2"/>
      <c r="B265" s="2"/>
      <c r="C265" s="2"/>
      <c r="D265" s="236"/>
      <c r="E265" s="236"/>
      <c r="F265" s="236"/>
      <c r="G265" s="236"/>
    </row>
    <row r="266" spans="1:7" ht="12.5" x14ac:dyDescent="0.25">
      <c r="A266" s="2"/>
      <c r="B266" s="2"/>
      <c r="C266" s="2"/>
      <c r="D266" s="236"/>
      <c r="E266" s="236"/>
      <c r="F266" s="236"/>
      <c r="G266" s="236"/>
    </row>
    <row r="267" spans="1:7" ht="12.5" x14ac:dyDescent="0.25">
      <c r="A267" s="2"/>
      <c r="B267" s="2"/>
      <c r="C267" s="2"/>
      <c r="D267" s="236"/>
      <c r="E267" s="236"/>
      <c r="F267" s="236"/>
      <c r="G267" s="236"/>
    </row>
    <row r="268" spans="1:7" ht="12.5" x14ac:dyDescent="0.25">
      <c r="A268" s="2"/>
      <c r="B268" s="2"/>
      <c r="C268" s="2"/>
      <c r="D268" s="236"/>
      <c r="E268" s="236"/>
      <c r="F268" s="236"/>
      <c r="G268" s="236"/>
    </row>
    <row r="269" spans="1:7" ht="12.5" x14ac:dyDescent="0.25">
      <c r="A269" s="2"/>
      <c r="B269" s="2"/>
      <c r="C269" s="2"/>
      <c r="D269" s="236"/>
      <c r="E269" s="236"/>
      <c r="F269" s="236"/>
      <c r="G269" s="236"/>
    </row>
    <row r="270" spans="1:7" ht="12.5" x14ac:dyDescent="0.25">
      <c r="A270" s="2"/>
      <c r="B270" s="2"/>
      <c r="C270" s="2"/>
      <c r="D270" s="236"/>
      <c r="E270" s="236"/>
      <c r="F270" s="236"/>
      <c r="G270" s="236"/>
    </row>
    <row r="271" spans="1:7" ht="12.5" x14ac:dyDescent="0.25">
      <c r="A271" s="2"/>
      <c r="B271" s="2"/>
      <c r="C271" s="2"/>
      <c r="D271" s="236"/>
      <c r="E271" s="236"/>
      <c r="F271" s="236"/>
      <c r="G271" s="236"/>
    </row>
    <row r="272" spans="1:7" ht="12.5" x14ac:dyDescent="0.25">
      <c r="A272" s="2"/>
      <c r="B272" s="2"/>
      <c r="C272" s="2"/>
      <c r="D272" s="236"/>
      <c r="E272" s="236"/>
      <c r="F272" s="236"/>
      <c r="G272" s="236"/>
    </row>
    <row r="273" spans="1:7" ht="12.5" x14ac:dyDescent="0.25">
      <c r="A273" s="2"/>
      <c r="B273" s="2"/>
      <c r="C273" s="2"/>
      <c r="D273" s="236"/>
      <c r="E273" s="236"/>
      <c r="F273" s="236"/>
      <c r="G273" s="236"/>
    </row>
    <row r="274" spans="1:7" ht="12.5" x14ac:dyDescent="0.25">
      <c r="A274" s="2"/>
      <c r="B274" s="2"/>
      <c r="C274" s="2"/>
      <c r="D274" s="236"/>
      <c r="E274" s="236"/>
      <c r="F274" s="236"/>
      <c r="G274" s="236"/>
    </row>
    <row r="275" spans="1:7" ht="12.5" x14ac:dyDescent="0.25">
      <c r="A275" s="2"/>
      <c r="B275" s="2"/>
      <c r="C275" s="2"/>
      <c r="D275" s="236"/>
      <c r="E275" s="236"/>
      <c r="F275" s="236"/>
      <c r="G275" s="236"/>
    </row>
    <row r="276" spans="1:7" ht="12.5" x14ac:dyDescent="0.25">
      <c r="A276" s="2"/>
      <c r="B276" s="2"/>
      <c r="C276" s="2"/>
      <c r="D276" s="236"/>
      <c r="E276" s="236"/>
      <c r="F276" s="236"/>
      <c r="G276" s="236"/>
    </row>
    <row r="277" spans="1:7" ht="12.5" x14ac:dyDescent="0.25">
      <c r="A277" s="2"/>
      <c r="B277" s="2"/>
      <c r="C277" s="2"/>
      <c r="D277" s="236"/>
      <c r="E277" s="236"/>
      <c r="F277" s="236"/>
      <c r="G277" s="236"/>
    </row>
    <row r="278" spans="1:7" ht="12.5" x14ac:dyDescent="0.25">
      <c r="A278" s="2"/>
      <c r="B278" s="2"/>
      <c r="C278" s="2"/>
      <c r="D278" s="236"/>
      <c r="E278" s="236"/>
      <c r="F278" s="236"/>
      <c r="G278" s="236"/>
    </row>
    <row r="279" spans="1:7" ht="12.5" x14ac:dyDescent="0.25">
      <c r="A279" s="2"/>
      <c r="B279" s="2"/>
      <c r="C279" s="2"/>
      <c r="D279" s="236"/>
      <c r="E279" s="236"/>
      <c r="F279" s="236"/>
      <c r="G279" s="236"/>
    </row>
    <row r="280" spans="1:7" ht="12.5" x14ac:dyDescent="0.25">
      <c r="A280" s="2"/>
      <c r="B280" s="2"/>
      <c r="C280" s="2"/>
      <c r="D280" s="236"/>
      <c r="E280" s="236"/>
      <c r="F280" s="236"/>
      <c r="G280" s="236"/>
    </row>
    <row r="281" spans="1:7" ht="12.5" x14ac:dyDescent="0.25">
      <c r="A281" s="2"/>
      <c r="B281" s="2"/>
      <c r="C281" s="2"/>
      <c r="D281" s="236"/>
      <c r="E281" s="236"/>
      <c r="F281" s="236"/>
      <c r="G281" s="236"/>
    </row>
    <row r="282" spans="1:7" ht="12.5" x14ac:dyDescent="0.25">
      <c r="A282" s="2"/>
      <c r="B282" s="2"/>
      <c r="C282" s="2"/>
      <c r="D282" s="236"/>
      <c r="E282" s="236"/>
      <c r="F282" s="236"/>
      <c r="G282" s="236"/>
    </row>
    <row r="283" spans="1:7" ht="12.5" x14ac:dyDescent="0.25">
      <c r="A283" s="2"/>
      <c r="B283" s="2"/>
      <c r="C283" s="2"/>
      <c r="D283" s="236"/>
      <c r="E283" s="236"/>
      <c r="F283" s="236"/>
      <c r="G283" s="236"/>
    </row>
    <row r="284" spans="1:7" ht="12.5" x14ac:dyDescent="0.25">
      <c r="A284" s="2"/>
      <c r="B284" s="2"/>
      <c r="C284" s="2"/>
      <c r="D284" s="236"/>
      <c r="E284" s="236"/>
      <c r="F284" s="236"/>
      <c r="G284" s="236"/>
    </row>
    <row r="285" spans="1:7" ht="12.5" x14ac:dyDescent="0.25">
      <c r="A285" s="2"/>
      <c r="B285" s="2"/>
      <c r="C285" s="2"/>
      <c r="D285" s="236"/>
      <c r="E285" s="236"/>
      <c r="F285" s="236"/>
      <c r="G285" s="236"/>
    </row>
    <row r="286" spans="1:7" ht="12.5" x14ac:dyDescent="0.25">
      <c r="A286" s="2"/>
      <c r="B286" s="2"/>
      <c r="C286" s="2"/>
      <c r="D286" s="236"/>
      <c r="E286" s="236"/>
      <c r="F286" s="236"/>
      <c r="G286" s="236"/>
    </row>
    <row r="287" spans="1:7" ht="12.5" x14ac:dyDescent="0.25">
      <c r="A287" s="2"/>
      <c r="B287" s="2"/>
      <c r="C287" s="2"/>
      <c r="D287" s="236"/>
      <c r="E287" s="236"/>
      <c r="F287" s="236"/>
      <c r="G287" s="236"/>
    </row>
    <row r="288" spans="1:7" ht="12.5" x14ac:dyDescent="0.25">
      <c r="A288" s="2"/>
      <c r="B288" s="2"/>
      <c r="C288" s="2"/>
      <c r="D288" s="236"/>
      <c r="E288" s="236"/>
      <c r="F288" s="236"/>
      <c r="G288" s="236"/>
    </row>
    <row r="289" spans="1:7" ht="12.5" x14ac:dyDescent="0.25">
      <c r="A289" s="2"/>
      <c r="B289" s="2"/>
      <c r="C289" s="2"/>
      <c r="D289" s="236"/>
      <c r="E289" s="236"/>
      <c r="F289" s="236"/>
      <c r="G289" s="236"/>
    </row>
    <row r="290" spans="1:7" ht="12.5" x14ac:dyDescent="0.25">
      <c r="A290" s="2"/>
      <c r="B290" s="2"/>
      <c r="C290" s="2"/>
      <c r="D290" s="236"/>
      <c r="E290" s="236"/>
      <c r="F290" s="236"/>
      <c r="G290" s="236"/>
    </row>
    <row r="291" spans="1:7" ht="12.5" x14ac:dyDescent="0.25">
      <c r="A291" s="2"/>
      <c r="B291" s="2"/>
      <c r="C291" s="2"/>
      <c r="D291" s="236"/>
      <c r="E291" s="236"/>
      <c r="F291" s="236"/>
      <c r="G291" s="236"/>
    </row>
    <row r="292" spans="1:7" ht="12.5" x14ac:dyDescent="0.25">
      <c r="A292" s="2"/>
      <c r="B292" s="2"/>
      <c r="C292" s="2"/>
      <c r="D292" s="236"/>
      <c r="E292" s="236"/>
      <c r="F292" s="236"/>
      <c r="G292" s="236"/>
    </row>
    <row r="293" spans="1:7" ht="12.5" x14ac:dyDescent="0.25">
      <c r="A293" s="2"/>
      <c r="B293" s="2"/>
      <c r="C293" s="2"/>
      <c r="D293" s="236"/>
      <c r="E293" s="236"/>
      <c r="F293" s="236"/>
      <c r="G293" s="236"/>
    </row>
    <row r="294" spans="1:7" ht="12.5" x14ac:dyDescent="0.25">
      <c r="A294" s="2"/>
      <c r="B294" s="2"/>
      <c r="C294" s="2"/>
      <c r="D294" s="236"/>
      <c r="E294" s="236"/>
      <c r="F294" s="236"/>
      <c r="G294" s="236"/>
    </row>
    <row r="295" spans="1:7" ht="12.5" x14ac:dyDescent="0.25">
      <c r="A295" s="2"/>
      <c r="B295" s="2"/>
      <c r="C295" s="2"/>
      <c r="D295" s="236"/>
      <c r="E295" s="236"/>
      <c r="F295" s="236"/>
      <c r="G295" s="236"/>
    </row>
    <row r="296" spans="1:7" ht="12.5" x14ac:dyDescent="0.25">
      <c r="A296" s="2"/>
      <c r="B296" s="2"/>
      <c r="C296" s="2"/>
      <c r="D296" s="236"/>
      <c r="E296" s="236"/>
      <c r="F296" s="236"/>
      <c r="G296" s="236"/>
    </row>
    <row r="297" spans="1:7" ht="12.5" x14ac:dyDescent="0.25">
      <c r="A297" s="2"/>
      <c r="B297" s="2"/>
      <c r="C297" s="2"/>
      <c r="D297" s="236"/>
      <c r="E297" s="236"/>
      <c r="F297" s="236"/>
      <c r="G297" s="236"/>
    </row>
    <row r="298" spans="1:7" ht="12.5" x14ac:dyDescent="0.25">
      <c r="A298" s="2"/>
      <c r="B298" s="2"/>
      <c r="C298" s="2"/>
      <c r="D298" s="236"/>
      <c r="E298" s="236"/>
      <c r="F298" s="236"/>
      <c r="G298" s="236"/>
    </row>
    <row r="299" spans="1:7" ht="12.5" x14ac:dyDescent="0.25">
      <c r="A299" s="2"/>
      <c r="B299" s="2"/>
      <c r="C299" s="2"/>
      <c r="D299" s="236"/>
      <c r="E299" s="236"/>
      <c r="F299" s="236"/>
      <c r="G299" s="236"/>
    </row>
    <row r="300" spans="1:7" ht="12.5" x14ac:dyDescent="0.25">
      <c r="A300" s="2"/>
      <c r="B300" s="2"/>
      <c r="C300" s="2"/>
      <c r="D300" s="236"/>
      <c r="E300" s="236"/>
      <c r="F300" s="236"/>
      <c r="G300" s="236"/>
    </row>
    <row r="301" spans="1:7" ht="12.5" x14ac:dyDescent="0.25">
      <c r="A301" s="2"/>
      <c r="B301" s="2"/>
      <c r="C301" s="2"/>
      <c r="D301" s="236"/>
      <c r="E301" s="236"/>
      <c r="F301" s="236"/>
      <c r="G301" s="236"/>
    </row>
    <row r="302" spans="1:7" ht="12.5" x14ac:dyDescent="0.25">
      <c r="A302" s="2"/>
      <c r="B302" s="2"/>
      <c r="C302" s="2"/>
      <c r="D302" s="236"/>
      <c r="E302" s="236"/>
      <c r="F302" s="236"/>
      <c r="G302" s="236"/>
    </row>
    <row r="303" spans="1:7" ht="12.5" x14ac:dyDescent="0.25">
      <c r="A303" s="2"/>
      <c r="B303" s="2"/>
      <c r="C303" s="2"/>
      <c r="D303" s="236"/>
      <c r="E303" s="236"/>
      <c r="F303" s="236"/>
      <c r="G303" s="236"/>
    </row>
    <row r="304" spans="1:7" ht="12.5" x14ac:dyDescent="0.25">
      <c r="A304" s="2"/>
      <c r="B304" s="2"/>
      <c r="C304" s="2"/>
      <c r="D304" s="236"/>
      <c r="E304" s="236"/>
      <c r="F304" s="236"/>
      <c r="G304" s="236"/>
    </row>
    <row r="305" spans="1:7" ht="12.5" x14ac:dyDescent="0.25">
      <c r="A305" s="2"/>
      <c r="B305" s="2"/>
      <c r="C305" s="2"/>
      <c r="D305" s="236"/>
      <c r="E305" s="236"/>
      <c r="F305" s="236"/>
      <c r="G305" s="236"/>
    </row>
    <row r="306" spans="1:7" ht="12.5" x14ac:dyDescent="0.25">
      <c r="A306" s="2"/>
      <c r="B306" s="2"/>
      <c r="C306" s="2"/>
      <c r="D306" s="236"/>
      <c r="E306" s="236"/>
      <c r="F306" s="236"/>
      <c r="G306" s="236"/>
    </row>
    <row r="307" spans="1:7" ht="12.5" x14ac:dyDescent="0.25">
      <c r="A307" s="2"/>
      <c r="B307" s="2"/>
      <c r="C307" s="2"/>
      <c r="D307" s="236"/>
      <c r="E307" s="236"/>
      <c r="F307" s="236"/>
      <c r="G307" s="236"/>
    </row>
    <row r="308" spans="1:7" ht="12.5" x14ac:dyDescent="0.25">
      <c r="A308" s="2"/>
      <c r="B308" s="2"/>
      <c r="C308" s="2"/>
      <c r="D308" s="236"/>
      <c r="E308" s="236"/>
      <c r="F308" s="236"/>
      <c r="G308" s="236"/>
    </row>
    <row r="309" spans="1:7" ht="12.5" x14ac:dyDescent="0.25">
      <c r="A309" s="2"/>
      <c r="B309" s="2"/>
      <c r="C309" s="2"/>
      <c r="D309" s="236"/>
      <c r="E309" s="236"/>
      <c r="F309" s="236"/>
      <c r="G309" s="236"/>
    </row>
    <row r="310" spans="1:7" ht="12.5" x14ac:dyDescent="0.25">
      <c r="A310" s="2"/>
      <c r="B310" s="2"/>
      <c r="C310" s="2"/>
      <c r="D310" s="236"/>
      <c r="E310" s="236"/>
      <c r="F310" s="236"/>
      <c r="G310" s="236"/>
    </row>
    <row r="311" spans="1:7" ht="12.5" x14ac:dyDescent="0.25">
      <c r="A311" s="2"/>
      <c r="B311" s="2"/>
      <c r="C311" s="2"/>
      <c r="D311" s="236"/>
      <c r="E311" s="236"/>
      <c r="F311" s="236"/>
      <c r="G311" s="236"/>
    </row>
    <row r="312" spans="1:7" ht="12.5" x14ac:dyDescent="0.25">
      <c r="A312" s="2"/>
      <c r="B312" s="2"/>
      <c r="C312" s="2"/>
      <c r="D312" s="236"/>
      <c r="E312" s="236"/>
      <c r="F312" s="236"/>
      <c r="G312" s="236"/>
    </row>
    <row r="313" spans="1:7" ht="12.5" x14ac:dyDescent="0.25">
      <c r="A313" s="2"/>
      <c r="B313" s="2"/>
      <c r="C313" s="2"/>
      <c r="D313" s="236"/>
      <c r="E313" s="236"/>
      <c r="F313" s="236"/>
      <c r="G313" s="236"/>
    </row>
    <row r="314" spans="1:7" ht="12.5" x14ac:dyDescent="0.25">
      <c r="A314" s="2"/>
      <c r="B314" s="2"/>
      <c r="C314" s="2"/>
      <c r="D314" s="236"/>
      <c r="E314" s="236"/>
      <c r="F314" s="236"/>
      <c r="G314" s="236"/>
    </row>
    <row r="315" spans="1:7" ht="12.5" x14ac:dyDescent="0.25">
      <c r="A315" s="2"/>
      <c r="B315" s="2"/>
      <c r="C315" s="2"/>
      <c r="D315" s="236"/>
      <c r="E315" s="236"/>
      <c r="F315" s="236"/>
      <c r="G315" s="236"/>
    </row>
    <row r="316" spans="1:7" ht="12.5" x14ac:dyDescent="0.25">
      <c r="A316" s="2"/>
      <c r="B316" s="2"/>
      <c r="C316" s="2"/>
      <c r="D316" s="236"/>
      <c r="E316" s="236"/>
      <c r="F316" s="236"/>
      <c r="G316" s="236"/>
    </row>
    <row r="317" spans="1:7" ht="12.5" x14ac:dyDescent="0.25">
      <c r="A317" s="2"/>
      <c r="B317" s="2"/>
      <c r="C317" s="2"/>
      <c r="D317" s="236"/>
      <c r="E317" s="236"/>
      <c r="F317" s="236"/>
      <c r="G317" s="236"/>
    </row>
    <row r="318" spans="1:7" ht="12.5" x14ac:dyDescent="0.25">
      <c r="A318" s="2"/>
      <c r="B318" s="2"/>
      <c r="C318" s="2"/>
      <c r="D318" s="236"/>
      <c r="E318" s="236"/>
      <c r="F318" s="236"/>
      <c r="G318" s="236"/>
    </row>
    <row r="319" spans="1:7" ht="12.5" x14ac:dyDescent="0.25">
      <c r="A319" s="2"/>
      <c r="B319" s="2"/>
      <c r="C319" s="2"/>
      <c r="D319" s="236"/>
      <c r="E319" s="236"/>
      <c r="F319" s="236"/>
      <c r="G319" s="236"/>
    </row>
    <row r="320" spans="1:7" ht="12.5" x14ac:dyDescent="0.25">
      <c r="A320" s="2"/>
      <c r="B320" s="2"/>
      <c r="C320" s="2"/>
      <c r="D320" s="236"/>
      <c r="E320" s="236"/>
      <c r="F320" s="236"/>
      <c r="G320" s="236"/>
    </row>
    <row r="321" spans="1:7" ht="12.5" x14ac:dyDescent="0.25">
      <c r="A321" s="2"/>
      <c r="B321" s="2"/>
      <c r="C321" s="2"/>
      <c r="D321" s="236"/>
      <c r="E321" s="236"/>
      <c r="F321" s="236"/>
      <c r="G321" s="236"/>
    </row>
    <row r="322" spans="1:7" ht="12.5" x14ac:dyDescent="0.25">
      <c r="A322" s="2"/>
      <c r="B322" s="2"/>
      <c r="C322" s="2"/>
      <c r="D322" s="236"/>
      <c r="E322" s="236"/>
      <c r="F322" s="236"/>
      <c r="G322" s="236"/>
    </row>
    <row r="323" spans="1:7" ht="12.5" x14ac:dyDescent="0.25">
      <c r="A323" s="2"/>
      <c r="B323" s="2"/>
      <c r="C323" s="2"/>
      <c r="D323" s="236"/>
      <c r="E323" s="236"/>
      <c r="F323" s="236"/>
      <c r="G323" s="236"/>
    </row>
    <row r="324" spans="1:7" ht="12.5" x14ac:dyDescent="0.25">
      <c r="A324" s="2"/>
      <c r="B324" s="2"/>
      <c r="C324" s="2"/>
      <c r="D324" s="236"/>
      <c r="E324" s="236"/>
      <c r="F324" s="236"/>
      <c r="G324" s="236"/>
    </row>
    <row r="325" spans="1:7" ht="12.5" x14ac:dyDescent="0.25">
      <c r="A325" s="2"/>
      <c r="B325" s="2"/>
      <c r="C325" s="2"/>
      <c r="D325" s="236"/>
      <c r="E325" s="236"/>
      <c r="F325" s="236"/>
      <c r="G325" s="236"/>
    </row>
    <row r="326" spans="1:7" ht="12.5" x14ac:dyDescent="0.25">
      <c r="A326" s="2"/>
      <c r="B326" s="2"/>
      <c r="C326" s="2"/>
      <c r="D326" s="236"/>
      <c r="E326" s="236"/>
      <c r="F326" s="236"/>
      <c r="G326" s="236"/>
    </row>
    <row r="327" spans="1:7" ht="12.5" x14ac:dyDescent="0.25">
      <c r="A327" s="2"/>
      <c r="B327" s="2"/>
      <c r="C327" s="2"/>
      <c r="D327" s="236"/>
      <c r="E327" s="236"/>
      <c r="F327" s="236"/>
      <c r="G327" s="236"/>
    </row>
    <row r="328" spans="1:7" ht="12.5" x14ac:dyDescent="0.25">
      <c r="A328" s="2"/>
      <c r="B328" s="2"/>
      <c r="C328" s="2"/>
      <c r="D328" s="236"/>
      <c r="E328" s="236"/>
      <c r="F328" s="236"/>
      <c r="G328" s="236"/>
    </row>
    <row r="329" spans="1:7" ht="12.5" x14ac:dyDescent="0.25">
      <c r="A329" s="2"/>
      <c r="B329" s="2"/>
      <c r="C329" s="2"/>
      <c r="D329" s="236"/>
      <c r="E329" s="236"/>
      <c r="F329" s="236"/>
      <c r="G329" s="236"/>
    </row>
    <row r="330" spans="1:7" ht="12.5" x14ac:dyDescent="0.25">
      <c r="A330" s="2"/>
      <c r="B330" s="2"/>
      <c r="C330" s="2"/>
      <c r="D330" s="236"/>
      <c r="E330" s="236"/>
      <c r="F330" s="236"/>
      <c r="G330" s="236"/>
    </row>
    <row r="331" spans="1:7" ht="12.5" x14ac:dyDescent="0.25">
      <c r="A331" s="2"/>
      <c r="B331" s="2"/>
      <c r="C331" s="2"/>
      <c r="D331" s="236"/>
      <c r="E331" s="236"/>
      <c r="F331" s="236"/>
      <c r="G331" s="236"/>
    </row>
    <row r="332" spans="1:7" ht="12.5" x14ac:dyDescent="0.25">
      <c r="A332" s="2"/>
      <c r="B332" s="2"/>
      <c r="C332" s="2"/>
      <c r="D332" s="236"/>
      <c r="E332" s="236"/>
      <c r="F332" s="236"/>
      <c r="G332" s="236"/>
    </row>
    <row r="333" spans="1:7" ht="12.5" x14ac:dyDescent="0.25">
      <c r="A333" s="2"/>
      <c r="B333" s="2"/>
      <c r="C333" s="2"/>
      <c r="D333" s="236"/>
      <c r="E333" s="236"/>
      <c r="F333" s="236"/>
      <c r="G333" s="236"/>
    </row>
    <row r="334" spans="1:7" ht="12.5" x14ac:dyDescent="0.25">
      <c r="A334" s="2"/>
      <c r="B334" s="2"/>
      <c r="C334" s="2"/>
      <c r="D334" s="236"/>
      <c r="E334" s="236"/>
      <c r="F334" s="236"/>
      <c r="G334" s="236"/>
    </row>
    <row r="335" spans="1:7" ht="12.5" x14ac:dyDescent="0.25">
      <c r="A335" s="2"/>
      <c r="B335" s="2"/>
      <c r="C335" s="2"/>
      <c r="D335" s="236"/>
      <c r="E335" s="236"/>
      <c r="F335" s="236"/>
      <c r="G335" s="236"/>
    </row>
    <row r="336" spans="1:7" ht="12.5" x14ac:dyDescent="0.25">
      <c r="A336" s="2"/>
      <c r="B336" s="2"/>
      <c r="C336" s="2"/>
      <c r="D336" s="236"/>
      <c r="E336" s="236"/>
      <c r="F336" s="236"/>
      <c r="G336" s="236"/>
    </row>
    <row r="337" spans="1:7" ht="12.5" x14ac:dyDescent="0.25">
      <c r="A337" s="2"/>
      <c r="B337" s="2"/>
      <c r="C337" s="2"/>
      <c r="D337" s="236"/>
      <c r="E337" s="236"/>
      <c r="F337" s="236"/>
      <c r="G337" s="236"/>
    </row>
    <row r="338" spans="1:7" ht="12.5" x14ac:dyDescent="0.25">
      <c r="A338" s="2"/>
      <c r="B338" s="2"/>
      <c r="C338" s="2"/>
      <c r="D338" s="236"/>
      <c r="E338" s="236"/>
      <c r="F338" s="236"/>
      <c r="G338" s="236"/>
    </row>
    <row r="339" spans="1:7" ht="12.5" x14ac:dyDescent="0.25">
      <c r="A339" s="2"/>
      <c r="B339" s="2"/>
      <c r="C339" s="2"/>
      <c r="D339" s="236"/>
      <c r="E339" s="236"/>
      <c r="F339" s="236"/>
      <c r="G339" s="236"/>
    </row>
    <row r="340" spans="1:7" ht="12.5" x14ac:dyDescent="0.25">
      <c r="A340" s="2"/>
      <c r="B340" s="2"/>
      <c r="C340" s="2"/>
      <c r="D340" s="236"/>
      <c r="E340" s="236"/>
      <c r="F340" s="236"/>
      <c r="G340" s="236"/>
    </row>
    <row r="341" spans="1:7" ht="12.5" x14ac:dyDescent="0.25">
      <c r="A341" s="2"/>
      <c r="B341" s="2"/>
      <c r="C341" s="2"/>
      <c r="D341" s="236"/>
      <c r="E341" s="236"/>
      <c r="F341" s="236"/>
      <c r="G341" s="236"/>
    </row>
    <row r="342" spans="1:7" ht="12.5" x14ac:dyDescent="0.25">
      <c r="A342" s="2"/>
      <c r="B342" s="2"/>
      <c r="C342" s="2"/>
      <c r="D342" s="236"/>
      <c r="E342" s="236"/>
      <c r="F342" s="236"/>
      <c r="G342" s="236"/>
    </row>
    <row r="343" spans="1:7" ht="12.5" x14ac:dyDescent="0.25">
      <c r="A343" s="2"/>
      <c r="B343" s="2"/>
      <c r="C343" s="2"/>
      <c r="D343" s="236"/>
      <c r="E343" s="236"/>
      <c r="F343" s="236"/>
      <c r="G343" s="236"/>
    </row>
    <row r="344" spans="1:7" ht="12.5" x14ac:dyDescent="0.25">
      <c r="A344" s="2"/>
      <c r="B344" s="2"/>
      <c r="C344" s="2"/>
      <c r="D344" s="236"/>
      <c r="E344" s="236"/>
      <c r="F344" s="236"/>
      <c r="G344" s="236"/>
    </row>
    <row r="345" spans="1:7" ht="12.5" x14ac:dyDescent="0.25">
      <c r="A345" s="2"/>
      <c r="B345" s="2"/>
      <c r="C345" s="2"/>
      <c r="D345" s="236"/>
      <c r="E345" s="236"/>
      <c r="F345" s="236"/>
      <c r="G345" s="236"/>
    </row>
    <row r="346" spans="1:7" ht="12.5" x14ac:dyDescent="0.25">
      <c r="A346" s="2"/>
      <c r="B346" s="2"/>
      <c r="C346" s="2"/>
      <c r="D346" s="236"/>
      <c r="E346" s="236"/>
      <c r="F346" s="236"/>
      <c r="G346" s="236"/>
    </row>
    <row r="347" spans="1:7" ht="12.5" x14ac:dyDescent="0.25">
      <c r="A347" s="2"/>
      <c r="B347" s="2"/>
      <c r="C347" s="2"/>
      <c r="D347" s="236"/>
      <c r="E347" s="236"/>
      <c r="F347" s="236"/>
      <c r="G347" s="236"/>
    </row>
    <row r="348" spans="1:7" ht="12.5" x14ac:dyDescent="0.25">
      <c r="A348" s="2"/>
      <c r="B348" s="2"/>
      <c r="C348" s="2"/>
      <c r="D348" s="236"/>
      <c r="E348" s="236"/>
      <c r="F348" s="236"/>
      <c r="G348" s="236"/>
    </row>
    <row r="349" spans="1:7" ht="12.5" x14ac:dyDescent="0.25">
      <c r="A349" s="2"/>
      <c r="B349" s="2"/>
      <c r="C349" s="2"/>
      <c r="D349" s="236"/>
      <c r="E349" s="236"/>
      <c r="F349" s="236"/>
      <c r="G349" s="236"/>
    </row>
    <row r="350" spans="1:7" ht="12.5" x14ac:dyDescent="0.25">
      <c r="A350" s="2"/>
      <c r="B350" s="2"/>
      <c r="C350" s="2"/>
      <c r="D350" s="236"/>
      <c r="E350" s="236"/>
      <c r="F350" s="236"/>
      <c r="G350" s="236"/>
    </row>
    <row r="351" spans="1:7" ht="12.5" x14ac:dyDescent="0.25">
      <c r="A351" s="2"/>
      <c r="B351" s="2"/>
      <c r="C351" s="2"/>
      <c r="D351" s="236"/>
      <c r="E351" s="236"/>
      <c r="F351" s="236"/>
      <c r="G351" s="236"/>
    </row>
    <row r="352" spans="1:7" ht="12.5" x14ac:dyDescent="0.25">
      <c r="A352" s="2"/>
      <c r="B352" s="2"/>
      <c r="C352" s="2"/>
      <c r="D352" s="236"/>
      <c r="E352" s="236"/>
      <c r="F352" s="236"/>
      <c r="G352" s="236"/>
    </row>
    <row r="353" spans="1:7" ht="12.5" x14ac:dyDescent="0.25">
      <c r="A353" s="2"/>
      <c r="B353" s="2"/>
      <c r="C353" s="2"/>
      <c r="D353" s="236"/>
      <c r="E353" s="236"/>
      <c r="F353" s="236"/>
      <c r="G353" s="236"/>
    </row>
    <row r="354" spans="1:7" ht="12.5" x14ac:dyDescent="0.25">
      <c r="A354" s="2"/>
      <c r="B354" s="2"/>
      <c r="C354" s="2"/>
      <c r="D354" s="236"/>
      <c r="E354" s="236"/>
      <c r="F354" s="236"/>
      <c r="G354" s="236"/>
    </row>
    <row r="355" spans="1:7" ht="12.5" x14ac:dyDescent="0.25">
      <c r="A355" s="2"/>
      <c r="B355" s="2"/>
      <c r="C355" s="2"/>
      <c r="D355" s="236"/>
      <c r="E355" s="236"/>
      <c r="F355" s="236"/>
      <c r="G355" s="236"/>
    </row>
    <row r="356" spans="1:7" ht="12.5" x14ac:dyDescent="0.25">
      <c r="A356" s="2"/>
      <c r="B356" s="2"/>
      <c r="C356" s="2"/>
      <c r="D356" s="236"/>
      <c r="E356" s="236"/>
      <c r="F356" s="236"/>
      <c r="G356" s="236"/>
    </row>
    <row r="357" spans="1:7" ht="12.5" x14ac:dyDescent="0.25">
      <c r="A357" s="2"/>
      <c r="B357" s="2"/>
      <c r="C357" s="2"/>
      <c r="D357" s="236"/>
      <c r="E357" s="236"/>
      <c r="F357" s="236"/>
      <c r="G357" s="236"/>
    </row>
    <row r="358" spans="1:7" ht="12.5" x14ac:dyDescent="0.25">
      <c r="A358" s="2"/>
      <c r="B358" s="2"/>
      <c r="C358" s="2"/>
      <c r="D358" s="236"/>
      <c r="E358" s="236"/>
      <c r="F358" s="236"/>
      <c r="G358" s="236"/>
    </row>
    <row r="359" spans="1:7" ht="12.5" x14ac:dyDescent="0.25">
      <c r="A359" s="2"/>
      <c r="B359" s="2"/>
      <c r="C359" s="2"/>
      <c r="D359" s="236"/>
      <c r="E359" s="236"/>
      <c r="F359" s="236"/>
      <c r="G359" s="236"/>
    </row>
    <row r="360" spans="1:7" ht="12.5" x14ac:dyDescent="0.25">
      <c r="A360" s="2"/>
      <c r="B360" s="2"/>
      <c r="C360" s="2"/>
      <c r="D360" s="236"/>
      <c r="E360" s="236"/>
      <c r="F360" s="236"/>
      <c r="G360" s="236"/>
    </row>
    <row r="361" spans="1:7" ht="12.5" x14ac:dyDescent="0.25">
      <c r="A361" s="2"/>
      <c r="B361" s="2"/>
      <c r="C361" s="2"/>
      <c r="D361" s="236"/>
      <c r="E361" s="236"/>
      <c r="F361" s="236"/>
      <c r="G361" s="236"/>
    </row>
    <row r="362" spans="1:7" ht="12.5" x14ac:dyDescent="0.25">
      <c r="A362" s="2"/>
      <c r="B362" s="2"/>
      <c r="C362" s="2"/>
      <c r="D362" s="236"/>
      <c r="E362" s="236"/>
      <c r="F362" s="236"/>
      <c r="G362" s="236"/>
    </row>
    <row r="363" spans="1:7" ht="12.5" x14ac:dyDescent="0.25">
      <c r="A363" s="2"/>
      <c r="B363" s="2"/>
      <c r="C363" s="2"/>
      <c r="D363" s="236"/>
      <c r="E363" s="236"/>
      <c r="F363" s="236"/>
      <c r="G363" s="236"/>
    </row>
    <row r="364" spans="1:7" ht="12.5" x14ac:dyDescent="0.25">
      <c r="A364" s="2"/>
      <c r="B364" s="2"/>
      <c r="C364" s="2"/>
      <c r="D364" s="236"/>
      <c r="E364" s="236"/>
      <c r="F364" s="236"/>
      <c r="G364" s="236"/>
    </row>
    <row r="365" spans="1:7" ht="12.5" x14ac:dyDescent="0.25">
      <c r="A365" s="2"/>
      <c r="B365" s="2"/>
      <c r="C365" s="2"/>
      <c r="D365" s="236"/>
      <c r="E365" s="236"/>
      <c r="F365" s="236"/>
      <c r="G365" s="236"/>
    </row>
    <row r="366" spans="1:7" ht="12.5" x14ac:dyDescent="0.25">
      <c r="A366" s="2"/>
      <c r="B366" s="2"/>
      <c r="C366" s="2"/>
      <c r="D366" s="236"/>
      <c r="E366" s="236"/>
      <c r="F366" s="236"/>
      <c r="G366" s="236"/>
    </row>
    <row r="367" spans="1:7" ht="12.5" x14ac:dyDescent="0.25">
      <c r="A367" s="2"/>
      <c r="B367" s="2"/>
      <c r="C367" s="2"/>
      <c r="D367" s="236"/>
      <c r="E367" s="236"/>
      <c r="F367" s="236"/>
      <c r="G367" s="236"/>
    </row>
    <row r="368" spans="1:7" ht="12.5" x14ac:dyDescent="0.25">
      <c r="A368" s="2"/>
      <c r="B368" s="2"/>
      <c r="C368" s="2"/>
      <c r="D368" s="236"/>
      <c r="E368" s="236"/>
      <c r="F368" s="236"/>
      <c r="G368" s="236"/>
    </row>
    <row r="369" spans="1:7" ht="12.5" x14ac:dyDescent="0.25">
      <c r="A369" s="2"/>
      <c r="B369" s="2"/>
      <c r="C369" s="2"/>
      <c r="D369" s="236"/>
      <c r="E369" s="236"/>
      <c r="F369" s="236"/>
      <c r="G369" s="236"/>
    </row>
    <row r="370" spans="1:7" ht="12.5" x14ac:dyDescent="0.25">
      <c r="A370" s="2"/>
      <c r="B370" s="2"/>
      <c r="C370" s="2"/>
      <c r="D370" s="236"/>
      <c r="E370" s="236"/>
      <c r="F370" s="236"/>
      <c r="G370" s="236"/>
    </row>
    <row r="371" spans="1:7" ht="12.5" x14ac:dyDescent="0.25">
      <c r="A371" s="2"/>
      <c r="B371" s="2"/>
      <c r="C371" s="2"/>
      <c r="D371" s="236"/>
      <c r="E371" s="236"/>
      <c r="F371" s="236"/>
      <c r="G371" s="236"/>
    </row>
    <row r="372" spans="1:7" ht="12.5" x14ac:dyDescent="0.25">
      <c r="A372" s="2"/>
      <c r="B372" s="2"/>
      <c r="C372" s="2"/>
      <c r="D372" s="236"/>
      <c r="E372" s="236"/>
      <c r="F372" s="236"/>
      <c r="G372" s="236"/>
    </row>
    <row r="373" spans="1:7" ht="12.5" x14ac:dyDescent="0.25">
      <c r="A373" s="2"/>
      <c r="B373" s="2"/>
      <c r="C373" s="2"/>
      <c r="D373" s="236"/>
      <c r="E373" s="236"/>
      <c r="F373" s="236"/>
      <c r="G373" s="236"/>
    </row>
    <row r="374" spans="1:7" ht="12.5" x14ac:dyDescent="0.25">
      <c r="A374" s="2"/>
      <c r="B374" s="2"/>
      <c r="C374" s="2"/>
      <c r="D374" s="236"/>
      <c r="E374" s="236"/>
      <c r="F374" s="236"/>
      <c r="G374" s="236"/>
    </row>
    <row r="375" spans="1:7" ht="12.5" x14ac:dyDescent="0.25">
      <c r="A375" s="2"/>
      <c r="B375" s="2"/>
      <c r="C375" s="2"/>
      <c r="D375" s="236"/>
      <c r="E375" s="236"/>
      <c r="F375" s="236"/>
      <c r="G375" s="236"/>
    </row>
    <row r="376" spans="1:7" ht="12.5" x14ac:dyDescent="0.25">
      <c r="A376" s="2"/>
      <c r="B376" s="2"/>
      <c r="C376" s="2"/>
      <c r="D376" s="236"/>
      <c r="E376" s="236"/>
      <c r="F376" s="236"/>
      <c r="G376" s="236"/>
    </row>
    <row r="377" spans="1:7" ht="12.5" x14ac:dyDescent="0.25">
      <c r="A377" s="2"/>
      <c r="B377" s="2"/>
      <c r="C377" s="2"/>
      <c r="D377" s="236"/>
      <c r="E377" s="236"/>
      <c r="F377" s="236"/>
      <c r="G377" s="236"/>
    </row>
    <row r="378" spans="1:7" ht="12.5" x14ac:dyDescent="0.25">
      <c r="A378" s="2"/>
      <c r="B378" s="2"/>
      <c r="C378" s="2"/>
      <c r="D378" s="236"/>
      <c r="E378" s="236"/>
      <c r="F378" s="236"/>
      <c r="G378" s="236"/>
    </row>
    <row r="379" spans="1:7" ht="12.5" x14ac:dyDescent="0.25">
      <c r="A379" s="2"/>
      <c r="B379" s="2"/>
      <c r="C379" s="2"/>
      <c r="D379" s="236"/>
      <c r="E379" s="236"/>
      <c r="F379" s="236"/>
      <c r="G379" s="236"/>
    </row>
    <row r="380" spans="1:7" ht="12.5" x14ac:dyDescent="0.25">
      <c r="A380" s="2"/>
      <c r="B380" s="2"/>
      <c r="C380" s="2"/>
      <c r="D380" s="236"/>
      <c r="E380" s="236"/>
      <c r="F380" s="236"/>
      <c r="G380" s="236"/>
    </row>
    <row r="381" spans="1:7" ht="12.5" x14ac:dyDescent="0.25">
      <c r="A381" s="2"/>
      <c r="B381" s="2"/>
      <c r="C381" s="2"/>
      <c r="D381" s="236"/>
      <c r="E381" s="236"/>
      <c r="F381" s="236"/>
      <c r="G381" s="236"/>
    </row>
    <row r="382" spans="1:7" ht="12.5" x14ac:dyDescent="0.25">
      <c r="A382" s="2"/>
      <c r="B382" s="2"/>
      <c r="C382" s="2"/>
      <c r="D382" s="236"/>
      <c r="E382" s="236"/>
      <c r="F382" s="236"/>
      <c r="G382" s="236"/>
    </row>
    <row r="383" spans="1:7" ht="12.5" x14ac:dyDescent="0.25">
      <c r="A383" s="2"/>
      <c r="B383" s="2"/>
      <c r="C383" s="2"/>
      <c r="D383" s="236"/>
      <c r="E383" s="236"/>
      <c r="F383" s="236"/>
      <c r="G383" s="236"/>
    </row>
    <row r="384" spans="1:7" ht="12.5" x14ac:dyDescent="0.25">
      <c r="A384" s="2"/>
      <c r="B384" s="2"/>
      <c r="C384" s="2"/>
      <c r="D384" s="236"/>
      <c r="E384" s="236"/>
      <c r="F384" s="236"/>
      <c r="G384" s="236"/>
    </row>
    <row r="385" spans="1:7" ht="12.5" x14ac:dyDescent="0.25">
      <c r="A385" s="2"/>
      <c r="B385" s="2"/>
      <c r="C385" s="2"/>
      <c r="D385" s="236"/>
      <c r="E385" s="236"/>
      <c r="F385" s="236"/>
      <c r="G385" s="236"/>
    </row>
    <row r="386" spans="1:7" ht="12.5" x14ac:dyDescent="0.25">
      <c r="A386" s="2"/>
      <c r="B386" s="2"/>
      <c r="C386" s="2"/>
      <c r="D386" s="236"/>
      <c r="E386" s="236"/>
      <c r="F386" s="236"/>
      <c r="G386" s="236"/>
    </row>
    <row r="387" spans="1:7" ht="12.5" x14ac:dyDescent="0.25">
      <c r="A387" s="2"/>
      <c r="B387" s="2"/>
      <c r="C387" s="2"/>
      <c r="D387" s="236"/>
      <c r="E387" s="236"/>
      <c r="F387" s="236"/>
      <c r="G387" s="236"/>
    </row>
    <row r="388" spans="1:7" ht="12.5" x14ac:dyDescent="0.25">
      <c r="A388" s="2"/>
      <c r="B388" s="2"/>
      <c r="C388" s="2"/>
      <c r="D388" s="236"/>
      <c r="E388" s="236"/>
      <c r="F388" s="236"/>
      <c r="G388" s="236"/>
    </row>
    <row r="389" spans="1:7" ht="12.5" x14ac:dyDescent="0.25">
      <c r="A389" s="2"/>
      <c r="B389" s="2"/>
      <c r="C389" s="2"/>
      <c r="D389" s="236"/>
      <c r="E389" s="236"/>
      <c r="F389" s="236"/>
      <c r="G389" s="236"/>
    </row>
    <row r="390" spans="1:7" ht="12.5" x14ac:dyDescent="0.25">
      <c r="A390" s="2"/>
      <c r="B390" s="2"/>
      <c r="C390" s="2"/>
      <c r="D390" s="236"/>
      <c r="E390" s="236"/>
      <c r="F390" s="236"/>
      <c r="G390" s="236"/>
    </row>
    <row r="391" spans="1:7" ht="12.5" x14ac:dyDescent="0.25">
      <c r="A391" s="2"/>
      <c r="B391" s="2"/>
      <c r="C391" s="2"/>
      <c r="D391" s="236"/>
      <c r="E391" s="236"/>
      <c r="F391" s="236"/>
      <c r="G391" s="236"/>
    </row>
    <row r="392" spans="1:7" ht="12.5" x14ac:dyDescent="0.25">
      <c r="A392" s="2"/>
      <c r="B392" s="2"/>
      <c r="C392" s="2"/>
      <c r="D392" s="236"/>
      <c r="E392" s="236"/>
      <c r="F392" s="236"/>
      <c r="G392" s="236"/>
    </row>
    <row r="393" spans="1:7" ht="12.5" x14ac:dyDescent="0.25">
      <c r="A393" s="2"/>
      <c r="B393" s="2"/>
      <c r="C393" s="2"/>
      <c r="D393" s="236"/>
      <c r="E393" s="236"/>
      <c r="F393" s="236"/>
      <c r="G393" s="236"/>
    </row>
    <row r="394" spans="1:7" ht="12.5" x14ac:dyDescent="0.25">
      <c r="A394" s="2"/>
      <c r="B394" s="2"/>
      <c r="C394" s="2"/>
      <c r="D394" s="236"/>
      <c r="E394" s="236"/>
      <c r="F394" s="236"/>
      <c r="G394" s="236"/>
    </row>
    <row r="395" spans="1:7" ht="12.5" x14ac:dyDescent="0.25">
      <c r="A395" s="2"/>
      <c r="B395" s="2"/>
      <c r="C395" s="2"/>
      <c r="D395" s="236"/>
      <c r="E395" s="236"/>
      <c r="F395" s="236"/>
      <c r="G395" s="236"/>
    </row>
    <row r="396" spans="1:7" ht="12.5" x14ac:dyDescent="0.25">
      <c r="A396" s="2"/>
      <c r="B396" s="2"/>
      <c r="C396" s="2"/>
      <c r="D396" s="236"/>
      <c r="E396" s="236"/>
      <c r="F396" s="236"/>
      <c r="G396" s="236"/>
    </row>
    <row r="397" spans="1:7" ht="12.5" x14ac:dyDescent="0.25">
      <c r="A397" s="2"/>
      <c r="B397" s="2"/>
      <c r="C397" s="2"/>
      <c r="D397" s="236"/>
      <c r="E397" s="236"/>
      <c r="F397" s="236"/>
      <c r="G397" s="236"/>
    </row>
    <row r="398" spans="1:7" ht="12.5" x14ac:dyDescent="0.25">
      <c r="A398" s="2"/>
      <c r="B398" s="2"/>
      <c r="C398" s="2"/>
      <c r="D398" s="236"/>
      <c r="E398" s="236"/>
      <c r="F398" s="236"/>
      <c r="G398" s="236"/>
    </row>
    <row r="399" spans="1:7" ht="12.5" x14ac:dyDescent="0.25">
      <c r="A399" s="2"/>
      <c r="B399" s="2"/>
      <c r="C399" s="2"/>
      <c r="D399" s="236"/>
      <c r="E399" s="236"/>
      <c r="F399" s="236"/>
      <c r="G399" s="236"/>
    </row>
    <row r="400" spans="1:7" ht="12.5" x14ac:dyDescent="0.25">
      <c r="A400" s="2"/>
      <c r="B400" s="2"/>
      <c r="C400" s="2"/>
      <c r="D400" s="236"/>
      <c r="E400" s="236"/>
      <c r="F400" s="236"/>
      <c r="G400" s="236"/>
    </row>
    <row r="401" spans="1:7" ht="12.5" x14ac:dyDescent="0.25">
      <c r="A401" s="2"/>
      <c r="B401" s="2"/>
      <c r="C401" s="2"/>
      <c r="D401" s="236"/>
      <c r="E401" s="236"/>
      <c r="F401" s="236"/>
      <c r="G401" s="236"/>
    </row>
    <row r="402" spans="1:7" ht="12.5" x14ac:dyDescent="0.25">
      <c r="A402" s="2"/>
      <c r="B402" s="2"/>
      <c r="C402" s="2"/>
      <c r="D402" s="236"/>
      <c r="E402" s="236"/>
      <c r="F402" s="236"/>
      <c r="G402" s="236"/>
    </row>
    <row r="403" spans="1:7" ht="12.5" x14ac:dyDescent="0.25">
      <c r="A403" s="2"/>
      <c r="B403" s="2"/>
      <c r="C403" s="2"/>
      <c r="D403" s="236"/>
      <c r="E403" s="236"/>
      <c r="F403" s="236"/>
      <c r="G403" s="236"/>
    </row>
    <row r="404" spans="1:7" ht="12.5" x14ac:dyDescent="0.25">
      <c r="A404" s="2"/>
      <c r="B404" s="2"/>
      <c r="C404" s="2"/>
      <c r="D404" s="236"/>
      <c r="E404" s="236"/>
      <c r="F404" s="236"/>
      <c r="G404" s="236"/>
    </row>
    <row r="405" spans="1:7" ht="12.5" x14ac:dyDescent="0.25">
      <c r="A405" s="2"/>
      <c r="B405" s="2"/>
      <c r="C405" s="2"/>
      <c r="D405" s="236"/>
      <c r="E405" s="236"/>
      <c r="F405" s="236"/>
      <c r="G405" s="236"/>
    </row>
    <row r="406" spans="1:7" ht="12.5" x14ac:dyDescent="0.25">
      <c r="A406" s="2"/>
      <c r="B406" s="2"/>
      <c r="C406" s="2"/>
      <c r="D406" s="236"/>
      <c r="E406" s="236"/>
      <c r="F406" s="236"/>
      <c r="G406" s="236"/>
    </row>
    <row r="407" spans="1:7" ht="12.5" x14ac:dyDescent="0.25">
      <c r="A407" s="2"/>
      <c r="B407" s="2"/>
      <c r="C407" s="2"/>
      <c r="D407" s="236"/>
      <c r="E407" s="236"/>
      <c r="F407" s="236"/>
      <c r="G407" s="236"/>
    </row>
    <row r="408" spans="1:7" ht="12.5" x14ac:dyDescent="0.25">
      <c r="A408" s="2"/>
      <c r="B408" s="2"/>
      <c r="C408" s="2"/>
      <c r="D408" s="236"/>
      <c r="E408" s="236"/>
      <c r="F408" s="236"/>
      <c r="G408" s="236"/>
    </row>
    <row r="409" spans="1:7" ht="12.5" x14ac:dyDescent="0.25">
      <c r="A409" s="2"/>
      <c r="B409" s="2"/>
      <c r="C409" s="2"/>
      <c r="D409" s="236"/>
      <c r="E409" s="236"/>
      <c r="F409" s="236"/>
      <c r="G409" s="236"/>
    </row>
    <row r="410" spans="1:7" ht="12.5" x14ac:dyDescent="0.25">
      <c r="A410" s="2"/>
      <c r="B410" s="2"/>
      <c r="C410" s="2"/>
      <c r="D410" s="236"/>
      <c r="E410" s="236"/>
      <c r="F410" s="236"/>
      <c r="G410" s="236"/>
    </row>
    <row r="411" spans="1:7" ht="12.5" x14ac:dyDescent="0.25">
      <c r="A411" s="2"/>
      <c r="B411" s="2"/>
      <c r="C411" s="2"/>
      <c r="D411" s="236"/>
      <c r="E411" s="236"/>
      <c r="F411" s="236"/>
      <c r="G411" s="236"/>
    </row>
    <row r="412" spans="1:7" ht="12.5" x14ac:dyDescent="0.25">
      <c r="A412" s="2"/>
      <c r="B412" s="2"/>
      <c r="C412" s="2"/>
      <c r="D412" s="236"/>
      <c r="E412" s="236"/>
      <c r="F412" s="236"/>
      <c r="G412" s="236"/>
    </row>
    <row r="413" spans="1:7" ht="12.5" x14ac:dyDescent="0.25">
      <c r="A413" s="2"/>
      <c r="B413" s="2"/>
      <c r="C413" s="2"/>
      <c r="D413" s="236"/>
      <c r="E413" s="236"/>
      <c r="F413" s="236"/>
      <c r="G413" s="236"/>
    </row>
    <row r="414" spans="1:7" ht="12.5" x14ac:dyDescent="0.25">
      <c r="A414" s="2"/>
      <c r="B414" s="2"/>
      <c r="C414" s="2"/>
      <c r="D414" s="236"/>
      <c r="E414" s="236"/>
      <c r="F414" s="236"/>
      <c r="G414" s="236"/>
    </row>
    <row r="415" spans="1:7" ht="12.5" x14ac:dyDescent="0.25">
      <c r="A415" s="2"/>
      <c r="B415" s="2"/>
      <c r="C415" s="2"/>
      <c r="D415" s="236"/>
      <c r="E415" s="236"/>
      <c r="F415" s="236"/>
      <c r="G415" s="236"/>
    </row>
    <row r="416" spans="1:7" ht="12.5" x14ac:dyDescent="0.25">
      <c r="A416" s="2"/>
      <c r="B416" s="2"/>
      <c r="C416" s="2"/>
      <c r="D416" s="236"/>
      <c r="E416" s="236"/>
      <c r="F416" s="236"/>
      <c r="G416" s="236"/>
    </row>
    <row r="417" spans="1:7" ht="12.5" x14ac:dyDescent="0.25">
      <c r="A417" s="2"/>
      <c r="B417" s="2"/>
      <c r="C417" s="2"/>
      <c r="D417" s="236"/>
      <c r="E417" s="236"/>
      <c r="F417" s="236"/>
      <c r="G417" s="236"/>
    </row>
    <row r="418" spans="1:7" ht="12.5" x14ac:dyDescent="0.25">
      <c r="A418" s="2"/>
      <c r="B418" s="2"/>
      <c r="C418" s="2"/>
      <c r="D418" s="236"/>
      <c r="E418" s="236"/>
      <c r="F418" s="236"/>
      <c r="G418" s="236"/>
    </row>
    <row r="419" spans="1:7" ht="12.5" x14ac:dyDescent="0.25">
      <c r="A419" s="2"/>
      <c r="B419" s="2"/>
      <c r="C419" s="2"/>
      <c r="D419" s="236"/>
      <c r="E419" s="236"/>
      <c r="F419" s="236"/>
      <c r="G419" s="236"/>
    </row>
    <row r="420" spans="1:7" ht="12.5" x14ac:dyDescent="0.25">
      <c r="A420" s="2"/>
      <c r="B420" s="2"/>
      <c r="C420" s="2"/>
      <c r="D420" s="236"/>
      <c r="E420" s="236"/>
      <c r="F420" s="236"/>
      <c r="G420" s="236"/>
    </row>
    <row r="421" spans="1:7" ht="12.5" x14ac:dyDescent="0.25">
      <c r="A421" s="2"/>
      <c r="B421" s="2"/>
      <c r="C421" s="2"/>
      <c r="D421" s="236"/>
      <c r="E421" s="236"/>
      <c r="F421" s="236"/>
      <c r="G421" s="236"/>
    </row>
    <row r="422" spans="1:7" ht="12.5" x14ac:dyDescent="0.25">
      <c r="A422" s="2"/>
      <c r="B422" s="2"/>
      <c r="C422" s="2"/>
      <c r="D422" s="236"/>
      <c r="E422" s="236"/>
      <c r="F422" s="236"/>
      <c r="G422" s="236"/>
    </row>
    <row r="423" spans="1:7" ht="12.5" x14ac:dyDescent="0.25">
      <c r="A423" s="2"/>
      <c r="B423" s="2"/>
      <c r="C423" s="2"/>
      <c r="D423" s="236"/>
      <c r="E423" s="236"/>
      <c r="F423" s="236"/>
      <c r="G423" s="236"/>
    </row>
    <row r="424" spans="1:7" ht="12.5" x14ac:dyDescent="0.25">
      <c r="A424" s="2"/>
      <c r="B424" s="2"/>
      <c r="C424" s="2"/>
      <c r="D424" s="236"/>
      <c r="E424" s="236"/>
      <c r="F424" s="236"/>
      <c r="G424" s="236"/>
    </row>
    <row r="425" spans="1:7" ht="12.5" x14ac:dyDescent="0.25">
      <c r="A425" s="2"/>
      <c r="B425" s="2"/>
      <c r="C425" s="2"/>
      <c r="D425" s="236"/>
      <c r="E425" s="236"/>
      <c r="F425" s="236"/>
      <c r="G425" s="236"/>
    </row>
    <row r="426" spans="1:7" ht="12.5" x14ac:dyDescent="0.25">
      <c r="A426" s="2"/>
      <c r="B426" s="2"/>
      <c r="C426" s="2"/>
      <c r="D426" s="236"/>
      <c r="E426" s="236"/>
      <c r="F426" s="236"/>
      <c r="G426" s="236"/>
    </row>
    <row r="427" spans="1:7" ht="12.5" x14ac:dyDescent="0.25">
      <c r="A427" s="2"/>
      <c r="B427" s="2"/>
      <c r="C427" s="2"/>
      <c r="D427" s="236"/>
      <c r="E427" s="236"/>
      <c r="F427" s="236"/>
      <c r="G427" s="236"/>
    </row>
    <row r="428" spans="1:7" ht="12.5" x14ac:dyDescent="0.25">
      <c r="A428" s="2"/>
      <c r="B428" s="2"/>
      <c r="C428" s="2"/>
      <c r="D428" s="236"/>
      <c r="E428" s="236"/>
      <c r="F428" s="236"/>
      <c r="G428" s="236"/>
    </row>
    <row r="429" spans="1:7" ht="12.5" x14ac:dyDescent="0.25">
      <c r="A429" s="2"/>
      <c r="B429" s="2"/>
      <c r="C429" s="2"/>
      <c r="D429" s="236"/>
      <c r="E429" s="236"/>
      <c r="F429" s="236"/>
      <c r="G429" s="236"/>
    </row>
    <row r="430" spans="1:7" ht="12.5" x14ac:dyDescent="0.25">
      <c r="A430" s="2"/>
      <c r="B430" s="2"/>
      <c r="C430" s="2"/>
      <c r="D430" s="236"/>
      <c r="E430" s="236"/>
      <c r="F430" s="236"/>
      <c r="G430" s="236"/>
    </row>
    <row r="431" spans="1:7" ht="12.5" x14ac:dyDescent="0.25">
      <c r="A431" s="2"/>
      <c r="B431" s="2"/>
      <c r="C431" s="2"/>
      <c r="D431" s="236"/>
      <c r="E431" s="236"/>
      <c r="F431" s="236"/>
      <c r="G431" s="236"/>
    </row>
    <row r="432" spans="1:7" ht="12.5" x14ac:dyDescent="0.25">
      <c r="A432" s="2"/>
      <c r="B432" s="2"/>
      <c r="C432" s="2"/>
      <c r="D432" s="236"/>
      <c r="E432" s="236"/>
      <c r="F432" s="236"/>
      <c r="G432" s="236"/>
    </row>
    <row r="433" spans="1:7" ht="12.5" x14ac:dyDescent="0.25">
      <c r="A433" s="2"/>
      <c r="B433" s="2"/>
      <c r="C433" s="2"/>
      <c r="D433" s="236"/>
      <c r="E433" s="236"/>
      <c r="F433" s="236"/>
      <c r="G433" s="236"/>
    </row>
    <row r="434" spans="1:7" ht="12.5" x14ac:dyDescent="0.25">
      <c r="A434" s="2"/>
      <c r="B434" s="2"/>
      <c r="C434" s="2"/>
      <c r="D434" s="236"/>
      <c r="E434" s="236"/>
      <c r="F434" s="236"/>
      <c r="G434" s="236"/>
    </row>
    <row r="435" spans="1:7" ht="12.5" x14ac:dyDescent="0.25">
      <c r="A435" s="2"/>
      <c r="B435" s="2"/>
      <c r="C435" s="2"/>
      <c r="D435" s="236"/>
      <c r="E435" s="236"/>
      <c r="F435" s="236"/>
      <c r="G435" s="236"/>
    </row>
    <row r="436" spans="1:7" ht="12.5" x14ac:dyDescent="0.25">
      <c r="A436" s="2"/>
      <c r="B436" s="2"/>
      <c r="C436" s="2"/>
      <c r="D436" s="236"/>
      <c r="E436" s="236"/>
      <c r="F436" s="236"/>
      <c r="G436" s="236"/>
    </row>
    <row r="437" spans="1:7" ht="12.5" x14ac:dyDescent="0.25">
      <c r="A437" s="2"/>
      <c r="B437" s="2"/>
      <c r="C437" s="2"/>
      <c r="D437" s="236"/>
      <c r="E437" s="236"/>
      <c r="F437" s="236"/>
      <c r="G437" s="236"/>
    </row>
    <row r="438" spans="1:7" ht="12.5" x14ac:dyDescent="0.25">
      <c r="A438" s="2"/>
      <c r="B438" s="2"/>
      <c r="C438" s="2"/>
      <c r="D438" s="236"/>
      <c r="E438" s="236"/>
      <c r="F438" s="236"/>
      <c r="G438" s="236"/>
    </row>
    <row r="439" spans="1:7" ht="12.5" x14ac:dyDescent="0.25">
      <c r="A439" s="2"/>
      <c r="B439" s="2"/>
      <c r="C439" s="2"/>
      <c r="D439" s="236"/>
      <c r="E439" s="236"/>
      <c r="F439" s="236"/>
      <c r="G439" s="236"/>
    </row>
    <row r="440" spans="1:7" ht="12.5" x14ac:dyDescent="0.25">
      <c r="A440" s="2"/>
      <c r="B440" s="2"/>
      <c r="C440" s="2"/>
      <c r="D440" s="236"/>
      <c r="E440" s="236"/>
      <c r="F440" s="236"/>
      <c r="G440" s="236"/>
    </row>
    <row r="441" spans="1:7" ht="12.5" x14ac:dyDescent="0.25">
      <c r="A441" s="2"/>
      <c r="B441" s="2"/>
      <c r="C441" s="2"/>
      <c r="D441" s="236"/>
      <c r="E441" s="236"/>
      <c r="F441" s="236"/>
      <c r="G441" s="236"/>
    </row>
    <row r="442" spans="1:7" ht="12.5" x14ac:dyDescent="0.25">
      <c r="A442" s="2"/>
      <c r="B442" s="2"/>
      <c r="C442" s="2"/>
      <c r="D442" s="236"/>
      <c r="E442" s="236"/>
      <c r="F442" s="236"/>
      <c r="G442" s="236"/>
    </row>
    <row r="443" spans="1:7" ht="12.5" x14ac:dyDescent="0.25">
      <c r="A443" s="2"/>
      <c r="B443" s="2"/>
      <c r="C443" s="2"/>
      <c r="D443" s="236"/>
      <c r="E443" s="236"/>
      <c r="F443" s="236"/>
      <c r="G443" s="236"/>
    </row>
    <row r="444" spans="1:7" ht="12.5" x14ac:dyDescent="0.25">
      <c r="A444" s="2"/>
      <c r="B444" s="2"/>
      <c r="C444" s="2"/>
      <c r="D444" s="236"/>
      <c r="E444" s="236"/>
      <c r="F444" s="236"/>
      <c r="G444" s="236"/>
    </row>
    <row r="445" spans="1:7" ht="12.5" x14ac:dyDescent="0.25">
      <c r="A445" s="2"/>
      <c r="B445" s="2"/>
      <c r="C445" s="2"/>
      <c r="D445" s="236"/>
      <c r="E445" s="236"/>
      <c r="F445" s="236"/>
      <c r="G445" s="236"/>
    </row>
    <row r="446" spans="1:7" ht="12.5" x14ac:dyDescent="0.25">
      <c r="A446" s="2"/>
      <c r="B446" s="2"/>
      <c r="C446" s="2"/>
      <c r="D446" s="236"/>
      <c r="E446" s="236"/>
      <c r="F446" s="236"/>
      <c r="G446" s="236"/>
    </row>
    <row r="447" spans="1:7" ht="12.5" x14ac:dyDescent="0.25">
      <c r="A447" s="2"/>
      <c r="B447" s="2"/>
      <c r="C447" s="2"/>
      <c r="D447" s="236"/>
      <c r="E447" s="236"/>
      <c r="F447" s="236"/>
      <c r="G447" s="236"/>
    </row>
    <row r="448" spans="1:7" ht="12.5" x14ac:dyDescent="0.25">
      <c r="A448" s="2"/>
      <c r="B448" s="2"/>
      <c r="C448" s="2"/>
      <c r="D448" s="236"/>
      <c r="E448" s="236"/>
      <c r="F448" s="236"/>
      <c r="G448" s="236"/>
    </row>
    <row r="449" spans="1:7" ht="12.5" x14ac:dyDescent="0.25">
      <c r="A449" s="2"/>
      <c r="B449" s="2"/>
      <c r="C449" s="2"/>
      <c r="D449" s="236"/>
      <c r="E449" s="236"/>
      <c r="F449" s="236"/>
      <c r="G449" s="236"/>
    </row>
    <row r="450" spans="1:7" ht="12.5" x14ac:dyDescent="0.25">
      <c r="A450" s="2"/>
      <c r="B450" s="2"/>
      <c r="C450" s="2"/>
      <c r="D450" s="236"/>
      <c r="E450" s="236"/>
      <c r="F450" s="236"/>
      <c r="G450" s="236"/>
    </row>
    <row r="451" spans="1:7" ht="12.5" x14ac:dyDescent="0.25">
      <c r="A451" s="2"/>
      <c r="B451" s="2"/>
      <c r="C451" s="2"/>
      <c r="D451" s="236"/>
      <c r="E451" s="236"/>
      <c r="F451" s="236"/>
      <c r="G451" s="236"/>
    </row>
    <row r="452" spans="1:7" ht="12.5" x14ac:dyDescent="0.25">
      <c r="A452" s="2"/>
      <c r="B452" s="2"/>
      <c r="C452" s="2"/>
      <c r="D452" s="236"/>
      <c r="E452" s="236"/>
      <c r="F452" s="236"/>
      <c r="G452" s="236"/>
    </row>
    <row r="453" spans="1:7" ht="12.5" x14ac:dyDescent="0.25">
      <c r="A453" s="2"/>
      <c r="B453" s="2"/>
      <c r="C453" s="2"/>
      <c r="D453" s="236"/>
      <c r="E453" s="236"/>
      <c r="F453" s="236"/>
      <c r="G453" s="236"/>
    </row>
    <row r="454" spans="1:7" ht="12.5" x14ac:dyDescent="0.25">
      <c r="A454" s="2"/>
      <c r="B454" s="2"/>
      <c r="C454" s="2"/>
      <c r="D454" s="236"/>
      <c r="E454" s="236"/>
      <c r="F454" s="236"/>
      <c r="G454" s="236"/>
    </row>
    <row r="455" spans="1:7" ht="12.5" x14ac:dyDescent="0.25">
      <c r="A455" s="2"/>
      <c r="B455" s="2"/>
      <c r="C455" s="2"/>
      <c r="D455" s="236"/>
      <c r="E455" s="236"/>
      <c r="F455" s="236"/>
      <c r="G455" s="236"/>
    </row>
    <row r="456" spans="1:7" ht="12.5" x14ac:dyDescent="0.25">
      <c r="A456" s="2"/>
      <c r="B456" s="2"/>
      <c r="C456" s="2"/>
      <c r="D456" s="236"/>
      <c r="E456" s="236"/>
      <c r="F456" s="236"/>
      <c r="G456" s="236"/>
    </row>
    <row r="457" spans="1:7" ht="12.5" x14ac:dyDescent="0.25">
      <c r="A457" s="2"/>
      <c r="B457" s="2"/>
      <c r="C457" s="2"/>
      <c r="D457" s="236"/>
      <c r="E457" s="236"/>
      <c r="F457" s="236"/>
      <c r="G457" s="236"/>
    </row>
    <row r="458" spans="1:7" ht="12.5" x14ac:dyDescent="0.25">
      <c r="A458" s="2"/>
      <c r="B458" s="2"/>
      <c r="C458" s="2"/>
      <c r="D458" s="236"/>
      <c r="E458" s="236"/>
      <c r="F458" s="236"/>
      <c r="G458" s="236"/>
    </row>
    <row r="459" spans="1:7" ht="12.5" x14ac:dyDescent="0.25">
      <c r="A459" s="2"/>
      <c r="B459" s="2"/>
      <c r="C459" s="2"/>
      <c r="D459" s="236"/>
      <c r="E459" s="236"/>
      <c r="F459" s="236"/>
      <c r="G459" s="236"/>
    </row>
    <row r="460" spans="1:7" ht="12.5" x14ac:dyDescent="0.25">
      <c r="A460" s="2"/>
      <c r="B460" s="2"/>
      <c r="C460" s="2"/>
      <c r="D460" s="236"/>
      <c r="E460" s="236"/>
      <c r="F460" s="236"/>
      <c r="G460" s="236"/>
    </row>
    <row r="461" spans="1:7" ht="12.5" x14ac:dyDescent="0.25">
      <c r="A461" s="2"/>
      <c r="B461" s="2"/>
      <c r="C461" s="2"/>
      <c r="D461" s="236"/>
      <c r="E461" s="236"/>
      <c r="F461" s="236"/>
      <c r="G461" s="236"/>
    </row>
    <row r="462" spans="1:7" ht="12.5" x14ac:dyDescent="0.25">
      <c r="A462" s="2"/>
      <c r="B462" s="2"/>
      <c r="C462" s="2"/>
      <c r="D462" s="236"/>
      <c r="E462" s="236"/>
      <c r="F462" s="236"/>
      <c r="G462" s="236"/>
    </row>
    <row r="463" spans="1:7" ht="12.5" x14ac:dyDescent="0.25">
      <c r="A463" s="2"/>
      <c r="B463" s="2"/>
      <c r="C463" s="2"/>
      <c r="D463" s="236"/>
      <c r="E463" s="236"/>
      <c r="F463" s="236"/>
      <c r="G463" s="236"/>
    </row>
    <row r="464" spans="1:7" ht="12.5" x14ac:dyDescent="0.25">
      <c r="A464" s="2"/>
      <c r="B464" s="2"/>
      <c r="C464" s="2"/>
      <c r="D464" s="236"/>
      <c r="E464" s="236"/>
      <c r="F464" s="236"/>
      <c r="G464" s="236"/>
    </row>
    <row r="465" spans="1:7" ht="12.5" x14ac:dyDescent="0.25">
      <c r="A465" s="2"/>
      <c r="B465" s="2"/>
      <c r="C465" s="2"/>
      <c r="D465" s="236"/>
      <c r="E465" s="236"/>
      <c r="F465" s="236"/>
      <c r="G465" s="236"/>
    </row>
    <row r="466" spans="1:7" ht="12.5" x14ac:dyDescent="0.25">
      <c r="A466" s="2"/>
      <c r="B466" s="2"/>
      <c r="C466" s="2"/>
      <c r="D466" s="236"/>
      <c r="E466" s="236"/>
      <c r="F466" s="236"/>
      <c r="G466" s="236"/>
    </row>
    <row r="467" spans="1:7" ht="12.5" x14ac:dyDescent="0.25">
      <c r="A467" s="2"/>
      <c r="B467" s="2"/>
      <c r="C467" s="2"/>
      <c r="D467" s="236"/>
      <c r="E467" s="236"/>
      <c r="F467" s="236"/>
      <c r="G467" s="236"/>
    </row>
    <row r="468" spans="1:7" ht="12.5" x14ac:dyDescent="0.25">
      <c r="A468" s="2"/>
      <c r="B468" s="2"/>
      <c r="C468" s="2"/>
      <c r="D468" s="236"/>
      <c r="E468" s="236"/>
      <c r="F468" s="236"/>
      <c r="G468" s="236"/>
    </row>
    <row r="469" spans="1:7" ht="12.5" x14ac:dyDescent="0.25">
      <c r="A469" s="2"/>
      <c r="B469" s="2"/>
      <c r="C469" s="2"/>
      <c r="D469" s="236"/>
      <c r="E469" s="236"/>
      <c r="F469" s="236"/>
      <c r="G469" s="236"/>
    </row>
    <row r="470" spans="1:7" ht="12.5" x14ac:dyDescent="0.25">
      <c r="A470" s="2"/>
      <c r="B470" s="2"/>
      <c r="C470" s="2"/>
      <c r="D470" s="236"/>
      <c r="E470" s="236"/>
      <c r="F470" s="236"/>
      <c r="G470" s="236"/>
    </row>
    <row r="471" spans="1:7" ht="12.5" x14ac:dyDescent="0.25">
      <c r="A471" s="2"/>
      <c r="B471" s="2"/>
      <c r="C471" s="2"/>
      <c r="D471" s="236"/>
      <c r="E471" s="236"/>
      <c r="F471" s="236"/>
      <c r="G471" s="236"/>
    </row>
    <row r="472" spans="1:7" ht="12.5" x14ac:dyDescent="0.25">
      <c r="A472" s="2"/>
      <c r="B472" s="2"/>
      <c r="C472" s="2"/>
      <c r="D472" s="236"/>
      <c r="E472" s="236"/>
      <c r="F472" s="236"/>
      <c r="G472" s="236"/>
    </row>
    <row r="473" spans="1:7" ht="12.5" x14ac:dyDescent="0.25">
      <c r="A473" s="2"/>
      <c r="B473" s="2"/>
      <c r="C473" s="2"/>
      <c r="D473" s="236"/>
      <c r="E473" s="236"/>
      <c r="F473" s="236"/>
      <c r="G473" s="236"/>
    </row>
    <row r="474" spans="1:7" ht="12.5" x14ac:dyDescent="0.25">
      <c r="A474" s="2"/>
      <c r="B474" s="2"/>
      <c r="C474" s="2"/>
      <c r="D474" s="236"/>
      <c r="E474" s="236"/>
      <c r="F474" s="236"/>
      <c r="G474" s="236"/>
    </row>
    <row r="475" spans="1:7" ht="12.5" x14ac:dyDescent="0.25">
      <c r="A475" s="2"/>
      <c r="B475" s="2"/>
      <c r="C475" s="2"/>
      <c r="D475" s="236"/>
      <c r="E475" s="236"/>
      <c r="F475" s="236"/>
      <c r="G475" s="236"/>
    </row>
    <row r="476" spans="1:7" ht="12.5" x14ac:dyDescent="0.25">
      <c r="A476" s="2"/>
      <c r="B476" s="2"/>
      <c r="C476" s="2"/>
      <c r="D476" s="236"/>
      <c r="E476" s="236"/>
      <c r="F476" s="236"/>
      <c r="G476" s="236"/>
    </row>
    <row r="477" spans="1:7" ht="12.5" x14ac:dyDescent="0.25">
      <c r="A477" s="2"/>
      <c r="B477" s="2"/>
      <c r="C477" s="2"/>
      <c r="D477" s="236"/>
      <c r="E477" s="236"/>
      <c r="F477" s="236"/>
      <c r="G477" s="236"/>
    </row>
    <row r="478" spans="1:7" ht="12.5" x14ac:dyDescent="0.25">
      <c r="A478" s="2"/>
      <c r="B478" s="2"/>
      <c r="C478" s="2"/>
      <c r="D478" s="236"/>
      <c r="E478" s="236"/>
      <c r="F478" s="236"/>
      <c r="G478" s="236"/>
    </row>
    <row r="479" spans="1:7" ht="12.5" x14ac:dyDescent="0.25">
      <c r="A479" s="2"/>
      <c r="B479" s="2"/>
      <c r="C479" s="2"/>
      <c r="D479" s="236"/>
      <c r="E479" s="236"/>
      <c r="F479" s="236"/>
      <c r="G479" s="236"/>
    </row>
    <row r="480" spans="1:7" ht="12.5" x14ac:dyDescent="0.25">
      <c r="A480" s="2"/>
      <c r="B480" s="2"/>
      <c r="C480" s="2"/>
      <c r="D480" s="236"/>
      <c r="E480" s="236"/>
      <c r="F480" s="236"/>
      <c r="G480" s="236"/>
    </row>
    <row r="481" spans="1:7" ht="12.5" x14ac:dyDescent="0.25">
      <c r="A481" s="2"/>
      <c r="B481" s="2"/>
      <c r="C481" s="2"/>
      <c r="D481" s="236"/>
      <c r="E481" s="236"/>
      <c r="F481" s="236"/>
      <c r="G481" s="236"/>
    </row>
    <row r="482" spans="1:7" ht="12.5" x14ac:dyDescent="0.25">
      <c r="A482" s="2"/>
      <c r="B482" s="2"/>
      <c r="C482" s="2"/>
      <c r="D482" s="236"/>
      <c r="E482" s="236"/>
      <c r="F482" s="236"/>
      <c r="G482" s="236"/>
    </row>
    <row r="483" spans="1:7" ht="12.5" x14ac:dyDescent="0.25">
      <c r="A483" s="2"/>
      <c r="B483" s="2"/>
      <c r="C483" s="2"/>
      <c r="D483" s="236"/>
      <c r="E483" s="236"/>
      <c r="F483" s="236"/>
      <c r="G483" s="236"/>
    </row>
    <row r="484" spans="1:7" ht="12.5" x14ac:dyDescent="0.25">
      <c r="A484" s="2"/>
      <c r="B484" s="2"/>
      <c r="C484" s="2"/>
      <c r="D484" s="236"/>
      <c r="E484" s="236"/>
      <c r="F484" s="236"/>
      <c r="G484" s="236"/>
    </row>
    <row r="485" spans="1:7" ht="12.5" x14ac:dyDescent="0.25">
      <c r="A485" s="2"/>
      <c r="B485" s="2"/>
      <c r="C485" s="2"/>
      <c r="D485" s="236"/>
      <c r="E485" s="236"/>
      <c r="F485" s="236"/>
      <c r="G485" s="236"/>
    </row>
    <row r="486" spans="1:7" ht="12.5" x14ac:dyDescent="0.25">
      <c r="A486" s="2"/>
      <c r="B486" s="2"/>
      <c r="C486" s="2"/>
      <c r="D486" s="236"/>
      <c r="E486" s="236"/>
      <c r="F486" s="236"/>
      <c r="G486" s="236"/>
    </row>
    <row r="487" spans="1:7" ht="12.5" x14ac:dyDescent="0.25">
      <c r="A487" s="2"/>
      <c r="B487" s="2"/>
      <c r="C487" s="2"/>
      <c r="D487" s="236"/>
      <c r="E487" s="236"/>
      <c r="F487" s="236"/>
      <c r="G487" s="236"/>
    </row>
    <row r="488" spans="1:7" ht="12.5" x14ac:dyDescent="0.25">
      <c r="A488" s="2"/>
      <c r="B488" s="2"/>
      <c r="C488" s="2"/>
      <c r="D488" s="236"/>
      <c r="E488" s="236"/>
      <c r="F488" s="236"/>
      <c r="G488" s="236"/>
    </row>
    <row r="489" spans="1:7" ht="12.5" x14ac:dyDescent="0.25">
      <c r="A489" s="2"/>
      <c r="B489" s="2"/>
      <c r="C489" s="2"/>
      <c r="D489" s="236"/>
      <c r="E489" s="236"/>
      <c r="F489" s="236"/>
      <c r="G489" s="236"/>
    </row>
    <row r="490" spans="1:7" ht="12.5" x14ac:dyDescent="0.25">
      <c r="A490" s="2"/>
      <c r="B490" s="2"/>
      <c r="C490" s="2"/>
      <c r="D490" s="236"/>
      <c r="E490" s="236"/>
      <c r="F490" s="236"/>
      <c r="G490" s="236"/>
    </row>
    <row r="491" spans="1:7" ht="12.5" x14ac:dyDescent="0.25">
      <c r="A491" s="2"/>
      <c r="B491" s="2"/>
      <c r="C491" s="2"/>
      <c r="D491" s="236"/>
      <c r="E491" s="236"/>
      <c r="F491" s="236"/>
      <c r="G491" s="236"/>
    </row>
    <row r="492" spans="1:7" ht="12.5" x14ac:dyDescent="0.25">
      <c r="A492" s="2"/>
      <c r="B492" s="2"/>
      <c r="C492" s="2"/>
      <c r="D492" s="236"/>
      <c r="E492" s="236"/>
      <c r="F492" s="236"/>
      <c r="G492" s="236"/>
    </row>
    <row r="493" spans="1:7" ht="12.5" x14ac:dyDescent="0.25">
      <c r="A493" s="2"/>
      <c r="B493" s="2"/>
      <c r="C493" s="2"/>
      <c r="D493" s="236"/>
      <c r="E493" s="236"/>
      <c r="F493" s="236"/>
      <c r="G493" s="236"/>
    </row>
    <row r="494" spans="1:7" ht="12.5" x14ac:dyDescent="0.25">
      <c r="A494" s="2"/>
      <c r="B494" s="2"/>
      <c r="C494" s="2"/>
      <c r="D494" s="236"/>
      <c r="E494" s="236"/>
      <c r="F494" s="236"/>
      <c r="G494" s="236"/>
    </row>
    <row r="495" spans="1:7" ht="12.5" x14ac:dyDescent="0.25">
      <c r="A495" s="2"/>
      <c r="B495" s="2"/>
      <c r="C495" s="2"/>
      <c r="D495" s="236"/>
      <c r="E495" s="236"/>
      <c r="F495" s="236"/>
      <c r="G495" s="236"/>
    </row>
    <row r="496" spans="1:7" ht="12.5" x14ac:dyDescent="0.25">
      <c r="A496" s="2"/>
      <c r="B496" s="2"/>
      <c r="C496" s="2"/>
      <c r="D496" s="236"/>
      <c r="E496" s="236"/>
      <c r="F496" s="236"/>
      <c r="G496" s="236"/>
    </row>
    <row r="497" spans="1:7" ht="12.5" x14ac:dyDescent="0.25">
      <c r="A497" s="2"/>
      <c r="B497" s="2"/>
      <c r="C497" s="2"/>
      <c r="D497" s="236"/>
      <c r="E497" s="236"/>
      <c r="F497" s="236"/>
      <c r="G497" s="236"/>
    </row>
    <row r="498" spans="1:7" ht="12.5" x14ac:dyDescent="0.25">
      <c r="A498" s="2"/>
      <c r="B498" s="2"/>
      <c r="C498" s="2"/>
      <c r="D498" s="236"/>
      <c r="E498" s="236"/>
      <c r="F498" s="236"/>
      <c r="G498" s="236"/>
    </row>
    <row r="499" spans="1:7" ht="12.5" x14ac:dyDescent="0.25">
      <c r="A499" s="2"/>
      <c r="B499" s="2"/>
      <c r="C499" s="2"/>
      <c r="D499" s="236"/>
      <c r="E499" s="236"/>
      <c r="F499" s="236"/>
      <c r="G499" s="236"/>
    </row>
    <row r="500" spans="1:7" ht="12.5" x14ac:dyDescent="0.25">
      <c r="A500" s="2"/>
      <c r="B500" s="2"/>
      <c r="C500" s="2"/>
      <c r="D500" s="236"/>
      <c r="E500" s="236"/>
      <c r="F500" s="236"/>
      <c r="G500" s="236"/>
    </row>
    <row r="501" spans="1:7" ht="12.5" x14ac:dyDescent="0.25">
      <c r="A501" s="2"/>
      <c r="B501" s="2"/>
      <c r="C501" s="2"/>
      <c r="D501" s="236"/>
      <c r="E501" s="236"/>
      <c r="F501" s="236"/>
      <c r="G501" s="236"/>
    </row>
    <row r="502" spans="1:7" ht="12.5" x14ac:dyDescent="0.25">
      <c r="A502" s="2"/>
      <c r="B502" s="2"/>
      <c r="C502" s="2"/>
      <c r="D502" s="236"/>
      <c r="E502" s="236"/>
      <c r="F502" s="236"/>
      <c r="G502" s="236"/>
    </row>
    <row r="503" spans="1:7" ht="12.5" x14ac:dyDescent="0.25">
      <c r="A503" s="2"/>
      <c r="B503" s="2"/>
      <c r="C503" s="2"/>
      <c r="D503" s="236"/>
      <c r="E503" s="236"/>
      <c r="F503" s="236"/>
      <c r="G503" s="236"/>
    </row>
    <row r="504" spans="1:7" ht="12.5" x14ac:dyDescent="0.25">
      <c r="A504" s="2"/>
      <c r="B504" s="2"/>
      <c r="C504" s="2"/>
      <c r="D504" s="236"/>
      <c r="E504" s="236"/>
      <c r="F504" s="236"/>
      <c r="G504" s="236"/>
    </row>
    <row r="505" spans="1:7" ht="12.5" x14ac:dyDescent="0.25">
      <c r="A505" s="2"/>
      <c r="B505" s="2"/>
      <c r="C505" s="2"/>
      <c r="D505" s="236"/>
      <c r="E505" s="236"/>
      <c r="F505" s="236"/>
      <c r="G505" s="236"/>
    </row>
    <row r="506" spans="1:7" ht="12.5" x14ac:dyDescent="0.25">
      <c r="A506" s="2"/>
      <c r="B506" s="2"/>
      <c r="C506" s="2"/>
      <c r="D506" s="236"/>
      <c r="E506" s="236"/>
      <c r="F506" s="236"/>
      <c r="G506" s="236"/>
    </row>
    <row r="507" spans="1:7" ht="12.5" x14ac:dyDescent="0.25">
      <c r="A507" s="2"/>
      <c r="B507" s="2"/>
      <c r="C507" s="2"/>
      <c r="D507" s="236"/>
      <c r="E507" s="236"/>
      <c r="F507" s="236"/>
      <c r="G507" s="236"/>
    </row>
    <row r="508" spans="1:7" ht="12.5" x14ac:dyDescent="0.25">
      <c r="A508" s="2"/>
      <c r="B508" s="2"/>
      <c r="C508" s="2"/>
      <c r="D508" s="236"/>
      <c r="E508" s="236"/>
      <c r="F508" s="236"/>
      <c r="G508" s="236"/>
    </row>
    <row r="509" spans="1:7" ht="12.5" x14ac:dyDescent="0.25">
      <c r="A509" s="2"/>
      <c r="B509" s="2"/>
      <c r="C509" s="2"/>
      <c r="D509" s="236"/>
      <c r="E509" s="236"/>
      <c r="F509" s="236"/>
      <c r="G509" s="236"/>
    </row>
    <row r="510" spans="1:7" ht="12.5" x14ac:dyDescent="0.25">
      <c r="A510" s="2"/>
      <c r="B510" s="2"/>
      <c r="C510" s="2"/>
      <c r="D510" s="236"/>
      <c r="E510" s="236"/>
      <c r="F510" s="236"/>
      <c r="G510" s="236"/>
    </row>
    <row r="511" spans="1:7" ht="12.5" x14ac:dyDescent="0.25">
      <c r="A511" s="2"/>
      <c r="B511" s="2"/>
      <c r="C511" s="2"/>
      <c r="D511" s="236"/>
      <c r="E511" s="236"/>
      <c r="F511" s="236"/>
      <c r="G511" s="236"/>
    </row>
    <row r="512" spans="1:7" ht="12.5" x14ac:dyDescent="0.25">
      <c r="A512" s="2"/>
      <c r="B512" s="2"/>
      <c r="C512" s="2"/>
      <c r="D512" s="236"/>
      <c r="E512" s="236"/>
      <c r="F512" s="236"/>
      <c r="G512" s="236"/>
    </row>
    <row r="513" spans="1:7" ht="12.5" x14ac:dyDescent="0.25">
      <c r="A513" s="2"/>
      <c r="B513" s="2"/>
      <c r="C513" s="2"/>
      <c r="D513" s="236"/>
      <c r="E513" s="236"/>
      <c r="F513" s="236"/>
      <c r="G513" s="236"/>
    </row>
    <row r="514" spans="1:7" ht="12.5" x14ac:dyDescent="0.25">
      <c r="A514" s="2"/>
      <c r="B514" s="2"/>
      <c r="C514" s="2"/>
      <c r="D514" s="236"/>
      <c r="E514" s="236"/>
      <c r="F514" s="236"/>
      <c r="G514" s="236"/>
    </row>
    <row r="515" spans="1:7" ht="12.5" x14ac:dyDescent="0.25">
      <c r="A515" s="2"/>
      <c r="B515" s="2"/>
      <c r="C515" s="2"/>
      <c r="D515" s="236"/>
      <c r="E515" s="236"/>
      <c r="F515" s="236"/>
      <c r="G515" s="236"/>
    </row>
    <row r="516" spans="1:7" ht="12.5" x14ac:dyDescent="0.25">
      <c r="A516" s="2"/>
      <c r="B516" s="2"/>
      <c r="C516" s="2"/>
      <c r="D516" s="236"/>
      <c r="E516" s="236"/>
      <c r="F516" s="236"/>
      <c r="G516" s="236"/>
    </row>
    <row r="517" spans="1:7" ht="12.5" x14ac:dyDescent="0.25">
      <c r="A517" s="2"/>
      <c r="B517" s="2"/>
      <c r="C517" s="2"/>
      <c r="D517" s="236"/>
      <c r="E517" s="236"/>
      <c r="F517" s="236"/>
      <c r="G517" s="236"/>
    </row>
    <row r="518" spans="1:7" ht="12.5" x14ac:dyDescent="0.25">
      <c r="A518" s="2"/>
      <c r="B518" s="2"/>
      <c r="C518" s="2"/>
      <c r="D518" s="236"/>
      <c r="E518" s="236"/>
      <c r="F518" s="236"/>
      <c r="G518" s="236"/>
    </row>
    <row r="519" spans="1:7" ht="12.5" x14ac:dyDescent="0.25">
      <c r="A519" s="2"/>
      <c r="B519" s="2"/>
      <c r="C519" s="2"/>
      <c r="D519" s="236"/>
      <c r="E519" s="236"/>
      <c r="F519" s="236"/>
      <c r="G519" s="236"/>
    </row>
    <row r="520" spans="1:7" ht="12.5" x14ac:dyDescent="0.25">
      <c r="A520" s="2"/>
      <c r="B520" s="2"/>
      <c r="C520" s="2"/>
      <c r="D520" s="236"/>
      <c r="E520" s="236"/>
      <c r="F520" s="236"/>
      <c r="G520" s="236"/>
    </row>
    <row r="521" spans="1:7" ht="12.5" x14ac:dyDescent="0.25">
      <c r="A521" s="2"/>
      <c r="B521" s="2"/>
      <c r="C521" s="2"/>
      <c r="D521" s="236"/>
      <c r="E521" s="236"/>
      <c r="F521" s="236"/>
      <c r="G521" s="236"/>
    </row>
    <row r="522" spans="1:7" ht="12.5" x14ac:dyDescent="0.25">
      <c r="A522" s="2"/>
      <c r="B522" s="2"/>
      <c r="C522" s="2"/>
      <c r="D522" s="236"/>
      <c r="E522" s="236"/>
      <c r="F522" s="236"/>
      <c r="G522" s="236"/>
    </row>
    <row r="523" spans="1:7" ht="12.5" x14ac:dyDescent="0.25">
      <c r="A523" s="2"/>
      <c r="B523" s="2"/>
      <c r="C523" s="2"/>
      <c r="D523" s="236"/>
      <c r="E523" s="236"/>
      <c r="F523" s="236"/>
      <c r="G523" s="236"/>
    </row>
    <row r="524" spans="1:7" ht="12.5" x14ac:dyDescent="0.25">
      <c r="A524" s="2"/>
      <c r="B524" s="2"/>
      <c r="C524" s="2"/>
      <c r="D524" s="236"/>
      <c r="E524" s="236"/>
      <c r="F524" s="236"/>
      <c r="G524" s="236"/>
    </row>
    <row r="525" spans="1:7" ht="12.5" x14ac:dyDescent="0.25">
      <c r="A525" s="2"/>
      <c r="B525" s="2"/>
      <c r="C525" s="2"/>
      <c r="D525" s="236"/>
      <c r="E525" s="236"/>
      <c r="F525" s="236"/>
      <c r="G525" s="236"/>
    </row>
    <row r="526" spans="1:7" ht="12.5" x14ac:dyDescent="0.25">
      <c r="A526" s="2"/>
      <c r="B526" s="2"/>
      <c r="C526" s="2"/>
      <c r="D526" s="236"/>
      <c r="E526" s="236"/>
      <c r="F526" s="236"/>
      <c r="G526" s="236"/>
    </row>
    <row r="527" spans="1:7" ht="12.5" x14ac:dyDescent="0.25">
      <c r="A527" s="2"/>
      <c r="B527" s="2"/>
      <c r="C527" s="2"/>
      <c r="D527" s="236"/>
      <c r="E527" s="236"/>
      <c r="F527" s="236"/>
      <c r="G527" s="236"/>
    </row>
    <row r="528" spans="1:7" ht="12.5" x14ac:dyDescent="0.25">
      <c r="A528" s="2"/>
      <c r="B528" s="2"/>
      <c r="C528" s="2"/>
      <c r="D528" s="236"/>
      <c r="E528" s="236"/>
      <c r="F528" s="236"/>
      <c r="G528" s="236"/>
    </row>
    <row r="529" spans="1:7" ht="12.5" x14ac:dyDescent="0.25">
      <c r="A529" s="2"/>
      <c r="B529" s="2"/>
      <c r="C529" s="2"/>
      <c r="D529" s="236"/>
      <c r="E529" s="236"/>
      <c r="F529" s="236"/>
      <c r="G529" s="236"/>
    </row>
    <row r="530" spans="1:7" ht="12.5" x14ac:dyDescent="0.25">
      <c r="A530" s="2"/>
      <c r="B530" s="2"/>
      <c r="C530" s="2"/>
      <c r="D530" s="236"/>
      <c r="E530" s="236"/>
      <c r="F530" s="236"/>
      <c r="G530" s="236"/>
    </row>
    <row r="531" spans="1:7" ht="12.5" x14ac:dyDescent="0.25">
      <c r="A531" s="2"/>
      <c r="B531" s="2"/>
      <c r="C531" s="2"/>
      <c r="D531" s="236"/>
      <c r="E531" s="236"/>
      <c r="F531" s="236"/>
      <c r="G531" s="236"/>
    </row>
    <row r="532" spans="1:7" ht="12.5" x14ac:dyDescent="0.25">
      <c r="A532" s="2"/>
      <c r="B532" s="2"/>
      <c r="C532" s="2"/>
      <c r="D532" s="236"/>
      <c r="E532" s="236"/>
      <c r="F532" s="236"/>
      <c r="G532" s="236"/>
    </row>
    <row r="533" spans="1:7" ht="12.5" x14ac:dyDescent="0.25">
      <c r="A533" s="2"/>
      <c r="B533" s="2"/>
      <c r="C533" s="2"/>
      <c r="D533" s="236"/>
      <c r="E533" s="236"/>
      <c r="F533" s="236"/>
      <c r="G533" s="236"/>
    </row>
    <row r="534" spans="1:7" ht="12.5" x14ac:dyDescent="0.25">
      <c r="A534" s="2"/>
      <c r="B534" s="2"/>
      <c r="C534" s="2"/>
      <c r="D534" s="236"/>
      <c r="E534" s="236"/>
      <c r="F534" s="236"/>
      <c r="G534" s="236"/>
    </row>
    <row r="535" spans="1:7" ht="12.5" x14ac:dyDescent="0.25">
      <c r="A535" s="2"/>
      <c r="B535" s="2"/>
      <c r="C535" s="2"/>
      <c r="D535" s="236"/>
      <c r="E535" s="236"/>
      <c r="F535" s="236"/>
      <c r="G535" s="236"/>
    </row>
    <row r="536" spans="1:7" ht="12.5" x14ac:dyDescent="0.25">
      <c r="A536" s="2"/>
      <c r="B536" s="2"/>
      <c r="C536" s="2"/>
      <c r="D536" s="236"/>
      <c r="E536" s="236"/>
      <c r="F536" s="236"/>
      <c r="G536" s="236"/>
    </row>
    <row r="537" spans="1:7" ht="12.5" x14ac:dyDescent="0.25">
      <c r="A537" s="2"/>
      <c r="B537" s="2"/>
      <c r="C537" s="2"/>
      <c r="D537" s="236"/>
      <c r="E537" s="236"/>
      <c r="F537" s="236"/>
      <c r="G537" s="236"/>
    </row>
    <row r="538" spans="1:7" ht="12.5" x14ac:dyDescent="0.25">
      <c r="A538" s="2"/>
      <c r="B538" s="2"/>
      <c r="C538" s="2"/>
      <c r="D538" s="236"/>
      <c r="E538" s="236"/>
      <c r="F538" s="236"/>
      <c r="G538" s="236"/>
    </row>
    <row r="539" spans="1:7" ht="12.5" x14ac:dyDescent="0.25">
      <c r="A539" s="2"/>
      <c r="B539" s="2"/>
      <c r="C539" s="2"/>
      <c r="D539" s="236"/>
      <c r="E539" s="236"/>
      <c r="F539" s="236"/>
      <c r="G539" s="236"/>
    </row>
    <row r="540" spans="1:7" ht="12.5" x14ac:dyDescent="0.25">
      <c r="A540" s="2"/>
      <c r="B540" s="2"/>
      <c r="C540" s="2"/>
      <c r="D540" s="236"/>
      <c r="E540" s="236"/>
      <c r="F540" s="236"/>
      <c r="G540" s="236"/>
    </row>
    <row r="541" spans="1:7" ht="12.5" x14ac:dyDescent="0.25">
      <c r="A541" s="2"/>
      <c r="B541" s="2"/>
      <c r="C541" s="2"/>
      <c r="D541" s="236"/>
      <c r="E541" s="236"/>
      <c r="F541" s="236"/>
      <c r="G541" s="236"/>
    </row>
    <row r="542" spans="1:7" ht="12.5" x14ac:dyDescent="0.25">
      <c r="A542" s="2"/>
      <c r="B542" s="2"/>
      <c r="C542" s="2"/>
      <c r="D542" s="236"/>
      <c r="E542" s="236"/>
      <c r="F542" s="236"/>
      <c r="G542" s="236"/>
    </row>
    <row r="543" spans="1:7" ht="12.5" x14ac:dyDescent="0.25">
      <c r="A543" s="2"/>
      <c r="B543" s="2"/>
      <c r="C543" s="2"/>
      <c r="D543" s="236"/>
      <c r="E543" s="236"/>
      <c r="F543" s="236"/>
      <c r="G543" s="236"/>
    </row>
    <row r="544" spans="1:7" ht="12.5" x14ac:dyDescent="0.25">
      <c r="A544" s="2"/>
      <c r="B544" s="2"/>
      <c r="C544" s="2"/>
      <c r="D544" s="236"/>
      <c r="E544" s="236"/>
      <c r="F544" s="236"/>
      <c r="G544" s="236"/>
    </row>
    <row r="545" spans="1:7" ht="12.5" x14ac:dyDescent="0.25">
      <c r="A545" s="2"/>
      <c r="B545" s="2"/>
      <c r="C545" s="2"/>
      <c r="D545" s="236"/>
      <c r="E545" s="236"/>
      <c r="F545" s="236"/>
      <c r="G545" s="236"/>
    </row>
    <row r="546" spans="1:7" ht="12.5" x14ac:dyDescent="0.25">
      <c r="A546" s="2"/>
      <c r="B546" s="2"/>
      <c r="C546" s="2"/>
      <c r="D546" s="236"/>
      <c r="E546" s="236"/>
      <c r="F546" s="236"/>
      <c r="G546" s="236"/>
    </row>
    <row r="547" spans="1:7" ht="12.5" x14ac:dyDescent="0.25">
      <c r="A547" s="2"/>
      <c r="B547" s="2"/>
      <c r="C547" s="2"/>
      <c r="D547" s="236"/>
      <c r="E547" s="236"/>
      <c r="F547" s="236"/>
      <c r="G547" s="236"/>
    </row>
    <row r="548" spans="1:7" ht="12.5" x14ac:dyDescent="0.25">
      <c r="A548" s="2"/>
      <c r="B548" s="2"/>
      <c r="C548" s="2"/>
      <c r="D548" s="236"/>
      <c r="E548" s="236"/>
      <c r="F548" s="236"/>
      <c r="G548" s="236"/>
    </row>
    <row r="549" spans="1:7" ht="12.5" x14ac:dyDescent="0.25">
      <c r="A549" s="2"/>
      <c r="B549" s="2"/>
      <c r="C549" s="2"/>
      <c r="D549" s="236"/>
      <c r="E549" s="236"/>
      <c r="F549" s="236"/>
      <c r="G549" s="236"/>
    </row>
    <row r="550" spans="1:7" ht="12.5" x14ac:dyDescent="0.25">
      <c r="A550" s="2"/>
      <c r="B550" s="2"/>
      <c r="C550" s="2"/>
      <c r="D550" s="236"/>
      <c r="E550" s="236"/>
      <c r="F550" s="236"/>
      <c r="G550" s="236"/>
    </row>
    <row r="551" spans="1:7" ht="12.5" x14ac:dyDescent="0.25">
      <c r="A551" s="2"/>
      <c r="B551" s="2"/>
      <c r="C551" s="2"/>
      <c r="D551" s="236"/>
      <c r="E551" s="236"/>
      <c r="F551" s="236"/>
      <c r="G551" s="236"/>
    </row>
    <row r="552" spans="1:7" ht="12.5" x14ac:dyDescent="0.25">
      <c r="A552" s="2"/>
      <c r="B552" s="2"/>
      <c r="C552" s="2"/>
      <c r="D552" s="236"/>
      <c r="E552" s="236"/>
      <c r="F552" s="236"/>
      <c r="G552" s="236"/>
    </row>
    <row r="553" spans="1:7" ht="12.5" x14ac:dyDescent="0.25">
      <c r="A553" s="2"/>
      <c r="B553" s="2"/>
      <c r="C553" s="2"/>
      <c r="D553" s="236"/>
      <c r="E553" s="236"/>
      <c r="F553" s="236"/>
      <c r="G553" s="236"/>
    </row>
    <row r="554" spans="1:7" ht="12.5" x14ac:dyDescent="0.25">
      <c r="A554" s="2"/>
      <c r="B554" s="2"/>
      <c r="C554" s="2"/>
      <c r="D554" s="236"/>
      <c r="E554" s="236"/>
      <c r="F554" s="236"/>
      <c r="G554" s="236"/>
    </row>
    <row r="555" spans="1:7" ht="12.5" x14ac:dyDescent="0.25">
      <c r="A555" s="2"/>
      <c r="B555" s="2"/>
      <c r="C555" s="2"/>
      <c r="D555" s="236"/>
      <c r="E555" s="236"/>
      <c r="F555" s="236"/>
      <c r="G555" s="236"/>
    </row>
    <row r="556" spans="1:7" ht="12.5" x14ac:dyDescent="0.25">
      <c r="A556" s="2"/>
      <c r="B556" s="2"/>
      <c r="C556" s="2"/>
      <c r="D556" s="236"/>
      <c r="E556" s="236"/>
      <c r="F556" s="236"/>
      <c r="G556" s="236"/>
    </row>
    <row r="557" spans="1:7" ht="12.5" x14ac:dyDescent="0.25">
      <c r="A557" s="2"/>
      <c r="B557" s="2"/>
      <c r="C557" s="2"/>
      <c r="D557" s="236"/>
      <c r="E557" s="236"/>
      <c r="F557" s="236"/>
      <c r="G557" s="236"/>
    </row>
    <row r="558" spans="1:7" ht="12.5" x14ac:dyDescent="0.25">
      <c r="A558" s="2"/>
      <c r="B558" s="2"/>
      <c r="C558" s="2"/>
      <c r="D558" s="236"/>
      <c r="E558" s="236"/>
      <c r="F558" s="236"/>
      <c r="G558" s="236"/>
    </row>
    <row r="559" spans="1:7" ht="12.5" x14ac:dyDescent="0.25">
      <c r="A559" s="2"/>
      <c r="B559" s="2"/>
      <c r="C559" s="2"/>
      <c r="D559" s="236"/>
      <c r="E559" s="236"/>
      <c r="F559" s="236"/>
      <c r="G559" s="236"/>
    </row>
    <row r="560" spans="1:7" ht="12.5" x14ac:dyDescent="0.25">
      <c r="A560" s="2"/>
      <c r="B560" s="2"/>
      <c r="C560" s="2"/>
      <c r="D560" s="236"/>
      <c r="E560" s="236"/>
      <c r="F560" s="236"/>
      <c r="G560" s="236"/>
    </row>
    <row r="561" spans="1:7" ht="12.5" x14ac:dyDescent="0.25">
      <c r="A561" s="2"/>
      <c r="B561" s="2"/>
      <c r="C561" s="2"/>
      <c r="D561" s="236"/>
      <c r="E561" s="236"/>
      <c r="F561" s="236"/>
      <c r="G561" s="236"/>
    </row>
    <row r="562" spans="1:7" ht="12.5" x14ac:dyDescent="0.25">
      <c r="A562" s="2"/>
      <c r="B562" s="2"/>
      <c r="C562" s="2"/>
      <c r="D562" s="236"/>
      <c r="E562" s="236"/>
      <c r="F562" s="236"/>
      <c r="G562" s="236"/>
    </row>
    <row r="563" spans="1:7" ht="12.5" x14ac:dyDescent="0.25">
      <c r="A563" s="2"/>
      <c r="B563" s="2"/>
      <c r="C563" s="2"/>
      <c r="D563" s="236"/>
      <c r="E563" s="236"/>
      <c r="F563" s="236"/>
      <c r="G563" s="236"/>
    </row>
    <row r="564" spans="1:7" ht="12.5" x14ac:dyDescent="0.25">
      <c r="A564" s="2"/>
      <c r="B564" s="2"/>
      <c r="C564" s="2"/>
      <c r="D564" s="236"/>
      <c r="E564" s="236"/>
      <c r="F564" s="236"/>
      <c r="G564" s="236"/>
    </row>
    <row r="565" spans="1:7" ht="12.5" x14ac:dyDescent="0.25">
      <c r="A565" s="2"/>
      <c r="B565" s="2"/>
      <c r="C565" s="2"/>
      <c r="D565" s="236"/>
      <c r="E565" s="236"/>
      <c r="F565" s="236"/>
      <c r="G565" s="236"/>
    </row>
    <row r="566" spans="1:7" ht="12.5" x14ac:dyDescent="0.25">
      <c r="A566" s="2"/>
      <c r="B566" s="2"/>
      <c r="C566" s="2"/>
      <c r="D566" s="236"/>
      <c r="E566" s="236"/>
      <c r="F566" s="236"/>
      <c r="G566" s="236"/>
    </row>
    <row r="567" spans="1:7" ht="12.5" x14ac:dyDescent="0.25">
      <c r="A567" s="2"/>
      <c r="B567" s="2"/>
      <c r="C567" s="2"/>
      <c r="D567" s="236"/>
      <c r="E567" s="236"/>
      <c r="F567" s="236"/>
      <c r="G567" s="236"/>
    </row>
    <row r="568" spans="1:7" ht="12.5" x14ac:dyDescent="0.25">
      <c r="A568" s="2"/>
      <c r="B568" s="2"/>
      <c r="C568" s="2"/>
      <c r="D568" s="236"/>
      <c r="E568" s="236"/>
      <c r="F568" s="236"/>
      <c r="G568" s="236"/>
    </row>
    <row r="569" spans="1:7" ht="12.5" x14ac:dyDescent="0.25">
      <c r="A569" s="2"/>
      <c r="B569" s="2"/>
      <c r="C569" s="2"/>
      <c r="D569" s="236"/>
      <c r="E569" s="236"/>
      <c r="F569" s="236"/>
      <c r="G569" s="236"/>
    </row>
    <row r="570" spans="1:7" ht="12.5" x14ac:dyDescent="0.25">
      <c r="A570" s="2"/>
      <c r="B570" s="2"/>
      <c r="C570" s="2"/>
      <c r="D570" s="236"/>
      <c r="E570" s="236"/>
      <c r="F570" s="236"/>
      <c r="G570" s="236"/>
    </row>
    <row r="571" spans="1:7" ht="12.5" x14ac:dyDescent="0.25">
      <c r="A571" s="2"/>
      <c r="B571" s="2"/>
      <c r="C571" s="2"/>
      <c r="D571" s="236"/>
      <c r="E571" s="236"/>
      <c r="F571" s="236"/>
      <c r="G571" s="236"/>
    </row>
    <row r="572" spans="1:7" ht="12.5" x14ac:dyDescent="0.25">
      <c r="A572" s="2"/>
      <c r="B572" s="2"/>
      <c r="C572" s="2"/>
      <c r="D572" s="236"/>
      <c r="E572" s="236"/>
      <c r="F572" s="236"/>
      <c r="G572" s="236"/>
    </row>
    <row r="573" spans="1:7" ht="12.5" x14ac:dyDescent="0.25">
      <c r="A573" s="2"/>
      <c r="B573" s="2"/>
      <c r="C573" s="2"/>
      <c r="D573" s="236"/>
      <c r="E573" s="236"/>
      <c r="F573" s="236"/>
      <c r="G573" s="236"/>
    </row>
    <row r="574" spans="1:7" ht="12.5" x14ac:dyDescent="0.25">
      <c r="A574" s="2"/>
      <c r="B574" s="2"/>
      <c r="C574" s="2"/>
      <c r="D574" s="236"/>
      <c r="E574" s="236"/>
      <c r="F574" s="236"/>
      <c r="G574" s="236"/>
    </row>
    <row r="575" spans="1:7" ht="12.5" x14ac:dyDescent="0.25">
      <c r="A575" s="2"/>
      <c r="B575" s="2"/>
      <c r="C575" s="2"/>
      <c r="D575" s="236"/>
      <c r="E575" s="236"/>
      <c r="F575" s="236"/>
      <c r="G575" s="236"/>
    </row>
    <row r="576" spans="1:7" ht="12.5" x14ac:dyDescent="0.25">
      <c r="A576" s="2"/>
      <c r="B576" s="2"/>
      <c r="C576" s="2"/>
      <c r="D576" s="236"/>
      <c r="E576" s="236"/>
      <c r="F576" s="236"/>
      <c r="G576" s="236"/>
    </row>
    <row r="577" spans="1:7" ht="12.5" x14ac:dyDescent="0.25">
      <c r="A577" s="2"/>
      <c r="B577" s="2"/>
      <c r="C577" s="2"/>
      <c r="D577" s="236"/>
      <c r="E577" s="236"/>
      <c r="F577" s="236"/>
      <c r="G577" s="236"/>
    </row>
    <row r="578" spans="1:7" ht="12.5" x14ac:dyDescent="0.25">
      <c r="A578" s="2"/>
      <c r="B578" s="2"/>
      <c r="C578" s="2"/>
      <c r="D578" s="236"/>
      <c r="E578" s="236"/>
      <c r="F578" s="236"/>
      <c r="G578" s="236"/>
    </row>
    <row r="579" spans="1:7" ht="12.5" x14ac:dyDescent="0.25">
      <c r="A579" s="2"/>
      <c r="B579" s="2"/>
      <c r="C579" s="2"/>
      <c r="D579" s="236"/>
      <c r="E579" s="236"/>
      <c r="F579" s="236"/>
      <c r="G579" s="236"/>
    </row>
    <row r="580" spans="1:7" ht="12.5" x14ac:dyDescent="0.25">
      <c r="A580" s="2"/>
      <c r="B580" s="2"/>
      <c r="C580" s="2"/>
      <c r="D580" s="236"/>
      <c r="E580" s="236"/>
      <c r="F580" s="236"/>
      <c r="G580" s="236"/>
    </row>
    <row r="581" spans="1:7" ht="12.5" x14ac:dyDescent="0.25">
      <c r="A581" s="2"/>
      <c r="B581" s="2"/>
      <c r="C581" s="2"/>
      <c r="D581" s="236"/>
      <c r="E581" s="236"/>
      <c r="F581" s="236"/>
      <c r="G581" s="236"/>
    </row>
    <row r="582" spans="1:7" ht="12.5" x14ac:dyDescent="0.25">
      <c r="A582" s="2"/>
      <c r="B582" s="2"/>
      <c r="C582" s="2"/>
      <c r="D582" s="236"/>
      <c r="E582" s="236"/>
      <c r="F582" s="236"/>
      <c r="G582" s="236"/>
    </row>
    <row r="583" spans="1:7" ht="12.5" x14ac:dyDescent="0.25">
      <c r="A583" s="2"/>
      <c r="B583" s="2"/>
      <c r="C583" s="2"/>
      <c r="D583" s="236"/>
      <c r="E583" s="236"/>
      <c r="F583" s="236"/>
      <c r="G583" s="236"/>
    </row>
    <row r="584" spans="1:7" ht="12.5" x14ac:dyDescent="0.25">
      <c r="A584" s="2"/>
      <c r="B584" s="2"/>
      <c r="C584" s="2"/>
      <c r="D584" s="236"/>
      <c r="E584" s="236"/>
      <c r="F584" s="236"/>
      <c r="G584" s="236"/>
    </row>
    <row r="585" spans="1:7" ht="12.5" x14ac:dyDescent="0.25">
      <c r="A585" s="2"/>
      <c r="B585" s="2"/>
      <c r="C585" s="2"/>
      <c r="D585" s="236"/>
      <c r="E585" s="236"/>
      <c r="F585" s="236"/>
      <c r="G585" s="236"/>
    </row>
    <row r="586" spans="1:7" ht="12.5" x14ac:dyDescent="0.25">
      <c r="A586" s="2"/>
      <c r="B586" s="2"/>
      <c r="C586" s="2"/>
      <c r="D586" s="236"/>
      <c r="E586" s="236"/>
      <c r="F586" s="236"/>
      <c r="G586" s="236"/>
    </row>
    <row r="587" spans="1:7" ht="12.5" x14ac:dyDescent="0.25">
      <c r="A587" s="2"/>
      <c r="B587" s="2"/>
      <c r="C587" s="2"/>
      <c r="D587" s="236"/>
      <c r="E587" s="236"/>
      <c r="F587" s="236"/>
      <c r="G587" s="236"/>
    </row>
    <row r="588" spans="1:7" ht="12.5" x14ac:dyDescent="0.25">
      <c r="A588" s="2"/>
      <c r="B588" s="2"/>
      <c r="C588" s="2"/>
      <c r="D588" s="236"/>
      <c r="E588" s="236"/>
      <c r="F588" s="236"/>
      <c r="G588" s="236"/>
    </row>
    <row r="589" spans="1:7" ht="12.5" x14ac:dyDescent="0.25">
      <c r="A589" s="2"/>
      <c r="B589" s="2"/>
      <c r="C589" s="2"/>
      <c r="D589" s="236"/>
      <c r="E589" s="236"/>
      <c r="F589" s="236"/>
      <c r="G589" s="236"/>
    </row>
    <row r="590" spans="1:7" ht="12.5" x14ac:dyDescent="0.25">
      <c r="A590" s="2"/>
      <c r="B590" s="2"/>
      <c r="C590" s="2"/>
      <c r="D590" s="236"/>
      <c r="E590" s="236"/>
      <c r="F590" s="236"/>
      <c r="G590" s="236"/>
    </row>
    <row r="591" spans="1:7" ht="12.5" x14ac:dyDescent="0.25">
      <c r="A591" s="2"/>
      <c r="B591" s="2"/>
      <c r="C591" s="2"/>
      <c r="D591" s="236"/>
      <c r="E591" s="236"/>
      <c r="F591" s="236"/>
      <c r="G591" s="236"/>
    </row>
    <row r="592" spans="1:7" ht="12.5" x14ac:dyDescent="0.25">
      <c r="A592" s="2"/>
      <c r="B592" s="2"/>
      <c r="C592" s="2"/>
      <c r="D592" s="236"/>
      <c r="E592" s="236"/>
      <c r="F592" s="236"/>
      <c r="G592" s="236"/>
    </row>
    <row r="593" spans="1:7" ht="12.5" x14ac:dyDescent="0.25">
      <c r="A593" s="2"/>
      <c r="B593" s="2"/>
      <c r="C593" s="2"/>
      <c r="D593" s="236"/>
      <c r="E593" s="236"/>
      <c r="F593" s="236"/>
      <c r="G593" s="236"/>
    </row>
    <row r="594" spans="1:7" ht="12.5" x14ac:dyDescent="0.25">
      <c r="A594" s="2"/>
      <c r="B594" s="2"/>
      <c r="C594" s="2"/>
      <c r="D594" s="236"/>
      <c r="E594" s="236"/>
      <c r="F594" s="236"/>
      <c r="G594" s="236"/>
    </row>
    <row r="595" spans="1:7" ht="12.5" x14ac:dyDescent="0.25">
      <c r="A595" s="2"/>
      <c r="B595" s="2"/>
      <c r="C595" s="2"/>
      <c r="D595" s="236"/>
      <c r="E595" s="236"/>
      <c r="F595" s="236"/>
      <c r="G595" s="236"/>
    </row>
    <row r="596" spans="1:7" ht="12.5" x14ac:dyDescent="0.25">
      <c r="A596" s="2"/>
      <c r="B596" s="2"/>
      <c r="C596" s="2"/>
      <c r="D596" s="236"/>
      <c r="E596" s="236"/>
      <c r="F596" s="236"/>
      <c r="G596" s="236"/>
    </row>
    <row r="597" spans="1:7" ht="12.5" x14ac:dyDescent="0.25">
      <c r="A597" s="2"/>
      <c r="B597" s="2"/>
      <c r="C597" s="2"/>
      <c r="D597" s="236"/>
      <c r="E597" s="236"/>
      <c r="F597" s="236"/>
      <c r="G597" s="236"/>
    </row>
    <row r="598" spans="1:7" ht="12.5" x14ac:dyDescent="0.25">
      <c r="A598" s="2"/>
      <c r="B598" s="2"/>
      <c r="C598" s="2"/>
      <c r="D598" s="236"/>
      <c r="E598" s="236"/>
      <c r="F598" s="236"/>
      <c r="G598" s="236"/>
    </row>
  </sheetData>
  <autoFilter ref="A2:F75" xr:uid="{00000000-0009-0000-0000-00001D000000}">
    <filterColumn colId="2">
      <filters>
        <filter val="ARS"/>
      </filters>
    </filterColumn>
  </autoFilter>
  <mergeCells count="1">
    <mergeCell ref="A1:F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599A9-00AE-40F5-96C2-354FF3F91C51}">
  <sheetPr>
    <tabColor rgb="FFE5E5E5"/>
  </sheetPr>
  <dimension ref="A1:X4155"/>
  <sheetViews>
    <sheetView topLeftCell="I1" workbookViewId="0">
      <pane ySplit="1" topLeftCell="A2" activePane="bottomLeft" state="frozen"/>
      <selection activeCell="E23" sqref="E23"/>
      <selection pane="bottomLeft" activeCell="O308" sqref="O308"/>
    </sheetView>
  </sheetViews>
  <sheetFormatPr defaultColWidth="12.6328125" defaultRowHeight="15" customHeight="1" x14ac:dyDescent="0.25"/>
  <cols>
    <col min="1" max="6" width="11.453125" style="242" customWidth="1"/>
    <col min="7" max="7" width="33.6328125" style="242" customWidth="1"/>
    <col min="8" max="8" width="31.08984375" style="242" customWidth="1"/>
    <col min="9" max="12" width="11.453125" style="242" customWidth="1"/>
    <col min="13" max="13" width="45" style="242" customWidth="1"/>
    <col min="14" max="14" width="16" style="242" bestFit="1" customWidth="1"/>
    <col min="15" max="16" width="11.453125" style="242" customWidth="1"/>
    <col min="17" max="19" width="14.6328125" style="242" customWidth="1"/>
    <col min="20" max="20" width="11.453125" style="242" customWidth="1"/>
    <col min="21" max="21" width="18.453125" style="242" customWidth="1"/>
    <col min="22" max="23" width="11.453125" style="242" customWidth="1"/>
    <col min="24" max="24" width="11.08984375" style="242" customWidth="1"/>
    <col min="25" max="16384" width="12.6328125" style="242"/>
  </cols>
  <sheetData>
    <row r="1" spans="1:24" ht="13.5" customHeight="1" x14ac:dyDescent="0.3">
      <c r="A1" s="243" t="s">
        <v>1965</v>
      </c>
      <c r="B1" s="243" t="s">
        <v>1922</v>
      </c>
      <c r="C1" s="243" t="s">
        <v>1966</v>
      </c>
      <c r="D1" s="243" t="s">
        <v>1967</v>
      </c>
      <c r="E1" s="243" t="s">
        <v>1968</v>
      </c>
      <c r="F1" s="243" t="s">
        <v>1969</v>
      </c>
      <c r="G1" s="243" t="s">
        <v>0</v>
      </c>
      <c r="H1" s="243" t="s">
        <v>1970</v>
      </c>
      <c r="I1" s="243" t="s">
        <v>1971</v>
      </c>
      <c r="J1" s="243" t="s">
        <v>1972</v>
      </c>
      <c r="K1" s="243" t="s">
        <v>1973</v>
      </c>
      <c r="L1" s="243" t="s">
        <v>1974</v>
      </c>
      <c r="M1" s="243" t="s">
        <v>1975</v>
      </c>
      <c r="N1" s="243" t="s">
        <v>1976</v>
      </c>
      <c r="O1" s="243" t="s">
        <v>1977</v>
      </c>
      <c r="P1" s="243" t="s">
        <v>10</v>
      </c>
      <c r="Q1" s="243" t="s">
        <v>1978</v>
      </c>
      <c r="R1" s="243" t="s">
        <v>1979</v>
      </c>
      <c r="S1" s="243" t="s">
        <v>1980</v>
      </c>
      <c r="T1" s="243" t="s">
        <v>1981</v>
      </c>
      <c r="U1" s="243" t="s">
        <v>1982</v>
      </c>
      <c r="V1" s="244" t="s">
        <v>1983</v>
      </c>
      <c r="W1" s="244" t="s">
        <v>12</v>
      </c>
      <c r="X1" s="244" t="s">
        <v>1984</v>
      </c>
    </row>
    <row r="2" spans="1:24" ht="13.5" customHeight="1" x14ac:dyDescent="0.3">
      <c r="A2" s="245" t="s">
        <v>1985</v>
      </c>
      <c r="B2" s="246">
        <v>46081</v>
      </c>
      <c r="C2" s="245"/>
      <c r="D2" s="245"/>
      <c r="E2" s="245"/>
      <c r="F2" s="245"/>
      <c r="G2" s="245" t="s">
        <v>2393</v>
      </c>
      <c r="H2" s="245" t="s">
        <v>2336</v>
      </c>
      <c r="I2" s="245" t="s">
        <v>1988</v>
      </c>
      <c r="J2" s="245" t="s">
        <v>2394</v>
      </c>
      <c r="K2" s="245" t="s">
        <v>2395</v>
      </c>
      <c r="L2" s="246">
        <v>46081</v>
      </c>
      <c r="M2" s="245" t="s">
        <v>1988</v>
      </c>
      <c r="N2" s="245" t="s">
        <v>1989</v>
      </c>
      <c r="O2" s="245" t="s">
        <v>1990</v>
      </c>
      <c r="P2" s="245" t="s">
        <v>111</v>
      </c>
      <c r="Q2" s="247">
        <v>-3110400</v>
      </c>
      <c r="R2" s="247">
        <v>-3110400</v>
      </c>
      <c r="S2" s="247">
        <v>-2225.6</v>
      </c>
      <c r="T2" s="245" t="s">
        <v>1991</v>
      </c>
      <c r="U2" s="245" t="s">
        <v>1992</v>
      </c>
      <c r="V2" s="241" t="s">
        <v>1993</v>
      </c>
      <c r="W2" s="241" t="s">
        <v>93</v>
      </c>
      <c r="X2" s="241" t="s">
        <v>1994</v>
      </c>
    </row>
    <row r="3" spans="1:24" ht="13.5" customHeight="1" x14ac:dyDescent="0.3">
      <c r="A3" s="245" t="s">
        <v>1985</v>
      </c>
      <c r="B3" s="246">
        <v>46081</v>
      </c>
      <c r="C3" s="245"/>
      <c r="D3" s="245"/>
      <c r="E3" s="245"/>
      <c r="F3" s="245"/>
      <c r="G3" s="245" t="s">
        <v>2396</v>
      </c>
      <c r="H3" s="245" t="s">
        <v>2320</v>
      </c>
      <c r="I3" s="245" t="s">
        <v>1988</v>
      </c>
      <c r="J3" s="245" t="s">
        <v>2397</v>
      </c>
      <c r="K3" s="245" t="s">
        <v>2398</v>
      </c>
      <c r="L3" s="246">
        <v>46081</v>
      </c>
      <c r="M3" s="245" t="s">
        <v>1988</v>
      </c>
      <c r="N3" s="245" t="s">
        <v>1989</v>
      </c>
      <c r="O3" s="245" t="s">
        <v>1990</v>
      </c>
      <c r="P3" s="245" t="s">
        <v>111</v>
      </c>
      <c r="Q3" s="247">
        <v>-3110400</v>
      </c>
      <c r="R3" s="247">
        <v>-3110400</v>
      </c>
      <c r="S3" s="247">
        <v>-2225.6</v>
      </c>
      <c r="T3" s="245" t="s">
        <v>1991</v>
      </c>
      <c r="U3" s="245" t="s">
        <v>1992</v>
      </c>
      <c r="V3" s="241" t="s">
        <v>1993</v>
      </c>
      <c r="W3" s="241" t="s">
        <v>93</v>
      </c>
      <c r="X3" s="241" t="s">
        <v>1994</v>
      </c>
    </row>
    <row r="4" spans="1:24" ht="13.5" customHeight="1" x14ac:dyDescent="0.3">
      <c r="A4" s="245" t="s">
        <v>1985</v>
      </c>
      <c r="B4" s="246">
        <v>46081</v>
      </c>
      <c r="C4" s="245"/>
      <c r="D4" s="245"/>
      <c r="E4" s="245"/>
      <c r="F4" s="245"/>
      <c r="G4" s="245" t="s">
        <v>1986</v>
      </c>
      <c r="H4" s="245" t="s">
        <v>1987</v>
      </c>
      <c r="I4" s="245" t="s">
        <v>1988</v>
      </c>
      <c r="J4" s="245" t="s">
        <v>2399</v>
      </c>
      <c r="K4" s="245" t="s">
        <v>2400</v>
      </c>
      <c r="L4" s="246">
        <v>46081</v>
      </c>
      <c r="M4" s="245" t="s">
        <v>1988</v>
      </c>
      <c r="N4" s="245" t="s">
        <v>1989</v>
      </c>
      <c r="O4" s="245" t="s">
        <v>1990</v>
      </c>
      <c r="P4" s="245" t="s">
        <v>111</v>
      </c>
      <c r="Q4" s="247">
        <v>-3962972.34</v>
      </c>
      <c r="R4" s="247">
        <v>-3962972.34</v>
      </c>
      <c r="S4" s="247">
        <v>-2835.65</v>
      </c>
      <c r="T4" s="245" t="s">
        <v>1991</v>
      </c>
      <c r="U4" s="245" t="s">
        <v>1992</v>
      </c>
      <c r="V4" s="241" t="s">
        <v>1993</v>
      </c>
      <c r="W4" s="241" t="s">
        <v>93</v>
      </c>
      <c r="X4" s="241" t="s">
        <v>1994</v>
      </c>
    </row>
    <row r="5" spans="1:24" ht="13.5" customHeight="1" x14ac:dyDescent="0.3">
      <c r="A5" s="245" t="s">
        <v>1985</v>
      </c>
      <c r="B5" s="246">
        <v>46081</v>
      </c>
      <c r="C5" s="245"/>
      <c r="D5" s="245"/>
      <c r="E5" s="245"/>
      <c r="F5" s="245"/>
      <c r="G5" s="245" t="s">
        <v>1995</v>
      </c>
      <c r="H5" s="245" t="s">
        <v>1996</v>
      </c>
      <c r="I5" s="245" t="s">
        <v>1988</v>
      </c>
      <c r="J5" s="245" t="s">
        <v>2401</v>
      </c>
      <c r="K5" s="245" t="s">
        <v>2402</v>
      </c>
      <c r="L5" s="246">
        <v>46081</v>
      </c>
      <c r="M5" s="245" t="s">
        <v>1988</v>
      </c>
      <c r="N5" s="245" t="s">
        <v>1989</v>
      </c>
      <c r="O5" s="245" t="s">
        <v>1990</v>
      </c>
      <c r="P5" s="245" t="s">
        <v>111</v>
      </c>
      <c r="Q5" s="247">
        <v>-893323.9</v>
      </c>
      <c r="R5" s="247">
        <v>-893323.9</v>
      </c>
      <c r="S5" s="247">
        <v>-639.21</v>
      </c>
      <c r="T5" s="245" t="s">
        <v>1991</v>
      </c>
      <c r="U5" s="245" t="s">
        <v>1992</v>
      </c>
      <c r="V5" s="241" t="s">
        <v>1993</v>
      </c>
      <c r="W5" s="241" t="s">
        <v>93</v>
      </c>
      <c r="X5" s="241" t="s">
        <v>1994</v>
      </c>
    </row>
    <row r="6" spans="1:24" ht="13.5" customHeight="1" x14ac:dyDescent="0.3">
      <c r="A6" s="245" t="s">
        <v>1985</v>
      </c>
      <c r="B6" s="246">
        <v>46081</v>
      </c>
      <c r="C6" s="245"/>
      <c r="D6" s="245"/>
      <c r="E6" s="245"/>
      <c r="F6" s="245"/>
      <c r="G6" s="245" t="s">
        <v>1997</v>
      </c>
      <c r="H6" s="245" t="s">
        <v>1998</v>
      </c>
      <c r="I6" s="245" t="s">
        <v>1988</v>
      </c>
      <c r="J6" s="245" t="s">
        <v>2403</v>
      </c>
      <c r="K6" s="245" t="s">
        <v>2404</v>
      </c>
      <c r="L6" s="246">
        <v>46081</v>
      </c>
      <c r="M6" s="245" t="s">
        <v>1988</v>
      </c>
      <c r="N6" s="245" t="s">
        <v>1989</v>
      </c>
      <c r="O6" s="245" t="s">
        <v>1990</v>
      </c>
      <c r="P6" s="245" t="s">
        <v>111</v>
      </c>
      <c r="Q6" s="247">
        <v>-4055968.32</v>
      </c>
      <c r="R6" s="247">
        <v>-4055968.32</v>
      </c>
      <c r="S6" s="247">
        <v>-2902.19</v>
      </c>
      <c r="T6" s="245" t="s">
        <v>1991</v>
      </c>
      <c r="U6" s="245" t="s">
        <v>1992</v>
      </c>
      <c r="V6" s="241" t="s">
        <v>1993</v>
      </c>
      <c r="W6" s="241" t="s">
        <v>93</v>
      </c>
      <c r="X6" s="241" t="s">
        <v>1994</v>
      </c>
    </row>
    <row r="7" spans="1:24" ht="13.5" customHeight="1" x14ac:dyDescent="0.3">
      <c r="A7" s="245" t="s">
        <v>1985</v>
      </c>
      <c r="B7" s="246">
        <v>46081</v>
      </c>
      <c r="C7" s="245"/>
      <c r="D7" s="245"/>
      <c r="E7" s="245"/>
      <c r="F7" s="245"/>
      <c r="G7" s="245" t="s">
        <v>1999</v>
      </c>
      <c r="H7" s="245" t="s">
        <v>2000</v>
      </c>
      <c r="I7" s="245" t="s">
        <v>1988</v>
      </c>
      <c r="J7" s="245" t="s">
        <v>2405</v>
      </c>
      <c r="K7" s="245" t="s">
        <v>2406</v>
      </c>
      <c r="L7" s="246">
        <v>46081</v>
      </c>
      <c r="M7" s="245" t="s">
        <v>1988</v>
      </c>
      <c r="N7" s="245" t="s">
        <v>1989</v>
      </c>
      <c r="O7" s="245" t="s">
        <v>1990</v>
      </c>
      <c r="P7" s="245" t="s">
        <v>111</v>
      </c>
      <c r="Q7" s="247">
        <v>-3110400</v>
      </c>
      <c r="R7" s="247">
        <v>-3110400</v>
      </c>
      <c r="S7" s="247">
        <v>-2225.6</v>
      </c>
      <c r="T7" s="245" t="s">
        <v>1991</v>
      </c>
      <c r="U7" s="245" t="s">
        <v>1992</v>
      </c>
      <c r="V7" s="241" t="s">
        <v>1993</v>
      </c>
      <c r="W7" s="241" t="s">
        <v>93</v>
      </c>
      <c r="X7" s="241" t="s">
        <v>1994</v>
      </c>
    </row>
    <row r="8" spans="1:24" ht="13.5" customHeight="1" x14ac:dyDescent="0.3">
      <c r="A8" s="245" t="s">
        <v>1985</v>
      </c>
      <c r="B8" s="246">
        <v>46081</v>
      </c>
      <c r="C8" s="245"/>
      <c r="D8" s="245"/>
      <c r="E8" s="245"/>
      <c r="F8" s="245"/>
      <c r="G8" s="245" t="s">
        <v>2407</v>
      </c>
      <c r="H8" s="245" t="s">
        <v>2391</v>
      </c>
      <c r="I8" s="245" t="s">
        <v>1988</v>
      </c>
      <c r="J8" s="245" t="s">
        <v>2408</v>
      </c>
      <c r="K8" s="245" t="s">
        <v>2409</v>
      </c>
      <c r="L8" s="246">
        <v>46081</v>
      </c>
      <c r="M8" s="245" t="s">
        <v>1988</v>
      </c>
      <c r="N8" s="245" t="s">
        <v>1989</v>
      </c>
      <c r="O8" s="245" t="s">
        <v>1990</v>
      </c>
      <c r="P8" s="245" t="s">
        <v>111</v>
      </c>
      <c r="Q8" s="247">
        <v>-1065199.8799999999</v>
      </c>
      <c r="R8" s="247">
        <v>-1065199.8799999999</v>
      </c>
      <c r="S8" s="247">
        <v>-762.19</v>
      </c>
      <c r="T8" s="245" t="s">
        <v>1991</v>
      </c>
      <c r="U8" s="245" t="s">
        <v>1992</v>
      </c>
      <c r="V8" s="241" t="s">
        <v>1993</v>
      </c>
      <c r="W8" s="241" t="s">
        <v>93</v>
      </c>
      <c r="X8" s="241" t="s">
        <v>1994</v>
      </c>
    </row>
    <row r="9" spans="1:24" ht="13.5" customHeight="1" x14ac:dyDescent="0.3">
      <c r="A9" s="245" t="s">
        <v>1985</v>
      </c>
      <c r="B9" s="246">
        <v>46081</v>
      </c>
      <c r="C9" s="245"/>
      <c r="D9" s="245"/>
      <c r="E9" s="245"/>
      <c r="F9" s="245"/>
      <c r="G9" s="245" t="s">
        <v>2002</v>
      </c>
      <c r="H9" s="245" t="s">
        <v>2003</v>
      </c>
      <c r="I9" s="245" t="s">
        <v>1988</v>
      </c>
      <c r="J9" s="245" t="s">
        <v>2410</v>
      </c>
      <c r="K9" s="245" t="s">
        <v>2411</v>
      </c>
      <c r="L9" s="246">
        <v>46081</v>
      </c>
      <c r="M9" s="245" t="s">
        <v>1988</v>
      </c>
      <c r="N9" s="245" t="s">
        <v>1989</v>
      </c>
      <c r="O9" s="245" t="s">
        <v>1990</v>
      </c>
      <c r="P9" s="245" t="s">
        <v>111</v>
      </c>
      <c r="Q9" s="247">
        <v>-3855555.79</v>
      </c>
      <c r="R9" s="247">
        <v>-3855555.79</v>
      </c>
      <c r="S9" s="247">
        <v>-2758.79</v>
      </c>
      <c r="T9" s="245" t="s">
        <v>1991</v>
      </c>
      <c r="U9" s="245" t="s">
        <v>1992</v>
      </c>
      <c r="V9" s="241" t="s">
        <v>1993</v>
      </c>
      <c r="W9" s="241" t="s">
        <v>93</v>
      </c>
      <c r="X9" s="241" t="s">
        <v>1994</v>
      </c>
    </row>
    <row r="10" spans="1:24" ht="13.5" customHeight="1" x14ac:dyDescent="0.3">
      <c r="A10" s="245" t="s">
        <v>1985</v>
      </c>
      <c r="B10" s="246">
        <v>46081</v>
      </c>
      <c r="C10" s="245"/>
      <c r="D10" s="245"/>
      <c r="E10" s="245"/>
      <c r="F10" s="245"/>
      <c r="G10" s="245" t="s">
        <v>2004</v>
      </c>
      <c r="H10" s="245" t="s">
        <v>2005</v>
      </c>
      <c r="I10" s="245" t="s">
        <v>1988</v>
      </c>
      <c r="J10" s="245" t="s">
        <v>2412</v>
      </c>
      <c r="K10" s="245" t="s">
        <v>2413</v>
      </c>
      <c r="L10" s="246">
        <v>46081</v>
      </c>
      <c r="M10" s="245" t="s">
        <v>1988</v>
      </c>
      <c r="N10" s="245" t="s">
        <v>1989</v>
      </c>
      <c r="O10" s="245" t="s">
        <v>1990</v>
      </c>
      <c r="P10" s="245" t="s">
        <v>111</v>
      </c>
      <c r="Q10" s="247">
        <v>-798524.61</v>
      </c>
      <c r="R10" s="247">
        <v>-798524.61</v>
      </c>
      <c r="S10" s="247">
        <v>-571.37</v>
      </c>
      <c r="T10" s="245" t="s">
        <v>1991</v>
      </c>
      <c r="U10" s="245" t="s">
        <v>1992</v>
      </c>
      <c r="V10" s="241" t="s">
        <v>1993</v>
      </c>
      <c r="W10" s="241" t="s">
        <v>93</v>
      </c>
      <c r="X10" s="241" t="s">
        <v>1994</v>
      </c>
    </row>
    <row r="11" spans="1:24" ht="13.5" customHeight="1" x14ac:dyDescent="0.3">
      <c r="A11" s="245" t="s">
        <v>1985</v>
      </c>
      <c r="B11" s="246">
        <v>46081</v>
      </c>
      <c r="C11" s="245"/>
      <c r="D11" s="245"/>
      <c r="E11" s="245"/>
      <c r="F11" s="245"/>
      <c r="G11" s="245" t="s">
        <v>2414</v>
      </c>
      <c r="H11" s="245" t="s">
        <v>2373</v>
      </c>
      <c r="I11" s="245" t="s">
        <v>1988</v>
      </c>
      <c r="J11" s="245" t="s">
        <v>2415</v>
      </c>
      <c r="K11" s="245" t="s">
        <v>2416</v>
      </c>
      <c r="L11" s="246">
        <v>46081</v>
      </c>
      <c r="M11" s="245" t="s">
        <v>1988</v>
      </c>
      <c r="N11" s="245" t="s">
        <v>1989</v>
      </c>
      <c r="O11" s="245" t="s">
        <v>1990</v>
      </c>
      <c r="P11" s="245" t="s">
        <v>111</v>
      </c>
      <c r="Q11" s="247">
        <v>-2499831.17</v>
      </c>
      <c r="R11" s="247">
        <v>-2499831.17</v>
      </c>
      <c r="S11" s="247">
        <v>-1788.72</v>
      </c>
      <c r="T11" s="245" t="s">
        <v>1991</v>
      </c>
      <c r="U11" s="245" t="s">
        <v>1992</v>
      </c>
      <c r="V11" s="241" t="s">
        <v>1993</v>
      </c>
      <c r="W11" s="241" t="s">
        <v>93</v>
      </c>
      <c r="X11" s="241" t="s">
        <v>1994</v>
      </c>
    </row>
    <row r="12" spans="1:24" ht="13.5" customHeight="1" x14ac:dyDescent="0.3">
      <c r="A12" s="245" t="s">
        <v>1985</v>
      </c>
      <c r="B12" s="246">
        <v>46081</v>
      </c>
      <c r="C12" s="245"/>
      <c r="D12" s="245"/>
      <c r="E12" s="245"/>
      <c r="F12" s="245"/>
      <c r="G12" s="245" t="s">
        <v>2417</v>
      </c>
      <c r="H12" s="245" t="s">
        <v>2340</v>
      </c>
      <c r="I12" s="245" t="s">
        <v>1988</v>
      </c>
      <c r="J12" s="245" t="s">
        <v>2418</v>
      </c>
      <c r="K12" s="245" t="s">
        <v>2419</v>
      </c>
      <c r="L12" s="246">
        <v>46081</v>
      </c>
      <c r="M12" s="245" t="s">
        <v>1988</v>
      </c>
      <c r="N12" s="245" t="s">
        <v>1989</v>
      </c>
      <c r="O12" s="245" t="s">
        <v>1990</v>
      </c>
      <c r="P12" s="245" t="s">
        <v>111</v>
      </c>
      <c r="Q12" s="247">
        <v>-5000000</v>
      </c>
      <c r="R12" s="247">
        <v>-5000000</v>
      </c>
      <c r="S12" s="247">
        <v>-3577.68</v>
      </c>
      <c r="T12" s="245" t="s">
        <v>1991</v>
      </c>
      <c r="U12" s="245" t="s">
        <v>1992</v>
      </c>
      <c r="V12" s="241" t="s">
        <v>1993</v>
      </c>
      <c r="W12" s="241" t="s">
        <v>93</v>
      </c>
      <c r="X12" s="241" t="s">
        <v>1994</v>
      </c>
    </row>
    <row r="13" spans="1:24" ht="13.5" customHeight="1" x14ac:dyDescent="0.3">
      <c r="A13" s="245" t="s">
        <v>1985</v>
      </c>
      <c r="B13" s="246">
        <v>46081</v>
      </c>
      <c r="C13" s="245"/>
      <c r="D13" s="245"/>
      <c r="E13" s="245"/>
      <c r="F13" s="245"/>
      <c r="G13" s="245" t="s">
        <v>2420</v>
      </c>
      <c r="H13" s="245" t="s">
        <v>2351</v>
      </c>
      <c r="I13" s="245" t="s">
        <v>1988</v>
      </c>
      <c r="J13" s="245" t="s">
        <v>2421</v>
      </c>
      <c r="K13" s="245" t="s">
        <v>2422</v>
      </c>
      <c r="L13" s="246">
        <v>46081</v>
      </c>
      <c r="M13" s="245" t="s">
        <v>1988</v>
      </c>
      <c r="N13" s="245" t="s">
        <v>1989</v>
      </c>
      <c r="O13" s="245" t="s">
        <v>1990</v>
      </c>
      <c r="P13" s="245" t="s">
        <v>111</v>
      </c>
      <c r="Q13" s="247">
        <v>-4000000</v>
      </c>
      <c r="R13" s="247">
        <v>-4000000</v>
      </c>
      <c r="S13" s="247">
        <v>-2862.14</v>
      </c>
      <c r="T13" s="245" t="s">
        <v>1991</v>
      </c>
      <c r="U13" s="245" t="s">
        <v>1992</v>
      </c>
      <c r="V13" s="241" t="s">
        <v>1993</v>
      </c>
      <c r="W13" s="241" t="s">
        <v>93</v>
      </c>
      <c r="X13" s="241" t="s">
        <v>1994</v>
      </c>
    </row>
    <row r="14" spans="1:24" ht="13.5" customHeight="1" x14ac:dyDescent="0.3">
      <c r="A14" s="245" t="s">
        <v>1985</v>
      </c>
      <c r="B14" s="246">
        <v>46081</v>
      </c>
      <c r="C14" s="245"/>
      <c r="D14" s="245"/>
      <c r="E14" s="245"/>
      <c r="F14" s="245"/>
      <c r="G14" s="245" t="s">
        <v>2010</v>
      </c>
      <c r="H14" s="245" t="s">
        <v>2011</v>
      </c>
      <c r="I14" s="245" t="s">
        <v>1988</v>
      </c>
      <c r="J14" s="245" t="s">
        <v>2423</v>
      </c>
      <c r="K14" s="245" t="s">
        <v>2424</v>
      </c>
      <c r="L14" s="246">
        <v>46081</v>
      </c>
      <c r="M14" s="245" t="s">
        <v>1988</v>
      </c>
      <c r="N14" s="245" t="s">
        <v>1989</v>
      </c>
      <c r="O14" s="245" t="s">
        <v>1990</v>
      </c>
      <c r="P14" s="245" t="s">
        <v>111</v>
      </c>
      <c r="Q14" s="247">
        <v>-1651074.28</v>
      </c>
      <c r="R14" s="247">
        <v>-1651074.28</v>
      </c>
      <c r="S14" s="247">
        <v>-1181.4000000000001</v>
      </c>
      <c r="T14" s="245" t="s">
        <v>1991</v>
      </c>
      <c r="U14" s="245" t="s">
        <v>1992</v>
      </c>
      <c r="V14" s="241" t="s">
        <v>1993</v>
      </c>
      <c r="W14" s="241" t="s">
        <v>93</v>
      </c>
      <c r="X14" s="241" t="s">
        <v>1994</v>
      </c>
    </row>
    <row r="15" spans="1:24" ht="13.5" customHeight="1" x14ac:dyDescent="0.3">
      <c r="A15" s="245" t="s">
        <v>1985</v>
      </c>
      <c r="B15" s="246">
        <v>46081</v>
      </c>
      <c r="C15" s="245"/>
      <c r="D15" s="245"/>
      <c r="E15" s="245"/>
      <c r="F15" s="245"/>
      <c r="G15" s="245" t="s">
        <v>2012</v>
      </c>
      <c r="H15" s="245" t="s">
        <v>2013</v>
      </c>
      <c r="I15" s="245" t="s">
        <v>1988</v>
      </c>
      <c r="J15" s="245" t="s">
        <v>2425</v>
      </c>
      <c r="K15" s="245" t="s">
        <v>2426</v>
      </c>
      <c r="L15" s="246">
        <v>46081</v>
      </c>
      <c r="M15" s="245" t="s">
        <v>1988</v>
      </c>
      <c r="N15" s="245" t="s">
        <v>1989</v>
      </c>
      <c r="O15" s="245" t="s">
        <v>1990</v>
      </c>
      <c r="P15" s="245" t="s">
        <v>111</v>
      </c>
      <c r="Q15" s="247">
        <v>-211954.52</v>
      </c>
      <c r="R15" s="247">
        <v>-211954.52</v>
      </c>
      <c r="S15" s="247">
        <v>-151.66</v>
      </c>
      <c r="T15" s="245" t="s">
        <v>1991</v>
      </c>
      <c r="U15" s="245" t="s">
        <v>1992</v>
      </c>
      <c r="V15" s="241" t="s">
        <v>1993</v>
      </c>
      <c r="W15" s="241" t="s">
        <v>93</v>
      </c>
      <c r="X15" s="241" t="s">
        <v>1994</v>
      </c>
    </row>
    <row r="16" spans="1:24" ht="13.5" customHeight="1" x14ac:dyDescent="0.3">
      <c r="A16" s="245" t="s">
        <v>1985</v>
      </c>
      <c r="B16" s="246">
        <v>46081</v>
      </c>
      <c r="C16" s="245"/>
      <c r="D16" s="245"/>
      <c r="E16" s="245"/>
      <c r="F16" s="245"/>
      <c r="G16" s="245" t="s">
        <v>2014</v>
      </c>
      <c r="H16" s="245" t="s">
        <v>2015</v>
      </c>
      <c r="I16" s="245" t="s">
        <v>1988</v>
      </c>
      <c r="J16" s="245" t="s">
        <v>2427</v>
      </c>
      <c r="K16" s="245" t="s">
        <v>2428</v>
      </c>
      <c r="L16" s="246">
        <v>46081</v>
      </c>
      <c r="M16" s="245" t="s">
        <v>1988</v>
      </c>
      <c r="N16" s="245" t="s">
        <v>1989</v>
      </c>
      <c r="O16" s="245" t="s">
        <v>1990</v>
      </c>
      <c r="P16" s="245" t="s">
        <v>111</v>
      </c>
      <c r="Q16" s="247">
        <v>-1055530.21</v>
      </c>
      <c r="R16" s="247">
        <v>-1055530.21</v>
      </c>
      <c r="S16" s="247">
        <v>-755.27</v>
      </c>
      <c r="T16" s="245" t="s">
        <v>1991</v>
      </c>
      <c r="U16" s="245" t="s">
        <v>1992</v>
      </c>
      <c r="V16" s="241" t="s">
        <v>1993</v>
      </c>
      <c r="W16" s="241" t="s">
        <v>93</v>
      </c>
      <c r="X16" s="241" t="s">
        <v>1994</v>
      </c>
    </row>
    <row r="17" spans="1:24" ht="13.5" customHeight="1" x14ac:dyDescent="0.3">
      <c r="A17" s="245" t="s">
        <v>1985</v>
      </c>
      <c r="B17" s="246">
        <v>46081</v>
      </c>
      <c r="C17" s="245"/>
      <c r="D17" s="245"/>
      <c r="E17" s="245"/>
      <c r="F17" s="245"/>
      <c r="G17" s="245" t="s">
        <v>2429</v>
      </c>
      <c r="H17" s="245" t="s">
        <v>2347</v>
      </c>
      <c r="I17" s="245" t="s">
        <v>1988</v>
      </c>
      <c r="J17" s="245" t="s">
        <v>2430</v>
      </c>
      <c r="K17" s="245" t="s">
        <v>2431</v>
      </c>
      <c r="L17" s="246">
        <v>46081</v>
      </c>
      <c r="M17" s="245" t="s">
        <v>1988</v>
      </c>
      <c r="N17" s="245" t="s">
        <v>1989</v>
      </c>
      <c r="O17" s="245" t="s">
        <v>1990</v>
      </c>
      <c r="P17" s="245" t="s">
        <v>111</v>
      </c>
      <c r="Q17" s="247">
        <v>-4396289.4000000004</v>
      </c>
      <c r="R17" s="247">
        <v>-4396289.4000000004</v>
      </c>
      <c r="S17" s="247">
        <v>-3145.7</v>
      </c>
      <c r="T17" s="245" t="s">
        <v>1991</v>
      </c>
      <c r="U17" s="245" t="s">
        <v>1992</v>
      </c>
      <c r="V17" s="241" t="s">
        <v>1993</v>
      </c>
      <c r="W17" s="241" t="s">
        <v>93</v>
      </c>
      <c r="X17" s="241" t="s">
        <v>1994</v>
      </c>
    </row>
    <row r="18" spans="1:24" ht="13.5" customHeight="1" x14ac:dyDescent="0.3">
      <c r="A18" s="245" t="s">
        <v>1985</v>
      </c>
      <c r="B18" s="246">
        <v>46081</v>
      </c>
      <c r="C18" s="245"/>
      <c r="D18" s="245"/>
      <c r="E18" s="245"/>
      <c r="F18" s="245"/>
      <c r="G18" s="245" t="s">
        <v>2016</v>
      </c>
      <c r="H18" s="245" t="s">
        <v>2017</v>
      </c>
      <c r="I18" s="245" t="s">
        <v>1988</v>
      </c>
      <c r="J18" s="245" t="s">
        <v>2432</v>
      </c>
      <c r="K18" s="245" t="s">
        <v>2433</v>
      </c>
      <c r="L18" s="246">
        <v>46081</v>
      </c>
      <c r="M18" s="245" t="s">
        <v>1988</v>
      </c>
      <c r="N18" s="245" t="s">
        <v>1989</v>
      </c>
      <c r="O18" s="245" t="s">
        <v>1990</v>
      </c>
      <c r="P18" s="245" t="s">
        <v>111</v>
      </c>
      <c r="Q18" s="247">
        <v>-7991501.8099999996</v>
      </c>
      <c r="R18" s="247">
        <v>-7991501.8099999996</v>
      </c>
      <c r="S18" s="247">
        <v>-5718.21</v>
      </c>
      <c r="T18" s="245" t="s">
        <v>1991</v>
      </c>
      <c r="U18" s="245" t="s">
        <v>1992</v>
      </c>
      <c r="V18" s="241" t="s">
        <v>1993</v>
      </c>
      <c r="W18" s="241" t="s">
        <v>93</v>
      </c>
      <c r="X18" s="241" t="s">
        <v>1994</v>
      </c>
    </row>
    <row r="19" spans="1:24" ht="13.5" customHeight="1" x14ac:dyDescent="0.3">
      <c r="A19" s="245" t="s">
        <v>1985</v>
      </c>
      <c r="B19" s="246">
        <v>46081</v>
      </c>
      <c r="C19" s="245"/>
      <c r="D19" s="245"/>
      <c r="E19" s="245"/>
      <c r="F19" s="245"/>
      <c r="G19" s="245" t="s">
        <v>2434</v>
      </c>
      <c r="H19" s="245" t="s">
        <v>2338</v>
      </c>
      <c r="I19" s="245" t="s">
        <v>2020</v>
      </c>
      <c r="J19" s="245" t="s">
        <v>2435</v>
      </c>
      <c r="K19" s="245" t="s">
        <v>2436</v>
      </c>
      <c r="L19" s="246">
        <v>46081</v>
      </c>
      <c r="M19" s="245" t="s">
        <v>2020</v>
      </c>
      <c r="N19" s="245" t="s">
        <v>1989</v>
      </c>
      <c r="O19" s="245" t="s">
        <v>1990</v>
      </c>
      <c r="P19" s="245" t="s">
        <v>111</v>
      </c>
      <c r="Q19" s="247">
        <v>-12942.5</v>
      </c>
      <c r="R19" s="247">
        <v>-12942.5</v>
      </c>
      <c r="S19" s="247">
        <v>-9.26</v>
      </c>
      <c r="T19" s="245" t="s">
        <v>1991</v>
      </c>
      <c r="U19" s="245" t="s">
        <v>1992</v>
      </c>
      <c r="V19" s="241" t="s">
        <v>1993</v>
      </c>
      <c r="W19" s="241" t="s">
        <v>93</v>
      </c>
      <c r="X19" s="241" t="s">
        <v>1994</v>
      </c>
    </row>
    <row r="20" spans="1:24" ht="13.5" customHeight="1" x14ac:dyDescent="0.3">
      <c r="A20" s="245" t="s">
        <v>1985</v>
      </c>
      <c r="B20" s="246">
        <v>46081</v>
      </c>
      <c r="C20" s="245"/>
      <c r="D20" s="245"/>
      <c r="E20" s="245"/>
      <c r="F20" s="245"/>
      <c r="G20" s="245" t="s">
        <v>2018</v>
      </c>
      <c r="H20" s="245" t="s">
        <v>2019</v>
      </c>
      <c r="I20" s="245" t="s">
        <v>2020</v>
      </c>
      <c r="J20" s="245" t="s">
        <v>2437</v>
      </c>
      <c r="K20" s="245" t="s">
        <v>2438</v>
      </c>
      <c r="L20" s="246">
        <v>46081</v>
      </c>
      <c r="M20" s="245" t="s">
        <v>2020</v>
      </c>
      <c r="N20" s="245" t="s">
        <v>1989</v>
      </c>
      <c r="O20" s="245" t="s">
        <v>1990</v>
      </c>
      <c r="P20" s="245" t="s">
        <v>111</v>
      </c>
      <c r="Q20" s="247">
        <v>-2669100</v>
      </c>
      <c r="R20" s="247">
        <v>-2669100</v>
      </c>
      <c r="S20" s="247">
        <v>-1909.84</v>
      </c>
      <c r="T20" s="245" t="s">
        <v>1991</v>
      </c>
      <c r="U20" s="245" t="s">
        <v>1992</v>
      </c>
      <c r="V20" s="241" t="s">
        <v>1993</v>
      </c>
      <c r="W20" s="241" t="s">
        <v>93</v>
      </c>
      <c r="X20" s="241" t="s">
        <v>1994</v>
      </c>
    </row>
    <row r="21" spans="1:24" ht="13.5" customHeight="1" x14ac:dyDescent="0.3">
      <c r="A21" s="245" t="s">
        <v>1985</v>
      </c>
      <c r="B21" s="246">
        <v>46081</v>
      </c>
      <c r="C21" s="245"/>
      <c r="D21" s="245"/>
      <c r="E21" s="245"/>
      <c r="F21" s="245"/>
      <c r="G21" s="245" t="s">
        <v>2439</v>
      </c>
      <c r="H21" s="245" t="s">
        <v>2345</v>
      </c>
      <c r="I21" s="245" t="s">
        <v>1988</v>
      </c>
      <c r="J21" s="245" t="s">
        <v>2440</v>
      </c>
      <c r="K21" s="245" t="s">
        <v>2441</v>
      </c>
      <c r="L21" s="246">
        <v>46081</v>
      </c>
      <c r="M21" s="245" t="s">
        <v>1988</v>
      </c>
      <c r="N21" s="245" t="s">
        <v>1989</v>
      </c>
      <c r="O21" s="245" t="s">
        <v>1990</v>
      </c>
      <c r="P21" s="245" t="s">
        <v>111</v>
      </c>
      <c r="Q21" s="247">
        <v>-2489548.4</v>
      </c>
      <c r="R21" s="247">
        <v>-2489548.4</v>
      </c>
      <c r="S21" s="247">
        <v>-1781.36</v>
      </c>
      <c r="T21" s="245" t="s">
        <v>1991</v>
      </c>
      <c r="U21" s="245" t="s">
        <v>1992</v>
      </c>
      <c r="V21" s="241" t="s">
        <v>1993</v>
      </c>
      <c r="W21" s="241" t="s">
        <v>93</v>
      </c>
      <c r="X21" s="241" t="s">
        <v>1994</v>
      </c>
    </row>
    <row r="22" spans="1:24" ht="13.5" customHeight="1" x14ac:dyDescent="0.3">
      <c r="A22" s="245" t="s">
        <v>1985</v>
      </c>
      <c r="B22" s="246">
        <v>46081</v>
      </c>
      <c r="C22" s="245"/>
      <c r="D22" s="245"/>
      <c r="E22" s="245"/>
      <c r="F22" s="245"/>
      <c r="G22" s="245" t="s">
        <v>2022</v>
      </c>
      <c r="H22" s="245" t="s">
        <v>2023</v>
      </c>
      <c r="I22" s="245" t="s">
        <v>2024</v>
      </c>
      <c r="J22" s="245" t="s">
        <v>2442</v>
      </c>
      <c r="K22" s="245" t="s">
        <v>2443</v>
      </c>
      <c r="L22" s="246">
        <v>46081</v>
      </c>
      <c r="M22" s="245" t="s">
        <v>2024</v>
      </c>
      <c r="N22" s="245" t="s">
        <v>1989</v>
      </c>
      <c r="O22" s="245" t="s">
        <v>1990</v>
      </c>
      <c r="P22" s="245" t="s">
        <v>111</v>
      </c>
      <c r="Q22" s="247">
        <v>-16336337.960000001</v>
      </c>
      <c r="R22" s="247">
        <v>-16336337.960000001</v>
      </c>
      <c r="S22" s="247">
        <v>-11689.24</v>
      </c>
      <c r="T22" s="245" t="s">
        <v>1991</v>
      </c>
      <c r="U22" s="245" t="s">
        <v>1992</v>
      </c>
      <c r="V22" s="241" t="s">
        <v>1993</v>
      </c>
      <c r="W22" s="241" t="s">
        <v>100</v>
      </c>
      <c r="X22" s="241" t="s">
        <v>1994</v>
      </c>
    </row>
    <row r="23" spans="1:24" ht="13.5" customHeight="1" x14ac:dyDescent="0.3">
      <c r="A23" s="245" t="s">
        <v>1985</v>
      </c>
      <c r="B23" s="246">
        <v>46081</v>
      </c>
      <c r="C23" s="245"/>
      <c r="D23" s="245"/>
      <c r="E23" s="245"/>
      <c r="F23" s="245"/>
      <c r="G23" s="245" t="s">
        <v>2025</v>
      </c>
      <c r="H23" s="245" t="s">
        <v>2026</v>
      </c>
      <c r="I23" s="245" t="s">
        <v>1988</v>
      </c>
      <c r="J23" s="245" t="s">
        <v>2444</v>
      </c>
      <c r="K23" s="245" t="s">
        <v>2445</v>
      </c>
      <c r="L23" s="246">
        <v>46081</v>
      </c>
      <c r="M23" s="245" t="s">
        <v>1988</v>
      </c>
      <c r="N23" s="245" t="s">
        <v>1989</v>
      </c>
      <c r="O23" s="245" t="s">
        <v>1990</v>
      </c>
      <c r="P23" s="245" t="s">
        <v>111</v>
      </c>
      <c r="Q23" s="247">
        <v>-2431431.12</v>
      </c>
      <c r="R23" s="247">
        <v>-2431431.12</v>
      </c>
      <c r="S23" s="247">
        <v>-1739.78</v>
      </c>
      <c r="T23" s="245" t="s">
        <v>1991</v>
      </c>
      <c r="U23" s="245" t="s">
        <v>1992</v>
      </c>
      <c r="V23" s="241" t="s">
        <v>1993</v>
      </c>
      <c r="W23" s="241" t="s">
        <v>93</v>
      </c>
      <c r="X23" s="241" t="s">
        <v>1994</v>
      </c>
    </row>
    <row r="24" spans="1:24" ht="13.5" customHeight="1" x14ac:dyDescent="0.3">
      <c r="A24" s="245" t="s">
        <v>1985</v>
      </c>
      <c r="B24" s="246">
        <v>46081</v>
      </c>
      <c r="C24" s="245"/>
      <c r="D24" s="245"/>
      <c r="E24" s="245"/>
      <c r="F24" s="245"/>
      <c r="G24" s="245" t="s">
        <v>2027</v>
      </c>
      <c r="H24" s="245" t="s">
        <v>2028</v>
      </c>
      <c r="I24" s="245" t="s">
        <v>1988</v>
      </c>
      <c r="J24" s="245" t="s">
        <v>2446</v>
      </c>
      <c r="K24" s="245" t="s">
        <v>2447</v>
      </c>
      <c r="L24" s="246">
        <v>46081</v>
      </c>
      <c r="M24" s="245" t="s">
        <v>1988</v>
      </c>
      <c r="N24" s="245" t="s">
        <v>1989</v>
      </c>
      <c r="O24" s="245" t="s">
        <v>1990</v>
      </c>
      <c r="P24" s="245" t="s">
        <v>111</v>
      </c>
      <c r="Q24" s="247">
        <v>-2687841.46</v>
      </c>
      <c r="R24" s="247">
        <v>-2687841.46</v>
      </c>
      <c r="S24" s="247">
        <v>-1923.25</v>
      </c>
      <c r="T24" s="245" t="s">
        <v>1991</v>
      </c>
      <c r="U24" s="245" t="s">
        <v>1992</v>
      </c>
      <c r="V24" s="241" t="s">
        <v>1993</v>
      </c>
      <c r="W24" s="241" t="s">
        <v>93</v>
      </c>
      <c r="X24" s="241" t="s">
        <v>1994</v>
      </c>
    </row>
    <row r="25" spans="1:24" ht="13.5" customHeight="1" x14ac:dyDescent="0.3">
      <c r="A25" s="245" t="s">
        <v>1985</v>
      </c>
      <c r="B25" s="246">
        <v>46081</v>
      </c>
      <c r="C25" s="245"/>
      <c r="D25" s="245"/>
      <c r="E25" s="245"/>
      <c r="F25" s="245"/>
      <c r="G25" s="245" t="s">
        <v>2448</v>
      </c>
      <c r="H25" s="245" t="s">
        <v>2368</v>
      </c>
      <c r="I25" s="245" t="s">
        <v>1988</v>
      </c>
      <c r="J25" s="245" t="s">
        <v>2449</v>
      </c>
      <c r="K25" s="245" t="s">
        <v>2450</v>
      </c>
      <c r="L25" s="246">
        <v>46081</v>
      </c>
      <c r="M25" s="245" t="s">
        <v>1988</v>
      </c>
      <c r="N25" s="245" t="s">
        <v>1989</v>
      </c>
      <c r="O25" s="245" t="s">
        <v>1990</v>
      </c>
      <c r="P25" s="245" t="s">
        <v>111</v>
      </c>
      <c r="Q25" s="247">
        <v>-3625356</v>
      </c>
      <c r="R25" s="247">
        <v>-3625356</v>
      </c>
      <c r="S25" s="247">
        <v>-2594.0700000000002</v>
      </c>
      <c r="T25" s="245" t="s">
        <v>1991</v>
      </c>
      <c r="U25" s="245" t="s">
        <v>1992</v>
      </c>
      <c r="V25" s="241" t="s">
        <v>1993</v>
      </c>
      <c r="W25" s="241" t="s">
        <v>93</v>
      </c>
      <c r="X25" s="241" t="s">
        <v>1994</v>
      </c>
    </row>
    <row r="26" spans="1:24" ht="13.5" customHeight="1" x14ac:dyDescent="0.3">
      <c r="A26" s="245" t="s">
        <v>1985</v>
      </c>
      <c r="B26" s="246">
        <v>46081</v>
      </c>
      <c r="C26" s="245"/>
      <c r="D26" s="245"/>
      <c r="E26" s="245"/>
      <c r="F26" s="245"/>
      <c r="G26" s="245" t="s">
        <v>2451</v>
      </c>
      <c r="H26" s="245" t="s">
        <v>2349</v>
      </c>
      <c r="I26" s="245" t="s">
        <v>1988</v>
      </c>
      <c r="J26" s="245" t="s">
        <v>2452</v>
      </c>
      <c r="K26" s="245" t="s">
        <v>2453</v>
      </c>
      <c r="L26" s="246">
        <v>46081</v>
      </c>
      <c r="M26" s="245" t="s">
        <v>1988</v>
      </c>
      <c r="N26" s="245" t="s">
        <v>1989</v>
      </c>
      <c r="O26" s="245" t="s">
        <v>1990</v>
      </c>
      <c r="P26" s="245" t="s">
        <v>111</v>
      </c>
      <c r="Q26" s="247">
        <v>-2000000</v>
      </c>
      <c r="R26" s="247">
        <v>-2000000</v>
      </c>
      <c r="S26" s="247">
        <v>-1431.07</v>
      </c>
      <c r="T26" s="245" t="s">
        <v>1991</v>
      </c>
      <c r="U26" s="245" t="s">
        <v>1992</v>
      </c>
      <c r="V26" s="241" t="s">
        <v>1993</v>
      </c>
      <c r="W26" s="241" t="s">
        <v>93</v>
      </c>
      <c r="X26" s="241" t="s">
        <v>1994</v>
      </c>
    </row>
    <row r="27" spans="1:24" ht="13.5" customHeight="1" x14ac:dyDescent="0.3">
      <c r="A27" s="245" t="s">
        <v>1985</v>
      </c>
      <c r="B27" s="246">
        <v>46081</v>
      </c>
      <c r="C27" s="245"/>
      <c r="D27" s="245"/>
      <c r="E27" s="245"/>
      <c r="F27" s="245"/>
      <c r="G27" s="245" t="s">
        <v>2029</v>
      </c>
      <c r="H27" s="245" t="s">
        <v>2030</v>
      </c>
      <c r="I27" s="245" t="s">
        <v>1988</v>
      </c>
      <c r="J27" s="245" t="s">
        <v>2454</v>
      </c>
      <c r="K27" s="245" t="s">
        <v>2455</v>
      </c>
      <c r="L27" s="246">
        <v>46081</v>
      </c>
      <c r="M27" s="245" t="s">
        <v>1988</v>
      </c>
      <c r="N27" s="245" t="s">
        <v>1989</v>
      </c>
      <c r="O27" s="245" t="s">
        <v>1990</v>
      </c>
      <c r="P27" s="245" t="s">
        <v>111</v>
      </c>
      <c r="Q27" s="247">
        <v>-4712962.42</v>
      </c>
      <c r="R27" s="247">
        <v>-4712962.42</v>
      </c>
      <c r="S27" s="247">
        <v>-3372.29</v>
      </c>
      <c r="T27" s="245" t="s">
        <v>1991</v>
      </c>
      <c r="U27" s="245" t="s">
        <v>1992</v>
      </c>
      <c r="V27" s="241" t="s">
        <v>1993</v>
      </c>
      <c r="W27" s="241" t="s">
        <v>93</v>
      </c>
      <c r="X27" s="241" t="s">
        <v>1994</v>
      </c>
    </row>
    <row r="28" spans="1:24" ht="13.5" customHeight="1" x14ac:dyDescent="0.3">
      <c r="A28" s="245" t="s">
        <v>1985</v>
      </c>
      <c r="B28" s="246">
        <v>46081</v>
      </c>
      <c r="C28" s="245"/>
      <c r="D28" s="245"/>
      <c r="E28" s="245"/>
      <c r="F28" s="245"/>
      <c r="G28" s="245" t="s">
        <v>2032</v>
      </c>
      <c r="H28" s="245" t="s">
        <v>2033</v>
      </c>
      <c r="I28" s="245" t="s">
        <v>1988</v>
      </c>
      <c r="J28" s="245" t="s">
        <v>2456</v>
      </c>
      <c r="K28" s="245" t="s">
        <v>2457</v>
      </c>
      <c r="L28" s="246">
        <v>46081</v>
      </c>
      <c r="M28" s="245" t="s">
        <v>1988</v>
      </c>
      <c r="N28" s="245" t="s">
        <v>1989</v>
      </c>
      <c r="O28" s="245" t="s">
        <v>1990</v>
      </c>
      <c r="P28" s="245" t="s">
        <v>111</v>
      </c>
      <c r="Q28" s="247">
        <v>-894756.91</v>
      </c>
      <c r="R28" s="247">
        <v>-894756.91</v>
      </c>
      <c r="S28" s="247">
        <v>-640.23</v>
      </c>
      <c r="T28" s="245" t="s">
        <v>1991</v>
      </c>
      <c r="U28" s="245" t="s">
        <v>1992</v>
      </c>
      <c r="V28" s="241" t="s">
        <v>1993</v>
      </c>
      <c r="W28" s="241" t="s">
        <v>93</v>
      </c>
      <c r="X28" s="241" t="s">
        <v>1994</v>
      </c>
    </row>
    <row r="29" spans="1:24" ht="13.5" customHeight="1" x14ac:dyDescent="0.3">
      <c r="A29" s="245" t="s">
        <v>1985</v>
      </c>
      <c r="B29" s="246">
        <v>46081</v>
      </c>
      <c r="C29" s="245"/>
      <c r="D29" s="245"/>
      <c r="E29" s="245"/>
      <c r="F29" s="245"/>
      <c r="G29" s="245" t="s">
        <v>2034</v>
      </c>
      <c r="H29" s="245" t="s">
        <v>2035</v>
      </c>
      <c r="I29" s="245" t="s">
        <v>1988</v>
      </c>
      <c r="J29" s="245" t="s">
        <v>2458</v>
      </c>
      <c r="K29" s="245" t="s">
        <v>2459</v>
      </c>
      <c r="L29" s="246">
        <v>46081</v>
      </c>
      <c r="M29" s="245" t="s">
        <v>1988</v>
      </c>
      <c r="N29" s="245" t="s">
        <v>1989</v>
      </c>
      <c r="O29" s="245" t="s">
        <v>1990</v>
      </c>
      <c r="P29" s="245" t="s">
        <v>111</v>
      </c>
      <c r="Q29" s="247">
        <v>-5546437.7000000002</v>
      </c>
      <c r="R29" s="247">
        <v>-5546437.7000000002</v>
      </c>
      <c r="S29" s="247">
        <v>-3968.67</v>
      </c>
      <c r="T29" s="245" t="s">
        <v>1991</v>
      </c>
      <c r="U29" s="245" t="s">
        <v>1992</v>
      </c>
      <c r="V29" s="241" t="s">
        <v>1993</v>
      </c>
      <c r="W29" s="241" t="s">
        <v>93</v>
      </c>
      <c r="X29" s="241" t="s">
        <v>1994</v>
      </c>
    </row>
    <row r="30" spans="1:24" ht="13.5" customHeight="1" x14ac:dyDescent="0.3">
      <c r="A30" s="245" t="s">
        <v>1985</v>
      </c>
      <c r="B30" s="246">
        <v>46081</v>
      </c>
      <c r="C30" s="245"/>
      <c r="D30" s="245"/>
      <c r="E30" s="245"/>
      <c r="F30" s="245"/>
      <c r="G30" s="245" t="s">
        <v>2036</v>
      </c>
      <c r="H30" s="245" t="s">
        <v>2037</v>
      </c>
      <c r="I30" s="245" t="s">
        <v>1988</v>
      </c>
      <c r="J30" s="245" t="s">
        <v>2460</v>
      </c>
      <c r="K30" s="245" t="s">
        <v>2461</v>
      </c>
      <c r="L30" s="246">
        <v>46081</v>
      </c>
      <c r="M30" s="245" t="s">
        <v>1988</v>
      </c>
      <c r="N30" s="245" t="s">
        <v>1989</v>
      </c>
      <c r="O30" s="245" t="s">
        <v>1990</v>
      </c>
      <c r="P30" s="245" t="s">
        <v>111</v>
      </c>
      <c r="Q30" s="247">
        <v>-9577518.6799999997</v>
      </c>
      <c r="R30" s="247">
        <v>-9577518.6799999997</v>
      </c>
      <c r="S30" s="247">
        <v>-6853.06</v>
      </c>
      <c r="T30" s="245" t="s">
        <v>1991</v>
      </c>
      <c r="U30" s="245" t="s">
        <v>1992</v>
      </c>
      <c r="V30" s="241" t="s">
        <v>1993</v>
      </c>
      <c r="W30" s="241" t="s">
        <v>93</v>
      </c>
      <c r="X30" s="241" t="s">
        <v>1994</v>
      </c>
    </row>
    <row r="31" spans="1:24" ht="13.5" customHeight="1" x14ac:dyDescent="0.3">
      <c r="A31" s="245" t="s">
        <v>1985</v>
      </c>
      <c r="B31" s="246">
        <v>46081</v>
      </c>
      <c r="C31" s="245"/>
      <c r="D31" s="245"/>
      <c r="E31" s="245"/>
      <c r="F31" s="245"/>
      <c r="G31" s="245" t="s">
        <v>2462</v>
      </c>
      <c r="H31" s="245" t="s">
        <v>2364</v>
      </c>
      <c r="I31" s="245" t="s">
        <v>1988</v>
      </c>
      <c r="J31" s="245" t="s">
        <v>2463</v>
      </c>
      <c r="K31" s="245" t="s">
        <v>2464</v>
      </c>
      <c r="L31" s="246">
        <v>46081</v>
      </c>
      <c r="M31" s="245" t="s">
        <v>1988</v>
      </c>
      <c r="N31" s="245" t="s">
        <v>1989</v>
      </c>
      <c r="O31" s="245" t="s">
        <v>1990</v>
      </c>
      <c r="P31" s="245" t="s">
        <v>111</v>
      </c>
      <c r="Q31" s="247">
        <v>-4558905.76</v>
      </c>
      <c r="R31" s="247">
        <v>-4558905.76</v>
      </c>
      <c r="S31" s="247">
        <v>-3262.06</v>
      </c>
      <c r="T31" s="245" t="s">
        <v>1991</v>
      </c>
      <c r="U31" s="245" t="s">
        <v>1992</v>
      </c>
      <c r="V31" s="241" t="s">
        <v>1993</v>
      </c>
      <c r="W31" s="241" t="s">
        <v>93</v>
      </c>
      <c r="X31" s="241" t="s">
        <v>1994</v>
      </c>
    </row>
    <row r="32" spans="1:24" ht="13.5" customHeight="1" x14ac:dyDescent="0.3">
      <c r="A32" s="245" t="s">
        <v>1985</v>
      </c>
      <c r="B32" s="246">
        <v>46081</v>
      </c>
      <c r="C32" s="245"/>
      <c r="D32" s="245"/>
      <c r="E32" s="245"/>
      <c r="F32" s="245"/>
      <c r="G32" s="245" t="s">
        <v>2038</v>
      </c>
      <c r="H32" s="245" t="s">
        <v>2039</v>
      </c>
      <c r="I32" s="245" t="s">
        <v>1988</v>
      </c>
      <c r="J32" s="245" t="s">
        <v>2465</v>
      </c>
      <c r="K32" s="245" t="s">
        <v>2466</v>
      </c>
      <c r="L32" s="246">
        <v>46081</v>
      </c>
      <c r="M32" s="245" t="s">
        <v>1988</v>
      </c>
      <c r="N32" s="245" t="s">
        <v>1989</v>
      </c>
      <c r="O32" s="245" t="s">
        <v>1990</v>
      </c>
      <c r="P32" s="245" t="s">
        <v>111</v>
      </c>
      <c r="Q32" s="247">
        <v>-4109964.98</v>
      </c>
      <c r="R32" s="247">
        <v>-4109964.98</v>
      </c>
      <c r="S32" s="247">
        <v>-2940.83</v>
      </c>
      <c r="T32" s="245" t="s">
        <v>1991</v>
      </c>
      <c r="U32" s="245" t="s">
        <v>1992</v>
      </c>
      <c r="V32" s="241" t="s">
        <v>1993</v>
      </c>
      <c r="W32" s="241" t="s">
        <v>93</v>
      </c>
      <c r="X32" s="241" t="s">
        <v>1994</v>
      </c>
    </row>
    <row r="33" spans="1:24" ht="13.5" customHeight="1" x14ac:dyDescent="0.3">
      <c r="A33" s="245" t="s">
        <v>1985</v>
      </c>
      <c r="B33" s="246">
        <v>46081</v>
      </c>
      <c r="C33" s="245"/>
      <c r="D33" s="245"/>
      <c r="E33" s="245"/>
      <c r="F33" s="245"/>
      <c r="G33" s="245" t="s">
        <v>2040</v>
      </c>
      <c r="H33" s="245" t="s">
        <v>2041</v>
      </c>
      <c r="I33" s="245" t="s">
        <v>1988</v>
      </c>
      <c r="J33" s="245" t="s">
        <v>2467</v>
      </c>
      <c r="K33" s="245" t="s">
        <v>2468</v>
      </c>
      <c r="L33" s="246">
        <v>46081</v>
      </c>
      <c r="M33" s="245" t="s">
        <v>1988</v>
      </c>
      <c r="N33" s="245" t="s">
        <v>1989</v>
      </c>
      <c r="O33" s="245" t="s">
        <v>1990</v>
      </c>
      <c r="P33" s="245" t="s">
        <v>111</v>
      </c>
      <c r="Q33" s="247">
        <v>-2414312.9700000002</v>
      </c>
      <c r="R33" s="247">
        <v>-2414312.9700000002</v>
      </c>
      <c r="S33" s="247">
        <v>-1727.53</v>
      </c>
      <c r="T33" s="245" t="s">
        <v>1991</v>
      </c>
      <c r="U33" s="245" t="s">
        <v>1992</v>
      </c>
      <c r="V33" s="241" t="s">
        <v>1993</v>
      </c>
      <c r="W33" s="241" t="s">
        <v>93</v>
      </c>
      <c r="X33" s="241" t="s">
        <v>1994</v>
      </c>
    </row>
    <row r="34" spans="1:24" ht="13.5" customHeight="1" x14ac:dyDescent="0.3">
      <c r="A34" s="245" t="s">
        <v>1985</v>
      </c>
      <c r="B34" s="246">
        <v>46081</v>
      </c>
      <c r="C34" s="245"/>
      <c r="D34" s="245"/>
      <c r="E34" s="245"/>
      <c r="F34" s="245"/>
      <c r="G34" s="245" t="s">
        <v>2042</v>
      </c>
      <c r="H34" s="245" t="s">
        <v>2043</v>
      </c>
      <c r="I34" s="245" t="s">
        <v>1988</v>
      </c>
      <c r="J34" s="245" t="s">
        <v>2469</v>
      </c>
      <c r="K34" s="245" t="s">
        <v>2470</v>
      </c>
      <c r="L34" s="246">
        <v>46081</v>
      </c>
      <c r="M34" s="245" t="s">
        <v>1988</v>
      </c>
      <c r="N34" s="245" t="s">
        <v>1989</v>
      </c>
      <c r="O34" s="245" t="s">
        <v>1990</v>
      </c>
      <c r="P34" s="245" t="s">
        <v>111</v>
      </c>
      <c r="Q34" s="247">
        <v>-6210184.3200000003</v>
      </c>
      <c r="R34" s="247">
        <v>-6210184.3200000003</v>
      </c>
      <c r="S34" s="247">
        <v>-4443.6099999999997</v>
      </c>
      <c r="T34" s="245" t="s">
        <v>1991</v>
      </c>
      <c r="U34" s="245" t="s">
        <v>1992</v>
      </c>
      <c r="V34" s="241" t="s">
        <v>1993</v>
      </c>
      <c r="W34" s="241" t="s">
        <v>93</v>
      </c>
      <c r="X34" s="241" t="s">
        <v>1994</v>
      </c>
    </row>
    <row r="35" spans="1:24" ht="13.5" customHeight="1" x14ac:dyDescent="0.3">
      <c r="A35" s="245" t="s">
        <v>1985</v>
      </c>
      <c r="B35" s="246">
        <v>46081</v>
      </c>
      <c r="C35" s="245"/>
      <c r="D35" s="245"/>
      <c r="E35" s="245"/>
      <c r="F35" s="245"/>
      <c r="G35" s="245" t="s">
        <v>2044</v>
      </c>
      <c r="H35" s="245" t="s">
        <v>2045</v>
      </c>
      <c r="I35" s="245" t="s">
        <v>1988</v>
      </c>
      <c r="J35" s="245" t="s">
        <v>2471</v>
      </c>
      <c r="K35" s="245" t="s">
        <v>2472</v>
      </c>
      <c r="L35" s="246">
        <v>46081</v>
      </c>
      <c r="M35" s="245" t="s">
        <v>1988</v>
      </c>
      <c r="N35" s="245" t="s">
        <v>1989</v>
      </c>
      <c r="O35" s="245" t="s">
        <v>1990</v>
      </c>
      <c r="P35" s="245" t="s">
        <v>111</v>
      </c>
      <c r="Q35" s="247">
        <v>-718276.95</v>
      </c>
      <c r="R35" s="247">
        <v>-718276.95</v>
      </c>
      <c r="S35" s="247">
        <v>-513.95000000000005</v>
      </c>
      <c r="T35" s="245" t="s">
        <v>1991</v>
      </c>
      <c r="U35" s="245" t="s">
        <v>1992</v>
      </c>
      <c r="V35" s="241" t="s">
        <v>1993</v>
      </c>
      <c r="W35" s="241" t="s">
        <v>93</v>
      </c>
      <c r="X35" s="241" t="s">
        <v>1994</v>
      </c>
    </row>
    <row r="36" spans="1:24" ht="13.5" customHeight="1" x14ac:dyDescent="0.3">
      <c r="A36" s="245" t="s">
        <v>1985</v>
      </c>
      <c r="B36" s="246">
        <v>46081</v>
      </c>
      <c r="C36" s="245"/>
      <c r="D36" s="245"/>
      <c r="E36" s="245"/>
      <c r="F36" s="245"/>
      <c r="G36" s="245" t="s">
        <v>2047</v>
      </c>
      <c r="H36" s="245" t="s">
        <v>2048</v>
      </c>
      <c r="I36" s="245" t="s">
        <v>1988</v>
      </c>
      <c r="J36" s="245" t="s">
        <v>2473</v>
      </c>
      <c r="K36" s="245" t="s">
        <v>2474</v>
      </c>
      <c r="L36" s="246">
        <v>46081</v>
      </c>
      <c r="M36" s="245" t="s">
        <v>1988</v>
      </c>
      <c r="N36" s="245" t="s">
        <v>1989</v>
      </c>
      <c r="O36" s="245" t="s">
        <v>1990</v>
      </c>
      <c r="P36" s="245" t="s">
        <v>111</v>
      </c>
      <c r="Q36" s="247">
        <v>-1699231.77</v>
      </c>
      <c r="R36" s="247">
        <v>-1699231.77</v>
      </c>
      <c r="S36" s="247">
        <v>-1215.8599999999999</v>
      </c>
      <c r="T36" s="245" t="s">
        <v>1991</v>
      </c>
      <c r="U36" s="245" t="s">
        <v>1992</v>
      </c>
      <c r="V36" s="241" t="s">
        <v>1993</v>
      </c>
      <c r="W36" s="241" t="s">
        <v>93</v>
      </c>
      <c r="X36" s="241" t="s">
        <v>1994</v>
      </c>
    </row>
    <row r="37" spans="1:24" ht="13.5" customHeight="1" x14ac:dyDescent="0.3">
      <c r="A37" s="245" t="s">
        <v>1985</v>
      </c>
      <c r="B37" s="246">
        <v>46081</v>
      </c>
      <c r="C37" s="245"/>
      <c r="D37" s="245"/>
      <c r="E37" s="245"/>
      <c r="F37" s="245"/>
      <c r="G37" s="245" t="s">
        <v>2049</v>
      </c>
      <c r="H37" s="245" t="s">
        <v>2050</v>
      </c>
      <c r="I37" s="245" t="s">
        <v>1988</v>
      </c>
      <c r="J37" s="245" t="s">
        <v>2475</v>
      </c>
      <c r="K37" s="245" t="s">
        <v>2476</v>
      </c>
      <c r="L37" s="246">
        <v>46081</v>
      </c>
      <c r="M37" s="245" t="s">
        <v>1988</v>
      </c>
      <c r="N37" s="245" t="s">
        <v>1989</v>
      </c>
      <c r="O37" s="245" t="s">
        <v>1990</v>
      </c>
      <c r="P37" s="245" t="s">
        <v>111</v>
      </c>
      <c r="Q37" s="247">
        <v>-2007664.48</v>
      </c>
      <c r="R37" s="247">
        <v>-2007664.48</v>
      </c>
      <c r="S37" s="247">
        <v>-1436.56</v>
      </c>
      <c r="T37" s="245" t="s">
        <v>1991</v>
      </c>
      <c r="U37" s="245" t="s">
        <v>1992</v>
      </c>
      <c r="V37" s="241" t="s">
        <v>1993</v>
      </c>
      <c r="W37" s="241" t="s">
        <v>93</v>
      </c>
      <c r="X37" s="241" t="s">
        <v>1994</v>
      </c>
    </row>
    <row r="38" spans="1:24" ht="13.5" customHeight="1" x14ac:dyDescent="0.3">
      <c r="A38" s="245" t="s">
        <v>1985</v>
      </c>
      <c r="B38" s="246">
        <v>46081</v>
      </c>
      <c r="C38" s="245"/>
      <c r="D38" s="245"/>
      <c r="E38" s="245"/>
      <c r="F38" s="245"/>
      <c r="G38" s="245" t="s">
        <v>2477</v>
      </c>
      <c r="H38" s="245" t="s">
        <v>2343</v>
      </c>
      <c r="I38" s="245" t="s">
        <v>1988</v>
      </c>
      <c r="J38" s="245" t="s">
        <v>2478</v>
      </c>
      <c r="K38" s="245" t="s">
        <v>2479</v>
      </c>
      <c r="L38" s="246">
        <v>46081</v>
      </c>
      <c r="M38" s="245" t="s">
        <v>1988</v>
      </c>
      <c r="N38" s="245" t="s">
        <v>1989</v>
      </c>
      <c r="O38" s="245" t="s">
        <v>1990</v>
      </c>
      <c r="P38" s="245" t="s">
        <v>111</v>
      </c>
      <c r="Q38" s="247">
        <v>-12365985.800000001</v>
      </c>
      <c r="R38" s="247">
        <v>-12365985.800000001</v>
      </c>
      <c r="S38" s="247">
        <v>-8848.31</v>
      </c>
      <c r="T38" s="245" t="s">
        <v>1991</v>
      </c>
      <c r="U38" s="245" t="s">
        <v>1992</v>
      </c>
      <c r="V38" s="241" t="s">
        <v>1993</v>
      </c>
      <c r="W38" s="241" t="s">
        <v>93</v>
      </c>
      <c r="X38" s="241" t="s">
        <v>1994</v>
      </c>
    </row>
    <row r="39" spans="1:24" ht="13.5" customHeight="1" x14ac:dyDescent="0.3">
      <c r="A39" s="245" t="s">
        <v>1985</v>
      </c>
      <c r="B39" s="246">
        <v>46081</v>
      </c>
      <c r="C39" s="245"/>
      <c r="D39" s="245"/>
      <c r="E39" s="245"/>
      <c r="F39" s="245"/>
      <c r="G39" s="245" t="s">
        <v>2480</v>
      </c>
      <c r="H39" s="245" t="s">
        <v>2329</v>
      </c>
      <c r="I39" s="245" t="s">
        <v>1988</v>
      </c>
      <c r="J39" s="245" t="s">
        <v>2481</v>
      </c>
      <c r="K39" s="245" t="s">
        <v>2482</v>
      </c>
      <c r="L39" s="246">
        <v>46081</v>
      </c>
      <c r="M39" s="245" t="s">
        <v>1988</v>
      </c>
      <c r="N39" s="245" t="s">
        <v>1989</v>
      </c>
      <c r="O39" s="245" t="s">
        <v>1990</v>
      </c>
      <c r="P39" s="245" t="s">
        <v>111</v>
      </c>
      <c r="Q39" s="247">
        <v>-6912000</v>
      </c>
      <c r="R39" s="247">
        <v>-6912000</v>
      </c>
      <c r="S39" s="247">
        <v>-4945.78</v>
      </c>
      <c r="T39" s="245" t="s">
        <v>1991</v>
      </c>
      <c r="U39" s="245" t="s">
        <v>1992</v>
      </c>
      <c r="V39" s="241" t="s">
        <v>1993</v>
      </c>
      <c r="W39" s="241" t="s">
        <v>93</v>
      </c>
      <c r="X39" s="241" t="s">
        <v>1994</v>
      </c>
    </row>
    <row r="40" spans="1:24" ht="13.5" customHeight="1" x14ac:dyDescent="0.3">
      <c r="A40" s="245" t="s">
        <v>1985</v>
      </c>
      <c r="B40" s="246">
        <v>46081</v>
      </c>
      <c r="C40" s="245"/>
      <c r="D40" s="245"/>
      <c r="E40" s="245"/>
      <c r="F40" s="245"/>
      <c r="G40" s="245" t="s">
        <v>2051</v>
      </c>
      <c r="H40" s="245" t="s">
        <v>2052</v>
      </c>
      <c r="I40" s="245" t="s">
        <v>1988</v>
      </c>
      <c r="J40" s="245" t="s">
        <v>2483</v>
      </c>
      <c r="K40" s="245" t="s">
        <v>2484</v>
      </c>
      <c r="L40" s="246">
        <v>46081</v>
      </c>
      <c r="M40" s="245" t="s">
        <v>1988</v>
      </c>
      <c r="N40" s="245" t="s">
        <v>1989</v>
      </c>
      <c r="O40" s="245" t="s">
        <v>1990</v>
      </c>
      <c r="P40" s="245" t="s">
        <v>111</v>
      </c>
      <c r="Q40" s="247">
        <v>-2028302.04</v>
      </c>
      <c r="R40" s="247">
        <v>-2028302.04</v>
      </c>
      <c r="S40" s="247">
        <v>-1451.32</v>
      </c>
      <c r="T40" s="245" t="s">
        <v>1991</v>
      </c>
      <c r="U40" s="245" t="s">
        <v>1992</v>
      </c>
      <c r="V40" s="241" t="s">
        <v>1993</v>
      </c>
      <c r="W40" s="241" t="s">
        <v>93</v>
      </c>
      <c r="X40" s="241" t="s">
        <v>1994</v>
      </c>
    </row>
    <row r="41" spans="1:24" ht="13.5" customHeight="1" x14ac:dyDescent="0.3">
      <c r="A41" s="245" t="s">
        <v>1985</v>
      </c>
      <c r="B41" s="246">
        <v>46081</v>
      </c>
      <c r="C41" s="245"/>
      <c r="D41" s="245"/>
      <c r="E41" s="245"/>
      <c r="F41" s="245"/>
      <c r="G41" s="245" t="s">
        <v>2053</v>
      </c>
      <c r="H41" s="245" t="s">
        <v>2054</v>
      </c>
      <c r="I41" s="245" t="s">
        <v>1988</v>
      </c>
      <c r="J41" s="245" t="s">
        <v>2485</v>
      </c>
      <c r="K41" s="245" t="s">
        <v>2486</v>
      </c>
      <c r="L41" s="246">
        <v>46081</v>
      </c>
      <c r="M41" s="245" t="s">
        <v>1988</v>
      </c>
      <c r="N41" s="245" t="s">
        <v>1989</v>
      </c>
      <c r="O41" s="245" t="s">
        <v>1990</v>
      </c>
      <c r="P41" s="245" t="s">
        <v>111</v>
      </c>
      <c r="Q41" s="247">
        <v>-81926.990000000005</v>
      </c>
      <c r="R41" s="247">
        <v>-81926.990000000005</v>
      </c>
      <c r="S41" s="247">
        <v>-58.62</v>
      </c>
      <c r="T41" s="245" t="s">
        <v>1991</v>
      </c>
      <c r="U41" s="245" t="s">
        <v>1992</v>
      </c>
      <c r="V41" s="241" t="s">
        <v>1993</v>
      </c>
      <c r="W41" s="241" t="s">
        <v>93</v>
      </c>
      <c r="X41" s="241" t="s">
        <v>1994</v>
      </c>
    </row>
    <row r="42" spans="1:24" ht="13.5" customHeight="1" x14ac:dyDescent="0.3">
      <c r="A42" s="245" t="s">
        <v>1985</v>
      </c>
      <c r="B42" s="246">
        <v>46081</v>
      </c>
      <c r="C42" s="245"/>
      <c r="D42" s="245"/>
      <c r="E42" s="245"/>
      <c r="F42" s="245"/>
      <c r="G42" s="245" t="s">
        <v>2487</v>
      </c>
      <c r="H42" s="245" t="s">
        <v>2389</v>
      </c>
      <c r="I42" s="245" t="s">
        <v>2024</v>
      </c>
      <c r="J42" s="245" t="s">
        <v>2488</v>
      </c>
      <c r="K42" s="245" t="s">
        <v>2489</v>
      </c>
      <c r="L42" s="246">
        <v>46081</v>
      </c>
      <c r="M42" s="245" t="s">
        <v>2024</v>
      </c>
      <c r="N42" s="245" t="s">
        <v>1989</v>
      </c>
      <c r="O42" s="245" t="s">
        <v>1990</v>
      </c>
      <c r="P42" s="245" t="s">
        <v>111</v>
      </c>
      <c r="Q42" s="247">
        <v>-540391.47</v>
      </c>
      <c r="R42" s="247">
        <v>-540391.47</v>
      </c>
      <c r="S42" s="247">
        <v>-386.67</v>
      </c>
      <c r="T42" s="245" t="s">
        <v>1991</v>
      </c>
      <c r="U42" s="245" t="s">
        <v>1992</v>
      </c>
      <c r="V42" s="241" t="s">
        <v>1993</v>
      </c>
      <c r="W42" s="241" t="s">
        <v>100</v>
      </c>
      <c r="X42" s="241" t="s">
        <v>1994</v>
      </c>
    </row>
    <row r="43" spans="1:24" ht="13.5" customHeight="1" x14ac:dyDescent="0.3">
      <c r="A43" s="245" t="s">
        <v>1985</v>
      </c>
      <c r="B43" s="246">
        <v>46081</v>
      </c>
      <c r="C43" s="245"/>
      <c r="D43" s="245"/>
      <c r="E43" s="245"/>
      <c r="F43" s="245"/>
      <c r="G43" s="245" t="s">
        <v>2490</v>
      </c>
      <c r="H43" s="245" t="s">
        <v>2358</v>
      </c>
      <c r="I43" s="245" t="s">
        <v>2024</v>
      </c>
      <c r="J43" s="245" t="s">
        <v>2491</v>
      </c>
      <c r="K43" s="245" t="s">
        <v>2492</v>
      </c>
      <c r="L43" s="246">
        <v>46081</v>
      </c>
      <c r="M43" s="245" t="s">
        <v>2024</v>
      </c>
      <c r="N43" s="245" t="s">
        <v>1989</v>
      </c>
      <c r="O43" s="245" t="s">
        <v>1990</v>
      </c>
      <c r="P43" s="245" t="s">
        <v>111</v>
      </c>
      <c r="Q43" s="247">
        <v>-2890408.14</v>
      </c>
      <c r="R43" s="247">
        <v>-2890408.14</v>
      </c>
      <c r="S43" s="247">
        <v>-2068.19</v>
      </c>
      <c r="T43" s="245" t="s">
        <v>1991</v>
      </c>
      <c r="U43" s="245" t="s">
        <v>1992</v>
      </c>
      <c r="V43" s="241" t="s">
        <v>1993</v>
      </c>
      <c r="W43" s="241" t="s">
        <v>100</v>
      </c>
      <c r="X43" s="241" t="s">
        <v>1994</v>
      </c>
    </row>
    <row r="44" spans="1:24" ht="13.5" customHeight="1" x14ac:dyDescent="0.3">
      <c r="A44" s="245" t="s">
        <v>1985</v>
      </c>
      <c r="B44" s="246">
        <v>46081</v>
      </c>
      <c r="C44" s="245"/>
      <c r="D44" s="245"/>
      <c r="E44" s="245"/>
      <c r="F44" s="245"/>
      <c r="G44" s="245" t="s">
        <v>2056</v>
      </c>
      <c r="H44" s="245" t="s">
        <v>2057</v>
      </c>
      <c r="I44" s="245" t="s">
        <v>1988</v>
      </c>
      <c r="J44" s="245" t="s">
        <v>2493</v>
      </c>
      <c r="K44" s="245" t="s">
        <v>2494</v>
      </c>
      <c r="L44" s="246">
        <v>46081</v>
      </c>
      <c r="M44" s="245" t="s">
        <v>1988</v>
      </c>
      <c r="N44" s="245" t="s">
        <v>1989</v>
      </c>
      <c r="O44" s="245" t="s">
        <v>1990</v>
      </c>
      <c r="P44" s="245" t="s">
        <v>111</v>
      </c>
      <c r="Q44" s="247">
        <v>-92012.77</v>
      </c>
      <c r="R44" s="247">
        <v>-92012.77</v>
      </c>
      <c r="S44" s="247">
        <v>-65.84</v>
      </c>
      <c r="T44" s="245" t="s">
        <v>1991</v>
      </c>
      <c r="U44" s="245" t="s">
        <v>1992</v>
      </c>
      <c r="V44" s="241" t="s">
        <v>1993</v>
      </c>
      <c r="W44" s="241" t="s">
        <v>93</v>
      </c>
      <c r="X44" s="241" t="s">
        <v>1994</v>
      </c>
    </row>
    <row r="45" spans="1:24" ht="13.5" customHeight="1" x14ac:dyDescent="0.3">
      <c r="A45" s="245" t="s">
        <v>1985</v>
      </c>
      <c r="B45" s="246">
        <v>46081</v>
      </c>
      <c r="C45" s="245"/>
      <c r="D45" s="245"/>
      <c r="E45" s="245"/>
      <c r="F45" s="245"/>
      <c r="G45" s="245" t="s">
        <v>2058</v>
      </c>
      <c r="H45" s="245" t="s">
        <v>2059</v>
      </c>
      <c r="I45" s="245" t="s">
        <v>2024</v>
      </c>
      <c r="J45" s="245" t="s">
        <v>2495</v>
      </c>
      <c r="K45" s="245" t="s">
        <v>2496</v>
      </c>
      <c r="L45" s="246">
        <v>46081</v>
      </c>
      <c r="M45" s="245" t="s">
        <v>2024</v>
      </c>
      <c r="N45" s="245" t="s">
        <v>1989</v>
      </c>
      <c r="O45" s="245" t="s">
        <v>1990</v>
      </c>
      <c r="P45" s="245" t="s">
        <v>111</v>
      </c>
      <c r="Q45" s="247">
        <v>-1353203.44</v>
      </c>
      <c r="R45" s="247">
        <v>-1353203.44</v>
      </c>
      <c r="S45" s="247">
        <v>-968.27</v>
      </c>
      <c r="T45" s="245" t="s">
        <v>1991</v>
      </c>
      <c r="U45" s="245" t="s">
        <v>1992</v>
      </c>
      <c r="V45" s="241" t="s">
        <v>1993</v>
      </c>
      <c r="W45" s="241" t="s">
        <v>100</v>
      </c>
      <c r="X45" s="241" t="s">
        <v>1994</v>
      </c>
    </row>
    <row r="46" spans="1:24" ht="13.5" customHeight="1" x14ac:dyDescent="0.3">
      <c r="A46" s="245" t="s">
        <v>1985</v>
      </c>
      <c r="B46" s="246">
        <v>46081</v>
      </c>
      <c r="C46" s="245"/>
      <c r="D46" s="245"/>
      <c r="E46" s="245"/>
      <c r="F46" s="245"/>
      <c r="G46" s="245" t="s">
        <v>2062</v>
      </c>
      <c r="H46" s="245" t="s">
        <v>2063</v>
      </c>
      <c r="I46" s="245" t="s">
        <v>1988</v>
      </c>
      <c r="J46" s="245" t="s">
        <v>2497</v>
      </c>
      <c r="K46" s="245" t="s">
        <v>2498</v>
      </c>
      <c r="L46" s="246">
        <v>46081</v>
      </c>
      <c r="M46" s="245" t="s">
        <v>1988</v>
      </c>
      <c r="N46" s="245" t="s">
        <v>1989</v>
      </c>
      <c r="O46" s="245" t="s">
        <v>1990</v>
      </c>
      <c r="P46" s="245" t="s">
        <v>111</v>
      </c>
      <c r="Q46" s="247">
        <v>-1900327.95</v>
      </c>
      <c r="R46" s="247">
        <v>-1900327.95</v>
      </c>
      <c r="S46" s="247">
        <v>-1359.75</v>
      </c>
      <c r="T46" s="245" t="s">
        <v>1991</v>
      </c>
      <c r="U46" s="245" t="s">
        <v>1992</v>
      </c>
      <c r="V46" s="241" t="s">
        <v>1993</v>
      </c>
      <c r="W46" s="241" t="s">
        <v>93</v>
      </c>
      <c r="X46" s="241" t="s">
        <v>1994</v>
      </c>
    </row>
    <row r="47" spans="1:24" ht="13.5" customHeight="1" x14ac:dyDescent="0.3">
      <c r="A47" s="245" t="s">
        <v>1985</v>
      </c>
      <c r="B47" s="246">
        <v>46081</v>
      </c>
      <c r="C47" s="245"/>
      <c r="D47" s="245"/>
      <c r="E47" s="245"/>
      <c r="F47" s="245"/>
      <c r="G47" s="245" t="s">
        <v>2499</v>
      </c>
      <c r="H47" s="245" t="s">
        <v>2356</v>
      </c>
      <c r="I47" s="245" t="s">
        <v>1988</v>
      </c>
      <c r="J47" s="245" t="s">
        <v>2500</v>
      </c>
      <c r="K47" s="245" t="s">
        <v>2501</v>
      </c>
      <c r="L47" s="246">
        <v>46081</v>
      </c>
      <c r="M47" s="245" t="s">
        <v>1988</v>
      </c>
      <c r="N47" s="245" t="s">
        <v>1989</v>
      </c>
      <c r="O47" s="245" t="s">
        <v>1990</v>
      </c>
      <c r="P47" s="245" t="s">
        <v>111</v>
      </c>
      <c r="Q47" s="247">
        <v>-839339.96</v>
      </c>
      <c r="R47" s="247">
        <v>-839339.96</v>
      </c>
      <c r="S47" s="247">
        <v>-600.58000000000004</v>
      </c>
      <c r="T47" s="245" t="s">
        <v>1991</v>
      </c>
      <c r="U47" s="245" t="s">
        <v>1992</v>
      </c>
      <c r="V47" s="241" t="s">
        <v>1993</v>
      </c>
      <c r="W47" s="241" t="s">
        <v>93</v>
      </c>
      <c r="X47" s="241" t="s">
        <v>1994</v>
      </c>
    </row>
    <row r="48" spans="1:24" ht="13.5" customHeight="1" x14ac:dyDescent="0.3">
      <c r="A48" s="245" t="s">
        <v>1985</v>
      </c>
      <c r="B48" s="246">
        <v>46081</v>
      </c>
      <c r="C48" s="245"/>
      <c r="D48" s="245"/>
      <c r="E48" s="245"/>
      <c r="F48" s="245"/>
      <c r="G48" s="245" t="s">
        <v>2502</v>
      </c>
      <c r="H48" s="245" t="s">
        <v>2354</v>
      </c>
      <c r="I48" s="245" t="s">
        <v>1988</v>
      </c>
      <c r="J48" s="245" t="s">
        <v>2503</v>
      </c>
      <c r="K48" s="245" t="s">
        <v>2504</v>
      </c>
      <c r="L48" s="246">
        <v>46081</v>
      </c>
      <c r="M48" s="245" t="s">
        <v>1988</v>
      </c>
      <c r="N48" s="245" t="s">
        <v>1989</v>
      </c>
      <c r="O48" s="245" t="s">
        <v>1990</v>
      </c>
      <c r="P48" s="245" t="s">
        <v>111</v>
      </c>
      <c r="Q48" s="247">
        <v>-7445541.0300000003</v>
      </c>
      <c r="R48" s="247">
        <v>-7445541.0300000003</v>
      </c>
      <c r="S48" s="247">
        <v>-5327.55</v>
      </c>
      <c r="T48" s="245" t="s">
        <v>1991</v>
      </c>
      <c r="U48" s="245" t="s">
        <v>1992</v>
      </c>
      <c r="V48" s="241" t="s">
        <v>1993</v>
      </c>
      <c r="W48" s="241" t="s">
        <v>93</v>
      </c>
      <c r="X48" s="241" t="s">
        <v>1994</v>
      </c>
    </row>
    <row r="49" spans="1:24" ht="13.5" customHeight="1" x14ac:dyDescent="0.3">
      <c r="A49" s="245" t="s">
        <v>1985</v>
      </c>
      <c r="B49" s="246">
        <v>46081</v>
      </c>
      <c r="C49" s="245"/>
      <c r="D49" s="245"/>
      <c r="E49" s="245"/>
      <c r="F49" s="245"/>
      <c r="G49" s="245" t="s">
        <v>2067</v>
      </c>
      <c r="H49" s="245" t="s">
        <v>2068</v>
      </c>
      <c r="I49" s="245" t="s">
        <v>1988</v>
      </c>
      <c r="J49" s="245" t="s">
        <v>2505</v>
      </c>
      <c r="K49" s="245" t="s">
        <v>2506</v>
      </c>
      <c r="L49" s="246">
        <v>46081</v>
      </c>
      <c r="M49" s="245" t="s">
        <v>1988</v>
      </c>
      <c r="N49" s="245" t="s">
        <v>1989</v>
      </c>
      <c r="O49" s="245" t="s">
        <v>1990</v>
      </c>
      <c r="P49" s="245" t="s">
        <v>111</v>
      </c>
      <c r="Q49" s="247">
        <v>-1269863.22</v>
      </c>
      <c r="R49" s="247">
        <v>-1269863.22</v>
      </c>
      <c r="S49" s="247">
        <v>-908.63</v>
      </c>
      <c r="T49" s="245" t="s">
        <v>1991</v>
      </c>
      <c r="U49" s="245" t="s">
        <v>1992</v>
      </c>
      <c r="V49" s="241" t="s">
        <v>1993</v>
      </c>
      <c r="W49" s="241" t="s">
        <v>93</v>
      </c>
      <c r="X49" s="241" t="s">
        <v>1994</v>
      </c>
    </row>
    <row r="50" spans="1:24" ht="13.5" customHeight="1" x14ac:dyDescent="0.3">
      <c r="A50" s="245" t="s">
        <v>1985</v>
      </c>
      <c r="B50" s="246">
        <v>46081</v>
      </c>
      <c r="C50" s="245"/>
      <c r="D50" s="245"/>
      <c r="E50" s="245"/>
      <c r="F50" s="245"/>
      <c r="G50" s="245" t="s">
        <v>2507</v>
      </c>
      <c r="H50" s="245" t="s">
        <v>2379</v>
      </c>
      <c r="I50" s="245" t="s">
        <v>1988</v>
      </c>
      <c r="J50" s="245" t="s">
        <v>2508</v>
      </c>
      <c r="K50" s="245" t="s">
        <v>2509</v>
      </c>
      <c r="L50" s="246">
        <v>46081</v>
      </c>
      <c r="M50" s="245" t="s">
        <v>1988</v>
      </c>
      <c r="N50" s="245" t="s">
        <v>1989</v>
      </c>
      <c r="O50" s="245" t="s">
        <v>1990</v>
      </c>
      <c r="P50" s="245" t="s">
        <v>111</v>
      </c>
      <c r="Q50" s="247">
        <v>-2300000</v>
      </c>
      <c r="R50" s="247">
        <v>-2300000</v>
      </c>
      <c r="S50" s="247">
        <v>-1645.73</v>
      </c>
      <c r="T50" s="245" t="s">
        <v>1991</v>
      </c>
      <c r="U50" s="245" t="s">
        <v>1992</v>
      </c>
      <c r="V50" s="241" t="s">
        <v>1993</v>
      </c>
      <c r="W50" s="241" t="s">
        <v>93</v>
      </c>
      <c r="X50" s="241" t="s">
        <v>1994</v>
      </c>
    </row>
    <row r="51" spans="1:24" ht="13.5" customHeight="1" x14ac:dyDescent="0.3">
      <c r="A51" s="245" t="s">
        <v>1985</v>
      </c>
      <c r="B51" s="246">
        <v>46081</v>
      </c>
      <c r="C51" s="245"/>
      <c r="D51" s="245"/>
      <c r="E51" s="245"/>
      <c r="F51" s="245"/>
      <c r="G51" s="245" t="s">
        <v>2510</v>
      </c>
      <c r="H51" s="245" t="s">
        <v>2377</v>
      </c>
      <c r="I51" s="245" t="s">
        <v>1988</v>
      </c>
      <c r="J51" s="245" t="s">
        <v>2511</v>
      </c>
      <c r="K51" s="245" t="s">
        <v>2512</v>
      </c>
      <c r="L51" s="246">
        <v>46081</v>
      </c>
      <c r="M51" s="245" t="s">
        <v>1988</v>
      </c>
      <c r="N51" s="245" t="s">
        <v>1989</v>
      </c>
      <c r="O51" s="245" t="s">
        <v>1990</v>
      </c>
      <c r="P51" s="245" t="s">
        <v>111</v>
      </c>
      <c r="Q51" s="247">
        <v>-4901475.9400000004</v>
      </c>
      <c r="R51" s="247">
        <v>-4901475.9400000004</v>
      </c>
      <c r="S51" s="247">
        <v>-3507.18</v>
      </c>
      <c r="T51" s="245" t="s">
        <v>1991</v>
      </c>
      <c r="U51" s="245" t="s">
        <v>1992</v>
      </c>
      <c r="V51" s="241" t="s">
        <v>1993</v>
      </c>
      <c r="W51" s="241" t="s">
        <v>93</v>
      </c>
      <c r="X51" s="241" t="s">
        <v>1994</v>
      </c>
    </row>
    <row r="52" spans="1:24" ht="13.5" customHeight="1" x14ac:dyDescent="0.3">
      <c r="A52" s="245" t="s">
        <v>1985</v>
      </c>
      <c r="B52" s="246">
        <v>46081</v>
      </c>
      <c r="C52" s="245"/>
      <c r="D52" s="245"/>
      <c r="E52" s="245"/>
      <c r="F52" s="245"/>
      <c r="G52" s="245" t="s">
        <v>2513</v>
      </c>
      <c r="H52" s="245" t="s">
        <v>2332</v>
      </c>
      <c r="I52" s="245" t="s">
        <v>2024</v>
      </c>
      <c r="J52" s="245" t="s">
        <v>2514</v>
      </c>
      <c r="K52" s="245" t="s">
        <v>2515</v>
      </c>
      <c r="L52" s="246">
        <v>46081</v>
      </c>
      <c r="M52" s="245" t="s">
        <v>2024</v>
      </c>
      <c r="N52" s="245" t="s">
        <v>1989</v>
      </c>
      <c r="O52" s="245" t="s">
        <v>1990</v>
      </c>
      <c r="P52" s="245" t="s">
        <v>111</v>
      </c>
      <c r="Q52" s="247">
        <v>-2937600</v>
      </c>
      <c r="R52" s="247">
        <v>-2937600</v>
      </c>
      <c r="S52" s="247">
        <v>-2101.96</v>
      </c>
      <c r="T52" s="245" t="s">
        <v>1991</v>
      </c>
      <c r="U52" s="245" t="s">
        <v>1992</v>
      </c>
      <c r="V52" s="241" t="s">
        <v>1993</v>
      </c>
      <c r="W52" s="241" t="s">
        <v>100</v>
      </c>
      <c r="X52" s="241" t="s">
        <v>1994</v>
      </c>
    </row>
    <row r="53" spans="1:24" ht="13.5" customHeight="1" x14ac:dyDescent="0.3">
      <c r="A53" s="245" t="s">
        <v>1985</v>
      </c>
      <c r="B53" s="246">
        <v>46081</v>
      </c>
      <c r="C53" s="245"/>
      <c r="D53" s="245"/>
      <c r="E53" s="245"/>
      <c r="F53" s="245"/>
      <c r="G53" s="245" t="s">
        <v>2516</v>
      </c>
      <c r="H53" s="245" t="s">
        <v>2381</v>
      </c>
      <c r="I53" s="245" t="s">
        <v>2024</v>
      </c>
      <c r="J53" s="245" t="s">
        <v>2517</v>
      </c>
      <c r="K53" s="245" t="s">
        <v>2518</v>
      </c>
      <c r="L53" s="246">
        <v>46081</v>
      </c>
      <c r="M53" s="245" t="s">
        <v>2024</v>
      </c>
      <c r="N53" s="245" t="s">
        <v>1989</v>
      </c>
      <c r="O53" s="245" t="s">
        <v>1990</v>
      </c>
      <c r="P53" s="245" t="s">
        <v>111</v>
      </c>
      <c r="Q53" s="247">
        <v>-9224933.0199999996</v>
      </c>
      <c r="R53" s="247">
        <v>-9224933.0199999996</v>
      </c>
      <c r="S53" s="247">
        <v>-6600.77</v>
      </c>
      <c r="T53" s="245" t="s">
        <v>1991</v>
      </c>
      <c r="U53" s="245" t="s">
        <v>1992</v>
      </c>
      <c r="V53" s="241" t="s">
        <v>1993</v>
      </c>
      <c r="W53" s="241" t="s">
        <v>100</v>
      </c>
      <c r="X53" s="241" t="s">
        <v>1994</v>
      </c>
    </row>
    <row r="54" spans="1:24" ht="13.5" customHeight="1" x14ac:dyDescent="0.3">
      <c r="A54" s="245" t="s">
        <v>1985</v>
      </c>
      <c r="B54" s="246">
        <v>46081</v>
      </c>
      <c r="C54" s="245"/>
      <c r="D54" s="245"/>
      <c r="E54" s="245"/>
      <c r="F54" s="245"/>
      <c r="G54" s="245" t="s">
        <v>2519</v>
      </c>
      <c r="H54" s="245" t="s">
        <v>2334</v>
      </c>
      <c r="I54" s="245" t="s">
        <v>2024</v>
      </c>
      <c r="J54" s="245" t="s">
        <v>2520</v>
      </c>
      <c r="K54" s="245" t="s">
        <v>2521</v>
      </c>
      <c r="L54" s="246">
        <v>46081</v>
      </c>
      <c r="M54" s="245" t="s">
        <v>2024</v>
      </c>
      <c r="N54" s="245" t="s">
        <v>1989</v>
      </c>
      <c r="O54" s="245" t="s">
        <v>1990</v>
      </c>
      <c r="P54" s="245" t="s">
        <v>111</v>
      </c>
      <c r="Q54" s="247">
        <v>-4701458.79</v>
      </c>
      <c r="R54" s="247">
        <v>-4701458.79</v>
      </c>
      <c r="S54" s="247">
        <v>-3364.06</v>
      </c>
      <c r="T54" s="245" t="s">
        <v>1991</v>
      </c>
      <c r="U54" s="245" t="s">
        <v>1992</v>
      </c>
      <c r="V54" s="241" t="s">
        <v>1993</v>
      </c>
      <c r="W54" s="241" t="s">
        <v>100</v>
      </c>
      <c r="X54" s="241" t="s">
        <v>1994</v>
      </c>
    </row>
    <row r="55" spans="1:24" ht="13.5" customHeight="1" x14ac:dyDescent="0.3">
      <c r="A55" s="245" t="s">
        <v>1985</v>
      </c>
      <c r="B55" s="246">
        <v>46081</v>
      </c>
      <c r="C55" s="245"/>
      <c r="D55" s="245"/>
      <c r="E55" s="245"/>
      <c r="F55" s="245"/>
      <c r="G55" s="245" t="s">
        <v>2522</v>
      </c>
      <c r="H55" s="245" t="s">
        <v>2322</v>
      </c>
      <c r="I55" s="245" t="s">
        <v>2024</v>
      </c>
      <c r="J55" s="245" t="s">
        <v>2523</v>
      </c>
      <c r="K55" s="245" t="s">
        <v>2524</v>
      </c>
      <c r="L55" s="246">
        <v>46081</v>
      </c>
      <c r="M55" s="245" t="s">
        <v>2024</v>
      </c>
      <c r="N55" s="245" t="s">
        <v>1989</v>
      </c>
      <c r="O55" s="245" t="s">
        <v>1990</v>
      </c>
      <c r="P55" s="245" t="s">
        <v>111</v>
      </c>
      <c r="Q55" s="247">
        <v>-2304000</v>
      </c>
      <c r="R55" s="247">
        <v>-2304000</v>
      </c>
      <c r="S55" s="247">
        <v>-1648.59</v>
      </c>
      <c r="T55" s="245" t="s">
        <v>1991</v>
      </c>
      <c r="U55" s="245" t="s">
        <v>1992</v>
      </c>
      <c r="V55" s="241" t="s">
        <v>1993</v>
      </c>
      <c r="W55" s="241" t="s">
        <v>100</v>
      </c>
      <c r="X55" s="241" t="s">
        <v>1994</v>
      </c>
    </row>
    <row r="56" spans="1:24" ht="13.5" customHeight="1" x14ac:dyDescent="0.3">
      <c r="A56" s="245" t="s">
        <v>1985</v>
      </c>
      <c r="B56" s="246">
        <v>46081</v>
      </c>
      <c r="C56" s="245"/>
      <c r="D56" s="245"/>
      <c r="E56" s="245"/>
      <c r="F56" s="245"/>
      <c r="G56" s="245" t="s">
        <v>2069</v>
      </c>
      <c r="H56" s="245" t="s">
        <v>2070</v>
      </c>
      <c r="I56" s="245" t="s">
        <v>2024</v>
      </c>
      <c r="J56" s="245" t="s">
        <v>2525</v>
      </c>
      <c r="K56" s="245" t="s">
        <v>2526</v>
      </c>
      <c r="L56" s="246">
        <v>46081</v>
      </c>
      <c r="M56" s="245" t="s">
        <v>2024</v>
      </c>
      <c r="N56" s="245" t="s">
        <v>1989</v>
      </c>
      <c r="O56" s="245" t="s">
        <v>1990</v>
      </c>
      <c r="P56" s="245" t="s">
        <v>111</v>
      </c>
      <c r="Q56" s="247">
        <v>-2304000</v>
      </c>
      <c r="R56" s="247">
        <v>-2304000</v>
      </c>
      <c r="S56" s="247">
        <v>-1648.59</v>
      </c>
      <c r="T56" s="245" t="s">
        <v>1991</v>
      </c>
      <c r="U56" s="245" t="s">
        <v>1992</v>
      </c>
      <c r="V56" s="241" t="s">
        <v>1993</v>
      </c>
      <c r="W56" s="241" t="s">
        <v>100</v>
      </c>
      <c r="X56" s="241" t="s">
        <v>1994</v>
      </c>
    </row>
    <row r="57" spans="1:24" ht="13.5" customHeight="1" x14ac:dyDescent="0.3">
      <c r="A57" s="245" t="s">
        <v>1985</v>
      </c>
      <c r="B57" s="246">
        <v>46081</v>
      </c>
      <c r="C57" s="245"/>
      <c r="D57" s="245"/>
      <c r="E57" s="245"/>
      <c r="F57" s="245"/>
      <c r="G57" s="245" t="s">
        <v>2071</v>
      </c>
      <c r="H57" s="245" t="s">
        <v>2072</v>
      </c>
      <c r="I57" s="245" t="s">
        <v>2024</v>
      </c>
      <c r="J57" s="245" t="s">
        <v>2527</v>
      </c>
      <c r="K57" s="245" t="s">
        <v>2528</v>
      </c>
      <c r="L57" s="246">
        <v>46081</v>
      </c>
      <c r="M57" s="245" t="s">
        <v>2024</v>
      </c>
      <c r="N57" s="245" t="s">
        <v>1989</v>
      </c>
      <c r="O57" s="245" t="s">
        <v>1990</v>
      </c>
      <c r="P57" s="245" t="s">
        <v>111</v>
      </c>
      <c r="Q57" s="247">
        <v>-1952420.44</v>
      </c>
      <c r="R57" s="247">
        <v>-1952420.44</v>
      </c>
      <c r="S57" s="247">
        <v>-1397.03</v>
      </c>
      <c r="T57" s="245" t="s">
        <v>1991</v>
      </c>
      <c r="U57" s="245" t="s">
        <v>1992</v>
      </c>
      <c r="V57" s="241" t="s">
        <v>1993</v>
      </c>
      <c r="W57" s="241" t="s">
        <v>100</v>
      </c>
      <c r="X57" s="241" t="s">
        <v>1994</v>
      </c>
    </row>
    <row r="58" spans="1:24" ht="13.5" customHeight="1" x14ac:dyDescent="0.3">
      <c r="A58" s="245" t="s">
        <v>1985</v>
      </c>
      <c r="B58" s="246">
        <v>46081</v>
      </c>
      <c r="C58" s="245"/>
      <c r="D58" s="245"/>
      <c r="E58" s="245"/>
      <c r="F58" s="245"/>
      <c r="G58" s="245" t="s">
        <v>2074</v>
      </c>
      <c r="H58" s="245" t="s">
        <v>2075</v>
      </c>
      <c r="I58" s="245" t="s">
        <v>2024</v>
      </c>
      <c r="J58" s="245" t="s">
        <v>2529</v>
      </c>
      <c r="K58" s="245" t="s">
        <v>2530</v>
      </c>
      <c r="L58" s="246">
        <v>46081</v>
      </c>
      <c r="M58" s="245" t="s">
        <v>2024</v>
      </c>
      <c r="N58" s="245" t="s">
        <v>1989</v>
      </c>
      <c r="O58" s="245" t="s">
        <v>1990</v>
      </c>
      <c r="P58" s="245" t="s">
        <v>111</v>
      </c>
      <c r="Q58" s="247">
        <v>-8088113.9100000001</v>
      </c>
      <c r="R58" s="247">
        <v>-8088113.9100000001</v>
      </c>
      <c r="S58" s="247">
        <v>-5787.34</v>
      </c>
      <c r="T58" s="245" t="s">
        <v>1991</v>
      </c>
      <c r="U58" s="245" t="s">
        <v>1992</v>
      </c>
      <c r="V58" s="241" t="s">
        <v>1993</v>
      </c>
      <c r="W58" s="241" t="s">
        <v>100</v>
      </c>
      <c r="X58" s="241" t="s">
        <v>1994</v>
      </c>
    </row>
    <row r="59" spans="1:24" ht="13.5" customHeight="1" x14ac:dyDescent="0.3">
      <c r="A59" s="245" t="s">
        <v>1985</v>
      </c>
      <c r="B59" s="246">
        <v>46081</v>
      </c>
      <c r="C59" s="245"/>
      <c r="D59" s="245"/>
      <c r="E59" s="245"/>
      <c r="F59" s="245"/>
      <c r="G59" s="245" t="s">
        <v>2076</v>
      </c>
      <c r="H59" s="245" t="s">
        <v>2077</v>
      </c>
      <c r="I59" s="245" t="s">
        <v>2024</v>
      </c>
      <c r="J59" s="245" t="s">
        <v>2531</v>
      </c>
      <c r="K59" s="245" t="s">
        <v>2532</v>
      </c>
      <c r="L59" s="246">
        <v>46081</v>
      </c>
      <c r="M59" s="245" t="s">
        <v>2024</v>
      </c>
      <c r="N59" s="245" t="s">
        <v>1989</v>
      </c>
      <c r="O59" s="245" t="s">
        <v>1990</v>
      </c>
      <c r="P59" s="245" t="s">
        <v>111</v>
      </c>
      <c r="Q59" s="247">
        <v>-1745729.16</v>
      </c>
      <c r="R59" s="247">
        <v>-1745729.16</v>
      </c>
      <c r="S59" s="247">
        <v>-1249.1300000000001</v>
      </c>
      <c r="T59" s="245" t="s">
        <v>1991</v>
      </c>
      <c r="U59" s="245" t="s">
        <v>1992</v>
      </c>
      <c r="V59" s="241" t="s">
        <v>1993</v>
      </c>
      <c r="W59" s="241" t="s">
        <v>100</v>
      </c>
      <c r="X59" s="241" t="s">
        <v>1994</v>
      </c>
    </row>
    <row r="60" spans="1:24" ht="13.5" customHeight="1" x14ac:dyDescent="0.3">
      <c r="A60" s="245" t="s">
        <v>1985</v>
      </c>
      <c r="B60" s="246">
        <v>46081</v>
      </c>
      <c r="C60" s="245"/>
      <c r="D60" s="245"/>
      <c r="E60" s="245"/>
      <c r="F60" s="245"/>
      <c r="G60" s="245" t="s">
        <v>2081</v>
      </c>
      <c r="H60" s="245" t="s">
        <v>2082</v>
      </c>
      <c r="I60" s="245" t="s">
        <v>1988</v>
      </c>
      <c r="J60" s="245" t="s">
        <v>2533</v>
      </c>
      <c r="K60" s="245" t="s">
        <v>2534</v>
      </c>
      <c r="L60" s="246">
        <v>46081</v>
      </c>
      <c r="M60" s="245" t="s">
        <v>1988</v>
      </c>
      <c r="N60" s="245" t="s">
        <v>1989</v>
      </c>
      <c r="O60" s="245" t="s">
        <v>1990</v>
      </c>
      <c r="P60" s="245" t="s">
        <v>111</v>
      </c>
      <c r="Q60" s="247">
        <v>-7779983.4400000004</v>
      </c>
      <c r="R60" s="247">
        <v>-7779983.4400000004</v>
      </c>
      <c r="S60" s="247">
        <v>-5566.86</v>
      </c>
      <c r="T60" s="245" t="s">
        <v>1991</v>
      </c>
      <c r="U60" s="245" t="s">
        <v>1992</v>
      </c>
      <c r="V60" s="241" t="s">
        <v>1993</v>
      </c>
      <c r="W60" s="241" t="s">
        <v>93</v>
      </c>
      <c r="X60" s="241" t="s">
        <v>1994</v>
      </c>
    </row>
    <row r="61" spans="1:24" ht="13.5" customHeight="1" x14ac:dyDescent="0.3">
      <c r="A61" s="245" t="s">
        <v>1985</v>
      </c>
      <c r="B61" s="246">
        <v>46081</v>
      </c>
      <c r="C61" s="245"/>
      <c r="D61" s="245"/>
      <c r="E61" s="245"/>
      <c r="F61" s="245"/>
      <c r="G61" s="245" t="s">
        <v>2083</v>
      </c>
      <c r="H61" s="245" t="s">
        <v>2084</v>
      </c>
      <c r="I61" s="245" t="s">
        <v>1988</v>
      </c>
      <c r="J61" s="245" t="s">
        <v>2535</v>
      </c>
      <c r="K61" s="245" t="s">
        <v>2536</v>
      </c>
      <c r="L61" s="246">
        <v>46081</v>
      </c>
      <c r="M61" s="245" t="s">
        <v>1988</v>
      </c>
      <c r="N61" s="245" t="s">
        <v>1989</v>
      </c>
      <c r="O61" s="245" t="s">
        <v>1990</v>
      </c>
      <c r="P61" s="245" t="s">
        <v>111</v>
      </c>
      <c r="Q61" s="247">
        <v>-3113913.08</v>
      </c>
      <c r="R61" s="247">
        <v>-3113913.08</v>
      </c>
      <c r="S61" s="247">
        <v>-2228.12</v>
      </c>
      <c r="T61" s="245" t="s">
        <v>1991</v>
      </c>
      <c r="U61" s="245" t="s">
        <v>1992</v>
      </c>
      <c r="V61" s="241" t="s">
        <v>1993</v>
      </c>
      <c r="W61" s="241" t="s">
        <v>93</v>
      </c>
      <c r="X61" s="241" t="s">
        <v>1994</v>
      </c>
    </row>
    <row r="62" spans="1:24" ht="13.5" customHeight="1" x14ac:dyDescent="0.3">
      <c r="A62" s="245" t="s">
        <v>1985</v>
      </c>
      <c r="B62" s="246">
        <v>46081</v>
      </c>
      <c r="C62" s="245"/>
      <c r="D62" s="245"/>
      <c r="E62" s="245"/>
      <c r="F62" s="245"/>
      <c r="G62" s="245" t="s">
        <v>2537</v>
      </c>
      <c r="H62" s="245" t="s">
        <v>2362</v>
      </c>
      <c r="I62" s="245" t="s">
        <v>1988</v>
      </c>
      <c r="J62" s="245" t="s">
        <v>2538</v>
      </c>
      <c r="K62" s="245" t="s">
        <v>2539</v>
      </c>
      <c r="L62" s="246">
        <v>46081</v>
      </c>
      <c r="M62" s="245" t="s">
        <v>1988</v>
      </c>
      <c r="N62" s="245" t="s">
        <v>1989</v>
      </c>
      <c r="O62" s="245" t="s">
        <v>1990</v>
      </c>
      <c r="P62" s="245" t="s">
        <v>111</v>
      </c>
      <c r="Q62" s="247">
        <v>-2327584.0699999998</v>
      </c>
      <c r="R62" s="247">
        <v>-2327584.0699999998</v>
      </c>
      <c r="S62" s="247">
        <v>-1665.47</v>
      </c>
      <c r="T62" s="245" t="s">
        <v>1991</v>
      </c>
      <c r="U62" s="245" t="s">
        <v>1992</v>
      </c>
      <c r="V62" s="241" t="s">
        <v>1993</v>
      </c>
      <c r="W62" s="241" t="s">
        <v>93</v>
      </c>
      <c r="X62" s="241" t="s">
        <v>1994</v>
      </c>
    </row>
    <row r="63" spans="1:24" ht="13.5" customHeight="1" x14ac:dyDescent="0.3">
      <c r="A63" s="245" t="s">
        <v>1985</v>
      </c>
      <c r="B63" s="246">
        <v>46081</v>
      </c>
      <c r="C63" s="245"/>
      <c r="D63" s="245"/>
      <c r="E63" s="245"/>
      <c r="F63" s="245"/>
      <c r="G63" s="245" t="s">
        <v>2540</v>
      </c>
      <c r="H63" s="245" t="s">
        <v>2370</v>
      </c>
      <c r="I63" s="245" t="s">
        <v>1988</v>
      </c>
      <c r="J63" s="245" t="s">
        <v>2541</v>
      </c>
      <c r="K63" s="245" t="s">
        <v>2542</v>
      </c>
      <c r="L63" s="246">
        <v>46081</v>
      </c>
      <c r="M63" s="245" t="s">
        <v>1988</v>
      </c>
      <c r="N63" s="245" t="s">
        <v>1989</v>
      </c>
      <c r="O63" s="245" t="s">
        <v>1990</v>
      </c>
      <c r="P63" s="245" t="s">
        <v>111</v>
      </c>
      <c r="Q63" s="247">
        <v>-2113734.34</v>
      </c>
      <c r="R63" s="247">
        <v>-2113734.34</v>
      </c>
      <c r="S63" s="247">
        <v>-1512.45</v>
      </c>
      <c r="T63" s="245" t="s">
        <v>1991</v>
      </c>
      <c r="U63" s="245" t="s">
        <v>1992</v>
      </c>
      <c r="V63" s="241" t="s">
        <v>1993</v>
      </c>
      <c r="W63" s="241" t="s">
        <v>93</v>
      </c>
      <c r="X63" s="241" t="s">
        <v>1994</v>
      </c>
    </row>
    <row r="64" spans="1:24" ht="13.5" customHeight="1" x14ac:dyDescent="0.3">
      <c r="A64" s="245" t="s">
        <v>1985</v>
      </c>
      <c r="B64" s="246">
        <v>46081</v>
      </c>
      <c r="C64" s="245"/>
      <c r="D64" s="245"/>
      <c r="E64" s="245"/>
      <c r="F64" s="245"/>
      <c r="G64" s="245" t="s">
        <v>2543</v>
      </c>
      <c r="H64" s="245" t="s">
        <v>2385</v>
      </c>
      <c r="I64" s="245" t="s">
        <v>1988</v>
      </c>
      <c r="J64" s="245" t="s">
        <v>2544</v>
      </c>
      <c r="K64" s="245" t="s">
        <v>2545</v>
      </c>
      <c r="L64" s="246">
        <v>46081</v>
      </c>
      <c r="M64" s="245" t="s">
        <v>1988</v>
      </c>
      <c r="N64" s="245" t="s">
        <v>1989</v>
      </c>
      <c r="O64" s="245" t="s">
        <v>1990</v>
      </c>
      <c r="P64" s="245" t="s">
        <v>111</v>
      </c>
      <c r="Q64" s="247">
        <v>-298515.78999999998</v>
      </c>
      <c r="R64" s="247">
        <v>-298515.78999999998</v>
      </c>
      <c r="S64" s="247">
        <v>-213.6</v>
      </c>
      <c r="T64" s="245" t="s">
        <v>1991</v>
      </c>
      <c r="U64" s="245" t="s">
        <v>1992</v>
      </c>
      <c r="V64" s="241" t="s">
        <v>1993</v>
      </c>
      <c r="W64" s="241" t="s">
        <v>93</v>
      </c>
      <c r="X64" s="241" t="s">
        <v>1994</v>
      </c>
    </row>
    <row r="65" spans="1:24" ht="13.5" customHeight="1" x14ac:dyDescent="0.3">
      <c r="A65" s="245" t="s">
        <v>1985</v>
      </c>
      <c r="B65" s="246">
        <v>46081</v>
      </c>
      <c r="C65" s="245"/>
      <c r="D65" s="245"/>
      <c r="E65" s="245"/>
      <c r="F65" s="245"/>
      <c r="G65" s="245" t="s">
        <v>2546</v>
      </c>
      <c r="H65" s="245" t="s">
        <v>2360</v>
      </c>
      <c r="I65" s="245" t="s">
        <v>1988</v>
      </c>
      <c r="J65" s="245" t="s">
        <v>2547</v>
      </c>
      <c r="K65" s="245" t="s">
        <v>2548</v>
      </c>
      <c r="L65" s="246">
        <v>46081</v>
      </c>
      <c r="M65" s="245" t="s">
        <v>1988</v>
      </c>
      <c r="N65" s="245" t="s">
        <v>1989</v>
      </c>
      <c r="O65" s="245" t="s">
        <v>1990</v>
      </c>
      <c r="P65" s="245" t="s">
        <v>111</v>
      </c>
      <c r="Q65" s="247">
        <v>-2906163.1</v>
      </c>
      <c r="R65" s="247">
        <v>-2906163.1</v>
      </c>
      <c r="S65" s="247">
        <v>-2079.46</v>
      </c>
      <c r="T65" s="245" t="s">
        <v>1991</v>
      </c>
      <c r="U65" s="245" t="s">
        <v>1992</v>
      </c>
      <c r="V65" s="241" t="s">
        <v>1993</v>
      </c>
      <c r="W65" s="241" t="s">
        <v>93</v>
      </c>
      <c r="X65" s="241" t="s">
        <v>1994</v>
      </c>
    </row>
    <row r="66" spans="1:24" ht="13.5" customHeight="1" x14ac:dyDescent="0.3">
      <c r="A66" s="245" t="s">
        <v>1985</v>
      </c>
      <c r="B66" s="246">
        <v>46081</v>
      </c>
      <c r="C66" s="245"/>
      <c r="D66" s="245"/>
      <c r="E66" s="245"/>
      <c r="F66" s="245"/>
      <c r="G66" s="245" t="s">
        <v>2090</v>
      </c>
      <c r="H66" s="245" t="s">
        <v>2091</v>
      </c>
      <c r="I66" s="245" t="s">
        <v>1988</v>
      </c>
      <c r="J66" s="245" t="s">
        <v>2549</v>
      </c>
      <c r="K66" s="245" t="s">
        <v>2550</v>
      </c>
      <c r="L66" s="246">
        <v>46081</v>
      </c>
      <c r="M66" s="245" t="s">
        <v>1988</v>
      </c>
      <c r="N66" s="245" t="s">
        <v>1989</v>
      </c>
      <c r="O66" s="245" t="s">
        <v>1990</v>
      </c>
      <c r="P66" s="245" t="s">
        <v>111</v>
      </c>
      <c r="Q66" s="247">
        <v>-4381827.7699999996</v>
      </c>
      <c r="R66" s="247">
        <v>-4381827.7699999996</v>
      </c>
      <c r="S66" s="247">
        <v>-3135.35</v>
      </c>
      <c r="T66" s="245" t="s">
        <v>1991</v>
      </c>
      <c r="U66" s="245" t="s">
        <v>1992</v>
      </c>
      <c r="V66" s="241" t="s">
        <v>1993</v>
      </c>
      <c r="W66" s="241" t="s">
        <v>93</v>
      </c>
      <c r="X66" s="241" t="s">
        <v>1994</v>
      </c>
    </row>
    <row r="67" spans="1:24" ht="13.5" customHeight="1" x14ac:dyDescent="0.3">
      <c r="A67" s="245" t="s">
        <v>1985</v>
      </c>
      <c r="B67" s="246">
        <v>46081</v>
      </c>
      <c r="C67" s="245"/>
      <c r="D67" s="245"/>
      <c r="E67" s="245"/>
      <c r="F67" s="245"/>
      <c r="G67" s="245" t="s">
        <v>2551</v>
      </c>
      <c r="H67" s="245" t="s">
        <v>2138</v>
      </c>
      <c r="I67" s="245" t="s">
        <v>1988</v>
      </c>
      <c r="J67" s="245" t="s">
        <v>2552</v>
      </c>
      <c r="K67" s="245" t="s">
        <v>2553</v>
      </c>
      <c r="L67" s="246">
        <v>46081</v>
      </c>
      <c r="M67" s="245" t="s">
        <v>1988</v>
      </c>
      <c r="N67" s="245" t="s">
        <v>1989</v>
      </c>
      <c r="O67" s="245" t="s">
        <v>1990</v>
      </c>
      <c r="P67" s="245" t="s">
        <v>111</v>
      </c>
      <c r="Q67" s="247">
        <v>-1206718.48</v>
      </c>
      <c r="R67" s="247">
        <v>-1206718.48</v>
      </c>
      <c r="S67" s="247">
        <v>-863.45</v>
      </c>
      <c r="T67" s="245" t="s">
        <v>1991</v>
      </c>
      <c r="U67" s="245" t="s">
        <v>1992</v>
      </c>
      <c r="V67" s="241" t="s">
        <v>1993</v>
      </c>
      <c r="W67" s="241" t="s">
        <v>93</v>
      </c>
      <c r="X67" s="241" t="s">
        <v>1994</v>
      </c>
    </row>
    <row r="68" spans="1:24" ht="13.5" customHeight="1" x14ac:dyDescent="0.3">
      <c r="A68" s="245" t="s">
        <v>1985</v>
      </c>
      <c r="B68" s="246">
        <v>46081</v>
      </c>
      <c r="C68" s="245"/>
      <c r="D68" s="245"/>
      <c r="E68" s="245"/>
      <c r="F68" s="245"/>
      <c r="G68" s="245" t="s">
        <v>2554</v>
      </c>
      <c r="H68" s="245" t="s">
        <v>2327</v>
      </c>
      <c r="I68" s="245" t="s">
        <v>2024</v>
      </c>
      <c r="J68" s="245" t="s">
        <v>2555</v>
      </c>
      <c r="K68" s="245" t="s">
        <v>2556</v>
      </c>
      <c r="L68" s="246">
        <v>46081</v>
      </c>
      <c r="M68" s="245" t="s">
        <v>2024</v>
      </c>
      <c r="N68" s="245" t="s">
        <v>1989</v>
      </c>
      <c r="O68" s="245" t="s">
        <v>1990</v>
      </c>
      <c r="P68" s="245" t="s">
        <v>111</v>
      </c>
      <c r="Q68" s="247">
        <v>-1192935.18</v>
      </c>
      <c r="R68" s="247">
        <v>-1192935.18</v>
      </c>
      <c r="S68" s="247">
        <v>-853.59</v>
      </c>
      <c r="T68" s="245" t="s">
        <v>1991</v>
      </c>
      <c r="U68" s="245" t="s">
        <v>1992</v>
      </c>
      <c r="V68" s="241" t="s">
        <v>1993</v>
      </c>
      <c r="W68" s="241" t="s">
        <v>100</v>
      </c>
      <c r="X68" s="241" t="s">
        <v>1994</v>
      </c>
    </row>
    <row r="69" spans="1:24" ht="13.5" customHeight="1" x14ac:dyDescent="0.3">
      <c r="A69" s="245" t="s">
        <v>1985</v>
      </c>
      <c r="B69" s="246">
        <v>46081</v>
      </c>
      <c r="C69" s="245"/>
      <c r="D69" s="245"/>
      <c r="E69" s="245"/>
      <c r="F69" s="245"/>
      <c r="G69" s="245" t="s">
        <v>2557</v>
      </c>
      <c r="H69" s="245" t="s">
        <v>2325</v>
      </c>
      <c r="I69" s="245" t="s">
        <v>2024</v>
      </c>
      <c r="J69" s="245" t="s">
        <v>2558</v>
      </c>
      <c r="K69" s="245" t="s">
        <v>2559</v>
      </c>
      <c r="L69" s="246">
        <v>46081</v>
      </c>
      <c r="M69" s="245" t="s">
        <v>2024</v>
      </c>
      <c r="N69" s="245" t="s">
        <v>1989</v>
      </c>
      <c r="O69" s="245" t="s">
        <v>1990</v>
      </c>
      <c r="P69" s="245" t="s">
        <v>111</v>
      </c>
      <c r="Q69" s="247">
        <v>-4454635.05</v>
      </c>
      <c r="R69" s="247">
        <v>-4454635.05</v>
      </c>
      <c r="S69" s="247">
        <v>-3187.45</v>
      </c>
      <c r="T69" s="245" t="s">
        <v>1991</v>
      </c>
      <c r="U69" s="245" t="s">
        <v>1992</v>
      </c>
      <c r="V69" s="241" t="s">
        <v>1993</v>
      </c>
      <c r="W69" s="241" t="s">
        <v>100</v>
      </c>
      <c r="X69" s="241" t="s">
        <v>1994</v>
      </c>
    </row>
    <row r="70" spans="1:24" ht="13.5" customHeight="1" x14ac:dyDescent="0.3">
      <c r="A70" s="245" t="s">
        <v>1985</v>
      </c>
      <c r="B70" s="246">
        <v>46081</v>
      </c>
      <c r="C70" s="245"/>
      <c r="D70" s="245"/>
      <c r="E70" s="245"/>
      <c r="F70" s="245"/>
      <c r="G70" s="245" t="s">
        <v>2560</v>
      </c>
      <c r="H70" s="245" t="s">
        <v>2383</v>
      </c>
      <c r="I70" s="245" t="s">
        <v>1988</v>
      </c>
      <c r="J70" s="245" t="s">
        <v>2561</v>
      </c>
      <c r="K70" s="245" t="s">
        <v>2562</v>
      </c>
      <c r="L70" s="246">
        <v>46081</v>
      </c>
      <c r="M70" s="245" t="s">
        <v>1988</v>
      </c>
      <c r="N70" s="245" t="s">
        <v>1989</v>
      </c>
      <c r="O70" s="245" t="s">
        <v>1990</v>
      </c>
      <c r="P70" s="245" t="s">
        <v>111</v>
      </c>
      <c r="Q70" s="247">
        <v>-232244.92</v>
      </c>
      <c r="R70" s="247">
        <v>-232244.92</v>
      </c>
      <c r="S70" s="247">
        <v>-166.18</v>
      </c>
      <c r="T70" s="245" t="s">
        <v>1991</v>
      </c>
      <c r="U70" s="245" t="s">
        <v>1992</v>
      </c>
      <c r="V70" s="241" t="s">
        <v>1993</v>
      </c>
      <c r="W70" s="241" t="s">
        <v>93</v>
      </c>
      <c r="X70" s="241" t="s">
        <v>1994</v>
      </c>
    </row>
    <row r="71" spans="1:24" ht="13.5" customHeight="1" x14ac:dyDescent="0.3">
      <c r="A71" s="245" t="s">
        <v>1985</v>
      </c>
      <c r="B71" s="246">
        <v>46081</v>
      </c>
      <c r="C71" s="245"/>
      <c r="D71" s="245"/>
      <c r="E71" s="245"/>
      <c r="F71" s="245"/>
      <c r="G71" s="245" t="s">
        <v>2563</v>
      </c>
      <c r="H71" s="245" t="s">
        <v>2366</v>
      </c>
      <c r="I71" s="245" t="s">
        <v>1988</v>
      </c>
      <c r="J71" s="245" t="s">
        <v>2564</v>
      </c>
      <c r="K71" s="245" t="s">
        <v>2565</v>
      </c>
      <c r="L71" s="246">
        <v>46081</v>
      </c>
      <c r="M71" s="245" t="s">
        <v>1988</v>
      </c>
      <c r="N71" s="245" t="s">
        <v>1989</v>
      </c>
      <c r="O71" s="245" t="s">
        <v>1990</v>
      </c>
      <c r="P71" s="245" t="s">
        <v>111</v>
      </c>
      <c r="Q71" s="247">
        <v>-22444.51</v>
      </c>
      <c r="R71" s="247">
        <v>-22444.51</v>
      </c>
      <c r="S71" s="247">
        <v>-16.059999999999999</v>
      </c>
      <c r="T71" s="245" t="s">
        <v>1991</v>
      </c>
      <c r="U71" s="245" t="s">
        <v>1992</v>
      </c>
      <c r="V71" s="241" t="s">
        <v>1993</v>
      </c>
      <c r="W71" s="241" t="s">
        <v>93</v>
      </c>
      <c r="X71" s="241" t="s">
        <v>1994</v>
      </c>
    </row>
    <row r="72" spans="1:24" ht="13.5" customHeight="1" x14ac:dyDescent="0.3">
      <c r="A72" s="245" t="s">
        <v>1985</v>
      </c>
      <c r="B72" s="246">
        <v>46081</v>
      </c>
      <c r="C72" s="245"/>
      <c r="D72" s="245"/>
      <c r="E72" s="245"/>
      <c r="F72" s="245"/>
      <c r="G72" s="245" t="s">
        <v>2566</v>
      </c>
      <c r="H72" s="245" t="s">
        <v>2375</v>
      </c>
      <c r="I72" s="245" t="s">
        <v>1988</v>
      </c>
      <c r="J72" s="245" t="s">
        <v>2567</v>
      </c>
      <c r="K72" s="245" t="s">
        <v>2568</v>
      </c>
      <c r="L72" s="246">
        <v>46081</v>
      </c>
      <c r="M72" s="245" t="s">
        <v>1988</v>
      </c>
      <c r="N72" s="245" t="s">
        <v>1989</v>
      </c>
      <c r="O72" s="245" t="s">
        <v>1990</v>
      </c>
      <c r="P72" s="245" t="s">
        <v>111</v>
      </c>
      <c r="Q72" s="247">
        <v>-6195989.9900000002</v>
      </c>
      <c r="R72" s="247">
        <v>-6195989.9900000002</v>
      </c>
      <c r="S72" s="247">
        <v>-4433.45</v>
      </c>
      <c r="T72" s="245" t="s">
        <v>1991</v>
      </c>
      <c r="U72" s="245" t="s">
        <v>1992</v>
      </c>
      <c r="V72" s="241" t="s">
        <v>1993</v>
      </c>
      <c r="W72" s="241" t="s">
        <v>93</v>
      </c>
      <c r="X72" s="241" t="s">
        <v>1994</v>
      </c>
    </row>
    <row r="73" spans="1:24" ht="13.5" customHeight="1" x14ac:dyDescent="0.3">
      <c r="A73" s="245" t="s">
        <v>1985</v>
      </c>
      <c r="B73" s="246">
        <v>46081</v>
      </c>
      <c r="C73" s="245"/>
      <c r="D73" s="245"/>
      <c r="E73" s="245"/>
      <c r="F73" s="245"/>
      <c r="G73" s="245" t="s">
        <v>2569</v>
      </c>
      <c r="H73" s="245" t="s">
        <v>2387</v>
      </c>
      <c r="I73" s="245" t="s">
        <v>1988</v>
      </c>
      <c r="J73" s="245" t="s">
        <v>2570</v>
      </c>
      <c r="K73" s="245" t="s">
        <v>2571</v>
      </c>
      <c r="L73" s="246">
        <v>46081</v>
      </c>
      <c r="M73" s="245" t="s">
        <v>1988</v>
      </c>
      <c r="N73" s="245" t="s">
        <v>1989</v>
      </c>
      <c r="O73" s="245" t="s">
        <v>1990</v>
      </c>
      <c r="P73" s="245" t="s">
        <v>111</v>
      </c>
      <c r="Q73" s="247">
        <v>-1585096.5</v>
      </c>
      <c r="R73" s="247">
        <v>-1585096.5</v>
      </c>
      <c r="S73" s="247">
        <v>-1134.19</v>
      </c>
      <c r="T73" s="245" t="s">
        <v>1991</v>
      </c>
      <c r="U73" s="245" t="s">
        <v>1992</v>
      </c>
      <c r="V73" s="241" t="s">
        <v>1993</v>
      </c>
      <c r="W73" s="241" t="s">
        <v>93</v>
      </c>
      <c r="X73" s="241" t="s">
        <v>1994</v>
      </c>
    </row>
    <row r="74" spans="1:24" ht="13.5" customHeight="1" x14ac:dyDescent="0.3">
      <c r="A74" s="245" t="s">
        <v>1985</v>
      </c>
      <c r="B74" s="246">
        <v>46081</v>
      </c>
      <c r="C74" s="245"/>
      <c r="D74" s="245"/>
      <c r="E74" s="245"/>
      <c r="F74" s="245"/>
      <c r="G74" s="245" t="s">
        <v>2093</v>
      </c>
      <c r="H74" s="245" t="s">
        <v>2094</v>
      </c>
      <c r="I74" s="245" t="s">
        <v>1988</v>
      </c>
      <c r="J74" s="245" t="s">
        <v>2572</v>
      </c>
      <c r="K74" s="245" t="s">
        <v>2573</v>
      </c>
      <c r="L74" s="246">
        <v>46081</v>
      </c>
      <c r="M74" s="245" t="s">
        <v>1988</v>
      </c>
      <c r="N74" s="245" t="s">
        <v>1989</v>
      </c>
      <c r="O74" s="245" t="s">
        <v>1990</v>
      </c>
      <c r="P74" s="245" t="s">
        <v>111</v>
      </c>
      <c r="Q74" s="247">
        <v>-1419697.03</v>
      </c>
      <c r="R74" s="247">
        <v>-1419697.03</v>
      </c>
      <c r="S74" s="247">
        <v>-1015.84</v>
      </c>
      <c r="T74" s="245" t="s">
        <v>1991</v>
      </c>
      <c r="U74" s="245" t="s">
        <v>1992</v>
      </c>
      <c r="V74" s="241" t="s">
        <v>1993</v>
      </c>
      <c r="W74" s="241" t="s">
        <v>93</v>
      </c>
      <c r="X74" s="241" t="s">
        <v>1994</v>
      </c>
    </row>
    <row r="75" spans="1:24" ht="13.5" customHeight="1" x14ac:dyDescent="0.3">
      <c r="A75" s="245" t="s">
        <v>1985</v>
      </c>
      <c r="B75" s="246">
        <v>46081</v>
      </c>
      <c r="C75" s="245"/>
      <c r="D75" s="245"/>
      <c r="E75" s="245"/>
      <c r="F75" s="245"/>
      <c r="G75" s="245" t="s">
        <v>2099</v>
      </c>
      <c r="H75" s="245" t="s">
        <v>2100</v>
      </c>
      <c r="I75" s="245" t="s">
        <v>1988</v>
      </c>
      <c r="J75" s="245" t="s">
        <v>2574</v>
      </c>
      <c r="K75" s="245" t="s">
        <v>2575</v>
      </c>
      <c r="L75" s="246">
        <v>46081</v>
      </c>
      <c r="M75" s="245" t="s">
        <v>1988</v>
      </c>
      <c r="N75" s="245" t="s">
        <v>1989</v>
      </c>
      <c r="O75" s="245" t="s">
        <v>1990</v>
      </c>
      <c r="P75" s="245" t="s">
        <v>111</v>
      </c>
      <c r="Q75" s="247">
        <v>-1677857.16</v>
      </c>
      <c r="R75" s="247">
        <v>-1677857.16</v>
      </c>
      <c r="S75" s="247">
        <v>-1200.57</v>
      </c>
      <c r="T75" s="245" t="s">
        <v>1991</v>
      </c>
      <c r="U75" s="245" t="s">
        <v>1992</v>
      </c>
      <c r="V75" s="241" t="s">
        <v>1993</v>
      </c>
      <c r="W75" s="241" t="s">
        <v>93</v>
      </c>
      <c r="X75" s="241" t="s">
        <v>1994</v>
      </c>
    </row>
    <row r="76" spans="1:24" ht="13.5" customHeight="1" x14ac:dyDescent="0.3">
      <c r="A76" s="245" t="s">
        <v>1985</v>
      </c>
      <c r="B76" s="246">
        <v>46081</v>
      </c>
      <c r="C76" s="245"/>
      <c r="D76" s="245"/>
      <c r="E76" s="245"/>
      <c r="F76" s="245"/>
      <c r="G76" s="245" t="s">
        <v>2102</v>
      </c>
      <c r="H76" s="245" t="s">
        <v>2103</v>
      </c>
      <c r="I76" s="245" t="s">
        <v>1988</v>
      </c>
      <c r="J76" s="245" t="s">
        <v>2576</v>
      </c>
      <c r="K76" s="245" t="s">
        <v>2577</v>
      </c>
      <c r="L76" s="246">
        <v>46081</v>
      </c>
      <c r="M76" s="245" t="s">
        <v>1988</v>
      </c>
      <c r="N76" s="245" t="s">
        <v>1989</v>
      </c>
      <c r="O76" s="245" t="s">
        <v>1990</v>
      </c>
      <c r="P76" s="245" t="s">
        <v>111</v>
      </c>
      <c r="Q76" s="247">
        <v>-9005104.1400000006</v>
      </c>
      <c r="R76" s="247">
        <v>-9005104.1400000006</v>
      </c>
      <c r="S76" s="247">
        <v>-6443.47</v>
      </c>
      <c r="T76" s="245" t="s">
        <v>1991</v>
      </c>
      <c r="U76" s="245" t="s">
        <v>1992</v>
      </c>
      <c r="V76" s="241" t="s">
        <v>1993</v>
      </c>
      <c r="W76" s="241" t="s">
        <v>93</v>
      </c>
      <c r="X76" s="241" t="s">
        <v>1994</v>
      </c>
    </row>
    <row r="77" spans="1:24" ht="13.5" customHeight="1" x14ac:dyDescent="0.3">
      <c r="A77" s="245" t="s">
        <v>1985</v>
      </c>
      <c r="B77" s="246">
        <v>46081</v>
      </c>
      <c r="C77" s="245"/>
      <c r="D77" s="245"/>
      <c r="E77" s="245"/>
      <c r="F77" s="245"/>
      <c r="G77" s="245" t="s">
        <v>2578</v>
      </c>
      <c r="H77" s="245" t="s">
        <v>204</v>
      </c>
      <c r="I77" s="245" t="s">
        <v>1988</v>
      </c>
      <c r="J77" s="245" t="s">
        <v>2579</v>
      </c>
      <c r="K77" s="245" t="s">
        <v>2580</v>
      </c>
      <c r="L77" s="246">
        <v>46081</v>
      </c>
      <c r="M77" s="245" t="s">
        <v>1988</v>
      </c>
      <c r="N77" s="245" t="s">
        <v>1989</v>
      </c>
      <c r="O77" s="245" t="s">
        <v>1990</v>
      </c>
      <c r="P77" s="245" t="s">
        <v>111</v>
      </c>
      <c r="Q77" s="247">
        <v>-241926.19</v>
      </c>
      <c r="R77" s="247">
        <v>-241926.19</v>
      </c>
      <c r="S77" s="247">
        <v>-173.11</v>
      </c>
      <c r="T77" s="245" t="s">
        <v>1991</v>
      </c>
      <c r="U77" s="245" t="s">
        <v>1992</v>
      </c>
      <c r="V77" s="241" t="s">
        <v>1993</v>
      </c>
      <c r="W77" s="241" t="s">
        <v>93</v>
      </c>
      <c r="X77" s="241" t="s">
        <v>1994</v>
      </c>
    </row>
    <row r="78" spans="1:24" ht="13.5" customHeight="1" x14ac:dyDescent="0.3">
      <c r="A78" s="245" t="s">
        <v>1985</v>
      </c>
      <c r="B78" s="246">
        <v>46081</v>
      </c>
      <c r="C78" s="245"/>
      <c r="D78" s="245"/>
      <c r="E78" s="245"/>
      <c r="F78" s="245"/>
      <c r="G78" s="245" t="s">
        <v>2581</v>
      </c>
      <c r="H78" s="245" t="s">
        <v>310</v>
      </c>
      <c r="I78" s="245" t="s">
        <v>1988</v>
      </c>
      <c r="J78" s="245" t="s">
        <v>2582</v>
      </c>
      <c r="K78" s="245" t="s">
        <v>2583</v>
      </c>
      <c r="L78" s="246">
        <v>46081</v>
      </c>
      <c r="M78" s="245" t="s">
        <v>1988</v>
      </c>
      <c r="N78" s="245" t="s">
        <v>1989</v>
      </c>
      <c r="O78" s="245" t="s">
        <v>1990</v>
      </c>
      <c r="P78" s="245" t="s">
        <v>111</v>
      </c>
      <c r="Q78" s="247">
        <v>-4884766</v>
      </c>
      <c r="R78" s="247">
        <v>-4884766</v>
      </c>
      <c r="S78" s="247">
        <v>-3495.23</v>
      </c>
      <c r="T78" s="245" t="s">
        <v>1991</v>
      </c>
      <c r="U78" s="245" t="s">
        <v>1992</v>
      </c>
      <c r="V78" s="241" t="s">
        <v>1993</v>
      </c>
      <c r="W78" s="241" t="s">
        <v>93</v>
      </c>
      <c r="X78" s="241" t="s">
        <v>1994</v>
      </c>
    </row>
    <row r="79" spans="1:24" ht="13.5" customHeight="1" x14ac:dyDescent="0.3">
      <c r="A79" s="245" t="s">
        <v>1985</v>
      </c>
      <c r="B79" s="246">
        <v>46081</v>
      </c>
      <c r="C79" s="245"/>
      <c r="D79" s="245"/>
      <c r="E79" s="245"/>
      <c r="F79" s="245"/>
      <c r="G79" s="245" t="s">
        <v>2584</v>
      </c>
      <c r="H79" s="245" t="s">
        <v>331</v>
      </c>
      <c r="I79" s="245" t="s">
        <v>1988</v>
      </c>
      <c r="J79" s="245" t="s">
        <v>2585</v>
      </c>
      <c r="K79" s="245" t="s">
        <v>2586</v>
      </c>
      <c r="L79" s="246">
        <v>46081</v>
      </c>
      <c r="M79" s="245" t="s">
        <v>1988</v>
      </c>
      <c r="N79" s="245" t="s">
        <v>1989</v>
      </c>
      <c r="O79" s="245" t="s">
        <v>1990</v>
      </c>
      <c r="P79" s="245" t="s">
        <v>111</v>
      </c>
      <c r="Q79" s="247">
        <v>-997649.16</v>
      </c>
      <c r="R79" s="247">
        <v>-997649.16</v>
      </c>
      <c r="S79" s="247">
        <v>-713.85</v>
      </c>
      <c r="T79" s="245" t="s">
        <v>1991</v>
      </c>
      <c r="U79" s="245" t="s">
        <v>1992</v>
      </c>
      <c r="V79" s="241" t="s">
        <v>1993</v>
      </c>
      <c r="W79" s="241" t="s">
        <v>93</v>
      </c>
      <c r="X79" s="241" t="s">
        <v>1994</v>
      </c>
    </row>
    <row r="80" spans="1:24" ht="13.5" customHeight="1" x14ac:dyDescent="0.3">
      <c r="A80" s="245" t="s">
        <v>1985</v>
      </c>
      <c r="B80" s="246">
        <v>46081</v>
      </c>
      <c r="C80" s="245"/>
      <c r="D80" s="245"/>
      <c r="E80" s="245"/>
      <c r="F80" s="245"/>
      <c r="G80" s="245" t="s">
        <v>2587</v>
      </c>
      <c r="H80" s="245" t="s">
        <v>365</v>
      </c>
      <c r="I80" s="245" t="s">
        <v>1988</v>
      </c>
      <c r="J80" s="245" t="s">
        <v>2588</v>
      </c>
      <c r="K80" s="245" t="s">
        <v>2589</v>
      </c>
      <c r="L80" s="246">
        <v>46081</v>
      </c>
      <c r="M80" s="245" t="s">
        <v>1988</v>
      </c>
      <c r="N80" s="245" t="s">
        <v>1989</v>
      </c>
      <c r="O80" s="245" t="s">
        <v>1990</v>
      </c>
      <c r="P80" s="245" t="s">
        <v>111</v>
      </c>
      <c r="Q80" s="247">
        <v>-999321.21</v>
      </c>
      <c r="R80" s="247">
        <v>-999321.21</v>
      </c>
      <c r="S80" s="247">
        <v>-715.05</v>
      </c>
      <c r="T80" s="245" t="s">
        <v>1991</v>
      </c>
      <c r="U80" s="245" t="s">
        <v>1992</v>
      </c>
      <c r="V80" s="241" t="s">
        <v>1993</v>
      </c>
      <c r="W80" s="241" t="s">
        <v>93</v>
      </c>
      <c r="X80" s="241" t="s">
        <v>1994</v>
      </c>
    </row>
    <row r="81" spans="1:24" ht="13.5" customHeight="1" x14ac:dyDescent="0.3">
      <c r="A81" s="245" t="s">
        <v>1985</v>
      </c>
      <c r="B81" s="246">
        <v>46081</v>
      </c>
      <c r="C81" s="245"/>
      <c r="D81" s="245"/>
      <c r="E81" s="245"/>
      <c r="F81" s="245"/>
      <c r="G81" s="245" t="s">
        <v>2086</v>
      </c>
      <c r="H81" s="245" t="s">
        <v>261</v>
      </c>
      <c r="I81" s="245" t="s">
        <v>1988</v>
      </c>
      <c r="J81" s="245" t="s">
        <v>2590</v>
      </c>
      <c r="K81" s="245" t="s">
        <v>2591</v>
      </c>
      <c r="L81" s="246">
        <v>46081</v>
      </c>
      <c r="M81" s="245" t="s">
        <v>1988</v>
      </c>
      <c r="N81" s="245" t="s">
        <v>1989</v>
      </c>
      <c r="O81" s="245" t="s">
        <v>1990</v>
      </c>
      <c r="P81" s="245" t="s">
        <v>111</v>
      </c>
      <c r="Q81" s="247">
        <v>-7514153.1299999999</v>
      </c>
      <c r="R81" s="247">
        <v>-7514153.1299999999</v>
      </c>
      <c r="S81" s="247">
        <v>-5376.65</v>
      </c>
      <c r="T81" s="245" t="s">
        <v>1991</v>
      </c>
      <c r="U81" s="245" t="s">
        <v>1992</v>
      </c>
      <c r="V81" s="241" t="s">
        <v>1993</v>
      </c>
      <c r="W81" s="241" t="s">
        <v>93</v>
      </c>
      <c r="X81" s="241" t="s">
        <v>1994</v>
      </c>
    </row>
    <row r="82" spans="1:24" ht="13.5" customHeight="1" x14ac:dyDescent="0.3">
      <c r="A82" s="245" t="s">
        <v>1985</v>
      </c>
      <c r="B82" s="246">
        <v>46081</v>
      </c>
      <c r="C82" s="245"/>
      <c r="D82" s="245"/>
      <c r="E82" s="245"/>
      <c r="F82" s="245"/>
      <c r="G82" s="245" t="s">
        <v>2105</v>
      </c>
      <c r="H82" s="245" t="s">
        <v>2106</v>
      </c>
      <c r="I82" s="245" t="s">
        <v>2024</v>
      </c>
      <c r="J82" s="245" t="s">
        <v>2592</v>
      </c>
      <c r="K82" s="245" t="s">
        <v>2593</v>
      </c>
      <c r="L82" s="246">
        <v>46081</v>
      </c>
      <c r="M82" s="245" t="s">
        <v>2024</v>
      </c>
      <c r="N82" s="245" t="s">
        <v>1989</v>
      </c>
      <c r="O82" s="245" t="s">
        <v>1990</v>
      </c>
      <c r="P82" s="245" t="s">
        <v>111</v>
      </c>
      <c r="Q82" s="247">
        <v>1860335.44</v>
      </c>
      <c r="R82" s="247">
        <v>1860335.44</v>
      </c>
      <c r="S82" s="247">
        <v>1285.3</v>
      </c>
      <c r="T82" s="245" t="s">
        <v>1991</v>
      </c>
      <c r="U82" s="245" t="s">
        <v>2107</v>
      </c>
      <c r="V82" s="241" t="s">
        <v>1993</v>
      </c>
      <c r="W82" s="241" t="s">
        <v>100</v>
      </c>
      <c r="X82" s="241" t="s">
        <v>1994</v>
      </c>
    </row>
    <row r="83" spans="1:24" ht="13.5" customHeight="1" x14ac:dyDescent="0.3">
      <c r="A83" s="245" t="s">
        <v>1985</v>
      </c>
      <c r="B83" s="246">
        <v>46081</v>
      </c>
      <c r="C83" s="245"/>
      <c r="D83" s="245"/>
      <c r="E83" s="245"/>
      <c r="F83" s="245"/>
      <c r="G83" s="245" t="s">
        <v>2108</v>
      </c>
      <c r="H83" s="245" t="s">
        <v>2109</v>
      </c>
      <c r="I83" s="245" t="s">
        <v>2024</v>
      </c>
      <c r="J83" s="245" t="s">
        <v>2594</v>
      </c>
      <c r="K83" s="245" t="s">
        <v>2595</v>
      </c>
      <c r="L83" s="246">
        <v>46081</v>
      </c>
      <c r="M83" s="245" t="s">
        <v>2024</v>
      </c>
      <c r="N83" s="245" t="s">
        <v>1989</v>
      </c>
      <c r="O83" s="245" t="s">
        <v>1990</v>
      </c>
      <c r="P83" s="245" t="s">
        <v>111</v>
      </c>
      <c r="Q83" s="247">
        <v>5624367.0800000001</v>
      </c>
      <c r="R83" s="247">
        <v>5624367.0800000001</v>
      </c>
      <c r="S83" s="247">
        <v>3885.86</v>
      </c>
      <c r="T83" s="245" t="s">
        <v>1991</v>
      </c>
      <c r="U83" s="245" t="s">
        <v>2107</v>
      </c>
      <c r="V83" s="241" t="s">
        <v>1993</v>
      </c>
      <c r="W83" s="241" t="s">
        <v>100</v>
      </c>
      <c r="X83" s="241" t="s">
        <v>1994</v>
      </c>
    </row>
    <row r="84" spans="1:24" ht="13.5" customHeight="1" x14ac:dyDescent="0.3">
      <c r="A84" s="245" t="s">
        <v>1985</v>
      </c>
      <c r="B84" s="246">
        <v>46081</v>
      </c>
      <c r="C84" s="245"/>
      <c r="D84" s="245"/>
      <c r="E84" s="245"/>
      <c r="F84" s="245"/>
      <c r="G84" s="245" t="s">
        <v>2110</v>
      </c>
      <c r="H84" s="245" t="s">
        <v>2111</v>
      </c>
      <c r="I84" s="245" t="s">
        <v>2024</v>
      </c>
      <c r="J84" s="245" t="s">
        <v>2596</v>
      </c>
      <c r="K84" s="245" t="s">
        <v>2597</v>
      </c>
      <c r="L84" s="246">
        <v>46081</v>
      </c>
      <c r="M84" s="245" t="s">
        <v>2024</v>
      </c>
      <c r="N84" s="245" t="s">
        <v>1989</v>
      </c>
      <c r="O84" s="245" t="s">
        <v>1990</v>
      </c>
      <c r="P84" s="245" t="s">
        <v>111</v>
      </c>
      <c r="Q84" s="247">
        <v>4501351.08</v>
      </c>
      <c r="R84" s="247">
        <v>4501351.08</v>
      </c>
      <c r="S84" s="247">
        <v>3109.96</v>
      </c>
      <c r="T84" s="245" t="s">
        <v>1991</v>
      </c>
      <c r="U84" s="245" t="s">
        <v>2107</v>
      </c>
      <c r="V84" s="241" t="s">
        <v>1993</v>
      </c>
      <c r="W84" s="241" t="s">
        <v>100</v>
      </c>
      <c r="X84" s="241" t="s">
        <v>1994</v>
      </c>
    </row>
    <row r="85" spans="1:24" ht="13.5" customHeight="1" x14ac:dyDescent="0.3">
      <c r="A85" s="245" t="s">
        <v>1985</v>
      </c>
      <c r="B85" s="246">
        <v>46081</v>
      </c>
      <c r="C85" s="245"/>
      <c r="D85" s="245"/>
      <c r="E85" s="245"/>
      <c r="F85" s="245"/>
      <c r="G85" s="245" t="s">
        <v>2105</v>
      </c>
      <c r="H85" s="245" t="s">
        <v>2106</v>
      </c>
      <c r="I85" s="245" t="s">
        <v>2024</v>
      </c>
      <c r="J85" s="245" t="s">
        <v>2598</v>
      </c>
      <c r="K85" s="245" t="s">
        <v>2599</v>
      </c>
      <c r="L85" s="246">
        <v>46081</v>
      </c>
      <c r="M85" s="245" t="s">
        <v>2024</v>
      </c>
      <c r="N85" s="245" t="s">
        <v>1989</v>
      </c>
      <c r="O85" s="245" t="s">
        <v>1990</v>
      </c>
      <c r="P85" s="245" t="s">
        <v>111</v>
      </c>
      <c r="Q85" s="247">
        <v>-1860335.44</v>
      </c>
      <c r="R85" s="247">
        <v>-1860335.44</v>
      </c>
      <c r="S85" s="247">
        <v>-1285.3</v>
      </c>
      <c r="T85" s="245" t="s">
        <v>1991</v>
      </c>
      <c r="U85" s="245" t="s">
        <v>2107</v>
      </c>
      <c r="V85" s="241" t="s">
        <v>1993</v>
      </c>
      <c r="W85" s="241" t="s">
        <v>100</v>
      </c>
      <c r="X85" s="241" t="s">
        <v>1994</v>
      </c>
    </row>
    <row r="86" spans="1:24" ht="13.5" customHeight="1" x14ac:dyDescent="0.3">
      <c r="A86" s="245" t="s">
        <v>1985</v>
      </c>
      <c r="B86" s="246">
        <v>46081</v>
      </c>
      <c r="C86" s="245"/>
      <c r="D86" s="245"/>
      <c r="E86" s="245"/>
      <c r="F86" s="245"/>
      <c r="G86" s="245" t="s">
        <v>2110</v>
      </c>
      <c r="H86" s="245" t="s">
        <v>2111</v>
      </c>
      <c r="I86" s="245" t="s">
        <v>2024</v>
      </c>
      <c r="J86" s="245" t="s">
        <v>2600</v>
      </c>
      <c r="K86" s="245" t="s">
        <v>2601</v>
      </c>
      <c r="L86" s="246">
        <v>46081</v>
      </c>
      <c r="M86" s="245" t="s">
        <v>2024</v>
      </c>
      <c r="N86" s="245" t="s">
        <v>1989</v>
      </c>
      <c r="O86" s="245" t="s">
        <v>1990</v>
      </c>
      <c r="P86" s="245" t="s">
        <v>111</v>
      </c>
      <c r="Q86" s="247">
        <v>-4501351.08</v>
      </c>
      <c r="R86" s="247">
        <v>-4501351.08</v>
      </c>
      <c r="S86" s="247">
        <v>-3109.96</v>
      </c>
      <c r="T86" s="245" t="s">
        <v>1991</v>
      </c>
      <c r="U86" s="245" t="s">
        <v>2107</v>
      </c>
      <c r="V86" s="241" t="s">
        <v>1993</v>
      </c>
      <c r="W86" s="241" t="s">
        <v>100</v>
      </c>
      <c r="X86" s="241" t="s">
        <v>1994</v>
      </c>
    </row>
    <row r="87" spans="1:24" ht="13.5" customHeight="1" x14ac:dyDescent="0.3">
      <c r="A87" s="245" t="s">
        <v>1985</v>
      </c>
      <c r="B87" s="246">
        <v>46081</v>
      </c>
      <c r="C87" s="245"/>
      <c r="D87" s="245"/>
      <c r="E87" s="245"/>
      <c r="F87" s="245"/>
      <c r="G87" s="245" t="s">
        <v>2108</v>
      </c>
      <c r="H87" s="245" t="s">
        <v>2109</v>
      </c>
      <c r="I87" s="245" t="s">
        <v>2024</v>
      </c>
      <c r="J87" s="245" t="s">
        <v>2602</v>
      </c>
      <c r="K87" s="245" t="s">
        <v>2603</v>
      </c>
      <c r="L87" s="246">
        <v>46081</v>
      </c>
      <c r="M87" s="245" t="s">
        <v>2024</v>
      </c>
      <c r="N87" s="245" t="s">
        <v>1989</v>
      </c>
      <c r="O87" s="245" t="s">
        <v>1990</v>
      </c>
      <c r="P87" s="245" t="s">
        <v>111</v>
      </c>
      <c r="Q87" s="247">
        <v>-5624367.0800000001</v>
      </c>
      <c r="R87" s="247">
        <v>-5624367.0800000001</v>
      </c>
      <c r="S87" s="247">
        <v>-3885.86</v>
      </c>
      <c r="T87" s="245" t="s">
        <v>1991</v>
      </c>
      <c r="U87" s="245" t="s">
        <v>2107</v>
      </c>
      <c r="V87" s="241" t="s">
        <v>1993</v>
      </c>
      <c r="W87" s="241" t="s">
        <v>100</v>
      </c>
      <c r="X87" s="241" t="s">
        <v>1994</v>
      </c>
    </row>
    <row r="88" spans="1:24" ht="13.5" customHeight="1" x14ac:dyDescent="0.3">
      <c r="A88" s="245" t="s">
        <v>2112</v>
      </c>
      <c r="B88" s="246">
        <v>46079</v>
      </c>
      <c r="C88" s="245" t="s">
        <v>830</v>
      </c>
      <c r="D88" s="245" t="s">
        <v>834</v>
      </c>
      <c r="E88" s="245"/>
      <c r="F88" s="245"/>
      <c r="G88" s="245" t="s">
        <v>2148</v>
      </c>
      <c r="H88" s="245" t="s">
        <v>832</v>
      </c>
      <c r="I88" s="245" t="s">
        <v>1988</v>
      </c>
      <c r="J88" s="245" t="s">
        <v>2604</v>
      </c>
      <c r="K88" s="245" t="s">
        <v>2605</v>
      </c>
      <c r="L88" s="246">
        <v>46079</v>
      </c>
      <c r="M88" s="245" t="s">
        <v>1988</v>
      </c>
      <c r="N88" s="245" t="s">
        <v>1989</v>
      </c>
      <c r="O88" s="245" t="s">
        <v>1990</v>
      </c>
      <c r="P88" s="245" t="s">
        <v>111</v>
      </c>
      <c r="Q88" s="247">
        <v>-3535663.91</v>
      </c>
      <c r="R88" s="247">
        <v>-3535663.91</v>
      </c>
      <c r="S88" s="247">
        <v>-2575.92</v>
      </c>
      <c r="T88" s="245" t="s">
        <v>1991</v>
      </c>
      <c r="U88" s="245" t="s">
        <v>2113</v>
      </c>
      <c r="V88" s="241" t="s">
        <v>1993</v>
      </c>
      <c r="W88" s="241" t="s">
        <v>93</v>
      </c>
      <c r="X88" s="241" t="s">
        <v>1994</v>
      </c>
    </row>
    <row r="89" spans="1:24" ht="13.5" customHeight="1" x14ac:dyDescent="0.3">
      <c r="A89" s="245" t="s">
        <v>1985</v>
      </c>
      <c r="B89" s="246">
        <v>46079</v>
      </c>
      <c r="C89" s="245" t="s">
        <v>830</v>
      </c>
      <c r="D89" s="245" t="s">
        <v>834</v>
      </c>
      <c r="E89" s="245"/>
      <c r="F89" s="245"/>
      <c r="G89" s="245" t="s">
        <v>2148</v>
      </c>
      <c r="H89" s="245" t="s">
        <v>832</v>
      </c>
      <c r="I89" s="245" t="s">
        <v>1988</v>
      </c>
      <c r="J89" s="245" t="s">
        <v>2604</v>
      </c>
      <c r="K89" s="245" t="s">
        <v>2605</v>
      </c>
      <c r="L89" s="246">
        <v>46079</v>
      </c>
      <c r="M89" s="245" t="s">
        <v>1988</v>
      </c>
      <c r="N89" s="245" t="s">
        <v>1989</v>
      </c>
      <c r="O89" s="245" t="s">
        <v>1990</v>
      </c>
      <c r="P89" s="245" t="s">
        <v>111</v>
      </c>
      <c r="Q89" s="247">
        <v>3535663.91</v>
      </c>
      <c r="R89" s="247">
        <v>3535663.91</v>
      </c>
      <c r="S89" s="247">
        <v>2575.92</v>
      </c>
      <c r="T89" s="245" t="s">
        <v>1991</v>
      </c>
      <c r="U89" s="245" t="s">
        <v>2113</v>
      </c>
      <c r="V89" s="241" t="s">
        <v>1993</v>
      </c>
      <c r="W89" s="241" t="s">
        <v>93</v>
      </c>
      <c r="X89" s="241" t="s">
        <v>1994</v>
      </c>
    </row>
    <row r="90" spans="1:24" ht="13.5" customHeight="1" x14ac:dyDescent="0.3">
      <c r="A90" s="245" t="s">
        <v>2112</v>
      </c>
      <c r="B90" s="246">
        <v>46078</v>
      </c>
      <c r="C90" s="245" t="s">
        <v>2150</v>
      </c>
      <c r="D90" s="245" t="s">
        <v>742</v>
      </c>
      <c r="E90" s="245"/>
      <c r="F90" s="245"/>
      <c r="G90" s="245" t="s">
        <v>2606</v>
      </c>
      <c r="H90" s="245" t="s">
        <v>3034</v>
      </c>
      <c r="I90" s="245" t="s">
        <v>1988</v>
      </c>
      <c r="J90" s="245" t="s">
        <v>2607</v>
      </c>
      <c r="K90" s="245" t="s">
        <v>2608</v>
      </c>
      <c r="L90" s="246">
        <v>46078</v>
      </c>
      <c r="M90" s="245" t="s">
        <v>1988</v>
      </c>
      <c r="N90" s="245" t="s">
        <v>1989</v>
      </c>
      <c r="O90" s="245" t="s">
        <v>1990</v>
      </c>
      <c r="P90" s="245" t="s">
        <v>111</v>
      </c>
      <c r="Q90" s="247">
        <v>-7584713.0999999996</v>
      </c>
      <c r="R90" s="247">
        <v>-7584713.0999999996</v>
      </c>
      <c r="S90" s="247">
        <v>-5530.05</v>
      </c>
      <c r="T90" s="245" t="s">
        <v>1991</v>
      </c>
      <c r="U90" s="245" t="s">
        <v>2152</v>
      </c>
      <c r="V90" s="241" t="s">
        <v>1993</v>
      </c>
      <c r="W90" s="241" t="s">
        <v>93</v>
      </c>
      <c r="X90" s="241" t="s">
        <v>1994</v>
      </c>
    </row>
    <row r="91" spans="1:24" ht="13.5" customHeight="1" x14ac:dyDescent="0.3">
      <c r="A91" s="245" t="s">
        <v>2112</v>
      </c>
      <c r="B91" s="246">
        <v>46078</v>
      </c>
      <c r="C91" s="245" t="s">
        <v>2150</v>
      </c>
      <c r="D91" s="245" t="s">
        <v>742</v>
      </c>
      <c r="E91" s="245"/>
      <c r="F91" s="245"/>
      <c r="G91" s="245" t="s">
        <v>2606</v>
      </c>
      <c r="H91" s="245" t="s">
        <v>3034</v>
      </c>
      <c r="I91" s="245" t="s">
        <v>1988</v>
      </c>
      <c r="J91" s="245" t="s">
        <v>2607</v>
      </c>
      <c r="K91" s="245" t="s">
        <v>2608</v>
      </c>
      <c r="L91" s="246">
        <v>46078</v>
      </c>
      <c r="M91" s="245" t="s">
        <v>1988</v>
      </c>
      <c r="N91" s="245" t="s">
        <v>1989</v>
      </c>
      <c r="O91" s="245" t="s">
        <v>1990</v>
      </c>
      <c r="P91" s="245" t="s">
        <v>111</v>
      </c>
      <c r="Q91" s="247">
        <v>0</v>
      </c>
      <c r="R91" s="247">
        <v>0</v>
      </c>
      <c r="S91" s="247">
        <v>52.86</v>
      </c>
      <c r="T91" s="245" t="s">
        <v>1991</v>
      </c>
      <c r="U91" s="245" t="s">
        <v>2152</v>
      </c>
      <c r="V91" s="241" t="s">
        <v>1993</v>
      </c>
      <c r="W91" s="241" t="s">
        <v>93</v>
      </c>
      <c r="X91" s="241" t="s">
        <v>1994</v>
      </c>
    </row>
    <row r="92" spans="1:24" ht="13.5" customHeight="1" x14ac:dyDescent="0.3">
      <c r="A92" s="245" t="s">
        <v>2112</v>
      </c>
      <c r="B92" s="246">
        <v>46078</v>
      </c>
      <c r="C92" s="245" t="s">
        <v>2150</v>
      </c>
      <c r="D92" s="245" t="s">
        <v>742</v>
      </c>
      <c r="E92" s="245"/>
      <c r="F92" s="245"/>
      <c r="G92" s="245" t="s">
        <v>2606</v>
      </c>
      <c r="H92" s="245" t="s">
        <v>3034</v>
      </c>
      <c r="I92" s="245" t="s">
        <v>1988</v>
      </c>
      <c r="J92" s="245" t="s">
        <v>2607</v>
      </c>
      <c r="K92" s="245" t="s">
        <v>2608</v>
      </c>
      <c r="L92" s="246">
        <v>46078</v>
      </c>
      <c r="M92" s="245" t="s">
        <v>1988</v>
      </c>
      <c r="N92" s="245" t="s">
        <v>1989</v>
      </c>
      <c r="O92" s="245" t="s">
        <v>1990</v>
      </c>
      <c r="P92" s="245" t="s">
        <v>111</v>
      </c>
      <c r="Q92" s="247">
        <v>0</v>
      </c>
      <c r="R92" s="247">
        <v>0</v>
      </c>
      <c r="S92" s="247">
        <v>149.29</v>
      </c>
      <c r="T92" s="245" t="s">
        <v>1991</v>
      </c>
      <c r="U92" s="245" t="s">
        <v>2152</v>
      </c>
      <c r="V92" s="241" t="s">
        <v>1993</v>
      </c>
      <c r="W92" s="241" t="s">
        <v>93</v>
      </c>
      <c r="X92" s="241" t="s">
        <v>1994</v>
      </c>
    </row>
    <row r="93" spans="1:24" ht="13.5" customHeight="1" x14ac:dyDescent="0.3">
      <c r="A93" s="245" t="s">
        <v>1985</v>
      </c>
      <c r="B93" s="246">
        <v>46078</v>
      </c>
      <c r="C93" s="245" t="s">
        <v>2150</v>
      </c>
      <c r="D93" s="245" t="s">
        <v>742</v>
      </c>
      <c r="E93" s="245"/>
      <c r="F93" s="245"/>
      <c r="G93" s="245" t="s">
        <v>2606</v>
      </c>
      <c r="H93" s="245" t="s">
        <v>3034</v>
      </c>
      <c r="I93" s="245" t="s">
        <v>1988</v>
      </c>
      <c r="J93" s="245" t="s">
        <v>2607</v>
      </c>
      <c r="K93" s="245" t="s">
        <v>2608</v>
      </c>
      <c r="L93" s="246">
        <v>46078</v>
      </c>
      <c r="M93" s="245" t="s">
        <v>1988</v>
      </c>
      <c r="N93" s="245" t="s">
        <v>1989</v>
      </c>
      <c r="O93" s="245" t="s">
        <v>1990</v>
      </c>
      <c r="P93" s="245" t="s">
        <v>111</v>
      </c>
      <c r="Q93" s="247">
        <v>7584713.0999999996</v>
      </c>
      <c r="R93" s="247">
        <v>7584713.0999999996</v>
      </c>
      <c r="S93" s="247">
        <v>5327.9</v>
      </c>
      <c r="T93" s="245" t="s">
        <v>1991</v>
      </c>
      <c r="U93" s="245" t="s">
        <v>2152</v>
      </c>
      <c r="V93" s="241" t="s">
        <v>1993</v>
      </c>
      <c r="W93" s="241" t="s">
        <v>93</v>
      </c>
      <c r="X93" s="241" t="s">
        <v>1994</v>
      </c>
    </row>
    <row r="94" spans="1:24" ht="13.5" customHeight="1" x14ac:dyDescent="0.3">
      <c r="A94" s="245" t="s">
        <v>2112</v>
      </c>
      <c r="B94" s="246">
        <v>46078</v>
      </c>
      <c r="C94" s="245" t="s">
        <v>813</v>
      </c>
      <c r="D94" s="245" t="s">
        <v>815</v>
      </c>
      <c r="E94" s="245"/>
      <c r="F94" s="245"/>
      <c r="G94" s="245" t="s">
        <v>2119</v>
      </c>
      <c r="H94" s="245" t="s">
        <v>2023</v>
      </c>
      <c r="I94" s="245" t="s">
        <v>2024</v>
      </c>
      <c r="J94" s="245" t="s">
        <v>2609</v>
      </c>
      <c r="K94" s="245" t="s">
        <v>2610</v>
      </c>
      <c r="L94" s="246">
        <v>46078</v>
      </c>
      <c r="M94" s="245" t="s">
        <v>2024</v>
      </c>
      <c r="N94" s="245" t="s">
        <v>1989</v>
      </c>
      <c r="O94" s="245" t="s">
        <v>1990</v>
      </c>
      <c r="P94" s="245" t="s">
        <v>111</v>
      </c>
      <c r="Q94" s="247">
        <v>-14401975.51</v>
      </c>
      <c r="R94" s="247">
        <v>-14401975.51</v>
      </c>
      <c r="S94" s="247">
        <v>-10500.55</v>
      </c>
      <c r="T94" s="245" t="s">
        <v>1991</v>
      </c>
      <c r="U94" s="245" t="s">
        <v>2113</v>
      </c>
      <c r="V94" s="241" t="s">
        <v>1993</v>
      </c>
      <c r="W94" s="241" t="s">
        <v>100</v>
      </c>
      <c r="X94" s="241" t="s">
        <v>1994</v>
      </c>
    </row>
    <row r="95" spans="1:24" ht="13.5" customHeight="1" x14ac:dyDescent="0.3">
      <c r="A95" s="245" t="s">
        <v>2112</v>
      </c>
      <c r="B95" s="246">
        <v>46078</v>
      </c>
      <c r="C95" s="245" t="s">
        <v>813</v>
      </c>
      <c r="D95" s="245" t="s">
        <v>815</v>
      </c>
      <c r="E95" s="245"/>
      <c r="F95" s="245"/>
      <c r="G95" s="245" t="s">
        <v>2119</v>
      </c>
      <c r="H95" s="245" t="s">
        <v>2023</v>
      </c>
      <c r="I95" s="245" t="s">
        <v>2024</v>
      </c>
      <c r="J95" s="245" t="s">
        <v>2609</v>
      </c>
      <c r="K95" s="245" t="s">
        <v>2610</v>
      </c>
      <c r="L95" s="246">
        <v>46078</v>
      </c>
      <c r="M95" s="245" t="s">
        <v>2024</v>
      </c>
      <c r="N95" s="245" t="s">
        <v>1989</v>
      </c>
      <c r="O95" s="245" t="s">
        <v>1990</v>
      </c>
      <c r="P95" s="245" t="s">
        <v>111</v>
      </c>
      <c r="Q95" s="247">
        <v>0</v>
      </c>
      <c r="R95" s="247">
        <v>0</v>
      </c>
      <c r="S95" s="247">
        <v>550.27</v>
      </c>
      <c r="T95" s="245" t="s">
        <v>1991</v>
      </c>
      <c r="U95" s="245" t="s">
        <v>2113</v>
      </c>
      <c r="V95" s="241" t="s">
        <v>1993</v>
      </c>
      <c r="W95" s="241" t="s">
        <v>100</v>
      </c>
      <c r="X95" s="241" t="s">
        <v>1994</v>
      </c>
    </row>
    <row r="96" spans="1:24" ht="13.5" customHeight="1" x14ac:dyDescent="0.3">
      <c r="A96" s="245" t="s">
        <v>1985</v>
      </c>
      <c r="B96" s="246">
        <v>46078</v>
      </c>
      <c r="C96" s="245" t="s">
        <v>813</v>
      </c>
      <c r="D96" s="245" t="s">
        <v>815</v>
      </c>
      <c r="E96" s="245"/>
      <c r="F96" s="245"/>
      <c r="G96" s="245" t="s">
        <v>2119</v>
      </c>
      <c r="H96" s="245" t="s">
        <v>2023</v>
      </c>
      <c r="I96" s="245" t="s">
        <v>2024</v>
      </c>
      <c r="J96" s="245" t="s">
        <v>2609</v>
      </c>
      <c r="K96" s="245" t="s">
        <v>2610</v>
      </c>
      <c r="L96" s="246">
        <v>46078</v>
      </c>
      <c r="M96" s="245" t="s">
        <v>2024</v>
      </c>
      <c r="N96" s="245" t="s">
        <v>1989</v>
      </c>
      <c r="O96" s="245" t="s">
        <v>1990</v>
      </c>
      <c r="P96" s="245" t="s">
        <v>111</v>
      </c>
      <c r="Q96" s="247">
        <v>14401975.51</v>
      </c>
      <c r="R96" s="247">
        <v>14401975.51</v>
      </c>
      <c r="S96" s="247">
        <v>9950.2800000000007</v>
      </c>
      <c r="T96" s="245" t="s">
        <v>1991</v>
      </c>
      <c r="U96" s="245" t="s">
        <v>2113</v>
      </c>
      <c r="V96" s="241" t="s">
        <v>1993</v>
      </c>
      <c r="W96" s="241" t="s">
        <v>100</v>
      </c>
      <c r="X96" s="241" t="s">
        <v>1994</v>
      </c>
    </row>
    <row r="97" spans="1:24" ht="13.5" customHeight="1" x14ac:dyDescent="0.3">
      <c r="A97" s="245" t="s">
        <v>1985</v>
      </c>
      <c r="B97" s="246">
        <v>46078</v>
      </c>
      <c r="C97" s="245"/>
      <c r="D97" s="245"/>
      <c r="E97" s="245"/>
      <c r="F97" s="245"/>
      <c r="G97" s="245" t="s">
        <v>2611</v>
      </c>
      <c r="H97" s="245" t="s">
        <v>822</v>
      </c>
      <c r="I97" s="245" t="s">
        <v>1988</v>
      </c>
      <c r="J97" s="245" t="s">
        <v>2612</v>
      </c>
      <c r="K97" s="245" t="s">
        <v>2613</v>
      </c>
      <c r="L97" s="246">
        <v>46078</v>
      </c>
      <c r="M97" s="245" t="s">
        <v>1988</v>
      </c>
      <c r="N97" s="245" t="s">
        <v>1989</v>
      </c>
      <c r="O97" s="245" t="s">
        <v>1990</v>
      </c>
      <c r="P97" s="245" t="s">
        <v>111</v>
      </c>
      <c r="Q97" s="247">
        <v>-1333576</v>
      </c>
      <c r="R97" s="247">
        <v>-1333576</v>
      </c>
      <c r="S97" s="247">
        <v>-972.32</v>
      </c>
      <c r="T97" s="245" t="s">
        <v>1991</v>
      </c>
      <c r="U97" s="245" t="s">
        <v>1992</v>
      </c>
      <c r="V97" s="241" t="s">
        <v>1993</v>
      </c>
      <c r="W97" s="241" t="s">
        <v>93</v>
      </c>
      <c r="X97" s="241" t="s">
        <v>1994</v>
      </c>
    </row>
    <row r="98" spans="1:24" ht="13.5" customHeight="1" x14ac:dyDescent="0.3">
      <c r="A98" s="245" t="s">
        <v>2112</v>
      </c>
      <c r="B98" s="246">
        <v>46077</v>
      </c>
      <c r="C98" s="245" t="s">
        <v>2120</v>
      </c>
      <c r="D98" s="245" t="s">
        <v>1013</v>
      </c>
      <c r="E98" s="245"/>
      <c r="F98" s="245"/>
      <c r="G98" s="245" t="s">
        <v>2614</v>
      </c>
      <c r="H98" s="245" t="s">
        <v>2094</v>
      </c>
      <c r="I98" s="245" t="s">
        <v>1988</v>
      </c>
      <c r="J98" s="245" t="s">
        <v>2615</v>
      </c>
      <c r="K98" s="245" t="s">
        <v>2616</v>
      </c>
      <c r="L98" s="246">
        <v>46077</v>
      </c>
      <c r="M98" s="245" t="s">
        <v>1988</v>
      </c>
      <c r="N98" s="245" t="s">
        <v>1989</v>
      </c>
      <c r="O98" s="245" t="s">
        <v>1990</v>
      </c>
      <c r="P98" s="245" t="s">
        <v>111</v>
      </c>
      <c r="Q98" s="247">
        <v>-235000</v>
      </c>
      <c r="R98" s="247">
        <v>-235000</v>
      </c>
      <c r="S98" s="247">
        <v>-170.83</v>
      </c>
      <c r="T98" s="245" t="s">
        <v>1991</v>
      </c>
      <c r="U98" s="245" t="s">
        <v>2113</v>
      </c>
      <c r="V98" s="241" t="s">
        <v>1993</v>
      </c>
      <c r="W98" s="241" t="s">
        <v>93</v>
      </c>
      <c r="X98" s="241" t="s">
        <v>1994</v>
      </c>
    </row>
    <row r="99" spans="1:24" ht="13.5" customHeight="1" x14ac:dyDescent="0.3">
      <c r="A99" s="245" t="s">
        <v>2112</v>
      </c>
      <c r="B99" s="246">
        <v>46077</v>
      </c>
      <c r="C99" s="245" t="s">
        <v>2120</v>
      </c>
      <c r="D99" s="245" t="s">
        <v>1013</v>
      </c>
      <c r="E99" s="245"/>
      <c r="F99" s="245"/>
      <c r="G99" s="245" t="s">
        <v>2614</v>
      </c>
      <c r="H99" s="245" t="s">
        <v>2094</v>
      </c>
      <c r="I99" s="245" t="s">
        <v>1988</v>
      </c>
      <c r="J99" s="245" t="s">
        <v>2615</v>
      </c>
      <c r="K99" s="245" t="s">
        <v>2616</v>
      </c>
      <c r="L99" s="246">
        <v>46077</v>
      </c>
      <c r="M99" s="245" t="s">
        <v>1988</v>
      </c>
      <c r="N99" s="245" t="s">
        <v>1989</v>
      </c>
      <c r="O99" s="245" t="s">
        <v>1990</v>
      </c>
      <c r="P99" s="245" t="s">
        <v>111</v>
      </c>
      <c r="Q99" s="247">
        <v>0</v>
      </c>
      <c r="R99" s="247">
        <v>0</v>
      </c>
      <c r="S99" s="247">
        <v>8.4700000000000006</v>
      </c>
      <c r="T99" s="245" t="s">
        <v>1991</v>
      </c>
      <c r="U99" s="245" t="s">
        <v>2113</v>
      </c>
      <c r="V99" s="241" t="s">
        <v>1993</v>
      </c>
      <c r="W99" s="241" t="s">
        <v>93</v>
      </c>
      <c r="X99" s="241" t="s">
        <v>1994</v>
      </c>
    </row>
    <row r="100" spans="1:24" ht="13.5" customHeight="1" x14ac:dyDescent="0.3">
      <c r="A100" s="245" t="s">
        <v>1985</v>
      </c>
      <c r="B100" s="246">
        <v>46077</v>
      </c>
      <c r="C100" s="245" t="s">
        <v>2120</v>
      </c>
      <c r="D100" s="245" t="s">
        <v>1013</v>
      </c>
      <c r="E100" s="245"/>
      <c r="F100" s="245"/>
      <c r="G100" s="245" t="s">
        <v>2614</v>
      </c>
      <c r="H100" s="245" t="s">
        <v>2094</v>
      </c>
      <c r="I100" s="245" t="s">
        <v>1988</v>
      </c>
      <c r="J100" s="245" t="s">
        <v>2615</v>
      </c>
      <c r="K100" s="245" t="s">
        <v>2616</v>
      </c>
      <c r="L100" s="246">
        <v>46077</v>
      </c>
      <c r="M100" s="245" t="s">
        <v>1988</v>
      </c>
      <c r="N100" s="245" t="s">
        <v>1989</v>
      </c>
      <c r="O100" s="245" t="s">
        <v>1990</v>
      </c>
      <c r="P100" s="245" t="s">
        <v>111</v>
      </c>
      <c r="Q100" s="247">
        <v>235000</v>
      </c>
      <c r="R100" s="247">
        <v>235000</v>
      </c>
      <c r="S100" s="247">
        <v>162.36000000000001</v>
      </c>
      <c r="T100" s="245" t="s">
        <v>1991</v>
      </c>
      <c r="U100" s="245" t="s">
        <v>2113</v>
      </c>
      <c r="V100" s="241" t="s">
        <v>1993</v>
      </c>
      <c r="W100" s="241" t="s">
        <v>93</v>
      </c>
      <c r="X100" s="241" t="s">
        <v>1994</v>
      </c>
    </row>
    <row r="101" spans="1:24" ht="13.5" customHeight="1" x14ac:dyDescent="0.3">
      <c r="A101" s="245" t="s">
        <v>2112</v>
      </c>
      <c r="B101" s="246">
        <v>46077</v>
      </c>
      <c r="C101" s="245" t="s">
        <v>2120</v>
      </c>
      <c r="D101" s="245" t="s">
        <v>1013</v>
      </c>
      <c r="E101" s="245"/>
      <c r="F101" s="245"/>
      <c r="G101" s="245" t="s">
        <v>2617</v>
      </c>
      <c r="H101" s="245" t="s">
        <v>2095</v>
      </c>
      <c r="I101" s="245" t="s">
        <v>1988</v>
      </c>
      <c r="J101" s="245" t="s">
        <v>2618</v>
      </c>
      <c r="K101" s="245" t="s">
        <v>2619</v>
      </c>
      <c r="L101" s="246">
        <v>46077</v>
      </c>
      <c r="M101" s="245" t="s">
        <v>1988</v>
      </c>
      <c r="N101" s="245" t="s">
        <v>1989</v>
      </c>
      <c r="O101" s="245" t="s">
        <v>1990</v>
      </c>
      <c r="P101" s="245" t="s">
        <v>111</v>
      </c>
      <c r="Q101" s="247">
        <v>-1047323.7</v>
      </c>
      <c r="R101" s="247">
        <v>-1047323.7</v>
      </c>
      <c r="S101" s="247">
        <v>-761.35</v>
      </c>
      <c r="T101" s="245" t="s">
        <v>1991</v>
      </c>
      <c r="U101" s="245" t="s">
        <v>2113</v>
      </c>
      <c r="V101" s="241" t="s">
        <v>1993</v>
      </c>
      <c r="W101" s="241" t="s">
        <v>93</v>
      </c>
      <c r="X101" s="241" t="s">
        <v>1994</v>
      </c>
    </row>
    <row r="102" spans="1:24" ht="13.5" customHeight="1" x14ac:dyDescent="0.3">
      <c r="A102" s="245" t="s">
        <v>2112</v>
      </c>
      <c r="B102" s="246">
        <v>46077</v>
      </c>
      <c r="C102" s="245" t="s">
        <v>2120</v>
      </c>
      <c r="D102" s="245" t="s">
        <v>1013</v>
      </c>
      <c r="E102" s="245"/>
      <c r="F102" s="245"/>
      <c r="G102" s="245" t="s">
        <v>2617</v>
      </c>
      <c r="H102" s="245" t="s">
        <v>2095</v>
      </c>
      <c r="I102" s="245" t="s">
        <v>1988</v>
      </c>
      <c r="J102" s="245" t="s">
        <v>2618</v>
      </c>
      <c r="K102" s="245" t="s">
        <v>2619</v>
      </c>
      <c r="L102" s="246">
        <v>46077</v>
      </c>
      <c r="M102" s="245" t="s">
        <v>1988</v>
      </c>
      <c r="N102" s="245" t="s">
        <v>1989</v>
      </c>
      <c r="O102" s="245" t="s">
        <v>1990</v>
      </c>
      <c r="P102" s="245" t="s">
        <v>111</v>
      </c>
      <c r="Q102" s="247">
        <v>0</v>
      </c>
      <c r="R102" s="247">
        <v>0</v>
      </c>
      <c r="S102" s="247">
        <v>37.76</v>
      </c>
      <c r="T102" s="245" t="s">
        <v>1991</v>
      </c>
      <c r="U102" s="245" t="s">
        <v>2113</v>
      </c>
      <c r="V102" s="241" t="s">
        <v>1993</v>
      </c>
      <c r="W102" s="241" t="s">
        <v>93</v>
      </c>
      <c r="X102" s="241" t="s">
        <v>1994</v>
      </c>
    </row>
    <row r="103" spans="1:24" ht="13.5" customHeight="1" x14ac:dyDescent="0.3">
      <c r="A103" s="245" t="s">
        <v>1985</v>
      </c>
      <c r="B103" s="246">
        <v>46077</v>
      </c>
      <c r="C103" s="245" t="s">
        <v>2120</v>
      </c>
      <c r="D103" s="245" t="s">
        <v>1013</v>
      </c>
      <c r="E103" s="245"/>
      <c r="F103" s="245"/>
      <c r="G103" s="245" t="s">
        <v>2617</v>
      </c>
      <c r="H103" s="245" t="s">
        <v>2095</v>
      </c>
      <c r="I103" s="245" t="s">
        <v>1988</v>
      </c>
      <c r="J103" s="245" t="s">
        <v>2618</v>
      </c>
      <c r="K103" s="245" t="s">
        <v>2619</v>
      </c>
      <c r="L103" s="246">
        <v>46077</v>
      </c>
      <c r="M103" s="245" t="s">
        <v>1988</v>
      </c>
      <c r="N103" s="245" t="s">
        <v>1989</v>
      </c>
      <c r="O103" s="245" t="s">
        <v>1990</v>
      </c>
      <c r="P103" s="245" t="s">
        <v>111</v>
      </c>
      <c r="Q103" s="247">
        <v>1047323.7</v>
      </c>
      <c r="R103" s="247">
        <v>1047323.7</v>
      </c>
      <c r="S103" s="247">
        <v>723.59</v>
      </c>
      <c r="T103" s="245" t="s">
        <v>1991</v>
      </c>
      <c r="U103" s="245" t="s">
        <v>2113</v>
      </c>
      <c r="V103" s="241" t="s">
        <v>1993</v>
      </c>
      <c r="W103" s="241" t="s">
        <v>93</v>
      </c>
      <c r="X103" s="241" t="s">
        <v>1994</v>
      </c>
    </row>
    <row r="104" spans="1:24" ht="13.5" customHeight="1" x14ac:dyDescent="0.3">
      <c r="A104" s="245" t="s">
        <v>2112</v>
      </c>
      <c r="B104" s="246">
        <v>46077</v>
      </c>
      <c r="C104" s="245" t="s">
        <v>2120</v>
      </c>
      <c r="D104" s="245" t="s">
        <v>1013</v>
      </c>
      <c r="E104" s="245"/>
      <c r="F104" s="245"/>
      <c r="G104" s="245" t="s">
        <v>2620</v>
      </c>
      <c r="H104" s="245" t="s">
        <v>2096</v>
      </c>
      <c r="I104" s="245" t="s">
        <v>1988</v>
      </c>
      <c r="J104" s="245" t="s">
        <v>2621</v>
      </c>
      <c r="K104" s="245" t="s">
        <v>2622</v>
      </c>
      <c r="L104" s="246">
        <v>46077</v>
      </c>
      <c r="M104" s="245" t="s">
        <v>1988</v>
      </c>
      <c r="N104" s="245" t="s">
        <v>1989</v>
      </c>
      <c r="O104" s="245" t="s">
        <v>1990</v>
      </c>
      <c r="P104" s="245" t="s">
        <v>111</v>
      </c>
      <c r="Q104" s="247">
        <v>-1099415.21</v>
      </c>
      <c r="R104" s="247">
        <v>-1099415.21</v>
      </c>
      <c r="S104" s="247">
        <v>-799.21</v>
      </c>
      <c r="T104" s="245" t="s">
        <v>1991</v>
      </c>
      <c r="U104" s="245" t="s">
        <v>2113</v>
      </c>
      <c r="V104" s="241" t="s">
        <v>1993</v>
      </c>
      <c r="W104" s="241" t="s">
        <v>93</v>
      </c>
      <c r="X104" s="241" t="s">
        <v>1994</v>
      </c>
    </row>
    <row r="105" spans="1:24" ht="13.5" customHeight="1" x14ac:dyDescent="0.3">
      <c r="A105" s="245" t="s">
        <v>2112</v>
      </c>
      <c r="B105" s="246">
        <v>46077</v>
      </c>
      <c r="C105" s="245" t="s">
        <v>2120</v>
      </c>
      <c r="D105" s="245" t="s">
        <v>1013</v>
      </c>
      <c r="E105" s="245"/>
      <c r="F105" s="245"/>
      <c r="G105" s="245" t="s">
        <v>2620</v>
      </c>
      <c r="H105" s="245" t="s">
        <v>2096</v>
      </c>
      <c r="I105" s="245" t="s">
        <v>1988</v>
      </c>
      <c r="J105" s="245" t="s">
        <v>2621</v>
      </c>
      <c r="K105" s="245" t="s">
        <v>2622</v>
      </c>
      <c r="L105" s="246">
        <v>46077</v>
      </c>
      <c r="M105" s="245" t="s">
        <v>1988</v>
      </c>
      <c r="N105" s="245" t="s">
        <v>1989</v>
      </c>
      <c r="O105" s="245" t="s">
        <v>1990</v>
      </c>
      <c r="P105" s="245" t="s">
        <v>111</v>
      </c>
      <c r="Q105" s="247">
        <v>0</v>
      </c>
      <c r="R105" s="247">
        <v>0</v>
      </c>
      <c r="S105" s="247">
        <v>39.630000000000003</v>
      </c>
      <c r="T105" s="245" t="s">
        <v>1991</v>
      </c>
      <c r="U105" s="245" t="s">
        <v>2113</v>
      </c>
      <c r="V105" s="241" t="s">
        <v>1993</v>
      </c>
      <c r="W105" s="241" t="s">
        <v>93</v>
      </c>
      <c r="X105" s="241" t="s">
        <v>1994</v>
      </c>
    </row>
    <row r="106" spans="1:24" ht="13.5" customHeight="1" x14ac:dyDescent="0.3">
      <c r="A106" s="245" t="s">
        <v>1985</v>
      </c>
      <c r="B106" s="246">
        <v>46077</v>
      </c>
      <c r="C106" s="245" t="s">
        <v>2120</v>
      </c>
      <c r="D106" s="245" t="s">
        <v>1013</v>
      </c>
      <c r="E106" s="245"/>
      <c r="F106" s="245"/>
      <c r="G106" s="245" t="s">
        <v>2620</v>
      </c>
      <c r="H106" s="245" t="s">
        <v>2096</v>
      </c>
      <c r="I106" s="245" t="s">
        <v>1988</v>
      </c>
      <c r="J106" s="245" t="s">
        <v>2621</v>
      </c>
      <c r="K106" s="245" t="s">
        <v>2622</v>
      </c>
      <c r="L106" s="246">
        <v>46077</v>
      </c>
      <c r="M106" s="245" t="s">
        <v>1988</v>
      </c>
      <c r="N106" s="245" t="s">
        <v>1989</v>
      </c>
      <c r="O106" s="245" t="s">
        <v>1990</v>
      </c>
      <c r="P106" s="245" t="s">
        <v>111</v>
      </c>
      <c r="Q106" s="247">
        <v>1099415.21</v>
      </c>
      <c r="R106" s="247">
        <v>1099415.21</v>
      </c>
      <c r="S106" s="247">
        <v>759.58</v>
      </c>
      <c r="T106" s="245" t="s">
        <v>1991</v>
      </c>
      <c r="U106" s="245" t="s">
        <v>2113</v>
      </c>
      <c r="V106" s="241" t="s">
        <v>1993</v>
      </c>
      <c r="W106" s="241" t="s">
        <v>93</v>
      </c>
      <c r="X106" s="241" t="s">
        <v>1994</v>
      </c>
    </row>
    <row r="107" spans="1:24" ht="13.5" customHeight="1" x14ac:dyDescent="0.3">
      <c r="A107" s="245" t="s">
        <v>2112</v>
      </c>
      <c r="B107" s="246">
        <v>46077</v>
      </c>
      <c r="C107" s="245" t="s">
        <v>2120</v>
      </c>
      <c r="D107" s="245" t="s">
        <v>1013</v>
      </c>
      <c r="E107" s="245"/>
      <c r="F107" s="245"/>
      <c r="G107" s="245" t="s">
        <v>2121</v>
      </c>
      <c r="H107" s="245" t="s">
        <v>2100</v>
      </c>
      <c r="I107" s="245" t="s">
        <v>1988</v>
      </c>
      <c r="J107" s="245" t="s">
        <v>2623</v>
      </c>
      <c r="K107" s="245" t="s">
        <v>2624</v>
      </c>
      <c r="L107" s="246">
        <v>46077</v>
      </c>
      <c r="M107" s="245" t="s">
        <v>1988</v>
      </c>
      <c r="N107" s="245" t="s">
        <v>1989</v>
      </c>
      <c r="O107" s="245" t="s">
        <v>1990</v>
      </c>
      <c r="P107" s="245" t="s">
        <v>111</v>
      </c>
      <c r="Q107" s="247">
        <v>-3725274.88</v>
      </c>
      <c r="R107" s="247">
        <v>-3725274.88</v>
      </c>
      <c r="S107" s="247">
        <v>-2708.06</v>
      </c>
      <c r="T107" s="245" t="s">
        <v>1991</v>
      </c>
      <c r="U107" s="245" t="s">
        <v>2113</v>
      </c>
      <c r="V107" s="241" t="s">
        <v>1993</v>
      </c>
      <c r="W107" s="241" t="s">
        <v>93</v>
      </c>
      <c r="X107" s="241" t="s">
        <v>1994</v>
      </c>
    </row>
    <row r="108" spans="1:24" ht="13.5" customHeight="1" x14ac:dyDescent="0.3">
      <c r="A108" s="245" t="s">
        <v>2112</v>
      </c>
      <c r="B108" s="246">
        <v>46077</v>
      </c>
      <c r="C108" s="245" t="s">
        <v>2120</v>
      </c>
      <c r="D108" s="245" t="s">
        <v>1013</v>
      </c>
      <c r="E108" s="245"/>
      <c r="F108" s="245"/>
      <c r="G108" s="245" t="s">
        <v>2121</v>
      </c>
      <c r="H108" s="245" t="s">
        <v>2100</v>
      </c>
      <c r="I108" s="245" t="s">
        <v>1988</v>
      </c>
      <c r="J108" s="245" t="s">
        <v>2623</v>
      </c>
      <c r="K108" s="245" t="s">
        <v>2624</v>
      </c>
      <c r="L108" s="246">
        <v>46077</v>
      </c>
      <c r="M108" s="245" t="s">
        <v>1988</v>
      </c>
      <c r="N108" s="245" t="s">
        <v>1989</v>
      </c>
      <c r="O108" s="245" t="s">
        <v>1990</v>
      </c>
      <c r="P108" s="245" t="s">
        <v>111</v>
      </c>
      <c r="Q108" s="247">
        <v>0</v>
      </c>
      <c r="R108" s="247">
        <v>0</v>
      </c>
      <c r="S108" s="247">
        <v>134.28</v>
      </c>
      <c r="T108" s="245" t="s">
        <v>1991</v>
      </c>
      <c r="U108" s="245" t="s">
        <v>2113</v>
      </c>
      <c r="V108" s="241" t="s">
        <v>1993</v>
      </c>
      <c r="W108" s="241" t="s">
        <v>93</v>
      </c>
      <c r="X108" s="241" t="s">
        <v>1994</v>
      </c>
    </row>
    <row r="109" spans="1:24" ht="13.5" customHeight="1" x14ac:dyDescent="0.3">
      <c r="A109" s="245" t="s">
        <v>1985</v>
      </c>
      <c r="B109" s="246">
        <v>46077</v>
      </c>
      <c r="C109" s="245" t="s">
        <v>2120</v>
      </c>
      <c r="D109" s="245" t="s">
        <v>1013</v>
      </c>
      <c r="E109" s="245"/>
      <c r="F109" s="245"/>
      <c r="G109" s="245" t="s">
        <v>2121</v>
      </c>
      <c r="H109" s="245" t="s">
        <v>2100</v>
      </c>
      <c r="I109" s="245" t="s">
        <v>1988</v>
      </c>
      <c r="J109" s="245" t="s">
        <v>2623</v>
      </c>
      <c r="K109" s="245" t="s">
        <v>2624</v>
      </c>
      <c r="L109" s="246">
        <v>46077</v>
      </c>
      <c r="M109" s="245" t="s">
        <v>1988</v>
      </c>
      <c r="N109" s="245" t="s">
        <v>1989</v>
      </c>
      <c r="O109" s="245" t="s">
        <v>1990</v>
      </c>
      <c r="P109" s="245" t="s">
        <v>111</v>
      </c>
      <c r="Q109" s="247">
        <v>3725274.88</v>
      </c>
      <c r="R109" s="247">
        <v>3725274.88</v>
      </c>
      <c r="S109" s="247">
        <v>2573.7800000000002</v>
      </c>
      <c r="T109" s="245" t="s">
        <v>1991</v>
      </c>
      <c r="U109" s="245" t="s">
        <v>2113</v>
      </c>
      <c r="V109" s="241" t="s">
        <v>1993</v>
      </c>
      <c r="W109" s="241" t="s">
        <v>93</v>
      </c>
      <c r="X109" s="241" t="s">
        <v>1994</v>
      </c>
    </row>
    <row r="110" spans="1:24" ht="13.5" customHeight="1" x14ac:dyDescent="0.3">
      <c r="A110" s="245" t="s">
        <v>2112</v>
      </c>
      <c r="B110" s="246">
        <v>46077</v>
      </c>
      <c r="C110" s="245" t="s">
        <v>2120</v>
      </c>
      <c r="D110" s="245" t="s">
        <v>1013</v>
      </c>
      <c r="E110" s="245"/>
      <c r="F110" s="245"/>
      <c r="G110" s="245" t="s">
        <v>2625</v>
      </c>
      <c r="H110" s="245" t="s">
        <v>2098</v>
      </c>
      <c r="I110" s="245" t="s">
        <v>1988</v>
      </c>
      <c r="J110" s="245" t="s">
        <v>2626</v>
      </c>
      <c r="K110" s="245" t="s">
        <v>2627</v>
      </c>
      <c r="L110" s="246">
        <v>46077</v>
      </c>
      <c r="M110" s="245" t="s">
        <v>1988</v>
      </c>
      <c r="N110" s="245" t="s">
        <v>1989</v>
      </c>
      <c r="O110" s="245" t="s">
        <v>1990</v>
      </c>
      <c r="P110" s="245" t="s">
        <v>111</v>
      </c>
      <c r="Q110" s="247">
        <v>-4725556.3899999997</v>
      </c>
      <c r="R110" s="247">
        <v>-4725556.3899999997</v>
      </c>
      <c r="S110" s="247">
        <v>-3435.21</v>
      </c>
      <c r="T110" s="245" t="s">
        <v>1991</v>
      </c>
      <c r="U110" s="245" t="s">
        <v>2113</v>
      </c>
      <c r="V110" s="241" t="s">
        <v>1993</v>
      </c>
      <c r="W110" s="241" t="s">
        <v>93</v>
      </c>
      <c r="X110" s="241" t="s">
        <v>1994</v>
      </c>
    </row>
    <row r="111" spans="1:24" ht="13.5" customHeight="1" x14ac:dyDescent="0.3">
      <c r="A111" s="245" t="s">
        <v>2112</v>
      </c>
      <c r="B111" s="246">
        <v>46077</v>
      </c>
      <c r="C111" s="245" t="s">
        <v>2120</v>
      </c>
      <c r="D111" s="245" t="s">
        <v>1013</v>
      </c>
      <c r="E111" s="245"/>
      <c r="F111" s="245"/>
      <c r="G111" s="245" t="s">
        <v>2625</v>
      </c>
      <c r="H111" s="245" t="s">
        <v>2098</v>
      </c>
      <c r="I111" s="245" t="s">
        <v>1988</v>
      </c>
      <c r="J111" s="245" t="s">
        <v>2626</v>
      </c>
      <c r="K111" s="245" t="s">
        <v>2627</v>
      </c>
      <c r="L111" s="246">
        <v>46077</v>
      </c>
      <c r="M111" s="245" t="s">
        <v>1988</v>
      </c>
      <c r="N111" s="245" t="s">
        <v>1989</v>
      </c>
      <c r="O111" s="245" t="s">
        <v>1990</v>
      </c>
      <c r="P111" s="245" t="s">
        <v>111</v>
      </c>
      <c r="Q111" s="247">
        <v>0</v>
      </c>
      <c r="R111" s="247">
        <v>0</v>
      </c>
      <c r="S111" s="247">
        <v>170.34</v>
      </c>
      <c r="T111" s="245" t="s">
        <v>1991</v>
      </c>
      <c r="U111" s="245" t="s">
        <v>2113</v>
      </c>
      <c r="V111" s="241" t="s">
        <v>1993</v>
      </c>
      <c r="W111" s="241" t="s">
        <v>93</v>
      </c>
      <c r="X111" s="241" t="s">
        <v>1994</v>
      </c>
    </row>
    <row r="112" spans="1:24" ht="13.5" customHeight="1" x14ac:dyDescent="0.3">
      <c r="A112" s="245" t="s">
        <v>1985</v>
      </c>
      <c r="B112" s="246">
        <v>46077</v>
      </c>
      <c r="C112" s="245" t="s">
        <v>2120</v>
      </c>
      <c r="D112" s="245" t="s">
        <v>1013</v>
      </c>
      <c r="E112" s="245"/>
      <c r="F112" s="245"/>
      <c r="G112" s="245" t="s">
        <v>2625</v>
      </c>
      <c r="H112" s="245" t="s">
        <v>2098</v>
      </c>
      <c r="I112" s="245" t="s">
        <v>1988</v>
      </c>
      <c r="J112" s="245" t="s">
        <v>2626</v>
      </c>
      <c r="K112" s="245" t="s">
        <v>2627</v>
      </c>
      <c r="L112" s="246">
        <v>46077</v>
      </c>
      <c r="M112" s="245" t="s">
        <v>1988</v>
      </c>
      <c r="N112" s="245" t="s">
        <v>1989</v>
      </c>
      <c r="O112" s="245" t="s">
        <v>1990</v>
      </c>
      <c r="P112" s="245" t="s">
        <v>111</v>
      </c>
      <c r="Q112" s="247">
        <v>4725556.3899999997</v>
      </c>
      <c r="R112" s="247">
        <v>4725556.3899999997</v>
      </c>
      <c r="S112" s="247">
        <v>3264.87</v>
      </c>
      <c r="T112" s="245" t="s">
        <v>1991</v>
      </c>
      <c r="U112" s="245" t="s">
        <v>2113</v>
      </c>
      <c r="V112" s="241" t="s">
        <v>1993</v>
      </c>
      <c r="W112" s="241" t="s">
        <v>93</v>
      </c>
      <c r="X112" s="241" t="s">
        <v>1994</v>
      </c>
    </row>
    <row r="113" spans="1:24" ht="13.5" customHeight="1" x14ac:dyDescent="0.3">
      <c r="A113" s="245" t="s">
        <v>1985</v>
      </c>
      <c r="B113" s="246">
        <v>46076</v>
      </c>
      <c r="C113" s="245"/>
      <c r="D113" s="245"/>
      <c r="E113" s="245"/>
      <c r="F113" s="245"/>
      <c r="G113" s="245" t="s">
        <v>2628</v>
      </c>
      <c r="H113" s="245" t="s">
        <v>3035</v>
      </c>
      <c r="I113" s="245" t="s">
        <v>1988</v>
      </c>
      <c r="J113" s="245" t="s">
        <v>2629</v>
      </c>
      <c r="K113" s="245" t="s">
        <v>2630</v>
      </c>
      <c r="L113" s="246">
        <v>46076</v>
      </c>
      <c r="M113" s="245" t="s">
        <v>1988</v>
      </c>
      <c r="N113" s="245" t="s">
        <v>1989</v>
      </c>
      <c r="O113" s="245" t="s">
        <v>1990</v>
      </c>
      <c r="P113" s="245" t="s">
        <v>111</v>
      </c>
      <c r="Q113" s="247">
        <v>-2303206.5099999998</v>
      </c>
      <c r="R113" s="247">
        <v>-2303206.5099999998</v>
      </c>
      <c r="S113" s="247">
        <v>-1674.17</v>
      </c>
      <c r="T113" s="245" t="s">
        <v>1991</v>
      </c>
      <c r="U113" s="245" t="s">
        <v>1992</v>
      </c>
      <c r="V113" s="241" t="s">
        <v>1993</v>
      </c>
      <c r="W113" s="241" t="s">
        <v>93</v>
      </c>
      <c r="X113" s="241" t="s">
        <v>1994</v>
      </c>
    </row>
    <row r="114" spans="1:24" ht="13.5" customHeight="1" x14ac:dyDescent="0.3">
      <c r="A114" s="245" t="s">
        <v>1985</v>
      </c>
      <c r="B114" s="246">
        <v>46076</v>
      </c>
      <c r="C114" s="245"/>
      <c r="D114" s="245"/>
      <c r="E114" s="245"/>
      <c r="F114" s="245"/>
      <c r="G114" s="245" t="s">
        <v>2631</v>
      </c>
      <c r="H114" s="245" t="s">
        <v>832</v>
      </c>
      <c r="I114" s="245" t="s">
        <v>1988</v>
      </c>
      <c r="J114" s="245" t="s">
        <v>2632</v>
      </c>
      <c r="K114" s="245" t="s">
        <v>2633</v>
      </c>
      <c r="L114" s="246">
        <v>46076</v>
      </c>
      <c r="M114" s="245" t="s">
        <v>1988</v>
      </c>
      <c r="N114" s="245" t="s">
        <v>1989</v>
      </c>
      <c r="O114" s="245" t="s">
        <v>1990</v>
      </c>
      <c r="P114" s="245" t="s">
        <v>111</v>
      </c>
      <c r="Q114" s="247">
        <v>-3535663.91</v>
      </c>
      <c r="R114" s="247">
        <v>-3535663.91</v>
      </c>
      <c r="S114" s="247">
        <v>-2570.0300000000002</v>
      </c>
      <c r="T114" s="245" t="s">
        <v>1991</v>
      </c>
      <c r="U114" s="245" t="s">
        <v>1992</v>
      </c>
      <c r="V114" s="241" t="s">
        <v>1993</v>
      </c>
      <c r="W114" s="241" t="s">
        <v>93</v>
      </c>
      <c r="X114" s="241" t="s">
        <v>1994</v>
      </c>
    </row>
    <row r="115" spans="1:24" ht="13.5" customHeight="1" x14ac:dyDescent="0.3">
      <c r="A115" s="245" t="s">
        <v>2112</v>
      </c>
      <c r="B115" s="246">
        <v>46073</v>
      </c>
      <c r="C115" s="245" t="s">
        <v>1293</v>
      </c>
      <c r="D115" s="245" t="s">
        <v>1296</v>
      </c>
      <c r="E115" s="245"/>
      <c r="F115" s="245"/>
      <c r="G115" s="245" t="s">
        <v>2634</v>
      </c>
      <c r="H115" s="245" t="s">
        <v>2104</v>
      </c>
      <c r="I115" s="245" t="s">
        <v>1988</v>
      </c>
      <c r="J115" s="245" t="s">
        <v>2635</v>
      </c>
      <c r="K115" s="245" t="s">
        <v>2636</v>
      </c>
      <c r="L115" s="246">
        <v>46073</v>
      </c>
      <c r="M115" s="245" t="s">
        <v>1988</v>
      </c>
      <c r="N115" s="245" t="s">
        <v>1989</v>
      </c>
      <c r="O115" s="245" t="s">
        <v>1990</v>
      </c>
      <c r="P115" s="245" t="s">
        <v>111</v>
      </c>
      <c r="Q115" s="247">
        <v>-3456000</v>
      </c>
      <c r="R115" s="247">
        <v>-3456000</v>
      </c>
      <c r="S115" s="247">
        <v>-2475.73</v>
      </c>
      <c r="T115" s="245" t="s">
        <v>1991</v>
      </c>
      <c r="U115" s="245" t="s">
        <v>2113</v>
      </c>
      <c r="V115" s="241" t="s">
        <v>1993</v>
      </c>
      <c r="W115" s="241" t="s">
        <v>93</v>
      </c>
      <c r="X115" s="241" t="s">
        <v>1994</v>
      </c>
    </row>
    <row r="116" spans="1:24" ht="13.5" customHeight="1" x14ac:dyDescent="0.3">
      <c r="A116" s="245" t="s">
        <v>2112</v>
      </c>
      <c r="B116" s="246">
        <v>46073</v>
      </c>
      <c r="C116" s="245" t="s">
        <v>1293</v>
      </c>
      <c r="D116" s="245" t="s">
        <v>1296</v>
      </c>
      <c r="E116" s="245"/>
      <c r="F116" s="245"/>
      <c r="G116" s="245" t="s">
        <v>2634</v>
      </c>
      <c r="H116" s="245" t="s">
        <v>2104</v>
      </c>
      <c r="I116" s="245" t="s">
        <v>1988</v>
      </c>
      <c r="J116" s="245" t="s">
        <v>2635</v>
      </c>
      <c r="K116" s="245" t="s">
        <v>2636</v>
      </c>
      <c r="L116" s="246">
        <v>46073</v>
      </c>
      <c r="M116" s="245" t="s">
        <v>1988</v>
      </c>
      <c r="N116" s="245" t="s">
        <v>1989</v>
      </c>
      <c r="O116" s="245" t="s">
        <v>1990</v>
      </c>
      <c r="P116" s="245" t="s">
        <v>111</v>
      </c>
      <c r="Q116" s="247">
        <v>0</v>
      </c>
      <c r="R116" s="247">
        <v>0</v>
      </c>
      <c r="S116" s="247">
        <v>87.99</v>
      </c>
      <c r="T116" s="245" t="s">
        <v>1991</v>
      </c>
      <c r="U116" s="245" t="s">
        <v>2113</v>
      </c>
      <c r="V116" s="241" t="s">
        <v>1993</v>
      </c>
      <c r="W116" s="241" t="s">
        <v>93</v>
      </c>
      <c r="X116" s="241" t="s">
        <v>1994</v>
      </c>
    </row>
    <row r="117" spans="1:24" ht="13.5" customHeight="1" x14ac:dyDescent="0.3">
      <c r="A117" s="245" t="s">
        <v>1985</v>
      </c>
      <c r="B117" s="246">
        <v>46073</v>
      </c>
      <c r="C117" s="245" t="s">
        <v>1293</v>
      </c>
      <c r="D117" s="245" t="s">
        <v>1296</v>
      </c>
      <c r="E117" s="245"/>
      <c r="F117" s="245"/>
      <c r="G117" s="245" t="s">
        <v>2634</v>
      </c>
      <c r="H117" s="245" t="s">
        <v>2104</v>
      </c>
      <c r="I117" s="245" t="s">
        <v>1988</v>
      </c>
      <c r="J117" s="245" t="s">
        <v>2635</v>
      </c>
      <c r="K117" s="245" t="s">
        <v>2636</v>
      </c>
      <c r="L117" s="246">
        <v>46073</v>
      </c>
      <c r="M117" s="245" t="s">
        <v>1988</v>
      </c>
      <c r="N117" s="245" t="s">
        <v>1989</v>
      </c>
      <c r="O117" s="245" t="s">
        <v>1990</v>
      </c>
      <c r="P117" s="245" t="s">
        <v>111</v>
      </c>
      <c r="Q117" s="247">
        <v>3456000</v>
      </c>
      <c r="R117" s="247">
        <v>3456000</v>
      </c>
      <c r="S117" s="247">
        <v>2387.7399999999998</v>
      </c>
      <c r="T117" s="245" t="s">
        <v>1991</v>
      </c>
      <c r="U117" s="245" t="s">
        <v>2113</v>
      </c>
      <c r="V117" s="241" t="s">
        <v>1993</v>
      </c>
      <c r="W117" s="241" t="s">
        <v>93</v>
      </c>
      <c r="X117" s="241" t="s">
        <v>1994</v>
      </c>
    </row>
    <row r="118" spans="1:24" ht="13.5" customHeight="1" x14ac:dyDescent="0.3">
      <c r="A118" s="245" t="s">
        <v>2112</v>
      </c>
      <c r="B118" s="246">
        <v>46073</v>
      </c>
      <c r="C118" s="245" t="s">
        <v>861</v>
      </c>
      <c r="D118" s="245" t="s">
        <v>862</v>
      </c>
      <c r="E118" s="245"/>
      <c r="F118" s="245"/>
      <c r="G118" s="245" t="s">
        <v>2637</v>
      </c>
      <c r="H118" s="245" t="s">
        <v>3036</v>
      </c>
      <c r="I118" s="245" t="s">
        <v>2024</v>
      </c>
      <c r="J118" s="245" t="s">
        <v>2638</v>
      </c>
      <c r="K118" s="245" t="s">
        <v>2639</v>
      </c>
      <c r="L118" s="246">
        <v>46073</v>
      </c>
      <c r="M118" s="245" t="s">
        <v>2024</v>
      </c>
      <c r="N118" s="245" t="s">
        <v>1989</v>
      </c>
      <c r="O118" s="245" t="s">
        <v>1990</v>
      </c>
      <c r="P118" s="245" t="s">
        <v>111</v>
      </c>
      <c r="Q118" s="247">
        <v>-3997603.52</v>
      </c>
      <c r="R118" s="247">
        <v>-3997603.52</v>
      </c>
      <c r="S118" s="247">
        <v>-2863.72</v>
      </c>
      <c r="T118" s="245" t="s">
        <v>1991</v>
      </c>
      <c r="U118" s="245" t="s">
        <v>2113</v>
      </c>
      <c r="V118" s="241" t="s">
        <v>1993</v>
      </c>
      <c r="W118" s="241" t="s">
        <v>100</v>
      </c>
      <c r="X118" s="241" t="s">
        <v>1994</v>
      </c>
    </row>
    <row r="119" spans="1:24" ht="13.5" customHeight="1" x14ac:dyDescent="0.3">
      <c r="A119" s="245" t="s">
        <v>2112</v>
      </c>
      <c r="B119" s="246">
        <v>46073</v>
      </c>
      <c r="C119" s="245" t="s">
        <v>861</v>
      </c>
      <c r="D119" s="245" t="s">
        <v>862</v>
      </c>
      <c r="E119" s="245"/>
      <c r="F119" s="245"/>
      <c r="G119" s="245" t="s">
        <v>2637</v>
      </c>
      <c r="H119" s="245" t="s">
        <v>3036</v>
      </c>
      <c r="I119" s="245" t="s">
        <v>2024</v>
      </c>
      <c r="J119" s="245" t="s">
        <v>2638</v>
      </c>
      <c r="K119" s="245" t="s">
        <v>2639</v>
      </c>
      <c r="L119" s="246">
        <v>46073</v>
      </c>
      <c r="M119" s="245" t="s">
        <v>2024</v>
      </c>
      <c r="N119" s="245" t="s">
        <v>1989</v>
      </c>
      <c r="O119" s="245" t="s">
        <v>1990</v>
      </c>
      <c r="P119" s="245" t="s">
        <v>111</v>
      </c>
      <c r="Q119" s="247">
        <v>0</v>
      </c>
      <c r="R119" s="247">
        <v>0</v>
      </c>
      <c r="S119" s="247">
        <v>46.26</v>
      </c>
      <c r="T119" s="245" t="s">
        <v>1991</v>
      </c>
      <c r="U119" s="245" t="s">
        <v>2113</v>
      </c>
      <c r="V119" s="241" t="s">
        <v>1993</v>
      </c>
      <c r="W119" s="241" t="s">
        <v>100</v>
      </c>
      <c r="X119" s="241" t="s">
        <v>1994</v>
      </c>
    </row>
    <row r="120" spans="1:24" ht="13.5" customHeight="1" x14ac:dyDescent="0.3">
      <c r="A120" s="245" t="s">
        <v>1985</v>
      </c>
      <c r="B120" s="246">
        <v>46073</v>
      </c>
      <c r="C120" s="245" t="s">
        <v>861</v>
      </c>
      <c r="D120" s="245" t="s">
        <v>862</v>
      </c>
      <c r="E120" s="245"/>
      <c r="F120" s="245"/>
      <c r="G120" s="245" t="s">
        <v>2637</v>
      </c>
      <c r="H120" s="245" t="s">
        <v>3036</v>
      </c>
      <c r="I120" s="245" t="s">
        <v>2024</v>
      </c>
      <c r="J120" s="245" t="s">
        <v>2638</v>
      </c>
      <c r="K120" s="245" t="s">
        <v>2639</v>
      </c>
      <c r="L120" s="246">
        <v>46073</v>
      </c>
      <c r="M120" s="245" t="s">
        <v>2024</v>
      </c>
      <c r="N120" s="245" t="s">
        <v>1989</v>
      </c>
      <c r="O120" s="245" t="s">
        <v>1990</v>
      </c>
      <c r="P120" s="245" t="s">
        <v>111</v>
      </c>
      <c r="Q120" s="247">
        <v>3997603.52</v>
      </c>
      <c r="R120" s="247">
        <v>3997603.52</v>
      </c>
      <c r="S120" s="247">
        <v>2816.44</v>
      </c>
      <c r="T120" s="245" t="s">
        <v>1991</v>
      </c>
      <c r="U120" s="245" t="s">
        <v>2113</v>
      </c>
      <c r="V120" s="241" t="s">
        <v>1993</v>
      </c>
      <c r="W120" s="241" t="s">
        <v>100</v>
      </c>
      <c r="X120" s="241" t="s">
        <v>1994</v>
      </c>
    </row>
    <row r="121" spans="1:24" ht="13.5" customHeight="1" x14ac:dyDescent="0.3">
      <c r="A121" s="245" t="s">
        <v>2112</v>
      </c>
      <c r="B121" s="246">
        <v>46071</v>
      </c>
      <c r="C121" s="245" t="s">
        <v>2120</v>
      </c>
      <c r="D121" s="245" t="s">
        <v>1013</v>
      </c>
      <c r="E121" s="245"/>
      <c r="F121" s="245"/>
      <c r="G121" s="245" t="s">
        <v>2640</v>
      </c>
      <c r="H121" s="245" t="s">
        <v>2097</v>
      </c>
      <c r="I121" s="245" t="s">
        <v>1988</v>
      </c>
      <c r="J121" s="245" t="s">
        <v>2641</v>
      </c>
      <c r="K121" s="245" t="s">
        <v>2642</v>
      </c>
      <c r="L121" s="246">
        <v>46071</v>
      </c>
      <c r="M121" s="245" t="s">
        <v>1988</v>
      </c>
      <c r="N121" s="245" t="s">
        <v>1989</v>
      </c>
      <c r="O121" s="245" t="s">
        <v>1990</v>
      </c>
      <c r="P121" s="245" t="s">
        <v>111</v>
      </c>
      <c r="Q121" s="247">
        <v>-2600000</v>
      </c>
      <c r="R121" s="247">
        <v>-2600000</v>
      </c>
      <c r="S121" s="247">
        <v>-1859.07</v>
      </c>
      <c r="T121" s="245" t="s">
        <v>1991</v>
      </c>
      <c r="U121" s="245" t="s">
        <v>2113</v>
      </c>
      <c r="V121" s="241" t="s">
        <v>1993</v>
      </c>
      <c r="W121" s="241" t="s">
        <v>93</v>
      </c>
      <c r="X121" s="241" t="s">
        <v>1994</v>
      </c>
    </row>
    <row r="122" spans="1:24" ht="13.5" customHeight="1" x14ac:dyDescent="0.3">
      <c r="A122" s="245" t="s">
        <v>2112</v>
      </c>
      <c r="B122" s="246">
        <v>46071</v>
      </c>
      <c r="C122" s="245" t="s">
        <v>2120</v>
      </c>
      <c r="D122" s="245" t="s">
        <v>1013</v>
      </c>
      <c r="E122" s="245"/>
      <c r="F122" s="245"/>
      <c r="G122" s="245" t="s">
        <v>2640</v>
      </c>
      <c r="H122" s="245" t="s">
        <v>2097</v>
      </c>
      <c r="I122" s="245" t="s">
        <v>1988</v>
      </c>
      <c r="J122" s="245" t="s">
        <v>2641</v>
      </c>
      <c r="K122" s="245" t="s">
        <v>2642</v>
      </c>
      <c r="L122" s="246">
        <v>46071</v>
      </c>
      <c r="M122" s="245" t="s">
        <v>1988</v>
      </c>
      <c r="N122" s="245" t="s">
        <v>1989</v>
      </c>
      <c r="O122" s="245" t="s">
        <v>1990</v>
      </c>
      <c r="P122" s="245" t="s">
        <v>111</v>
      </c>
      <c r="Q122" s="247">
        <v>0</v>
      </c>
      <c r="R122" s="247">
        <v>0</v>
      </c>
      <c r="S122" s="247">
        <v>62.74</v>
      </c>
      <c r="T122" s="245" t="s">
        <v>1991</v>
      </c>
      <c r="U122" s="245" t="s">
        <v>2113</v>
      </c>
      <c r="V122" s="241" t="s">
        <v>1993</v>
      </c>
      <c r="W122" s="241" t="s">
        <v>93</v>
      </c>
      <c r="X122" s="241" t="s">
        <v>1994</v>
      </c>
    </row>
    <row r="123" spans="1:24" ht="13.5" customHeight="1" x14ac:dyDescent="0.3">
      <c r="A123" s="245" t="s">
        <v>1985</v>
      </c>
      <c r="B123" s="246">
        <v>46071</v>
      </c>
      <c r="C123" s="245" t="s">
        <v>2120</v>
      </c>
      <c r="D123" s="245" t="s">
        <v>1013</v>
      </c>
      <c r="E123" s="245"/>
      <c r="F123" s="245"/>
      <c r="G123" s="245" t="s">
        <v>2640</v>
      </c>
      <c r="H123" s="245" t="s">
        <v>2097</v>
      </c>
      <c r="I123" s="245" t="s">
        <v>1988</v>
      </c>
      <c r="J123" s="245" t="s">
        <v>2641</v>
      </c>
      <c r="K123" s="245" t="s">
        <v>2642</v>
      </c>
      <c r="L123" s="246">
        <v>46071</v>
      </c>
      <c r="M123" s="245" t="s">
        <v>1988</v>
      </c>
      <c r="N123" s="245" t="s">
        <v>1989</v>
      </c>
      <c r="O123" s="245" t="s">
        <v>1990</v>
      </c>
      <c r="P123" s="245" t="s">
        <v>111</v>
      </c>
      <c r="Q123" s="247">
        <v>2600000</v>
      </c>
      <c r="R123" s="247">
        <v>2600000</v>
      </c>
      <c r="S123" s="247">
        <v>1796.33</v>
      </c>
      <c r="T123" s="245" t="s">
        <v>1991</v>
      </c>
      <c r="U123" s="245" t="s">
        <v>2113</v>
      </c>
      <c r="V123" s="241" t="s">
        <v>1993</v>
      </c>
      <c r="W123" s="241" t="s">
        <v>93</v>
      </c>
      <c r="X123" s="241" t="s">
        <v>1994</v>
      </c>
    </row>
    <row r="124" spans="1:24" ht="13.5" customHeight="1" x14ac:dyDescent="0.3">
      <c r="A124" s="245" t="s">
        <v>1985</v>
      </c>
      <c r="B124" s="246">
        <v>46069</v>
      </c>
      <c r="C124" s="245"/>
      <c r="D124" s="245"/>
      <c r="E124" s="245"/>
      <c r="F124" s="245"/>
      <c r="G124" s="245" t="s">
        <v>2643</v>
      </c>
      <c r="H124" s="245" t="s">
        <v>3037</v>
      </c>
      <c r="I124" s="245" t="s">
        <v>2024</v>
      </c>
      <c r="J124" s="245" t="s">
        <v>2644</v>
      </c>
      <c r="K124" s="245" t="s">
        <v>2645</v>
      </c>
      <c r="L124" s="246">
        <v>46069</v>
      </c>
      <c r="M124" s="245" t="s">
        <v>2024</v>
      </c>
      <c r="N124" s="245" t="s">
        <v>1989</v>
      </c>
      <c r="O124" s="245" t="s">
        <v>1990</v>
      </c>
      <c r="P124" s="245" t="s">
        <v>111</v>
      </c>
      <c r="Q124" s="247">
        <v>-2304000</v>
      </c>
      <c r="R124" s="247">
        <v>-2304000</v>
      </c>
      <c r="S124" s="247">
        <v>-1646.72</v>
      </c>
      <c r="T124" s="245" t="s">
        <v>1991</v>
      </c>
      <c r="U124" s="245" t="s">
        <v>1992</v>
      </c>
      <c r="V124" s="241" t="s">
        <v>1993</v>
      </c>
      <c r="W124" s="241" t="s">
        <v>100</v>
      </c>
      <c r="X124" s="241" t="s">
        <v>1994</v>
      </c>
    </row>
    <row r="125" spans="1:24" ht="13.5" customHeight="1" x14ac:dyDescent="0.3">
      <c r="A125" s="245" t="s">
        <v>2112</v>
      </c>
      <c r="B125" s="246">
        <v>46069</v>
      </c>
      <c r="C125" s="245" t="s">
        <v>861</v>
      </c>
      <c r="D125" s="245" t="s">
        <v>862</v>
      </c>
      <c r="E125" s="245"/>
      <c r="F125" s="245"/>
      <c r="G125" s="245" t="s">
        <v>2118</v>
      </c>
      <c r="H125" s="245" t="s">
        <v>2061</v>
      </c>
      <c r="I125" s="245" t="s">
        <v>2024</v>
      </c>
      <c r="J125" s="245" t="s">
        <v>2646</v>
      </c>
      <c r="K125" s="245" t="s">
        <v>2647</v>
      </c>
      <c r="L125" s="246">
        <v>46069</v>
      </c>
      <c r="M125" s="245" t="s">
        <v>2024</v>
      </c>
      <c r="N125" s="245" t="s">
        <v>1989</v>
      </c>
      <c r="O125" s="245" t="s">
        <v>1990</v>
      </c>
      <c r="P125" s="245" t="s">
        <v>111</v>
      </c>
      <c r="Q125" s="247">
        <v>-3569419.41</v>
      </c>
      <c r="R125" s="247">
        <v>-3569419.41</v>
      </c>
      <c r="S125" s="247">
        <v>-2551.14</v>
      </c>
      <c r="T125" s="245" t="s">
        <v>1991</v>
      </c>
      <c r="U125" s="245" t="s">
        <v>2113</v>
      </c>
      <c r="V125" s="241" t="s">
        <v>1993</v>
      </c>
      <c r="W125" s="241" t="s">
        <v>100</v>
      </c>
      <c r="X125" s="241" t="s">
        <v>1994</v>
      </c>
    </row>
    <row r="126" spans="1:24" ht="13.5" customHeight="1" x14ac:dyDescent="0.3">
      <c r="A126" s="245" t="s">
        <v>2112</v>
      </c>
      <c r="B126" s="246">
        <v>46069</v>
      </c>
      <c r="C126" s="245" t="s">
        <v>861</v>
      </c>
      <c r="D126" s="245" t="s">
        <v>862</v>
      </c>
      <c r="E126" s="245"/>
      <c r="F126" s="245"/>
      <c r="G126" s="245" t="s">
        <v>2118</v>
      </c>
      <c r="H126" s="245" t="s">
        <v>2061</v>
      </c>
      <c r="I126" s="245" t="s">
        <v>2024</v>
      </c>
      <c r="J126" s="245" t="s">
        <v>2646</v>
      </c>
      <c r="K126" s="245" t="s">
        <v>2647</v>
      </c>
      <c r="L126" s="246">
        <v>46069</v>
      </c>
      <c r="M126" s="245" t="s">
        <v>2024</v>
      </c>
      <c r="N126" s="245" t="s">
        <v>1989</v>
      </c>
      <c r="O126" s="245" t="s">
        <v>1990</v>
      </c>
      <c r="P126" s="245" t="s">
        <v>111</v>
      </c>
      <c r="Q126" s="247">
        <v>0</v>
      </c>
      <c r="R126" s="247">
        <v>0</v>
      </c>
      <c r="S126" s="247">
        <v>85.04</v>
      </c>
      <c r="T126" s="245" t="s">
        <v>1991</v>
      </c>
      <c r="U126" s="245" t="s">
        <v>2113</v>
      </c>
      <c r="V126" s="241" t="s">
        <v>1993</v>
      </c>
      <c r="W126" s="241" t="s">
        <v>100</v>
      </c>
      <c r="X126" s="241" t="s">
        <v>1994</v>
      </c>
    </row>
    <row r="127" spans="1:24" ht="13.5" customHeight="1" x14ac:dyDescent="0.3">
      <c r="A127" s="245" t="s">
        <v>1985</v>
      </c>
      <c r="B127" s="246">
        <v>46069</v>
      </c>
      <c r="C127" s="245" t="s">
        <v>861</v>
      </c>
      <c r="D127" s="245" t="s">
        <v>862</v>
      </c>
      <c r="E127" s="245"/>
      <c r="F127" s="245"/>
      <c r="G127" s="245" t="s">
        <v>2118</v>
      </c>
      <c r="H127" s="245" t="s">
        <v>2061</v>
      </c>
      <c r="I127" s="245" t="s">
        <v>2024</v>
      </c>
      <c r="J127" s="245" t="s">
        <v>2646</v>
      </c>
      <c r="K127" s="245" t="s">
        <v>2647</v>
      </c>
      <c r="L127" s="246">
        <v>46069</v>
      </c>
      <c r="M127" s="245" t="s">
        <v>2024</v>
      </c>
      <c r="N127" s="245" t="s">
        <v>1989</v>
      </c>
      <c r="O127" s="245" t="s">
        <v>1990</v>
      </c>
      <c r="P127" s="245" t="s">
        <v>111</v>
      </c>
      <c r="Q127" s="247">
        <v>3569419.41</v>
      </c>
      <c r="R127" s="247">
        <v>3569419.41</v>
      </c>
      <c r="S127" s="247">
        <v>2466.1</v>
      </c>
      <c r="T127" s="245" t="s">
        <v>1991</v>
      </c>
      <c r="U127" s="245" t="s">
        <v>2113</v>
      </c>
      <c r="V127" s="241" t="s">
        <v>1993</v>
      </c>
      <c r="W127" s="241" t="s">
        <v>100</v>
      </c>
      <c r="X127" s="241" t="s">
        <v>1994</v>
      </c>
    </row>
    <row r="128" spans="1:24" ht="13.5" customHeight="1" x14ac:dyDescent="0.3">
      <c r="A128" s="245" t="s">
        <v>2112</v>
      </c>
      <c r="B128" s="246">
        <v>46069</v>
      </c>
      <c r="C128" s="245" t="s">
        <v>861</v>
      </c>
      <c r="D128" s="245" t="s">
        <v>862</v>
      </c>
      <c r="E128" s="245"/>
      <c r="F128" s="245"/>
      <c r="G128" s="245" t="s">
        <v>2117</v>
      </c>
      <c r="H128" s="245" t="s">
        <v>2060</v>
      </c>
      <c r="I128" s="245" t="s">
        <v>2024</v>
      </c>
      <c r="J128" s="245" t="s">
        <v>2648</v>
      </c>
      <c r="K128" s="245" t="s">
        <v>2649</v>
      </c>
      <c r="L128" s="246">
        <v>46069</v>
      </c>
      <c r="M128" s="245" t="s">
        <v>2024</v>
      </c>
      <c r="N128" s="245" t="s">
        <v>1989</v>
      </c>
      <c r="O128" s="245" t="s">
        <v>1990</v>
      </c>
      <c r="P128" s="245" t="s">
        <v>111</v>
      </c>
      <c r="Q128" s="247">
        <v>-299934.65999999997</v>
      </c>
      <c r="R128" s="247">
        <v>-299934.65999999997</v>
      </c>
      <c r="S128" s="247">
        <v>-214.37</v>
      </c>
      <c r="T128" s="245" t="s">
        <v>1991</v>
      </c>
      <c r="U128" s="245" t="s">
        <v>2113</v>
      </c>
      <c r="V128" s="241" t="s">
        <v>1993</v>
      </c>
      <c r="W128" s="241" t="s">
        <v>100</v>
      </c>
      <c r="X128" s="241" t="s">
        <v>1994</v>
      </c>
    </row>
    <row r="129" spans="1:24" ht="13.5" customHeight="1" x14ac:dyDescent="0.3">
      <c r="A129" s="245" t="s">
        <v>2112</v>
      </c>
      <c r="B129" s="246">
        <v>46069</v>
      </c>
      <c r="C129" s="245" t="s">
        <v>861</v>
      </c>
      <c r="D129" s="245" t="s">
        <v>862</v>
      </c>
      <c r="E129" s="245"/>
      <c r="F129" s="245"/>
      <c r="G129" s="245" t="s">
        <v>2117</v>
      </c>
      <c r="H129" s="245" t="s">
        <v>2060</v>
      </c>
      <c r="I129" s="245" t="s">
        <v>2024</v>
      </c>
      <c r="J129" s="245" t="s">
        <v>2648</v>
      </c>
      <c r="K129" s="245" t="s">
        <v>2649</v>
      </c>
      <c r="L129" s="246">
        <v>46069</v>
      </c>
      <c r="M129" s="245" t="s">
        <v>2024</v>
      </c>
      <c r="N129" s="245" t="s">
        <v>1989</v>
      </c>
      <c r="O129" s="245" t="s">
        <v>1990</v>
      </c>
      <c r="P129" s="245" t="s">
        <v>111</v>
      </c>
      <c r="Q129" s="247">
        <v>0</v>
      </c>
      <c r="R129" s="247">
        <v>0</v>
      </c>
      <c r="S129" s="247">
        <v>7.15</v>
      </c>
      <c r="T129" s="245" t="s">
        <v>1991</v>
      </c>
      <c r="U129" s="245" t="s">
        <v>2113</v>
      </c>
      <c r="V129" s="241" t="s">
        <v>1993</v>
      </c>
      <c r="W129" s="241" t="s">
        <v>100</v>
      </c>
      <c r="X129" s="241" t="s">
        <v>1994</v>
      </c>
    </row>
    <row r="130" spans="1:24" ht="13.5" customHeight="1" x14ac:dyDescent="0.3">
      <c r="A130" s="245" t="s">
        <v>1985</v>
      </c>
      <c r="B130" s="246">
        <v>46069</v>
      </c>
      <c r="C130" s="245" t="s">
        <v>861</v>
      </c>
      <c r="D130" s="245" t="s">
        <v>862</v>
      </c>
      <c r="E130" s="245"/>
      <c r="F130" s="245"/>
      <c r="G130" s="245" t="s">
        <v>2117</v>
      </c>
      <c r="H130" s="245" t="s">
        <v>2060</v>
      </c>
      <c r="I130" s="245" t="s">
        <v>2024</v>
      </c>
      <c r="J130" s="245" t="s">
        <v>2648</v>
      </c>
      <c r="K130" s="245" t="s">
        <v>2649</v>
      </c>
      <c r="L130" s="246">
        <v>46069</v>
      </c>
      <c r="M130" s="245" t="s">
        <v>2024</v>
      </c>
      <c r="N130" s="245" t="s">
        <v>1989</v>
      </c>
      <c r="O130" s="245" t="s">
        <v>1990</v>
      </c>
      <c r="P130" s="245" t="s">
        <v>111</v>
      </c>
      <c r="Q130" s="247">
        <v>299934.65999999997</v>
      </c>
      <c r="R130" s="247">
        <v>299934.65999999997</v>
      </c>
      <c r="S130" s="247">
        <v>207.22</v>
      </c>
      <c r="T130" s="245" t="s">
        <v>1991</v>
      </c>
      <c r="U130" s="245" t="s">
        <v>2113</v>
      </c>
      <c r="V130" s="241" t="s">
        <v>1993</v>
      </c>
      <c r="W130" s="241" t="s">
        <v>100</v>
      </c>
      <c r="X130" s="241" t="s">
        <v>1994</v>
      </c>
    </row>
    <row r="131" spans="1:24" ht="13.5" customHeight="1" x14ac:dyDescent="0.3">
      <c r="A131" s="245" t="s">
        <v>2112</v>
      </c>
      <c r="B131" s="246">
        <v>46069</v>
      </c>
      <c r="C131" s="245" t="s">
        <v>861</v>
      </c>
      <c r="D131" s="245" t="s">
        <v>862</v>
      </c>
      <c r="E131" s="245"/>
      <c r="F131" s="245"/>
      <c r="G131" s="245" t="s">
        <v>2650</v>
      </c>
      <c r="H131" s="245" t="s">
        <v>3038</v>
      </c>
      <c r="I131" s="245" t="s">
        <v>2024</v>
      </c>
      <c r="J131" s="245" t="s">
        <v>2651</v>
      </c>
      <c r="K131" s="245" t="s">
        <v>2652</v>
      </c>
      <c r="L131" s="246">
        <v>46069</v>
      </c>
      <c r="M131" s="245" t="s">
        <v>2024</v>
      </c>
      <c r="N131" s="245" t="s">
        <v>1989</v>
      </c>
      <c r="O131" s="245" t="s">
        <v>1990</v>
      </c>
      <c r="P131" s="245" t="s">
        <v>111</v>
      </c>
      <c r="Q131" s="247">
        <v>-1331454.68</v>
      </c>
      <c r="R131" s="247">
        <v>-1331454.68</v>
      </c>
      <c r="S131" s="247">
        <v>-951.62</v>
      </c>
      <c r="T131" s="245" t="s">
        <v>1991</v>
      </c>
      <c r="U131" s="245" t="s">
        <v>2113</v>
      </c>
      <c r="V131" s="241" t="s">
        <v>1993</v>
      </c>
      <c r="W131" s="241" t="s">
        <v>100</v>
      </c>
      <c r="X131" s="241" t="s">
        <v>1994</v>
      </c>
    </row>
    <row r="132" spans="1:24" ht="13.5" customHeight="1" x14ac:dyDescent="0.3">
      <c r="A132" s="245" t="s">
        <v>2112</v>
      </c>
      <c r="B132" s="246">
        <v>46069</v>
      </c>
      <c r="C132" s="245" t="s">
        <v>861</v>
      </c>
      <c r="D132" s="245" t="s">
        <v>862</v>
      </c>
      <c r="E132" s="245"/>
      <c r="F132" s="245"/>
      <c r="G132" s="245" t="s">
        <v>2650</v>
      </c>
      <c r="H132" s="245" t="s">
        <v>3038</v>
      </c>
      <c r="I132" s="245" t="s">
        <v>2024</v>
      </c>
      <c r="J132" s="245" t="s">
        <v>2651</v>
      </c>
      <c r="K132" s="245" t="s">
        <v>2652</v>
      </c>
      <c r="L132" s="246">
        <v>46069</v>
      </c>
      <c r="M132" s="245" t="s">
        <v>2024</v>
      </c>
      <c r="N132" s="245" t="s">
        <v>1989</v>
      </c>
      <c r="O132" s="245" t="s">
        <v>1990</v>
      </c>
      <c r="P132" s="245" t="s">
        <v>111</v>
      </c>
      <c r="Q132" s="247">
        <v>0</v>
      </c>
      <c r="R132" s="247">
        <v>0</v>
      </c>
      <c r="S132" s="247">
        <v>31.72</v>
      </c>
      <c r="T132" s="245" t="s">
        <v>1991</v>
      </c>
      <c r="U132" s="245" t="s">
        <v>2113</v>
      </c>
      <c r="V132" s="241" t="s">
        <v>1993</v>
      </c>
      <c r="W132" s="241" t="s">
        <v>100</v>
      </c>
      <c r="X132" s="241" t="s">
        <v>1994</v>
      </c>
    </row>
    <row r="133" spans="1:24" ht="13.5" customHeight="1" x14ac:dyDescent="0.3">
      <c r="A133" s="245" t="s">
        <v>1985</v>
      </c>
      <c r="B133" s="246">
        <v>46069</v>
      </c>
      <c r="C133" s="245" t="s">
        <v>861</v>
      </c>
      <c r="D133" s="245" t="s">
        <v>862</v>
      </c>
      <c r="E133" s="245"/>
      <c r="F133" s="245"/>
      <c r="G133" s="245" t="s">
        <v>2650</v>
      </c>
      <c r="H133" s="245" t="s">
        <v>3038</v>
      </c>
      <c r="I133" s="245" t="s">
        <v>2024</v>
      </c>
      <c r="J133" s="245" t="s">
        <v>2651</v>
      </c>
      <c r="K133" s="245" t="s">
        <v>2652</v>
      </c>
      <c r="L133" s="246">
        <v>46069</v>
      </c>
      <c r="M133" s="245" t="s">
        <v>2024</v>
      </c>
      <c r="N133" s="245" t="s">
        <v>1989</v>
      </c>
      <c r="O133" s="245" t="s">
        <v>1990</v>
      </c>
      <c r="P133" s="245" t="s">
        <v>111</v>
      </c>
      <c r="Q133" s="247">
        <v>1331454.68</v>
      </c>
      <c r="R133" s="247">
        <v>1331454.68</v>
      </c>
      <c r="S133" s="247">
        <v>919.9</v>
      </c>
      <c r="T133" s="245" t="s">
        <v>1991</v>
      </c>
      <c r="U133" s="245" t="s">
        <v>2113</v>
      </c>
      <c r="V133" s="241" t="s">
        <v>1993</v>
      </c>
      <c r="W133" s="241" t="s">
        <v>100</v>
      </c>
      <c r="X133" s="241" t="s">
        <v>1994</v>
      </c>
    </row>
    <row r="134" spans="1:24" ht="13.5" customHeight="1" x14ac:dyDescent="0.3">
      <c r="A134" s="245" t="s">
        <v>2112</v>
      </c>
      <c r="B134" s="246">
        <v>46066</v>
      </c>
      <c r="C134" s="245" t="s">
        <v>1256</v>
      </c>
      <c r="D134" s="245" t="s">
        <v>1259</v>
      </c>
      <c r="E134" s="245"/>
      <c r="F134" s="245"/>
      <c r="G134" s="245" t="s">
        <v>2653</v>
      </c>
      <c r="H134" s="245" t="s">
        <v>2007</v>
      </c>
      <c r="I134" s="245" t="s">
        <v>1988</v>
      </c>
      <c r="J134" s="245" t="s">
        <v>2654</v>
      </c>
      <c r="K134" s="245" t="s">
        <v>2655</v>
      </c>
      <c r="L134" s="246">
        <v>46066</v>
      </c>
      <c r="M134" s="245" t="s">
        <v>1988</v>
      </c>
      <c r="N134" s="245" t="s">
        <v>1989</v>
      </c>
      <c r="O134" s="245" t="s">
        <v>1990</v>
      </c>
      <c r="P134" s="245" t="s">
        <v>111</v>
      </c>
      <c r="Q134" s="247">
        <v>-4500000</v>
      </c>
      <c r="R134" s="247">
        <v>-4500000</v>
      </c>
      <c r="S134" s="247">
        <v>-3205.69</v>
      </c>
      <c r="T134" s="245" t="s">
        <v>1991</v>
      </c>
      <c r="U134" s="245" t="s">
        <v>2113</v>
      </c>
      <c r="V134" s="241" t="s">
        <v>1993</v>
      </c>
      <c r="W134" s="241" t="s">
        <v>93</v>
      </c>
      <c r="X134" s="241" t="s">
        <v>1994</v>
      </c>
    </row>
    <row r="135" spans="1:24" ht="13.5" customHeight="1" x14ac:dyDescent="0.3">
      <c r="A135" s="245" t="s">
        <v>2112</v>
      </c>
      <c r="B135" s="246">
        <v>46066</v>
      </c>
      <c r="C135" s="245" t="s">
        <v>1256</v>
      </c>
      <c r="D135" s="245" t="s">
        <v>1259</v>
      </c>
      <c r="E135" s="245"/>
      <c r="F135" s="245"/>
      <c r="G135" s="245" t="s">
        <v>2653</v>
      </c>
      <c r="H135" s="245" t="s">
        <v>2007</v>
      </c>
      <c r="I135" s="245" t="s">
        <v>1988</v>
      </c>
      <c r="J135" s="245" t="s">
        <v>2654</v>
      </c>
      <c r="K135" s="245" t="s">
        <v>2655</v>
      </c>
      <c r="L135" s="246">
        <v>46066</v>
      </c>
      <c r="M135" s="245" t="s">
        <v>1988</v>
      </c>
      <c r="N135" s="245" t="s">
        <v>1989</v>
      </c>
      <c r="O135" s="245" t="s">
        <v>1990</v>
      </c>
      <c r="P135" s="245" t="s">
        <v>111</v>
      </c>
      <c r="Q135" s="247">
        <v>0</v>
      </c>
      <c r="R135" s="247">
        <v>0</v>
      </c>
      <c r="S135" s="247">
        <v>96.65</v>
      </c>
      <c r="T135" s="245" t="s">
        <v>1991</v>
      </c>
      <c r="U135" s="245" t="s">
        <v>2113</v>
      </c>
      <c r="V135" s="241" t="s">
        <v>1993</v>
      </c>
      <c r="W135" s="241" t="s">
        <v>93</v>
      </c>
      <c r="X135" s="241" t="s">
        <v>1994</v>
      </c>
    </row>
    <row r="136" spans="1:24" ht="13.5" customHeight="1" x14ac:dyDescent="0.3">
      <c r="A136" s="245" t="s">
        <v>1985</v>
      </c>
      <c r="B136" s="246">
        <v>46066</v>
      </c>
      <c r="C136" s="245" t="s">
        <v>1256</v>
      </c>
      <c r="D136" s="245" t="s">
        <v>1259</v>
      </c>
      <c r="E136" s="245"/>
      <c r="F136" s="245"/>
      <c r="G136" s="245" t="s">
        <v>2653</v>
      </c>
      <c r="H136" s="245" t="s">
        <v>2007</v>
      </c>
      <c r="I136" s="245" t="s">
        <v>1988</v>
      </c>
      <c r="J136" s="245" t="s">
        <v>2654</v>
      </c>
      <c r="K136" s="245" t="s">
        <v>2655</v>
      </c>
      <c r="L136" s="246">
        <v>46066</v>
      </c>
      <c r="M136" s="245" t="s">
        <v>1988</v>
      </c>
      <c r="N136" s="245" t="s">
        <v>1989</v>
      </c>
      <c r="O136" s="245" t="s">
        <v>1990</v>
      </c>
      <c r="P136" s="245" t="s">
        <v>111</v>
      </c>
      <c r="Q136" s="247">
        <v>4500000</v>
      </c>
      <c r="R136" s="247">
        <v>4500000</v>
      </c>
      <c r="S136" s="247">
        <v>3109.04</v>
      </c>
      <c r="T136" s="245" t="s">
        <v>1991</v>
      </c>
      <c r="U136" s="245" t="s">
        <v>2113</v>
      </c>
      <c r="V136" s="241" t="s">
        <v>1993</v>
      </c>
      <c r="W136" s="241" t="s">
        <v>93</v>
      </c>
      <c r="X136" s="241" t="s">
        <v>1994</v>
      </c>
    </row>
    <row r="137" spans="1:24" ht="13.5" customHeight="1" x14ac:dyDescent="0.3">
      <c r="A137" s="245" t="s">
        <v>2112</v>
      </c>
      <c r="B137" s="246">
        <v>46066</v>
      </c>
      <c r="C137" s="245" t="s">
        <v>861</v>
      </c>
      <c r="D137" s="245" t="s">
        <v>862</v>
      </c>
      <c r="E137" s="245"/>
      <c r="F137" s="245"/>
      <c r="G137" s="245" t="s">
        <v>2656</v>
      </c>
      <c r="H137" s="245" t="s">
        <v>2057</v>
      </c>
      <c r="I137" s="245" t="s">
        <v>1988</v>
      </c>
      <c r="J137" s="245" t="s">
        <v>2657</v>
      </c>
      <c r="K137" s="245" t="s">
        <v>2658</v>
      </c>
      <c r="L137" s="246">
        <v>46066</v>
      </c>
      <c r="M137" s="245" t="s">
        <v>1988</v>
      </c>
      <c r="N137" s="245" t="s">
        <v>1989</v>
      </c>
      <c r="O137" s="245" t="s">
        <v>1990</v>
      </c>
      <c r="P137" s="245" t="s">
        <v>111</v>
      </c>
      <c r="Q137" s="247">
        <v>-1343865.93</v>
      </c>
      <c r="R137" s="247">
        <v>-1343865.93</v>
      </c>
      <c r="S137" s="247">
        <v>-957.34</v>
      </c>
      <c r="T137" s="245" t="s">
        <v>1991</v>
      </c>
      <c r="U137" s="245" t="s">
        <v>2113</v>
      </c>
      <c r="V137" s="241" t="s">
        <v>1993</v>
      </c>
      <c r="W137" s="241" t="s">
        <v>93</v>
      </c>
      <c r="X137" s="241" t="s">
        <v>1994</v>
      </c>
    </row>
    <row r="138" spans="1:24" ht="13.5" customHeight="1" x14ac:dyDescent="0.3">
      <c r="A138" s="245" t="s">
        <v>2112</v>
      </c>
      <c r="B138" s="246">
        <v>46066</v>
      </c>
      <c r="C138" s="245" t="s">
        <v>861</v>
      </c>
      <c r="D138" s="245" t="s">
        <v>862</v>
      </c>
      <c r="E138" s="245"/>
      <c r="F138" s="245"/>
      <c r="G138" s="245" t="s">
        <v>2656</v>
      </c>
      <c r="H138" s="245" t="s">
        <v>2057</v>
      </c>
      <c r="I138" s="245" t="s">
        <v>1988</v>
      </c>
      <c r="J138" s="245" t="s">
        <v>2657</v>
      </c>
      <c r="K138" s="245" t="s">
        <v>2658</v>
      </c>
      <c r="L138" s="246">
        <v>46066</v>
      </c>
      <c r="M138" s="245" t="s">
        <v>1988</v>
      </c>
      <c r="N138" s="245" t="s">
        <v>1989</v>
      </c>
      <c r="O138" s="245" t="s">
        <v>1990</v>
      </c>
      <c r="P138" s="245" t="s">
        <v>111</v>
      </c>
      <c r="Q138" s="247">
        <v>0</v>
      </c>
      <c r="R138" s="247">
        <v>0</v>
      </c>
      <c r="S138" s="247">
        <v>28.87</v>
      </c>
      <c r="T138" s="245" t="s">
        <v>1991</v>
      </c>
      <c r="U138" s="245" t="s">
        <v>2113</v>
      </c>
      <c r="V138" s="241" t="s">
        <v>1993</v>
      </c>
      <c r="W138" s="241" t="s">
        <v>93</v>
      </c>
      <c r="X138" s="241" t="s">
        <v>1994</v>
      </c>
    </row>
    <row r="139" spans="1:24" ht="13.5" customHeight="1" x14ac:dyDescent="0.3">
      <c r="A139" s="245" t="s">
        <v>1985</v>
      </c>
      <c r="B139" s="246">
        <v>46066</v>
      </c>
      <c r="C139" s="245" t="s">
        <v>861</v>
      </c>
      <c r="D139" s="245" t="s">
        <v>862</v>
      </c>
      <c r="E139" s="245"/>
      <c r="F139" s="245"/>
      <c r="G139" s="245" t="s">
        <v>2656</v>
      </c>
      <c r="H139" s="245" t="s">
        <v>2057</v>
      </c>
      <c r="I139" s="245" t="s">
        <v>1988</v>
      </c>
      <c r="J139" s="245" t="s">
        <v>2657</v>
      </c>
      <c r="K139" s="245" t="s">
        <v>2658</v>
      </c>
      <c r="L139" s="246">
        <v>46066</v>
      </c>
      <c r="M139" s="245" t="s">
        <v>1988</v>
      </c>
      <c r="N139" s="245" t="s">
        <v>1989</v>
      </c>
      <c r="O139" s="245" t="s">
        <v>1990</v>
      </c>
      <c r="P139" s="245" t="s">
        <v>111</v>
      </c>
      <c r="Q139" s="247">
        <v>1343865.93</v>
      </c>
      <c r="R139" s="247">
        <v>1343865.93</v>
      </c>
      <c r="S139" s="247">
        <v>928.47</v>
      </c>
      <c r="T139" s="245" t="s">
        <v>1991</v>
      </c>
      <c r="U139" s="245" t="s">
        <v>2113</v>
      </c>
      <c r="V139" s="241" t="s">
        <v>1993</v>
      </c>
      <c r="W139" s="241" t="s">
        <v>93</v>
      </c>
      <c r="X139" s="241" t="s">
        <v>1994</v>
      </c>
    </row>
    <row r="140" spans="1:24" ht="13.5" customHeight="1" x14ac:dyDescent="0.3">
      <c r="A140" s="245" t="s">
        <v>2112</v>
      </c>
      <c r="B140" s="246">
        <v>46066</v>
      </c>
      <c r="C140" s="245" t="s">
        <v>776</v>
      </c>
      <c r="D140" s="245" t="s">
        <v>778</v>
      </c>
      <c r="E140" s="245"/>
      <c r="F140" s="245"/>
      <c r="G140" s="245" t="s">
        <v>2659</v>
      </c>
      <c r="H140" s="245" t="s">
        <v>2065</v>
      </c>
      <c r="I140" s="245" t="s">
        <v>1988</v>
      </c>
      <c r="J140" s="245" t="s">
        <v>2660</v>
      </c>
      <c r="K140" s="245" t="s">
        <v>2661</v>
      </c>
      <c r="L140" s="246">
        <v>46066</v>
      </c>
      <c r="M140" s="245" t="s">
        <v>1988</v>
      </c>
      <c r="N140" s="245" t="s">
        <v>1989</v>
      </c>
      <c r="O140" s="245" t="s">
        <v>1990</v>
      </c>
      <c r="P140" s="245" t="s">
        <v>111</v>
      </c>
      <c r="Q140" s="247">
        <v>-7495888.5800000001</v>
      </c>
      <c r="R140" s="247">
        <v>-7495888.5800000001</v>
      </c>
      <c r="S140" s="247">
        <v>-5339.89</v>
      </c>
      <c r="T140" s="245" t="s">
        <v>1991</v>
      </c>
      <c r="U140" s="245" t="s">
        <v>2113</v>
      </c>
      <c r="V140" s="241" t="s">
        <v>1993</v>
      </c>
      <c r="W140" s="241" t="s">
        <v>93</v>
      </c>
      <c r="X140" s="241" t="s">
        <v>1994</v>
      </c>
    </row>
    <row r="141" spans="1:24" ht="13.5" customHeight="1" x14ac:dyDescent="0.3">
      <c r="A141" s="245" t="s">
        <v>2112</v>
      </c>
      <c r="B141" s="246">
        <v>46066</v>
      </c>
      <c r="C141" s="245" t="s">
        <v>776</v>
      </c>
      <c r="D141" s="245" t="s">
        <v>778</v>
      </c>
      <c r="E141" s="245"/>
      <c r="F141" s="245"/>
      <c r="G141" s="245" t="s">
        <v>2659</v>
      </c>
      <c r="H141" s="245" t="s">
        <v>2065</v>
      </c>
      <c r="I141" s="245" t="s">
        <v>1988</v>
      </c>
      <c r="J141" s="245" t="s">
        <v>2660</v>
      </c>
      <c r="K141" s="245" t="s">
        <v>2661</v>
      </c>
      <c r="L141" s="246">
        <v>46066</v>
      </c>
      <c r="M141" s="245" t="s">
        <v>1988</v>
      </c>
      <c r="N141" s="245" t="s">
        <v>1989</v>
      </c>
      <c r="O141" s="245" t="s">
        <v>1990</v>
      </c>
      <c r="P141" s="245" t="s">
        <v>111</v>
      </c>
      <c r="Q141" s="247">
        <v>0</v>
      </c>
      <c r="R141" s="247">
        <v>0</v>
      </c>
      <c r="S141" s="247">
        <v>161</v>
      </c>
      <c r="T141" s="245" t="s">
        <v>1991</v>
      </c>
      <c r="U141" s="245" t="s">
        <v>2113</v>
      </c>
      <c r="V141" s="241" t="s">
        <v>1993</v>
      </c>
      <c r="W141" s="241" t="s">
        <v>93</v>
      </c>
      <c r="X141" s="241" t="s">
        <v>1994</v>
      </c>
    </row>
    <row r="142" spans="1:24" ht="13.5" customHeight="1" x14ac:dyDescent="0.3">
      <c r="A142" s="245" t="s">
        <v>1985</v>
      </c>
      <c r="B142" s="246">
        <v>46066</v>
      </c>
      <c r="C142" s="245" t="s">
        <v>776</v>
      </c>
      <c r="D142" s="245" t="s">
        <v>778</v>
      </c>
      <c r="E142" s="245"/>
      <c r="F142" s="245"/>
      <c r="G142" s="245" t="s">
        <v>2659</v>
      </c>
      <c r="H142" s="245" t="s">
        <v>2065</v>
      </c>
      <c r="I142" s="245" t="s">
        <v>1988</v>
      </c>
      <c r="J142" s="245" t="s">
        <v>2660</v>
      </c>
      <c r="K142" s="245" t="s">
        <v>2661</v>
      </c>
      <c r="L142" s="246">
        <v>46066</v>
      </c>
      <c r="M142" s="245" t="s">
        <v>1988</v>
      </c>
      <c r="N142" s="245" t="s">
        <v>1989</v>
      </c>
      <c r="O142" s="245" t="s">
        <v>1990</v>
      </c>
      <c r="P142" s="245" t="s">
        <v>111</v>
      </c>
      <c r="Q142" s="247">
        <v>7495888.5800000001</v>
      </c>
      <c r="R142" s="247">
        <v>7495888.5800000001</v>
      </c>
      <c r="S142" s="247">
        <v>5178.8900000000003</v>
      </c>
      <c r="T142" s="245" t="s">
        <v>1991</v>
      </c>
      <c r="U142" s="245" t="s">
        <v>2113</v>
      </c>
      <c r="V142" s="241" t="s">
        <v>1993</v>
      </c>
      <c r="W142" s="241" t="s">
        <v>93</v>
      </c>
      <c r="X142" s="241" t="s">
        <v>1994</v>
      </c>
    </row>
    <row r="143" spans="1:24" ht="13.5" customHeight="1" x14ac:dyDescent="0.3">
      <c r="A143" s="245" t="s">
        <v>2112</v>
      </c>
      <c r="B143" s="246">
        <v>46066</v>
      </c>
      <c r="C143" s="245" t="s">
        <v>776</v>
      </c>
      <c r="D143" s="245" t="s">
        <v>778</v>
      </c>
      <c r="E143" s="245"/>
      <c r="F143" s="245"/>
      <c r="G143" s="245" t="s">
        <v>2123</v>
      </c>
      <c r="H143" s="245" t="s">
        <v>2066</v>
      </c>
      <c r="I143" s="245" t="s">
        <v>1988</v>
      </c>
      <c r="J143" s="245" t="s">
        <v>2662</v>
      </c>
      <c r="K143" s="245" t="s">
        <v>2663</v>
      </c>
      <c r="L143" s="246">
        <v>46066</v>
      </c>
      <c r="M143" s="245" t="s">
        <v>1988</v>
      </c>
      <c r="N143" s="245" t="s">
        <v>1989</v>
      </c>
      <c r="O143" s="245" t="s">
        <v>1990</v>
      </c>
      <c r="P143" s="245" t="s">
        <v>111</v>
      </c>
      <c r="Q143" s="247">
        <v>-1444405.84</v>
      </c>
      <c r="R143" s="247">
        <v>-1444405.84</v>
      </c>
      <c r="S143" s="247">
        <v>-1028.96</v>
      </c>
      <c r="T143" s="245" t="s">
        <v>1991</v>
      </c>
      <c r="U143" s="245" t="s">
        <v>2113</v>
      </c>
      <c r="V143" s="241" t="s">
        <v>1993</v>
      </c>
      <c r="W143" s="241" t="s">
        <v>93</v>
      </c>
      <c r="X143" s="241" t="s">
        <v>1994</v>
      </c>
    </row>
    <row r="144" spans="1:24" ht="13.5" customHeight="1" x14ac:dyDescent="0.3">
      <c r="A144" s="245" t="s">
        <v>2112</v>
      </c>
      <c r="B144" s="246">
        <v>46066</v>
      </c>
      <c r="C144" s="245" t="s">
        <v>776</v>
      </c>
      <c r="D144" s="245" t="s">
        <v>778</v>
      </c>
      <c r="E144" s="245"/>
      <c r="F144" s="245"/>
      <c r="G144" s="245" t="s">
        <v>2123</v>
      </c>
      <c r="H144" s="245" t="s">
        <v>2066</v>
      </c>
      <c r="I144" s="245" t="s">
        <v>1988</v>
      </c>
      <c r="J144" s="245" t="s">
        <v>2662</v>
      </c>
      <c r="K144" s="245" t="s">
        <v>2663</v>
      </c>
      <c r="L144" s="246">
        <v>46066</v>
      </c>
      <c r="M144" s="245" t="s">
        <v>1988</v>
      </c>
      <c r="N144" s="245" t="s">
        <v>1989</v>
      </c>
      <c r="O144" s="245" t="s">
        <v>1990</v>
      </c>
      <c r="P144" s="245" t="s">
        <v>111</v>
      </c>
      <c r="Q144" s="247">
        <v>0</v>
      </c>
      <c r="R144" s="247">
        <v>0</v>
      </c>
      <c r="S144" s="247">
        <v>31.02</v>
      </c>
      <c r="T144" s="245" t="s">
        <v>1991</v>
      </c>
      <c r="U144" s="245" t="s">
        <v>2113</v>
      </c>
      <c r="V144" s="241" t="s">
        <v>1993</v>
      </c>
      <c r="W144" s="241" t="s">
        <v>93</v>
      </c>
      <c r="X144" s="241" t="s">
        <v>1994</v>
      </c>
    </row>
    <row r="145" spans="1:24" ht="13.5" customHeight="1" x14ac:dyDescent="0.3">
      <c r="A145" s="245" t="s">
        <v>1985</v>
      </c>
      <c r="B145" s="246">
        <v>46066</v>
      </c>
      <c r="C145" s="245" t="s">
        <v>776</v>
      </c>
      <c r="D145" s="245" t="s">
        <v>778</v>
      </c>
      <c r="E145" s="245"/>
      <c r="F145" s="245"/>
      <c r="G145" s="245" t="s">
        <v>2123</v>
      </c>
      <c r="H145" s="245" t="s">
        <v>2066</v>
      </c>
      <c r="I145" s="245" t="s">
        <v>1988</v>
      </c>
      <c r="J145" s="245" t="s">
        <v>2662</v>
      </c>
      <c r="K145" s="245" t="s">
        <v>2663</v>
      </c>
      <c r="L145" s="246">
        <v>46066</v>
      </c>
      <c r="M145" s="245" t="s">
        <v>1988</v>
      </c>
      <c r="N145" s="245" t="s">
        <v>1989</v>
      </c>
      <c r="O145" s="245" t="s">
        <v>1990</v>
      </c>
      <c r="P145" s="245" t="s">
        <v>111</v>
      </c>
      <c r="Q145" s="247">
        <v>1444405.84</v>
      </c>
      <c r="R145" s="247">
        <v>1444405.84</v>
      </c>
      <c r="S145" s="247">
        <v>997.94</v>
      </c>
      <c r="T145" s="245" t="s">
        <v>1991</v>
      </c>
      <c r="U145" s="245" t="s">
        <v>2113</v>
      </c>
      <c r="V145" s="241" t="s">
        <v>1993</v>
      </c>
      <c r="W145" s="241" t="s">
        <v>93</v>
      </c>
      <c r="X145" s="241" t="s">
        <v>1994</v>
      </c>
    </row>
    <row r="146" spans="1:24" ht="13.5" customHeight="1" x14ac:dyDescent="0.3">
      <c r="A146" s="245" t="s">
        <v>2112</v>
      </c>
      <c r="B146" s="246">
        <v>46066</v>
      </c>
      <c r="C146" s="245" t="s">
        <v>776</v>
      </c>
      <c r="D146" s="245" t="s">
        <v>778</v>
      </c>
      <c r="E146" s="245"/>
      <c r="F146" s="245"/>
      <c r="G146" s="245" t="s">
        <v>2122</v>
      </c>
      <c r="H146" s="245" t="s">
        <v>2068</v>
      </c>
      <c r="I146" s="245" t="s">
        <v>1988</v>
      </c>
      <c r="J146" s="245" t="s">
        <v>2664</v>
      </c>
      <c r="K146" s="245" t="s">
        <v>2665</v>
      </c>
      <c r="L146" s="246">
        <v>46066</v>
      </c>
      <c r="M146" s="245" t="s">
        <v>1988</v>
      </c>
      <c r="N146" s="245" t="s">
        <v>1989</v>
      </c>
      <c r="O146" s="245" t="s">
        <v>1990</v>
      </c>
      <c r="P146" s="245" t="s">
        <v>111</v>
      </c>
      <c r="Q146" s="247">
        <v>-1440068.39</v>
      </c>
      <c r="R146" s="247">
        <v>-1440068.39</v>
      </c>
      <c r="S146" s="247">
        <v>-1025.8699999999999</v>
      </c>
      <c r="T146" s="245" t="s">
        <v>1991</v>
      </c>
      <c r="U146" s="245" t="s">
        <v>2113</v>
      </c>
      <c r="V146" s="241" t="s">
        <v>1993</v>
      </c>
      <c r="W146" s="241" t="s">
        <v>93</v>
      </c>
      <c r="X146" s="241" t="s">
        <v>1994</v>
      </c>
    </row>
    <row r="147" spans="1:24" ht="13.5" customHeight="1" x14ac:dyDescent="0.3">
      <c r="A147" s="245" t="s">
        <v>2112</v>
      </c>
      <c r="B147" s="246">
        <v>46066</v>
      </c>
      <c r="C147" s="245" t="s">
        <v>776</v>
      </c>
      <c r="D147" s="245" t="s">
        <v>778</v>
      </c>
      <c r="E147" s="245"/>
      <c r="F147" s="245"/>
      <c r="G147" s="245" t="s">
        <v>2122</v>
      </c>
      <c r="H147" s="245" t="s">
        <v>2068</v>
      </c>
      <c r="I147" s="245" t="s">
        <v>1988</v>
      </c>
      <c r="J147" s="245" t="s">
        <v>2664</v>
      </c>
      <c r="K147" s="245" t="s">
        <v>2665</v>
      </c>
      <c r="L147" s="246">
        <v>46066</v>
      </c>
      <c r="M147" s="245" t="s">
        <v>1988</v>
      </c>
      <c r="N147" s="245" t="s">
        <v>1989</v>
      </c>
      <c r="O147" s="245" t="s">
        <v>1990</v>
      </c>
      <c r="P147" s="245" t="s">
        <v>111</v>
      </c>
      <c r="Q147" s="247">
        <v>0</v>
      </c>
      <c r="R147" s="247">
        <v>0</v>
      </c>
      <c r="S147" s="247">
        <v>30.93</v>
      </c>
      <c r="T147" s="245" t="s">
        <v>1991</v>
      </c>
      <c r="U147" s="245" t="s">
        <v>2113</v>
      </c>
      <c r="V147" s="241" t="s">
        <v>1993</v>
      </c>
      <c r="W147" s="241" t="s">
        <v>93</v>
      </c>
      <c r="X147" s="241" t="s">
        <v>1994</v>
      </c>
    </row>
    <row r="148" spans="1:24" ht="13.5" customHeight="1" x14ac:dyDescent="0.3">
      <c r="A148" s="245" t="s">
        <v>1985</v>
      </c>
      <c r="B148" s="246">
        <v>46066</v>
      </c>
      <c r="C148" s="245" t="s">
        <v>776</v>
      </c>
      <c r="D148" s="245" t="s">
        <v>778</v>
      </c>
      <c r="E148" s="245"/>
      <c r="F148" s="245"/>
      <c r="G148" s="245" t="s">
        <v>2122</v>
      </c>
      <c r="H148" s="245" t="s">
        <v>2068</v>
      </c>
      <c r="I148" s="245" t="s">
        <v>1988</v>
      </c>
      <c r="J148" s="245" t="s">
        <v>2664</v>
      </c>
      <c r="K148" s="245" t="s">
        <v>2665</v>
      </c>
      <c r="L148" s="246">
        <v>46066</v>
      </c>
      <c r="M148" s="245" t="s">
        <v>1988</v>
      </c>
      <c r="N148" s="245" t="s">
        <v>1989</v>
      </c>
      <c r="O148" s="245" t="s">
        <v>1990</v>
      </c>
      <c r="P148" s="245" t="s">
        <v>111</v>
      </c>
      <c r="Q148" s="247">
        <v>1440068.39</v>
      </c>
      <c r="R148" s="247">
        <v>1440068.39</v>
      </c>
      <c r="S148" s="247">
        <v>994.94</v>
      </c>
      <c r="T148" s="245" t="s">
        <v>1991</v>
      </c>
      <c r="U148" s="245" t="s">
        <v>2113</v>
      </c>
      <c r="V148" s="241" t="s">
        <v>1993</v>
      </c>
      <c r="W148" s="241" t="s">
        <v>93</v>
      </c>
      <c r="X148" s="241" t="s">
        <v>1994</v>
      </c>
    </row>
    <row r="149" spans="1:24" ht="13.5" customHeight="1" x14ac:dyDescent="0.3">
      <c r="A149" s="245" t="s">
        <v>2112</v>
      </c>
      <c r="B149" s="246">
        <v>46066</v>
      </c>
      <c r="C149" s="245" t="s">
        <v>1256</v>
      </c>
      <c r="D149" s="245" t="s">
        <v>1259</v>
      </c>
      <c r="E149" s="245"/>
      <c r="F149" s="245"/>
      <c r="G149" s="245" t="s">
        <v>2666</v>
      </c>
      <c r="H149" s="245" t="s">
        <v>2008</v>
      </c>
      <c r="I149" s="245" t="s">
        <v>1988</v>
      </c>
      <c r="J149" s="245" t="s">
        <v>2667</v>
      </c>
      <c r="K149" s="245" t="s">
        <v>2668</v>
      </c>
      <c r="L149" s="246">
        <v>46066</v>
      </c>
      <c r="M149" s="245" t="s">
        <v>1988</v>
      </c>
      <c r="N149" s="245" t="s">
        <v>1989</v>
      </c>
      <c r="O149" s="245" t="s">
        <v>1990</v>
      </c>
      <c r="P149" s="245" t="s">
        <v>111</v>
      </c>
      <c r="Q149" s="247">
        <v>-2000000</v>
      </c>
      <c r="R149" s="247">
        <v>-2000000</v>
      </c>
      <c r="S149" s="247">
        <v>-1424.75</v>
      </c>
      <c r="T149" s="245" t="s">
        <v>1991</v>
      </c>
      <c r="U149" s="245" t="s">
        <v>2113</v>
      </c>
      <c r="V149" s="241" t="s">
        <v>1993</v>
      </c>
      <c r="W149" s="241" t="s">
        <v>93</v>
      </c>
      <c r="X149" s="241" t="s">
        <v>1994</v>
      </c>
    </row>
    <row r="150" spans="1:24" ht="13.5" customHeight="1" x14ac:dyDescent="0.3">
      <c r="A150" s="245" t="s">
        <v>2112</v>
      </c>
      <c r="B150" s="246">
        <v>46066</v>
      </c>
      <c r="C150" s="245" t="s">
        <v>1256</v>
      </c>
      <c r="D150" s="245" t="s">
        <v>1259</v>
      </c>
      <c r="E150" s="245"/>
      <c r="F150" s="245"/>
      <c r="G150" s="245" t="s">
        <v>2666</v>
      </c>
      <c r="H150" s="245" t="s">
        <v>2008</v>
      </c>
      <c r="I150" s="245" t="s">
        <v>1988</v>
      </c>
      <c r="J150" s="245" t="s">
        <v>2667</v>
      </c>
      <c r="K150" s="245" t="s">
        <v>2668</v>
      </c>
      <c r="L150" s="246">
        <v>46066</v>
      </c>
      <c r="M150" s="245" t="s">
        <v>1988</v>
      </c>
      <c r="N150" s="245" t="s">
        <v>1989</v>
      </c>
      <c r="O150" s="245" t="s">
        <v>1990</v>
      </c>
      <c r="P150" s="245" t="s">
        <v>111</v>
      </c>
      <c r="Q150" s="247">
        <v>0</v>
      </c>
      <c r="R150" s="247">
        <v>0</v>
      </c>
      <c r="S150" s="247">
        <v>42.96</v>
      </c>
      <c r="T150" s="245" t="s">
        <v>1991</v>
      </c>
      <c r="U150" s="245" t="s">
        <v>2113</v>
      </c>
      <c r="V150" s="241" t="s">
        <v>1993</v>
      </c>
      <c r="W150" s="241" t="s">
        <v>93</v>
      </c>
      <c r="X150" s="241" t="s">
        <v>1994</v>
      </c>
    </row>
    <row r="151" spans="1:24" ht="13.5" customHeight="1" x14ac:dyDescent="0.3">
      <c r="A151" s="245" t="s">
        <v>1985</v>
      </c>
      <c r="B151" s="246">
        <v>46066</v>
      </c>
      <c r="C151" s="245" t="s">
        <v>1256</v>
      </c>
      <c r="D151" s="245" t="s">
        <v>1259</v>
      </c>
      <c r="E151" s="245"/>
      <c r="F151" s="245"/>
      <c r="G151" s="245" t="s">
        <v>2666</v>
      </c>
      <c r="H151" s="245" t="s">
        <v>2008</v>
      </c>
      <c r="I151" s="245" t="s">
        <v>1988</v>
      </c>
      <c r="J151" s="245" t="s">
        <v>2667</v>
      </c>
      <c r="K151" s="245" t="s">
        <v>2668</v>
      </c>
      <c r="L151" s="246">
        <v>46066</v>
      </c>
      <c r="M151" s="245" t="s">
        <v>1988</v>
      </c>
      <c r="N151" s="245" t="s">
        <v>1989</v>
      </c>
      <c r="O151" s="245" t="s">
        <v>1990</v>
      </c>
      <c r="P151" s="245" t="s">
        <v>111</v>
      </c>
      <c r="Q151" s="247">
        <v>2000000</v>
      </c>
      <c r="R151" s="247">
        <v>2000000</v>
      </c>
      <c r="S151" s="247">
        <v>1381.79</v>
      </c>
      <c r="T151" s="245" t="s">
        <v>1991</v>
      </c>
      <c r="U151" s="245" t="s">
        <v>2113</v>
      </c>
      <c r="V151" s="241" t="s">
        <v>1993</v>
      </c>
      <c r="W151" s="241" t="s">
        <v>93</v>
      </c>
      <c r="X151" s="241" t="s">
        <v>1994</v>
      </c>
    </row>
    <row r="152" spans="1:24" ht="13.5" customHeight="1" x14ac:dyDescent="0.3">
      <c r="A152" s="245" t="s">
        <v>2112</v>
      </c>
      <c r="B152" s="246">
        <v>46066</v>
      </c>
      <c r="C152" s="245" t="s">
        <v>1256</v>
      </c>
      <c r="D152" s="245" t="s">
        <v>1259</v>
      </c>
      <c r="E152" s="245"/>
      <c r="F152" s="245"/>
      <c r="G152" s="245" t="s">
        <v>2669</v>
      </c>
      <c r="H152" s="245" t="s">
        <v>2009</v>
      </c>
      <c r="I152" s="245" t="s">
        <v>1988</v>
      </c>
      <c r="J152" s="245" t="s">
        <v>2670</v>
      </c>
      <c r="K152" s="245" t="s">
        <v>2671</v>
      </c>
      <c r="L152" s="246">
        <v>46066</v>
      </c>
      <c r="M152" s="245" t="s">
        <v>1988</v>
      </c>
      <c r="N152" s="245" t="s">
        <v>1989</v>
      </c>
      <c r="O152" s="245" t="s">
        <v>1990</v>
      </c>
      <c r="P152" s="245" t="s">
        <v>111</v>
      </c>
      <c r="Q152" s="247">
        <v>-4755121.3499999996</v>
      </c>
      <c r="R152" s="247">
        <v>-4755121.3499999996</v>
      </c>
      <c r="S152" s="247">
        <v>-3387.43</v>
      </c>
      <c r="T152" s="245" t="s">
        <v>1991</v>
      </c>
      <c r="U152" s="245" t="s">
        <v>2113</v>
      </c>
      <c r="V152" s="241" t="s">
        <v>1993</v>
      </c>
      <c r="W152" s="241" t="s">
        <v>93</v>
      </c>
      <c r="X152" s="241" t="s">
        <v>1994</v>
      </c>
    </row>
    <row r="153" spans="1:24" ht="13.5" customHeight="1" x14ac:dyDescent="0.3">
      <c r="A153" s="245" t="s">
        <v>2112</v>
      </c>
      <c r="B153" s="246">
        <v>46066</v>
      </c>
      <c r="C153" s="245" t="s">
        <v>1256</v>
      </c>
      <c r="D153" s="245" t="s">
        <v>1259</v>
      </c>
      <c r="E153" s="245"/>
      <c r="F153" s="245"/>
      <c r="G153" s="245" t="s">
        <v>2669</v>
      </c>
      <c r="H153" s="245" t="s">
        <v>2009</v>
      </c>
      <c r="I153" s="245" t="s">
        <v>1988</v>
      </c>
      <c r="J153" s="245" t="s">
        <v>2670</v>
      </c>
      <c r="K153" s="245" t="s">
        <v>2671</v>
      </c>
      <c r="L153" s="246">
        <v>46066</v>
      </c>
      <c r="M153" s="245" t="s">
        <v>1988</v>
      </c>
      <c r="N153" s="245" t="s">
        <v>1989</v>
      </c>
      <c r="O153" s="245" t="s">
        <v>1990</v>
      </c>
      <c r="P153" s="245" t="s">
        <v>111</v>
      </c>
      <c r="Q153" s="247">
        <v>0</v>
      </c>
      <c r="R153" s="247">
        <v>0</v>
      </c>
      <c r="S153" s="247">
        <v>102.13</v>
      </c>
      <c r="T153" s="245" t="s">
        <v>1991</v>
      </c>
      <c r="U153" s="245" t="s">
        <v>2113</v>
      </c>
      <c r="V153" s="241" t="s">
        <v>1993</v>
      </c>
      <c r="W153" s="241" t="s">
        <v>93</v>
      </c>
      <c r="X153" s="241" t="s">
        <v>1994</v>
      </c>
    </row>
    <row r="154" spans="1:24" ht="13.5" customHeight="1" x14ac:dyDescent="0.3">
      <c r="A154" s="245" t="s">
        <v>1985</v>
      </c>
      <c r="B154" s="246">
        <v>46066</v>
      </c>
      <c r="C154" s="245" t="s">
        <v>1256</v>
      </c>
      <c r="D154" s="245" t="s">
        <v>1259</v>
      </c>
      <c r="E154" s="245"/>
      <c r="F154" s="245"/>
      <c r="G154" s="245" t="s">
        <v>2669</v>
      </c>
      <c r="H154" s="245" t="s">
        <v>2009</v>
      </c>
      <c r="I154" s="245" t="s">
        <v>1988</v>
      </c>
      <c r="J154" s="245" t="s">
        <v>2670</v>
      </c>
      <c r="K154" s="245" t="s">
        <v>2671</v>
      </c>
      <c r="L154" s="246">
        <v>46066</v>
      </c>
      <c r="M154" s="245" t="s">
        <v>1988</v>
      </c>
      <c r="N154" s="245" t="s">
        <v>1989</v>
      </c>
      <c r="O154" s="245" t="s">
        <v>1990</v>
      </c>
      <c r="P154" s="245" t="s">
        <v>111</v>
      </c>
      <c r="Q154" s="247">
        <v>4755121.3499999996</v>
      </c>
      <c r="R154" s="247">
        <v>4755121.3499999996</v>
      </c>
      <c r="S154" s="247">
        <v>3285.3</v>
      </c>
      <c r="T154" s="245" t="s">
        <v>1991</v>
      </c>
      <c r="U154" s="245" t="s">
        <v>2113</v>
      </c>
      <c r="V154" s="241" t="s">
        <v>1993</v>
      </c>
      <c r="W154" s="241" t="s">
        <v>93</v>
      </c>
      <c r="X154" s="241" t="s">
        <v>1994</v>
      </c>
    </row>
    <row r="155" spans="1:24" ht="13.5" customHeight="1" x14ac:dyDescent="0.3">
      <c r="A155" s="245" t="s">
        <v>2112</v>
      </c>
      <c r="B155" s="246">
        <v>46066</v>
      </c>
      <c r="C155" s="245" t="s">
        <v>2150</v>
      </c>
      <c r="D155" s="245" t="s">
        <v>742</v>
      </c>
      <c r="E155" s="245"/>
      <c r="F155" s="245"/>
      <c r="G155" s="245" t="s">
        <v>2672</v>
      </c>
      <c r="H155" s="245" t="s">
        <v>2077</v>
      </c>
      <c r="I155" s="245" t="s">
        <v>2024</v>
      </c>
      <c r="J155" s="245" t="s">
        <v>2673</v>
      </c>
      <c r="K155" s="245" t="s">
        <v>2674</v>
      </c>
      <c r="L155" s="246">
        <v>46066</v>
      </c>
      <c r="M155" s="245" t="s">
        <v>2024</v>
      </c>
      <c r="N155" s="245" t="s">
        <v>1989</v>
      </c>
      <c r="O155" s="245" t="s">
        <v>1990</v>
      </c>
      <c r="P155" s="245" t="s">
        <v>111</v>
      </c>
      <c r="Q155" s="247">
        <v>-11347240.84</v>
      </c>
      <c r="R155" s="247">
        <v>-11347240.84</v>
      </c>
      <c r="S155" s="247">
        <v>-8083.5</v>
      </c>
      <c r="T155" s="245" t="s">
        <v>1991</v>
      </c>
      <c r="U155" s="245" t="s">
        <v>2113</v>
      </c>
      <c r="V155" s="241" t="s">
        <v>1993</v>
      </c>
      <c r="W155" s="241" t="s">
        <v>100</v>
      </c>
      <c r="X155" s="241" t="s">
        <v>1994</v>
      </c>
    </row>
    <row r="156" spans="1:24" ht="13.5" customHeight="1" x14ac:dyDescent="0.3">
      <c r="A156" s="245" t="s">
        <v>2112</v>
      </c>
      <c r="B156" s="246">
        <v>46066</v>
      </c>
      <c r="C156" s="245" t="s">
        <v>2150</v>
      </c>
      <c r="D156" s="245" t="s">
        <v>742</v>
      </c>
      <c r="E156" s="245"/>
      <c r="F156" s="245"/>
      <c r="G156" s="245" t="s">
        <v>2672</v>
      </c>
      <c r="H156" s="245" t="s">
        <v>2077</v>
      </c>
      <c r="I156" s="245" t="s">
        <v>2024</v>
      </c>
      <c r="J156" s="245" t="s">
        <v>2673</v>
      </c>
      <c r="K156" s="245" t="s">
        <v>2674</v>
      </c>
      <c r="L156" s="246">
        <v>46066</v>
      </c>
      <c r="M156" s="245" t="s">
        <v>2024</v>
      </c>
      <c r="N156" s="245" t="s">
        <v>1989</v>
      </c>
      <c r="O156" s="245" t="s">
        <v>1990</v>
      </c>
      <c r="P156" s="245" t="s">
        <v>111</v>
      </c>
      <c r="Q156" s="247">
        <v>0</v>
      </c>
      <c r="R156" s="247">
        <v>0</v>
      </c>
      <c r="S156" s="247">
        <v>243.73</v>
      </c>
      <c r="T156" s="245" t="s">
        <v>1991</v>
      </c>
      <c r="U156" s="245" t="s">
        <v>2113</v>
      </c>
      <c r="V156" s="241" t="s">
        <v>1993</v>
      </c>
      <c r="W156" s="241" t="s">
        <v>100</v>
      </c>
      <c r="X156" s="241" t="s">
        <v>1994</v>
      </c>
    </row>
    <row r="157" spans="1:24" ht="13.5" customHeight="1" x14ac:dyDescent="0.3">
      <c r="A157" s="245" t="s">
        <v>1985</v>
      </c>
      <c r="B157" s="246">
        <v>46066</v>
      </c>
      <c r="C157" s="245" t="s">
        <v>2150</v>
      </c>
      <c r="D157" s="245" t="s">
        <v>742</v>
      </c>
      <c r="E157" s="245"/>
      <c r="F157" s="245"/>
      <c r="G157" s="245" t="s">
        <v>2672</v>
      </c>
      <c r="H157" s="245" t="s">
        <v>2077</v>
      </c>
      <c r="I157" s="245" t="s">
        <v>2024</v>
      </c>
      <c r="J157" s="245" t="s">
        <v>2673</v>
      </c>
      <c r="K157" s="245" t="s">
        <v>2674</v>
      </c>
      <c r="L157" s="246">
        <v>46066</v>
      </c>
      <c r="M157" s="245" t="s">
        <v>2024</v>
      </c>
      <c r="N157" s="245" t="s">
        <v>1989</v>
      </c>
      <c r="O157" s="245" t="s">
        <v>1990</v>
      </c>
      <c r="P157" s="245" t="s">
        <v>111</v>
      </c>
      <c r="Q157" s="247">
        <v>11347240.84</v>
      </c>
      <c r="R157" s="247">
        <v>11347240.84</v>
      </c>
      <c r="S157" s="247">
        <v>7839.77</v>
      </c>
      <c r="T157" s="245" t="s">
        <v>1991</v>
      </c>
      <c r="U157" s="245" t="s">
        <v>2113</v>
      </c>
      <c r="V157" s="241" t="s">
        <v>1993</v>
      </c>
      <c r="W157" s="241" t="s">
        <v>100</v>
      </c>
      <c r="X157" s="241" t="s">
        <v>1994</v>
      </c>
    </row>
    <row r="158" spans="1:24" ht="13.5" customHeight="1" x14ac:dyDescent="0.3">
      <c r="A158" s="245" t="s">
        <v>2112</v>
      </c>
      <c r="B158" s="246">
        <v>46066</v>
      </c>
      <c r="C158" s="245" t="s">
        <v>2150</v>
      </c>
      <c r="D158" s="245" t="s">
        <v>742</v>
      </c>
      <c r="E158" s="245"/>
      <c r="F158" s="245"/>
      <c r="G158" s="245" t="s">
        <v>2675</v>
      </c>
      <c r="H158" s="245" t="s">
        <v>2070</v>
      </c>
      <c r="I158" s="245" t="s">
        <v>2024</v>
      </c>
      <c r="J158" s="245" t="s">
        <v>2676</v>
      </c>
      <c r="K158" s="245" t="s">
        <v>2677</v>
      </c>
      <c r="L158" s="246">
        <v>46066</v>
      </c>
      <c r="M158" s="245" t="s">
        <v>2024</v>
      </c>
      <c r="N158" s="245" t="s">
        <v>1989</v>
      </c>
      <c r="O158" s="245" t="s">
        <v>1990</v>
      </c>
      <c r="P158" s="245" t="s">
        <v>111</v>
      </c>
      <c r="Q158" s="247">
        <v>-2304000</v>
      </c>
      <c r="R158" s="247">
        <v>-2304000</v>
      </c>
      <c r="S158" s="247">
        <v>-1641.31</v>
      </c>
      <c r="T158" s="245" t="s">
        <v>1991</v>
      </c>
      <c r="U158" s="245" t="s">
        <v>2113</v>
      </c>
      <c r="V158" s="241" t="s">
        <v>1993</v>
      </c>
      <c r="W158" s="241" t="s">
        <v>100</v>
      </c>
      <c r="X158" s="241" t="s">
        <v>1994</v>
      </c>
    </row>
    <row r="159" spans="1:24" ht="13.5" customHeight="1" x14ac:dyDescent="0.3">
      <c r="A159" s="245" t="s">
        <v>2112</v>
      </c>
      <c r="B159" s="246">
        <v>46066</v>
      </c>
      <c r="C159" s="245" t="s">
        <v>2150</v>
      </c>
      <c r="D159" s="245" t="s">
        <v>742</v>
      </c>
      <c r="E159" s="245"/>
      <c r="F159" s="245"/>
      <c r="G159" s="245" t="s">
        <v>2675</v>
      </c>
      <c r="H159" s="245" t="s">
        <v>2070</v>
      </c>
      <c r="I159" s="245" t="s">
        <v>2024</v>
      </c>
      <c r="J159" s="245" t="s">
        <v>2676</v>
      </c>
      <c r="K159" s="245" t="s">
        <v>2677</v>
      </c>
      <c r="L159" s="246">
        <v>46066</v>
      </c>
      <c r="M159" s="245" t="s">
        <v>2024</v>
      </c>
      <c r="N159" s="245" t="s">
        <v>1989</v>
      </c>
      <c r="O159" s="245" t="s">
        <v>1990</v>
      </c>
      <c r="P159" s="245" t="s">
        <v>111</v>
      </c>
      <c r="Q159" s="247">
        <v>0</v>
      </c>
      <c r="R159" s="247">
        <v>0</v>
      </c>
      <c r="S159" s="247">
        <v>49.48</v>
      </c>
      <c r="T159" s="245" t="s">
        <v>1991</v>
      </c>
      <c r="U159" s="245" t="s">
        <v>2113</v>
      </c>
      <c r="V159" s="241" t="s">
        <v>1993</v>
      </c>
      <c r="W159" s="241" t="s">
        <v>100</v>
      </c>
      <c r="X159" s="241" t="s">
        <v>1994</v>
      </c>
    </row>
    <row r="160" spans="1:24" ht="13.5" customHeight="1" x14ac:dyDescent="0.3">
      <c r="A160" s="245" t="s">
        <v>1985</v>
      </c>
      <c r="B160" s="246">
        <v>46066</v>
      </c>
      <c r="C160" s="245" t="s">
        <v>2150</v>
      </c>
      <c r="D160" s="245" t="s">
        <v>742</v>
      </c>
      <c r="E160" s="245"/>
      <c r="F160" s="245"/>
      <c r="G160" s="245" t="s">
        <v>2675</v>
      </c>
      <c r="H160" s="245" t="s">
        <v>2070</v>
      </c>
      <c r="I160" s="245" t="s">
        <v>2024</v>
      </c>
      <c r="J160" s="245" t="s">
        <v>2676</v>
      </c>
      <c r="K160" s="245" t="s">
        <v>2677</v>
      </c>
      <c r="L160" s="246">
        <v>46066</v>
      </c>
      <c r="M160" s="245" t="s">
        <v>2024</v>
      </c>
      <c r="N160" s="245" t="s">
        <v>1989</v>
      </c>
      <c r="O160" s="245" t="s">
        <v>1990</v>
      </c>
      <c r="P160" s="245" t="s">
        <v>111</v>
      </c>
      <c r="Q160" s="247">
        <v>2304000</v>
      </c>
      <c r="R160" s="247">
        <v>2304000</v>
      </c>
      <c r="S160" s="247">
        <v>1591.83</v>
      </c>
      <c r="T160" s="245" t="s">
        <v>1991</v>
      </c>
      <c r="U160" s="245" t="s">
        <v>2113</v>
      </c>
      <c r="V160" s="241" t="s">
        <v>1993</v>
      </c>
      <c r="W160" s="241" t="s">
        <v>100</v>
      </c>
      <c r="X160" s="241" t="s">
        <v>1994</v>
      </c>
    </row>
    <row r="161" spans="1:24" ht="13.5" customHeight="1" x14ac:dyDescent="0.3">
      <c r="A161" s="245" t="s">
        <v>2112</v>
      </c>
      <c r="B161" s="246">
        <v>46066</v>
      </c>
      <c r="C161" s="245" t="s">
        <v>2150</v>
      </c>
      <c r="D161" s="245" t="s">
        <v>742</v>
      </c>
      <c r="E161" s="245"/>
      <c r="F161" s="245"/>
      <c r="G161" s="245" t="s">
        <v>2678</v>
      </c>
      <c r="H161" s="245" t="s">
        <v>2073</v>
      </c>
      <c r="I161" s="245" t="s">
        <v>2024</v>
      </c>
      <c r="J161" s="245" t="s">
        <v>2679</v>
      </c>
      <c r="K161" s="245" t="s">
        <v>2680</v>
      </c>
      <c r="L161" s="246">
        <v>46066</v>
      </c>
      <c r="M161" s="245" t="s">
        <v>2024</v>
      </c>
      <c r="N161" s="245" t="s">
        <v>1989</v>
      </c>
      <c r="O161" s="245" t="s">
        <v>1990</v>
      </c>
      <c r="P161" s="245" t="s">
        <v>111</v>
      </c>
      <c r="Q161" s="247">
        <v>-8501760</v>
      </c>
      <c r="R161" s="247">
        <v>-8501760</v>
      </c>
      <c r="S161" s="247">
        <v>-6056.44</v>
      </c>
      <c r="T161" s="245" t="s">
        <v>1991</v>
      </c>
      <c r="U161" s="245" t="s">
        <v>2113</v>
      </c>
      <c r="V161" s="241" t="s">
        <v>1993</v>
      </c>
      <c r="W161" s="241" t="s">
        <v>100</v>
      </c>
      <c r="X161" s="241" t="s">
        <v>1994</v>
      </c>
    </row>
    <row r="162" spans="1:24" ht="13.5" customHeight="1" x14ac:dyDescent="0.3">
      <c r="A162" s="245" t="s">
        <v>2112</v>
      </c>
      <c r="B162" s="246">
        <v>46066</v>
      </c>
      <c r="C162" s="245" t="s">
        <v>2150</v>
      </c>
      <c r="D162" s="245" t="s">
        <v>742</v>
      </c>
      <c r="E162" s="245"/>
      <c r="F162" s="245"/>
      <c r="G162" s="245" t="s">
        <v>2678</v>
      </c>
      <c r="H162" s="245" t="s">
        <v>2073</v>
      </c>
      <c r="I162" s="245" t="s">
        <v>2024</v>
      </c>
      <c r="J162" s="245" t="s">
        <v>2679</v>
      </c>
      <c r="K162" s="245" t="s">
        <v>2680</v>
      </c>
      <c r="L162" s="246">
        <v>46066</v>
      </c>
      <c r="M162" s="245" t="s">
        <v>2024</v>
      </c>
      <c r="N162" s="245" t="s">
        <v>1989</v>
      </c>
      <c r="O162" s="245" t="s">
        <v>1990</v>
      </c>
      <c r="P162" s="245" t="s">
        <v>111</v>
      </c>
      <c r="Q162" s="247">
        <v>0</v>
      </c>
      <c r="R162" s="247">
        <v>0</v>
      </c>
      <c r="S162" s="247">
        <v>182.6</v>
      </c>
      <c r="T162" s="245" t="s">
        <v>1991</v>
      </c>
      <c r="U162" s="245" t="s">
        <v>2113</v>
      </c>
      <c r="V162" s="241" t="s">
        <v>1993</v>
      </c>
      <c r="W162" s="241" t="s">
        <v>100</v>
      </c>
      <c r="X162" s="241" t="s">
        <v>1994</v>
      </c>
    </row>
    <row r="163" spans="1:24" ht="13.5" customHeight="1" x14ac:dyDescent="0.3">
      <c r="A163" s="245" t="s">
        <v>1985</v>
      </c>
      <c r="B163" s="246">
        <v>46066</v>
      </c>
      <c r="C163" s="245" t="s">
        <v>2150</v>
      </c>
      <c r="D163" s="245" t="s">
        <v>742</v>
      </c>
      <c r="E163" s="245"/>
      <c r="F163" s="245"/>
      <c r="G163" s="245" t="s">
        <v>2678</v>
      </c>
      <c r="H163" s="245" t="s">
        <v>2073</v>
      </c>
      <c r="I163" s="245" t="s">
        <v>2024</v>
      </c>
      <c r="J163" s="245" t="s">
        <v>2679</v>
      </c>
      <c r="K163" s="245" t="s">
        <v>2680</v>
      </c>
      <c r="L163" s="246">
        <v>46066</v>
      </c>
      <c r="M163" s="245" t="s">
        <v>2024</v>
      </c>
      <c r="N163" s="245" t="s">
        <v>1989</v>
      </c>
      <c r="O163" s="245" t="s">
        <v>1990</v>
      </c>
      <c r="P163" s="245" t="s">
        <v>111</v>
      </c>
      <c r="Q163" s="247">
        <v>8501760</v>
      </c>
      <c r="R163" s="247">
        <v>8501760</v>
      </c>
      <c r="S163" s="247">
        <v>5873.84</v>
      </c>
      <c r="T163" s="245" t="s">
        <v>1991</v>
      </c>
      <c r="U163" s="245" t="s">
        <v>2113</v>
      </c>
      <c r="V163" s="241" t="s">
        <v>1993</v>
      </c>
      <c r="W163" s="241" t="s">
        <v>100</v>
      </c>
      <c r="X163" s="241" t="s">
        <v>1994</v>
      </c>
    </row>
    <row r="164" spans="1:24" ht="13.5" customHeight="1" x14ac:dyDescent="0.3">
      <c r="A164" s="245" t="s">
        <v>2112</v>
      </c>
      <c r="B164" s="246">
        <v>46066</v>
      </c>
      <c r="C164" s="245" t="s">
        <v>2150</v>
      </c>
      <c r="D164" s="245" t="s">
        <v>742</v>
      </c>
      <c r="E164" s="245"/>
      <c r="F164" s="245"/>
      <c r="G164" s="245" t="s">
        <v>2681</v>
      </c>
      <c r="H164" s="245" t="s">
        <v>2075</v>
      </c>
      <c r="I164" s="245" t="s">
        <v>2024</v>
      </c>
      <c r="J164" s="245" t="s">
        <v>2682</v>
      </c>
      <c r="K164" s="245" t="s">
        <v>2683</v>
      </c>
      <c r="L164" s="246">
        <v>46066</v>
      </c>
      <c r="M164" s="245" t="s">
        <v>2024</v>
      </c>
      <c r="N164" s="245" t="s">
        <v>1989</v>
      </c>
      <c r="O164" s="245" t="s">
        <v>1990</v>
      </c>
      <c r="P164" s="245" t="s">
        <v>111</v>
      </c>
      <c r="Q164" s="247">
        <v>-2895125.95</v>
      </c>
      <c r="R164" s="247">
        <v>-2895125.95</v>
      </c>
      <c r="S164" s="247">
        <v>-2062.42</v>
      </c>
      <c r="T164" s="245" t="s">
        <v>1991</v>
      </c>
      <c r="U164" s="245" t="s">
        <v>2113</v>
      </c>
      <c r="V164" s="241" t="s">
        <v>1993</v>
      </c>
      <c r="W164" s="241" t="s">
        <v>100</v>
      </c>
      <c r="X164" s="241" t="s">
        <v>1994</v>
      </c>
    </row>
    <row r="165" spans="1:24" ht="13.5" customHeight="1" x14ac:dyDescent="0.3">
      <c r="A165" s="245" t="s">
        <v>2112</v>
      </c>
      <c r="B165" s="246">
        <v>46066</v>
      </c>
      <c r="C165" s="245" t="s">
        <v>2150</v>
      </c>
      <c r="D165" s="245" t="s">
        <v>742</v>
      </c>
      <c r="E165" s="245"/>
      <c r="F165" s="245"/>
      <c r="G165" s="245" t="s">
        <v>2681</v>
      </c>
      <c r="H165" s="245" t="s">
        <v>2075</v>
      </c>
      <c r="I165" s="245" t="s">
        <v>2024</v>
      </c>
      <c r="J165" s="245" t="s">
        <v>2682</v>
      </c>
      <c r="K165" s="245" t="s">
        <v>2683</v>
      </c>
      <c r="L165" s="246">
        <v>46066</v>
      </c>
      <c r="M165" s="245" t="s">
        <v>2024</v>
      </c>
      <c r="N165" s="245" t="s">
        <v>1989</v>
      </c>
      <c r="O165" s="245" t="s">
        <v>1990</v>
      </c>
      <c r="P165" s="245" t="s">
        <v>111</v>
      </c>
      <c r="Q165" s="247">
        <v>0</v>
      </c>
      <c r="R165" s="247">
        <v>0</v>
      </c>
      <c r="S165" s="247">
        <v>62.19</v>
      </c>
      <c r="T165" s="245" t="s">
        <v>1991</v>
      </c>
      <c r="U165" s="245" t="s">
        <v>2113</v>
      </c>
      <c r="V165" s="241" t="s">
        <v>1993</v>
      </c>
      <c r="W165" s="241" t="s">
        <v>100</v>
      </c>
      <c r="X165" s="241" t="s">
        <v>1994</v>
      </c>
    </row>
    <row r="166" spans="1:24" ht="13.5" customHeight="1" x14ac:dyDescent="0.3">
      <c r="A166" s="245" t="s">
        <v>1985</v>
      </c>
      <c r="B166" s="246">
        <v>46066</v>
      </c>
      <c r="C166" s="245" t="s">
        <v>2150</v>
      </c>
      <c r="D166" s="245" t="s">
        <v>742</v>
      </c>
      <c r="E166" s="245"/>
      <c r="F166" s="245"/>
      <c r="G166" s="245" t="s">
        <v>2681</v>
      </c>
      <c r="H166" s="245" t="s">
        <v>2075</v>
      </c>
      <c r="I166" s="245" t="s">
        <v>2024</v>
      </c>
      <c r="J166" s="245" t="s">
        <v>2682</v>
      </c>
      <c r="K166" s="245" t="s">
        <v>2683</v>
      </c>
      <c r="L166" s="246">
        <v>46066</v>
      </c>
      <c r="M166" s="245" t="s">
        <v>2024</v>
      </c>
      <c r="N166" s="245" t="s">
        <v>1989</v>
      </c>
      <c r="O166" s="245" t="s">
        <v>1990</v>
      </c>
      <c r="P166" s="245" t="s">
        <v>111</v>
      </c>
      <c r="Q166" s="247">
        <v>2895125.95</v>
      </c>
      <c r="R166" s="247">
        <v>2895125.95</v>
      </c>
      <c r="S166" s="247">
        <v>2000.23</v>
      </c>
      <c r="T166" s="245" t="s">
        <v>1991</v>
      </c>
      <c r="U166" s="245" t="s">
        <v>2113</v>
      </c>
      <c r="V166" s="241" t="s">
        <v>1993</v>
      </c>
      <c r="W166" s="241" t="s">
        <v>100</v>
      </c>
      <c r="X166" s="241" t="s">
        <v>1994</v>
      </c>
    </row>
    <row r="167" spans="1:24" ht="13.5" customHeight="1" x14ac:dyDescent="0.3">
      <c r="A167" s="245" t="s">
        <v>2112</v>
      </c>
      <c r="B167" s="246">
        <v>46066</v>
      </c>
      <c r="C167" s="245" t="s">
        <v>2150</v>
      </c>
      <c r="D167" s="245" t="s">
        <v>742</v>
      </c>
      <c r="E167" s="245"/>
      <c r="F167" s="245"/>
      <c r="G167" s="245" t="s">
        <v>2684</v>
      </c>
      <c r="H167" s="245" t="s">
        <v>2072</v>
      </c>
      <c r="I167" s="245" t="s">
        <v>2024</v>
      </c>
      <c r="J167" s="245" t="s">
        <v>2685</v>
      </c>
      <c r="K167" s="245" t="s">
        <v>2686</v>
      </c>
      <c r="L167" s="246">
        <v>46066</v>
      </c>
      <c r="M167" s="245" t="s">
        <v>2024</v>
      </c>
      <c r="N167" s="245" t="s">
        <v>1989</v>
      </c>
      <c r="O167" s="245" t="s">
        <v>1990</v>
      </c>
      <c r="P167" s="245" t="s">
        <v>111</v>
      </c>
      <c r="Q167" s="247">
        <v>-3544898.95</v>
      </c>
      <c r="R167" s="247">
        <v>-3544898.95</v>
      </c>
      <c r="S167" s="247">
        <v>-2525.3000000000002</v>
      </c>
      <c r="T167" s="245" t="s">
        <v>1991</v>
      </c>
      <c r="U167" s="245" t="s">
        <v>2113</v>
      </c>
      <c r="V167" s="241" t="s">
        <v>1993</v>
      </c>
      <c r="W167" s="241" t="s">
        <v>100</v>
      </c>
      <c r="X167" s="241" t="s">
        <v>1994</v>
      </c>
    </row>
    <row r="168" spans="1:24" ht="13.5" customHeight="1" x14ac:dyDescent="0.3">
      <c r="A168" s="245" t="s">
        <v>2112</v>
      </c>
      <c r="B168" s="246">
        <v>46066</v>
      </c>
      <c r="C168" s="245" t="s">
        <v>2150</v>
      </c>
      <c r="D168" s="245" t="s">
        <v>742</v>
      </c>
      <c r="E168" s="245"/>
      <c r="F168" s="245"/>
      <c r="G168" s="245" t="s">
        <v>2684</v>
      </c>
      <c r="H168" s="245" t="s">
        <v>2072</v>
      </c>
      <c r="I168" s="245" t="s">
        <v>2024</v>
      </c>
      <c r="J168" s="245" t="s">
        <v>2685</v>
      </c>
      <c r="K168" s="245" t="s">
        <v>2686</v>
      </c>
      <c r="L168" s="246">
        <v>46066</v>
      </c>
      <c r="M168" s="245" t="s">
        <v>2024</v>
      </c>
      <c r="N168" s="245" t="s">
        <v>1989</v>
      </c>
      <c r="O168" s="245" t="s">
        <v>1990</v>
      </c>
      <c r="P168" s="245" t="s">
        <v>111</v>
      </c>
      <c r="Q168" s="247">
        <v>0</v>
      </c>
      <c r="R168" s="247">
        <v>0</v>
      </c>
      <c r="S168" s="247">
        <v>76.14</v>
      </c>
      <c r="T168" s="245" t="s">
        <v>1991</v>
      </c>
      <c r="U168" s="245" t="s">
        <v>2113</v>
      </c>
      <c r="V168" s="241" t="s">
        <v>1993</v>
      </c>
      <c r="W168" s="241" t="s">
        <v>100</v>
      </c>
      <c r="X168" s="241" t="s">
        <v>1994</v>
      </c>
    </row>
    <row r="169" spans="1:24" ht="13.5" customHeight="1" x14ac:dyDescent="0.3">
      <c r="A169" s="245" t="s">
        <v>1985</v>
      </c>
      <c r="B169" s="246">
        <v>46066</v>
      </c>
      <c r="C169" s="245" t="s">
        <v>2150</v>
      </c>
      <c r="D169" s="245" t="s">
        <v>742</v>
      </c>
      <c r="E169" s="245"/>
      <c r="F169" s="245"/>
      <c r="G169" s="245" t="s">
        <v>2684</v>
      </c>
      <c r="H169" s="245" t="s">
        <v>2072</v>
      </c>
      <c r="I169" s="245" t="s">
        <v>2024</v>
      </c>
      <c r="J169" s="245" t="s">
        <v>2685</v>
      </c>
      <c r="K169" s="245" t="s">
        <v>2686</v>
      </c>
      <c r="L169" s="246">
        <v>46066</v>
      </c>
      <c r="M169" s="245" t="s">
        <v>2024</v>
      </c>
      <c r="N169" s="245" t="s">
        <v>1989</v>
      </c>
      <c r="O169" s="245" t="s">
        <v>1990</v>
      </c>
      <c r="P169" s="245" t="s">
        <v>111</v>
      </c>
      <c r="Q169" s="247">
        <v>3544898.95</v>
      </c>
      <c r="R169" s="247">
        <v>3544898.95</v>
      </c>
      <c r="S169" s="247">
        <v>2449.16</v>
      </c>
      <c r="T169" s="245" t="s">
        <v>1991</v>
      </c>
      <c r="U169" s="245" t="s">
        <v>2113</v>
      </c>
      <c r="V169" s="241" t="s">
        <v>1993</v>
      </c>
      <c r="W169" s="241" t="s">
        <v>100</v>
      </c>
      <c r="X169" s="241" t="s">
        <v>1994</v>
      </c>
    </row>
    <row r="170" spans="1:24" ht="13.5" customHeight="1" x14ac:dyDescent="0.3">
      <c r="A170" s="245" t="s">
        <v>2112</v>
      </c>
      <c r="B170" s="246">
        <v>46064</v>
      </c>
      <c r="C170" s="245" t="s">
        <v>2125</v>
      </c>
      <c r="D170" s="245" t="s">
        <v>827</v>
      </c>
      <c r="E170" s="245"/>
      <c r="F170" s="245"/>
      <c r="G170" s="245" t="s">
        <v>2130</v>
      </c>
      <c r="H170" s="245" t="s">
        <v>2043</v>
      </c>
      <c r="I170" s="245" t="s">
        <v>1988</v>
      </c>
      <c r="J170" s="245" t="s">
        <v>2687</v>
      </c>
      <c r="K170" s="245" t="s">
        <v>2688</v>
      </c>
      <c r="L170" s="246">
        <v>46064</v>
      </c>
      <c r="M170" s="245" t="s">
        <v>1988</v>
      </c>
      <c r="N170" s="245" t="s">
        <v>1989</v>
      </c>
      <c r="O170" s="245" t="s">
        <v>1990</v>
      </c>
      <c r="P170" s="245" t="s">
        <v>111</v>
      </c>
      <c r="Q170" s="247">
        <v>-1595130.97</v>
      </c>
      <c r="R170" s="247">
        <v>-1595130.97</v>
      </c>
      <c r="S170" s="247">
        <v>-1117.05</v>
      </c>
      <c r="T170" s="245" t="s">
        <v>1991</v>
      </c>
      <c r="U170" s="245" t="s">
        <v>2113</v>
      </c>
      <c r="V170" s="241" t="s">
        <v>1993</v>
      </c>
      <c r="W170" s="241" t="s">
        <v>93</v>
      </c>
      <c r="X170" s="241" t="s">
        <v>1994</v>
      </c>
    </row>
    <row r="171" spans="1:24" ht="13.5" customHeight="1" x14ac:dyDescent="0.3">
      <c r="A171" s="245" t="s">
        <v>2112</v>
      </c>
      <c r="B171" s="246">
        <v>46064</v>
      </c>
      <c r="C171" s="245" t="s">
        <v>2125</v>
      </c>
      <c r="D171" s="245" t="s">
        <v>827</v>
      </c>
      <c r="E171" s="245"/>
      <c r="F171" s="245"/>
      <c r="G171" s="245" t="s">
        <v>2130</v>
      </c>
      <c r="H171" s="245" t="s">
        <v>2043</v>
      </c>
      <c r="I171" s="245" t="s">
        <v>1988</v>
      </c>
      <c r="J171" s="245" t="s">
        <v>2687</v>
      </c>
      <c r="K171" s="245" t="s">
        <v>2688</v>
      </c>
      <c r="L171" s="246">
        <v>46064</v>
      </c>
      <c r="M171" s="245" t="s">
        <v>1988</v>
      </c>
      <c r="N171" s="245" t="s">
        <v>1989</v>
      </c>
      <c r="O171" s="245" t="s">
        <v>1990</v>
      </c>
      <c r="P171" s="245" t="s">
        <v>111</v>
      </c>
      <c r="Q171" s="247">
        <v>0</v>
      </c>
      <c r="R171" s="247">
        <v>0</v>
      </c>
      <c r="S171" s="247">
        <v>14.98</v>
      </c>
      <c r="T171" s="245" t="s">
        <v>1991</v>
      </c>
      <c r="U171" s="245" t="s">
        <v>2113</v>
      </c>
      <c r="V171" s="241" t="s">
        <v>1993</v>
      </c>
      <c r="W171" s="241" t="s">
        <v>93</v>
      </c>
      <c r="X171" s="241" t="s">
        <v>1994</v>
      </c>
    </row>
    <row r="172" spans="1:24" ht="13.5" customHeight="1" x14ac:dyDescent="0.3">
      <c r="A172" s="245" t="s">
        <v>1985</v>
      </c>
      <c r="B172" s="246">
        <v>46064</v>
      </c>
      <c r="C172" s="245" t="s">
        <v>2125</v>
      </c>
      <c r="D172" s="245" t="s">
        <v>827</v>
      </c>
      <c r="E172" s="245"/>
      <c r="F172" s="245"/>
      <c r="G172" s="245" t="s">
        <v>2130</v>
      </c>
      <c r="H172" s="245" t="s">
        <v>2043</v>
      </c>
      <c r="I172" s="245" t="s">
        <v>1988</v>
      </c>
      <c r="J172" s="245" t="s">
        <v>2687</v>
      </c>
      <c r="K172" s="245" t="s">
        <v>2688</v>
      </c>
      <c r="L172" s="246">
        <v>46064</v>
      </c>
      <c r="M172" s="245" t="s">
        <v>1988</v>
      </c>
      <c r="N172" s="245" t="s">
        <v>1989</v>
      </c>
      <c r="O172" s="245" t="s">
        <v>1990</v>
      </c>
      <c r="P172" s="245" t="s">
        <v>111</v>
      </c>
      <c r="Q172" s="247">
        <v>1595130.97</v>
      </c>
      <c r="R172" s="247">
        <v>1595130.97</v>
      </c>
      <c r="S172" s="247">
        <v>1102.07</v>
      </c>
      <c r="T172" s="245" t="s">
        <v>1991</v>
      </c>
      <c r="U172" s="245" t="s">
        <v>2113</v>
      </c>
      <c r="V172" s="241" t="s">
        <v>1993</v>
      </c>
      <c r="W172" s="241" t="s">
        <v>93</v>
      </c>
      <c r="X172" s="241" t="s">
        <v>1994</v>
      </c>
    </row>
    <row r="173" spans="1:24" ht="13.5" customHeight="1" x14ac:dyDescent="0.3">
      <c r="A173" s="245" t="s">
        <v>2112</v>
      </c>
      <c r="B173" s="246">
        <v>46064</v>
      </c>
      <c r="C173" s="245" t="s">
        <v>2125</v>
      </c>
      <c r="D173" s="245" t="s">
        <v>827</v>
      </c>
      <c r="E173" s="245"/>
      <c r="F173" s="245"/>
      <c r="G173" s="245" t="s">
        <v>2130</v>
      </c>
      <c r="H173" s="245" t="s">
        <v>2043</v>
      </c>
      <c r="I173" s="245" t="s">
        <v>1988</v>
      </c>
      <c r="J173" s="245" t="s">
        <v>2689</v>
      </c>
      <c r="K173" s="245" t="s">
        <v>2690</v>
      </c>
      <c r="L173" s="246">
        <v>46064</v>
      </c>
      <c r="M173" s="245" t="s">
        <v>1988</v>
      </c>
      <c r="N173" s="245" t="s">
        <v>1989</v>
      </c>
      <c r="O173" s="245" t="s">
        <v>1990</v>
      </c>
      <c r="P173" s="245" t="s">
        <v>111</v>
      </c>
      <c r="Q173" s="247">
        <v>-1976730</v>
      </c>
      <c r="R173" s="247">
        <v>-1976730</v>
      </c>
      <c r="S173" s="247">
        <v>-1384.28</v>
      </c>
      <c r="T173" s="245" t="s">
        <v>1991</v>
      </c>
      <c r="U173" s="245" t="s">
        <v>2113</v>
      </c>
      <c r="V173" s="241" t="s">
        <v>1993</v>
      </c>
      <c r="W173" s="241" t="s">
        <v>93</v>
      </c>
      <c r="X173" s="241" t="s">
        <v>1994</v>
      </c>
    </row>
    <row r="174" spans="1:24" ht="13.5" customHeight="1" x14ac:dyDescent="0.3">
      <c r="A174" s="245" t="s">
        <v>2112</v>
      </c>
      <c r="B174" s="246">
        <v>46064</v>
      </c>
      <c r="C174" s="245" t="s">
        <v>2125</v>
      </c>
      <c r="D174" s="245" t="s">
        <v>827</v>
      </c>
      <c r="E174" s="245"/>
      <c r="F174" s="245"/>
      <c r="G174" s="245" t="s">
        <v>2130</v>
      </c>
      <c r="H174" s="245" t="s">
        <v>2043</v>
      </c>
      <c r="I174" s="245" t="s">
        <v>1988</v>
      </c>
      <c r="J174" s="245" t="s">
        <v>2689</v>
      </c>
      <c r="K174" s="245" t="s">
        <v>2690</v>
      </c>
      <c r="L174" s="246">
        <v>46064</v>
      </c>
      <c r="M174" s="245" t="s">
        <v>1988</v>
      </c>
      <c r="N174" s="245" t="s">
        <v>1989</v>
      </c>
      <c r="O174" s="245" t="s">
        <v>1990</v>
      </c>
      <c r="P174" s="245" t="s">
        <v>111</v>
      </c>
      <c r="Q174" s="247">
        <v>0</v>
      </c>
      <c r="R174" s="247">
        <v>0</v>
      </c>
      <c r="S174" s="247">
        <v>18.559999999999999</v>
      </c>
      <c r="T174" s="245" t="s">
        <v>1991</v>
      </c>
      <c r="U174" s="245" t="s">
        <v>2113</v>
      </c>
      <c r="V174" s="241" t="s">
        <v>1993</v>
      </c>
      <c r="W174" s="241" t="s">
        <v>93</v>
      </c>
      <c r="X174" s="241" t="s">
        <v>1994</v>
      </c>
    </row>
    <row r="175" spans="1:24" ht="13.5" customHeight="1" x14ac:dyDescent="0.3">
      <c r="A175" s="245" t="s">
        <v>1985</v>
      </c>
      <c r="B175" s="246">
        <v>46064</v>
      </c>
      <c r="C175" s="245" t="s">
        <v>2125</v>
      </c>
      <c r="D175" s="245" t="s">
        <v>827</v>
      </c>
      <c r="E175" s="245"/>
      <c r="F175" s="245"/>
      <c r="G175" s="245" t="s">
        <v>2130</v>
      </c>
      <c r="H175" s="245" t="s">
        <v>2043</v>
      </c>
      <c r="I175" s="245" t="s">
        <v>1988</v>
      </c>
      <c r="J175" s="245" t="s">
        <v>2689</v>
      </c>
      <c r="K175" s="245" t="s">
        <v>2690</v>
      </c>
      <c r="L175" s="246">
        <v>46064</v>
      </c>
      <c r="M175" s="245" t="s">
        <v>1988</v>
      </c>
      <c r="N175" s="245" t="s">
        <v>1989</v>
      </c>
      <c r="O175" s="245" t="s">
        <v>1990</v>
      </c>
      <c r="P175" s="245" t="s">
        <v>111</v>
      </c>
      <c r="Q175" s="247">
        <v>1976730</v>
      </c>
      <c r="R175" s="247">
        <v>1976730</v>
      </c>
      <c r="S175" s="247">
        <v>1365.72</v>
      </c>
      <c r="T175" s="245" t="s">
        <v>1991</v>
      </c>
      <c r="U175" s="245" t="s">
        <v>2113</v>
      </c>
      <c r="V175" s="241" t="s">
        <v>1993</v>
      </c>
      <c r="W175" s="241" t="s">
        <v>93</v>
      </c>
      <c r="X175" s="241" t="s">
        <v>1994</v>
      </c>
    </row>
    <row r="176" spans="1:24" ht="13.5" customHeight="1" x14ac:dyDescent="0.3">
      <c r="A176" s="245" t="s">
        <v>2112</v>
      </c>
      <c r="B176" s="246">
        <v>46064</v>
      </c>
      <c r="C176" s="245" t="s">
        <v>2125</v>
      </c>
      <c r="D176" s="245" t="s">
        <v>827</v>
      </c>
      <c r="E176" s="245"/>
      <c r="F176" s="245"/>
      <c r="G176" s="245" t="s">
        <v>2130</v>
      </c>
      <c r="H176" s="245" t="s">
        <v>2043</v>
      </c>
      <c r="I176" s="245" t="s">
        <v>1988</v>
      </c>
      <c r="J176" s="245" t="s">
        <v>2691</v>
      </c>
      <c r="K176" s="245" t="s">
        <v>2692</v>
      </c>
      <c r="L176" s="246">
        <v>46064</v>
      </c>
      <c r="M176" s="245" t="s">
        <v>1988</v>
      </c>
      <c r="N176" s="245" t="s">
        <v>1989</v>
      </c>
      <c r="O176" s="245" t="s">
        <v>1990</v>
      </c>
      <c r="P176" s="245" t="s">
        <v>111</v>
      </c>
      <c r="Q176" s="247">
        <v>-1998874.92</v>
      </c>
      <c r="R176" s="247">
        <v>-1998874.92</v>
      </c>
      <c r="S176" s="247">
        <v>-1399.78</v>
      </c>
      <c r="T176" s="245" t="s">
        <v>1991</v>
      </c>
      <c r="U176" s="245" t="s">
        <v>2113</v>
      </c>
      <c r="V176" s="241" t="s">
        <v>1993</v>
      </c>
      <c r="W176" s="241" t="s">
        <v>93</v>
      </c>
      <c r="X176" s="241" t="s">
        <v>1994</v>
      </c>
    </row>
    <row r="177" spans="1:24" ht="13.5" customHeight="1" x14ac:dyDescent="0.3">
      <c r="A177" s="245" t="s">
        <v>2112</v>
      </c>
      <c r="B177" s="246">
        <v>46064</v>
      </c>
      <c r="C177" s="245" t="s">
        <v>2125</v>
      </c>
      <c r="D177" s="245" t="s">
        <v>827</v>
      </c>
      <c r="E177" s="245"/>
      <c r="F177" s="245"/>
      <c r="G177" s="245" t="s">
        <v>2130</v>
      </c>
      <c r="H177" s="245" t="s">
        <v>2043</v>
      </c>
      <c r="I177" s="245" t="s">
        <v>1988</v>
      </c>
      <c r="J177" s="245" t="s">
        <v>2691</v>
      </c>
      <c r="K177" s="245" t="s">
        <v>2692</v>
      </c>
      <c r="L177" s="246">
        <v>46064</v>
      </c>
      <c r="M177" s="245" t="s">
        <v>1988</v>
      </c>
      <c r="N177" s="245" t="s">
        <v>1989</v>
      </c>
      <c r="O177" s="245" t="s">
        <v>1990</v>
      </c>
      <c r="P177" s="245" t="s">
        <v>111</v>
      </c>
      <c r="Q177" s="247">
        <v>0</v>
      </c>
      <c r="R177" s="247">
        <v>0</v>
      </c>
      <c r="S177" s="247">
        <v>18.760000000000002</v>
      </c>
      <c r="T177" s="245" t="s">
        <v>1991</v>
      </c>
      <c r="U177" s="245" t="s">
        <v>2113</v>
      </c>
      <c r="V177" s="241" t="s">
        <v>1993</v>
      </c>
      <c r="W177" s="241" t="s">
        <v>93</v>
      </c>
      <c r="X177" s="241" t="s">
        <v>1994</v>
      </c>
    </row>
    <row r="178" spans="1:24" ht="13.5" customHeight="1" x14ac:dyDescent="0.3">
      <c r="A178" s="245" t="s">
        <v>1985</v>
      </c>
      <c r="B178" s="246">
        <v>46064</v>
      </c>
      <c r="C178" s="245" t="s">
        <v>2125</v>
      </c>
      <c r="D178" s="245" t="s">
        <v>827</v>
      </c>
      <c r="E178" s="245"/>
      <c r="F178" s="245"/>
      <c r="G178" s="245" t="s">
        <v>2130</v>
      </c>
      <c r="H178" s="245" t="s">
        <v>2043</v>
      </c>
      <c r="I178" s="245" t="s">
        <v>1988</v>
      </c>
      <c r="J178" s="245" t="s">
        <v>2691</v>
      </c>
      <c r="K178" s="245" t="s">
        <v>2692</v>
      </c>
      <c r="L178" s="246">
        <v>46064</v>
      </c>
      <c r="M178" s="245" t="s">
        <v>1988</v>
      </c>
      <c r="N178" s="245" t="s">
        <v>1989</v>
      </c>
      <c r="O178" s="245" t="s">
        <v>1990</v>
      </c>
      <c r="P178" s="245" t="s">
        <v>111</v>
      </c>
      <c r="Q178" s="247">
        <v>1998874.92</v>
      </c>
      <c r="R178" s="247">
        <v>1998874.92</v>
      </c>
      <c r="S178" s="247">
        <v>1381.02</v>
      </c>
      <c r="T178" s="245" t="s">
        <v>1991</v>
      </c>
      <c r="U178" s="245" t="s">
        <v>2113</v>
      </c>
      <c r="V178" s="241" t="s">
        <v>1993</v>
      </c>
      <c r="W178" s="241" t="s">
        <v>93</v>
      </c>
      <c r="X178" s="241" t="s">
        <v>1994</v>
      </c>
    </row>
    <row r="179" spans="1:24" ht="13.5" customHeight="1" x14ac:dyDescent="0.3">
      <c r="A179" s="245" t="s">
        <v>2112</v>
      </c>
      <c r="B179" s="246">
        <v>46064</v>
      </c>
      <c r="C179" s="245" t="s">
        <v>2125</v>
      </c>
      <c r="D179" s="245" t="s">
        <v>827</v>
      </c>
      <c r="E179" s="245"/>
      <c r="F179" s="245"/>
      <c r="G179" s="245" t="s">
        <v>2693</v>
      </c>
      <c r="H179" s="245" t="s">
        <v>2039</v>
      </c>
      <c r="I179" s="245" t="s">
        <v>1988</v>
      </c>
      <c r="J179" s="245" t="s">
        <v>2694</v>
      </c>
      <c r="K179" s="245" t="s">
        <v>2695</v>
      </c>
      <c r="L179" s="246">
        <v>46064</v>
      </c>
      <c r="M179" s="245" t="s">
        <v>1988</v>
      </c>
      <c r="N179" s="245" t="s">
        <v>1989</v>
      </c>
      <c r="O179" s="245" t="s">
        <v>1990</v>
      </c>
      <c r="P179" s="245" t="s">
        <v>111</v>
      </c>
      <c r="Q179" s="247">
        <v>-1984646.13</v>
      </c>
      <c r="R179" s="247">
        <v>-1984646.13</v>
      </c>
      <c r="S179" s="247">
        <v>-1389.82</v>
      </c>
      <c r="T179" s="245" t="s">
        <v>1991</v>
      </c>
      <c r="U179" s="245" t="s">
        <v>2113</v>
      </c>
      <c r="V179" s="241" t="s">
        <v>1993</v>
      </c>
      <c r="W179" s="241" t="s">
        <v>93</v>
      </c>
      <c r="X179" s="241" t="s">
        <v>1994</v>
      </c>
    </row>
    <row r="180" spans="1:24" ht="13.5" customHeight="1" x14ac:dyDescent="0.3">
      <c r="A180" s="245" t="s">
        <v>2112</v>
      </c>
      <c r="B180" s="246">
        <v>46064</v>
      </c>
      <c r="C180" s="245" t="s">
        <v>2125</v>
      </c>
      <c r="D180" s="245" t="s">
        <v>827</v>
      </c>
      <c r="E180" s="245"/>
      <c r="F180" s="245"/>
      <c r="G180" s="245" t="s">
        <v>2693</v>
      </c>
      <c r="H180" s="245" t="s">
        <v>2039</v>
      </c>
      <c r="I180" s="245" t="s">
        <v>1988</v>
      </c>
      <c r="J180" s="245" t="s">
        <v>2694</v>
      </c>
      <c r="K180" s="245" t="s">
        <v>2695</v>
      </c>
      <c r="L180" s="246">
        <v>46064</v>
      </c>
      <c r="M180" s="245" t="s">
        <v>1988</v>
      </c>
      <c r="N180" s="245" t="s">
        <v>1989</v>
      </c>
      <c r="O180" s="245" t="s">
        <v>1990</v>
      </c>
      <c r="P180" s="245" t="s">
        <v>111</v>
      </c>
      <c r="Q180" s="247">
        <v>0</v>
      </c>
      <c r="R180" s="247">
        <v>0</v>
      </c>
      <c r="S180" s="247">
        <v>18.63</v>
      </c>
      <c r="T180" s="245" t="s">
        <v>1991</v>
      </c>
      <c r="U180" s="245" t="s">
        <v>2113</v>
      </c>
      <c r="V180" s="241" t="s">
        <v>1993</v>
      </c>
      <c r="W180" s="241" t="s">
        <v>93</v>
      </c>
      <c r="X180" s="241" t="s">
        <v>1994</v>
      </c>
    </row>
    <row r="181" spans="1:24" ht="13.5" customHeight="1" x14ac:dyDescent="0.3">
      <c r="A181" s="245" t="s">
        <v>1985</v>
      </c>
      <c r="B181" s="246">
        <v>46064</v>
      </c>
      <c r="C181" s="245" t="s">
        <v>2125</v>
      </c>
      <c r="D181" s="245" t="s">
        <v>827</v>
      </c>
      <c r="E181" s="245"/>
      <c r="F181" s="245"/>
      <c r="G181" s="245" t="s">
        <v>2693</v>
      </c>
      <c r="H181" s="245" t="s">
        <v>2039</v>
      </c>
      <c r="I181" s="245" t="s">
        <v>1988</v>
      </c>
      <c r="J181" s="245" t="s">
        <v>2694</v>
      </c>
      <c r="K181" s="245" t="s">
        <v>2695</v>
      </c>
      <c r="L181" s="246">
        <v>46064</v>
      </c>
      <c r="M181" s="245" t="s">
        <v>1988</v>
      </c>
      <c r="N181" s="245" t="s">
        <v>1989</v>
      </c>
      <c r="O181" s="245" t="s">
        <v>1990</v>
      </c>
      <c r="P181" s="245" t="s">
        <v>111</v>
      </c>
      <c r="Q181" s="247">
        <v>1984646.13</v>
      </c>
      <c r="R181" s="247">
        <v>1984646.13</v>
      </c>
      <c r="S181" s="247">
        <v>1371.19</v>
      </c>
      <c r="T181" s="245" t="s">
        <v>1991</v>
      </c>
      <c r="U181" s="245" t="s">
        <v>2113</v>
      </c>
      <c r="V181" s="241" t="s">
        <v>1993</v>
      </c>
      <c r="W181" s="241" t="s">
        <v>93</v>
      </c>
      <c r="X181" s="241" t="s">
        <v>1994</v>
      </c>
    </row>
    <row r="182" spans="1:24" ht="13.5" customHeight="1" x14ac:dyDescent="0.3">
      <c r="A182" s="245" t="s">
        <v>2112</v>
      </c>
      <c r="B182" s="246">
        <v>46064</v>
      </c>
      <c r="C182" s="245" t="s">
        <v>2125</v>
      </c>
      <c r="D182" s="245" t="s">
        <v>827</v>
      </c>
      <c r="E182" s="245"/>
      <c r="F182" s="245"/>
      <c r="G182" s="245" t="s">
        <v>2126</v>
      </c>
      <c r="H182" s="245" t="s">
        <v>2048</v>
      </c>
      <c r="I182" s="245" t="s">
        <v>1988</v>
      </c>
      <c r="J182" s="245" t="s">
        <v>2696</v>
      </c>
      <c r="K182" s="245" t="s">
        <v>2697</v>
      </c>
      <c r="L182" s="246">
        <v>46064</v>
      </c>
      <c r="M182" s="245" t="s">
        <v>1988</v>
      </c>
      <c r="N182" s="245" t="s">
        <v>1989</v>
      </c>
      <c r="O182" s="245" t="s">
        <v>1990</v>
      </c>
      <c r="P182" s="245" t="s">
        <v>111</v>
      </c>
      <c r="Q182" s="247">
        <v>-1692448.78</v>
      </c>
      <c r="R182" s="247">
        <v>-1692448.78</v>
      </c>
      <c r="S182" s="247">
        <v>-1185.2</v>
      </c>
      <c r="T182" s="245" t="s">
        <v>1991</v>
      </c>
      <c r="U182" s="245" t="s">
        <v>2113</v>
      </c>
      <c r="V182" s="241" t="s">
        <v>1993</v>
      </c>
      <c r="W182" s="241" t="s">
        <v>93</v>
      </c>
      <c r="X182" s="241" t="s">
        <v>1994</v>
      </c>
    </row>
    <row r="183" spans="1:24" ht="13.5" customHeight="1" x14ac:dyDescent="0.3">
      <c r="A183" s="245" t="s">
        <v>2112</v>
      </c>
      <c r="B183" s="246">
        <v>46064</v>
      </c>
      <c r="C183" s="245" t="s">
        <v>2125</v>
      </c>
      <c r="D183" s="245" t="s">
        <v>827</v>
      </c>
      <c r="E183" s="245"/>
      <c r="F183" s="245"/>
      <c r="G183" s="245" t="s">
        <v>2126</v>
      </c>
      <c r="H183" s="245" t="s">
        <v>2048</v>
      </c>
      <c r="I183" s="245" t="s">
        <v>1988</v>
      </c>
      <c r="J183" s="245" t="s">
        <v>2696</v>
      </c>
      <c r="K183" s="245" t="s">
        <v>2697</v>
      </c>
      <c r="L183" s="246">
        <v>46064</v>
      </c>
      <c r="M183" s="245" t="s">
        <v>1988</v>
      </c>
      <c r="N183" s="245" t="s">
        <v>1989</v>
      </c>
      <c r="O183" s="245" t="s">
        <v>1990</v>
      </c>
      <c r="P183" s="245" t="s">
        <v>111</v>
      </c>
      <c r="Q183" s="247">
        <v>0</v>
      </c>
      <c r="R183" s="247">
        <v>0</v>
      </c>
      <c r="S183" s="247">
        <v>15.89</v>
      </c>
      <c r="T183" s="245" t="s">
        <v>1991</v>
      </c>
      <c r="U183" s="245" t="s">
        <v>2113</v>
      </c>
      <c r="V183" s="241" t="s">
        <v>1993</v>
      </c>
      <c r="W183" s="241" t="s">
        <v>93</v>
      </c>
      <c r="X183" s="241" t="s">
        <v>1994</v>
      </c>
    </row>
    <row r="184" spans="1:24" ht="13.5" customHeight="1" x14ac:dyDescent="0.3">
      <c r="A184" s="245" t="s">
        <v>1985</v>
      </c>
      <c r="B184" s="246">
        <v>46064</v>
      </c>
      <c r="C184" s="245" t="s">
        <v>2125</v>
      </c>
      <c r="D184" s="245" t="s">
        <v>827</v>
      </c>
      <c r="E184" s="245"/>
      <c r="F184" s="245"/>
      <c r="G184" s="245" t="s">
        <v>2126</v>
      </c>
      <c r="H184" s="245" t="s">
        <v>2048</v>
      </c>
      <c r="I184" s="245" t="s">
        <v>1988</v>
      </c>
      <c r="J184" s="245" t="s">
        <v>2696</v>
      </c>
      <c r="K184" s="245" t="s">
        <v>2697</v>
      </c>
      <c r="L184" s="246">
        <v>46064</v>
      </c>
      <c r="M184" s="245" t="s">
        <v>1988</v>
      </c>
      <c r="N184" s="245" t="s">
        <v>1989</v>
      </c>
      <c r="O184" s="245" t="s">
        <v>1990</v>
      </c>
      <c r="P184" s="245" t="s">
        <v>111</v>
      </c>
      <c r="Q184" s="247">
        <v>1692448.78</v>
      </c>
      <c r="R184" s="247">
        <v>1692448.78</v>
      </c>
      <c r="S184" s="247">
        <v>1169.31</v>
      </c>
      <c r="T184" s="245" t="s">
        <v>1991</v>
      </c>
      <c r="U184" s="245" t="s">
        <v>2113</v>
      </c>
      <c r="V184" s="241" t="s">
        <v>1993</v>
      </c>
      <c r="W184" s="241" t="s">
        <v>93</v>
      </c>
      <c r="X184" s="241" t="s">
        <v>1994</v>
      </c>
    </row>
    <row r="185" spans="1:24" ht="13.5" customHeight="1" x14ac:dyDescent="0.3">
      <c r="A185" s="245" t="s">
        <v>2112</v>
      </c>
      <c r="B185" s="246">
        <v>46064</v>
      </c>
      <c r="C185" s="245" t="s">
        <v>2125</v>
      </c>
      <c r="D185" s="245" t="s">
        <v>827</v>
      </c>
      <c r="E185" s="245"/>
      <c r="F185" s="245"/>
      <c r="G185" s="245" t="s">
        <v>2127</v>
      </c>
      <c r="H185" s="245" t="s">
        <v>2045</v>
      </c>
      <c r="I185" s="245" t="s">
        <v>1988</v>
      </c>
      <c r="J185" s="245" t="s">
        <v>2698</v>
      </c>
      <c r="K185" s="245" t="s">
        <v>2699</v>
      </c>
      <c r="L185" s="246">
        <v>46064</v>
      </c>
      <c r="M185" s="245" t="s">
        <v>1988</v>
      </c>
      <c r="N185" s="245" t="s">
        <v>1989</v>
      </c>
      <c r="O185" s="245" t="s">
        <v>1990</v>
      </c>
      <c r="P185" s="245" t="s">
        <v>111</v>
      </c>
      <c r="Q185" s="247">
        <v>-1794491.64</v>
      </c>
      <c r="R185" s="247">
        <v>-1794491.64</v>
      </c>
      <c r="S185" s="247">
        <v>-1256.6600000000001</v>
      </c>
      <c r="T185" s="245" t="s">
        <v>1991</v>
      </c>
      <c r="U185" s="245" t="s">
        <v>2113</v>
      </c>
      <c r="V185" s="241" t="s">
        <v>1993</v>
      </c>
      <c r="W185" s="241" t="s">
        <v>93</v>
      </c>
      <c r="X185" s="241" t="s">
        <v>1994</v>
      </c>
    </row>
    <row r="186" spans="1:24" ht="13.5" customHeight="1" x14ac:dyDescent="0.3">
      <c r="A186" s="245" t="s">
        <v>2112</v>
      </c>
      <c r="B186" s="246">
        <v>46064</v>
      </c>
      <c r="C186" s="245" t="s">
        <v>2125</v>
      </c>
      <c r="D186" s="245" t="s">
        <v>827</v>
      </c>
      <c r="E186" s="245"/>
      <c r="F186" s="245"/>
      <c r="G186" s="245" t="s">
        <v>2127</v>
      </c>
      <c r="H186" s="245" t="s">
        <v>2045</v>
      </c>
      <c r="I186" s="245" t="s">
        <v>1988</v>
      </c>
      <c r="J186" s="245" t="s">
        <v>2698</v>
      </c>
      <c r="K186" s="245" t="s">
        <v>2699</v>
      </c>
      <c r="L186" s="246">
        <v>46064</v>
      </c>
      <c r="M186" s="245" t="s">
        <v>1988</v>
      </c>
      <c r="N186" s="245" t="s">
        <v>1989</v>
      </c>
      <c r="O186" s="245" t="s">
        <v>1990</v>
      </c>
      <c r="P186" s="245" t="s">
        <v>111</v>
      </c>
      <c r="Q186" s="247">
        <v>0</v>
      </c>
      <c r="R186" s="247">
        <v>0</v>
      </c>
      <c r="S186" s="247">
        <v>16.850000000000001</v>
      </c>
      <c r="T186" s="245" t="s">
        <v>1991</v>
      </c>
      <c r="U186" s="245" t="s">
        <v>2113</v>
      </c>
      <c r="V186" s="241" t="s">
        <v>1993</v>
      </c>
      <c r="W186" s="241" t="s">
        <v>93</v>
      </c>
      <c r="X186" s="241" t="s">
        <v>1994</v>
      </c>
    </row>
    <row r="187" spans="1:24" ht="13.5" customHeight="1" x14ac:dyDescent="0.3">
      <c r="A187" s="245" t="s">
        <v>1985</v>
      </c>
      <c r="B187" s="246">
        <v>46064</v>
      </c>
      <c r="C187" s="245" t="s">
        <v>2125</v>
      </c>
      <c r="D187" s="245" t="s">
        <v>827</v>
      </c>
      <c r="E187" s="245"/>
      <c r="F187" s="245"/>
      <c r="G187" s="245" t="s">
        <v>2127</v>
      </c>
      <c r="H187" s="245" t="s">
        <v>2045</v>
      </c>
      <c r="I187" s="245" t="s">
        <v>1988</v>
      </c>
      <c r="J187" s="245" t="s">
        <v>2698</v>
      </c>
      <c r="K187" s="245" t="s">
        <v>2699</v>
      </c>
      <c r="L187" s="246">
        <v>46064</v>
      </c>
      <c r="M187" s="245" t="s">
        <v>1988</v>
      </c>
      <c r="N187" s="245" t="s">
        <v>1989</v>
      </c>
      <c r="O187" s="245" t="s">
        <v>1990</v>
      </c>
      <c r="P187" s="245" t="s">
        <v>111</v>
      </c>
      <c r="Q187" s="247">
        <v>1794491.64</v>
      </c>
      <c r="R187" s="247">
        <v>1794491.64</v>
      </c>
      <c r="S187" s="247">
        <v>1239.81</v>
      </c>
      <c r="T187" s="245" t="s">
        <v>1991</v>
      </c>
      <c r="U187" s="245" t="s">
        <v>2113</v>
      </c>
      <c r="V187" s="241" t="s">
        <v>1993</v>
      </c>
      <c r="W187" s="241" t="s">
        <v>93</v>
      </c>
      <c r="X187" s="241" t="s">
        <v>1994</v>
      </c>
    </row>
    <row r="188" spans="1:24" ht="13.5" customHeight="1" x14ac:dyDescent="0.3">
      <c r="A188" s="245" t="s">
        <v>2112</v>
      </c>
      <c r="B188" s="246">
        <v>46064</v>
      </c>
      <c r="C188" s="245" t="s">
        <v>2125</v>
      </c>
      <c r="D188" s="245" t="s">
        <v>827</v>
      </c>
      <c r="E188" s="245"/>
      <c r="F188" s="245"/>
      <c r="G188" s="245" t="s">
        <v>2128</v>
      </c>
      <c r="H188" s="245" t="s">
        <v>2046</v>
      </c>
      <c r="I188" s="245" t="s">
        <v>1988</v>
      </c>
      <c r="J188" s="245" t="s">
        <v>2700</v>
      </c>
      <c r="K188" s="245" t="s">
        <v>2701</v>
      </c>
      <c r="L188" s="246">
        <v>46064</v>
      </c>
      <c r="M188" s="245" t="s">
        <v>1988</v>
      </c>
      <c r="N188" s="245" t="s">
        <v>1989</v>
      </c>
      <c r="O188" s="245" t="s">
        <v>1990</v>
      </c>
      <c r="P188" s="245" t="s">
        <v>111</v>
      </c>
      <c r="Q188" s="247">
        <v>-2491924.9700000002</v>
      </c>
      <c r="R188" s="247">
        <v>-2491924.9700000002</v>
      </c>
      <c r="S188" s="247">
        <v>-1745.06</v>
      </c>
      <c r="T188" s="245" t="s">
        <v>1991</v>
      </c>
      <c r="U188" s="245" t="s">
        <v>2113</v>
      </c>
      <c r="V188" s="241" t="s">
        <v>1993</v>
      </c>
      <c r="W188" s="241" t="s">
        <v>93</v>
      </c>
      <c r="X188" s="241" t="s">
        <v>1994</v>
      </c>
    </row>
    <row r="189" spans="1:24" ht="13.5" customHeight="1" x14ac:dyDescent="0.3">
      <c r="A189" s="245" t="s">
        <v>2112</v>
      </c>
      <c r="B189" s="246">
        <v>46064</v>
      </c>
      <c r="C189" s="245" t="s">
        <v>2125</v>
      </c>
      <c r="D189" s="245" t="s">
        <v>827</v>
      </c>
      <c r="E189" s="245"/>
      <c r="F189" s="245"/>
      <c r="G189" s="245" t="s">
        <v>2128</v>
      </c>
      <c r="H189" s="245" t="s">
        <v>2046</v>
      </c>
      <c r="I189" s="245" t="s">
        <v>1988</v>
      </c>
      <c r="J189" s="245" t="s">
        <v>2700</v>
      </c>
      <c r="K189" s="245" t="s">
        <v>2701</v>
      </c>
      <c r="L189" s="246">
        <v>46064</v>
      </c>
      <c r="M189" s="245" t="s">
        <v>1988</v>
      </c>
      <c r="N189" s="245" t="s">
        <v>1989</v>
      </c>
      <c r="O189" s="245" t="s">
        <v>1990</v>
      </c>
      <c r="P189" s="245" t="s">
        <v>111</v>
      </c>
      <c r="Q189" s="247">
        <v>0</v>
      </c>
      <c r="R189" s="247">
        <v>0</v>
      </c>
      <c r="S189" s="247">
        <v>23.4</v>
      </c>
      <c r="T189" s="245" t="s">
        <v>1991</v>
      </c>
      <c r="U189" s="245" t="s">
        <v>2113</v>
      </c>
      <c r="V189" s="241" t="s">
        <v>1993</v>
      </c>
      <c r="W189" s="241" t="s">
        <v>93</v>
      </c>
      <c r="X189" s="241" t="s">
        <v>1994</v>
      </c>
    </row>
    <row r="190" spans="1:24" ht="13.5" customHeight="1" x14ac:dyDescent="0.3">
      <c r="A190" s="245" t="s">
        <v>1985</v>
      </c>
      <c r="B190" s="246">
        <v>46064</v>
      </c>
      <c r="C190" s="245" t="s">
        <v>2125</v>
      </c>
      <c r="D190" s="245" t="s">
        <v>827</v>
      </c>
      <c r="E190" s="245"/>
      <c r="F190" s="245"/>
      <c r="G190" s="245" t="s">
        <v>2128</v>
      </c>
      <c r="H190" s="245" t="s">
        <v>2046</v>
      </c>
      <c r="I190" s="245" t="s">
        <v>1988</v>
      </c>
      <c r="J190" s="245" t="s">
        <v>2700</v>
      </c>
      <c r="K190" s="245" t="s">
        <v>2701</v>
      </c>
      <c r="L190" s="246">
        <v>46064</v>
      </c>
      <c r="M190" s="245" t="s">
        <v>1988</v>
      </c>
      <c r="N190" s="245" t="s">
        <v>1989</v>
      </c>
      <c r="O190" s="245" t="s">
        <v>1990</v>
      </c>
      <c r="P190" s="245" t="s">
        <v>111</v>
      </c>
      <c r="Q190" s="247">
        <v>2491924.9700000002</v>
      </c>
      <c r="R190" s="247">
        <v>2491924.9700000002</v>
      </c>
      <c r="S190" s="247">
        <v>1721.66</v>
      </c>
      <c r="T190" s="245" t="s">
        <v>1991</v>
      </c>
      <c r="U190" s="245" t="s">
        <v>2113</v>
      </c>
      <c r="V190" s="241" t="s">
        <v>1993</v>
      </c>
      <c r="W190" s="241" t="s">
        <v>93</v>
      </c>
      <c r="X190" s="241" t="s">
        <v>1994</v>
      </c>
    </row>
    <row r="191" spans="1:24" ht="13.5" customHeight="1" x14ac:dyDescent="0.3">
      <c r="A191" s="245" t="s">
        <v>2112</v>
      </c>
      <c r="B191" s="246">
        <v>46064</v>
      </c>
      <c r="C191" s="245" t="s">
        <v>2125</v>
      </c>
      <c r="D191" s="245" t="s">
        <v>827</v>
      </c>
      <c r="E191" s="245"/>
      <c r="F191" s="245"/>
      <c r="G191" s="245" t="s">
        <v>2129</v>
      </c>
      <c r="H191" s="245" t="s">
        <v>2050</v>
      </c>
      <c r="I191" s="245" t="s">
        <v>1988</v>
      </c>
      <c r="J191" s="245" t="s">
        <v>2702</v>
      </c>
      <c r="K191" s="245" t="s">
        <v>2703</v>
      </c>
      <c r="L191" s="246">
        <v>46064</v>
      </c>
      <c r="M191" s="245" t="s">
        <v>1988</v>
      </c>
      <c r="N191" s="245" t="s">
        <v>1989</v>
      </c>
      <c r="O191" s="245" t="s">
        <v>1990</v>
      </c>
      <c r="P191" s="245" t="s">
        <v>111</v>
      </c>
      <c r="Q191" s="247">
        <v>-1897845.65</v>
      </c>
      <c r="R191" s="247">
        <v>-1897845.65</v>
      </c>
      <c r="S191" s="247">
        <v>-1329.04</v>
      </c>
      <c r="T191" s="245" t="s">
        <v>1991</v>
      </c>
      <c r="U191" s="245" t="s">
        <v>2113</v>
      </c>
      <c r="V191" s="241" t="s">
        <v>1993</v>
      </c>
      <c r="W191" s="241" t="s">
        <v>93</v>
      </c>
      <c r="X191" s="241" t="s">
        <v>1994</v>
      </c>
    </row>
    <row r="192" spans="1:24" ht="13.5" customHeight="1" x14ac:dyDescent="0.3">
      <c r="A192" s="245" t="s">
        <v>2112</v>
      </c>
      <c r="B192" s="246">
        <v>46064</v>
      </c>
      <c r="C192" s="245" t="s">
        <v>2125</v>
      </c>
      <c r="D192" s="245" t="s">
        <v>827</v>
      </c>
      <c r="E192" s="245"/>
      <c r="F192" s="245"/>
      <c r="G192" s="245" t="s">
        <v>2129</v>
      </c>
      <c r="H192" s="245" t="s">
        <v>2050</v>
      </c>
      <c r="I192" s="245" t="s">
        <v>1988</v>
      </c>
      <c r="J192" s="245" t="s">
        <v>2702</v>
      </c>
      <c r="K192" s="245" t="s">
        <v>2703</v>
      </c>
      <c r="L192" s="246">
        <v>46064</v>
      </c>
      <c r="M192" s="245" t="s">
        <v>1988</v>
      </c>
      <c r="N192" s="245" t="s">
        <v>1989</v>
      </c>
      <c r="O192" s="245" t="s">
        <v>1990</v>
      </c>
      <c r="P192" s="245" t="s">
        <v>111</v>
      </c>
      <c r="Q192" s="247">
        <v>0</v>
      </c>
      <c r="R192" s="247">
        <v>0</v>
      </c>
      <c r="S192" s="247">
        <v>17.82</v>
      </c>
      <c r="T192" s="245" t="s">
        <v>1991</v>
      </c>
      <c r="U192" s="245" t="s">
        <v>2113</v>
      </c>
      <c r="V192" s="241" t="s">
        <v>1993</v>
      </c>
      <c r="W192" s="241" t="s">
        <v>93</v>
      </c>
      <c r="X192" s="241" t="s">
        <v>1994</v>
      </c>
    </row>
    <row r="193" spans="1:24" ht="13.5" customHeight="1" x14ac:dyDescent="0.3">
      <c r="A193" s="245" t="s">
        <v>1985</v>
      </c>
      <c r="B193" s="246">
        <v>46064</v>
      </c>
      <c r="C193" s="245" t="s">
        <v>2125</v>
      </c>
      <c r="D193" s="245" t="s">
        <v>827</v>
      </c>
      <c r="E193" s="245"/>
      <c r="F193" s="245"/>
      <c r="G193" s="245" t="s">
        <v>2129</v>
      </c>
      <c r="H193" s="245" t="s">
        <v>2050</v>
      </c>
      <c r="I193" s="245" t="s">
        <v>1988</v>
      </c>
      <c r="J193" s="245" t="s">
        <v>2702</v>
      </c>
      <c r="K193" s="245" t="s">
        <v>2703</v>
      </c>
      <c r="L193" s="246">
        <v>46064</v>
      </c>
      <c r="M193" s="245" t="s">
        <v>1988</v>
      </c>
      <c r="N193" s="245" t="s">
        <v>1989</v>
      </c>
      <c r="O193" s="245" t="s">
        <v>1990</v>
      </c>
      <c r="P193" s="245" t="s">
        <v>111</v>
      </c>
      <c r="Q193" s="247">
        <v>1897845.65</v>
      </c>
      <c r="R193" s="247">
        <v>1897845.65</v>
      </c>
      <c r="S193" s="247">
        <v>1311.22</v>
      </c>
      <c r="T193" s="245" t="s">
        <v>1991</v>
      </c>
      <c r="U193" s="245" t="s">
        <v>2113</v>
      </c>
      <c r="V193" s="241" t="s">
        <v>1993</v>
      </c>
      <c r="W193" s="241" t="s">
        <v>93</v>
      </c>
      <c r="X193" s="241" t="s">
        <v>1994</v>
      </c>
    </row>
    <row r="194" spans="1:24" ht="13.5" customHeight="1" x14ac:dyDescent="0.3">
      <c r="A194" s="245" t="s">
        <v>2112</v>
      </c>
      <c r="B194" s="246">
        <v>46064</v>
      </c>
      <c r="C194" s="245" t="s">
        <v>2125</v>
      </c>
      <c r="D194" s="245" t="s">
        <v>827</v>
      </c>
      <c r="E194" s="245"/>
      <c r="F194" s="245"/>
      <c r="G194" s="245" t="s">
        <v>2704</v>
      </c>
      <c r="H194" s="245" t="s">
        <v>2041</v>
      </c>
      <c r="I194" s="245" t="s">
        <v>1988</v>
      </c>
      <c r="J194" s="245" t="s">
        <v>2705</v>
      </c>
      <c r="K194" s="245" t="s">
        <v>2706</v>
      </c>
      <c r="L194" s="246">
        <v>46064</v>
      </c>
      <c r="M194" s="245" t="s">
        <v>1988</v>
      </c>
      <c r="N194" s="245" t="s">
        <v>1989</v>
      </c>
      <c r="O194" s="245" t="s">
        <v>1990</v>
      </c>
      <c r="P194" s="245" t="s">
        <v>111</v>
      </c>
      <c r="Q194" s="247">
        <v>-3071442.71</v>
      </c>
      <c r="R194" s="247">
        <v>-3071442.71</v>
      </c>
      <c r="S194" s="247">
        <v>-2150.89</v>
      </c>
      <c r="T194" s="245" t="s">
        <v>1991</v>
      </c>
      <c r="U194" s="245" t="s">
        <v>2113</v>
      </c>
      <c r="V194" s="241" t="s">
        <v>1993</v>
      </c>
      <c r="W194" s="241" t="s">
        <v>93</v>
      </c>
      <c r="X194" s="241" t="s">
        <v>1994</v>
      </c>
    </row>
    <row r="195" spans="1:24" ht="13.5" customHeight="1" x14ac:dyDescent="0.3">
      <c r="A195" s="245" t="s">
        <v>2112</v>
      </c>
      <c r="B195" s="246">
        <v>46064</v>
      </c>
      <c r="C195" s="245" t="s">
        <v>2125</v>
      </c>
      <c r="D195" s="245" t="s">
        <v>827</v>
      </c>
      <c r="E195" s="245"/>
      <c r="F195" s="245"/>
      <c r="G195" s="245" t="s">
        <v>2704</v>
      </c>
      <c r="H195" s="245" t="s">
        <v>2041</v>
      </c>
      <c r="I195" s="245" t="s">
        <v>1988</v>
      </c>
      <c r="J195" s="245" t="s">
        <v>2705</v>
      </c>
      <c r="K195" s="245" t="s">
        <v>2706</v>
      </c>
      <c r="L195" s="246">
        <v>46064</v>
      </c>
      <c r="M195" s="245" t="s">
        <v>1988</v>
      </c>
      <c r="N195" s="245" t="s">
        <v>1989</v>
      </c>
      <c r="O195" s="245" t="s">
        <v>1990</v>
      </c>
      <c r="P195" s="245" t="s">
        <v>111</v>
      </c>
      <c r="Q195" s="247">
        <v>0</v>
      </c>
      <c r="R195" s="247">
        <v>0</v>
      </c>
      <c r="S195" s="247">
        <v>28.84</v>
      </c>
      <c r="T195" s="245" t="s">
        <v>1991</v>
      </c>
      <c r="U195" s="245" t="s">
        <v>2113</v>
      </c>
      <c r="V195" s="241" t="s">
        <v>1993</v>
      </c>
      <c r="W195" s="241" t="s">
        <v>93</v>
      </c>
      <c r="X195" s="241" t="s">
        <v>1994</v>
      </c>
    </row>
    <row r="196" spans="1:24" ht="13.5" customHeight="1" x14ac:dyDescent="0.3">
      <c r="A196" s="245" t="s">
        <v>1985</v>
      </c>
      <c r="B196" s="246">
        <v>46064</v>
      </c>
      <c r="C196" s="245" t="s">
        <v>2125</v>
      </c>
      <c r="D196" s="245" t="s">
        <v>827</v>
      </c>
      <c r="E196" s="245"/>
      <c r="F196" s="245"/>
      <c r="G196" s="245" t="s">
        <v>2704</v>
      </c>
      <c r="H196" s="245" t="s">
        <v>2041</v>
      </c>
      <c r="I196" s="245" t="s">
        <v>1988</v>
      </c>
      <c r="J196" s="245" t="s">
        <v>2705</v>
      </c>
      <c r="K196" s="245" t="s">
        <v>2706</v>
      </c>
      <c r="L196" s="246">
        <v>46064</v>
      </c>
      <c r="M196" s="245" t="s">
        <v>1988</v>
      </c>
      <c r="N196" s="245" t="s">
        <v>1989</v>
      </c>
      <c r="O196" s="245" t="s">
        <v>1990</v>
      </c>
      <c r="P196" s="245" t="s">
        <v>111</v>
      </c>
      <c r="Q196" s="247">
        <v>3071442.71</v>
      </c>
      <c r="R196" s="247">
        <v>3071442.71</v>
      </c>
      <c r="S196" s="247">
        <v>2122.0500000000002</v>
      </c>
      <c r="T196" s="245" t="s">
        <v>1991</v>
      </c>
      <c r="U196" s="245" t="s">
        <v>2113</v>
      </c>
      <c r="V196" s="241" t="s">
        <v>1993</v>
      </c>
      <c r="W196" s="241" t="s">
        <v>93</v>
      </c>
      <c r="X196" s="241" t="s">
        <v>1994</v>
      </c>
    </row>
    <row r="197" spans="1:24" ht="13.5" customHeight="1" x14ac:dyDescent="0.3">
      <c r="A197" s="245" t="s">
        <v>2112</v>
      </c>
      <c r="B197" s="246">
        <v>46063</v>
      </c>
      <c r="C197" s="245" t="s">
        <v>1089</v>
      </c>
      <c r="D197" s="245" t="s">
        <v>1091</v>
      </c>
      <c r="E197" s="245"/>
      <c r="F197" s="245"/>
      <c r="G197" s="245" t="s">
        <v>2707</v>
      </c>
      <c r="H197" s="245" t="s">
        <v>2089</v>
      </c>
      <c r="I197" s="245" t="s">
        <v>1988</v>
      </c>
      <c r="J197" s="245" t="s">
        <v>2708</v>
      </c>
      <c r="K197" s="245" t="s">
        <v>2709</v>
      </c>
      <c r="L197" s="246">
        <v>46063</v>
      </c>
      <c r="M197" s="245" t="s">
        <v>1988</v>
      </c>
      <c r="N197" s="245" t="s">
        <v>1989</v>
      </c>
      <c r="O197" s="245" t="s">
        <v>1990</v>
      </c>
      <c r="P197" s="245" t="s">
        <v>111</v>
      </c>
      <c r="Q197" s="247">
        <v>-1796491.65</v>
      </c>
      <c r="R197" s="247">
        <v>-1796491.65</v>
      </c>
      <c r="S197" s="247">
        <v>-1254.27</v>
      </c>
      <c r="T197" s="245" t="s">
        <v>1991</v>
      </c>
      <c r="U197" s="245" t="s">
        <v>2113</v>
      </c>
      <c r="V197" s="241" t="s">
        <v>1993</v>
      </c>
      <c r="W197" s="241" t="s">
        <v>93</v>
      </c>
      <c r="X197" s="241" t="s">
        <v>1994</v>
      </c>
    </row>
    <row r="198" spans="1:24" ht="13.5" customHeight="1" x14ac:dyDescent="0.3">
      <c r="A198" s="245" t="s">
        <v>2112</v>
      </c>
      <c r="B198" s="246">
        <v>46063</v>
      </c>
      <c r="C198" s="245" t="s">
        <v>1089</v>
      </c>
      <c r="D198" s="245" t="s">
        <v>1091</v>
      </c>
      <c r="E198" s="245"/>
      <c r="F198" s="245"/>
      <c r="G198" s="245" t="s">
        <v>2707</v>
      </c>
      <c r="H198" s="245" t="s">
        <v>2089</v>
      </c>
      <c r="I198" s="245" t="s">
        <v>1988</v>
      </c>
      <c r="J198" s="245" t="s">
        <v>2708</v>
      </c>
      <c r="K198" s="245" t="s">
        <v>2709</v>
      </c>
      <c r="L198" s="246">
        <v>46063</v>
      </c>
      <c r="M198" s="245" t="s">
        <v>1988</v>
      </c>
      <c r="N198" s="245" t="s">
        <v>1989</v>
      </c>
      <c r="O198" s="245" t="s">
        <v>1990</v>
      </c>
      <c r="P198" s="245" t="s">
        <v>111</v>
      </c>
      <c r="Q198" s="247">
        <v>0</v>
      </c>
      <c r="R198" s="247">
        <v>0</v>
      </c>
      <c r="S198" s="247">
        <v>13.08</v>
      </c>
      <c r="T198" s="245" t="s">
        <v>1991</v>
      </c>
      <c r="U198" s="245" t="s">
        <v>2113</v>
      </c>
      <c r="V198" s="241" t="s">
        <v>1993</v>
      </c>
      <c r="W198" s="241" t="s">
        <v>93</v>
      </c>
      <c r="X198" s="241" t="s">
        <v>1994</v>
      </c>
    </row>
    <row r="199" spans="1:24" ht="13.5" customHeight="1" x14ac:dyDescent="0.3">
      <c r="A199" s="245" t="s">
        <v>1985</v>
      </c>
      <c r="B199" s="246">
        <v>46063</v>
      </c>
      <c r="C199" s="245" t="s">
        <v>1089</v>
      </c>
      <c r="D199" s="245" t="s">
        <v>1091</v>
      </c>
      <c r="E199" s="245"/>
      <c r="F199" s="245"/>
      <c r="G199" s="245" t="s">
        <v>2707</v>
      </c>
      <c r="H199" s="245" t="s">
        <v>2089</v>
      </c>
      <c r="I199" s="245" t="s">
        <v>1988</v>
      </c>
      <c r="J199" s="245" t="s">
        <v>2708</v>
      </c>
      <c r="K199" s="245" t="s">
        <v>2709</v>
      </c>
      <c r="L199" s="246">
        <v>46063</v>
      </c>
      <c r="M199" s="245" t="s">
        <v>1988</v>
      </c>
      <c r="N199" s="245" t="s">
        <v>1989</v>
      </c>
      <c r="O199" s="245" t="s">
        <v>1990</v>
      </c>
      <c r="P199" s="245" t="s">
        <v>111</v>
      </c>
      <c r="Q199" s="247">
        <v>1796491.65</v>
      </c>
      <c r="R199" s="247">
        <v>1796491.65</v>
      </c>
      <c r="S199" s="247">
        <v>1241.19</v>
      </c>
      <c r="T199" s="245" t="s">
        <v>1991</v>
      </c>
      <c r="U199" s="245" t="s">
        <v>2113</v>
      </c>
      <c r="V199" s="241" t="s">
        <v>1993</v>
      </c>
      <c r="W199" s="241" t="s">
        <v>93</v>
      </c>
      <c r="X199" s="241" t="s">
        <v>1994</v>
      </c>
    </row>
    <row r="200" spans="1:24" ht="13.5" customHeight="1" x14ac:dyDescent="0.3">
      <c r="A200" s="245" t="s">
        <v>2112</v>
      </c>
      <c r="B200" s="246">
        <v>46063</v>
      </c>
      <c r="C200" s="245" t="s">
        <v>1089</v>
      </c>
      <c r="D200" s="245" t="s">
        <v>1091</v>
      </c>
      <c r="E200" s="245"/>
      <c r="F200" s="245"/>
      <c r="G200" s="245" t="s">
        <v>2710</v>
      </c>
      <c r="H200" s="245" t="s">
        <v>2091</v>
      </c>
      <c r="I200" s="245" t="s">
        <v>1988</v>
      </c>
      <c r="J200" s="245" t="s">
        <v>2711</v>
      </c>
      <c r="K200" s="245" t="s">
        <v>2712</v>
      </c>
      <c r="L200" s="246">
        <v>46063</v>
      </c>
      <c r="M200" s="245" t="s">
        <v>1988</v>
      </c>
      <c r="N200" s="245" t="s">
        <v>1989</v>
      </c>
      <c r="O200" s="245" t="s">
        <v>1990</v>
      </c>
      <c r="P200" s="245" t="s">
        <v>111</v>
      </c>
      <c r="Q200" s="247">
        <v>-1118172.1299999999</v>
      </c>
      <c r="R200" s="247">
        <v>-1118172.1299999999</v>
      </c>
      <c r="S200" s="247">
        <v>-780.68</v>
      </c>
      <c r="T200" s="245" t="s">
        <v>1991</v>
      </c>
      <c r="U200" s="245" t="s">
        <v>2113</v>
      </c>
      <c r="V200" s="241" t="s">
        <v>1993</v>
      </c>
      <c r="W200" s="241" t="s">
        <v>93</v>
      </c>
      <c r="X200" s="241" t="s">
        <v>1994</v>
      </c>
    </row>
    <row r="201" spans="1:24" ht="13.5" customHeight="1" x14ac:dyDescent="0.3">
      <c r="A201" s="245" t="s">
        <v>2112</v>
      </c>
      <c r="B201" s="246">
        <v>46063</v>
      </c>
      <c r="C201" s="245" t="s">
        <v>1089</v>
      </c>
      <c r="D201" s="245" t="s">
        <v>1091</v>
      </c>
      <c r="E201" s="245"/>
      <c r="F201" s="245"/>
      <c r="G201" s="245" t="s">
        <v>2710</v>
      </c>
      <c r="H201" s="245" t="s">
        <v>2091</v>
      </c>
      <c r="I201" s="245" t="s">
        <v>1988</v>
      </c>
      <c r="J201" s="245" t="s">
        <v>2711</v>
      </c>
      <c r="K201" s="245" t="s">
        <v>2712</v>
      </c>
      <c r="L201" s="246">
        <v>46063</v>
      </c>
      <c r="M201" s="245" t="s">
        <v>1988</v>
      </c>
      <c r="N201" s="245" t="s">
        <v>1989</v>
      </c>
      <c r="O201" s="245" t="s">
        <v>1990</v>
      </c>
      <c r="P201" s="245" t="s">
        <v>111</v>
      </c>
      <c r="Q201" s="247">
        <v>0</v>
      </c>
      <c r="R201" s="247">
        <v>0</v>
      </c>
      <c r="S201" s="247">
        <v>8.14</v>
      </c>
      <c r="T201" s="245" t="s">
        <v>1991</v>
      </c>
      <c r="U201" s="245" t="s">
        <v>2113</v>
      </c>
      <c r="V201" s="241" t="s">
        <v>1993</v>
      </c>
      <c r="W201" s="241" t="s">
        <v>93</v>
      </c>
      <c r="X201" s="241" t="s">
        <v>1994</v>
      </c>
    </row>
    <row r="202" spans="1:24" ht="13.5" customHeight="1" x14ac:dyDescent="0.3">
      <c r="A202" s="245" t="s">
        <v>1985</v>
      </c>
      <c r="B202" s="246">
        <v>46063</v>
      </c>
      <c r="C202" s="245" t="s">
        <v>1089</v>
      </c>
      <c r="D202" s="245" t="s">
        <v>1091</v>
      </c>
      <c r="E202" s="245"/>
      <c r="F202" s="245"/>
      <c r="G202" s="245" t="s">
        <v>2710</v>
      </c>
      <c r="H202" s="245" t="s">
        <v>2091</v>
      </c>
      <c r="I202" s="245" t="s">
        <v>1988</v>
      </c>
      <c r="J202" s="245" t="s">
        <v>2711</v>
      </c>
      <c r="K202" s="245" t="s">
        <v>2712</v>
      </c>
      <c r="L202" s="246">
        <v>46063</v>
      </c>
      <c r="M202" s="245" t="s">
        <v>1988</v>
      </c>
      <c r="N202" s="245" t="s">
        <v>1989</v>
      </c>
      <c r="O202" s="245" t="s">
        <v>1990</v>
      </c>
      <c r="P202" s="245" t="s">
        <v>111</v>
      </c>
      <c r="Q202" s="247">
        <v>1118172.1299999999</v>
      </c>
      <c r="R202" s="247">
        <v>1118172.1299999999</v>
      </c>
      <c r="S202" s="247">
        <v>772.54</v>
      </c>
      <c r="T202" s="245" t="s">
        <v>1991</v>
      </c>
      <c r="U202" s="245" t="s">
        <v>2113</v>
      </c>
      <c r="V202" s="241" t="s">
        <v>1993</v>
      </c>
      <c r="W202" s="241" t="s">
        <v>93</v>
      </c>
      <c r="X202" s="241" t="s">
        <v>1994</v>
      </c>
    </row>
    <row r="203" spans="1:24" ht="13.5" customHeight="1" x14ac:dyDescent="0.3">
      <c r="A203" s="245" t="s">
        <v>2112</v>
      </c>
      <c r="B203" s="246">
        <v>46063</v>
      </c>
      <c r="C203" s="245" t="s">
        <v>1089</v>
      </c>
      <c r="D203" s="245" t="s">
        <v>1091</v>
      </c>
      <c r="E203" s="245"/>
      <c r="F203" s="245"/>
      <c r="G203" s="245" t="s">
        <v>2147</v>
      </c>
      <c r="H203" s="245" t="s">
        <v>2092</v>
      </c>
      <c r="I203" s="245" t="s">
        <v>1988</v>
      </c>
      <c r="J203" s="245" t="s">
        <v>2713</v>
      </c>
      <c r="K203" s="245" t="s">
        <v>2714</v>
      </c>
      <c r="L203" s="246">
        <v>46063</v>
      </c>
      <c r="M203" s="245" t="s">
        <v>1988</v>
      </c>
      <c r="N203" s="245" t="s">
        <v>1989</v>
      </c>
      <c r="O203" s="245" t="s">
        <v>1990</v>
      </c>
      <c r="P203" s="245" t="s">
        <v>111</v>
      </c>
      <c r="Q203" s="247">
        <v>-458820</v>
      </c>
      <c r="R203" s="247">
        <v>-458820</v>
      </c>
      <c r="S203" s="247">
        <v>-320.33999999999997</v>
      </c>
      <c r="T203" s="245" t="s">
        <v>1991</v>
      </c>
      <c r="U203" s="245" t="s">
        <v>2113</v>
      </c>
      <c r="V203" s="241" t="s">
        <v>1993</v>
      </c>
      <c r="W203" s="241" t="s">
        <v>93</v>
      </c>
      <c r="X203" s="241" t="s">
        <v>1994</v>
      </c>
    </row>
    <row r="204" spans="1:24" ht="13.5" customHeight="1" x14ac:dyDescent="0.3">
      <c r="A204" s="245" t="s">
        <v>2112</v>
      </c>
      <c r="B204" s="246">
        <v>46063</v>
      </c>
      <c r="C204" s="245" t="s">
        <v>1089</v>
      </c>
      <c r="D204" s="245" t="s">
        <v>1091</v>
      </c>
      <c r="E204" s="245"/>
      <c r="F204" s="245"/>
      <c r="G204" s="245" t="s">
        <v>2147</v>
      </c>
      <c r="H204" s="245" t="s">
        <v>2092</v>
      </c>
      <c r="I204" s="245" t="s">
        <v>1988</v>
      </c>
      <c r="J204" s="245" t="s">
        <v>2713</v>
      </c>
      <c r="K204" s="245" t="s">
        <v>2714</v>
      </c>
      <c r="L204" s="246">
        <v>46063</v>
      </c>
      <c r="M204" s="245" t="s">
        <v>1988</v>
      </c>
      <c r="N204" s="245" t="s">
        <v>1989</v>
      </c>
      <c r="O204" s="245" t="s">
        <v>1990</v>
      </c>
      <c r="P204" s="245" t="s">
        <v>111</v>
      </c>
      <c r="Q204" s="247">
        <v>0</v>
      </c>
      <c r="R204" s="247">
        <v>0</v>
      </c>
      <c r="S204" s="247">
        <v>3.34</v>
      </c>
      <c r="T204" s="245" t="s">
        <v>1991</v>
      </c>
      <c r="U204" s="245" t="s">
        <v>2113</v>
      </c>
      <c r="V204" s="241" t="s">
        <v>1993</v>
      </c>
      <c r="W204" s="241" t="s">
        <v>93</v>
      </c>
      <c r="X204" s="241" t="s">
        <v>1994</v>
      </c>
    </row>
    <row r="205" spans="1:24" ht="13.5" customHeight="1" x14ac:dyDescent="0.3">
      <c r="A205" s="245" t="s">
        <v>1985</v>
      </c>
      <c r="B205" s="246">
        <v>46063</v>
      </c>
      <c r="C205" s="245" t="s">
        <v>1089</v>
      </c>
      <c r="D205" s="245" t="s">
        <v>1091</v>
      </c>
      <c r="E205" s="245"/>
      <c r="F205" s="245"/>
      <c r="G205" s="245" t="s">
        <v>2147</v>
      </c>
      <c r="H205" s="245" t="s">
        <v>2092</v>
      </c>
      <c r="I205" s="245" t="s">
        <v>1988</v>
      </c>
      <c r="J205" s="245" t="s">
        <v>2713</v>
      </c>
      <c r="K205" s="245" t="s">
        <v>2714</v>
      </c>
      <c r="L205" s="246">
        <v>46063</v>
      </c>
      <c r="M205" s="245" t="s">
        <v>1988</v>
      </c>
      <c r="N205" s="245" t="s">
        <v>1989</v>
      </c>
      <c r="O205" s="245" t="s">
        <v>1990</v>
      </c>
      <c r="P205" s="245" t="s">
        <v>111</v>
      </c>
      <c r="Q205" s="247">
        <v>458820</v>
      </c>
      <c r="R205" s="247">
        <v>458820</v>
      </c>
      <c r="S205" s="247">
        <v>317</v>
      </c>
      <c r="T205" s="245" t="s">
        <v>1991</v>
      </c>
      <c r="U205" s="245" t="s">
        <v>2113</v>
      </c>
      <c r="V205" s="241" t="s">
        <v>1993</v>
      </c>
      <c r="W205" s="241" t="s">
        <v>93</v>
      </c>
      <c r="X205" s="241" t="s">
        <v>1994</v>
      </c>
    </row>
    <row r="206" spans="1:24" ht="13.5" customHeight="1" x14ac:dyDescent="0.3">
      <c r="A206" s="245" t="s">
        <v>2112</v>
      </c>
      <c r="B206" s="246">
        <v>46063</v>
      </c>
      <c r="C206" s="245" t="s">
        <v>2140</v>
      </c>
      <c r="D206" s="245" t="s">
        <v>2141</v>
      </c>
      <c r="E206" s="245"/>
      <c r="F206" s="245"/>
      <c r="G206" s="245" t="s">
        <v>2142</v>
      </c>
      <c r="H206" s="245" t="s">
        <v>2001</v>
      </c>
      <c r="I206" s="245" t="s">
        <v>1988</v>
      </c>
      <c r="J206" s="245" t="s">
        <v>2715</v>
      </c>
      <c r="K206" s="245" t="s">
        <v>2716</v>
      </c>
      <c r="L206" s="246">
        <v>46063</v>
      </c>
      <c r="M206" s="245" t="s">
        <v>1988</v>
      </c>
      <c r="N206" s="245" t="s">
        <v>1989</v>
      </c>
      <c r="O206" s="245" t="s">
        <v>1990</v>
      </c>
      <c r="P206" s="245" t="s">
        <v>111</v>
      </c>
      <c r="Q206" s="247">
        <v>-3456000</v>
      </c>
      <c r="R206" s="247">
        <v>-3456000</v>
      </c>
      <c r="S206" s="247">
        <v>-2412.9</v>
      </c>
      <c r="T206" s="245" t="s">
        <v>1991</v>
      </c>
      <c r="U206" s="245" t="s">
        <v>2113</v>
      </c>
      <c r="V206" s="241" t="s">
        <v>1993</v>
      </c>
      <c r="W206" s="241" t="s">
        <v>93</v>
      </c>
      <c r="X206" s="241" t="s">
        <v>1994</v>
      </c>
    </row>
    <row r="207" spans="1:24" ht="13.5" customHeight="1" x14ac:dyDescent="0.3">
      <c r="A207" s="245" t="s">
        <v>2112</v>
      </c>
      <c r="B207" s="246">
        <v>46063</v>
      </c>
      <c r="C207" s="245" t="s">
        <v>2140</v>
      </c>
      <c r="D207" s="245" t="s">
        <v>2141</v>
      </c>
      <c r="E207" s="245"/>
      <c r="F207" s="245"/>
      <c r="G207" s="245" t="s">
        <v>2142</v>
      </c>
      <c r="H207" s="245" t="s">
        <v>2001</v>
      </c>
      <c r="I207" s="245" t="s">
        <v>1988</v>
      </c>
      <c r="J207" s="245" t="s">
        <v>2715</v>
      </c>
      <c r="K207" s="245" t="s">
        <v>2716</v>
      </c>
      <c r="L207" s="246">
        <v>46063</v>
      </c>
      <c r="M207" s="245" t="s">
        <v>1988</v>
      </c>
      <c r="N207" s="245" t="s">
        <v>1989</v>
      </c>
      <c r="O207" s="245" t="s">
        <v>1990</v>
      </c>
      <c r="P207" s="245" t="s">
        <v>111</v>
      </c>
      <c r="Q207" s="247">
        <v>0</v>
      </c>
      <c r="R207" s="247">
        <v>0</v>
      </c>
      <c r="S207" s="247">
        <v>8.39</v>
      </c>
      <c r="T207" s="245" t="s">
        <v>1991</v>
      </c>
      <c r="U207" s="245" t="s">
        <v>2113</v>
      </c>
      <c r="V207" s="241" t="s">
        <v>1993</v>
      </c>
      <c r="W207" s="241" t="s">
        <v>93</v>
      </c>
      <c r="X207" s="241" t="s">
        <v>1994</v>
      </c>
    </row>
    <row r="208" spans="1:24" ht="13.5" customHeight="1" x14ac:dyDescent="0.3">
      <c r="A208" s="245" t="s">
        <v>2112</v>
      </c>
      <c r="B208" s="246">
        <v>46063</v>
      </c>
      <c r="C208" s="245" t="s">
        <v>2140</v>
      </c>
      <c r="D208" s="245" t="s">
        <v>2141</v>
      </c>
      <c r="E208" s="245"/>
      <c r="F208" s="245"/>
      <c r="G208" s="245" t="s">
        <v>2142</v>
      </c>
      <c r="H208" s="245" t="s">
        <v>2001</v>
      </c>
      <c r="I208" s="245" t="s">
        <v>1988</v>
      </c>
      <c r="J208" s="245" t="s">
        <v>2715</v>
      </c>
      <c r="K208" s="245" t="s">
        <v>2716</v>
      </c>
      <c r="L208" s="246">
        <v>46063</v>
      </c>
      <c r="M208" s="245" t="s">
        <v>1988</v>
      </c>
      <c r="N208" s="245" t="s">
        <v>1989</v>
      </c>
      <c r="O208" s="245" t="s">
        <v>1990</v>
      </c>
      <c r="P208" s="245" t="s">
        <v>111</v>
      </c>
      <c r="Q208" s="247">
        <v>0</v>
      </c>
      <c r="R208" s="247">
        <v>0</v>
      </c>
      <c r="S208" s="247">
        <v>16.77</v>
      </c>
      <c r="T208" s="245" t="s">
        <v>1991</v>
      </c>
      <c r="U208" s="245" t="s">
        <v>2113</v>
      </c>
      <c r="V208" s="241" t="s">
        <v>1993</v>
      </c>
      <c r="W208" s="241" t="s">
        <v>93</v>
      </c>
      <c r="X208" s="241" t="s">
        <v>1994</v>
      </c>
    </row>
    <row r="209" spans="1:24" ht="13.5" customHeight="1" x14ac:dyDescent="0.3">
      <c r="A209" s="245" t="s">
        <v>1985</v>
      </c>
      <c r="B209" s="246">
        <v>46063</v>
      </c>
      <c r="C209" s="245" t="s">
        <v>2140</v>
      </c>
      <c r="D209" s="245" t="s">
        <v>2141</v>
      </c>
      <c r="E209" s="245"/>
      <c r="F209" s="245"/>
      <c r="G209" s="245" t="s">
        <v>2142</v>
      </c>
      <c r="H209" s="245" t="s">
        <v>2001</v>
      </c>
      <c r="I209" s="245" t="s">
        <v>1988</v>
      </c>
      <c r="J209" s="245" t="s">
        <v>2715</v>
      </c>
      <c r="K209" s="245" t="s">
        <v>2716</v>
      </c>
      <c r="L209" s="246">
        <v>46063</v>
      </c>
      <c r="M209" s="245" t="s">
        <v>1988</v>
      </c>
      <c r="N209" s="245" t="s">
        <v>1989</v>
      </c>
      <c r="O209" s="245" t="s">
        <v>1990</v>
      </c>
      <c r="P209" s="245" t="s">
        <v>111</v>
      </c>
      <c r="Q209" s="247">
        <v>3456000</v>
      </c>
      <c r="R209" s="247">
        <v>3456000</v>
      </c>
      <c r="S209" s="247">
        <v>2387.7399999999998</v>
      </c>
      <c r="T209" s="245" t="s">
        <v>1991</v>
      </c>
      <c r="U209" s="245" t="s">
        <v>2113</v>
      </c>
      <c r="V209" s="241" t="s">
        <v>1993</v>
      </c>
      <c r="W209" s="241" t="s">
        <v>93</v>
      </c>
      <c r="X209" s="241" t="s">
        <v>1994</v>
      </c>
    </row>
    <row r="210" spans="1:24" ht="13.5" customHeight="1" x14ac:dyDescent="0.3">
      <c r="A210" s="245" t="s">
        <v>2112</v>
      </c>
      <c r="B210" s="246">
        <v>46063</v>
      </c>
      <c r="C210" s="245" t="s">
        <v>1142</v>
      </c>
      <c r="D210" s="245" t="s">
        <v>1145</v>
      </c>
      <c r="E210" s="245"/>
      <c r="F210" s="245"/>
      <c r="G210" s="245" t="s">
        <v>2717</v>
      </c>
      <c r="H210" s="245" t="s">
        <v>2017</v>
      </c>
      <c r="I210" s="245" t="s">
        <v>1988</v>
      </c>
      <c r="J210" s="245" t="s">
        <v>2718</v>
      </c>
      <c r="K210" s="245" t="s">
        <v>2719</v>
      </c>
      <c r="L210" s="246">
        <v>46063</v>
      </c>
      <c r="M210" s="245" t="s">
        <v>1988</v>
      </c>
      <c r="N210" s="245" t="s">
        <v>1989</v>
      </c>
      <c r="O210" s="245" t="s">
        <v>1990</v>
      </c>
      <c r="P210" s="245" t="s">
        <v>111</v>
      </c>
      <c r="Q210" s="247">
        <v>-3153925.53</v>
      </c>
      <c r="R210" s="247">
        <v>-3153925.53</v>
      </c>
      <c r="S210" s="247">
        <v>-2202</v>
      </c>
      <c r="T210" s="245" t="s">
        <v>1991</v>
      </c>
      <c r="U210" s="245" t="s">
        <v>2113</v>
      </c>
      <c r="V210" s="241" t="s">
        <v>1993</v>
      </c>
      <c r="W210" s="241" t="s">
        <v>93</v>
      </c>
      <c r="X210" s="241" t="s">
        <v>1994</v>
      </c>
    </row>
    <row r="211" spans="1:24" ht="13.5" customHeight="1" x14ac:dyDescent="0.3">
      <c r="A211" s="245" t="s">
        <v>2112</v>
      </c>
      <c r="B211" s="246">
        <v>46063</v>
      </c>
      <c r="C211" s="245" t="s">
        <v>1142</v>
      </c>
      <c r="D211" s="245" t="s">
        <v>1145</v>
      </c>
      <c r="E211" s="245"/>
      <c r="F211" s="245"/>
      <c r="G211" s="245" t="s">
        <v>2717</v>
      </c>
      <c r="H211" s="245" t="s">
        <v>2017</v>
      </c>
      <c r="I211" s="245" t="s">
        <v>1988</v>
      </c>
      <c r="J211" s="245" t="s">
        <v>2718</v>
      </c>
      <c r="K211" s="245" t="s">
        <v>2719</v>
      </c>
      <c r="L211" s="246">
        <v>46063</v>
      </c>
      <c r="M211" s="245" t="s">
        <v>1988</v>
      </c>
      <c r="N211" s="245" t="s">
        <v>1989</v>
      </c>
      <c r="O211" s="245" t="s">
        <v>1990</v>
      </c>
      <c r="P211" s="245" t="s">
        <v>111</v>
      </c>
      <c r="Q211" s="247">
        <v>0</v>
      </c>
      <c r="R211" s="247">
        <v>0</v>
      </c>
      <c r="S211" s="247">
        <v>22.96</v>
      </c>
      <c r="T211" s="245" t="s">
        <v>1991</v>
      </c>
      <c r="U211" s="245" t="s">
        <v>2113</v>
      </c>
      <c r="V211" s="241" t="s">
        <v>1993</v>
      </c>
      <c r="W211" s="241" t="s">
        <v>93</v>
      </c>
      <c r="X211" s="241" t="s">
        <v>1994</v>
      </c>
    </row>
    <row r="212" spans="1:24" ht="13.5" customHeight="1" x14ac:dyDescent="0.3">
      <c r="A212" s="245" t="s">
        <v>1985</v>
      </c>
      <c r="B212" s="246">
        <v>46063</v>
      </c>
      <c r="C212" s="245" t="s">
        <v>1142</v>
      </c>
      <c r="D212" s="245" t="s">
        <v>1145</v>
      </c>
      <c r="E212" s="245"/>
      <c r="F212" s="245"/>
      <c r="G212" s="245" t="s">
        <v>2717</v>
      </c>
      <c r="H212" s="245" t="s">
        <v>2017</v>
      </c>
      <c r="I212" s="245" t="s">
        <v>1988</v>
      </c>
      <c r="J212" s="245" t="s">
        <v>2718</v>
      </c>
      <c r="K212" s="245" t="s">
        <v>2719</v>
      </c>
      <c r="L212" s="246">
        <v>46063</v>
      </c>
      <c r="M212" s="245" t="s">
        <v>1988</v>
      </c>
      <c r="N212" s="245" t="s">
        <v>1989</v>
      </c>
      <c r="O212" s="245" t="s">
        <v>1990</v>
      </c>
      <c r="P212" s="245" t="s">
        <v>111</v>
      </c>
      <c r="Q212" s="247">
        <v>3153925.53</v>
      </c>
      <c r="R212" s="247">
        <v>3153925.53</v>
      </c>
      <c r="S212" s="247">
        <v>2179.04</v>
      </c>
      <c r="T212" s="245" t="s">
        <v>1991</v>
      </c>
      <c r="U212" s="245" t="s">
        <v>2113</v>
      </c>
      <c r="V212" s="241" t="s">
        <v>1993</v>
      </c>
      <c r="W212" s="241" t="s">
        <v>93</v>
      </c>
      <c r="X212" s="241" t="s">
        <v>1994</v>
      </c>
    </row>
    <row r="213" spans="1:24" ht="13.5" customHeight="1" x14ac:dyDescent="0.3">
      <c r="A213" s="245" t="s">
        <v>2112</v>
      </c>
      <c r="B213" s="246">
        <v>46063</v>
      </c>
      <c r="C213" s="245" t="s">
        <v>1205</v>
      </c>
      <c r="D213" s="245" t="s">
        <v>1208</v>
      </c>
      <c r="E213" s="245"/>
      <c r="F213" s="245"/>
      <c r="G213" s="245" t="s">
        <v>2720</v>
      </c>
      <c r="H213" s="245" t="s">
        <v>2052</v>
      </c>
      <c r="I213" s="245" t="s">
        <v>1988</v>
      </c>
      <c r="J213" s="245" t="s">
        <v>2721</v>
      </c>
      <c r="K213" s="245" t="s">
        <v>2722</v>
      </c>
      <c r="L213" s="246">
        <v>46063</v>
      </c>
      <c r="M213" s="245" t="s">
        <v>1988</v>
      </c>
      <c r="N213" s="245" t="s">
        <v>1989</v>
      </c>
      <c r="O213" s="245" t="s">
        <v>1990</v>
      </c>
      <c r="P213" s="245" t="s">
        <v>111</v>
      </c>
      <c r="Q213" s="247">
        <v>-690638.53</v>
      </c>
      <c r="R213" s="247">
        <v>-690638.53</v>
      </c>
      <c r="S213" s="247">
        <v>-482.19</v>
      </c>
      <c r="T213" s="245" t="s">
        <v>1991</v>
      </c>
      <c r="U213" s="245" t="s">
        <v>2113</v>
      </c>
      <c r="V213" s="241" t="s">
        <v>1993</v>
      </c>
      <c r="W213" s="241" t="s">
        <v>93</v>
      </c>
      <c r="X213" s="241" t="s">
        <v>1994</v>
      </c>
    </row>
    <row r="214" spans="1:24" ht="13.5" customHeight="1" x14ac:dyDescent="0.3">
      <c r="A214" s="245" t="s">
        <v>2112</v>
      </c>
      <c r="B214" s="246">
        <v>46063</v>
      </c>
      <c r="C214" s="245" t="s">
        <v>1205</v>
      </c>
      <c r="D214" s="245" t="s">
        <v>1208</v>
      </c>
      <c r="E214" s="245"/>
      <c r="F214" s="245"/>
      <c r="G214" s="245" t="s">
        <v>2720</v>
      </c>
      <c r="H214" s="245" t="s">
        <v>2052</v>
      </c>
      <c r="I214" s="245" t="s">
        <v>1988</v>
      </c>
      <c r="J214" s="245" t="s">
        <v>2721</v>
      </c>
      <c r="K214" s="245" t="s">
        <v>2722</v>
      </c>
      <c r="L214" s="246">
        <v>46063</v>
      </c>
      <c r="M214" s="245" t="s">
        <v>1988</v>
      </c>
      <c r="N214" s="245" t="s">
        <v>1989</v>
      </c>
      <c r="O214" s="245" t="s">
        <v>1990</v>
      </c>
      <c r="P214" s="245" t="s">
        <v>111</v>
      </c>
      <c r="Q214" s="247">
        <v>0</v>
      </c>
      <c r="R214" s="247">
        <v>0</v>
      </c>
      <c r="S214" s="247">
        <v>5.03</v>
      </c>
      <c r="T214" s="245" t="s">
        <v>1991</v>
      </c>
      <c r="U214" s="245" t="s">
        <v>2113</v>
      </c>
      <c r="V214" s="241" t="s">
        <v>1993</v>
      </c>
      <c r="W214" s="241" t="s">
        <v>93</v>
      </c>
      <c r="X214" s="241" t="s">
        <v>1994</v>
      </c>
    </row>
    <row r="215" spans="1:24" ht="13.5" customHeight="1" x14ac:dyDescent="0.3">
      <c r="A215" s="245" t="s">
        <v>1985</v>
      </c>
      <c r="B215" s="246">
        <v>46063</v>
      </c>
      <c r="C215" s="245" t="s">
        <v>1205</v>
      </c>
      <c r="D215" s="245" t="s">
        <v>1208</v>
      </c>
      <c r="E215" s="245"/>
      <c r="F215" s="245"/>
      <c r="G215" s="245" t="s">
        <v>2720</v>
      </c>
      <c r="H215" s="245" t="s">
        <v>2052</v>
      </c>
      <c r="I215" s="245" t="s">
        <v>1988</v>
      </c>
      <c r="J215" s="245" t="s">
        <v>2721</v>
      </c>
      <c r="K215" s="245" t="s">
        <v>2722</v>
      </c>
      <c r="L215" s="246">
        <v>46063</v>
      </c>
      <c r="M215" s="245" t="s">
        <v>1988</v>
      </c>
      <c r="N215" s="245" t="s">
        <v>1989</v>
      </c>
      <c r="O215" s="245" t="s">
        <v>1990</v>
      </c>
      <c r="P215" s="245" t="s">
        <v>111</v>
      </c>
      <c r="Q215" s="247">
        <v>690638.53</v>
      </c>
      <c r="R215" s="247">
        <v>690638.53</v>
      </c>
      <c r="S215" s="247">
        <v>477.16</v>
      </c>
      <c r="T215" s="245" t="s">
        <v>1991</v>
      </c>
      <c r="U215" s="245" t="s">
        <v>2113</v>
      </c>
      <c r="V215" s="241" t="s">
        <v>1993</v>
      </c>
      <c r="W215" s="241" t="s">
        <v>93</v>
      </c>
      <c r="X215" s="241" t="s">
        <v>1994</v>
      </c>
    </row>
    <row r="216" spans="1:24" ht="13.5" customHeight="1" x14ac:dyDescent="0.3">
      <c r="A216" s="245" t="s">
        <v>2112</v>
      </c>
      <c r="B216" s="246">
        <v>46063</v>
      </c>
      <c r="C216" s="245" t="s">
        <v>1236</v>
      </c>
      <c r="D216" s="245" t="s">
        <v>1239</v>
      </c>
      <c r="E216" s="245"/>
      <c r="F216" s="245"/>
      <c r="G216" s="245" t="s">
        <v>2723</v>
      </c>
      <c r="H216" s="245" t="s">
        <v>2019</v>
      </c>
      <c r="I216" s="245" t="s">
        <v>2020</v>
      </c>
      <c r="J216" s="245" t="s">
        <v>2724</v>
      </c>
      <c r="K216" s="245" t="s">
        <v>2725</v>
      </c>
      <c r="L216" s="246">
        <v>46063</v>
      </c>
      <c r="M216" s="245" t="s">
        <v>2020</v>
      </c>
      <c r="N216" s="245" t="s">
        <v>1989</v>
      </c>
      <c r="O216" s="245" t="s">
        <v>1990</v>
      </c>
      <c r="P216" s="245" t="s">
        <v>111</v>
      </c>
      <c r="Q216" s="247">
        <v>-930000</v>
      </c>
      <c r="R216" s="247">
        <v>-930000</v>
      </c>
      <c r="S216" s="247">
        <v>-649.30999999999995</v>
      </c>
      <c r="T216" s="245" t="s">
        <v>1991</v>
      </c>
      <c r="U216" s="245" t="s">
        <v>2113</v>
      </c>
      <c r="V216" s="241" t="s">
        <v>1993</v>
      </c>
      <c r="W216" s="241" t="s">
        <v>93</v>
      </c>
      <c r="X216" s="241" t="s">
        <v>1994</v>
      </c>
    </row>
    <row r="217" spans="1:24" ht="13.5" customHeight="1" x14ac:dyDescent="0.3">
      <c r="A217" s="245" t="s">
        <v>2112</v>
      </c>
      <c r="B217" s="246">
        <v>46063</v>
      </c>
      <c r="C217" s="245" t="s">
        <v>1236</v>
      </c>
      <c r="D217" s="245" t="s">
        <v>1239</v>
      </c>
      <c r="E217" s="245"/>
      <c r="F217" s="245"/>
      <c r="G217" s="245" t="s">
        <v>2723</v>
      </c>
      <c r="H217" s="245" t="s">
        <v>2019</v>
      </c>
      <c r="I217" s="245" t="s">
        <v>2020</v>
      </c>
      <c r="J217" s="245" t="s">
        <v>2724</v>
      </c>
      <c r="K217" s="245" t="s">
        <v>2725</v>
      </c>
      <c r="L217" s="246">
        <v>46063</v>
      </c>
      <c r="M217" s="245" t="s">
        <v>2020</v>
      </c>
      <c r="N217" s="245" t="s">
        <v>1989</v>
      </c>
      <c r="O217" s="245" t="s">
        <v>1990</v>
      </c>
      <c r="P217" s="245" t="s">
        <v>111</v>
      </c>
      <c r="Q217" s="247">
        <v>0</v>
      </c>
      <c r="R217" s="247">
        <v>0</v>
      </c>
      <c r="S217" s="247">
        <v>6.78</v>
      </c>
      <c r="T217" s="245" t="s">
        <v>1991</v>
      </c>
      <c r="U217" s="245" t="s">
        <v>2113</v>
      </c>
      <c r="V217" s="241" t="s">
        <v>1993</v>
      </c>
      <c r="W217" s="241" t="s">
        <v>93</v>
      </c>
      <c r="X217" s="241" t="s">
        <v>1994</v>
      </c>
    </row>
    <row r="218" spans="1:24" ht="13.5" customHeight="1" x14ac:dyDescent="0.3">
      <c r="A218" s="245" t="s">
        <v>1985</v>
      </c>
      <c r="B218" s="246">
        <v>46063</v>
      </c>
      <c r="C218" s="245" t="s">
        <v>1236</v>
      </c>
      <c r="D218" s="245" t="s">
        <v>1239</v>
      </c>
      <c r="E218" s="245"/>
      <c r="F218" s="245"/>
      <c r="G218" s="245" t="s">
        <v>2723</v>
      </c>
      <c r="H218" s="245" t="s">
        <v>2019</v>
      </c>
      <c r="I218" s="245" t="s">
        <v>2020</v>
      </c>
      <c r="J218" s="245" t="s">
        <v>2724</v>
      </c>
      <c r="K218" s="245" t="s">
        <v>2725</v>
      </c>
      <c r="L218" s="246">
        <v>46063</v>
      </c>
      <c r="M218" s="245" t="s">
        <v>2020</v>
      </c>
      <c r="N218" s="245" t="s">
        <v>1989</v>
      </c>
      <c r="O218" s="245" t="s">
        <v>1990</v>
      </c>
      <c r="P218" s="245" t="s">
        <v>111</v>
      </c>
      <c r="Q218" s="247">
        <v>930000</v>
      </c>
      <c r="R218" s="247">
        <v>930000</v>
      </c>
      <c r="S218" s="247">
        <v>642.53</v>
      </c>
      <c r="T218" s="245" t="s">
        <v>1991</v>
      </c>
      <c r="U218" s="245" t="s">
        <v>2113</v>
      </c>
      <c r="V218" s="241" t="s">
        <v>1993</v>
      </c>
      <c r="W218" s="241" t="s">
        <v>93</v>
      </c>
      <c r="X218" s="241" t="s">
        <v>1994</v>
      </c>
    </row>
    <row r="219" spans="1:24" ht="13.5" customHeight="1" x14ac:dyDescent="0.3">
      <c r="A219" s="245" t="s">
        <v>2112</v>
      </c>
      <c r="B219" s="246">
        <v>46063</v>
      </c>
      <c r="C219" s="245" t="s">
        <v>720</v>
      </c>
      <c r="D219" s="245" t="s">
        <v>722</v>
      </c>
      <c r="E219" s="245"/>
      <c r="F219" s="245"/>
      <c r="G219" s="245" t="s">
        <v>2143</v>
      </c>
      <c r="H219" s="245" t="s">
        <v>2003</v>
      </c>
      <c r="I219" s="245" t="s">
        <v>1988</v>
      </c>
      <c r="J219" s="245" t="s">
        <v>2726</v>
      </c>
      <c r="K219" s="245" t="s">
        <v>2727</v>
      </c>
      <c r="L219" s="246">
        <v>46063</v>
      </c>
      <c r="M219" s="245" t="s">
        <v>1988</v>
      </c>
      <c r="N219" s="245" t="s">
        <v>1989</v>
      </c>
      <c r="O219" s="245" t="s">
        <v>1990</v>
      </c>
      <c r="P219" s="245" t="s">
        <v>111</v>
      </c>
      <c r="Q219" s="247">
        <v>-2485711.7599999998</v>
      </c>
      <c r="R219" s="247">
        <v>-2485711.7599999998</v>
      </c>
      <c r="S219" s="247">
        <v>-1735.47</v>
      </c>
      <c r="T219" s="245" t="s">
        <v>1991</v>
      </c>
      <c r="U219" s="245" t="s">
        <v>2113</v>
      </c>
      <c r="V219" s="241" t="s">
        <v>1993</v>
      </c>
      <c r="W219" s="241" t="s">
        <v>93</v>
      </c>
      <c r="X219" s="241" t="s">
        <v>1994</v>
      </c>
    </row>
    <row r="220" spans="1:24" ht="13.5" customHeight="1" x14ac:dyDescent="0.3">
      <c r="A220" s="245" t="s">
        <v>2112</v>
      </c>
      <c r="B220" s="246">
        <v>46063</v>
      </c>
      <c r="C220" s="245" t="s">
        <v>720</v>
      </c>
      <c r="D220" s="245" t="s">
        <v>722</v>
      </c>
      <c r="E220" s="245"/>
      <c r="F220" s="245"/>
      <c r="G220" s="245" t="s">
        <v>2143</v>
      </c>
      <c r="H220" s="245" t="s">
        <v>2003</v>
      </c>
      <c r="I220" s="245" t="s">
        <v>1988</v>
      </c>
      <c r="J220" s="245" t="s">
        <v>2726</v>
      </c>
      <c r="K220" s="245" t="s">
        <v>2727</v>
      </c>
      <c r="L220" s="246">
        <v>46063</v>
      </c>
      <c r="M220" s="245" t="s">
        <v>1988</v>
      </c>
      <c r="N220" s="245" t="s">
        <v>1989</v>
      </c>
      <c r="O220" s="245" t="s">
        <v>1990</v>
      </c>
      <c r="P220" s="245" t="s">
        <v>111</v>
      </c>
      <c r="Q220" s="247">
        <v>0</v>
      </c>
      <c r="R220" s="247">
        <v>0</v>
      </c>
      <c r="S220" s="247">
        <v>18.100000000000001</v>
      </c>
      <c r="T220" s="245" t="s">
        <v>1991</v>
      </c>
      <c r="U220" s="245" t="s">
        <v>2113</v>
      </c>
      <c r="V220" s="241" t="s">
        <v>1993</v>
      </c>
      <c r="W220" s="241" t="s">
        <v>93</v>
      </c>
      <c r="X220" s="241" t="s">
        <v>1994</v>
      </c>
    </row>
    <row r="221" spans="1:24" ht="13.5" customHeight="1" x14ac:dyDescent="0.3">
      <c r="A221" s="245" t="s">
        <v>1985</v>
      </c>
      <c r="B221" s="246">
        <v>46063</v>
      </c>
      <c r="C221" s="245" t="s">
        <v>720</v>
      </c>
      <c r="D221" s="245" t="s">
        <v>722</v>
      </c>
      <c r="E221" s="245"/>
      <c r="F221" s="245"/>
      <c r="G221" s="245" t="s">
        <v>2143</v>
      </c>
      <c r="H221" s="245" t="s">
        <v>2003</v>
      </c>
      <c r="I221" s="245" t="s">
        <v>1988</v>
      </c>
      <c r="J221" s="245" t="s">
        <v>2726</v>
      </c>
      <c r="K221" s="245" t="s">
        <v>2727</v>
      </c>
      <c r="L221" s="246">
        <v>46063</v>
      </c>
      <c r="M221" s="245" t="s">
        <v>1988</v>
      </c>
      <c r="N221" s="245" t="s">
        <v>1989</v>
      </c>
      <c r="O221" s="245" t="s">
        <v>1990</v>
      </c>
      <c r="P221" s="245" t="s">
        <v>111</v>
      </c>
      <c r="Q221" s="247">
        <v>2485711.7599999998</v>
      </c>
      <c r="R221" s="247">
        <v>2485711.7599999998</v>
      </c>
      <c r="S221" s="247">
        <v>1717.37</v>
      </c>
      <c r="T221" s="245" t="s">
        <v>1991</v>
      </c>
      <c r="U221" s="245" t="s">
        <v>2113</v>
      </c>
      <c r="V221" s="241" t="s">
        <v>1993</v>
      </c>
      <c r="W221" s="241" t="s">
        <v>93</v>
      </c>
      <c r="X221" s="241" t="s">
        <v>1994</v>
      </c>
    </row>
    <row r="222" spans="1:24" ht="13.5" customHeight="1" x14ac:dyDescent="0.3">
      <c r="A222" s="245" t="s">
        <v>2112</v>
      </c>
      <c r="B222" s="246">
        <v>46063</v>
      </c>
      <c r="C222" s="245" t="s">
        <v>763</v>
      </c>
      <c r="D222" s="245" t="s">
        <v>766</v>
      </c>
      <c r="E222" s="245"/>
      <c r="F222" s="245"/>
      <c r="G222" s="245" t="s">
        <v>2728</v>
      </c>
      <c r="H222" s="245" t="s">
        <v>2015</v>
      </c>
      <c r="I222" s="245" t="s">
        <v>1988</v>
      </c>
      <c r="J222" s="245" t="s">
        <v>2729</v>
      </c>
      <c r="K222" s="245" t="s">
        <v>2730</v>
      </c>
      <c r="L222" s="246">
        <v>46063</v>
      </c>
      <c r="M222" s="245" t="s">
        <v>1988</v>
      </c>
      <c r="N222" s="245" t="s">
        <v>1989</v>
      </c>
      <c r="O222" s="245" t="s">
        <v>1990</v>
      </c>
      <c r="P222" s="245" t="s">
        <v>111</v>
      </c>
      <c r="Q222" s="247">
        <v>-1755143.03</v>
      </c>
      <c r="R222" s="247">
        <v>-1755143.03</v>
      </c>
      <c r="S222" s="247">
        <v>-1225.4000000000001</v>
      </c>
      <c r="T222" s="245" t="s">
        <v>1991</v>
      </c>
      <c r="U222" s="245" t="s">
        <v>2113</v>
      </c>
      <c r="V222" s="241" t="s">
        <v>1993</v>
      </c>
      <c r="W222" s="241" t="s">
        <v>93</v>
      </c>
      <c r="X222" s="241" t="s">
        <v>1994</v>
      </c>
    </row>
    <row r="223" spans="1:24" ht="13.5" customHeight="1" x14ac:dyDescent="0.3">
      <c r="A223" s="245" t="s">
        <v>2112</v>
      </c>
      <c r="B223" s="246">
        <v>46063</v>
      </c>
      <c r="C223" s="245" t="s">
        <v>763</v>
      </c>
      <c r="D223" s="245" t="s">
        <v>766</v>
      </c>
      <c r="E223" s="245"/>
      <c r="F223" s="245"/>
      <c r="G223" s="245" t="s">
        <v>2728</v>
      </c>
      <c r="H223" s="245" t="s">
        <v>2015</v>
      </c>
      <c r="I223" s="245" t="s">
        <v>1988</v>
      </c>
      <c r="J223" s="245" t="s">
        <v>2729</v>
      </c>
      <c r="K223" s="245" t="s">
        <v>2730</v>
      </c>
      <c r="L223" s="246">
        <v>46063</v>
      </c>
      <c r="M223" s="245" t="s">
        <v>1988</v>
      </c>
      <c r="N223" s="245" t="s">
        <v>1989</v>
      </c>
      <c r="O223" s="245" t="s">
        <v>1990</v>
      </c>
      <c r="P223" s="245" t="s">
        <v>111</v>
      </c>
      <c r="Q223" s="247">
        <v>0</v>
      </c>
      <c r="R223" s="247">
        <v>0</v>
      </c>
      <c r="S223" s="247">
        <v>12.78</v>
      </c>
      <c r="T223" s="245" t="s">
        <v>1991</v>
      </c>
      <c r="U223" s="245" t="s">
        <v>2113</v>
      </c>
      <c r="V223" s="241" t="s">
        <v>1993</v>
      </c>
      <c r="W223" s="241" t="s">
        <v>93</v>
      </c>
      <c r="X223" s="241" t="s">
        <v>1994</v>
      </c>
    </row>
    <row r="224" spans="1:24" ht="13.5" customHeight="1" x14ac:dyDescent="0.3">
      <c r="A224" s="245" t="s">
        <v>1985</v>
      </c>
      <c r="B224" s="246">
        <v>46063</v>
      </c>
      <c r="C224" s="245" t="s">
        <v>763</v>
      </c>
      <c r="D224" s="245" t="s">
        <v>766</v>
      </c>
      <c r="E224" s="245"/>
      <c r="F224" s="245"/>
      <c r="G224" s="245" t="s">
        <v>2728</v>
      </c>
      <c r="H224" s="245" t="s">
        <v>2015</v>
      </c>
      <c r="I224" s="245" t="s">
        <v>1988</v>
      </c>
      <c r="J224" s="245" t="s">
        <v>2729</v>
      </c>
      <c r="K224" s="245" t="s">
        <v>2730</v>
      </c>
      <c r="L224" s="246">
        <v>46063</v>
      </c>
      <c r="M224" s="245" t="s">
        <v>1988</v>
      </c>
      <c r="N224" s="245" t="s">
        <v>1989</v>
      </c>
      <c r="O224" s="245" t="s">
        <v>1990</v>
      </c>
      <c r="P224" s="245" t="s">
        <v>111</v>
      </c>
      <c r="Q224" s="247">
        <v>1755143.03</v>
      </c>
      <c r="R224" s="247">
        <v>1755143.03</v>
      </c>
      <c r="S224" s="247">
        <v>1212.6199999999999</v>
      </c>
      <c r="T224" s="245" t="s">
        <v>1991</v>
      </c>
      <c r="U224" s="245" t="s">
        <v>2113</v>
      </c>
      <c r="V224" s="241" t="s">
        <v>1993</v>
      </c>
      <c r="W224" s="241" t="s">
        <v>93</v>
      </c>
      <c r="X224" s="241" t="s">
        <v>1994</v>
      </c>
    </row>
    <row r="225" spans="1:24" ht="13.5" customHeight="1" x14ac:dyDescent="0.3">
      <c r="A225" s="245" t="s">
        <v>2112</v>
      </c>
      <c r="B225" s="246">
        <v>46063</v>
      </c>
      <c r="C225" s="245" t="s">
        <v>1195</v>
      </c>
      <c r="D225" s="245" t="s">
        <v>1197</v>
      </c>
      <c r="E225" s="245"/>
      <c r="F225" s="245"/>
      <c r="G225" s="245" t="s">
        <v>2139</v>
      </c>
      <c r="H225" s="245" t="s">
        <v>2006</v>
      </c>
      <c r="I225" s="245" t="s">
        <v>1988</v>
      </c>
      <c r="J225" s="245" t="s">
        <v>2731</v>
      </c>
      <c r="K225" s="245" t="s">
        <v>2732</v>
      </c>
      <c r="L225" s="246">
        <v>46063</v>
      </c>
      <c r="M225" s="245" t="s">
        <v>1988</v>
      </c>
      <c r="N225" s="245" t="s">
        <v>1989</v>
      </c>
      <c r="O225" s="245" t="s">
        <v>1990</v>
      </c>
      <c r="P225" s="245" t="s">
        <v>111</v>
      </c>
      <c r="Q225" s="247">
        <v>-600340.42000000004</v>
      </c>
      <c r="R225" s="247">
        <v>-600340.42000000004</v>
      </c>
      <c r="S225" s="247">
        <v>-419.15</v>
      </c>
      <c r="T225" s="245" t="s">
        <v>1991</v>
      </c>
      <c r="U225" s="245" t="s">
        <v>2113</v>
      </c>
      <c r="V225" s="241" t="s">
        <v>1993</v>
      </c>
      <c r="W225" s="241" t="s">
        <v>93</v>
      </c>
      <c r="X225" s="241" t="s">
        <v>1994</v>
      </c>
    </row>
    <row r="226" spans="1:24" ht="13.5" customHeight="1" x14ac:dyDescent="0.3">
      <c r="A226" s="245" t="s">
        <v>2112</v>
      </c>
      <c r="B226" s="246">
        <v>46063</v>
      </c>
      <c r="C226" s="245" t="s">
        <v>1195</v>
      </c>
      <c r="D226" s="245" t="s">
        <v>1197</v>
      </c>
      <c r="E226" s="245"/>
      <c r="F226" s="245"/>
      <c r="G226" s="245" t="s">
        <v>2139</v>
      </c>
      <c r="H226" s="245" t="s">
        <v>2006</v>
      </c>
      <c r="I226" s="245" t="s">
        <v>1988</v>
      </c>
      <c r="J226" s="245" t="s">
        <v>2731</v>
      </c>
      <c r="K226" s="245" t="s">
        <v>2732</v>
      </c>
      <c r="L226" s="246">
        <v>46063</v>
      </c>
      <c r="M226" s="245" t="s">
        <v>1988</v>
      </c>
      <c r="N226" s="245" t="s">
        <v>1989</v>
      </c>
      <c r="O226" s="245" t="s">
        <v>1990</v>
      </c>
      <c r="P226" s="245" t="s">
        <v>111</v>
      </c>
      <c r="Q226" s="247">
        <v>0</v>
      </c>
      <c r="R226" s="247">
        <v>0</v>
      </c>
      <c r="S226" s="247">
        <v>4.37</v>
      </c>
      <c r="T226" s="245" t="s">
        <v>1991</v>
      </c>
      <c r="U226" s="245" t="s">
        <v>2113</v>
      </c>
      <c r="V226" s="241" t="s">
        <v>1993</v>
      </c>
      <c r="W226" s="241" t="s">
        <v>93</v>
      </c>
      <c r="X226" s="241" t="s">
        <v>1994</v>
      </c>
    </row>
    <row r="227" spans="1:24" ht="13.5" customHeight="1" x14ac:dyDescent="0.3">
      <c r="A227" s="245" t="s">
        <v>1985</v>
      </c>
      <c r="B227" s="246">
        <v>46063</v>
      </c>
      <c r="C227" s="245" t="s">
        <v>1195</v>
      </c>
      <c r="D227" s="245" t="s">
        <v>1197</v>
      </c>
      <c r="E227" s="245"/>
      <c r="F227" s="245"/>
      <c r="G227" s="245" t="s">
        <v>2139</v>
      </c>
      <c r="H227" s="245" t="s">
        <v>2006</v>
      </c>
      <c r="I227" s="245" t="s">
        <v>1988</v>
      </c>
      <c r="J227" s="245" t="s">
        <v>2731</v>
      </c>
      <c r="K227" s="245" t="s">
        <v>2732</v>
      </c>
      <c r="L227" s="246">
        <v>46063</v>
      </c>
      <c r="M227" s="245" t="s">
        <v>1988</v>
      </c>
      <c r="N227" s="245" t="s">
        <v>1989</v>
      </c>
      <c r="O227" s="245" t="s">
        <v>1990</v>
      </c>
      <c r="P227" s="245" t="s">
        <v>111</v>
      </c>
      <c r="Q227" s="247">
        <v>600340.42000000004</v>
      </c>
      <c r="R227" s="247">
        <v>600340.42000000004</v>
      </c>
      <c r="S227" s="247">
        <v>414.78</v>
      </c>
      <c r="T227" s="245" t="s">
        <v>1991</v>
      </c>
      <c r="U227" s="245" t="s">
        <v>2113</v>
      </c>
      <c r="V227" s="241" t="s">
        <v>1993</v>
      </c>
      <c r="W227" s="241" t="s">
        <v>93</v>
      </c>
      <c r="X227" s="241" t="s">
        <v>1994</v>
      </c>
    </row>
    <row r="228" spans="1:24" ht="13.5" customHeight="1" x14ac:dyDescent="0.3">
      <c r="A228" s="245" t="s">
        <v>2112</v>
      </c>
      <c r="B228" s="246">
        <v>46063</v>
      </c>
      <c r="C228" s="245" t="s">
        <v>1282</v>
      </c>
      <c r="D228" s="245" t="s">
        <v>1285</v>
      </c>
      <c r="E228" s="245"/>
      <c r="F228" s="245"/>
      <c r="G228" s="245" t="s">
        <v>2733</v>
      </c>
      <c r="H228" s="245" t="s">
        <v>2021</v>
      </c>
      <c r="I228" s="245" t="s">
        <v>1988</v>
      </c>
      <c r="J228" s="245" t="s">
        <v>2734</v>
      </c>
      <c r="K228" s="245" t="s">
        <v>2735</v>
      </c>
      <c r="L228" s="246">
        <v>46063</v>
      </c>
      <c r="M228" s="245" t="s">
        <v>1988</v>
      </c>
      <c r="N228" s="245" t="s">
        <v>1989</v>
      </c>
      <c r="O228" s="245" t="s">
        <v>1990</v>
      </c>
      <c r="P228" s="245" t="s">
        <v>111</v>
      </c>
      <c r="Q228" s="247">
        <v>-2497560.9900000002</v>
      </c>
      <c r="R228" s="247">
        <v>-2497560.9900000002</v>
      </c>
      <c r="S228" s="247">
        <v>-1743.74</v>
      </c>
      <c r="T228" s="245" t="s">
        <v>1991</v>
      </c>
      <c r="U228" s="245" t="s">
        <v>2113</v>
      </c>
      <c r="V228" s="241" t="s">
        <v>1993</v>
      </c>
      <c r="W228" s="241" t="s">
        <v>93</v>
      </c>
      <c r="X228" s="241" t="s">
        <v>1994</v>
      </c>
    </row>
    <row r="229" spans="1:24" ht="13.5" customHeight="1" x14ac:dyDescent="0.3">
      <c r="A229" s="245" t="s">
        <v>2112</v>
      </c>
      <c r="B229" s="246">
        <v>46063</v>
      </c>
      <c r="C229" s="245" t="s">
        <v>1282</v>
      </c>
      <c r="D229" s="245" t="s">
        <v>1285</v>
      </c>
      <c r="E229" s="245"/>
      <c r="F229" s="245"/>
      <c r="G229" s="245" t="s">
        <v>2733</v>
      </c>
      <c r="H229" s="245" t="s">
        <v>2021</v>
      </c>
      <c r="I229" s="245" t="s">
        <v>1988</v>
      </c>
      <c r="J229" s="245" t="s">
        <v>2734</v>
      </c>
      <c r="K229" s="245" t="s">
        <v>2735</v>
      </c>
      <c r="L229" s="246">
        <v>46063</v>
      </c>
      <c r="M229" s="245" t="s">
        <v>1988</v>
      </c>
      <c r="N229" s="245" t="s">
        <v>1989</v>
      </c>
      <c r="O229" s="245" t="s">
        <v>1990</v>
      </c>
      <c r="P229" s="245" t="s">
        <v>111</v>
      </c>
      <c r="Q229" s="247">
        <v>0</v>
      </c>
      <c r="R229" s="247">
        <v>0</v>
      </c>
      <c r="S229" s="247">
        <v>18.18</v>
      </c>
      <c r="T229" s="245" t="s">
        <v>1991</v>
      </c>
      <c r="U229" s="245" t="s">
        <v>2113</v>
      </c>
      <c r="V229" s="241" t="s">
        <v>1993</v>
      </c>
      <c r="W229" s="241" t="s">
        <v>93</v>
      </c>
      <c r="X229" s="241" t="s">
        <v>1994</v>
      </c>
    </row>
    <row r="230" spans="1:24" ht="13.5" customHeight="1" x14ac:dyDescent="0.3">
      <c r="A230" s="245" t="s">
        <v>1985</v>
      </c>
      <c r="B230" s="246">
        <v>46063</v>
      </c>
      <c r="C230" s="245" t="s">
        <v>1282</v>
      </c>
      <c r="D230" s="245" t="s">
        <v>1285</v>
      </c>
      <c r="E230" s="245"/>
      <c r="F230" s="245"/>
      <c r="G230" s="245" t="s">
        <v>2733</v>
      </c>
      <c r="H230" s="245" t="s">
        <v>2021</v>
      </c>
      <c r="I230" s="245" t="s">
        <v>1988</v>
      </c>
      <c r="J230" s="245" t="s">
        <v>2734</v>
      </c>
      <c r="K230" s="245" t="s">
        <v>2735</v>
      </c>
      <c r="L230" s="246">
        <v>46063</v>
      </c>
      <c r="M230" s="245" t="s">
        <v>1988</v>
      </c>
      <c r="N230" s="245" t="s">
        <v>1989</v>
      </c>
      <c r="O230" s="245" t="s">
        <v>1990</v>
      </c>
      <c r="P230" s="245" t="s">
        <v>111</v>
      </c>
      <c r="Q230" s="247">
        <v>2497560.9900000002</v>
      </c>
      <c r="R230" s="247">
        <v>2497560.9900000002</v>
      </c>
      <c r="S230" s="247">
        <v>1725.56</v>
      </c>
      <c r="T230" s="245" t="s">
        <v>1991</v>
      </c>
      <c r="U230" s="245" t="s">
        <v>2113</v>
      </c>
      <c r="V230" s="241" t="s">
        <v>1993</v>
      </c>
      <c r="W230" s="241" t="s">
        <v>93</v>
      </c>
      <c r="X230" s="241" t="s">
        <v>1994</v>
      </c>
    </row>
    <row r="231" spans="1:24" ht="13.5" customHeight="1" x14ac:dyDescent="0.3">
      <c r="A231" s="245" t="s">
        <v>2112</v>
      </c>
      <c r="B231" s="246">
        <v>46063</v>
      </c>
      <c r="C231" s="245" t="s">
        <v>820</v>
      </c>
      <c r="D231" s="245" t="s">
        <v>823</v>
      </c>
      <c r="E231" s="245"/>
      <c r="F231" s="245"/>
      <c r="G231" s="245" t="s">
        <v>2736</v>
      </c>
      <c r="H231" s="245" t="s">
        <v>2031</v>
      </c>
      <c r="I231" s="245" t="s">
        <v>1988</v>
      </c>
      <c r="J231" s="245" t="s">
        <v>2737</v>
      </c>
      <c r="K231" s="245" t="s">
        <v>2738</v>
      </c>
      <c r="L231" s="246">
        <v>46063</v>
      </c>
      <c r="M231" s="245" t="s">
        <v>1988</v>
      </c>
      <c r="N231" s="245" t="s">
        <v>1989</v>
      </c>
      <c r="O231" s="245" t="s">
        <v>1990</v>
      </c>
      <c r="P231" s="245" t="s">
        <v>111</v>
      </c>
      <c r="Q231" s="247">
        <v>-3447016.51</v>
      </c>
      <c r="R231" s="247">
        <v>-3447016.51</v>
      </c>
      <c r="S231" s="247">
        <v>-2406.63</v>
      </c>
      <c r="T231" s="245" t="s">
        <v>1991</v>
      </c>
      <c r="U231" s="245" t="s">
        <v>2113</v>
      </c>
      <c r="V231" s="241" t="s">
        <v>1993</v>
      </c>
      <c r="W231" s="241" t="s">
        <v>93</v>
      </c>
      <c r="X231" s="241" t="s">
        <v>1994</v>
      </c>
    </row>
    <row r="232" spans="1:24" ht="13.5" customHeight="1" x14ac:dyDescent="0.3">
      <c r="A232" s="245" t="s">
        <v>2112</v>
      </c>
      <c r="B232" s="246">
        <v>46063</v>
      </c>
      <c r="C232" s="245" t="s">
        <v>820</v>
      </c>
      <c r="D232" s="245" t="s">
        <v>823</v>
      </c>
      <c r="E232" s="245"/>
      <c r="F232" s="245"/>
      <c r="G232" s="245" t="s">
        <v>2736</v>
      </c>
      <c r="H232" s="245" t="s">
        <v>2031</v>
      </c>
      <c r="I232" s="245" t="s">
        <v>1988</v>
      </c>
      <c r="J232" s="245" t="s">
        <v>2737</v>
      </c>
      <c r="K232" s="245" t="s">
        <v>2738</v>
      </c>
      <c r="L232" s="246">
        <v>46063</v>
      </c>
      <c r="M232" s="245" t="s">
        <v>1988</v>
      </c>
      <c r="N232" s="245" t="s">
        <v>1989</v>
      </c>
      <c r="O232" s="245" t="s">
        <v>1990</v>
      </c>
      <c r="P232" s="245" t="s">
        <v>111</v>
      </c>
      <c r="Q232" s="247">
        <v>0</v>
      </c>
      <c r="R232" s="247">
        <v>0</v>
      </c>
      <c r="S232" s="247">
        <v>25.1</v>
      </c>
      <c r="T232" s="245" t="s">
        <v>1991</v>
      </c>
      <c r="U232" s="245" t="s">
        <v>2113</v>
      </c>
      <c r="V232" s="241" t="s">
        <v>1993</v>
      </c>
      <c r="W232" s="241" t="s">
        <v>93</v>
      </c>
      <c r="X232" s="241" t="s">
        <v>1994</v>
      </c>
    </row>
    <row r="233" spans="1:24" ht="13.5" customHeight="1" x14ac:dyDescent="0.3">
      <c r="A233" s="245" t="s">
        <v>1985</v>
      </c>
      <c r="B233" s="246">
        <v>46063</v>
      </c>
      <c r="C233" s="245" t="s">
        <v>820</v>
      </c>
      <c r="D233" s="245" t="s">
        <v>823</v>
      </c>
      <c r="E233" s="245"/>
      <c r="F233" s="245"/>
      <c r="G233" s="245" t="s">
        <v>2736</v>
      </c>
      <c r="H233" s="245" t="s">
        <v>2031</v>
      </c>
      <c r="I233" s="245" t="s">
        <v>1988</v>
      </c>
      <c r="J233" s="245" t="s">
        <v>2737</v>
      </c>
      <c r="K233" s="245" t="s">
        <v>2738</v>
      </c>
      <c r="L233" s="246">
        <v>46063</v>
      </c>
      <c r="M233" s="245" t="s">
        <v>1988</v>
      </c>
      <c r="N233" s="245" t="s">
        <v>1989</v>
      </c>
      <c r="O233" s="245" t="s">
        <v>1990</v>
      </c>
      <c r="P233" s="245" t="s">
        <v>111</v>
      </c>
      <c r="Q233" s="247">
        <v>3447016.51</v>
      </c>
      <c r="R233" s="247">
        <v>3447016.51</v>
      </c>
      <c r="S233" s="247">
        <v>2381.5300000000002</v>
      </c>
      <c r="T233" s="245" t="s">
        <v>1991</v>
      </c>
      <c r="U233" s="245" t="s">
        <v>2113</v>
      </c>
      <c r="V233" s="241" t="s">
        <v>1993</v>
      </c>
      <c r="W233" s="241" t="s">
        <v>93</v>
      </c>
      <c r="X233" s="241" t="s">
        <v>1994</v>
      </c>
    </row>
    <row r="234" spans="1:24" ht="13.5" customHeight="1" x14ac:dyDescent="0.3">
      <c r="A234" s="245" t="s">
        <v>2112</v>
      </c>
      <c r="B234" s="246">
        <v>46063</v>
      </c>
      <c r="C234" s="245" t="s">
        <v>820</v>
      </c>
      <c r="D234" s="245" t="s">
        <v>823</v>
      </c>
      <c r="E234" s="245"/>
      <c r="F234" s="245"/>
      <c r="G234" s="245" t="s">
        <v>2739</v>
      </c>
      <c r="H234" s="245" t="s">
        <v>2035</v>
      </c>
      <c r="I234" s="245" t="s">
        <v>1988</v>
      </c>
      <c r="J234" s="245" t="s">
        <v>2740</v>
      </c>
      <c r="K234" s="245" t="s">
        <v>2741</v>
      </c>
      <c r="L234" s="246">
        <v>46063</v>
      </c>
      <c r="M234" s="245" t="s">
        <v>1988</v>
      </c>
      <c r="N234" s="245" t="s">
        <v>1989</v>
      </c>
      <c r="O234" s="245" t="s">
        <v>1990</v>
      </c>
      <c r="P234" s="245" t="s">
        <v>111</v>
      </c>
      <c r="Q234" s="247">
        <v>-2430435.27</v>
      </c>
      <c r="R234" s="247">
        <v>-2430435.27</v>
      </c>
      <c r="S234" s="247">
        <v>-1696.88</v>
      </c>
      <c r="T234" s="245" t="s">
        <v>1991</v>
      </c>
      <c r="U234" s="245" t="s">
        <v>2113</v>
      </c>
      <c r="V234" s="241" t="s">
        <v>1993</v>
      </c>
      <c r="W234" s="241" t="s">
        <v>93</v>
      </c>
      <c r="X234" s="241" t="s">
        <v>1994</v>
      </c>
    </row>
    <row r="235" spans="1:24" ht="13.5" customHeight="1" x14ac:dyDescent="0.3">
      <c r="A235" s="245" t="s">
        <v>2112</v>
      </c>
      <c r="B235" s="246">
        <v>46063</v>
      </c>
      <c r="C235" s="245" t="s">
        <v>820</v>
      </c>
      <c r="D235" s="245" t="s">
        <v>823</v>
      </c>
      <c r="E235" s="245"/>
      <c r="F235" s="245"/>
      <c r="G235" s="245" t="s">
        <v>2739</v>
      </c>
      <c r="H235" s="245" t="s">
        <v>2035</v>
      </c>
      <c r="I235" s="245" t="s">
        <v>1988</v>
      </c>
      <c r="J235" s="245" t="s">
        <v>2740</v>
      </c>
      <c r="K235" s="245" t="s">
        <v>2741</v>
      </c>
      <c r="L235" s="246">
        <v>46063</v>
      </c>
      <c r="M235" s="245" t="s">
        <v>1988</v>
      </c>
      <c r="N235" s="245" t="s">
        <v>1989</v>
      </c>
      <c r="O235" s="245" t="s">
        <v>1990</v>
      </c>
      <c r="P235" s="245" t="s">
        <v>111</v>
      </c>
      <c r="Q235" s="247">
        <v>0</v>
      </c>
      <c r="R235" s="247">
        <v>0</v>
      </c>
      <c r="S235" s="247">
        <v>17.7</v>
      </c>
      <c r="T235" s="245" t="s">
        <v>1991</v>
      </c>
      <c r="U235" s="245" t="s">
        <v>2113</v>
      </c>
      <c r="V235" s="241" t="s">
        <v>1993</v>
      </c>
      <c r="W235" s="241" t="s">
        <v>93</v>
      </c>
      <c r="X235" s="241" t="s">
        <v>1994</v>
      </c>
    </row>
    <row r="236" spans="1:24" ht="13.5" customHeight="1" x14ac:dyDescent="0.3">
      <c r="A236" s="245" t="s">
        <v>1985</v>
      </c>
      <c r="B236" s="246">
        <v>46063</v>
      </c>
      <c r="C236" s="245" t="s">
        <v>820</v>
      </c>
      <c r="D236" s="245" t="s">
        <v>823</v>
      </c>
      <c r="E236" s="245"/>
      <c r="F236" s="245"/>
      <c r="G236" s="245" t="s">
        <v>2739</v>
      </c>
      <c r="H236" s="245" t="s">
        <v>2035</v>
      </c>
      <c r="I236" s="245" t="s">
        <v>1988</v>
      </c>
      <c r="J236" s="245" t="s">
        <v>2740</v>
      </c>
      <c r="K236" s="245" t="s">
        <v>2741</v>
      </c>
      <c r="L236" s="246">
        <v>46063</v>
      </c>
      <c r="M236" s="245" t="s">
        <v>1988</v>
      </c>
      <c r="N236" s="245" t="s">
        <v>1989</v>
      </c>
      <c r="O236" s="245" t="s">
        <v>1990</v>
      </c>
      <c r="P236" s="245" t="s">
        <v>111</v>
      </c>
      <c r="Q236" s="247">
        <v>2430435.27</v>
      </c>
      <c r="R236" s="247">
        <v>2430435.27</v>
      </c>
      <c r="S236" s="247">
        <v>1679.18</v>
      </c>
      <c r="T236" s="245" t="s">
        <v>1991</v>
      </c>
      <c r="U236" s="245" t="s">
        <v>2113</v>
      </c>
      <c r="V236" s="241" t="s">
        <v>1993</v>
      </c>
      <c r="W236" s="241" t="s">
        <v>93</v>
      </c>
      <c r="X236" s="241" t="s">
        <v>1994</v>
      </c>
    </row>
    <row r="237" spans="1:24" ht="13.5" customHeight="1" x14ac:dyDescent="0.3">
      <c r="A237" s="245" t="s">
        <v>2112</v>
      </c>
      <c r="B237" s="246">
        <v>46063</v>
      </c>
      <c r="C237" s="245" t="s">
        <v>820</v>
      </c>
      <c r="D237" s="245" t="s">
        <v>823</v>
      </c>
      <c r="E237" s="245"/>
      <c r="F237" s="245"/>
      <c r="G237" s="245" t="s">
        <v>2742</v>
      </c>
      <c r="H237" s="245" t="s">
        <v>2033</v>
      </c>
      <c r="I237" s="245" t="s">
        <v>1988</v>
      </c>
      <c r="J237" s="245" t="s">
        <v>2743</v>
      </c>
      <c r="K237" s="245" t="s">
        <v>2744</v>
      </c>
      <c r="L237" s="246">
        <v>46063</v>
      </c>
      <c r="M237" s="245" t="s">
        <v>1988</v>
      </c>
      <c r="N237" s="245" t="s">
        <v>1989</v>
      </c>
      <c r="O237" s="245" t="s">
        <v>1990</v>
      </c>
      <c r="P237" s="245" t="s">
        <v>111</v>
      </c>
      <c r="Q237" s="247">
        <v>-725907.62</v>
      </c>
      <c r="R237" s="247">
        <v>-725907.62</v>
      </c>
      <c r="S237" s="247">
        <v>-506.81</v>
      </c>
      <c r="T237" s="245" t="s">
        <v>1991</v>
      </c>
      <c r="U237" s="245" t="s">
        <v>2113</v>
      </c>
      <c r="V237" s="241" t="s">
        <v>1993</v>
      </c>
      <c r="W237" s="241" t="s">
        <v>93</v>
      </c>
      <c r="X237" s="241" t="s">
        <v>1994</v>
      </c>
    </row>
    <row r="238" spans="1:24" ht="13.5" customHeight="1" x14ac:dyDescent="0.3">
      <c r="A238" s="245" t="s">
        <v>2112</v>
      </c>
      <c r="B238" s="246">
        <v>46063</v>
      </c>
      <c r="C238" s="245" t="s">
        <v>820</v>
      </c>
      <c r="D238" s="245" t="s">
        <v>823</v>
      </c>
      <c r="E238" s="245"/>
      <c r="F238" s="245"/>
      <c r="G238" s="245" t="s">
        <v>2742</v>
      </c>
      <c r="H238" s="245" t="s">
        <v>2033</v>
      </c>
      <c r="I238" s="245" t="s">
        <v>1988</v>
      </c>
      <c r="J238" s="245" t="s">
        <v>2743</v>
      </c>
      <c r="K238" s="245" t="s">
        <v>2744</v>
      </c>
      <c r="L238" s="246">
        <v>46063</v>
      </c>
      <c r="M238" s="245" t="s">
        <v>1988</v>
      </c>
      <c r="N238" s="245" t="s">
        <v>1989</v>
      </c>
      <c r="O238" s="245" t="s">
        <v>1990</v>
      </c>
      <c r="P238" s="245" t="s">
        <v>111</v>
      </c>
      <c r="Q238" s="247">
        <v>0</v>
      </c>
      <c r="R238" s="247">
        <v>0</v>
      </c>
      <c r="S238" s="247">
        <v>5.28</v>
      </c>
      <c r="T238" s="245" t="s">
        <v>1991</v>
      </c>
      <c r="U238" s="245" t="s">
        <v>2113</v>
      </c>
      <c r="V238" s="241" t="s">
        <v>1993</v>
      </c>
      <c r="W238" s="241" t="s">
        <v>93</v>
      </c>
      <c r="X238" s="241" t="s">
        <v>1994</v>
      </c>
    </row>
    <row r="239" spans="1:24" ht="13.5" customHeight="1" x14ac:dyDescent="0.3">
      <c r="A239" s="245" t="s">
        <v>1985</v>
      </c>
      <c r="B239" s="246">
        <v>46063</v>
      </c>
      <c r="C239" s="245" t="s">
        <v>820</v>
      </c>
      <c r="D239" s="245" t="s">
        <v>823</v>
      </c>
      <c r="E239" s="245"/>
      <c r="F239" s="245"/>
      <c r="G239" s="245" t="s">
        <v>2742</v>
      </c>
      <c r="H239" s="245" t="s">
        <v>2033</v>
      </c>
      <c r="I239" s="245" t="s">
        <v>1988</v>
      </c>
      <c r="J239" s="245" t="s">
        <v>2743</v>
      </c>
      <c r="K239" s="245" t="s">
        <v>2744</v>
      </c>
      <c r="L239" s="246">
        <v>46063</v>
      </c>
      <c r="M239" s="245" t="s">
        <v>1988</v>
      </c>
      <c r="N239" s="245" t="s">
        <v>1989</v>
      </c>
      <c r="O239" s="245" t="s">
        <v>1990</v>
      </c>
      <c r="P239" s="245" t="s">
        <v>111</v>
      </c>
      <c r="Q239" s="247">
        <v>725907.62</v>
      </c>
      <c r="R239" s="247">
        <v>725907.62</v>
      </c>
      <c r="S239" s="247">
        <v>501.53</v>
      </c>
      <c r="T239" s="245" t="s">
        <v>1991</v>
      </c>
      <c r="U239" s="245" t="s">
        <v>2113</v>
      </c>
      <c r="V239" s="241" t="s">
        <v>1993</v>
      </c>
      <c r="W239" s="241" t="s">
        <v>93</v>
      </c>
      <c r="X239" s="241" t="s">
        <v>1994</v>
      </c>
    </row>
    <row r="240" spans="1:24" ht="13.5" customHeight="1" x14ac:dyDescent="0.3">
      <c r="A240" s="245" t="s">
        <v>2112</v>
      </c>
      <c r="B240" s="246">
        <v>46063</v>
      </c>
      <c r="C240" s="245" t="s">
        <v>820</v>
      </c>
      <c r="D240" s="245" t="s">
        <v>823</v>
      </c>
      <c r="E240" s="245"/>
      <c r="F240" s="245"/>
      <c r="G240" s="245" t="s">
        <v>2745</v>
      </c>
      <c r="H240" s="245" t="s">
        <v>2037</v>
      </c>
      <c r="I240" s="245" t="s">
        <v>1988</v>
      </c>
      <c r="J240" s="245" t="s">
        <v>2746</v>
      </c>
      <c r="K240" s="245" t="s">
        <v>2747</v>
      </c>
      <c r="L240" s="246">
        <v>46063</v>
      </c>
      <c r="M240" s="245" t="s">
        <v>1988</v>
      </c>
      <c r="N240" s="245" t="s">
        <v>1989</v>
      </c>
      <c r="O240" s="245" t="s">
        <v>1990</v>
      </c>
      <c r="P240" s="245" t="s">
        <v>111</v>
      </c>
      <c r="Q240" s="247">
        <v>-10613094.800000001</v>
      </c>
      <c r="R240" s="247">
        <v>-10613094.800000001</v>
      </c>
      <c r="S240" s="247">
        <v>-7409.84</v>
      </c>
      <c r="T240" s="245" t="s">
        <v>1991</v>
      </c>
      <c r="U240" s="245" t="s">
        <v>2113</v>
      </c>
      <c r="V240" s="241" t="s">
        <v>1993</v>
      </c>
      <c r="W240" s="241" t="s">
        <v>93</v>
      </c>
      <c r="X240" s="241" t="s">
        <v>1994</v>
      </c>
    </row>
    <row r="241" spans="1:24" ht="13.5" customHeight="1" x14ac:dyDescent="0.3">
      <c r="A241" s="245" t="s">
        <v>2112</v>
      </c>
      <c r="B241" s="246">
        <v>46063</v>
      </c>
      <c r="C241" s="245" t="s">
        <v>820</v>
      </c>
      <c r="D241" s="245" t="s">
        <v>823</v>
      </c>
      <c r="E241" s="245"/>
      <c r="F241" s="245"/>
      <c r="G241" s="245" t="s">
        <v>2745</v>
      </c>
      <c r="H241" s="245" t="s">
        <v>2037</v>
      </c>
      <c r="I241" s="245" t="s">
        <v>1988</v>
      </c>
      <c r="J241" s="245" t="s">
        <v>2746</v>
      </c>
      <c r="K241" s="245" t="s">
        <v>2747</v>
      </c>
      <c r="L241" s="246">
        <v>46063</v>
      </c>
      <c r="M241" s="245" t="s">
        <v>1988</v>
      </c>
      <c r="N241" s="245" t="s">
        <v>1989</v>
      </c>
      <c r="O241" s="245" t="s">
        <v>1990</v>
      </c>
      <c r="P241" s="245" t="s">
        <v>111</v>
      </c>
      <c r="Q241" s="247">
        <v>0</v>
      </c>
      <c r="R241" s="247">
        <v>0</v>
      </c>
      <c r="S241" s="247">
        <v>77.290000000000006</v>
      </c>
      <c r="T241" s="245" t="s">
        <v>1991</v>
      </c>
      <c r="U241" s="245" t="s">
        <v>2113</v>
      </c>
      <c r="V241" s="241" t="s">
        <v>1993</v>
      </c>
      <c r="W241" s="241" t="s">
        <v>93</v>
      </c>
      <c r="X241" s="241" t="s">
        <v>1994</v>
      </c>
    </row>
    <row r="242" spans="1:24" ht="13.5" customHeight="1" x14ac:dyDescent="0.3">
      <c r="A242" s="245" t="s">
        <v>1985</v>
      </c>
      <c r="B242" s="246">
        <v>46063</v>
      </c>
      <c r="C242" s="245" t="s">
        <v>820</v>
      </c>
      <c r="D242" s="245" t="s">
        <v>823</v>
      </c>
      <c r="E242" s="245"/>
      <c r="F242" s="245"/>
      <c r="G242" s="245" t="s">
        <v>2745</v>
      </c>
      <c r="H242" s="245" t="s">
        <v>2037</v>
      </c>
      <c r="I242" s="245" t="s">
        <v>1988</v>
      </c>
      <c r="J242" s="245" t="s">
        <v>2746</v>
      </c>
      <c r="K242" s="245" t="s">
        <v>2747</v>
      </c>
      <c r="L242" s="246">
        <v>46063</v>
      </c>
      <c r="M242" s="245" t="s">
        <v>1988</v>
      </c>
      <c r="N242" s="245" t="s">
        <v>1989</v>
      </c>
      <c r="O242" s="245" t="s">
        <v>1990</v>
      </c>
      <c r="P242" s="245" t="s">
        <v>111</v>
      </c>
      <c r="Q242" s="247">
        <v>10613094.800000001</v>
      </c>
      <c r="R242" s="247">
        <v>10613094.800000001</v>
      </c>
      <c r="S242" s="247">
        <v>7332.55</v>
      </c>
      <c r="T242" s="245" t="s">
        <v>1991</v>
      </c>
      <c r="U242" s="245" t="s">
        <v>2113</v>
      </c>
      <c r="V242" s="241" t="s">
        <v>1993</v>
      </c>
      <c r="W242" s="241" t="s">
        <v>93</v>
      </c>
      <c r="X242" s="241" t="s">
        <v>1994</v>
      </c>
    </row>
    <row r="243" spans="1:24" ht="13.5" customHeight="1" x14ac:dyDescent="0.3">
      <c r="A243" s="245" t="s">
        <v>2112</v>
      </c>
      <c r="B243" s="246">
        <v>46063</v>
      </c>
      <c r="C243" s="245" t="s">
        <v>820</v>
      </c>
      <c r="D243" s="245" t="s">
        <v>823</v>
      </c>
      <c r="E243" s="245"/>
      <c r="F243" s="245"/>
      <c r="G243" s="245" t="s">
        <v>2748</v>
      </c>
      <c r="H243" s="245" t="s">
        <v>2030</v>
      </c>
      <c r="I243" s="245" t="s">
        <v>1988</v>
      </c>
      <c r="J243" s="245" t="s">
        <v>2749</v>
      </c>
      <c r="K243" s="245" t="s">
        <v>2750</v>
      </c>
      <c r="L243" s="246">
        <v>46063</v>
      </c>
      <c r="M243" s="245" t="s">
        <v>1988</v>
      </c>
      <c r="N243" s="245" t="s">
        <v>1989</v>
      </c>
      <c r="O243" s="245" t="s">
        <v>1990</v>
      </c>
      <c r="P243" s="245" t="s">
        <v>111</v>
      </c>
      <c r="Q243" s="247">
        <v>-1000000</v>
      </c>
      <c r="R243" s="247">
        <v>-1000000</v>
      </c>
      <c r="S243" s="247">
        <v>-698.18</v>
      </c>
      <c r="T243" s="245" t="s">
        <v>1991</v>
      </c>
      <c r="U243" s="245" t="s">
        <v>2113</v>
      </c>
      <c r="V243" s="241" t="s">
        <v>1993</v>
      </c>
      <c r="W243" s="241" t="s">
        <v>93</v>
      </c>
      <c r="X243" s="241" t="s">
        <v>1994</v>
      </c>
    </row>
    <row r="244" spans="1:24" ht="13.5" customHeight="1" x14ac:dyDescent="0.3">
      <c r="A244" s="245" t="s">
        <v>2112</v>
      </c>
      <c r="B244" s="246">
        <v>46063</v>
      </c>
      <c r="C244" s="245" t="s">
        <v>820</v>
      </c>
      <c r="D244" s="245" t="s">
        <v>823</v>
      </c>
      <c r="E244" s="245"/>
      <c r="F244" s="245"/>
      <c r="G244" s="245" t="s">
        <v>2748</v>
      </c>
      <c r="H244" s="245" t="s">
        <v>2030</v>
      </c>
      <c r="I244" s="245" t="s">
        <v>1988</v>
      </c>
      <c r="J244" s="245" t="s">
        <v>2749</v>
      </c>
      <c r="K244" s="245" t="s">
        <v>2750</v>
      </c>
      <c r="L244" s="246">
        <v>46063</v>
      </c>
      <c r="M244" s="245" t="s">
        <v>1988</v>
      </c>
      <c r="N244" s="245" t="s">
        <v>1989</v>
      </c>
      <c r="O244" s="245" t="s">
        <v>1990</v>
      </c>
      <c r="P244" s="245" t="s">
        <v>111</v>
      </c>
      <c r="Q244" s="247">
        <v>0</v>
      </c>
      <c r="R244" s="247">
        <v>0</v>
      </c>
      <c r="S244" s="247">
        <v>7.28</v>
      </c>
      <c r="T244" s="245" t="s">
        <v>1991</v>
      </c>
      <c r="U244" s="245" t="s">
        <v>2113</v>
      </c>
      <c r="V244" s="241" t="s">
        <v>1993</v>
      </c>
      <c r="W244" s="241" t="s">
        <v>93</v>
      </c>
      <c r="X244" s="241" t="s">
        <v>1994</v>
      </c>
    </row>
    <row r="245" spans="1:24" ht="13.5" customHeight="1" x14ac:dyDescent="0.3">
      <c r="A245" s="245" t="s">
        <v>1985</v>
      </c>
      <c r="B245" s="246">
        <v>46063</v>
      </c>
      <c r="C245" s="245" t="s">
        <v>820</v>
      </c>
      <c r="D245" s="245" t="s">
        <v>823</v>
      </c>
      <c r="E245" s="245"/>
      <c r="F245" s="245"/>
      <c r="G245" s="245" t="s">
        <v>2748</v>
      </c>
      <c r="H245" s="245" t="s">
        <v>2030</v>
      </c>
      <c r="I245" s="245" t="s">
        <v>1988</v>
      </c>
      <c r="J245" s="245" t="s">
        <v>2749</v>
      </c>
      <c r="K245" s="245" t="s">
        <v>2750</v>
      </c>
      <c r="L245" s="246">
        <v>46063</v>
      </c>
      <c r="M245" s="245" t="s">
        <v>1988</v>
      </c>
      <c r="N245" s="245" t="s">
        <v>1989</v>
      </c>
      <c r="O245" s="245" t="s">
        <v>1990</v>
      </c>
      <c r="P245" s="245" t="s">
        <v>111</v>
      </c>
      <c r="Q245" s="247">
        <v>1000000</v>
      </c>
      <c r="R245" s="247">
        <v>1000000</v>
      </c>
      <c r="S245" s="247">
        <v>690.9</v>
      </c>
      <c r="T245" s="245" t="s">
        <v>1991</v>
      </c>
      <c r="U245" s="245" t="s">
        <v>2113</v>
      </c>
      <c r="V245" s="241" t="s">
        <v>1993</v>
      </c>
      <c r="W245" s="241" t="s">
        <v>93</v>
      </c>
      <c r="X245" s="241" t="s">
        <v>1994</v>
      </c>
    </row>
    <row r="246" spans="1:24" ht="13.5" customHeight="1" x14ac:dyDescent="0.3">
      <c r="A246" s="245" t="s">
        <v>2112</v>
      </c>
      <c r="B246" s="246">
        <v>46063</v>
      </c>
      <c r="C246" s="245" t="s">
        <v>2136</v>
      </c>
      <c r="D246" s="245" t="s">
        <v>791</v>
      </c>
      <c r="E246" s="245"/>
      <c r="F246" s="245"/>
      <c r="G246" s="245" t="s">
        <v>2137</v>
      </c>
      <c r="H246" s="245" t="s">
        <v>2063</v>
      </c>
      <c r="I246" s="245" t="s">
        <v>1988</v>
      </c>
      <c r="J246" s="245" t="s">
        <v>2751</v>
      </c>
      <c r="K246" s="245" t="s">
        <v>2752</v>
      </c>
      <c r="L246" s="246">
        <v>46063</v>
      </c>
      <c r="M246" s="245" t="s">
        <v>1988</v>
      </c>
      <c r="N246" s="245" t="s">
        <v>1989</v>
      </c>
      <c r="O246" s="245" t="s">
        <v>1990</v>
      </c>
      <c r="P246" s="245" t="s">
        <v>111</v>
      </c>
      <c r="Q246" s="247">
        <v>-2801604.45</v>
      </c>
      <c r="R246" s="247">
        <v>-2801604.45</v>
      </c>
      <c r="S246" s="247">
        <v>-1956.02</v>
      </c>
      <c r="T246" s="245" t="s">
        <v>1991</v>
      </c>
      <c r="U246" s="245" t="s">
        <v>2113</v>
      </c>
      <c r="V246" s="241" t="s">
        <v>1993</v>
      </c>
      <c r="W246" s="241" t="s">
        <v>93</v>
      </c>
      <c r="X246" s="241" t="s">
        <v>1994</v>
      </c>
    </row>
    <row r="247" spans="1:24" ht="13.5" customHeight="1" x14ac:dyDescent="0.3">
      <c r="A247" s="245" t="s">
        <v>2112</v>
      </c>
      <c r="B247" s="246">
        <v>46063</v>
      </c>
      <c r="C247" s="245" t="s">
        <v>2136</v>
      </c>
      <c r="D247" s="245" t="s">
        <v>791</v>
      </c>
      <c r="E247" s="245"/>
      <c r="F247" s="245"/>
      <c r="G247" s="245" t="s">
        <v>2137</v>
      </c>
      <c r="H247" s="245" t="s">
        <v>2063</v>
      </c>
      <c r="I247" s="245" t="s">
        <v>1988</v>
      </c>
      <c r="J247" s="245" t="s">
        <v>2751</v>
      </c>
      <c r="K247" s="245" t="s">
        <v>2752</v>
      </c>
      <c r="L247" s="246">
        <v>46063</v>
      </c>
      <c r="M247" s="245" t="s">
        <v>1988</v>
      </c>
      <c r="N247" s="245" t="s">
        <v>1989</v>
      </c>
      <c r="O247" s="245" t="s">
        <v>1990</v>
      </c>
      <c r="P247" s="245" t="s">
        <v>111</v>
      </c>
      <c r="Q247" s="247">
        <v>0</v>
      </c>
      <c r="R247" s="247">
        <v>0</v>
      </c>
      <c r="S247" s="247">
        <v>20.399999999999999</v>
      </c>
      <c r="T247" s="245" t="s">
        <v>1991</v>
      </c>
      <c r="U247" s="245" t="s">
        <v>2113</v>
      </c>
      <c r="V247" s="241" t="s">
        <v>1993</v>
      </c>
      <c r="W247" s="241" t="s">
        <v>93</v>
      </c>
      <c r="X247" s="241" t="s">
        <v>1994</v>
      </c>
    </row>
    <row r="248" spans="1:24" ht="13.5" customHeight="1" x14ac:dyDescent="0.3">
      <c r="A248" s="245" t="s">
        <v>1985</v>
      </c>
      <c r="B248" s="246">
        <v>46063</v>
      </c>
      <c r="C248" s="245" t="s">
        <v>2136</v>
      </c>
      <c r="D248" s="245" t="s">
        <v>791</v>
      </c>
      <c r="E248" s="245"/>
      <c r="F248" s="245"/>
      <c r="G248" s="245" t="s">
        <v>2137</v>
      </c>
      <c r="H248" s="245" t="s">
        <v>2063</v>
      </c>
      <c r="I248" s="245" t="s">
        <v>1988</v>
      </c>
      <c r="J248" s="245" t="s">
        <v>2751</v>
      </c>
      <c r="K248" s="245" t="s">
        <v>2752</v>
      </c>
      <c r="L248" s="246">
        <v>46063</v>
      </c>
      <c r="M248" s="245" t="s">
        <v>1988</v>
      </c>
      <c r="N248" s="245" t="s">
        <v>1989</v>
      </c>
      <c r="O248" s="245" t="s">
        <v>1990</v>
      </c>
      <c r="P248" s="245" t="s">
        <v>111</v>
      </c>
      <c r="Q248" s="247">
        <v>2801604.45</v>
      </c>
      <c r="R248" s="247">
        <v>2801604.45</v>
      </c>
      <c r="S248" s="247">
        <v>1935.62</v>
      </c>
      <c r="T248" s="245" t="s">
        <v>1991</v>
      </c>
      <c r="U248" s="245" t="s">
        <v>2113</v>
      </c>
      <c r="V248" s="241" t="s">
        <v>1993</v>
      </c>
      <c r="W248" s="241" t="s">
        <v>93</v>
      </c>
      <c r="X248" s="241" t="s">
        <v>1994</v>
      </c>
    </row>
    <row r="249" spans="1:24" ht="13.5" customHeight="1" x14ac:dyDescent="0.3">
      <c r="A249" s="245" t="s">
        <v>2112</v>
      </c>
      <c r="B249" s="246">
        <v>46063</v>
      </c>
      <c r="C249" s="245" t="s">
        <v>752</v>
      </c>
      <c r="D249" s="245" t="s">
        <v>755</v>
      </c>
      <c r="E249" s="245"/>
      <c r="F249" s="245"/>
      <c r="G249" s="245" t="s">
        <v>2135</v>
      </c>
      <c r="H249" s="245" t="s">
        <v>2028</v>
      </c>
      <c r="I249" s="245" t="s">
        <v>1988</v>
      </c>
      <c r="J249" s="245" t="s">
        <v>2753</v>
      </c>
      <c r="K249" s="245" t="s">
        <v>2754</v>
      </c>
      <c r="L249" s="246">
        <v>46063</v>
      </c>
      <c r="M249" s="245" t="s">
        <v>1988</v>
      </c>
      <c r="N249" s="245" t="s">
        <v>1989</v>
      </c>
      <c r="O249" s="245" t="s">
        <v>1990</v>
      </c>
      <c r="P249" s="245" t="s">
        <v>111</v>
      </c>
      <c r="Q249" s="247">
        <v>-5514278.2300000004</v>
      </c>
      <c r="R249" s="247">
        <v>-5514278.2300000004</v>
      </c>
      <c r="S249" s="247">
        <v>-3849.95</v>
      </c>
      <c r="T249" s="245" t="s">
        <v>1991</v>
      </c>
      <c r="U249" s="245" t="s">
        <v>2113</v>
      </c>
      <c r="V249" s="241" t="s">
        <v>1993</v>
      </c>
      <c r="W249" s="241" t="s">
        <v>93</v>
      </c>
      <c r="X249" s="241" t="s">
        <v>1994</v>
      </c>
    </row>
    <row r="250" spans="1:24" ht="13.5" customHeight="1" x14ac:dyDescent="0.3">
      <c r="A250" s="245" t="s">
        <v>2112</v>
      </c>
      <c r="B250" s="246">
        <v>46063</v>
      </c>
      <c r="C250" s="245" t="s">
        <v>752</v>
      </c>
      <c r="D250" s="245" t="s">
        <v>755</v>
      </c>
      <c r="E250" s="245"/>
      <c r="F250" s="245"/>
      <c r="G250" s="245" t="s">
        <v>2135</v>
      </c>
      <c r="H250" s="245" t="s">
        <v>2028</v>
      </c>
      <c r="I250" s="245" t="s">
        <v>1988</v>
      </c>
      <c r="J250" s="245" t="s">
        <v>2753</v>
      </c>
      <c r="K250" s="245" t="s">
        <v>2754</v>
      </c>
      <c r="L250" s="246">
        <v>46063</v>
      </c>
      <c r="M250" s="245" t="s">
        <v>1988</v>
      </c>
      <c r="N250" s="245" t="s">
        <v>1989</v>
      </c>
      <c r="O250" s="245" t="s">
        <v>1990</v>
      </c>
      <c r="P250" s="245" t="s">
        <v>111</v>
      </c>
      <c r="Q250" s="247">
        <v>0</v>
      </c>
      <c r="R250" s="247">
        <v>0</v>
      </c>
      <c r="S250" s="247">
        <v>40.15</v>
      </c>
      <c r="T250" s="245" t="s">
        <v>1991</v>
      </c>
      <c r="U250" s="245" t="s">
        <v>2113</v>
      </c>
      <c r="V250" s="241" t="s">
        <v>1993</v>
      </c>
      <c r="W250" s="241" t="s">
        <v>93</v>
      </c>
      <c r="X250" s="241" t="s">
        <v>1994</v>
      </c>
    </row>
    <row r="251" spans="1:24" ht="13.5" customHeight="1" x14ac:dyDescent="0.3">
      <c r="A251" s="245" t="s">
        <v>1985</v>
      </c>
      <c r="B251" s="246">
        <v>46063</v>
      </c>
      <c r="C251" s="245" t="s">
        <v>752</v>
      </c>
      <c r="D251" s="245" t="s">
        <v>755</v>
      </c>
      <c r="E251" s="245"/>
      <c r="F251" s="245"/>
      <c r="G251" s="245" t="s">
        <v>2135</v>
      </c>
      <c r="H251" s="245" t="s">
        <v>2028</v>
      </c>
      <c r="I251" s="245" t="s">
        <v>1988</v>
      </c>
      <c r="J251" s="245" t="s">
        <v>2753</v>
      </c>
      <c r="K251" s="245" t="s">
        <v>2754</v>
      </c>
      <c r="L251" s="246">
        <v>46063</v>
      </c>
      <c r="M251" s="245" t="s">
        <v>1988</v>
      </c>
      <c r="N251" s="245" t="s">
        <v>1989</v>
      </c>
      <c r="O251" s="245" t="s">
        <v>1990</v>
      </c>
      <c r="P251" s="245" t="s">
        <v>111</v>
      </c>
      <c r="Q251" s="247">
        <v>5514278.2300000004</v>
      </c>
      <c r="R251" s="247">
        <v>5514278.2300000004</v>
      </c>
      <c r="S251" s="247">
        <v>3809.8</v>
      </c>
      <c r="T251" s="245" t="s">
        <v>1991</v>
      </c>
      <c r="U251" s="245" t="s">
        <v>2113</v>
      </c>
      <c r="V251" s="241" t="s">
        <v>1993</v>
      </c>
      <c r="W251" s="241" t="s">
        <v>93</v>
      </c>
      <c r="X251" s="241" t="s">
        <v>1994</v>
      </c>
    </row>
    <row r="252" spans="1:24" ht="13.5" customHeight="1" x14ac:dyDescent="0.3">
      <c r="A252" s="245" t="s">
        <v>2112</v>
      </c>
      <c r="B252" s="246">
        <v>46063</v>
      </c>
      <c r="C252" s="245" t="s">
        <v>752</v>
      </c>
      <c r="D252" s="245" t="s">
        <v>755</v>
      </c>
      <c r="E252" s="245"/>
      <c r="F252" s="245"/>
      <c r="G252" s="245" t="s">
        <v>2134</v>
      </c>
      <c r="H252" s="245" t="s">
        <v>2026</v>
      </c>
      <c r="I252" s="245" t="s">
        <v>1988</v>
      </c>
      <c r="J252" s="245" t="s">
        <v>2755</v>
      </c>
      <c r="K252" s="245" t="s">
        <v>2756</v>
      </c>
      <c r="L252" s="246">
        <v>46063</v>
      </c>
      <c r="M252" s="245" t="s">
        <v>1988</v>
      </c>
      <c r="N252" s="245" t="s">
        <v>1989</v>
      </c>
      <c r="O252" s="245" t="s">
        <v>1990</v>
      </c>
      <c r="P252" s="245" t="s">
        <v>111</v>
      </c>
      <c r="Q252" s="247">
        <v>-1926896.74</v>
      </c>
      <c r="R252" s="247">
        <v>-1926896.74</v>
      </c>
      <c r="S252" s="247">
        <v>-1345.32</v>
      </c>
      <c r="T252" s="245" t="s">
        <v>1991</v>
      </c>
      <c r="U252" s="245" t="s">
        <v>2113</v>
      </c>
      <c r="V252" s="241" t="s">
        <v>1993</v>
      </c>
      <c r="W252" s="241" t="s">
        <v>93</v>
      </c>
      <c r="X252" s="241" t="s">
        <v>1994</v>
      </c>
    </row>
    <row r="253" spans="1:24" ht="13.5" customHeight="1" x14ac:dyDescent="0.3">
      <c r="A253" s="245" t="s">
        <v>2112</v>
      </c>
      <c r="B253" s="246">
        <v>46063</v>
      </c>
      <c r="C253" s="245" t="s">
        <v>752</v>
      </c>
      <c r="D253" s="245" t="s">
        <v>755</v>
      </c>
      <c r="E253" s="245"/>
      <c r="F253" s="245"/>
      <c r="G253" s="245" t="s">
        <v>2134</v>
      </c>
      <c r="H253" s="245" t="s">
        <v>2026</v>
      </c>
      <c r="I253" s="245" t="s">
        <v>1988</v>
      </c>
      <c r="J253" s="245" t="s">
        <v>2755</v>
      </c>
      <c r="K253" s="245" t="s">
        <v>2756</v>
      </c>
      <c r="L253" s="246">
        <v>46063</v>
      </c>
      <c r="M253" s="245" t="s">
        <v>1988</v>
      </c>
      <c r="N253" s="245" t="s">
        <v>1989</v>
      </c>
      <c r="O253" s="245" t="s">
        <v>1990</v>
      </c>
      <c r="P253" s="245" t="s">
        <v>111</v>
      </c>
      <c r="Q253" s="247">
        <v>0</v>
      </c>
      <c r="R253" s="247">
        <v>0</v>
      </c>
      <c r="S253" s="247">
        <v>14.03</v>
      </c>
      <c r="T253" s="245" t="s">
        <v>1991</v>
      </c>
      <c r="U253" s="245" t="s">
        <v>2113</v>
      </c>
      <c r="V253" s="241" t="s">
        <v>1993</v>
      </c>
      <c r="W253" s="241" t="s">
        <v>93</v>
      </c>
      <c r="X253" s="241" t="s">
        <v>1994</v>
      </c>
    </row>
    <row r="254" spans="1:24" ht="13.5" customHeight="1" x14ac:dyDescent="0.3">
      <c r="A254" s="245" t="s">
        <v>1985</v>
      </c>
      <c r="B254" s="246">
        <v>46063</v>
      </c>
      <c r="C254" s="245" t="s">
        <v>752</v>
      </c>
      <c r="D254" s="245" t="s">
        <v>755</v>
      </c>
      <c r="E254" s="245"/>
      <c r="F254" s="245"/>
      <c r="G254" s="245" t="s">
        <v>2134</v>
      </c>
      <c r="H254" s="245" t="s">
        <v>2026</v>
      </c>
      <c r="I254" s="245" t="s">
        <v>1988</v>
      </c>
      <c r="J254" s="245" t="s">
        <v>2755</v>
      </c>
      <c r="K254" s="245" t="s">
        <v>2756</v>
      </c>
      <c r="L254" s="246">
        <v>46063</v>
      </c>
      <c r="M254" s="245" t="s">
        <v>1988</v>
      </c>
      <c r="N254" s="245" t="s">
        <v>1989</v>
      </c>
      <c r="O254" s="245" t="s">
        <v>1990</v>
      </c>
      <c r="P254" s="245" t="s">
        <v>111</v>
      </c>
      <c r="Q254" s="247">
        <v>1926896.74</v>
      </c>
      <c r="R254" s="247">
        <v>1926896.74</v>
      </c>
      <c r="S254" s="247">
        <v>1331.29</v>
      </c>
      <c r="T254" s="245" t="s">
        <v>1991</v>
      </c>
      <c r="U254" s="245" t="s">
        <v>2113</v>
      </c>
      <c r="V254" s="241" t="s">
        <v>1993</v>
      </c>
      <c r="W254" s="241" t="s">
        <v>93</v>
      </c>
      <c r="X254" s="241" t="s">
        <v>1994</v>
      </c>
    </row>
    <row r="255" spans="1:24" ht="13.5" customHeight="1" x14ac:dyDescent="0.3">
      <c r="A255" s="245" t="s">
        <v>2112</v>
      </c>
      <c r="B255" s="246">
        <v>46063</v>
      </c>
      <c r="C255" s="245" t="s">
        <v>2132</v>
      </c>
      <c r="D255" s="245" t="s">
        <v>2133</v>
      </c>
      <c r="E255" s="245"/>
      <c r="F255" s="245"/>
      <c r="G255" s="245" t="s">
        <v>2757</v>
      </c>
      <c r="H255" s="245" t="s">
        <v>2055</v>
      </c>
      <c r="I255" s="245" t="s">
        <v>1988</v>
      </c>
      <c r="J255" s="245" t="s">
        <v>2758</v>
      </c>
      <c r="K255" s="245" t="s">
        <v>2759</v>
      </c>
      <c r="L255" s="246">
        <v>46063</v>
      </c>
      <c r="M255" s="245" t="s">
        <v>1988</v>
      </c>
      <c r="N255" s="245" t="s">
        <v>1989</v>
      </c>
      <c r="O255" s="245" t="s">
        <v>1990</v>
      </c>
      <c r="P255" s="245" t="s">
        <v>111</v>
      </c>
      <c r="Q255" s="247">
        <v>-9580.14</v>
      </c>
      <c r="R255" s="247">
        <v>-9580.14</v>
      </c>
      <c r="S255" s="247">
        <v>-6.69</v>
      </c>
      <c r="T255" s="245" t="s">
        <v>1991</v>
      </c>
      <c r="U255" s="245" t="s">
        <v>2113</v>
      </c>
      <c r="V255" s="241" t="s">
        <v>1993</v>
      </c>
      <c r="W255" s="241" t="s">
        <v>93</v>
      </c>
      <c r="X255" s="241" t="s">
        <v>1994</v>
      </c>
    </row>
    <row r="256" spans="1:24" ht="13.5" customHeight="1" x14ac:dyDescent="0.3">
      <c r="A256" s="245" t="s">
        <v>2112</v>
      </c>
      <c r="B256" s="246">
        <v>46063</v>
      </c>
      <c r="C256" s="245" t="s">
        <v>2132</v>
      </c>
      <c r="D256" s="245" t="s">
        <v>2133</v>
      </c>
      <c r="E256" s="245"/>
      <c r="F256" s="245"/>
      <c r="G256" s="245" t="s">
        <v>2757</v>
      </c>
      <c r="H256" s="245" t="s">
        <v>2055</v>
      </c>
      <c r="I256" s="245" t="s">
        <v>1988</v>
      </c>
      <c r="J256" s="245" t="s">
        <v>2758</v>
      </c>
      <c r="K256" s="245" t="s">
        <v>2759</v>
      </c>
      <c r="L256" s="246">
        <v>46063</v>
      </c>
      <c r="M256" s="245" t="s">
        <v>1988</v>
      </c>
      <c r="N256" s="245" t="s">
        <v>1989</v>
      </c>
      <c r="O256" s="245" t="s">
        <v>1990</v>
      </c>
      <c r="P256" s="245" t="s">
        <v>111</v>
      </c>
      <c r="Q256" s="247">
        <v>0</v>
      </c>
      <c r="R256" s="247">
        <v>0</v>
      </c>
      <c r="S256" s="247">
        <v>7.0000000000000007E-2</v>
      </c>
      <c r="T256" s="245" t="s">
        <v>1991</v>
      </c>
      <c r="U256" s="245" t="s">
        <v>2113</v>
      </c>
      <c r="V256" s="241" t="s">
        <v>1993</v>
      </c>
      <c r="W256" s="241" t="s">
        <v>93</v>
      </c>
      <c r="X256" s="241" t="s">
        <v>1994</v>
      </c>
    </row>
    <row r="257" spans="1:24" ht="13.5" customHeight="1" x14ac:dyDescent="0.3">
      <c r="A257" s="245" t="s">
        <v>1985</v>
      </c>
      <c r="B257" s="246">
        <v>46063</v>
      </c>
      <c r="C257" s="245" t="s">
        <v>2132</v>
      </c>
      <c r="D257" s="245" t="s">
        <v>2133</v>
      </c>
      <c r="E257" s="245"/>
      <c r="F257" s="245"/>
      <c r="G257" s="245" t="s">
        <v>2757</v>
      </c>
      <c r="H257" s="245" t="s">
        <v>2055</v>
      </c>
      <c r="I257" s="245" t="s">
        <v>1988</v>
      </c>
      <c r="J257" s="245" t="s">
        <v>2758</v>
      </c>
      <c r="K257" s="245" t="s">
        <v>2759</v>
      </c>
      <c r="L257" s="246">
        <v>46063</v>
      </c>
      <c r="M257" s="245" t="s">
        <v>1988</v>
      </c>
      <c r="N257" s="245" t="s">
        <v>1989</v>
      </c>
      <c r="O257" s="245" t="s">
        <v>1990</v>
      </c>
      <c r="P257" s="245" t="s">
        <v>111</v>
      </c>
      <c r="Q257" s="247">
        <v>9580.14</v>
      </c>
      <c r="R257" s="247">
        <v>9580.14</v>
      </c>
      <c r="S257" s="247">
        <v>6.62</v>
      </c>
      <c r="T257" s="245" t="s">
        <v>1991</v>
      </c>
      <c r="U257" s="245" t="s">
        <v>2113</v>
      </c>
      <c r="V257" s="241" t="s">
        <v>1993</v>
      </c>
      <c r="W257" s="241" t="s">
        <v>93</v>
      </c>
      <c r="X257" s="241" t="s">
        <v>1994</v>
      </c>
    </row>
    <row r="258" spans="1:24" ht="13.5" customHeight="1" x14ac:dyDescent="0.3">
      <c r="A258" s="245" t="s">
        <v>2112</v>
      </c>
      <c r="B258" s="246">
        <v>46063</v>
      </c>
      <c r="C258" s="245" t="s">
        <v>2760</v>
      </c>
      <c r="D258" s="245" t="s">
        <v>878</v>
      </c>
      <c r="E258" s="245"/>
      <c r="F258" s="245"/>
      <c r="G258" s="245" t="s">
        <v>2761</v>
      </c>
      <c r="H258" s="245" t="s">
        <v>1996</v>
      </c>
      <c r="I258" s="245" t="s">
        <v>1988</v>
      </c>
      <c r="J258" s="245" t="s">
        <v>2762</v>
      </c>
      <c r="K258" s="245" t="s">
        <v>2763</v>
      </c>
      <c r="L258" s="246">
        <v>46063</v>
      </c>
      <c r="M258" s="245" t="s">
        <v>1988</v>
      </c>
      <c r="N258" s="245" t="s">
        <v>1989</v>
      </c>
      <c r="O258" s="245" t="s">
        <v>1990</v>
      </c>
      <c r="P258" s="245" t="s">
        <v>111</v>
      </c>
      <c r="Q258" s="247">
        <v>-989705.28</v>
      </c>
      <c r="R258" s="247">
        <v>-989705.28</v>
      </c>
      <c r="S258" s="247">
        <v>-690.99</v>
      </c>
      <c r="T258" s="245" t="s">
        <v>1991</v>
      </c>
      <c r="U258" s="245" t="s">
        <v>2113</v>
      </c>
      <c r="V258" s="241" t="s">
        <v>1993</v>
      </c>
      <c r="W258" s="241" t="s">
        <v>93</v>
      </c>
      <c r="X258" s="241" t="s">
        <v>1994</v>
      </c>
    </row>
    <row r="259" spans="1:24" ht="13.5" customHeight="1" x14ac:dyDescent="0.3">
      <c r="A259" s="245" t="s">
        <v>2112</v>
      </c>
      <c r="B259" s="246">
        <v>46063</v>
      </c>
      <c r="C259" s="245" t="s">
        <v>2760</v>
      </c>
      <c r="D259" s="245" t="s">
        <v>878</v>
      </c>
      <c r="E259" s="245"/>
      <c r="F259" s="245"/>
      <c r="G259" s="245" t="s">
        <v>2761</v>
      </c>
      <c r="H259" s="245" t="s">
        <v>1996</v>
      </c>
      <c r="I259" s="245" t="s">
        <v>1988</v>
      </c>
      <c r="J259" s="245" t="s">
        <v>2762</v>
      </c>
      <c r="K259" s="245" t="s">
        <v>2763</v>
      </c>
      <c r="L259" s="246">
        <v>46063</v>
      </c>
      <c r="M259" s="245" t="s">
        <v>1988</v>
      </c>
      <c r="N259" s="245" t="s">
        <v>1989</v>
      </c>
      <c r="O259" s="245" t="s">
        <v>1990</v>
      </c>
      <c r="P259" s="245" t="s">
        <v>111</v>
      </c>
      <c r="Q259" s="247">
        <v>0</v>
      </c>
      <c r="R259" s="247">
        <v>0</v>
      </c>
      <c r="S259" s="247">
        <v>7.21</v>
      </c>
      <c r="T259" s="245" t="s">
        <v>1991</v>
      </c>
      <c r="U259" s="245" t="s">
        <v>2113</v>
      </c>
      <c r="V259" s="241" t="s">
        <v>1993</v>
      </c>
      <c r="W259" s="241" t="s">
        <v>93</v>
      </c>
      <c r="X259" s="241" t="s">
        <v>1994</v>
      </c>
    </row>
    <row r="260" spans="1:24" ht="13.5" customHeight="1" x14ac:dyDescent="0.3">
      <c r="A260" s="245" t="s">
        <v>1985</v>
      </c>
      <c r="B260" s="246">
        <v>46063</v>
      </c>
      <c r="C260" s="245" t="s">
        <v>2760</v>
      </c>
      <c r="D260" s="245" t="s">
        <v>878</v>
      </c>
      <c r="E260" s="245"/>
      <c r="F260" s="245"/>
      <c r="G260" s="245" t="s">
        <v>2761</v>
      </c>
      <c r="H260" s="245" t="s">
        <v>1996</v>
      </c>
      <c r="I260" s="245" t="s">
        <v>1988</v>
      </c>
      <c r="J260" s="245" t="s">
        <v>2762</v>
      </c>
      <c r="K260" s="245" t="s">
        <v>2763</v>
      </c>
      <c r="L260" s="246">
        <v>46063</v>
      </c>
      <c r="M260" s="245" t="s">
        <v>1988</v>
      </c>
      <c r="N260" s="245" t="s">
        <v>1989</v>
      </c>
      <c r="O260" s="245" t="s">
        <v>1990</v>
      </c>
      <c r="P260" s="245" t="s">
        <v>111</v>
      </c>
      <c r="Q260" s="247">
        <v>989705.28</v>
      </c>
      <c r="R260" s="247">
        <v>989705.28</v>
      </c>
      <c r="S260" s="247">
        <v>683.78</v>
      </c>
      <c r="T260" s="245" t="s">
        <v>1991</v>
      </c>
      <c r="U260" s="245" t="s">
        <v>2113</v>
      </c>
      <c r="V260" s="241" t="s">
        <v>1993</v>
      </c>
      <c r="W260" s="241" t="s">
        <v>93</v>
      </c>
      <c r="X260" s="241" t="s">
        <v>1994</v>
      </c>
    </row>
    <row r="261" spans="1:24" ht="13.5" customHeight="1" x14ac:dyDescent="0.3">
      <c r="A261" s="245" t="s">
        <v>2112</v>
      </c>
      <c r="B261" s="246">
        <v>46063</v>
      </c>
      <c r="C261" s="245" t="s">
        <v>2760</v>
      </c>
      <c r="D261" s="245" t="s">
        <v>878</v>
      </c>
      <c r="E261" s="245"/>
      <c r="F261" s="245"/>
      <c r="G261" s="245" t="s">
        <v>2764</v>
      </c>
      <c r="H261" s="245" t="s">
        <v>1987</v>
      </c>
      <c r="I261" s="245" t="s">
        <v>1988</v>
      </c>
      <c r="J261" s="245" t="s">
        <v>2765</v>
      </c>
      <c r="K261" s="245" t="s">
        <v>2766</v>
      </c>
      <c r="L261" s="246">
        <v>46063</v>
      </c>
      <c r="M261" s="245" t="s">
        <v>1988</v>
      </c>
      <c r="N261" s="245" t="s">
        <v>1989</v>
      </c>
      <c r="O261" s="245" t="s">
        <v>1990</v>
      </c>
      <c r="P261" s="245" t="s">
        <v>111</v>
      </c>
      <c r="Q261" s="247">
        <v>-2449631.33</v>
      </c>
      <c r="R261" s="247">
        <v>-2449631.33</v>
      </c>
      <c r="S261" s="247">
        <v>-1710.28</v>
      </c>
      <c r="T261" s="245" t="s">
        <v>1991</v>
      </c>
      <c r="U261" s="245" t="s">
        <v>2113</v>
      </c>
      <c r="V261" s="241" t="s">
        <v>1993</v>
      </c>
      <c r="W261" s="241" t="s">
        <v>93</v>
      </c>
      <c r="X261" s="241" t="s">
        <v>1994</v>
      </c>
    </row>
    <row r="262" spans="1:24" ht="13.5" customHeight="1" x14ac:dyDescent="0.3">
      <c r="A262" s="245" t="s">
        <v>2112</v>
      </c>
      <c r="B262" s="246">
        <v>46063</v>
      </c>
      <c r="C262" s="245" t="s">
        <v>2760</v>
      </c>
      <c r="D262" s="245" t="s">
        <v>878</v>
      </c>
      <c r="E262" s="245"/>
      <c r="F262" s="245"/>
      <c r="G262" s="245" t="s">
        <v>2764</v>
      </c>
      <c r="H262" s="245" t="s">
        <v>1987</v>
      </c>
      <c r="I262" s="245" t="s">
        <v>1988</v>
      </c>
      <c r="J262" s="245" t="s">
        <v>2765</v>
      </c>
      <c r="K262" s="245" t="s">
        <v>2766</v>
      </c>
      <c r="L262" s="246">
        <v>46063</v>
      </c>
      <c r="M262" s="245" t="s">
        <v>1988</v>
      </c>
      <c r="N262" s="245" t="s">
        <v>1989</v>
      </c>
      <c r="O262" s="245" t="s">
        <v>1990</v>
      </c>
      <c r="P262" s="245" t="s">
        <v>111</v>
      </c>
      <c r="Q262" s="247">
        <v>0</v>
      </c>
      <c r="R262" s="247">
        <v>0</v>
      </c>
      <c r="S262" s="247">
        <v>17.84</v>
      </c>
      <c r="T262" s="245" t="s">
        <v>1991</v>
      </c>
      <c r="U262" s="245" t="s">
        <v>2113</v>
      </c>
      <c r="V262" s="241" t="s">
        <v>1993</v>
      </c>
      <c r="W262" s="241" t="s">
        <v>93</v>
      </c>
      <c r="X262" s="241" t="s">
        <v>1994</v>
      </c>
    </row>
    <row r="263" spans="1:24" ht="13.5" customHeight="1" x14ac:dyDescent="0.3">
      <c r="A263" s="245" t="s">
        <v>1985</v>
      </c>
      <c r="B263" s="246">
        <v>46063</v>
      </c>
      <c r="C263" s="245" t="s">
        <v>2760</v>
      </c>
      <c r="D263" s="245" t="s">
        <v>878</v>
      </c>
      <c r="E263" s="245"/>
      <c r="F263" s="245"/>
      <c r="G263" s="245" t="s">
        <v>2764</v>
      </c>
      <c r="H263" s="245" t="s">
        <v>1987</v>
      </c>
      <c r="I263" s="245" t="s">
        <v>1988</v>
      </c>
      <c r="J263" s="245" t="s">
        <v>2765</v>
      </c>
      <c r="K263" s="245" t="s">
        <v>2766</v>
      </c>
      <c r="L263" s="246">
        <v>46063</v>
      </c>
      <c r="M263" s="245" t="s">
        <v>1988</v>
      </c>
      <c r="N263" s="245" t="s">
        <v>1989</v>
      </c>
      <c r="O263" s="245" t="s">
        <v>1990</v>
      </c>
      <c r="P263" s="245" t="s">
        <v>111</v>
      </c>
      <c r="Q263" s="247">
        <v>2449631.33</v>
      </c>
      <c r="R263" s="247">
        <v>2449631.33</v>
      </c>
      <c r="S263" s="247">
        <v>1692.44</v>
      </c>
      <c r="T263" s="245" t="s">
        <v>1991</v>
      </c>
      <c r="U263" s="245" t="s">
        <v>2113</v>
      </c>
      <c r="V263" s="241" t="s">
        <v>1993</v>
      </c>
      <c r="W263" s="241" t="s">
        <v>93</v>
      </c>
      <c r="X263" s="241" t="s">
        <v>1994</v>
      </c>
    </row>
    <row r="264" spans="1:24" ht="13.5" customHeight="1" x14ac:dyDescent="0.3">
      <c r="A264" s="245" t="s">
        <v>2112</v>
      </c>
      <c r="B264" s="246">
        <v>46063</v>
      </c>
      <c r="C264" s="245" t="s">
        <v>2760</v>
      </c>
      <c r="D264" s="245" t="s">
        <v>878</v>
      </c>
      <c r="E264" s="245"/>
      <c r="F264" s="245"/>
      <c r="G264" s="245" t="s">
        <v>2767</v>
      </c>
      <c r="H264" s="245" t="s">
        <v>1998</v>
      </c>
      <c r="I264" s="245" t="s">
        <v>1988</v>
      </c>
      <c r="J264" s="245" t="s">
        <v>2768</v>
      </c>
      <c r="K264" s="245" t="s">
        <v>2769</v>
      </c>
      <c r="L264" s="246">
        <v>46063</v>
      </c>
      <c r="M264" s="245" t="s">
        <v>1988</v>
      </c>
      <c r="N264" s="245" t="s">
        <v>1989</v>
      </c>
      <c r="O264" s="245" t="s">
        <v>1990</v>
      </c>
      <c r="P264" s="245" t="s">
        <v>111</v>
      </c>
      <c r="Q264" s="247">
        <v>-297122.52</v>
      </c>
      <c r="R264" s="247">
        <v>-297122.52</v>
      </c>
      <c r="S264" s="247">
        <v>-207.44</v>
      </c>
      <c r="T264" s="245" t="s">
        <v>1991</v>
      </c>
      <c r="U264" s="245" t="s">
        <v>2113</v>
      </c>
      <c r="V264" s="241" t="s">
        <v>1993</v>
      </c>
      <c r="W264" s="241" t="s">
        <v>93</v>
      </c>
      <c r="X264" s="241" t="s">
        <v>1994</v>
      </c>
    </row>
    <row r="265" spans="1:24" ht="13.5" customHeight="1" x14ac:dyDescent="0.3">
      <c r="A265" s="245" t="s">
        <v>2112</v>
      </c>
      <c r="B265" s="246">
        <v>46063</v>
      </c>
      <c r="C265" s="245" t="s">
        <v>2760</v>
      </c>
      <c r="D265" s="245" t="s">
        <v>878</v>
      </c>
      <c r="E265" s="245"/>
      <c r="F265" s="245"/>
      <c r="G265" s="245" t="s">
        <v>2767</v>
      </c>
      <c r="H265" s="245" t="s">
        <v>1998</v>
      </c>
      <c r="I265" s="245" t="s">
        <v>1988</v>
      </c>
      <c r="J265" s="245" t="s">
        <v>2768</v>
      </c>
      <c r="K265" s="245" t="s">
        <v>2769</v>
      </c>
      <c r="L265" s="246">
        <v>46063</v>
      </c>
      <c r="M265" s="245" t="s">
        <v>1988</v>
      </c>
      <c r="N265" s="245" t="s">
        <v>1989</v>
      </c>
      <c r="O265" s="245" t="s">
        <v>1990</v>
      </c>
      <c r="P265" s="245" t="s">
        <v>111</v>
      </c>
      <c r="Q265" s="247">
        <v>0</v>
      </c>
      <c r="R265" s="247">
        <v>0</v>
      </c>
      <c r="S265" s="247">
        <v>2.16</v>
      </c>
      <c r="T265" s="245" t="s">
        <v>1991</v>
      </c>
      <c r="U265" s="245" t="s">
        <v>2113</v>
      </c>
      <c r="V265" s="241" t="s">
        <v>1993</v>
      </c>
      <c r="W265" s="241" t="s">
        <v>93</v>
      </c>
      <c r="X265" s="241" t="s">
        <v>1994</v>
      </c>
    </row>
    <row r="266" spans="1:24" ht="13.5" customHeight="1" x14ac:dyDescent="0.3">
      <c r="A266" s="245" t="s">
        <v>1985</v>
      </c>
      <c r="B266" s="246">
        <v>46063</v>
      </c>
      <c r="C266" s="245" t="s">
        <v>2760</v>
      </c>
      <c r="D266" s="245" t="s">
        <v>878</v>
      </c>
      <c r="E266" s="245"/>
      <c r="F266" s="245"/>
      <c r="G266" s="245" t="s">
        <v>2767</v>
      </c>
      <c r="H266" s="245" t="s">
        <v>1998</v>
      </c>
      <c r="I266" s="245" t="s">
        <v>1988</v>
      </c>
      <c r="J266" s="245" t="s">
        <v>2768</v>
      </c>
      <c r="K266" s="245" t="s">
        <v>2769</v>
      </c>
      <c r="L266" s="246">
        <v>46063</v>
      </c>
      <c r="M266" s="245" t="s">
        <v>1988</v>
      </c>
      <c r="N266" s="245" t="s">
        <v>1989</v>
      </c>
      <c r="O266" s="245" t="s">
        <v>1990</v>
      </c>
      <c r="P266" s="245" t="s">
        <v>111</v>
      </c>
      <c r="Q266" s="247">
        <v>297122.52</v>
      </c>
      <c r="R266" s="247">
        <v>297122.52</v>
      </c>
      <c r="S266" s="247">
        <v>205.28</v>
      </c>
      <c r="T266" s="245" t="s">
        <v>1991</v>
      </c>
      <c r="U266" s="245" t="s">
        <v>2113</v>
      </c>
      <c r="V266" s="241" t="s">
        <v>1993</v>
      </c>
      <c r="W266" s="241" t="s">
        <v>93</v>
      </c>
      <c r="X266" s="241" t="s">
        <v>1994</v>
      </c>
    </row>
    <row r="267" spans="1:24" ht="13.5" customHeight="1" x14ac:dyDescent="0.3">
      <c r="A267" s="245" t="s">
        <v>2112</v>
      </c>
      <c r="B267" s="246">
        <v>46063</v>
      </c>
      <c r="C267" s="245" t="s">
        <v>2760</v>
      </c>
      <c r="D267" s="245" t="s">
        <v>878</v>
      </c>
      <c r="E267" s="245"/>
      <c r="F267" s="245"/>
      <c r="G267" s="245" t="s">
        <v>2770</v>
      </c>
      <c r="H267" s="245" t="s">
        <v>2000</v>
      </c>
      <c r="I267" s="245" t="s">
        <v>1988</v>
      </c>
      <c r="J267" s="245" t="s">
        <v>2771</v>
      </c>
      <c r="K267" s="245" t="s">
        <v>2772</v>
      </c>
      <c r="L267" s="246">
        <v>46063</v>
      </c>
      <c r="M267" s="245" t="s">
        <v>1988</v>
      </c>
      <c r="N267" s="245" t="s">
        <v>1989</v>
      </c>
      <c r="O267" s="245" t="s">
        <v>1990</v>
      </c>
      <c r="P267" s="245" t="s">
        <v>111</v>
      </c>
      <c r="Q267" s="247">
        <v>-6220800</v>
      </c>
      <c r="R267" s="247">
        <v>-6220800</v>
      </c>
      <c r="S267" s="247">
        <v>-4343.2299999999996</v>
      </c>
      <c r="T267" s="245" t="s">
        <v>1991</v>
      </c>
      <c r="U267" s="245" t="s">
        <v>2113</v>
      </c>
      <c r="V267" s="241" t="s">
        <v>1993</v>
      </c>
      <c r="W267" s="241" t="s">
        <v>93</v>
      </c>
      <c r="X267" s="241" t="s">
        <v>1994</v>
      </c>
    </row>
    <row r="268" spans="1:24" ht="13.5" customHeight="1" x14ac:dyDescent="0.3">
      <c r="A268" s="245" t="s">
        <v>2112</v>
      </c>
      <c r="B268" s="246">
        <v>46063</v>
      </c>
      <c r="C268" s="245" t="s">
        <v>2760</v>
      </c>
      <c r="D268" s="245" t="s">
        <v>878</v>
      </c>
      <c r="E268" s="245"/>
      <c r="F268" s="245"/>
      <c r="G268" s="245" t="s">
        <v>2770</v>
      </c>
      <c r="H268" s="245" t="s">
        <v>2000</v>
      </c>
      <c r="I268" s="245" t="s">
        <v>1988</v>
      </c>
      <c r="J268" s="245" t="s">
        <v>2771</v>
      </c>
      <c r="K268" s="245" t="s">
        <v>2772</v>
      </c>
      <c r="L268" s="246">
        <v>46063</v>
      </c>
      <c r="M268" s="245" t="s">
        <v>1988</v>
      </c>
      <c r="N268" s="245" t="s">
        <v>1989</v>
      </c>
      <c r="O268" s="245" t="s">
        <v>1990</v>
      </c>
      <c r="P268" s="245" t="s">
        <v>111</v>
      </c>
      <c r="Q268" s="247">
        <v>0</v>
      </c>
      <c r="R268" s="247">
        <v>0</v>
      </c>
      <c r="S268" s="247">
        <v>45.3</v>
      </c>
      <c r="T268" s="245" t="s">
        <v>1991</v>
      </c>
      <c r="U268" s="245" t="s">
        <v>2113</v>
      </c>
      <c r="V268" s="241" t="s">
        <v>1993</v>
      </c>
      <c r="W268" s="241" t="s">
        <v>93</v>
      </c>
      <c r="X268" s="241" t="s">
        <v>1994</v>
      </c>
    </row>
    <row r="269" spans="1:24" ht="13.5" customHeight="1" x14ac:dyDescent="0.3">
      <c r="A269" s="245" t="s">
        <v>1985</v>
      </c>
      <c r="B269" s="246">
        <v>46063</v>
      </c>
      <c r="C269" s="245" t="s">
        <v>2760</v>
      </c>
      <c r="D269" s="245" t="s">
        <v>878</v>
      </c>
      <c r="E269" s="245"/>
      <c r="F269" s="245"/>
      <c r="G269" s="245" t="s">
        <v>2770</v>
      </c>
      <c r="H269" s="245" t="s">
        <v>2000</v>
      </c>
      <c r="I269" s="245" t="s">
        <v>1988</v>
      </c>
      <c r="J269" s="245" t="s">
        <v>2771</v>
      </c>
      <c r="K269" s="245" t="s">
        <v>2772</v>
      </c>
      <c r="L269" s="246">
        <v>46063</v>
      </c>
      <c r="M269" s="245" t="s">
        <v>1988</v>
      </c>
      <c r="N269" s="245" t="s">
        <v>1989</v>
      </c>
      <c r="O269" s="245" t="s">
        <v>1990</v>
      </c>
      <c r="P269" s="245" t="s">
        <v>111</v>
      </c>
      <c r="Q269" s="247">
        <v>6220800</v>
      </c>
      <c r="R269" s="247">
        <v>6220800</v>
      </c>
      <c r="S269" s="247">
        <v>4297.93</v>
      </c>
      <c r="T269" s="245" t="s">
        <v>1991</v>
      </c>
      <c r="U269" s="245" t="s">
        <v>2113</v>
      </c>
      <c r="V269" s="241" t="s">
        <v>1993</v>
      </c>
      <c r="W269" s="241" t="s">
        <v>93</v>
      </c>
      <c r="X269" s="241" t="s">
        <v>1994</v>
      </c>
    </row>
    <row r="270" spans="1:24" ht="13.5" customHeight="1" x14ac:dyDescent="0.3">
      <c r="A270" s="245" t="s">
        <v>2112</v>
      </c>
      <c r="B270" s="246">
        <v>46063</v>
      </c>
      <c r="C270" s="245" t="s">
        <v>984</v>
      </c>
      <c r="D270" s="245" t="s">
        <v>987</v>
      </c>
      <c r="E270" s="245"/>
      <c r="F270" s="245"/>
      <c r="G270" s="245" t="s">
        <v>2124</v>
      </c>
      <c r="H270" s="245" t="s">
        <v>2103</v>
      </c>
      <c r="I270" s="245" t="s">
        <v>1988</v>
      </c>
      <c r="J270" s="245" t="s">
        <v>2773</v>
      </c>
      <c r="K270" s="245" t="s">
        <v>2774</v>
      </c>
      <c r="L270" s="246">
        <v>46063</v>
      </c>
      <c r="M270" s="245" t="s">
        <v>1988</v>
      </c>
      <c r="N270" s="245" t="s">
        <v>1989</v>
      </c>
      <c r="O270" s="245" t="s">
        <v>1990</v>
      </c>
      <c r="P270" s="245" t="s">
        <v>111</v>
      </c>
      <c r="Q270" s="247">
        <v>-17899981.09</v>
      </c>
      <c r="R270" s="247">
        <v>-17899981.09</v>
      </c>
      <c r="S270" s="247">
        <v>-12497.39</v>
      </c>
      <c r="T270" s="245" t="s">
        <v>1991</v>
      </c>
      <c r="U270" s="245" t="s">
        <v>2113</v>
      </c>
      <c r="V270" s="241" t="s">
        <v>1993</v>
      </c>
      <c r="W270" s="241" t="s">
        <v>93</v>
      </c>
      <c r="X270" s="241" t="s">
        <v>1994</v>
      </c>
    </row>
    <row r="271" spans="1:24" ht="13.5" customHeight="1" x14ac:dyDescent="0.3">
      <c r="A271" s="245" t="s">
        <v>2112</v>
      </c>
      <c r="B271" s="246">
        <v>46063</v>
      </c>
      <c r="C271" s="245" t="s">
        <v>984</v>
      </c>
      <c r="D271" s="245" t="s">
        <v>987</v>
      </c>
      <c r="E271" s="245"/>
      <c r="F271" s="245"/>
      <c r="G271" s="245" t="s">
        <v>2124</v>
      </c>
      <c r="H271" s="245" t="s">
        <v>2103</v>
      </c>
      <c r="I271" s="245" t="s">
        <v>1988</v>
      </c>
      <c r="J271" s="245" t="s">
        <v>2773</v>
      </c>
      <c r="K271" s="245" t="s">
        <v>2774</v>
      </c>
      <c r="L271" s="246">
        <v>46063</v>
      </c>
      <c r="M271" s="245" t="s">
        <v>1988</v>
      </c>
      <c r="N271" s="245" t="s">
        <v>1989</v>
      </c>
      <c r="O271" s="245" t="s">
        <v>1990</v>
      </c>
      <c r="P271" s="245" t="s">
        <v>111</v>
      </c>
      <c r="Q271" s="247">
        <v>0</v>
      </c>
      <c r="R271" s="247">
        <v>0</v>
      </c>
      <c r="S271" s="247">
        <v>130.35</v>
      </c>
      <c r="T271" s="245" t="s">
        <v>1991</v>
      </c>
      <c r="U271" s="245" t="s">
        <v>2113</v>
      </c>
      <c r="V271" s="241" t="s">
        <v>1993</v>
      </c>
      <c r="W271" s="241" t="s">
        <v>93</v>
      </c>
      <c r="X271" s="241" t="s">
        <v>1994</v>
      </c>
    </row>
    <row r="272" spans="1:24" ht="13.5" customHeight="1" x14ac:dyDescent="0.3">
      <c r="A272" s="245" t="s">
        <v>1985</v>
      </c>
      <c r="B272" s="246">
        <v>46063</v>
      </c>
      <c r="C272" s="245" t="s">
        <v>984</v>
      </c>
      <c r="D272" s="245" t="s">
        <v>987</v>
      </c>
      <c r="E272" s="245"/>
      <c r="F272" s="245"/>
      <c r="G272" s="245" t="s">
        <v>2124</v>
      </c>
      <c r="H272" s="245" t="s">
        <v>2103</v>
      </c>
      <c r="I272" s="245" t="s">
        <v>1988</v>
      </c>
      <c r="J272" s="245" t="s">
        <v>2773</v>
      </c>
      <c r="K272" s="245" t="s">
        <v>2774</v>
      </c>
      <c r="L272" s="246">
        <v>46063</v>
      </c>
      <c r="M272" s="245" t="s">
        <v>1988</v>
      </c>
      <c r="N272" s="245" t="s">
        <v>1989</v>
      </c>
      <c r="O272" s="245" t="s">
        <v>1990</v>
      </c>
      <c r="P272" s="245" t="s">
        <v>111</v>
      </c>
      <c r="Q272" s="247">
        <v>17899981.09</v>
      </c>
      <c r="R272" s="247">
        <v>17899981.09</v>
      </c>
      <c r="S272" s="247">
        <v>12367.04</v>
      </c>
      <c r="T272" s="245" t="s">
        <v>1991</v>
      </c>
      <c r="U272" s="245" t="s">
        <v>2113</v>
      </c>
      <c r="V272" s="241" t="s">
        <v>1993</v>
      </c>
      <c r="W272" s="241" t="s">
        <v>93</v>
      </c>
      <c r="X272" s="241" t="s">
        <v>1994</v>
      </c>
    </row>
    <row r="273" spans="1:24" ht="13.5" customHeight="1" x14ac:dyDescent="0.3">
      <c r="A273" s="245" t="s">
        <v>2112</v>
      </c>
      <c r="B273" s="246">
        <v>46063</v>
      </c>
      <c r="C273" s="245" t="s">
        <v>984</v>
      </c>
      <c r="D273" s="245" t="s">
        <v>987</v>
      </c>
      <c r="E273" s="245"/>
      <c r="F273" s="245"/>
      <c r="G273" s="245" t="s">
        <v>2775</v>
      </c>
      <c r="H273" s="245" t="s">
        <v>2101</v>
      </c>
      <c r="I273" s="245" t="s">
        <v>1988</v>
      </c>
      <c r="J273" s="245" t="s">
        <v>2776</v>
      </c>
      <c r="K273" s="245" t="s">
        <v>2777</v>
      </c>
      <c r="L273" s="246">
        <v>46063</v>
      </c>
      <c r="M273" s="245" t="s">
        <v>1988</v>
      </c>
      <c r="N273" s="245" t="s">
        <v>1989</v>
      </c>
      <c r="O273" s="245" t="s">
        <v>1990</v>
      </c>
      <c r="P273" s="245" t="s">
        <v>111</v>
      </c>
      <c r="Q273" s="247">
        <v>-3456000</v>
      </c>
      <c r="R273" s="247">
        <v>-3456000</v>
      </c>
      <c r="S273" s="247">
        <v>-2412.91</v>
      </c>
      <c r="T273" s="245" t="s">
        <v>1991</v>
      </c>
      <c r="U273" s="245" t="s">
        <v>2113</v>
      </c>
      <c r="V273" s="241" t="s">
        <v>1993</v>
      </c>
      <c r="W273" s="241" t="s">
        <v>93</v>
      </c>
      <c r="X273" s="241" t="s">
        <v>1994</v>
      </c>
    </row>
    <row r="274" spans="1:24" ht="13.5" customHeight="1" x14ac:dyDescent="0.3">
      <c r="A274" s="245" t="s">
        <v>2112</v>
      </c>
      <c r="B274" s="246">
        <v>46063</v>
      </c>
      <c r="C274" s="245" t="s">
        <v>984</v>
      </c>
      <c r="D274" s="245" t="s">
        <v>987</v>
      </c>
      <c r="E274" s="245"/>
      <c r="F274" s="245"/>
      <c r="G274" s="245" t="s">
        <v>2775</v>
      </c>
      <c r="H274" s="245" t="s">
        <v>2101</v>
      </c>
      <c r="I274" s="245" t="s">
        <v>1988</v>
      </c>
      <c r="J274" s="245" t="s">
        <v>2776</v>
      </c>
      <c r="K274" s="245" t="s">
        <v>2777</v>
      </c>
      <c r="L274" s="246">
        <v>46063</v>
      </c>
      <c r="M274" s="245" t="s">
        <v>1988</v>
      </c>
      <c r="N274" s="245" t="s">
        <v>1989</v>
      </c>
      <c r="O274" s="245" t="s">
        <v>1990</v>
      </c>
      <c r="P274" s="245" t="s">
        <v>111</v>
      </c>
      <c r="Q274" s="247">
        <v>0</v>
      </c>
      <c r="R274" s="247">
        <v>0</v>
      </c>
      <c r="S274" s="247">
        <v>25.17</v>
      </c>
      <c r="T274" s="245" t="s">
        <v>1991</v>
      </c>
      <c r="U274" s="245" t="s">
        <v>2113</v>
      </c>
      <c r="V274" s="241" t="s">
        <v>1993</v>
      </c>
      <c r="W274" s="241" t="s">
        <v>93</v>
      </c>
      <c r="X274" s="241" t="s">
        <v>1994</v>
      </c>
    </row>
    <row r="275" spans="1:24" ht="13.5" customHeight="1" x14ac:dyDescent="0.3">
      <c r="A275" s="245" t="s">
        <v>1985</v>
      </c>
      <c r="B275" s="246">
        <v>46063</v>
      </c>
      <c r="C275" s="245" t="s">
        <v>984</v>
      </c>
      <c r="D275" s="245" t="s">
        <v>987</v>
      </c>
      <c r="E275" s="245"/>
      <c r="F275" s="245"/>
      <c r="G275" s="245" t="s">
        <v>2775</v>
      </c>
      <c r="H275" s="245" t="s">
        <v>2101</v>
      </c>
      <c r="I275" s="245" t="s">
        <v>1988</v>
      </c>
      <c r="J275" s="245" t="s">
        <v>2776</v>
      </c>
      <c r="K275" s="245" t="s">
        <v>2777</v>
      </c>
      <c r="L275" s="246">
        <v>46063</v>
      </c>
      <c r="M275" s="245" t="s">
        <v>1988</v>
      </c>
      <c r="N275" s="245" t="s">
        <v>1989</v>
      </c>
      <c r="O275" s="245" t="s">
        <v>1990</v>
      </c>
      <c r="P275" s="245" t="s">
        <v>111</v>
      </c>
      <c r="Q275" s="247">
        <v>3456000</v>
      </c>
      <c r="R275" s="247">
        <v>3456000</v>
      </c>
      <c r="S275" s="247">
        <v>2387.7399999999998</v>
      </c>
      <c r="T275" s="245" t="s">
        <v>1991</v>
      </c>
      <c r="U275" s="245" t="s">
        <v>2113</v>
      </c>
      <c r="V275" s="241" t="s">
        <v>1993</v>
      </c>
      <c r="W275" s="241" t="s">
        <v>93</v>
      </c>
      <c r="X275" s="241" t="s">
        <v>1994</v>
      </c>
    </row>
    <row r="276" spans="1:24" ht="13.5" customHeight="1" x14ac:dyDescent="0.3">
      <c r="A276" s="245" t="s">
        <v>2112</v>
      </c>
      <c r="B276" s="246">
        <v>46063</v>
      </c>
      <c r="C276" s="245" t="s">
        <v>140</v>
      </c>
      <c r="D276" s="245" t="s">
        <v>805</v>
      </c>
      <c r="E276" s="245"/>
      <c r="F276" s="245"/>
      <c r="G276" s="245" t="s">
        <v>2131</v>
      </c>
      <c r="H276" s="245" t="s">
        <v>2054</v>
      </c>
      <c r="I276" s="245" t="s">
        <v>1988</v>
      </c>
      <c r="J276" s="245" t="s">
        <v>2778</v>
      </c>
      <c r="K276" s="245" t="s">
        <v>2779</v>
      </c>
      <c r="L276" s="246">
        <v>46063</v>
      </c>
      <c r="M276" s="245" t="s">
        <v>1988</v>
      </c>
      <c r="N276" s="245" t="s">
        <v>1989</v>
      </c>
      <c r="O276" s="245" t="s">
        <v>1990</v>
      </c>
      <c r="P276" s="245" t="s">
        <v>111</v>
      </c>
      <c r="Q276" s="247">
        <v>-65202.33</v>
      </c>
      <c r="R276" s="247">
        <v>-65202.33</v>
      </c>
      <c r="S276" s="247">
        <v>-45.52</v>
      </c>
      <c r="T276" s="245" t="s">
        <v>1991</v>
      </c>
      <c r="U276" s="245" t="s">
        <v>2113</v>
      </c>
      <c r="V276" s="241" t="s">
        <v>1993</v>
      </c>
      <c r="W276" s="241" t="s">
        <v>93</v>
      </c>
      <c r="X276" s="241" t="s">
        <v>1994</v>
      </c>
    </row>
    <row r="277" spans="1:24" ht="13.5" customHeight="1" x14ac:dyDescent="0.3">
      <c r="A277" s="245" t="s">
        <v>2112</v>
      </c>
      <c r="B277" s="246">
        <v>46063</v>
      </c>
      <c r="C277" s="245" t="s">
        <v>140</v>
      </c>
      <c r="D277" s="245" t="s">
        <v>805</v>
      </c>
      <c r="E277" s="245"/>
      <c r="F277" s="245"/>
      <c r="G277" s="245" t="s">
        <v>2131</v>
      </c>
      <c r="H277" s="245" t="s">
        <v>2054</v>
      </c>
      <c r="I277" s="245" t="s">
        <v>1988</v>
      </c>
      <c r="J277" s="245" t="s">
        <v>2778</v>
      </c>
      <c r="K277" s="245" t="s">
        <v>2779</v>
      </c>
      <c r="L277" s="246">
        <v>46063</v>
      </c>
      <c r="M277" s="245" t="s">
        <v>1988</v>
      </c>
      <c r="N277" s="245" t="s">
        <v>1989</v>
      </c>
      <c r="O277" s="245" t="s">
        <v>1990</v>
      </c>
      <c r="P277" s="245" t="s">
        <v>111</v>
      </c>
      <c r="Q277" s="247">
        <v>0</v>
      </c>
      <c r="R277" s="247">
        <v>0</v>
      </c>
      <c r="S277" s="247">
        <v>0.47</v>
      </c>
      <c r="T277" s="245" t="s">
        <v>1991</v>
      </c>
      <c r="U277" s="245" t="s">
        <v>2113</v>
      </c>
      <c r="V277" s="241" t="s">
        <v>1993</v>
      </c>
      <c r="W277" s="241" t="s">
        <v>93</v>
      </c>
      <c r="X277" s="241" t="s">
        <v>1994</v>
      </c>
    </row>
    <row r="278" spans="1:24" ht="13.5" customHeight="1" x14ac:dyDescent="0.3">
      <c r="A278" s="245" t="s">
        <v>1985</v>
      </c>
      <c r="B278" s="246">
        <v>46063</v>
      </c>
      <c r="C278" s="245" t="s">
        <v>140</v>
      </c>
      <c r="D278" s="245" t="s">
        <v>805</v>
      </c>
      <c r="E278" s="245"/>
      <c r="F278" s="245"/>
      <c r="G278" s="245" t="s">
        <v>2131</v>
      </c>
      <c r="H278" s="245" t="s">
        <v>2054</v>
      </c>
      <c r="I278" s="245" t="s">
        <v>1988</v>
      </c>
      <c r="J278" s="245" t="s">
        <v>2778</v>
      </c>
      <c r="K278" s="245" t="s">
        <v>2779</v>
      </c>
      <c r="L278" s="246">
        <v>46063</v>
      </c>
      <c r="M278" s="245" t="s">
        <v>1988</v>
      </c>
      <c r="N278" s="245" t="s">
        <v>1989</v>
      </c>
      <c r="O278" s="245" t="s">
        <v>1990</v>
      </c>
      <c r="P278" s="245" t="s">
        <v>111</v>
      </c>
      <c r="Q278" s="247">
        <v>65202.33</v>
      </c>
      <c r="R278" s="247">
        <v>65202.33</v>
      </c>
      <c r="S278" s="247">
        <v>45.05</v>
      </c>
      <c r="T278" s="245" t="s">
        <v>1991</v>
      </c>
      <c r="U278" s="245" t="s">
        <v>2113</v>
      </c>
      <c r="V278" s="241" t="s">
        <v>1993</v>
      </c>
      <c r="W278" s="241" t="s">
        <v>93</v>
      </c>
      <c r="X278" s="241" t="s">
        <v>1994</v>
      </c>
    </row>
    <row r="279" spans="1:24" ht="13.5" customHeight="1" x14ac:dyDescent="0.3">
      <c r="A279" s="245" t="s">
        <v>2112</v>
      </c>
      <c r="B279" s="246">
        <v>46063</v>
      </c>
      <c r="C279" s="245" t="s">
        <v>830</v>
      </c>
      <c r="D279" s="245" t="s">
        <v>834</v>
      </c>
      <c r="E279" s="245"/>
      <c r="F279" s="245"/>
      <c r="G279" s="245" t="s">
        <v>2780</v>
      </c>
      <c r="H279" s="245" t="s">
        <v>2011</v>
      </c>
      <c r="I279" s="245" t="s">
        <v>1988</v>
      </c>
      <c r="J279" s="245" t="s">
        <v>2781</v>
      </c>
      <c r="K279" s="245" t="s">
        <v>2782</v>
      </c>
      <c r="L279" s="246">
        <v>46063</v>
      </c>
      <c r="M279" s="245" t="s">
        <v>1988</v>
      </c>
      <c r="N279" s="245" t="s">
        <v>1989</v>
      </c>
      <c r="O279" s="245" t="s">
        <v>1990</v>
      </c>
      <c r="P279" s="245" t="s">
        <v>111</v>
      </c>
      <c r="Q279" s="247">
        <v>-4603990.84</v>
      </c>
      <c r="R279" s="247">
        <v>-4603990.84</v>
      </c>
      <c r="S279" s="247">
        <v>-3214.41</v>
      </c>
      <c r="T279" s="245" t="s">
        <v>1991</v>
      </c>
      <c r="U279" s="245" t="s">
        <v>2113</v>
      </c>
      <c r="V279" s="241" t="s">
        <v>1993</v>
      </c>
      <c r="W279" s="241" t="s">
        <v>93</v>
      </c>
      <c r="X279" s="241" t="s">
        <v>1994</v>
      </c>
    </row>
    <row r="280" spans="1:24" ht="13.5" customHeight="1" x14ac:dyDescent="0.3">
      <c r="A280" s="245" t="s">
        <v>2112</v>
      </c>
      <c r="B280" s="246">
        <v>46063</v>
      </c>
      <c r="C280" s="245" t="s">
        <v>830</v>
      </c>
      <c r="D280" s="245" t="s">
        <v>834</v>
      </c>
      <c r="E280" s="245"/>
      <c r="F280" s="245"/>
      <c r="G280" s="245" t="s">
        <v>2780</v>
      </c>
      <c r="H280" s="245" t="s">
        <v>2011</v>
      </c>
      <c r="I280" s="245" t="s">
        <v>1988</v>
      </c>
      <c r="J280" s="245" t="s">
        <v>2781</v>
      </c>
      <c r="K280" s="245" t="s">
        <v>2782</v>
      </c>
      <c r="L280" s="246">
        <v>46063</v>
      </c>
      <c r="M280" s="245" t="s">
        <v>1988</v>
      </c>
      <c r="N280" s="245" t="s">
        <v>1989</v>
      </c>
      <c r="O280" s="245" t="s">
        <v>1990</v>
      </c>
      <c r="P280" s="245" t="s">
        <v>111</v>
      </c>
      <c r="Q280" s="247">
        <v>0</v>
      </c>
      <c r="R280" s="247">
        <v>0</v>
      </c>
      <c r="S280" s="247">
        <v>33.53</v>
      </c>
      <c r="T280" s="245" t="s">
        <v>1991</v>
      </c>
      <c r="U280" s="245" t="s">
        <v>2113</v>
      </c>
      <c r="V280" s="241" t="s">
        <v>1993</v>
      </c>
      <c r="W280" s="241" t="s">
        <v>93</v>
      </c>
      <c r="X280" s="241" t="s">
        <v>1994</v>
      </c>
    </row>
    <row r="281" spans="1:24" ht="13.5" customHeight="1" x14ac:dyDescent="0.3">
      <c r="A281" s="245" t="s">
        <v>1985</v>
      </c>
      <c r="B281" s="246">
        <v>46063</v>
      </c>
      <c r="C281" s="245" t="s">
        <v>830</v>
      </c>
      <c r="D281" s="245" t="s">
        <v>834</v>
      </c>
      <c r="E281" s="245"/>
      <c r="F281" s="245"/>
      <c r="G281" s="245" t="s">
        <v>2780</v>
      </c>
      <c r="H281" s="245" t="s">
        <v>2011</v>
      </c>
      <c r="I281" s="245" t="s">
        <v>1988</v>
      </c>
      <c r="J281" s="245" t="s">
        <v>2781</v>
      </c>
      <c r="K281" s="245" t="s">
        <v>2782</v>
      </c>
      <c r="L281" s="246">
        <v>46063</v>
      </c>
      <c r="M281" s="245" t="s">
        <v>1988</v>
      </c>
      <c r="N281" s="245" t="s">
        <v>1989</v>
      </c>
      <c r="O281" s="245" t="s">
        <v>1990</v>
      </c>
      <c r="P281" s="245" t="s">
        <v>111</v>
      </c>
      <c r="Q281" s="247">
        <v>4603990.84</v>
      </c>
      <c r="R281" s="247">
        <v>4603990.84</v>
      </c>
      <c r="S281" s="247">
        <v>3180.88</v>
      </c>
      <c r="T281" s="245" t="s">
        <v>1991</v>
      </c>
      <c r="U281" s="245" t="s">
        <v>2113</v>
      </c>
      <c r="V281" s="241" t="s">
        <v>1993</v>
      </c>
      <c r="W281" s="241" t="s">
        <v>93</v>
      </c>
      <c r="X281" s="241" t="s">
        <v>1994</v>
      </c>
    </row>
    <row r="282" spans="1:24" ht="13.5" customHeight="1" x14ac:dyDescent="0.3">
      <c r="A282" s="245" t="s">
        <v>2112</v>
      </c>
      <c r="B282" s="246">
        <v>46063</v>
      </c>
      <c r="C282" s="245" t="s">
        <v>732</v>
      </c>
      <c r="D282" s="245" t="s">
        <v>734</v>
      </c>
      <c r="E282" s="245"/>
      <c r="F282" s="245"/>
      <c r="G282" s="245" t="s">
        <v>2149</v>
      </c>
      <c r="H282" s="245" t="s">
        <v>2084</v>
      </c>
      <c r="I282" s="245" t="s">
        <v>1988</v>
      </c>
      <c r="J282" s="245" t="s">
        <v>2783</v>
      </c>
      <c r="K282" s="245" t="s">
        <v>2784</v>
      </c>
      <c r="L282" s="246">
        <v>46063</v>
      </c>
      <c r="M282" s="245" t="s">
        <v>1988</v>
      </c>
      <c r="N282" s="245" t="s">
        <v>1989</v>
      </c>
      <c r="O282" s="245" t="s">
        <v>1990</v>
      </c>
      <c r="P282" s="245" t="s">
        <v>111</v>
      </c>
      <c r="Q282" s="247">
        <v>-4441227.74</v>
      </c>
      <c r="R282" s="247">
        <v>-4441227.74</v>
      </c>
      <c r="S282" s="247">
        <v>-3100.77</v>
      </c>
      <c r="T282" s="245" t="s">
        <v>1991</v>
      </c>
      <c r="U282" s="245" t="s">
        <v>2113</v>
      </c>
      <c r="V282" s="241" t="s">
        <v>1993</v>
      </c>
      <c r="W282" s="241" t="s">
        <v>93</v>
      </c>
      <c r="X282" s="241" t="s">
        <v>1994</v>
      </c>
    </row>
    <row r="283" spans="1:24" ht="13.5" customHeight="1" x14ac:dyDescent="0.3">
      <c r="A283" s="245" t="s">
        <v>2112</v>
      </c>
      <c r="B283" s="246">
        <v>46063</v>
      </c>
      <c r="C283" s="245" t="s">
        <v>732</v>
      </c>
      <c r="D283" s="245" t="s">
        <v>734</v>
      </c>
      <c r="E283" s="245"/>
      <c r="F283" s="245"/>
      <c r="G283" s="245" t="s">
        <v>2149</v>
      </c>
      <c r="H283" s="245" t="s">
        <v>2084</v>
      </c>
      <c r="I283" s="245" t="s">
        <v>1988</v>
      </c>
      <c r="J283" s="245" t="s">
        <v>2783</v>
      </c>
      <c r="K283" s="245" t="s">
        <v>2784</v>
      </c>
      <c r="L283" s="246">
        <v>46063</v>
      </c>
      <c r="M283" s="245" t="s">
        <v>1988</v>
      </c>
      <c r="N283" s="245" t="s">
        <v>1989</v>
      </c>
      <c r="O283" s="245" t="s">
        <v>1990</v>
      </c>
      <c r="P283" s="245" t="s">
        <v>111</v>
      </c>
      <c r="Q283" s="247">
        <v>0</v>
      </c>
      <c r="R283" s="247">
        <v>0</v>
      </c>
      <c r="S283" s="247">
        <v>32.340000000000003</v>
      </c>
      <c r="T283" s="245" t="s">
        <v>1991</v>
      </c>
      <c r="U283" s="245" t="s">
        <v>2113</v>
      </c>
      <c r="V283" s="241" t="s">
        <v>1993</v>
      </c>
      <c r="W283" s="241" t="s">
        <v>93</v>
      </c>
      <c r="X283" s="241" t="s">
        <v>1994</v>
      </c>
    </row>
    <row r="284" spans="1:24" ht="13.5" customHeight="1" x14ac:dyDescent="0.3">
      <c r="A284" s="245" t="s">
        <v>1985</v>
      </c>
      <c r="B284" s="246">
        <v>46063</v>
      </c>
      <c r="C284" s="245" t="s">
        <v>732</v>
      </c>
      <c r="D284" s="245" t="s">
        <v>734</v>
      </c>
      <c r="E284" s="245"/>
      <c r="F284" s="245"/>
      <c r="G284" s="245" t="s">
        <v>2149</v>
      </c>
      <c r="H284" s="245" t="s">
        <v>2084</v>
      </c>
      <c r="I284" s="245" t="s">
        <v>1988</v>
      </c>
      <c r="J284" s="245" t="s">
        <v>2783</v>
      </c>
      <c r="K284" s="245" t="s">
        <v>2784</v>
      </c>
      <c r="L284" s="246">
        <v>46063</v>
      </c>
      <c r="M284" s="245" t="s">
        <v>1988</v>
      </c>
      <c r="N284" s="245" t="s">
        <v>1989</v>
      </c>
      <c r="O284" s="245" t="s">
        <v>1990</v>
      </c>
      <c r="P284" s="245" t="s">
        <v>111</v>
      </c>
      <c r="Q284" s="247">
        <v>4441227.74</v>
      </c>
      <c r="R284" s="247">
        <v>4441227.74</v>
      </c>
      <c r="S284" s="247">
        <v>3068.43</v>
      </c>
      <c r="T284" s="245" t="s">
        <v>1991</v>
      </c>
      <c r="U284" s="245" t="s">
        <v>2113</v>
      </c>
      <c r="V284" s="241" t="s">
        <v>1993</v>
      </c>
      <c r="W284" s="241" t="s">
        <v>93</v>
      </c>
      <c r="X284" s="241" t="s">
        <v>1994</v>
      </c>
    </row>
    <row r="285" spans="1:24" ht="13.5" customHeight="1" x14ac:dyDescent="0.3">
      <c r="A285" s="245" t="s">
        <v>2112</v>
      </c>
      <c r="B285" s="246">
        <v>46063</v>
      </c>
      <c r="C285" s="245" t="s">
        <v>1336</v>
      </c>
      <c r="D285" s="245" t="s">
        <v>1339</v>
      </c>
      <c r="E285" s="245"/>
      <c r="F285" s="245"/>
      <c r="G285" s="245" t="s">
        <v>2785</v>
      </c>
      <c r="H285" s="245" t="s">
        <v>2064</v>
      </c>
      <c r="I285" s="245" t="s">
        <v>1988</v>
      </c>
      <c r="J285" s="245" t="s">
        <v>2786</v>
      </c>
      <c r="K285" s="245" t="s">
        <v>2787</v>
      </c>
      <c r="L285" s="246">
        <v>46063</v>
      </c>
      <c r="M285" s="245" t="s">
        <v>1988</v>
      </c>
      <c r="N285" s="245" t="s">
        <v>1989</v>
      </c>
      <c r="O285" s="245" t="s">
        <v>1990</v>
      </c>
      <c r="P285" s="245" t="s">
        <v>111</v>
      </c>
      <c r="Q285" s="247">
        <v>-656761.32999999996</v>
      </c>
      <c r="R285" s="247">
        <v>-656761.32999999996</v>
      </c>
      <c r="S285" s="247">
        <v>-458.54</v>
      </c>
      <c r="T285" s="245" t="s">
        <v>1991</v>
      </c>
      <c r="U285" s="245" t="s">
        <v>2113</v>
      </c>
      <c r="V285" s="241" t="s">
        <v>1993</v>
      </c>
      <c r="W285" s="241" t="s">
        <v>93</v>
      </c>
      <c r="X285" s="241" t="s">
        <v>1994</v>
      </c>
    </row>
    <row r="286" spans="1:24" ht="13.5" customHeight="1" x14ac:dyDescent="0.3">
      <c r="A286" s="245" t="s">
        <v>2112</v>
      </c>
      <c r="B286" s="246">
        <v>46063</v>
      </c>
      <c r="C286" s="245" t="s">
        <v>1336</v>
      </c>
      <c r="D286" s="245" t="s">
        <v>1339</v>
      </c>
      <c r="E286" s="245"/>
      <c r="F286" s="245"/>
      <c r="G286" s="245" t="s">
        <v>2785</v>
      </c>
      <c r="H286" s="245" t="s">
        <v>2064</v>
      </c>
      <c r="I286" s="245" t="s">
        <v>1988</v>
      </c>
      <c r="J286" s="245" t="s">
        <v>2786</v>
      </c>
      <c r="K286" s="245" t="s">
        <v>2787</v>
      </c>
      <c r="L286" s="246">
        <v>46063</v>
      </c>
      <c r="M286" s="245" t="s">
        <v>1988</v>
      </c>
      <c r="N286" s="245" t="s">
        <v>1989</v>
      </c>
      <c r="O286" s="245" t="s">
        <v>1990</v>
      </c>
      <c r="P286" s="245" t="s">
        <v>111</v>
      </c>
      <c r="Q286" s="247">
        <v>0</v>
      </c>
      <c r="R286" s="247">
        <v>0</v>
      </c>
      <c r="S286" s="247">
        <v>4.79</v>
      </c>
      <c r="T286" s="245" t="s">
        <v>1991</v>
      </c>
      <c r="U286" s="245" t="s">
        <v>2113</v>
      </c>
      <c r="V286" s="241" t="s">
        <v>1993</v>
      </c>
      <c r="W286" s="241" t="s">
        <v>93</v>
      </c>
      <c r="X286" s="241" t="s">
        <v>1994</v>
      </c>
    </row>
    <row r="287" spans="1:24" ht="13.5" customHeight="1" x14ac:dyDescent="0.3">
      <c r="A287" s="245" t="s">
        <v>1985</v>
      </c>
      <c r="B287" s="246">
        <v>46063</v>
      </c>
      <c r="C287" s="245" t="s">
        <v>1336</v>
      </c>
      <c r="D287" s="245" t="s">
        <v>1339</v>
      </c>
      <c r="E287" s="245"/>
      <c r="F287" s="245"/>
      <c r="G287" s="245" t="s">
        <v>2785</v>
      </c>
      <c r="H287" s="245" t="s">
        <v>2064</v>
      </c>
      <c r="I287" s="245" t="s">
        <v>1988</v>
      </c>
      <c r="J287" s="245" t="s">
        <v>2786</v>
      </c>
      <c r="K287" s="245" t="s">
        <v>2787</v>
      </c>
      <c r="L287" s="246">
        <v>46063</v>
      </c>
      <c r="M287" s="245" t="s">
        <v>1988</v>
      </c>
      <c r="N287" s="245" t="s">
        <v>1989</v>
      </c>
      <c r="O287" s="245" t="s">
        <v>1990</v>
      </c>
      <c r="P287" s="245" t="s">
        <v>111</v>
      </c>
      <c r="Q287" s="247">
        <v>656761.32999999996</v>
      </c>
      <c r="R287" s="247">
        <v>656761.32999999996</v>
      </c>
      <c r="S287" s="247">
        <v>453.75</v>
      </c>
      <c r="T287" s="245" t="s">
        <v>1991</v>
      </c>
      <c r="U287" s="245" t="s">
        <v>2113</v>
      </c>
      <c r="V287" s="241" t="s">
        <v>1993</v>
      </c>
      <c r="W287" s="241" t="s">
        <v>93</v>
      </c>
      <c r="X287" s="241" t="s">
        <v>1994</v>
      </c>
    </row>
    <row r="288" spans="1:24" ht="13.5" customHeight="1" x14ac:dyDescent="0.3">
      <c r="A288" s="245" t="s">
        <v>2112</v>
      </c>
      <c r="B288" s="246">
        <v>46063</v>
      </c>
      <c r="C288" s="245" t="s">
        <v>2144</v>
      </c>
      <c r="D288" s="245" t="s">
        <v>2145</v>
      </c>
      <c r="E288" s="245"/>
      <c r="F288" s="245"/>
      <c r="G288" s="245" t="s">
        <v>2146</v>
      </c>
      <c r="H288" s="245" t="s">
        <v>2080</v>
      </c>
      <c r="I288" s="245" t="s">
        <v>1988</v>
      </c>
      <c r="J288" s="245" t="s">
        <v>2788</v>
      </c>
      <c r="K288" s="245" t="s">
        <v>2789</v>
      </c>
      <c r="L288" s="246">
        <v>46063</v>
      </c>
      <c r="M288" s="245" t="s">
        <v>1988</v>
      </c>
      <c r="N288" s="245" t="s">
        <v>1989</v>
      </c>
      <c r="O288" s="245" t="s">
        <v>1990</v>
      </c>
      <c r="P288" s="245" t="s">
        <v>111</v>
      </c>
      <c r="Q288" s="247">
        <v>-655743.79</v>
      </c>
      <c r="R288" s="247">
        <v>-655743.79</v>
      </c>
      <c r="S288" s="247">
        <v>-457.83</v>
      </c>
      <c r="T288" s="245" t="s">
        <v>1991</v>
      </c>
      <c r="U288" s="245" t="s">
        <v>2113</v>
      </c>
      <c r="V288" s="241" t="s">
        <v>1993</v>
      </c>
      <c r="W288" s="241" t="s">
        <v>93</v>
      </c>
      <c r="X288" s="241" t="s">
        <v>1994</v>
      </c>
    </row>
    <row r="289" spans="1:24" ht="13.5" customHeight="1" x14ac:dyDescent="0.3">
      <c r="A289" s="245" t="s">
        <v>2112</v>
      </c>
      <c r="B289" s="246">
        <v>46063</v>
      </c>
      <c r="C289" s="245" t="s">
        <v>2144</v>
      </c>
      <c r="D289" s="245" t="s">
        <v>2145</v>
      </c>
      <c r="E289" s="245"/>
      <c r="F289" s="245"/>
      <c r="G289" s="245" t="s">
        <v>2146</v>
      </c>
      <c r="H289" s="245" t="s">
        <v>2080</v>
      </c>
      <c r="I289" s="245" t="s">
        <v>1988</v>
      </c>
      <c r="J289" s="245" t="s">
        <v>2788</v>
      </c>
      <c r="K289" s="245" t="s">
        <v>2789</v>
      </c>
      <c r="L289" s="246">
        <v>46063</v>
      </c>
      <c r="M289" s="245" t="s">
        <v>1988</v>
      </c>
      <c r="N289" s="245" t="s">
        <v>1989</v>
      </c>
      <c r="O289" s="245" t="s">
        <v>1990</v>
      </c>
      <c r="P289" s="245" t="s">
        <v>111</v>
      </c>
      <c r="Q289" s="247">
        <v>0</v>
      </c>
      <c r="R289" s="247">
        <v>0</v>
      </c>
      <c r="S289" s="247">
        <v>4.78</v>
      </c>
      <c r="T289" s="245" t="s">
        <v>1991</v>
      </c>
      <c r="U289" s="245" t="s">
        <v>2113</v>
      </c>
      <c r="V289" s="241" t="s">
        <v>1993</v>
      </c>
      <c r="W289" s="241" t="s">
        <v>93</v>
      </c>
      <c r="X289" s="241" t="s">
        <v>1994</v>
      </c>
    </row>
    <row r="290" spans="1:24" ht="13.5" customHeight="1" x14ac:dyDescent="0.3">
      <c r="A290" s="245" t="s">
        <v>1985</v>
      </c>
      <c r="B290" s="246">
        <v>46063</v>
      </c>
      <c r="C290" s="245" t="s">
        <v>2144</v>
      </c>
      <c r="D290" s="245" t="s">
        <v>2145</v>
      </c>
      <c r="E290" s="245"/>
      <c r="F290" s="245"/>
      <c r="G290" s="245" t="s">
        <v>2146</v>
      </c>
      <c r="H290" s="245" t="s">
        <v>2080</v>
      </c>
      <c r="I290" s="245" t="s">
        <v>1988</v>
      </c>
      <c r="J290" s="245" t="s">
        <v>2788</v>
      </c>
      <c r="K290" s="245" t="s">
        <v>2789</v>
      </c>
      <c r="L290" s="246">
        <v>46063</v>
      </c>
      <c r="M290" s="245" t="s">
        <v>1988</v>
      </c>
      <c r="N290" s="245" t="s">
        <v>1989</v>
      </c>
      <c r="O290" s="245" t="s">
        <v>1990</v>
      </c>
      <c r="P290" s="245" t="s">
        <v>111</v>
      </c>
      <c r="Q290" s="247">
        <v>655743.79</v>
      </c>
      <c r="R290" s="247">
        <v>655743.79</v>
      </c>
      <c r="S290" s="247">
        <v>453.05</v>
      </c>
      <c r="T290" s="245" t="s">
        <v>1991</v>
      </c>
      <c r="U290" s="245" t="s">
        <v>2113</v>
      </c>
      <c r="V290" s="241" t="s">
        <v>1993</v>
      </c>
      <c r="W290" s="241" t="s">
        <v>93</v>
      </c>
      <c r="X290" s="241" t="s">
        <v>1994</v>
      </c>
    </row>
    <row r="291" spans="1:24" ht="13.5" customHeight="1" x14ac:dyDescent="0.3">
      <c r="A291" s="245" t="s">
        <v>2112</v>
      </c>
      <c r="B291" s="246">
        <v>46063</v>
      </c>
      <c r="C291" s="245" t="s">
        <v>2144</v>
      </c>
      <c r="D291" s="245" t="s">
        <v>2145</v>
      </c>
      <c r="E291" s="245"/>
      <c r="F291" s="245"/>
      <c r="G291" s="245" t="s">
        <v>2790</v>
      </c>
      <c r="H291" s="245" t="s">
        <v>2078</v>
      </c>
      <c r="I291" s="245" t="s">
        <v>1988</v>
      </c>
      <c r="J291" s="245" t="s">
        <v>2791</v>
      </c>
      <c r="K291" s="245" t="s">
        <v>2792</v>
      </c>
      <c r="L291" s="246">
        <v>46063</v>
      </c>
      <c r="M291" s="245" t="s">
        <v>1988</v>
      </c>
      <c r="N291" s="245" t="s">
        <v>1989</v>
      </c>
      <c r="O291" s="245" t="s">
        <v>1990</v>
      </c>
      <c r="P291" s="245" t="s">
        <v>111</v>
      </c>
      <c r="Q291" s="247">
        <v>-3000000</v>
      </c>
      <c r="R291" s="247">
        <v>-3000000</v>
      </c>
      <c r="S291" s="247">
        <v>-2094.54</v>
      </c>
      <c r="T291" s="245" t="s">
        <v>1991</v>
      </c>
      <c r="U291" s="245" t="s">
        <v>2113</v>
      </c>
      <c r="V291" s="241" t="s">
        <v>1993</v>
      </c>
      <c r="W291" s="241" t="s">
        <v>93</v>
      </c>
      <c r="X291" s="241" t="s">
        <v>1994</v>
      </c>
    </row>
    <row r="292" spans="1:24" ht="13.5" customHeight="1" x14ac:dyDescent="0.3">
      <c r="A292" s="245" t="s">
        <v>2112</v>
      </c>
      <c r="B292" s="246">
        <v>46063</v>
      </c>
      <c r="C292" s="245" t="s">
        <v>2144</v>
      </c>
      <c r="D292" s="245" t="s">
        <v>2145</v>
      </c>
      <c r="E292" s="245"/>
      <c r="F292" s="245"/>
      <c r="G292" s="245" t="s">
        <v>2790</v>
      </c>
      <c r="H292" s="245" t="s">
        <v>2078</v>
      </c>
      <c r="I292" s="245" t="s">
        <v>1988</v>
      </c>
      <c r="J292" s="245" t="s">
        <v>2791</v>
      </c>
      <c r="K292" s="245" t="s">
        <v>2792</v>
      </c>
      <c r="L292" s="246">
        <v>46063</v>
      </c>
      <c r="M292" s="245" t="s">
        <v>1988</v>
      </c>
      <c r="N292" s="245" t="s">
        <v>1989</v>
      </c>
      <c r="O292" s="245" t="s">
        <v>1990</v>
      </c>
      <c r="P292" s="245" t="s">
        <v>111</v>
      </c>
      <c r="Q292" s="247">
        <v>0</v>
      </c>
      <c r="R292" s="247">
        <v>0</v>
      </c>
      <c r="S292" s="247">
        <v>21.85</v>
      </c>
      <c r="T292" s="245" t="s">
        <v>1991</v>
      </c>
      <c r="U292" s="245" t="s">
        <v>2113</v>
      </c>
      <c r="V292" s="241" t="s">
        <v>1993</v>
      </c>
      <c r="W292" s="241" t="s">
        <v>93</v>
      </c>
      <c r="X292" s="241" t="s">
        <v>1994</v>
      </c>
    </row>
    <row r="293" spans="1:24" ht="13.5" customHeight="1" x14ac:dyDescent="0.3">
      <c r="A293" s="245" t="s">
        <v>1985</v>
      </c>
      <c r="B293" s="246">
        <v>46063</v>
      </c>
      <c r="C293" s="245" t="s">
        <v>2144</v>
      </c>
      <c r="D293" s="245" t="s">
        <v>2145</v>
      </c>
      <c r="E293" s="245"/>
      <c r="F293" s="245"/>
      <c r="G293" s="245" t="s">
        <v>2790</v>
      </c>
      <c r="H293" s="245" t="s">
        <v>2078</v>
      </c>
      <c r="I293" s="245" t="s">
        <v>1988</v>
      </c>
      <c r="J293" s="245" t="s">
        <v>2791</v>
      </c>
      <c r="K293" s="245" t="s">
        <v>2792</v>
      </c>
      <c r="L293" s="246">
        <v>46063</v>
      </c>
      <c r="M293" s="245" t="s">
        <v>1988</v>
      </c>
      <c r="N293" s="245" t="s">
        <v>1989</v>
      </c>
      <c r="O293" s="245" t="s">
        <v>1990</v>
      </c>
      <c r="P293" s="245" t="s">
        <v>111</v>
      </c>
      <c r="Q293" s="247">
        <v>3000000</v>
      </c>
      <c r="R293" s="247">
        <v>3000000</v>
      </c>
      <c r="S293" s="247">
        <v>2072.69</v>
      </c>
      <c r="T293" s="245" t="s">
        <v>1991</v>
      </c>
      <c r="U293" s="245" t="s">
        <v>2113</v>
      </c>
      <c r="V293" s="241" t="s">
        <v>1993</v>
      </c>
      <c r="W293" s="241" t="s">
        <v>93</v>
      </c>
      <c r="X293" s="241" t="s">
        <v>1994</v>
      </c>
    </row>
    <row r="294" spans="1:24" ht="13.5" customHeight="1" x14ac:dyDescent="0.3">
      <c r="A294" s="245" t="s">
        <v>2112</v>
      </c>
      <c r="B294" s="246">
        <v>46063</v>
      </c>
      <c r="C294" s="245" t="s">
        <v>2144</v>
      </c>
      <c r="D294" s="245" t="s">
        <v>2145</v>
      </c>
      <c r="E294" s="245"/>
      <c r="F294" s="245"/>
      <c r="G294" s="245" t="s">
        <v>2793</v>
      </c>
      <c r="H294" s="245" t="s">
        <v>2079</v>
      </c>
      <c r="I294" s="245" t="s">
        <v>1988</v>
      </c>
      <c r="J294" s="245" t="s">
        <v>2794</v>
      </c>
      <c r="K294" s="245" t="s">
        <v>2795</v>
      </c>
      <c r="L294" s="246">
        <v>46063</v>
      </c>
      <c r="M294" s="245" t="s">
        <v>1988</v>
      </c>
      <c r="N294" s="245" t="s">
        <v>1989</v>
      </c>
      <c r="O294" s="245" t="s">
        <v>1990</v>
      </c>
      <c r="P294" s="245" t="s">
        <v>111</v>
      </c>
      <c r="Q294" s="247">
        <v>-2499998.29</v>
      </c>
      <c r="R294" s="247">
        <v>-2499998.29</v>
      </c>
      <c r="S294" s="247">
        <v>-1745.45</v>
      </c>
      <c r="T294" s="245" t="s">
        <v>1991</v>
      </c>
      <c r="U294" s="245" t="s">
        <v>2113</v>
      </c>
      <c r="V294" s="241" t="s">
        <v>1993</v>
      </c>
      <c r="W294" s="241" t="s">
        <v>93</v>
      </c>
      <c r="X294" s="241" t="s">
        <v>1994</v>
      </c>
    </row>
    <row r="295" spans="1:24" ht="13.5" customHeight="1" x14ac:dyDescent="0.3">
      <c r="A295" s="245" t="s">
        <v>2112</v>
      </c>
      <c r="B295" s="246">
        <v>46063</v>
      </c>
      <c r="C295" s="245" t="s">
        <v>2144</v>
      </c>
      <c r="D295" s="245" t="s">
        <v>2145</v>
      </c>
      <c r="E295" s="245"/>
      <c r="F295" s="245"/>
      <c r="G295" s="245" t="s">
        <v>2793</v>
      </c>
      <c r="H295" s="245" t="s">
        <v>2079</v>
      </c>
      <c r="I295" s="245" t="s">
        <v>1988</v>
      </c>
      <c r="J295" s="245" t="s">
        <v>2794</v>
      </c>
      <c r="K295" s="245" t="s">
        <v>2795</v>
      </c>
      <c r="L295" s="246">
        <v>46063</v>
      </c>
      <c r="M295" s="245" t="s">
        <v>1988</v>
      </c>
      <c r="N295" s="245" t="s">
        <v>1989</v>
      </c>
      <c r="O295" s="245" t="s">
        <v>1990</v>
      </c>
      <c r="P295" s="245" t="s">
        <v>111</v>
      </c>
      <c r="Q295" s="247">
        <v>0</v>
      </c>
      <c r="R295" s="247">
        <v>0</v>
      </c>
      <c r="S295" s="247">
        <v>18.21</v>
      </c>
      <c r="T295" s="245" t="s">
        <v>1991</v>
      </c>
      <c r="U295" s="245" t="s">
        <v>2113</v>
      </c>
      <c r="V295" s="241" t="s">
        <v>1993</v>
      </c>
      <c r="W295" s="241" t="s">
        <v>93</v>
      </c>
      <c r="X295" s="241" t="s">
        <v>1994</v>
      </c>
    </row>
    <row r="296" spans="1:24" ht="13.5" customHeight="1" x14ac:dyDescent="0.3">
      <c r="A296" s="245" t="s">
        <v>1985</v>
      </c>
      <c r="B296" s="246">
        <v>46063</v>
      </c>
      <c r="C296" s="245" t="s">
        <v>2144</v>
      </c>
      <c r="D296" s="245" t="s">
        <v>2145</v>
      </c>
      <c r="E296" s="245"/>
      <c r="F296" s="245"/>
      <c r="G296" s="245" t="s">
        <v>2793</v>
      </c>
      <c r="H296" s="245" t="s">
        <v>2079</v>
      </c>
      <c r="I296" s="245" t="s">
        <v>1988</v>
      </c>
      <c r="J296" s="245" t="s">
        <v>2794</v>
      </c>
      <c r="K296" s="245" t="s">
        <v>2795</v>
      </c>
      <c r="L296" s="246">
        <v>46063</v>
      </c>
      <c r="M296" s="245" t="s">
        <v>1988</v>
      </c>
      <c r="N296" s="245" t="s">
        <v>1989</v>
      </c>
      <c r="O296" s="245" t="s">
        <v>1990</v>
      </c>
      <c r="P296" s="245" t="s">
        <v>111</v>
      </c>
      <c r="Q296" s="247">
        <v>2499998.29</v>
      </c>
      <c r="R296" s="247">
        <v>2499998.29</v>
      </c>
      <c r="S296" s="247">
        <v>1727.24</v>
      </c>
      <c r="T296" s="245" t="s">
        <v>1991</v>
      </c>
      <c r="U296" s="245" t="s">
        <v>2113</v>
      </c>
      <c r="V296" s="241" t="s">
        <v>1993</v>
      </c>
      <c r="W296" s="241" t="s">
        <v>93</v>
      </c>
      <c r="X296" s="241" t="s">
        <v>1994</v>
      </c>
    </row>
    <row r="297" spans="1:24" ht="13.5" customHeight="1" x14ac:dyDescent="0.3">
      <c r="A297" s="245" t="s">
        <v>2112</v>
      </c>
      <c r="B297" s="246">
        <v>46063</v>
      </c>
      <c r="C297" s="245" t="s">
        <v>1107</v>
      </c>
      <c r="D297" s="245" t="s">
        <v>1110</v>
      </c>
      <c r="E297" s="245"/>
      <c r="F297" s="245"/>
      <c r="G297" s="245" t="s">
        <v>2796</v>
      </c>
      <c r="H297" s="245" t="s">
        <v>2082</v>
      </c>
      <c r="I297" s="245" t="s">
        <v>1988</v>
      </c>
      <c r="J297" s="245" t="s">
        <v>2797</v>
      </c>
      <c r="K297" s="245" t="s">
        <v>2798</v>
      </c>
      <c r="L297" s="246">
        <v>46063</v>
      </c>
      <c r="M297" s="245" t="s">
        <v>1988</v>
      </c>
      <c r="N297" s="245" t="s">
        <v>1989</v>
      </c>
      <c r="O297" s="245" t="s">
        <v>1990</v>
      </c>
      <c r="P297" s="245" t="s">
        <v>111</v>
      </c>
      <c r="Q297" s="247">
        <v>-12108660.5</v>
      </c>
      <c r="R297" s="247">
        <v>-12108660.5</v>
      </c>
      <c r="S297" s="247">
        <v>-8454.01</v>
      </c>
      <c r="T297" s="245" t="s">
        <v>1991</v>
      </c>
      <c r="U297" s="245" t="s">
        <v>2113</v>
      </c>
      <c r="V297" s="241" t="s">
        <v>1993</v>
      </c>
      <c r="W297" s="241" t="s">
        <v>93</v>
      </c>
      <c r="X297" s="241" t="s">
        <v>1994</v>
      </c>
    </row>
    <row r="298" spans="1:24" ht="13.5" customHeight="1" x14ac:dyDescent="0.3">
      <c r="A298" s="245" t="s">
        <v>2112</v>
      </c>
      <c r="B298" s="246">
        <v>46063</v>
      </c>
      <c r="C298" s="245" t="s">
        <v>1107</v>
      </c>
      <c r="D298" s="245" t="s">
        <v>1110</v>
      </c>
      <c r="E298" s="245"/>
      <c r="F298" s="245"/>
      <c r="G298" s="245" t="s">
        <v>2796</v>
      </c>
      <c r="H298" s="245" t="s">
        <v>2082</v>
      </c>
      <c r="I298" s="245" t="s">
        <v>1988</v>
      </c>
      <c r="J298" s="245" t="s">
        <v>2797</v>
      </c>
      <c r="K298" s="245" t="s">
        <v>2798</v>
      </c>
      <c r="L298" s="246">
        <v>46063</v>
      </c>
      <c r="M298" s="245" t="s">
        <v>1988</v>
      </c>
      <c r="N298" s="245" t="s">
        <v>1989</v>
      </c>
      <c r="O298" s="245" t="s">
        <v>1990</v>
      </c>
      <c r="P298" s="245" t="s">
        <v>111</v>
      </c>
      <c r="Q298" s="247">
        <v>0</v>
      </c>
      <c r="R298" s="247">
        <v>0</v>
      </c>
      <c r="S298" s="247">
        <v>88.18</v>
      </c>
      <c r="T298" s="245" t="s">
        <v>1991</v>
      </c>
      <c r="U298" s="245" t="s">
        <v>2113</v>
      </c>
      <c r="V298" s="241" t="s">
        <v>1993</v>
      </c>
      <c r="W298" s="241" t="s">
        <v>93</v>
      </c>
      <c r="X298" s="241" t="s">
        <v>1994</v>
      </c>
    </row>
    <row r="299" spans="1:24" ht="13.5" customHeight="1" x14ac:dyDescent="0.3">
      <c r="A299" s="245" t="s">
        <v>1985</v>
      </c>
      <c r="B299" s="246">
        <v>46063</v>
      </c>
      <c r="C299" s="245" t="s">
        <v>1107</v>
      </c>
      <c r="D299" s="245" t="s">
        <v>1110</v>
      </c>
      <c r="E299" s="245"/>
      <c r="F299" s="245"/>
      <c r="G299" s="245" t="s">
        <v>2796</v>
      </c>
      <c r="H299" s="245" t="s">
        <v>2082</v>
      </c>
      <c r="I299" s="245" t="s">
        <v>1988</v>
      </c>
      <c r="J299" s="245" t="s">
        <v>2797</v>
      </c>
      <c r="K299" s="245" t="s">
        <v>2798</v>
      </c>
      <c r="L299" s="246">
        <v>46063</v>
      </c>
      <c r="M299" s="245" t="s">
        <v>1988</v>
      </c>
      <c r="N299" s="245" t="s">
        <v>1989</v>
      </c>
      <c r="O299" s="245" t="s">
        <v>1990</v>
      </c>
      <c r="P299" s="245" t="s">
        <v>111</v>
      </c>
      <c r="Q299" s="247">
        <v>12108660.5</v>
      </c>
      <c r="R299" s="247">
        <v>12108660.5</v>
      </c>
      <c r="S299" s="247">
        <v>8365.83</v>
      </c>
      <c r="T299" s="245" t="s">
        <v>1991</v>
      </c>
      <c r="U299" s="245" t="s">
        <v>2113</v>
      </c>
      <c r="V299" s="241" t="s">
        <v>1993</v>
      </c>
      <c r="W299" s="241" t="s">
        <v>93</v>
      </c>
      <c r="X299" s="241" t="s">
        <v>1994</v>
      </c>
    </row>
    <row r="300" spans="1:24" ht="13.5" customHeight="1" x14ac:dyDescent="0.3">
      <c r="A300" s="245" t="s">
        <v>2112</v>
      </c>
      <c r="B300" s="246">
        <v>46063</v>
      </c>
      <c r="C300" s="245" t="s">
        <v>2114</v>
      </c>
      <c r="D300" s="245" t="s">
        <v>2115</v>
      </c>
      <c r="E300" s="245"/>
      <c r="F300" s="245"/>
      <c r="G300" s="245" t="s">
        <v>2799</v>
      </c>
      <c r="H300" s="245" t="s">
        <v>3039</v>
      </c>
      <c r="I300" s="245" t="s">
        <v>2116</v>
      </c>
      <c r="J300" s="245" t="s">
        <v>2800</v>
      </c>
      <c r="K300" s="245" t="s">
        <v>2801</v>
      </c>
      <c r="L300" s="246">
        <v>46063</v>
      </c>
      <c r="M300" s="245" t="s">
        <v>2116</v>
      </c>
      <c r="N300" s="245" t="s">
        <v>1989</v>
      </c>
      <c r="O300" s="245" t="s">
        <v>1990</v>
      </c>
      <c r="P300" s="245" t="s">
        <v>111</v>
      </c>
      <c r="Q300" s="247">
        <v>-104981.62</v>
      </c>
      <c r="R300" s="247">
        <v>-104981.62</v>
      </c>
      <c r="S300" s="247">
        <v>-73.3</v>
      </c>
      <c r="T300" s="245" t="s">
        <v>1991</v>
      </c>
      <c r="U300" s="245" t="s">
        <v>2152</v>
      </c>
      <c r="V300" s="241" t="s">
        <v>1993</v>
      </c>
      <c r="W300" s="241" t="s">
        <v>93</v>
      </c>
      <c r="X300" s="241" t="s">
        <v>1994</v>
      </c>
    </row>
    <row r="301" spans="1:24" ht="13.5" customHeight="1" x14ac:dyDescent="0.3">
      <c r="A301" s="245" t="s">
        <v>2112</v>
      </c>
      <c r="B301" s="246">
        <v>46063</v>
      </c>
      <c r="C301" s="245" t="s">
        <v>2114</v>
      </c>
      <c r="D301" s="245" t="s">
        <v>2115</v>
      </c>
      <c r="E301" s="245"/>
      <c r="F301" s="245"/>
      <c r="G301" s="245" t="s">
        <v>2799</v>
      </c>
      <c r="H301" s="245" t="s">
        <v>3039</v>
      </c>
      <c r="I301" s="245" t="s">
        <v>2116</v>
      </c>
      <c r="J301" s="245" t="s">
        <v>2800</v>
      </c>
      <c r="K301" s="245" t="s">
        <v>2801</v>
      </c>
      <c r="L301" s="246">
        <v>46063</v>
      </c>
      <c r="M301" s="245" t="s">
        <v>2116</v>
      </c>
      <c r="N301" s="245" t="s">
        <v>1989</v>
      </c>
      <c r="O301" s="245" t="s">
        <v>1990</v>
      </c>
      <c r="P301" s="245" t="s">
        <v>111</v>
      </c>
      <c r="Q301" s="247">
        <v>0</v>
      </c>
      <c r="R301" s="247">
        <v>0</v>
      </c>
      <c r="S301" s="247">
        <v>0.53</v>
      </c>
      <c r="T301" s="245" t="s">
        <v>1991</v>
      </c>
      <c r="U301" s="245" t="s">
        <v>2152</v>
      </c>
      <c r="V301" s="241" t="s">
        <v>1993</v>
      </c>
      <c r="W301" s="241" t="s">
        <v>93</v>
      </c>
      <c r="X301" s="241" t="s">
        <v>1994</v>
      </c>
    </row>
    <row r="302" spans="1:24" ht="13.5" customHeight="1" x14ac:dyDescent="0.3">
      <c r="A302" s="245" t="s">
        <v>1985</v>
      </c>
      <c r="B302" s="246">
        <v>46063</v>
      </c>
      <c r="C302" s="245" t="s">
        <v>2114</v>
      </c>
      <c r="D302" s="245" t="s">
        <v>2115</v>
      </c>
      <c r="E302" s="245"/>
      <c r="F302" s="245"/>
      <c r="G302" s="245" t="s">
        <v>2799</v>
      </c>
      <c r="H302" s="245" t="s">
        <v>3039</v>
      </c>
      <c r="I302" s="245" t="s">
        <v>2116</v>
      </c>
      <c r="J302" s="245" t="s">
        <v>2800</v>
      </c>
      <c r="K302" s="245" t="s">
        <v>2801</v>
      </c>
      <c r="L302" s="246">
        <v>46063</v>
      </c>
      <c r="M302" s="245" t="s">
        <v>2116</v>
      </c>
      <c r="N302" s="245" t="s">
        <v>1989</v>
      </c>
      <c r="O302" s="245" t="s">
        <v>1990</v>
      </c>
      <c r="P302" s="245" t="s">
        <v>111</v>
      </c>
      <c r="Q302" s="247">
        <v>104981.62</v>
      </c>
      <c r="R302" s="247">
        <v>104981.62</v>
      </c>
      <c r="S302" s="247">
        <v>72.77</v>
      </c>
      <c r="T302" s="245" t="s">
        <v>1991</v>
      </c>
      <c r="U302" s="245" t="s">
        <v>2152</v>
      </c>
      <c r="V302" s="241" t="s">
        <v>1993</v>
      </c>
      <c r="W302" s="241" t="s">
        <v>93</v>
      </c>
      <c r="X302" s="241" t="s">
        <v>1994</v>
      </c>
    </row>
    <row r="303" spans="1:24" ht="13.5" customHeight="1" x14ac:dyDescent="0.3">
      <c r="A303" s="245" t="s">
        <v>2112</v>
      </c>
      <c r="B303" s="246">
        <v>46062</v>
      </c>
      <c r="C303" s="245" t="s">
        <v>997</v>
      </c>
      <c r="D303" s="245" t="s">
        <v>1000</v>
      </c>
      <c r="E303" s="245"/>
      <c r="F303" s="245"/>
      <c r="G303" s="245" t="s">
        <v>2802</v>
      </c>
      <c r="H303" s="245" t="s">
        <v>2085</v>
      </c>
      <c r="I303" s="245" t="s">
        <v>1988</v>
      </c>
      <c r="J303" s="245" t="s">
        <v>2803</v>
      </c>
      <c r="K303" s="245" t="s">
        <v>2804</v>
      </c>
      <c r="L303" s="246">
        <v>46062</v>
      </c>
      <c r="M303" s="245" t="s">
        <v>1988</v>
      </c>
      <c r="N303" s="245" t="s">
        <v>1989</v>
      </c>
      <c r="O303" s="245" t="s">
        <v>1990</v>
      </c>
      <c r="P303" s="245" t="s">
        <v>111</v>
      </c>
      <c r="Q303" s="247">
        <v>-3456000</v>
      </c>
      <c r="R303" s="247">
        <v>-3456000</v>
      </c>
      <c r="S303" s="247">
        <v>-2413.48</v>
      </c>
      <c r="T303" s="245" t="s">
        <v>1991</v>
      </c>
      <c r="U303" s="245" t="s">
        <v>2113</v>
      </c>
      <c r="V303" s="241" t="s">
        <v>1993</v>
      </c>
      <c r="W303" s="241" t="s">
        <v>93</v>
      </c>
      <c r="X303" s="241" t="s">
        <v>1994</v>
      </c>
    </row>
    <row r="304" spans="1:24" ht="13.5" customHeight="1" x14ac:dyDescent="0.3">
      <c r="A304" s="245" t="s">
        <v>2112</v>
      </c>
      <c r="B304" s="246">
        <v>46062</v>
      </c>
      <c r="C304" s="245" t="s">
        <v>997</v>
      </c>
      <c r="D304" s="245" t="s">
        <v>1000</v>
      </c>
      <c r="E304" s="245"/>
      <c r="F304" s="245"/>
      <c r="G304" s="245" t="s">
        <v>2802</v>
      </c>
      <c r="H304" s="245" t="s">
        <v>2085</v>
      </c>
      <c r="I304" s="245" t="s">
        <v>1988</v>
      </c>
      <c r="J304" s="245" t="s">
        <v>2803</v>
      </c>
      <c r="K304" s="245" t="s">
        <v>2804</v>
      </c>
      <c r="L304" s="246">
        <v>46062</v>
      </c>
      <c r="M304" s="245" t="s">
        <v>1988</v>
      </c>
      <c r="N304" s="245" t="s">
        <v>1989</v>
      </c>
      <c r="O304" s="245" t="s">
        <v>1990</v>
      </c>
      <c r="P304" s="245" t="s">
        <v>111</v>
      </c>
      <c r="Q304" s="247">
        <v>0</v>
      </c>
      <c r="R304" s="247">
        <v>0</v>
      </c>
      <c r="S304" s="247">
        <v>25.74</v>
      </c>
      <c r="T304" s="245" t="s">
        <v>1991</v>
      </c>
      <c r="U304" s="245" t="s">
        <v>2113</v>
      </c>
      <c r="V304" s="241" t="s">
        <v>1993</v>
      </c>
      <c r="W304" s="241" t="s">
        <v>93</v>
      </c>
      <c r="X304" s="241" t="s">
        <v>1994</v>
      </c>
    </row>
    <row r="305" spans="1:24" ht="13.5" customHeight="1" x14ac:dyDescent="0.3">
      <c r="A305" s="245" t="s">
        <v>1985</v>
      </c>
      <c r="B305" s="246">
        <v>46062</v>
      </c>
      <c r="C305" s="245" t="s">
        <v>997</v>
      </c>
      <c r="D305" s="245" t="s">
        <v>1000</v>
      </c>
      <c r="E305" s="245"/>
      <c r="F305" s="245"/>
      <c r="G305" s="245" t="s">
        <v>2802</v>
      </c>
      <c r="H305" s="245" t="s">
        <v>2085</v>
      </c>
      <c r="I305" s="245" t="s">
        <v>1988</v>
      </c>
      <c r="J305" s="245" t="s">
        <v>2803</v>
      </c>
      <c r="K305" s="245" t="s">
        <v>2804</v>
      </c>
      <c r="L305" s="246">
        <v>46062</v>
      </c>
      <c r="M305" s="245" t="s">
        <v>1988</v>
      </c>
      <c r="N305" s="245" t="s">
        <v>1989</v>
      </c>
      <c r="O305" s="245" t="s">
        <v>1990</v>
      </c>
      <c r="P305" s="245" t="s">
        <v>111</v>
      </c>
      <c r="Q305" s="247">
        <v>3456000</v>
      </c>
      <c r="R305" s="247">
        <v>3456000</v>
      </c>
      <c r="S305" s="247">
        <v>2387.7399999999998</v>
      </c>
      <c r="T305" s="245" t="s">
        <v>1991</v>
      </c>
      <c r="U305" s="245" t="s">
        <v>2113</v>
      </c>
      <c r="V305" s="241" t="s">
        <v>1993</v>
      </c>
      <c r="W305" s="241" t="s">
        <v>93</v>
      </c>
      <c r="X305" s="241" t="s">
        <v>1994</v>
      </c>
    </row>
    <row r="306" spans="1:24" ht="13.5" customHeight="1" x14ac:dyDescent="0.3">
      <c r="A306" s="245" t="s">
        <v>2112</v>
      </c>
      <c r="B306" s="246">
        <v>46062</v>
      </c>
      <c r="C306" s="245" t="s">
        <v>997</v>
      </c>
      <c r="D306" s="245" t="s">
        <v>1000</v>
      </c>
      <c r="E306" s="245"/>
      <c r="F306" s="245"/>
      <c r="G306" s="245" t="s">
        <v>2805</v>
      </c>
      <c r="H306" s="245" t="s">
        <v>2087</v>
      </c>
      <c r="I306" s="245" t="s">
        <v>1988</v>
      </c>
      <c r="J306" s="245" t="s">
        <v>2806</v>
      </c>
      <c r="K306" s="245" t="s">
        <v>2807</v>
      </c>
      <c r="L306" s="246">
        <v>46062</v>
      </c>
      <c r="M306" s="245" t="s">
        <v>1988</v>
      </c>
      <c r="N306" s="245" t="s">
        <v>1989</v>
      </c>
      <c r="O306" s="245" t="s">
        <v>1990</v>
      </c>
      <c r="P306" s="245" t="s">
        <v>111</v>
      </c>
      <c r="Q306" s="247">
        <v>-346941.11</v>
      </c>
      <c r="R306" s="247">
        <v>-346941.11</v>
      </c>
      <c r="S306" s="247">
        <v>-242.28</v>
      </c>
      <c r="T306" s="245" t="s">
        <v>1991</v>
      </c>
      <c r="U306" s="245" t="s">
        <v>2113</v>
      </c>
      <c r="V306" s="241" t="s">
        <v>1993</v>
      </c>
      <c r="W306" s="241" t="s">
        <v>93</v>
      </c>
      <c r="X306" s="241" t="s">
        <v>1994</v>
      </c>
    </row>
    <row r="307" spans="1:24" ht="13.5" customHeight="1" x14ac:dyDescent="0.3">
      <c r="A307" s="245" t="s">
        <v>2112</v>
      </c>
      <c r="B307" s="246">
        <v>46062</v>
      </c>
      <c r="C307" s="245" t="s">
        <v>997</v>
      </c>
      <c r="D307" s="245" t="s">
        <v>1000</v>
      </c>
      <c r="E307" s="245"/>
      <c r="F307" s="245"/>
      <c r="G307" s="245" t="s">
        <v>2805</v>
      </c>
      <c r="H307" s="245" t="s">
        <v>2087</v>
      </c>
      <c r="I307" s="245" t="s">
        <v>1988</v>
      </c>
      <c r="J307" s="245" t="s">
        <v>2806</v>
      </c>
      <c r="K307" s="245" t="s">
        <v>2807</v>
      </c>
      <c r="L307" s="246">
        <v>46062</v>
      </c>
      <c r="M307" s="245" t="s">
        <v>1988</v>
      </c>
      <c r="N307" s="245" t="s">
        <v>1989</v>
      </c>
      <c r="O307" s="245" t="s">
        <v>1990</v>
      </c>
      <c r="P307" s="245" t="s">
        <v>111</v>
      </c>
      <c r="Q307" s="247">
        <v>0</v>
      </c>
      <c r="R307" s="247">
        <v>0</v>
      </c>
      <c r="S307" s="247">
        <v>2.58</v>
      </c>
      <c r="T307" s="245" t="s">
        <v>1991</v>
      </c>
      <c r="U307" s="245" t="s">
        <v>2113</v>
      </c>
      <c r="V307" s="241" t="s">
        <v>1993</v>
      </c>
      <c r="W307" s="241" t="s">
        <v>93</v>
      </c>
      <c r="X307" s="241" t="s">
        <v>1994</v>
      </c>
    </row>
    <row r="308" spans="1:24" ht="13.5" customHeight="1" x14ac:dyDescent="0.3">
      <c r="A308" s="245" t="s">
        <v>1985</v>
      </c>
      <c r="B308" s="246">
        <v>46062</v>
      </c>
      <c r="C308" s="245" t="s">
        <v>997</v>
      </c>
      <c r="D308" s="245" t="s">
        <v>1000</v>
      </c>
      <c r="E308" s="245"/>
      <c r="F308" s="245"/>
      <c r="G308" s="245" t="s">
        <v>2805</v>
      </c>
      <c r="H308" s="245" t="s">
        <v>2087</v>
      </c>
      <c r="I308" s="245" t="s">
        <v>1988</v>
      </c>
      <c r="J308" s="245" t="s">
        <v>2806</v>
      </c>
      <c r="K308" s="245" t="s">
        <v>2807</v>
      </c>
      <c r="L308" s="246">
        <v>46062</v>
      </c>
      <c r="M308" s="245" t="s">
        <v>1988</v>
      </c>
      <c r="N308" s="245" t="s">
        <v>1989</v>
      </c>
      <c r="O308" s="245" t="s">
        <v>1990</v>
      </c>
      <c r="P308" s="245" t="s">
        <v>111</v>
      </c>
      <c r="Q308" s="247">
        <v>346941.11</v>
      </c>
      <c r="R308" s="247">
        <v>346941.11</v>
      </c>
      <c r="S308" s="247">
        <v>239.7</v>
      </c>
      <c r="T308" s="245" t="s">
        <v>1991</v>
      </c>
      <c r="U308" s="245" t="s">
        <v>2113</v>
      </c>
      <c r="V308" s="241" t="s">
        <v>1993</v>
      </c>
      <c r="W308" s="241" t="s">
        <v>93</v>
      </c>
      <c r="X308" s="241" t="s">
        <v>1994</v>
      </c>
    </row>
    <row r="309" spans="1:24" ht="13.5" customHeight="1" x14ac:dyDescent="0.3">
      <c r="A309" s="245" t="s">
        <v>2112</v>
      </c>
      <c r="B309" s="246">
        <v>46062</v>
      </c>
      <c r="C309" s="245" t="s">
        <v>997</v>
      </c>
      <c r="D309" s="245" t="s">
        <v>1000</v>
      </c>
      <c r="E309" s="245"/>
      <c r="F309" s="245"/>
      <c r="G309" s="245" t="s">
        <v>2808</v>
      </c>
      <c r="H309" s="245" t="s">
        <v>261</v>
      </c>
      <c r="I309" s="245" t="s">
        <v>1988</v>
      </c>
      <c r="J309" s="245" t="s">
        <v>2809</v>
      </c>
      <c r="K309" s="245" t="s">
        <v>2810</v>
      </c>
      <c r="L309" s="246">
        <v>46062</v>
      </c>
      <c r="M309" s="245" t="s">
        <v>1988</v>
      </c>
      <c r="N309" s="245" t="s">
        <v>1989</v>
      </c>
      <c r="O309" s="245" t="s">
        <v>1990</v>
      </c>
      <c r="P309" s="245" t="s">
        <v>111</v>
      </c>
      <c r="Q309" s="247">
        <v>-19670621.600000001</v>
      </c>
      <c r="R309" s="247">
        <v>-19670621.600000001</v>
      </c>
      <c r="S309" s="247">
        <v>-13736.87</v>
      </c>
      <c r="T309" s="245" t="s">
        <v>1991</v>
      </c>
      <c r="U309" s="245" t="s">
        <v>2113</v>
      </c>
      <c r="V309" s="241" t="s">
        <v>1993</v>
      </c>
      <c r="W309" s="241" t="s">
        <v>93</v>
      </c>
      <c r="X309" s="241" t="s">
        <v>1994</v>
      </c>
    </row>
    <row r="310" spans="1:24" ht="13.5" customHeight="1" x14ac:dyDescent="0.3">
      <c r="A310" s="245" t="s">
        <v>2112</v>
      </c>
      <c r="B310" s="246">
        <v>46062</v>
      </c>
      <c r="C310" s="245" t="s">
        <v>997</v>
      </c>
      <c r="D310" s="245" t="s">
        <v>1000</v>
      </c>
      <c r="E310" s="245"/>
      <c r="F310" s="245"/>
      <c r="G310" s="245" t="s">
        <v>2808</v>
      </c>
      <c r="H310" s="245" t="s">
        <v>261</v>
      </c>
      <c r="I310" s="245" t="s">
        <v>1988</v>
      </c>
      <c r="J310" s="245" t="s">
        <v>2809</v>
      </c>
      <c r="K310" s="245" t="s">
        <v>2810</v>
      </c>
      <c r="L310" s="246">
        <v>46062</v>
      </c>
      <c r="M310" s="245" t="s">
        <v>1988</v>
      </c>
      <c r="N310" s="245" t="s">
        <v>1989</v>
      </c>
      <c r="O310" s="245" t="s">
        <v>1990</v>
      </c>
      <c r="P310" s="245" t="s">
        <v>111</v>
      </c>
      <c r="Q310" s="247">
        <v>0</v>
      </c>
      <c r="R310" s="247">
        <v>0</v>
      </c>
      <c r="S310" s="247">
        <v>146.5</v>
      </c>
      <c r="T310" s="245" t="s">
        <v>1991</v>
      </c>
      <c r="U310" s="245" t="s">
        <v>2113</v>
      </c>
      <c r="V310" s="241" t="s">
        <v>1993</v>
      </c>
      <c r="W310" s="241" t="s">
        <v>93</v>
      </c>
      <c r="X310" s="241" t="s">
        <v>1994</v>
      </c>
    </row>
    <row r="311" spans="1:24" ht="13.5" customHeight="1" x14ac:dyDescent="0.3">
      <c r="A311" s="245" t="s">
        <v>1985</v>
      </c>
      <c r="B311" s="246">
        <v>46062</v>
      </c>
      <c r="C311" s="245" t="s">
        <v>997</v>
      </c>
      <c r="D311" s="245" t="s">
        <v>1000</v>
      </c>
      <c r="E311" s="245"/>
      <c r="F311" s="245"/>
      <c r="G311" s="245" t="s">
        <v>2808</v>
      </c>
      <c r="H311" s="245" t="s">
        <v>261</v>
      </c>
      <c r="I311" s="245" t="s">
        <v>1988</v>
      </c>
      <c r="J311" s="245" t="s">
        <v>2809</v>
      </c>
      <c r="K311" s="245" t="s">
        <v>2810</v>
      </c>
      <c r="L311" s="246">
        <v>46062</v>
      </c>
      <c r="M311" s="245" t="s">
        <v>1988</v>
      </c>
      <c r="N311" s="245" t="s">
        <v>1989</v>
      </c>
      <c r="O311" s="245" t="s">
        <v>1990</v>
      </c>
      <c r="P311" s="245" t="s">
        <v>111</v>
      </c>
      <c r="Q311" s="247">
        <v>19670621.600000001</v>
      </c>
      <c r="R311" s="247">
        <v>19670621.600000001</v>
      </c>
      <c r="S311" s="247">
        <v>13590.37</v>
      </c>
      <c r="T311" s="245" t="s">
        <v>1991</v>
      </c>
      <c r="U311" s="245" t="s">
        <v>2113</v>
      </c>
      <c r="V311" s="241" t="s">
        <v>1993</v>
      </c>
      <c r="W311" s="241" t="s">
        <v>93</v>
      </c>
      <c r="X311" s="241" t="s">
        <v>1994</v>
      </c>
    </row>
    <row r="312" spans="1:24" ht="13.5" customHeight="1" x14ac:dyDescent="0.3">
      <c r="A312" s="245" t="s">
        <v>2112</v>
      </c>
      <c r="B312" s="246">
        <v>46062</v>
      </c>
      <c r="C312" s="245" t="s">
        <v>997</v>
      </c>
      <c r="D312" s="245" t="s">
        <v>1000</v>
      </c>
      <c r="E312" s="245"/>
      <c r="F312" s="245"/>
      <c r="G312" s="245" t="s">
        <v>2151</v>
      </c>
      <c r="H312" s="245" t="s">
        <v>2088</v>
      </c>
      <c r="I312" s="245" t="s">
        <v>1988</v>
      </c>
      <c r="J312" s="245" t="s">
        <v>2811</v>
      </c>
      <c r="K312" s="245" t="s">
        <v>2812</v>
      </c>
      <c r="L312" s="246">
        <v>46062</v>
      </c>
      <c r="M312" s="245" t="s">
        <v>1988</v>
      </c>
      <c r="N312" s="245" t="s">
        <v>1989</v>
      </c>
      <c r="O312" s="245" t="s">
        <v>1990</v>
      </c>
      <c r="P312" s="245" t="s">
        <v>111</v>
      </c>
      <c r="Q312" s="247">
        <v>-17617223.91</v>
      </c>
      <c r="R312" s="247">
        <v>-17617223.91</v>
      </c>
      <c r="S312" s="247">
        <v>-12302.89</v>
      </c>
      <c r="T312" s="245" t="s">
        <v>1991</v>
      </c>
      <c r="U312" s="245" t="s">
        <v>2113</v>
      </c>
      <c r="V312" s="241" t="s">
        <v>1993</v>
      </c>
      <c r="W312" s="241" t="s">
        <v>93</v>
      </c>
      <c r="X312" s="241" t="s">
        <v>1994</v>
      </c>
    </row>
    <row r="313" spans="1:24" ht="13.5" customHeight="1" x14ac:dyDescent="0.3">
      <c r="A313" s="245" t="s">
        <v>2112</v>
      </c>
      <c r="B313" s="246">
        <v>46062</v>
      </c>
      <c r="C313" s="245" t="s">
        <v>997</v>
      </c>
      <c r="D313" s="245" t="s">
        <v>1000</v>
      </c>
      <c r="E313" s="245"/>
      <c r="F313" s="245"/>
      <c r="G313" s="245" t="s">
        <v>2151</v>
      </c>
      <c r="H313" s="245" t="s">
        <v>2088</v>
      </c>
      <c r="I313" s="245" t="s">
        <v>1988</v>
      </c>
      <c r="J313" s="245" t="s">
        <v>2811</v>
      </c>
      <c r="K313" s="245" t="s">
        <v>2812</v>
      </c>
      <c r="L313" s="246">
        <v>46062</v>
      </c>
      <c r="M313" s="245" t="s">
        <v>1988</v>
      </c>
      <c r="N313" s="245" t="s">
        <v>1989</v>
      </c>
      <c r="O313" s="245" t="s">
        <v>1990</v>
      </c>
      <c r="P313" s="245" t="s">
        <v>111</v>
      </c>
      <c r="Q313" s="247">
        <v>0</v>
      </c>
      <c r="R313" s="247">
        <v>0</v>
      </c>
      <c r="S313" s="247">
        <v>131.21</v>
      </c>
      <c r="T313" s="245" t="s">
        <v>1991</v>
      </c>
      <c r="U313" s="245" t="s">
        <v>2113</v>
      </c>
      <c r="V313" s="241" t="s">
        <v>1993</v>
      </c>
      <c r="W313" s="241" t="s">
        <v>93</v>
      </c>
      <c r="X313" s="241" t="s">
        <v>1994</v>
      </c>
    </row>
    <row r="314" spans="1:24" ht="13.5" customHeight="1" x14ac:dyDescent="0.3">
      <c r="A314" s="245" t="s">
        <v>1985</v>
      </c>
      <c r="B314" s="246">
        <v>46062</v>
      </c>
      <c r="C314" s="245" t="s">
        <v>997</v>
      </c>
      <c r="D314" s="245" t="s">
        <v>1000</v>
      </c>
      <c r="E314" s="245"/>
      <c r="F314" s="245"/>
      <c r="G314" s="245" t="s">
        <v>2151</v>
      </c>
      <c r="H314" s="245" t="s">
        <v>2088</v>
      </c>
      <c r="I314" s="245" t="s">
        <v>1988</v>
      </c>
      <c r="J314" s="245" t="s">
        <v>2811</v>
      </c>
      <c r="K314" s="245" t="s">
        <v>2812</v>
      </c>
      <c r="L314" s="246">
        <v>46062</v>
      </c>
      <c r="M314" s="245" t="s">
        <v>1988</v>
      </c>
      <c r="N314" s="245" t="s">
        <v>1989</v>
      </c>
      <c r="O314" s="245" t="s">
        <v>1990</v>
      </c>
      <c r="P314" s="245" t="s">
        <v>111</v>
      </c>
      <c r="Q314" s="247">
        <v>17617223.91</v>
      </c>
      <c r="R314" s="247">
        <v>17617223.91</v>
      </c>
      <c r="S314" s="247">
        <v>12171.68</v>
      </c>
      <c r="T314" s="245" t="s">
        <v>1991</v>
      </c>
      <c r="U314" s="245" t="s">
        <v>2113</v>
      </c>
      <c r="V314" s="241" t="s">
        <v>1993</v>
      </c>
      <c r="W314" s="241" t="s">
        <v>93</v>
      </c>
      <c r="X314" s="241" t="s">
        <v>1994</v>
      </c>
    </row>
    <row r="315" spans="1:24" ht="13.5" customHeight="1" x14ac:dyDescent="0.3">
      <c r="A315" s="245" t="s">
        <v>2112</v>
      </c>
      <c r="B315" s="246">
        <v>46059</v>
      </c>
      <c r="C315" s="245" t="s">
        <v>2813</v>
      </c>
      <c r="D315" s="245" t="s">
        <v>2314</v>
      </c>
      <c r="E315" s="245"/>
      <c r="F315" s="245"/>
      <c r="G315" s="245" t="s">
        <v>2814</v>
      </c>
      <c r="H315" s="245" t="s">
        <v>2313</v>
      </c>
      <c r="I315" s="245" t="s">
        <v>1988</v>
      </c>
      <c r="J315" s="245" t="s">
        <v>2815</v>
      </c>
      <c r="K315" s="245" t="s">
        <v>2816</v>
      </c>
      <c r="L315" s="246">
        <v>46059</v>
      </c>
      <c r="M315" s="245" t="s">
        <v>1988</v>
      </c>
      <c r="N315" s="245" t="s">
        <v>1989</v>
      </c>
      <c r="O315" s="245" t="s">
        <v>1990</v>
      </c>
      <c r="P315" s="245" t="s">
        <v>111</v>
      </c>
      <c r="Q315" s="247">
        <v>-3002422.36</v>
      </c>
      <c r="R315" s="247">
        <v>-3002422.36</v>
      </c>
      <c r="S315" s="247">
        <v>-2076.21</v>
      </c>
      <c r="T315" s="245" t="s">
        <v>1991</v>
      </c>
      <c r="U315" s="245" t="s">
        <v>2113</v>
      </c>
      <c r="V315" s="241" t="s">
        <v>1993</v>
      </c>
      <c r="W315" s="241" t="s">
        <v>93</v>
      </c>
      <c r="X315" s="241" t="s">
        <v>1994</v>
      </c>
    </row>
    <row r="316" spans="1:24" ht="13.5" customHeight="1" x14ac:dyDescent="0.3">
      <c r="A316" s="245" t="s">
        <v>2112</v>
      </c>
      <c r="B316" s="246">
        <v>46057</v>
      </c>
      <c r="C316" s="245" t="s">
        <v>2150</v>
      </c>
      <c r="D316" s="245" t="s">
        <v>742</v>
      </c>
      <c r="E316" s="245"/>
      <c r="F316" s="245"/>
      <c r="G316" s="245" t="s">
        <v>2817</v>
      </c>
      <c r="H316" s="245" t="s">
        <v>2106</v>
      </c>
      <c r="I316" s="245" t="s">
        <v>2024</v>
      </c>
      <c r="J316" s="245" t="s">
        <v>2818</v>
      </c>
      <c r="K316" s="245" t="s">
        <v>2819</v>
      </c>
      <c r="L316" s="246">
        <v>46057</v>
      </c>
      <c r="M316" s="245" t="s">
        <v>2024</v>
      </c>
      <c r="N316" s="245" t="s">
        <v>1989</v>
      </c>
      <c r="O316" s="245" t="s">
        <v>1990</v>
      </c>
      <c r="P316" s="245" t="s">
        <v>111</v>
      </c>
      <c r="Q316" s="247">
        <v>-1860335.44</v>
      </c>
      <c r="R316" s="247">
        <v>-1860335.44</v>
      </c>
      <c r="S316" s="247">
        <v>-1282.5999999999999</v>
      </c>
      <c r="T316" s="245" t="s">
        <v>1991</v>
      </c>
      <c r="U316" s="245" t="s">
        <v>2113</v>
      </c>
      <c r="V316" s="241" t="s">
        <v>1993</v>
      </c>
      <c r="W316" s="241" t="s">
        <v>100</v>
      </c>
      <c r="X316" s="241" t="s">
        <v>1994</v>
      </c>
    </row>
    <row r="317" spans="1:24" ht="13.5" customHeight="1" x14ac:dyDescent="0.3">
      <c r="A317" s="245" t="s">
        <v>2112</v>
      </c>
      <c r="B317" s="246">
        <v>46057</v>
      </c>
      <c r="C317" s="245" t="s">
        <v>2150</v>
      </c>
      <c r="D317" s="245" t="s">
        <v>742</v>
      </c>
      <c r="E317" s="245"/>
      <c r="F317" s="245"/>
      <c r="G317" s="245" t="s">
        <v>2817</v>
      </c>
      <c r="H317" s="245" t="s">
        <v>2106</v>
      </c>
      <c r="I317" s="245" t="s">
        <v>2024</v>
      </c>
      <c r="J317" s="245" t="s">
        <v>2818</v>
      </c>
      <c r="K317" s="245" t="s">
        <v>2819</v>
      </c>
      <c r="L317" s="246">
        <v>46057</v>
      </c>
      <c r="M317" s="245" t="s">
        <v>2024</v>
      </c>
      <c r="N317" s="245" t="s">
        <v>1989</v>
      </c>
      <c r="O317" s="245" t="s">
        <v>1990</v>
      </c>
      <c r="P317" s="245" t="s">
        <v>111</v>
      </c>
      <c r="Q317" s="247">
        <v>0</v>
      </c>
      <c r="R317" s="247">
        <v>0</v>
      </c>
      <c r="S317" s="247">
        <v>-2.7</v>
      </c>
      <c r="T317" s="245" t="s">
        <v>1991</v>
      </c>
      <c r="U317" s="245" t="s">
        <v>2113</v>
      </c>
      <c r="V317" s="241" t="s">
        <v>1993</v>
      </c>
      <c r="W317" s="241" t="s">
        <v>100</v>
      </c>
      <c r="X317" s="241" t="s">
        <v>1994</v>
      </c>
    </row>
    <row r="318" spans="1:24" ht="13.5" customHeight="1" x14ac:dyDescent="0.3">
      <c r="A318" s="245" t="s">
        <v>1985</v>
      </c>
      <c r="B318" s="246">
        <v>46057</v>
      </c>
      <c r="C318" s="245" t="s">
        <v>2150</v>
      </c>
      <c r="D318" s="245" t="s">
        <v>742</v>
      </c>
      <c r="E318" s="245"/>
      <c r="F318" s="245"/>
      <c r="G318" s="245" t="s">
        <v>2817</v>
      </c>
      <c r="H318" s="245" t="s">
        <v>2106</v>
      </c>
      <c r="I318" s="245" t="s">
        <v>2024</v>
      </c>
      <c r="J318" s="245" t="s">
        <v>2818</v>
      </c>
      <c r="K318" s="245" t="s">
        <v>2819</v>
      </c>
      <c r="L318" s="246">
        <v>46057</v>
      </c>
      <c r="M318" s="245" t="s">
        <v>2024</v>
      </c>
      <c r="N318" s="245" t="s">
        <v>1989</v>
      </c>
      <c r="O318" s="245" t="s">
        <v>1990</v>
      </c>
      <c r="P318" s="245" t="s">
        <v>111</v>
      </c>
      <c r="Q318" s="247">
        <v>1860335.44</v>
      </c>
      <c r="R318" s="247">
        <v>1860335.44</v>
      </c>
      <c r="S318" s="247">
        <v>1285.3</v>
      </c>
      <c r="T318" s="245" t="s">
        <v>1991</v>
      </c>
      <c r="U318" s="245" t="s">
        <v>2113</v>
      </c>
      <c r="V318" s="241" t="s">
        <v>1993</v>
      </c>
      <c r="W318" s="241" t="s">
        <v>100</v>
      </c>
      <c r="X318" s="241" t="s">
        <v>1994</v>
      </c>
    </row>
    <row r="319" spans="1:24" ht="13.5" customHeight="1" x14ac:dyDescent="0.3">
      <c r="A319" s="245" t="s">
        <v>2112</v>
      </c>
      <c r="B319" s="246">
        <v>46057</v>
      </c>
      <c r="C319" s="245" t="s">
        <v>2150</v>
      </c>
      <c r="D319" s="245" t="s">
        <v>742</v>
      </c>
      <c r="E319" s="245"/>
      <c r="F319" s="245"/>
      <c r="G319" s="245" t="s">
        <v>2820</v>
      </c>
      <c r="H319" s="245" t="s">
        <v>2109</v>
      </c>
      <c r="I319" s="245" t="s">
        <v>2024</v>
      </c>
      <c r="J319" s="245" t="s">
        <v>2821</v>
      </c>
      <c r="K319" s="245" t="s">
        <v>2822</v>
      </c>
      <c r="L319" s="246">
        <v>46057</v>
      </c>
      <c r="M319" s="245" t="s">
        <v>2024</v>
      </c>
      <c r="N319" s="245" t="s">
        <v>1989</v>
      </c>
      <c r="O319" s="245" t="s">
        <v>1990</v>
      </c>
      <c r="P319" s="245" t="s">
        <v>111</v>
      </c>
      <c r="Q319" s="247">
        <v>-5624367.0800000001</v>
      </c>
      <c r="R319" s="247">
        <v>-5624367.0800000001</v>
      </c>
      <c r="S319" s="247">
        <v>-3877.68</v>
      </c>
      <c r="T319" s="245" t="s">
        <v>1991</v>
      </c>
      <c r="U319" s="245" t="s">
        <v>2113</v>
      </c>
      <c r="V319" s="241" t="s">
        <v>1993</v>
      </c>
      <c r="W319" s="241" t="s">
        <v>100</v>
      </c>
      <c r="X319" s="241" t="s">
        <v>1994</v>
      </c>
    </row>
    <row r="320" spans="1:24" ht="13.5" customHeight="1" x14ac:dyDescent="0.3">
      <c r="A320" s="245" t="s">
        <v>2112</v>
      </c>
      <c r="B320" s="246">
        <v>46057</v>
      </c>
      <c r="C320" s="245" t="s">
        <v>2150</v>
      </c>
      <c r="D320" s="245" t="s">
        <v>742</v>
      </c>
      <c r="E320" s="245"/>
      <c r="F320" s="245"/>
      <c r="G320" s="245" t="s">
        <v>2820</v>
      </c>
      <c r="H320" s="245" t="s">
        <v>2109</v>
      </c>
      <c r="I320" s="245" t="s">
        <v>2024</v>
      </c>
      <c r="J320" s="245" t="s">
        <v>2821</v>
      </c>
      <c r="K320" s="245" t="s">
        <v>2822</v>
      </c>
      <c r="L320" s="246">
        <v>46057</v>
      </c>
      <c r="M320" s="245" t="s">
        <v>2024</v>
      </c>
      <c r="N320" s="245" t="s">
        <v>1989</v>
      </c>
      <c r="O320" s="245" t="s">
        <v>1990</v>
      </c>
      <c r="P320" s="245" t="s">
        <v>111</v>
      </c>
      <c r="Q320" s="247">
        <v>0</v>
      </c>
      <c r="R320" s="247">
        <v>0</v>
      </c>
      <c r="S320" s="247">
        <v>-8.18</v>
      </c>
      <c r="T320" s="245" t="s">
        <v>1991</v>
      </c>
      <c r="U320" s="245" t="s">
        <v>2113</v>
      </c>
      <c r="V320" s="241" t="s">
        <v>1993</v>
      </c>
      <c r="W320" s="241" t="s">
        <v>100</v>
      </c>
      <c r="X320" s="241" t="s">
        <v>1994</v>
      </c>
    </row>
    <row r="321" spans="1:24" ht="13.5" customHeight="1" x14ac:dyDescent="0.3">
      <c r="A321" s="245" t="s">
        <v>1985</v>
      </c>
      <c r="B321" s="246">
        <v>46057</v>
      </c>
      <c r="C321" s="245" t="s">
        <v>2150</v>
      </c>
      <c r="D321" s="245" t="s">
        <v>742</v>
      </c>
      <c r="E321" s="245"/>
      <c r="F321" s="245"/>
      <c r="G321" s="245" t="s">
        <v>2820</v>
      </c>
      <c r="H321" s="245" t="s">
        <v>2109</v>
      </c>
      <c r="I321" s="245" t="s">
        <v>2024</v>
      </c>
      <c r="J321" s="245" t="s">
        <v>2821</v>
      </c>
      <c r="K321" s="245" t="s">
        <v>2822</v>
      </c>
      <c r="L321" s="246">
        <v>46057</v>
      </c>
      <c r="M321" s="245" t="s">
        <v>2024</v>
      </c>
      <c r="N321" s="245" t="s">
        <v>1989</v>
      </c>
      <c r="O321" s="245" t="s">
        <v>1990</v>
      </c>
      <c r="P321" s="245" t="s">
        <v>111</v>
      </c>
      <c r="Q321" s="247">
        <v>5624367.0800000001</v>
      </c>
      <c r="R321" s="247">
        <v>5624367.0800000001</v>
      </c>
      <c r="S321" s="247">
        <v>3885.86</v>
      </c>
      <c r="T321" s="245" t="s">
        <v>1991</v>
      </c>
      <c r="U321" s="245" t="s">
        <v>2113</v>
      </c>
      <c r="V321" s="241" t="s">
        <v>1993</v>
      </c>
      <c r="W321" s="241" t="s">
        <v>100</v>
      </c>
      <c r="X321" s="241" t="s">
        <v>1994</v>
      </c>
    </row>
    <row r="322" spans="1:24" ht="13.5" customHeight="1" x14ac:dyDescent="0.3">
      <c r="A322" s="245" t="s">
        <v>2112</v>
      </c>
      <c r="B322" s="246">
        <v>46057</v>
      </c>
      <c r="C322" s="245" t="s">
        <v>2150</v>
      </c>
      <c r="D322" s="245" t="s">
        <v>742</v>
      </c>
      <c r="E322" s="245"/>
      <c r="F322" s="245"/>
      <c r="G322" s="245" t="s">
        <v>2823</v>
      </c>
      <c r="H322" s="245" t="s">
        <v>2111</v>
      </c>
      <c r="I322" s="245" t="s">
        <v>2024</v>
      </c>
      <c r="J322" s="245" t="s">
        <v>2824</v>
      </c>
      <c r="K322" s="245" t="s">
        <v>2825</v>
      </c>
      <c r="L322" s="246">
        <v>46057</v>
      </c>
      <c r="M322" s="245" t="s">
        <v>2024</v>
      </c>
      <c r="N322" s="245" t="s">
        <v>1989</v>
      </c>
      <c r="O322" s="245" t="s">
        <v>1990</v>
      </c>
      <c r="P322" s="245" t="s">
        <v>111</v>
      </c>
      <c r="Q322" s="247">
        <v>-4501351.08</v>
      </c>
      <c r="R322" s="247">
        <v>-4501351.08</v>
      </c>
      <c r="S322" s="247">
        <v>-3103.42</v>
      </c>
      <c r="T322" s="245" t="s">
        <v>1991</v>
      </c>
      <c r="U322" s="245" t="s">
        <v>2113</v>
      </c>
      <c r="V322" s="241" t="s">
        <v>1993</v>
      </c>
      <c r="W322" s="241" t="s">
        <v>100</v>
      </c>
      <c r="X322" s="241" t="s">
        <v>1994</v>
      </c>
    </row>
    <row r="323" spans="1:24" ht="13.5" customHeight="1" x14ac:dyDescent="0.3">
      <c r="A323" s="245" t="s">
        <v>2112</v>
      </c>
      <c r="B323" s="246">
        <v>46057</v>
      </c>
      <c r="C323" s="245" t="s">
        <v>2150</v>
      </c>
      <c r="D323" s="245" t="s">
        <v>742</v>
      </c>
      <c r="E323" s="245"/>
      <c r="F323" s="245"/>
      <c r="G323" s="245" t="s">
        <v>2823</v>
      </c>
      <c r="H323" s="245" t="s">
        <v>2111</v>
      </c>
      <c r="I323" s="245" t="s">
        <v>2024</v>
      </c>
      <c r="J323" s="245" t="s">
        <v>2824</v>
      </c>
      <c r="K323" s="245" t="s">
        <v>2825</v>
      </c>
      <c r="L323" s="246">
        <v>46057</v>
      </c>
      <c r="M323" s="245" t="s">
        <v>2024</v>
      </c>
      <c r="N323" s="245" t="s">
        <v>1989</v>
      </c>
      <c r="O323" s="245" t="s">
        <v>1990</v>
      </c>
      <c r="P323" s="245" t="s">
        <v>111</v>
      </c>
      <c r="Q323" s="247">
        <v>0</v>
      </c>
      <c r="R323" s="247">
        <v>0</v>
      </c>
      <c r="S323" s="247">
        <v>-5.04</v>
      </c>
      <c r="T323" s="245" t="s">
        <v>1991</v>
      </c>
      <c r="U323" s="245" t="s">
        <v>2113</v>
      </c>
      <c r="V323" s="241" t="s">
        <v>1993</v>
      </c>
      <c r="W323" s="241" t="s">
        <v>100</v>
      </c>
      <c r="X323" s="241" t="s">
        <v>1994</v>
      </c>
    </row>
    <row r="324" spans="1:24" ht="13.5" customHeight="1" x14ac:dyDescent="0.3">
      <c r="A324" s="245" t="s">
        <v>2112</v>
      </c>
      <c r="B324" s="246">
        <v>46057</v>
      </c>
      <c r="C324" s="245" t="s">
        <v>2150</v>
      </c>
      <c r="D324" s="245" t="s">
        <v>742</v>
      </c>
      <c r="E324" s="245"/>
      <c r="F324" s="245"/>
      <c r="G324" s="245" t="s">
        <v>2823</v>
      </c>
      <c r="H324" s="245" t="s">
        <v>2111</v>
      </c>
      <c r="I324" s="245" t="s">
        <v>2024</v>
      </c>
      <c r="J324" s="245" t="s">
        <v>2824</v>
      </c>
      <c r="K324" s="245" t="s">
        <v>2825</v>
      </c>
      <c r="L324" s="246">
        <v>46057</v>
      </c>
      <c r="M324" s="245" t="s">
        <v>2024</v>
      </c>
      <c r="N324" s="245" t="s">
        <v>1989</v>
      </c>
      <c r="O324" s="245" t="s">
        <v>1990</v>
      </c>
      <c r="P324" s="245" t="s">
        <v>111</v>
      </c>
      <c r="Q324" s="247">
        <v>0</v>
      </c>
      <c r="R324" s="247">
        <v>0</v>
      </c>
      <c r="S324" s="247">
        <v>-1.5</v>
      </c>
      <c r="T324" s="245" t="s">
        <v>1991</v>
      </c>
      <c r="U324" s="245" t="s">
        <v>2113</v>
      </c>
      <c r="V324" s="241" t="s">
        <v>1993</v>
      </c>
      <c r="W324" s="241" t="s">
        <v>100</v>
      </c>
      <c r="X324" s="241" t="s">
        <v>1994</v>
      </c>
    </row>
    <row r="325" spans="1:24" ht="13.5" customHeight="1" x14ac:dyDescent="0.3">
      <c r="A325" s="245" t="s">
        <v>1985</v>
      </c>
      <c r="B325" s="246">
        <v>46057</v>
      </c>
      <c r="C325" s="245" t="s">
        <v>2150</v>
      </c>
      <c r="D325" s="245" t="s">
        <v>742</v>
      </c>
      <c r="E325" s="245"/>
      <c r="F325" s="245"/>
      <c r="G325" s="245" t="s">
        <v>2823</v>
      </c>
      <c r="H325" s="245" t="s">
        <v>2111</v>
      </c>
      <c r="I325" s="245" t="s">
        <v>2024</v>
      </c>
      <c r="J325" s="245" t="s">
        <v>2824</v>
      </c>
      <c r="K325" s="245" t="s">
        <v>2825</v>
      </c>
      <c r="L325" s="246">
        <v>46057</v>
      </c>
      <c r="M325" s="245" t="s">
        <v>2024</v>
      </c>
      <c r="N325" s="245" t="s">
        <v>1989</v>
      </c>
      <c r="O325" s="245" t="s">
        <v>1990</v>
      </c>
      <c r="P325" s="245" t="s">
        <v>111</v>
      </c>
      <c r="Q325" s="247">
        <v>4501351.08</v>
      </c>
      <c r="R325" s="247">
        <v>4501351.08</v>
      </c>
      <c r="S325" s="247">
        <v>3109.96</v>
      </c>
      <c r="T325" s="245" t="s">
        <v>1991</v>
      </c>
      <c r="U325" s="245" t="s">
        <v>2113</v>
      </c>
      <c r="V325" s="241" t="s">
        <v>1993</v>
      </c>
      <c r="W325" s="241" t="s">
        <v>100</v>
      </c>
      <c r="X325" s="241" t="s">
        <v>1994</v>
      </c>
    </row>
    <row r="326" spans="1:24" ht="13.5" customHeight="1" x14ac:dyDescent="0.3">
      <c r="A326" s="245" t="s">
        <v>1985</v>
      </c>
      <c r="B326" s="246">
        <v>46081</v>
      </c>
      <c r="C326" s="245"/>
      <c r="D326" s="245"/>
      <c r="E326" s="245"/>
      <c r="F326" s="245"/>
      <c r="G326" s="245" t="s">
        <v>2826</v>
      </c>
      <c r="H326" s="245" t="s">
        <v>2318</v>
      </c>
      <c r="I326" s="245" t="s">
        <v>2827</v>
      </c>
      <c r="J326" s="245" t="s">
        <v>2828</v>
      </c>
      <c r="K326" s="245" t="s">
        <v>2829</v>
      </c>
      <c r="L326" s="246">
        <v>46081</v>
      </c>
      <c r="M326" s="245" t="s">
        <v>2827</v>
      </c>
      <c r="N326" s="245" t="s">
        <v>1989</v>
      </c>
      <c r="O326" s="245" t="s">
        <v>1990</v>
      </c>
      <c r="P326" s="245" t="s">
        <v>95</v>
      </c>
      <c r="Q326" s="247">
        <v>-902.75</v>
      </c>
      <c r="R326" s="247">
        <v>-902.75</v>
      </c>
      <c r="S326" s="247">
        <v>-902.75</v>
      </c>
      <c r="T326" s="245" t="s">
        <v>1991</v>
      </c>
      <c r="U326" s="245" t="s">
        <v>1992</v>
      </c>
      <c r="V326" s="241" t="s">
        <v>1964</v>
      </c>
      <c r="W326" s="241" t="s">
        <v>93</v>
      </c>
      <c r="X326" s="241" t="s">
        <v>1994</v>
      </c>
    </row>
    <row r="327" spans="1:24" ht="13.5" customHeight="1" x14ac:dyDescent="0.3">
      <c r="A327" s="245" t="s">
        <v>2154</v>
      </c>
      <c r="B327" s="246">
        <v>46081</v>
      </c>
      <c r="C327" s="245"/>
      <c r="D327" s="245"/>
      <c r="E327" s="245"/>
      <c r="F327" s="245"/>
      <c r="G327" s="245" t="s">
        <v>2830</v>
      </c>
      <c r="H327" s="245" t="s">
        <v>2331</v>
      </c>
      <c r="I327" s="245" t="s">
        <v>2159</v>
      </c>
      <c r="J327" s="245" t="s">
        <v>2831</v>
      </c>
      <c r="K327" s="245" t="s">
        <v>2832</v>
      </c>
      <c r="L327" s="246">
        <v>46081</v>
      </c>
      <c r="M327" s="245" t="s">
        <v>2159</v>
      </c>
      <c r="N327" s="245" t="s">
        <v>2155</v>
      </c>
      <c r="O327" s="245" t="s">
        <v>1990</v>
      </c>
      <c r="P327" s="245" t="s">
        <v>111</v>
      </c>
      <c r="Q327" s="247">
        <v>188702.43</v>
      </c>
      <c r="R327" s="247">
        <v>2330.9299999999998</v>
      </c>
      <c r="S327" s="247">
        <v>135.02000000000001</v>
      </c>
      <c r="T327" s="245" t="s">
        <v>1991</v>
      </c>
      <c r="U327" s="245" t="s">
        <v>2153</v>
      </c>
      <c r="V327" s="241" t="s">
        <v>1963</v>
      </c>
      <c r="W327" s="241" t="s">
        <v>93</v>
      </c>
      <c r="X327" s="241" t="s">
        <v>2156</v>
      </c>
    </row>
    <row r="328" spans="1:24" ht="13.5" customHeight="1" x14ac:dyDescent="0.3">
      <c r="A328" s="245" t="s">
        <v>2154</v>
      </c>
      <c r="B328" s="246">
        <v>46081</v>
      </c>
      <c r="C328" s="245"/>
      <c r="D328" s="245"/>
      <c r="E328" s="245"/>
      <c r="F328" s="245"/>
      <c r="G328" s="245" t="s">
        <v>2830</v>
      </c>
      <c r="H328" s="245" t="s">
        <v>2331</v>
      </c>
      <c r="I328" s="245" t="s">
        <v>2160</v>
      </c>
      <c r="J328" s="245" t="s">
        <v>2831</v>
      </c>
      <c r="K328" s="245" t="s">
        <v>2832</v>
      </c>
      <c r="L328" s="246">
        <v>46081</v>
      </c>
      <c r="M328" s="245" t="s">
        <v>2160</v>
      </c>
      <c r="N328" s="245" t="s">
        <v>2161</v>
      </c>
      <c r="O328" s="245" t="s">
        <v>2162</v>
      </c>
      <c r="P328" s="245" t="s">
        <v>111</v>
      </c>
      <c r="Q328" s="247">
        <v>-42464.09</v>
      </c>
      <c r="R328" s="247">
        <v>-524.53</v>
      </c>
      <c r="S328" s="247">
        <v>-30.38</v>
      </c>
      <c r="T328" s="245" t="s">
        <v>1991</v>
      </c>
      <c r="U328" s="245" t="s">
        <v>2153</v>
      </c>
      <c r="V328" s="241" t="s">
        <v>1963</v>
      </c>
      <c r="W328" s="241" t="s">
        <v>93</v>
      </c>
      <c r="X328" s="241" t="s">
        <v>2156</v>
      </c>
    </row>
    <row r="329" spans="1:24" ht="13.5" customHeight="1" x14ac:dyDescent="0.3">
      <c r="A329" s="245" t="s">
        <v>2154</v>
      </c>
      <c r="B329" s="246">
        <v>46081</v>
      </c>
      <c r="C329" s="245"/>
      <c r="D329" s="245"/>
      <c r="E329" s="245"/>
      <c r="F329" s="245"/>
      <c r="G329" s="245" t="s">
        <v>2833</v>
      </c>
      <c r="H329" s="245" t="s">
        <v>2392</v>
      </c>
      <c r="I329" s="245" t="s">
        <v>2159</v>
      </c>
      <c r="J329" s="245" t="s">
        <v>2834</v>
      </c>
      <c r="K329" s="245" t="s">
        <v>2835</v>
      </c>
      <c r="L329" s="246">
        <v>46081</v>
      </c>
      <c r="M329" s="245" t="s">
        <v>2159</v>
      </c>
      <c r="N329" s="245" t="s">
        <v>2155</v>
      </c>
      <c r="O329" s="245" t="s">
        <v>1990</v>
      </c>
      <c r="P329" s="245" t="s">
        <v>111</v>
      </c>
      <c r="Q329" s="247">
        <v>830855.91</v>
      </c>
      <c r="R329" s="247">
        <v>10263.06</v>
      </c>
      <c r="S329" s="247">
        <v>594.51</v>
      </c>
      <c r="T329" s="245" t="s">
        <v>1991</v>
      </c>
      <c r="U329" s="245" t="s">
        <v>2153</v>
      </c>
      <c r="V329" s="241" t="s">
        <v>1963</v>
      </c>
      <c r="W329" s="241" t="s">
        <v>93</v>
      </c>
      <c r="X329" s="241" t="s">
        <v>2156</v>
      </c>
    </row>
    <row r="330" spans="1:24" ht="13.5" customHeight="1" x14ac:dyDescent="0.3">
      <c r="A330" s="245" t="s">
        <v>2154</v>
      </c>
      <c r="B330" s="246">
        <v>46081</v>
      </c>
      <c r="C330" s="245"/>
      <c r="D330" s="245"/>
      <c r="E330" s="245"/>
      <c r="F330" s="245"/>
      <c r="G330" s="245" t="s">
        <v>2833</v>
      </c>
      <c r="H330" s="245" t="s">
        <v>2392</v>
      </c>
      <c r="I330" s="245" t="s">
        <v>2160</v>
      </c>
      <c r="J330" s="245" t="s">
        <v>2834</v>
      </c>
      <c r="K330" s="245" t="s">
        <v>2835</v>
      </c>
      <c r="L330" s="246">
        <v>46081</v>
      </c>
      <c r="M330" s="245" t="s">
        <v>2160</v>
      </c>
      <c r="N330" s="245" t="s">
        <v>2161</v>
      </c>
      <c r="O330" s="245" t="s">
        <v>2162</v>
      </c>
      <c r="P330" s="245" t="s">
        <v>111</v>
      </c>
      <c r="Q330" s="247">
        <v>-186969.21</v>
      </c>
      <c r="R330" s="247">
        <v>-2309.52</v>
      </c>
      <c r="S330" s="247">
        <v>-133.78</v>
      </c>
      <c r="T330" s="245" t="s">
        <v>1991</v>
      </c>
      <c r="U330" s="245" t="s">
        <v>2153</v>
      </c>
      <c r="V330" s="241" t="s">
        <v>1963</v>
      </c>
      <c r="W330" s="241" t="s">
        <v>93</v>
      </c>
      <c r="X330" s="241" t="s">
        <v>2156</v>
      </c>
    </row>
    <row r="331" spans="1:24" ht="13.5" customHeight="1" x14ac:dyDescent="0.3">
      <c r="A331" s="245" t="s">
        <v>2154</v>
      </c>
      <c r="B331" s="246">
        <v>46081</v>
      </c>
      <c r="C331" s="245"/>
      <c r="D331" s="245"/>
      <c r="E331" s="245"/>
      <c r="F331" s="245"/>
      <c r="G331" s="245" t="s">
        <v>2836</v>
      </c>
      <c r="H331" s="245" t="s">
        <v>2388</v>
      </c>
      <c r="I331" s="245" t="s">
        <v>2159</v>
      </c>
      <c r="J331" s="245" t="s">
        <v>2837</v>
      </c>
      <c r="K331" s="245" t="s">
        <v>2838</v>
      </c>
      <c r="L331" s="246">
        <v>46081</v>
      </c>
      <c r="M331" s="245" t="s">
        <v>2159</v>
      </c>
      <c r="N331" s="245" t="s">
        <v>2155</v>
      </c>
      <c r="O331" s="245" t="s">
        <v>1990</v>
      </c>
      <c r="P331" s="245" t="s">
        <v>111</v>
      </c>
      <c r="Q331" s="247">
        <v>1236375.27</v>
      </c>
      <c r="R331" s="247">
        <v>15272.2</v>
      </c>
      <c r="S331" s="247">
        <v>884.67</v>
      </c>
      <c r="T331" s="245" t="s">
        <v>1991</v>
      </c>
      <c r="U331" s="245" t="s">
        <v>2153</v>
      </c>
      <c r="V331" s="241" t="s">
        <v>1963</v>
      </c>
      <c r="W331" s="241" t="s">
        <v>93</v>
      </c>
      <c r="X331" s="241" t="s">
        <v>2156</v>
      </c>
    </row>
    <row r="332" spans="1:24" ht="13.5" customHeight="1" x14ac:dyDescent="0.3">
      <c r="A332" s="245" t="s">
        <v>2154</v>
      </c>
      <c r="B332" s="246">
        <v>46081</v>
      </c>
      <c r="C332" s="245"/>
      <c r="D332" s="245"/>
      <c r="E332" s="245"/>
      <c r="F332" s="245"/>
      <c r="G332" s="245" t="s">
        <v>2836</v>
      </c>
      <c r="H332" s="245" t="s">
        <v>2388</v>
      </c>
      <c r="I332" s="245" t="s">
        <v>2160</v>
      </c>
      <c r="J332" s="245" t="s">
        <v>2837</v>
      </c>
      <c r="K332" s="245" t="s">
        <v>2838</v>
      </c>
      <c r="L332" s="246">
        <v>46081</v>
      </c>
      <c r="M332" s="245" t="s">
        <v>2160</v>
      </c>
      <c r="N332" s="245" t="s">
        <v>2161</v>
      </c>
      <c r="O332" s="245" t="s">
        <v>2162</v>
      </c>
      <c r="P332" s="245" t="s">
        <v>111</v>
      </c>
      <c r="Q332" s="247">
        <v>-278224.06</v>
      </c>
      <c r="R332" s="247">
        <v>-3436.73</v>
      </c>
      <c r="S332" s="247">
        <v>-199.08</v>
      </c>
      <c r="T332" s="245" t="s">
        <v>1991</v>
      </c>
      <c r="U332" s="245" t="s">
        <v>2153</v>
      </c>
      <c r="V332" s="241" t="s">
        <v>1963</v>
      </c>
      <c r="W332" s="241" t="s">
        <v>93</v>
      </c>
      <c r="X332" s="241" t="s">
        <v>2156</v>
      </c>
    </row>
    <row r="333" spans="1:24" ht="13.5" customHeight="1" x14ac:dyDescent="0.3">
      <c r="A333" s="245" t="s">
        <v>2154</v>
      </c>
      <c r="B333" s="246">
        <v>46081</v>
      </c>
      <c r="C333" s="245"/>
      <c r="D333" s="245"/>
      <c r="E333" s="245"/>
      <c r="F333" s="245"/>
      <c r="G333" s="245" t="s">
        <v>2839</v>
      </c>
      <c r="H333" s="245" t="s">
        <v>2384</v>
      </c>
      <c r="I333" s="245" t="s">
        <v>2159</v>
      </c>
      <c r="J333" s="245" t="s">
        <v>2840</v>
      </c>
      <c r="K333" s="245" t="s">
        <v>2841</v>
      </c>
      <c r="L333" s="246">
        <v>46081</v>
      </c>
      <c r="M333" s="245" t="s">
        <v>2159</v>
      </c>
      <c r="N333" s="245" t="s">
        <v>2155</v>
      </c>
      <c r="O333" s="245" t="s">
        <v>1990</v>
      </c>
      <c r="P333" s="245" t="s">
        <v>111</v>
      </c>
      <c r="Q333" s="247">
        <v>181151.04</v>
      </c>
      <c r="R333" s="247">
        <v>2237.65</v>
      </c>
      <c r="S333" s="247">
        <v>129.62</v>
      </c>
      <c r="T333" s="245" t="s">
        <v>1991</v>
      </c>
      <c r="U333" s="245" t="s">
        <v>2153</v>
      </c>
      <c r="V333" s="241" t="s">
        <v>1963</v>
      </c>
      <c r="W333" s="241" t="s">
        <v>93</v>
      </c>
      <c r="X333" s="241" t="s">
        <v>2156</v>
      </c>
    </row>
    <row r="334" spans="1:24" ht="13.5" customHeight="1" x14ac:dyDescent="0.3">
      <c r="A334" s="245" t="s">
        <v>2154</v>
      </c>
      <c r="B334" s="246">
        <v>46081</v>
      </c>
      <c r="C334" s="245"/>
      <c r="D334" s="245"/>
      <c r="E334" s="245"/>
      <c r="F334" s="245"/>
      <c r="G334" s="245" t="s">
        <v>2839</v>
      </c>
      <c r="H334" s="245" t="s">
        <v>2384</v>
      </c>
      <c r="I334" s="245" t="s">
        <v>2160</v>
      </c>
      <c r="J334" s="245" t="s">
        <v>2840</v>
      </c>
      <c r="K334" s="245" t="s">
        <v>2841</v>
      </c>
      <c r="L334" s="246">
        <v>46081</v>
      </c>
      <c r="M334" s="245" t="s">
        <v>2160</v>
      </c>
      <c r="N334" s="245" t="s">
        <v>2161</v>
      </c>
      <c r="O334" s="245" t="s">
        <v>2162</v>
      </c>
      <c r="P334" s="245" t="s">
        <v>111</v>
      </c>
      <c r="Q334" s="247">
        <v>-40764.79</v>
      </c>
      <c r="R334" s="247">
        <v>-503.54</v>
      </c>
      <c r="S334" s="247">
        <v>-29.17</v>
      </c>
      <c r="T334" s="245" t="s">
        <v>1991</v>
      </c>
      <c r="U334" s="245" t="s">
        <v>2153</v>
      </c>
      <c r="V334" s="241" t="s">
        <v>1963</v>
      </c>
      <c r="W334" s="241" t="s">
        <v>93</v>
      </c>
      <c r="X334" s="241" t="s">
        <v>2156</v>
      </c>
    </row>
    <row r="335" spans="1:24" ht="13.5" customHeight="1" x14ac:dyDescent="0.3">
      <c r="A335" s="245" t="s">
        <v>2154</v>
      </c>
      <c r="B335" s="246">
        <v>46081</v>
      </c>
      <c r="C335" s="245"/>
      <c r="D335" s="245"/>
      <c r="E335" s="245"/>
      <c r="F335" s="245"/>
      <c r="G335" s="245" t="s">
        <v>2842</v>
      </c>
      <c r="H335" s="245" t="s">
        <v>2348</v>
      </c>
      <c r="I335" s="245" t="s">
        <v>2159</v>
      </c>
      <c r="J335" s="245" t="s">
        <v>2843</v>
      </c>
      <c r="K335" s="245" t="s">
        <v>2844</v>
      </c>
      <c r="L335" s="246">
        <v>46081</v>
      </c>
      <c r="M335" s="245" t="s">
        <v>2159</v>
      </c>
      <c r="N335" s="245" t="s">
        <v>2155</v>
      </c>
      <c r="O335" s="245" t="s">
        <v>1990</v>
      </c>
      <c r="P335" s="245" t="s">
        <v>111</v>
      </c>
      <c r="Q335" s="247">
        <v>3429105.73</v>
      </c>
      <c r="R335" s="247">
        <v>42357.68</v>
      </c>
      <c r="S335" s="247">
        <v>2453.65</v>
      </c>
      <c r="T335" s="245" t="s">
        <v>1991</v>
      </c>
      <c r="U335" s="245" t="s">
        <v>2153</v>
      </c>
      <c r="V335" s="241" t="s">
        <v>1963</v>
      </c>
      <c r="W335" s="241" t="s">
        <v>93</v>
      </c>
      <c r="X335" s="241" t="s">
        <v>2156</v>
      </c>
    </row>
    <row r="336" spans="1:24" ht="13.5" customHeight="1" x14ac:dyDescent="0.3">
      <c r="A336" s="245" t="s">
        <v>2154</v>
      </c>
      <c r="B336" s="246">
        <v>46081</v>
      </c>
      <c r="C336" s="245"/>
      <c r="D336" s="245"/>
      <c r="E336" s="245"/>
      <c r="F336" s="245"/>
      <c r="G336" s="245" t="s">
        <v>2842</v>
      </c>
      <c r="H336" s="245" t="s">
        <v>2348</v>
      </c>
      <c r="I336" s="245" t="s">
        <v>2160</v>
      </c>
      <c r="J336" s="245" t="s">
        <v>2843</v>
      </c>
      <c r="K336" s="245" t="s">
        <v>2844</v>
      </c>
      <c r="L336" s="246">
        <v>46081</v>
      </c>
      <c r="M336" s="245" t="s">
        <v>2160</v>
      </c>
      <c r="N336" s="245" t="s">
        <v>2161</v>
      </c>
      <c r="O336" s="245" t="s">
        <v>2162</v>
      </c>
      <c r="P336" s="245" t="s">
        <v>111</v>
      </c>
      <c r="Q336" s="247">
        <v>-771658.7</v>
      </c>
      <c r="R336" s="247">
        <v>-9531.84</v>
      </c>
      <c r="S336" s="247">
        <v>-552.15</v>
      </c>
      <c r="T336" s="245" t="s">
        <v>1991</v>
      </c>
      <c r="U336" s="245" t="s">
        <v>2153</v>
      </c>
      <c r="V336" s="241" t="s">
        <v>1963</v>
      </c>
      <c r="W336" s="241" t="s">
        <v>93</v>
      </c>
      <c r="X336" s="241" t="s">
        <v>2156</v>
      </c>
    </row>
    <row r="337" spans="1:24" ht="13.5" customHeight="1" x14ac:dyDescent="0.3">
      <c r="A337" s="245" t="s">
        <v>2154</v>
      </c>
      <c r="B337" s="246">
        <v>46081</v>
      </c>
      <c r="C337" s="245"/>
      <c r="D337" s="245"/>
      <c r="E337" s="245"/>
      <c r="F337" s="245"/>
      <c r="G337" s="245" t="s">
        <v>2845</v>
      </c>
      <c r="H337" s="245" t="s">
        <v>2386</v>
      </c>
      <c r="I337" s="245" t="s">
        <v>2159</v>
      </c>
      <c r="J337" s="245" t="s">
        <v>2846</v>
      </c>
      <c r="K337" s="245" t="s">
        <v>2847</v>
      </c>
      <c r="L337" s="246">
        <v>46081</v>
      </c>
      <c r="M337" s="245" t="s">
        <v>2159</v>
      </c>
      <c r="N337" s="245" t="s">
        <v>2155</v>
      </c>
      <c r="O337" s="245" t="s">
        <v>1990</v>
      </c>
      <c r="P337" s="245" t="s">
        <v>111</v>
      </c>
      <c r="Q337" s="247">
        <v>232842.32</v>
      </c>
      <c r="R337" s="247">
        <v>2876.16</v>
      </c>
      <c r="S337" s="247">
        <v>166.61</v>
      </c>
      <c r="T337" s="245" t="s">
        <v>1991</v>
      </c>
      <c r="U337" s="245" t="s">
        <v>2153</v>
      </c>
      <c r="V337" s="241" t="s">
        <v>1963</v>
      </c>
      <c r="W337" s="241" t="s">
        <v>93</v>
      </c>
      <c r="X337" s="241" t="s">
        <v>2156</v>
      </c>
    </row>
    <row r="338" spans="1:24" ht="13.5" customHeight="1" x14ac:dyDescent="0.3">
      <c r="A338" s="245" t="s">
        <v>2154</v>
      </c>
      <c r="B338" s="246">
        <v>46081</v>
      </c>
      <c r="C338" s="245"/>
      <c r="D338" s="245"/>
      <c r="E338" s="245"/>
      <c r="F338" s="245"/>
      <c r="G338" s="245" t="s">
        <v>2845</v>
      </c>
      <c r="H338" s="245" t="s">
        <v>2386</v>
      </c>
      <c r="I338" s="245" t="s">
        <v>2160</v>
      </c>
      <c r="J338" s="245" t="s">
        <v>2846</v>
      </c>
      <c r="K338" s="245" t="s">
        <v>2847</v>
      </c>
      <c r="L338" s="246">
        <v>46081</v>
      </c>
      <c r="M338" s="245" t="s">
        <v>2160</v>
      </c>
      <c r="N338" s="245" t="s">
        <v>2161</v>
      </c>
      <c r="O338" s="245" t="s">
        <v>2162</v>
      </c>
      <c r="P338" s="245" t="s">
        <v>111</v>
      </c>
      <c r="Q338" s="247">
        <v>-52396.98</v>
      </c>
      <c r="R338" s="247">
        <v>-647.23</v>
      </c>
      <c r="S338" s="247">
        <v>-37.49</v>
      </c>
      <c r="T338" s="245" t="s">
        <v>1991</v>
      </c>
      <c r="U338" s="245" t="s">
        <v>2153</v>
      </c>
      <c r="V338" s="241" t="s">
        <v>1963</v>
      </c>
      <c r="W338" s="241" t="s">
        <v>93</v>
      </c>
      <c r="X338" s="241" t="s">
        <v>2156</v>
      </c>
    </row>
    <row r="339" spans="1:24" ht="13.5" customHeight="1" x14ac:dyDescent="0.3">
      <c r="A339" s="245" t="s">
        <v>2154</v>
      </c>
      <c r="B339" s="246">
        <v>46081</v>
      </c>
      <c r="C339" s="245"/>
      <c r="D339" s="245"/>
      <c r="E339" s="245"/>
      <c r="F339" s="245"/>
      <c r="G339" s="245" t="s">
        <v>2848</v>
      </c>
      <c r="H339" s="245" t="s">
        <v>2363</v>
      </c>
      <c r="I339" s="245" t="s">
        <v>2159</v>
      </c>
      <c r="J339" s="245" t="s">
        <v>2849</v>
      </c>
      <c r="K339" s="245" t="s">
        <v>2850</v>
      </c>
      <c r="L339" s="246">
        <v>46081</v>
      </c>
      <c r="M339" s="245" t="s">
        <v>2159</v>
      </c>
      <c r="N339" s="245" t="s">
        <v>2155</v>
      </c>
      <c r="O339" s="245" t="s">
        <v>1990</v>
      </c>
      <c r="P339" s="245" t="s">
        <v>111</v>
      </c>
      <c r="Q339" s="247">
        <v>1815515.57</v>
      </c>
      <c r="R339" s="247">
        <v>22425.97</v>
      </c>
      <c r="S339" s="247">
        <v>1299.07</v>
      </c>
      <c r="T339" s="245" t="s">
        <v>1991</v>
      </c>
      <c r="U339" s="245" t="s">
        <v>2153</v>
      </c>
      <c r="V339" s="241" t="s">
        <v>1963</v>
      </c>
      <c r="W339" s="241" t="s">
        <v>93</v>
      </c>
      <c r="X339" s="241" t="s">
        <v>2156</v>
      </c>
    </row>
    <row r="340" spans="1:24" ht="13.5" customHeight="1" x14ac:dyDescent="0.3">
      <c r="A340" s="245" t="s">
        <v>2154</v>
      </c>
      <c r="B340" s="246">
        <v>46081</v>
      </c>
      <c r="C340" s="245"/>
      <c r="D340" s="245"/>
      <c r="E340" s="245"/>
      <c r="F340" s="245"/>
      <c r="G340" s="245" t="s">
        <v>2848</v>
      </c>
      <c r="H340" s="245" t="s">
        <v>2363</v>
      </c>
      <c r="I340" s="245" t="s">
        <v>2160</v>
      </c>
      <c r="J340" s="245" t="s">
        <v>2849</v>
      </c>
      <c r="K340" s="245" t="s">
        <v>2850</v>
      </c>
      <c r="L340" s="246">
        <v>46081</v>
      </c>
      <c r="M340" s="245" t="s">
        <v>2160</v>
      </c>
      <c r="N340" s="245" t="s">
        <v>2161</v>
      </c>
      <c r="O340" s="245" t="s">
        <v>2162</v>
      </c>
      <c r="P340" s="245" t="s">
        <v>111</v>
      </c>
      <c r="Q340" s="247">
        <v>-408549.19</v>
      </c>
      <c r="R340" s="247">
        <v>-5046.5600000000004</v>
      </c>
      <c r="S340" s="247">
        <v>-292.33</v>
      </c>
      <c r="T340" s="245" t="s">
        <v>1991</v>
      </c>
      <c r="U340" s="245" t="s">
        <v>2153</v>
      </c>
      <c r="V340" s="241" t="s">
        <v>1963</v>
      </c>
      <c r="W340" s="241" t="s">
        <v>93</v>
      </c>
      <c r="X340" s="241" t="s">
        <v>2156</v>
      </c>
    </row>
    <row r="341" spans="1:24" ht="13.5" customHeight="1" x14ac:dyDescent="0.3">
      <c r="A341" s="245" t="s">
        <v>2154</v>
      </c>
      <c r="B341" s="246">
        <v>46081</v>
      </c>
      <c r="C341" s="245"/>
      <c r="D341" s="245"/>
      <c r="E341" s="245"/>
      <c r="F341" s="245"/>
      <c r="G341" s="245" t="s">
        <v>2851</v>
      </c>
      <c r="H341" s="245" t="s">
        <v>2365</v>
      </c>
      <c r="I341" s="245" t="s">
        <v>2159</v>
      </c>
      <c r="J341" s="245" t="s">
        <v>2852</v>
      </c>
      <c r="K341" s="245" t="s">
        <v>2853</v>
      </c>
      <c r="L341" s="246">
        <v>46081</v>
      </c>
      <c r="M341" s="245" t="s">
        <v>2159</v>
      </c>
      <c r="N341" s="245" t="s">
        <v>2155</v>
      </c>
      <c r="O341" s="245" t="s">
        <v>1990</v>
      </c>
      <c r="P341" s="245" t="s">
        <v>111</v>
      </c>
      <c r="Q341" s="247">
        <v>3555946.49</v>
      </c>
      <c r="R341" s="247">
        <v>43924.47</v>
      </c>
      <c r="S341" s="247">
        <v>2544.41</v>
      </c>
      <c r="T341" s="245" t="s">
        <v>1991</v>
      </c>
      <c r="U341" s="245" t="s">
        <v>2153</v>
      </c>
      <c r="V341" s="241" t="s">
        <v>1963</v>
      </c>
      <c r="W341" s="241" t="s">
        <v>93</v>
      </c>
      <c r="X341" s="241" t="s">
        <v>2156</v>
      </c>
    </row>
    <row r="342" spans="1:24" ht="13.5" customHeight="1" x14ac:dyDescent="0.3">
      <c r="A342" s="245" t="s">
        <v>2154</v>
      </c>
      <c r="B342" s="246">
        <v>46081</v>
      </c>
      <c r="C342" s="245"/>
      <c r="D342" s="245"/>
      <c r="E342" s="245"/>
      <c r="F342" s="245"/>
      <c r="G342" s="245" t="s">
        <v>2851</v>
      </c>
      <c r="H342" s="245" t="s">
        <v>2365</v>
      </c>
      <c r="I342" s="245" t="s">
        <v>2160</v>
      </c>
      <c r="J342" s="245" t="s">
        <v>2852</v>
      </c>
      <c r="K342" s="245" t="s">
        <v>2853</v>
      </c>
      <c r="L342" s="246">
        <v>46081</v>
      </c>
      <c r="M342" s="245" t="s">
        <v>2160</v>
      </c>
      <c r="N342" s="245" t="s">
        <v>2161</v>
      </c>
      <c r="O342" s="245" t="s">
        <v>2162</v>
      </c>
      <c r="P342" s="245" t="s">
        <v>111</v>
      </c>
      <c r="Q342" s="247">
        <v>-800201.93</v>
      </c>
      <c r="R342" s="247">
        <v>-9884.41</v>
      </c>
      <c r="S342" s="247">
        <v>-572.57000000000005</v>
      </c>
      <c r="T342" s="245" t="s">
        <v>1991</v>
      </c>
      <c r="U342" s="245" t="s">
        <v>2153</v>
      </c>
      <c r="V342" s="241" t="s">
        <v>1963</v>
      </c>
      <c r="W342" s="241" t="s">
        <v>93</v>
      </c>
      <c r="X342" s="241" t="s">
        <v>2156</v>
      </c>
    </row>
    <row r="343" spans="1:24" ht="13.5" customHeight="1" x14ac:dyDescent="0.3">
      <c r="A343" s="245" t="s">
        <v>2154</v>
      </c>
      <c r="B343" s="246">
        <v>46081</v>
      </c>
      <c r="C343" s="245"/>
      <c r="D343" s="245"/>
      <c r="E343" s="245"/>
      <c r="F343" s="245"/>
      <c r="G343" s="245" t="s">
        <v>2854</v>
      </c>
      <c r="H343" s="245" t="s">
        <v>2378</v>
      </c>
      <c r="I343" s="245" t="s">
        <v>2159</v>
      </c>
      <c r="J343" s="245" t="s">
        <v>2855</v>
      </c>
      <c r="K343" s="245" t="s">
        <v>2856</v>
      </c>
      <c r="L343" s="246">
        <v>46081</v>
      </c>
      <c r="M343" s="245" t="s">
        <v>2159</v>
      </c>
      <c r="N343" s="245" t="s">
        <v>2155</v>
      </c>
      <c r="O343" s="245" t="s">
        <v>1990</v>
      </c>
      <c r="P343" s="245" t="s">
        <v>111</v>
      </c>
      <c r="Q343" s="247">
        <v>3823151.23</v>
      </c>
      <c r="R343" s="247">
        <v>47225.09</v>
      </c>
      <c r="S343" s="247">
        <v>2735.6</v>
      </c>
      <c r="T343" s="245" t="s">
        <v>1991</v>
      </c>
      <c r="U343" s="245" t="s">
        <v>2153</v>
      </c>
      <c r="V343" s="241" t="s">
        <v>1963</v>
      </c>
      <c r="W343" s="241" t="s">
        <v>93</v>
      </c>
      <c r="X343" s="241" t="s">
        <v>2156</v>
      </c>
    </row>
    <row r="344" spans="1:24" ht="13.5" customHeight="1" x14ac:dyDescent="0.3">
      <c r="A344" s="245" t="s">
        <v>2154</v>
      </c>
      <c r="B344" s="246">
        <v>46081</v>
      </c>
      <c r="C344" s="245"/>
      <c r="D344" s="245"/>
      <c r="E344" s="245"/>
      <c r="F344" s="245"/>
      <c r="G344" s="245" t="s">
        <v>2854</v>
      </c>
      <c r="H344" s="245" t="s">
        <v>2378</v>
      </c>
      <c r="I344" s="245" t="s">
        <v>2160</v>
      </c>
      <c r="J344" s="245" t="s">
        <v>2855</v>
      </c>
      <c r="K344" s="245" t="s">
        <v>2856</v>
      </c>
      <c r="L344" s="246">
        <v>46081</v>
      </c>
      <c r="M344" s="245" t="s">
        <v>2160</v>
      </c>
      <c r="N344" s="245" t="s">
        <v>2161</v>
      </c>
      <c r="O344" s="245" t="s">
        <v>2162</v>
      </c>
      <c r="P344" s="245" t="s">
        <v>111</v>
      </c>
      <c r="Q344" s="247">
        <v>-860331.56</v>
      </c>
      <c r="R344" s="247">
        <v>-10627.16</v>
      </c>
      <c r="S344" s="247">
        <v>-615.6</v>
      </c>
      <c r="T344" s="245" t="s">
        <v>1991</v>
      </c>
      <c r="U344" s="245" t="s">
        <v>2153</v>
      </c>
      <c r="V344" s="241" t="s">
        <v>1963</v>
      </c>
      <c r="W344" s="241" t="s">
        <v>93</v>
      </c>
      <c r="X344" s="241" t="s">
        <v>2156</v>
      </c>
    </row>
    <row r="345" spans="1:24" ht="13.5" customHeight="1" x14ac:dyDescent="0.3">
      <c r="A345" s="245" t="s">
        <v>2154</v>
      </c>
      <c r="B345" s="246">
        <v>46081</v>
      </c>
      <c r="C345" s="245"/>
      <c r="D345" s="245"/>
      <c r="E345" s="245"/>
      <c r="F345" s="245"/>
      <c r="G345" s="245" t="s">
        <v>2857</v>
      </c>
      <c r="H345" s="245" t="s">
        <v>2376</v>
      </c>
      <c r="I345" s="245" t="s">
        <v>2159</v>
      </c>
      <c r="J345" s="245" t="s">
        <v>2858</v>
      </c>
      <c r="K345" s="245" t="s">
        <v>2859</v>
      </c>
      <c r="L345" s="246">
        <v>46081</v>
      </c>
      <c r="M345" s="245" t="s">
        <v>2159</v>
      </c>
      <c r="N345" s="245" t="s">
        <v>2155</v>
      </c>
      <c r="O345" s="245" t="s">
        <v>1990</v>
      </c>
      <c r="P345" s="245" t="s">
        <v>111</v>
      </c>
      <c r="Q345" s="247">
        <v>4832872.1900000004</v>
      </c>
      <c r="R345" s="247">
        <v>59697.56</v>
      </c>
      <c r="S345" s="247">
        <v>3458.09</v>
      </c>
      <c r="T345" s="245" t="s">
        <v>1991</v>
      </c>
      <c r="U345" s="245" t="s">
        <v>2153</v>
      </c>
      <c r="V345" s="241" t="s">
        <v>1963</v>
      </c>
      <c r="W345" s="241" t="s">
        <v>93</v>
      </c>
      <c r="X345" s="241" t="s">
        <v>2156</v>
      </c>
    </row>
    <row r="346" spans="1:24" ht="13.5" customHeight="1" x14ac:dyDescent="0.3">
      <c r="A346" s="245" t="s">
        <v>2154</v>
      </c>
      <c r="B346" s="246">
        <v>46081</v>
      </c>
      <c r="C346" s="245"/>
      <c r="D346" s="245"/>
      <c r="E346" s="245"/>
      <c r="F346" s="245"/>
      <c r="G346" s="245" t="s">
        <v>2857</v>
      </c>
      <c r="H346" s="245" t="s">
        <v>2376</v>
      </c>
      <c r="I346" s="245" t="s">
        <v>2160</v>
      </c>
      <c r="J346" s="245" t="s">
        <v>2858</v>
      </c>
      <c r="K346" s="245" t="s">
        <v>2859</v>
      </c>
      <c r="L346" s="246">
        <v>46081</v>
      </c>
      <c r="M346" s="245" t="s">
        <v>2160</v>
      </c>
      <c r="N346" s="245" t="s">
        <v>2161</v>
      </c>
      <c r="O346" s="245" t="s">
        <v>2162</v>
      </c>
      <c r="P346" s="245" t="s">
        <v>111</v>
      </c>
      <c r="Q346" s="247">
        <v>-1087551.1399999999</v>
      </c>
      <c r="R346" s="247">
        <v>-13433.86</v>
      </c>
      <c r="S346" s="247">
        <v>-778.18</v>
      </c>
      <c r="T346" s="245" t="s">
        <v>1991</v>
      </c>
      <c r="U346" s="245" t="s">
        <v>2153</v>
      </c>
      <c r="V346" s="241" t="s">
        <v>1963</v>
      </c>
      <c r="W346" s="241" t="s">
        <v>93</v>
      </c>
      <c r="X346" s="241" t="s">
        <v>2156</v>
      </c>
    </row>
    <row r="347" spans="1:24" ht="13.5" customHeight="1" x14ac:dyDescent="0.3">
      <c r="A347" s="245" t="s">
        <v>2154</v>
      </c>
      <c r="B347" s="246">
        <v>46081</v>
      </c>
      <c r="C347" s="245"/>
      <c r="D347" s="245"/>
      <c r="E347" s="245"/>
      <c r="F347" s="245"/>
      <c r="G347" s="245" t="s">
        <v>2860</v>
      </c>
      <c r="H347" s="245" t="s">
        <v>2380</v>
      </c>
      <c r="I347" s="245" t="s">
        <v>2159</v>
      </c>
      <c r="J347" s="245" t="s">
        <v>2861</v>
      </c>
      <c r="K347" s="245" t="s">
        <v>2862</v>
      </c>
      <c r="L347" s="246">
        <v>46081</v>
      </c>
      <c r="M347" s="245" t="s">
        <v>2159</v>
      </c>
      <c r="N347" s="245" t="s">
        <v>2155</v>
      </c>
      <c r="O347" s="245" t="s">
        <v>1990</v>
      </c>
      <c r="P347" s="245" t="s">
        <v>111</v>
      </c>
      <c r="Q347" s="247">
        <v>1794000</v>
      </c>
      <c r="R347" s="247">
        <v>22160.2</v>
      </c>
      <c r="S347" s="247">
        <v>1283.67</v>
      </c>
      <c r="T347" s="245" t="s">
        <v>1991</v>
      </c>
      <c r="U347" s="245" t="s">
        <v>2153</v>
      </c>
      <c r="V347" s="241" t="s">
        <v>1963</v>
      </c>
      <c r="W347" s="241" t="s">
        <v>93</v>
      </c>
      <c r="X347" s="241" t="s">
        <v>2156</v>
      </c>
    </row>
    <row r="348" spans="1:24" ht="13.5" customHeight="1" x14ac:dyDescent="0.3">
      <c r="A348" s="245" t="s">
        <v>2154</v>
      </c>
      <c r="B348" s="246">
        <v>46081</v>
      </c>
      <c r="C348" s="245"/>
      <c r="D348" s="245"/>
      <c r="E348" s="245"/>
      <c r="F348" s="245"/>
      <c r="G348" s="245" t="s">
        <v>2860</v>
      </c>
      <c r="H348" s="245" t="s">
        <v>2380</v>
      </c>
      <c r="I348" s="245" t="s">
        <v>2160</v>
      </c>
      <c r="J348" s="245" t="s">
        <v>2861</v>
      </c>
      <c r="K348" s="245" t="s">
        <v>2862</v>
      </c>
      <c r="L348" s="246">
        <v>46081</v>
      </c>
      <c r="M348" s="245" t="s">
        <v>2160</v>
      </c>
      <c r="N348" s="245" t="s">
        <v>2161</v>
      </c>
      <c r="O348" s="245" t="s">
        <v>2162</v>
      </c>
      <c r="P348" s="245" t="s">
        <v>111</v>
      </c>
      <c r="Q348" s="247">
        <v>-403707.5</v>
      </c>
      <c r="R348" s="247">
        <v>-4986.76</v>
      </c>
      <c r="S348" s="247">
        <v>-288.87</v>
      </c>
      <c r="T348" s="245" t="s">
        <v>1991</v>
      </c>
      <c r="U348" s="245" t="s">
        <v>2153</v>
      </c>
      <c r="V348" s="241" t="s">
        <v>1963</v>
      </c>
      <c r="W348" s="241" t="s">
        <v>93</v>
      </c>
      <c r="X348" s="241" t="s">
        <v>2156</v>
      </c>
    </row>
    <row r="349" spans="1:24" ht="13.5" customHeight="1" x14ac:dyDescent="0.3">
      <c r="A349" s="245" t="s">
        <v>2154</v>
      </c>
      <c r="B349" s="246">
        <v>46081</v>
      </c>
      <c r="C349" s="245"/>
      <c r="D349" s="245"/>
      <c r="E349" s="245"/>
      <c r="F349" s="245"/>
      <c r="G349" s="245" t="s">
        <v>2863</v>
      </c>
      <c r="H349" s="245" t="s">
        <v>2369</v>
      </c>
      <c r="I349" s="245" t="s">
        <v>2159</v>
      </c>
      <c r="J349" s="245" t="s">
        <v>2864</v>
      </c>
      <c r="K349" s="245" t="s">
        <v>2865</v>
      </c>
      <c r="L349" s="246">
        <v>46081</v>
      </c>
      <c r="M349" s="245" t="s">
        <v>2159</v>
      </c>
      <c r="N349" s="245" t="s">
        <v>2155</v>
      </c>
      <c r="O349" s="245" t="s">
        <v>1990</v>
      </c>
      <c r="P349" s="245" t="s">
        <v>111</v>
      </c>
      <c r="Q349" s="247">
        <v>2827777.68</v>
      </c>
      <c r="R349" s="247">
        <v>34929.839999999997</v>
      </c>
      <c r="S349" s="247">
        <v>2023.38</v>
      </c>
      <c r="T349" s="245" t="s">
        <v>1991</v>
      </c>
      <c r="U349" s="245" t="s">
        <v>2153</v>
      </c>
      <c r="V349" s="241" t="s">
        <v>1963</v>
      </c>
      <c r="W349" s="241" t="s">
        <v>93</v>
      </c>
      <c r="X349" s="241" t="s">
        <v>2156</v>
      </c>
    </row>
    <row r="350" spans="1:24" ht="13.5" customHeight="1" x14ac:dyDescent="0.3">
      <c r="A350" s="245" t="s">
        <v>2154</v>
      </c>
      <c r="B350" s="246">
        <v>46081</v>
      </c>
      <c r="C350" s="245"/>
      <c r="D350" s="245"/>
      <c r="E350" s="245"/>
      <c r="F350" s="245"/>
      <c r="G350" s="245" t="s">
        <v>2863</v>
      </c>
      <c r="H350" s="245" t="s">
        <v>2369</v>
      </c>
      <c r="I350" s="245" t="s">
        <v>2160</v>
      </c>
      <c r="J350" s="245" t="s">
        <v>2864</v>
      </c>
      <c r="K350" s="245" t="s">
        <v>2865</v>
      </c>
      <c r="L350" s="246">
        <v>46081</v>
      </c>
      <c r="M350" s="245" t="s">
        <v>2160</v>
      </c>
      <c r="N350" s="245" t="s">
        <v>2161</v>
      </c>
      <c r="O350" s="245" t="s">
        <v>2162</v>
      </c>
      <c r="P350" s="245" t="s">
        <v>111</v>
      </c>
      <c r="Q350" s="247">
        <v>-636340.61</v>
      </c>
      <c r="R350" s="247">
        <v>-7860.33</v>
      </c>
      <c r="S350" s="247">
        <v>-455.32</v>
      </c>
      <c r="T350" s="245" t="s">
        <v>1991</v>
      </c>
      <c r="U350" s="245" t="s">
        <v>2153</v>
      </c>
      <c r="V350" s="241" t="s">
        <v>1963</v>
      </c>
      <c r="W350" s="241" t="s">
        <v>93</v>
      </c>
      <c r="X350" s="241" t="s">
        <v>2156</v>
      </c>
    </row>
    <row r="351" spans="1:24" ht="13.5" customHeight="1" x14ac:dyDescent="0.3">
      <c r="A351" s="245" t="s">
        <v>2154</v>
      </c>
      <c r="B351" s="246">
        <v>46081</v>
      </c>
      <c r="C351" s="245"/>
      <c r="D351" s="245"/>
      <c r="E351" s="245"/>
      <c r="F351" s="245"/>
      <c r="G351" s="245" t="s">
        <v>2866</v>
      </c>
      <c r="H351" s="245" t="s">
        <v>2374</v>
      </c>
      <c r="I351" s="245" t="s">
        <v>2159</v>
      </c>
      <c r="J351" s="245" t="s">
        <v>2867</v>
      </c>
      <c r="K351" s="245" t="s">
        <v>2868</v>
      </c>
      <c r="L351" s="246">
        <v>46081</v>
      </c>
      <c r="M351" s="245" t="s">
        <v>2159</v>
      </c>
      <c r="N351" s="245" t="s">
        <v>2155</v>
      </c>
      <c r="O351" s="245" t="s">
        <v>1990</v>
      </c>
      <c r="P351" s="245" t="s">
        <v>111</v>
      </c>
      <c r="Q351" s="247">
        <v>1949868.31</v>
      </c>
      <c r="R351" s="247">
        <v>24085.55</v>
      </c>
      <c r="S351" s="247">
        <v>1395.2</v>
      </c>
      <c r="T351" s="245" t="s">
        <v>1991</v>
      </c>
      <c r="U351" s="245" t="s">
        <v>2153</v>
      </c>
      <c r="V351" s="241" t="s">
        <v>1963</v>
      </c>
      <c r="W351" s="241" t="s">
        <v>93</v>
      </c>
      <c r="X351" s="241" t="s">
        <v>2156</v>
      </c>
    </row>
    <row r="352" spans="1:24" ht="13.5" customHeight="1" x14ac:dyDescent="0.3">
      <c r="A352" s="245" t="s">
        <v>2154</v>
      </c>
      <c r="B352" s="246">
        <v>46081</v>
      </c>
      <c r="C352" s="245"/>
      <c r="D352" s="245"/>
      <c r="E352" s="245"/>
      <c r="F352" s="245"/>
      <c r="G352" s="245" t="s">
        <v>2866</v>
      </c>
      <c r="H352" s="245" t="s">
        <v>2374</v>
      </c>
      <c r="I352" s="245" t="s">
        <v>2160</v>
      </c>
      <c r="J352" s="245" t="s">
        <v>2867</v>
      </c>
      <c r="K352" s="245" t="s">
        <v>2868</v>
      </c>
      <c r="L352" s="246">
        <v>46081</v>
      </c>
      <c r="M352" s="245" t="s">
        <v>2160</v>
      </c>
      <c r="N352" s="245" t="s">
        <v>2161</v>
      </c>
      <c r="O352" s="245" t="s">
        <v>2162</v>
      </c>
      <c r="P352" s="245" t="s">
        <v>111</v>
      </c>
      <c r="Q352" s="247">
        <v>-438782.87</v>
      </c>
      <c r="R352" s="247">
        <v>-5420.02</v>
      </c>
      <c r="S352" s="247">
        <v>-313.95999999999998</v>
      </c>
      <c r="T352" s="245" t="s">
        <v>1991</v>
      </c>
      <c r="U352" s="245" t="s">
        <v>2153</v>
      </c>
      <c r="V352" s="241" t="s">
        <v>1963</v>
      </c>
      <c r="W352" s="241" t="s">
        <v>93</v>
      </c>
      <c r="X352" s="241" t="s">
        <v>2156</v>
      </c>
    </row>
    <row r="353" spans="1:24" ht="13.5" customHeight="1" x14ac:dyDescent="0.3">
      <c r="A353" s="245" t="s">
        <v>2154</v>
      </c>
      <c r="B353" s="246">
        <v>46081</v>
      </c>
      <c r="C353" s="245"/>
      <c r="D353" s="245"/>
      <c r="E353" s="245"/>
      <c r="F353" s="245"/>
      <c r="G353" s="245" t="s">
        <v>2869</v>
      </c>
      <c r="H353" s="245" t="s">
        <v>2372</v>
      </c>
      <c r="I353" s="245" t="s">
        <v>2159</v>
      </c>
      <c r="J353" s="245" t="s">
        <v>2870</v>
      </c>
      <c r="K353" s="245" t="s">
        <v>2871</v>
      </c>
      <c r="L353" s="246">
        <v>46081</v>
      </c>
      <c r="M353" s="245" t="s">
        <v>2159</v>
      </c>
      <c r="N353" s="245" t="s">
        <v>2155</v>
      </c>
      <c r="O353" s="245" t="s">
        <v>1990</v>
      </c>
      <c r="P353" s="245" t="s">
        <v>111</v>
      </c>
      <c r="Q353" s="247">
        <v>779470.54</v>
      </c>
      <c r="R353" s="247">
        <v>9628.33</v>
      </c>
      <c r="S353" s="247">
        <v>557.74</v>
      </c>
      <c r="T353" s="245" t="s">
        <v>1991</v>
      </c>
      <c r="U353" s="245" t="s">
        <v>2153</v>
      </c>
      <c r="V353" s="241" t="s">
        <v>1963</v>
      </c>
      <c r="W353" s="241" t="s">
        <v>93</v>
      </c>
      <c r="X353" s="241" t="s">
        <v>2156</v>
      </c>
    </row>
    <row r="354" spans="1:24" ht="13.5" customHeight="1" x14ac:dyDescent="0.3">
      <c r="A354" s="245" t="s">
        <v>2154</v>
      </c>
      <c r="B354" s="246">
        <v>46081</v>
      </c>
      <c r="C354" s="245"/>
      <c r="D354" s="245"/>
      <c r="E354" s="245"/>
      <c r="F354" s="245"/>
      <c r="G354" s="245" t="s">
        <v>2869</v>
      </c>
      <c r="H354" s="245" t="s">
        <v>2372</v>
      </c>
      <c r="I354" s="245" t="s">
        <v>2160</v>
      </c>
      <c r="J354" s="245" t="s">
        <v>2870</v>
      </c>
      <c r="K354" s="245" t="s">
        <v>2871</v>
      </c>
      <c r="L354" s="246">
        <v>46081</v>
      </c>
      <c r="M354" s="245" t="s">
        <v>2160</v>
      </c>
      <c r="N354" s="245" t="s">
        <v>2161</v>
      </c>
      <c r="O354" s="245" t="s">
        <v>2162</v>
      </c>
      <c r="P354" s="245" t="s">
        <v>111</v>
      </c>
      <c r="Q354" s="247">
        <v>-175405.86</v>
      </c>
      <c r="R354" s="247">
        <v>-2166.6799999999998</v>
      </c>
      <c r="S354" s="247">
        <v>-125.51</v>
      </c>
      <c r="T354" s="245" t="s">
        <v>1991</v>
      </c>
      <c r="U354" s="245" t="s">
        <v>2153</v>
      </c>
      <c r="V354" s="241" t="s">
        <v>1963</v>
      </c>
      <c r="W354" s="241" t="s">
        <v>93</v>
      </c>
      <c r="X354" s="241" t="s">
        <v>2156</v>
      </c>
    </row>
    <row r="355" spans="1:24" ht="13.5" customHeight="1" x14ac:dyDescent="0.3">
      <c r="A355" s="245" t="s">
        <v>2154</v>
      </c>
      <c r="B355" s="246">
        <v>46081</v>
      </c>
      <c r="C355" s="245"/>
      <c r="D355" s="245"/>
      <c r="E355" s="245"/>
      <c r="F355" s="245"/>
      <c r="G355" s="245" t="s">
        <v>2872</v>
      </c>
      <c r="H355" s="245" t="s">
        <v>2357</v>
      </c>
      <c r="I355" s="245" t="s">
        <v>2159</v>
      </c>
      <c r="J355" s="245" t="s">
        <v>2873</v>
      </c>
      <c r="K355" s="245" t="s">
        <v>2874</v>
      </c>
      <c r="L355" s="246">
        <v>46081</v>
      </c>
      <c r="M355" s="245" t="s">
        <v>2159</v>
      </c>
      <c r="N355" s="245" t="s">
        <v>2155</v>
      </c>
      <c r="O355" s="245" t="s">
        <v>1990</v>
      </c>
      <c r="P355" s="245" t="s">
        <v>111</v>
      </c>
      <c r="Q355" s="247">
        <v>654685.17000000004</v>
      </c>
      <c r="R355" s="247">
        <v>8086.93</v>
      </c>
      <c r="S355" s="247">
        <v>468.45</v>
      </c>
      <c r="T355" s="245" t="s">
        <v>1991</v>
      </c>
      <c r="U355" s="245" t="s">
        <v>2153</v>
      </c>
      <c r="V355" s="241" t="s">
        <v>1963</v>
      </c>
      <c r="W355" s="241" t="s">
        <v>93</v>
      </c>
      <c r="X355" s="241" t="s">
        <v>2156</v>
      </c>
    </row>
    <row r="356" spans="1:24" ht="13.5" customHeight="1" x14ac:dyDescent="0.3">
      <c r="A356" s="245" t="s">
        <v>2154</v>
      </c>
      <c r="B356" s="246">
        <v>46081</v>
      </c>
      <c r="C356" s="245"/>
      <c r="D356" s="245"/>
      <c r="E356" s="245"/>
      <c r="F356" s="245"/>
      <c r="G356" s="245" t="s">
        <v>2872</v>
      </c>
      <c r="H356" s="245" t="s">
        <v>2357</v>
      </c>
      <c r="I356" s="245" t="s">
        <v>2160</v>
      </c>
      <c r="J356" s="245" t="s">
        <v>2873</v>
      </c>
      <c r="K356" s="245" t="s">
        <v>2874</v>
      </c>
      <c r="L356" s="246">
        <v>46081</v>
      </c>
      <c r="M356" s="245" t="s">
        <v>2160</v>
      </c>
      <c r="N356" s="245" t="s">
        <v>2161</v>
      </c>
      <c r="O356" s="245" t="s">
        <v>2162</v>
      </c>
      <c r="P356" s="245" t="s">
        <v>111</v>
      </c>
      <c r="Q356" s="247">
        <v>-147325.15</v>
      </c>
      <c r="R356" s="247">
        <v>-1819.82</v>
      </c>
      <c r="S356" s="247">
        <v>-105.42</v>
      </c>
      <c r="T356" s="245" t="s">
        <v>1991</v>
      </c>
      <c r="U356" s="245" t="s">
        <v>2153</v>
      </c>
      <c r="V356" s="241" t="s">
        <v>1963</v>
      </c>
      <c r="W356" s="241" t="s">
        <v>93</v>
      </c>
      <c r="X356" s="241" t="s">
        <v>2156</v>
      </c>
    </row>
    <row r="357" spans="1:24" ht="13.5" customHeight="1" x14ac:dyDescent="0.3">
      <c r="A357" s="245" t="s">
        <v>2154</v>
      </c>
      <c r="B357" s="246">
        <v>46081</v>
      </c>
      <c r="C357" s="245"/>
      <c r="D357" s="245"/>
      <c r="E357" s="245"/>
      <c r="F357" s="245"/>
      <c r="G357" s="245" t="s">
        <v>2875</v>
      </c>
      <c r="H357" s="245" t="s">
        <v>2367</v>
      </c>
      <c r="I357" s="245" t="s">
        <v>2159</v>
      </c>
      <c r="J357" s="245" t="s">
        <v>2876</v>
      </c>
      <c r="K357" s="245" t="s">
        <v>2877</v>
      </c>
      <c r="L357" s="246">
        <v>46081</v>
      </c>
      <c r="M357" s="245" t="s">
        <v>2159</v>
      </c>
      <c r="N357" s="245" t="s">
        <v>2155</v>
      </c>
      <c r="O357" s="245" t="s">
        <v>1990</v>
      </c>
      <c r="P357" s="245" t="s">
        <v>111</v>
      </c>
      <c r="Q357" s="247">
        <v>17506.72</v>
      </c>
      <c r="R357" s="247">
        <v>216.25</v>
      </c>
      <c r="S357" s="247">
        <v>12.53</v>
      </c>
      <c r="T357" s="245" t="s">
        <v>1991</v>
      </c>
      <c r="U357" s="245" t="s">
        <v>2153</v>
      </c>
      <c r="V357" s="241" t="s">
        <v>1963</v>
      </c>
      <c r="W357" s="241" t="s">
        <v>93</v>
      </c>
      <c r="X357" s="241" t="s">
        <v>2156</v>
      </c>
    </row>
    <row r="358" spans="1:24" ht="13.5" customHeight="1" x14ac:dyDescent="0.3">
      <c r="A358" s="245" t="s">
        <v>2154</v>
      </c>
      <c r="B358" s="246">
        <v>46081</v>
      </c>
      <c r="C358" s="245"/>
      <c r="D358" s="245"/>
      <c r="E358" s="245"/>
      <c r="F358" s="245"/>
      <c r="G358" s="245" t="s">
        <v>2875</v>
      </c>
      <c r="H358" s="245" t="s">
        <v>2367</v>
      </c>
      <c r="I358" s="245" t="s">
        <v>2160</v>
      </c>
      <c r="J358" s="245" t="s">
        <v>2876</v>
      </c>
      <c r="K358" s="245" t="s">
        <v>2877</v>
      </c>
      <c r="L358" s="246">
        <v>46081</v>
      </c>
      <c r="M358" s="245" t="s">
        <v>2160</v>
      </c>
      <c r="N358" s="245" t="s">
        <v>2161</v>
      </c>
      <c r="O358" s="245" t="s">
        <v>2162</v>
      </c>
      <c r="P358" s="245" t="s">
        <v>111</v>
      </c>
      <c r="Q358" s="247">
        <v>-3939.57</v>
      </c>
      <c r="R358" s="247">
        <v>-48.66</v>
      </c>
      <c r="S358" s="247">
        <v>-2.82</v>
      </c>
      <c r="T358" s="245" t="s">
        <v>1991</v>
      </c>
      <c r="U358" s="245" t="s">
        <v>2153</v>
      </c>
      <c r="V358" s="241" t="s">
        <v>1963</v>
      </c>
      <c r="W358" s="241" t="s">
        <v>93</v>
      </c>
      <c r="X358" s="241" t="s">
        <v>2156</v>
      </c>
    </row>
    <row r="359" spans="1:24" ht="13.5" customHeight="1" x14ac:dyDescent="0.3">
      <c r="A359" s="245" t="s">
        <v>2154</v>
      </c>
      <c r="B359" s="246">
        <v>46081</v>
      </c>
      <c r="C359" s="245"/>
      <c r="D359" s="245"/>
      <c r="E359" s="245"/>
      <c r="F359" s="245"/>
      <c r="G359" s="245" t="s">
        <v>2878</v>
      </c>
      <c r="H359" s="245" t="s">
        <v>2361</v>
      </c>
      <c r="I359" s="245" t="s">
        <v>2159</v>
      </c>
      <c r="J359" s="245" t="s">
        <v>2879</v>
      </c>
      <c r="K359" s="245" t="s">
        <v>2880</v>
      </c>
      <c r="L359" s="246">
        <v>46081</v>
      </c>
      <c r="M359" s="245" t="s">
        <v>2159</v>
      </c>
      <c r="N359" s="245" t="s">
        <v>2155</v>
      </c>
      <c r="O359" s="245" t="s">
        <v>1990</v>
      </c>
      <c r="P359" s="245" t="s">
        <v>111</v>
      </c>
      <c r="Q359" s="247">
        <v>2266807.2200000002</v>
      </c>
      <c r="R359" s="247">
        <v>28000.5</v>
      </c>
      <c r="S359" s="247">
        <v>1621.98</v>
      </c>
      <c r="T359" s="245" t="s">
        <v>1991</v>
      </c>
      <c r="U359" s="245" t="s">
        <v>2153</v>
      </c>
      <c r="V359" s="241" t="s">
        <v>1963</v>
      </c>
      <c r="W359" s="241" t="s">
        <v>93</v>
      </c>
      <c r="X359" s="241" t="s">
        <v>2156</v>
      </c>
    </row>
    <row r="360" spans="1:24" ht="13.5" customHeight="1" x14ac:dyDescent="0.3">
      <c r="A360" s="245" t="s">
        <v>2154</v>
      </c>
      <c r="B360" s="246">
        <v>46081</v>
      </c>
      <c r="C360" s="245"/>
      <c r="D360" s="245"/>
      <c r="E360" s="245"/>
      <c r="F360" s="245"/>
      <c r="G360" s="245" t="s">
        <v>2878</v>
      </c>
      <c r="H360" s="245" t="s">
        <v>2361</v>
      </c>
      <c r="I360" s="245" t="s">
        <v>2160</v>
      </c>
      <c r="J360" s="245" t="s">
        <v>2879</v>
      </c>
      <c r="K360" s="245" t="s">
        <v>2880</v>
      </c>
      <c r="L360" s="246">
        <v>46081</v>
      </c>
      <c r="M360" s="245" t="s">
        <v>2160</v>
      </c>
      <c r="N360" s="245" t="s">
        <v>2161</v>
      </c>
      <c r="O360" s="245" t="s">
        <v>2162</v>
      </c>
      <c r="P360" s="245" t="s">
        <v>111</v>
      </c>
      <c r="Q360" s="247">
        <v>-510104.28</v>
      </c>
      <c r="R360" s="247">
        <v>-6301.01</v>
      </c>
      <c r="S360" s="247">
        <v>-365</v>
      </c>
      <c r="T360" s="245" t="s">
        <v>1991</v>
      </c>
      <c r="U360" s="245" t="s">
        <v>2153</v>
      </c>
      <c r="V360" s="241" t="s">
        <v>1963</v>
      </c>
      <c r="W360" s="241" t="s">
        <v>93</v>
      </c>
      <c r="X360" s="241" t="s">
        <v>2156</v>
      </c>
    </row>
    <row r="361" spans="1:24" ht="13.5" customHeight="1" x14ac:dyDescent="0.3">
      <c r="A361" s="245" t="s">
        <v>2154</v>
      </c>
      <c r="B361" s="246">
        <v>46081</v>
      </c>
      <c r="C361" s="245"/>
      <c r="D361" s="245"/>
      <c r="E361" s="245"/>
      <c r="F361" s="245"/>
      <c r="G361" s="245" t="s">
        <v>2881</v>
      </c>
      <c r="H361" s="245" t="s">
        <v>2371</v>
      </c>
      <c r="I361" s="245" t="s">
        <v>2159</v>
      </c>
      <c r="J361" s="245" t="s">
        <v>2882</v>
      </c>
      <c r="K361" s="245" t="s">
        <v>2883</v>
      </c>
      <c r="L361" s="246">
        <v>46081</v>
      </c>
      <c r="M361" s="245" t="s">
        <v>2159</v>
      </c>
      <c r="N361" s="245" t="s">
        <v>2155</v>
      </c>
      <c r="O361" s="245" t="s">
        <v>1990</v>
      </c>
      <c r="P361" s="245" t="s">
        <v>111</v>
      </c>
      <c r="Q361" s="247">
        <v>1648712.79</v>
      </c>
      <c r="R361" s="247">
        <v>20365.560000000001</v>
      </c>
      <c r="S361" s="247">
        <v>1179.71</v>
      </c>
      <c r="T361" s="245" t="s">
        <v>1991</v>
      </c>
      <c r="U361" s="245" t="s">
        <v>2153</v>
      </c>
      <c r="V361" s="241" t="s">
        <v>1963</v>
      </c>
      <c r="W361" s="241" t="s">
        <v>93</v>
      </c>
      <c r="X361" s="241" t="s">
        <v>2156</v>
      </c>
    </row>
    <row r="362" spans="1:24" ht="13.5" customHeight="1" x14ac:dyDescent="0.3">
      <c r="A362" s="245" t="s">
        <v>2154</v>
      </c>
      <c r="B362" s="246">
        <v>46081</v>
      </c>
      <c r="C362" s="245"/>
      <c r="D362" s="245"/>
      <c r="E362" s="245"/>
      <c r="F362" s="245"/>
      <c r="G362" s="245" t="s">
        <v>2881</v>
      </c>
      <c r="H362" s="245" t="s">
        <v>2371</v>
      </c>
      <c r="I362" s="245" t="s">
        <v>2160</v>
      </c>
      <c r="J362" s="245" t="s">
        <v>2882</v>
      </c>
      <c r="K362" s="245" t="s">
        <v>2883</v>
      </c>
      <c r="L362" s="246">
        <v>46081</v>
      </c>
      <c r="M362" s="245" t="s">
        <v>2160</v>
      </c>
      <c r="N362" s="245" t="s">
        <v>2161</v>
      </c>
      <c r="O362" s="245" t="s">
        <v>2162</v>
      </c>
      <c r="P362" s="245" t="s">
        <v>111</v>
      </c>
      <c r="Q362" s="247">
        <v>-371013.22</v>
      </c>
      <c r="R362" s="247">
        <v>-4582.8999999999996</v>
      </c>
      <c r="S362" s="247">
        <v>-265.47000000000003</v>
      </c>
      <c r="T362" s="245" t="s">
        <v>1991</v>
      </c>
      <c r="U362" s="245" t="s">
        <v>2153</v>
      </c>
      <c r="V362" s="241" t="s">
        <v>1963</v>
      </c>
      <c r="W362" s="241" t="s">
        <v>93</v>
      </c>
      <c r="X362" s="241" t="s">
        <v>2156</v>
      </c>
    </row>
    <row r="363" spans="1:24" ht="13.5" customHeight="1" x14ac:dyDescent="0.3">
      <c r="A363" s="245" t="s">
        <v>2154</v>
      </c>
      <c r="B363" s="246">
        <v>46081</v>
      </c>
      <c r="C363" s="245"/>
      <c r="D363" s="245"/>
      <c r="E363" s="245"/>
      <c r="F363" s="245"/>
      <c r="G363" s="245" t="s">
        <v>2884</v>
      </c>
      <c r="H363" s="245" t="s">
        <v>2344</v>
      </c>
      <c r="I363" s="245" t="s">
        <v>2159</v>
      </c>
      <c r="J363" s="245" t="s">
        <v>2885</v>
      </c>
      <c r="K363" s="245" t="s">
        <v>2886</v>
      </c>
      <c r="L363" s="246">
        <v>46081</v>
      </c>
      <c r="M363" s="245" t="s">
        <v>2159</v>
      </c>
      <c r="N363" s="245" t="s">
        <v>2155</v>
      </c>
      <c r="O363" s="245" t="s">
        <v>1990</v>
      </c>
      <c r="P363" s="245" t="s">
        <v>111</v>
      </c>
      <c r="Q363" s="247">
        <v>9645468.9299999997</v>
      </c>
      <c r="R363" s="247">
        <v>119144.67</v>
      </c>
      <c r="S363" s="247">
        <v>6901.68</v>
      </c>
      <c r="T363" s="245" t="s">
        <v>1991</v>
      </c>
      <c r="U363" s="245" t="s">
        <v>2153</v>
      </c>
      <c r="V363" s="241" t="s">
        <v>1963</v>
      </c>
      <c r="W363" s="241" t="s">
        <v>93</v>
      </c>
      <c r="X363" s="241" t="s">
        <v>2156</v>
      </c>
    </row>
    <row r="364" spans="1:24" ht="13.5" customHeight="1" x14ac:dyDescent="0.3">
      <c r="A364" s="245" t="s">
        <v>2154</v>
      </c>
      <c r="B364" s="246">
        <v>46081</v>
      </c>
      <c r="C364" s="245"/>
      <c r="D364" s="245"/>
      <c r="E364" s="245"/>
      <c r="F364" s="245"/>
      <c r="G364" s="245" t="s">
        <v>2884</v>
      </c>
      <c r="H364" s="245" t="s">
        <v>2344</v>
      </c>
      <c r="I364" s="245" t="s">
        <v>2160</v>
      </c>
      <c r="J364" s="245" t="s">
        <v>2885</v>
      </c>
      <c r="K364" s="245" t="s">
        <v>2886</v>
      </c>
      <c r="L364" s="246">
        <v>46081</v>
      </c>
      <c r="M364" s="245" t="s">
        <v>2160</v>
      </c>
      <c r="N364" s="245" t="s">
        <v>2161</v>
      </c>
      <c r="O364" s="245" t="s">
        <v>2162</v>
      </c>
      <c r="P364" s="245" t="s">
        <v>111</v>
      </c>
      <c r="Q364" s="247">
        <v>-2170539.66</v>
      </c>
      <c r="R364" s="247">
        <v>-26811.37</v>
      </c>
      <c r="S364" s="247">
        <v>-1553.1</v>
      </c>
      <c r="T364" s="245" t="s">
        <v>1991</v>
      </c>
      <c r="U364" s="245" t="s">
        <v>2153</v>
      </c>
      <c r="V364" s="241" t="s">
        <v>1963</v>
      </c>
      <c r="W364" s="241" t="s">
        <v>93</v>
      </c>
      <c r="X364" s="241" t="s">
        <v>2156</v>
      </c>
    </row>
    <row r="365" spans="1:24" ht="13.5" customHeight="1" x14ac:dyDescent="0.3">
      <c r="A365" s="245" t="s">
        <v>2154</v>
      </c>
      <c r="B365" s="246">
        <v>46081</v>
      </c>
      <c r="C365" s="245"/>
      <c r="D365" s="245"/>
      <c r="E365" s="245"/>
      <c r="F365" s="245"/>
      <c r="G365" s="245" t="s">
        <v>2887</v>
      </c>
      <c r="H365" s="245" t="s">
        <v>2355</v>
      </c>
      <c r="I365" s="245" t="s">
        <v>2159</v>
      </c>
      <c r="J365" s="245" t="s">
        <v>2888</v>
      </c>
      <c r="K365" s="245" t="s">
        <v>2889</v>
      </c>
      <c r="L365" s="246">
        <v>46081</v>
      </c>
      <c r="M365" s="245" t="s">
        <v>2159</v>
      </c>
      <c r="N365" s="245" t="s">
        <v>2155</v>
      </c>
      <c r="O365" s="245" t="s">
        <v>1990</v>
      </c>
      <c r="P365" s="245" t="s">
        <v>111</v>
      </c>
      <c r="Q365" s="247">
        <v>5807522</v>
      </c>
      <c r="R365" s="247">
        <v>71736.820000000007</v>
      </c>
      <c r="S365" s="247">
        <v>4155.49</v>
      </c>
      <c r="T365" s="245" t="s">
        <v>1991</v>
      </c>
      <c r="U365" s="245" t="s">
        <v>2153</v>
      </c>
      <c r="V365" s="241" t="s">
        <v>1963</v>
      </c>
      <c r="W365" s="241" t="s">
        <v>93</v>
      </c>
      <c r="X365" s="241" t="s">
        <v>2156</v>
      </c>
    </row>
    <row r="366" spans="1:24" ht="13.5" customHeight="1" x14ac:dyDescent="0.3">
      <c r="A366" s="245" t="s">
        <v>2154</v>
      </c>
      <c r="B366" s="246">
        <v>46081</v>
      </c>
      <c r="C366" s="245"/>
      <c r="D366" s="245"/>
      <c r="E366" s="245"/>
      <c r="F366" s="245"/>
      <c r="G366" s="245" t="s">
        <v>2887</v>
      </c>
      <c r="H366" s="245" t="s">
        <v>2355</v>
      </c>
      <c r="I366" s="245" t="s">
        <v>2160</v>
      </c>
      <c r="J366" s="245" t="s">
        <v>2888</v>
      </c>
      <c r="K366" s="245" t="s">
        <v>2889</v>
      </c>
      <c r="L366" s="246">
        <v>46081</v>
      </c>
      <c r="M366" s="245" t="s">
        <v>2160</v>
      </c>
      <c r="N366" s="245" t="s">
        <v>2161</v>
      </c>
      <c r="O366" s="245" t="s">
        <v>2162</v>
      </c>
      <c r="P366" s="245" t="s">
        <v>111</v>
      </c>
      <c r="Q366" s="247">
        <v>-1306878.5900000001</v>
      </c>
      <c r="R366" s="247">
        <v>-16143.08</v>
      </c>
      <c r="S366" s="247">
        <v>-935.12</v>
      </c>
      <c r="T366" s="245" t="s">
        <v>1991</v>
      </c>
      <c r="U366" s="245" t="s">
        <v>2153</v>
      </c>
      <c r="V366" s="241" t="s">
        <v>1963</v>
      </c>
      <c r="W366" s="241" t="s">
        <v>93</v>
      </c>
      <c r="X366" s="241" t="s">
        <v>2156</v>
      </c>
    </row>
    <row r="367" spans="1:24" ht="13.5" customHeight="1" x14ac:dyDescent="0.3">
      <c r="A367" s="245" t="s">
        <v>2154</v>
      </c>
      <c r="B367" s="246">
        <v>46081</v>
      </c>
      <c r="C367" s="245"/>
      <c r="D367" s="245"/>
      <c r="E367" s="245"/>
      <c r="F367" s="245"/>
      <c r="G367" s="245" t="s">
        <v>2890</v>
      </c>
      <c r="H367" s="245" t="s">
        <v>2346</v>
      </c>
      <c r="I367" s="245" t="s">
        <v>2159</v>
      </c>
      <c r="J367" s="245" t="s">
        <v>2891</v>
      </c>
      <c r="K367" s="245" t="s">
        <v>2892</v>
      </c>
      <c r="L367" s="246">
        <v>46081</v>
      </c>
      <c r="M367" s="245" t="s">
        <v>2159</v>
      </c>
      <c r="N367" s="245" t="s">
        <v>2155</v>
      </c>
      <c r="O367" s="245" t="s">
        <v>1990</v>
      </c>
      <c r="P367" s="245" t="s">
        <v>111</v>
      </c>
      <c r="Q367" s="247">
        <v>1941847.75</v>
      </c>
      <c r="R367" s="247">
        <v>23986.48</v>
      </c>
      <c r="S367" s="247">
        <v>1389.46</v>
      </c>
      <c r="T367" s="245" t="s">
        <v>1991</v>
      </c>
      <c r="U367" s="245" t="s">
        <v>2153</v>
      </c>
      <c r="V367" s="241" t="s">
        <v>1963</v>
      </c>
      <c r="W367" s="241" t="s">
        <v>93</v>
      </c>
      <c r="X367" s="241" t="s">
        <v>2156</v>
      </c>
    </row>
    <row r="368" spans="1:24" ht="13.5" customHeight="1" x14ac:dyDescent="0.3">
      <c r="A368" s="245" t="s">
        <v>2154</v>
      </c>
      <c r="B368" s="246">
        <v>46081</v>
      </c>
      <c r="C368" s="245"/>
      <c r="D368" s="245"/>
      <c r="E368" s="245"/>
      <c r="F368" s="245"/>
      <c r="G368" s="245" t="s">
        <v>2890</v>
      </c>
      <c r="H368" s="245" t="s">
        <v>2346</v>
      </c>
      <c r="I368" s="245" t="s">
        <v>2160</v>
      </c>
      <c r="J368" s="245" t="s">
        <v>2891</v>
      </c>
      <c r="K368" s="245" t="s">
        <v>2892</v>
      </c>
      <c r="L368" s="246">
        <v>46081</v>
      </c>
      <c r="M368" s="245" t="s">
        <v>2160</v>
      </c>
      <c r="N368" s="245" t="s">
        <v>2161</v>
      </c>
      <c r="O368" s="245" t="s">
        <v>2162</v>
      </c>
      <c r="P368" s="245" t="s">
        <v>111</v>
      </c>
      <c r="Q368" s="247">
        <v>-436977.98</v>
      </c>
      <c r="R368" s="247">
        <v>-5397.73</v>
      </c>
      <c r="S368" s="247">
        <v>-312.67</v>
      </c>
      <c r="T368" s="245" t="s">
        <v>1991</v>
      </c>
      <c r="U368" s="245" t="s">
        <v>2153</v>
      </c>
      <c r="V368" s="241" t="s">
        <v>1963</v>
      </c>
      <c r="W368" s="241" t="s">
        <v>93</v>
      </c>
      <c r="X368" s="241" t="s">
        <v>2156</v>
      </c>
    </row>
    <row r="369" spans="1:24" ht="13.5" customHeight="1" x14ac:dyDescent="0.3">
      <c r="A369" s="245" t="s">
        <v>2154</v>
      </c>
      <c r="B369" s="246">
        <v>46081</v>
      </c>
      <c r="C369" s="245"/>
      <c r="D369" s="245"/>
      <c r="E369" s="245"/>
      <c r="F369" s="245"/>
      <c r="G369" s="245" t="s">
        <v>2893</v>
      </c>
      <c r="H369" s="245" t="s">
        <v>2342</v>
      </c>
      <c r="I369" s="245" t="s">
        <v>2159</v>
      </c>
      <c r="J369" s="245" t="s">
        <v>2894</v>
      </c>
      <c r="K369" s="245" t="s">
        <v>2895</v>
      </c>
      <c r="L369" s="246">
        <v>46081</v>
      </c>
      <c r="M369" s="245" t="s">
        <v>2159</v>
      </c>
      <c r="N369" s="245" t="s">
        <v>2155</v>
      </c>
      <c r="O369" s="245" t="s">
        <v>1990</v>
      </c>
      <c r="P369" s="245" t="s">
        <v>111</v>
      </c>
      <c r="Q369" s="247">
        <v>3810117.48</v>
      </c>
      <c r="R369" s="247">
        <v>47064.09</v>
      </c>
      <c r="S369" s="247">
        <v>2726.28</v>
      </c>
      <c r="T369" s="245" t="s">
        <v>1991</v>
      </c>
      <c r="U369" s="245" t="s">
        <v>2153</v>
      </c>
      <c r="V369" s="241" t="s">
        <v>1963</v>
      </c>
      <c r="W369" s="241" t="s">
        <v>93</v>
      </c>
      <c r="X369" s="241" t="s">
        <v>2156</v>
      </c>
    </row>
    <row r="370" spans="1:24" ht="13.5" customHeight="1" x14ac:dyDescent="0.3">
      <c r="A370" s="245" t="s">
        <v>2154</v>
      </c>
      <c r="B370" s="246">
        <v>46081</v>
      </c>
      <c r="C370" s="245"/>
      <c r="D370" s="245"/>
      <c r="E370" s="245"/>
      <c r="F370" s="245"/>
      <c r="G370" s="245" t="s">
        <v>2893</v>
      </c>
      <c r="H370" s="245" t="s">
        <v>2342</v>
      </c>
      <c r="I370" s="245" t="s">
        <v>2160</v>
      </c>
      <c r="J370" s="245" t="s">
        <v>2894</v>
      </c>
      <c r="K370" s="245" t="s">
        <v>2895</v>
      </c>
      <c r="L370" s="246">
        <v>46081</v>
      </c>
      <c r="M370" s="245" t="s">
        <v>2160</v>
      </c>
      <c r="N370" s="245" t="s">
        <v>2161</v>
      </c>
      <c r="O370" s="245" t="s">
        <v>2162</v>
      </c>
      <c r="P370" s="245" t="s">
        <v>111</v>
      </c>
      <c r="Q370" s="247">
        <v>-857398.55</v>
      </c>
      <c r="R370" s="247">
        <v>-10590.93</v>
      </c>
      <c r="S370" s="247">
        <v>-613.5</v>
      </c>
      <c r="T370" s="245" t="s">
        <v>1991</v>
      </c>
      <c r="U370" s="245" t="s">
        <v>2153</v>
      </c>
      <c r="V370" s="241" t="s">
        <v>1963</v>
      </c>
      <c r="W370" s="241" t="s">
        <v>93</v>
      </c>
      <c r="X370" s="241" t="s">
        <v>2156</v>
      </c>
    </row>
    <row r="371" spans="1:24" ht="13.5" customHeight="1" x14ac:dyDescent="0.3">
      <c r="A371" s="245" t="s">
        <v>2154</v>
      </c>
      <c r="B371" s="246">
        <v>46081</v>
      </c>
      <c r="C371" s="245"/>
      <c r="D371" s="245"/>
      <c r="E371" s="245"/>
      <c r="F371" s="245"/>
      <c r="G371" s="245" t="s">
        <v>2896</v>
      </c>
      <c r="H371" s="245" t="s">
        <v>2352</v>
      </c>
      <c r="I371" s="245" t="s">
        <v>2159</v>
      </c>
      <c r="J371" s="245" t="s">
        <v>2897</v>
      </c>
      <c r="K371" s="245" t="s">
        <v>2898</v>
      </c>
      <c r="L371" s="246">
        <v>46081</v>
      </c>
      <c r="M371" s="245" t="s">
        <v>2159</v>
      </c>
      <c r="N371" s="245" t="s">
        <v>2155</v>
      </c>
      <c r="O371" s="245" t="s">
        <v>1990</v>
      </c>
      <c r="P371" s="245" t="s">
        <v>111</v>
      </c>
      <c r="Q371" s="247">
        <v>3120000</v>
      </c>
      <c r="R371" s="247">
        <v>38539.480000000003</v>
      </c>
      <c r="S371" s="247">
        <v>2232.4699999999998</v>
      </c>
      <c r="T371" s="245" t="s">
        <v>1991</v>
      </c>
      <c r="U371" s="245" t="s">
        <v>2153</v>
      </c>
      <c r="V371" s="241" t="s">
        <v>1963</v>
      </c>
      <c r="W371" s="241" t="s">
        <v>93</v>
      </c>
      <c r="X371" s="241" t="s">
        <v>2156</v>
      </c>
    </row>
    <row r="372" spans="1:24" ht="13.5" customHeight="1" x14ac:dyDescent="0.3">
      <c r="A372" s="245" t="s">
        <v>2154</v>
      </c>
      <c r="B372" s="246">
        <v>46081</v>
      </c>
      <c r="C372" s="245"/>
      <c r="D372" s="245"/>
      <c r="E372" s="245"/>
      <c r="F372" s="245"/>
      <c r="G372" s="245" t="s">
        <v>2896</v>
      </c>
      <c r="H372" s="245" t="s">
        <v>2352</v>
      </c>
      <c r="I372" s="245" t="s">
        <v>2160</v>
      </c>
      <c r="J372" s="245" t="s">
        <v>2897</v>
      </c>
      <c r="K372" s="245" t="s">
        <v>2898</v>
      </c>
      <c r="L372" s="246">
        <v>46081</v>
      </c>
      <c r="M372" s="245" t="s">
        <v>2160</v>
      </c>
      <c r="N372" s="245" t="s">
        <v>2161</v>
      </c>
      <c r="O372" s="245" t="s">
        <v>2162</v>
      </c>
      <c r="P372" s="245" t="s">
        <v>111</v>
      </c>
      <c r="Q372" s="247">
        <v>-702100</v>
      </c>
      <c r="R372" s="247">
        <v>-8672.6200000000008</v>
      </c>
      <c r="S372" s="247">
        <v>-502.38</v>
      </c>
      <c r="T372" s="245" t="s">
        <v>1991</v>
      </c>
      <c r="U372" s="245" t="s">
        <v>2153</v>
      </c>
      <c r="V372" s="241" t="s">
        <v>1963</v>
      </c>
      <c r="W372" s="241" t="s">
        <v>93</v>
      </c>
      <c r="X372" s="241" t="s">
        <v>2156</v>
      </c>
    </row>
    <row r="373" spans="1:24" ht="13.5" customHeight="1" x14ac:dyDescent="0.3">
      <c r="A373" s="245" t="s">
        <v>2154</v>
      </c>
      <c r="B373" s="246">
        <v>46081</v>
      </c>
      <c r="C373" s="245"/>
      <c r="D373" s="245"/>
      <c r="E373" s="245"/>
      <c r="F373" s="245"/>
      <c r="G373" s="245" t="s">
        <v>2899</v>
      </c>
      <c r="H373" s="245" t="s">
        <v>2353</v>
      </c>
      <c r="I373" s="245" t="s">
        <v>2159</v>
      </c>
      <c r="J373" s="245" t="s">
        <v>2900</v>
      </c>
      <c r="K373" s="245" t="s">
        <v>2901</v>
      </c>
      <c r="L373" s="246">
        <v>46081</v>
      </c>
      <c r="M373" s="245" t="s">
        <v>2159</v>
      </c>
      <c r="N373" s="245" t="s">
        <v>2155</v>
      </c>
      <c r="O373" s="245" t="s">
        <v>1990</v>
      </c>
      <c r="P373" s="245" t="s">
        <v>111</v>
      </c>
      <c r="Q373" s="247">
        <v>778166.34</v>
      </c>
      <c r="R373" s="247">
        <v>9612.2199999999993</v>
      </c>
      <c r="S373" s="247">
        <v>556.80999999999995</v>
      </c>
      <c r="T373" s="245" t="s">
        <v>1991</v>
      </c>
      <c r="U373" s="245" t="s">
        <v>2153</v>
      </c>
      <c r="V373" s="241" t="s">
        <v>1963</v>
      </c>
      <c r="W373" s="241" t="s">
        <v>93</v>
      </c>
      <c r="X373" s="241" t="s">
        <v>2156</v>
      </c>
    </row>
    <row r="374" spans="1:24" ht="13.5" customHeight="1" x14ac:dyDescent="0.3">
      <c r="A374" s="245" t="s">
        <v>2154</v>
      </c>
      <c r="B374" s="246">
        <v>46081</v>
      </c>
      <c r="C374" s="245"/>
      <c r="D374" s="245"/>
      <c r="E374" s="245"/>
      <c r="F374" s="245"/>
      <c r="G374" s="245" t="s">
        <v>2899</v>
      </c>
      <c r="H374" s="245" t="s">
        <v>2353</v>
      </c>
      <c r="I374" s="245" t="s">
        <v>2160</v>
      </c>
      <c r="J374" s="245" t="s">
        <v>2900</v>
      </c>
      <c r="K374" s="245" t="s">
        <v>2901</v>
      </c>
      <c r="L374" s="246">
        <v>46081</v>
      </c>
      <c r="M374" s="245" t="s">
        <v>2160</v>
      </c>
      <c r="N374" s="245" t="s">
        <v>2161</v>
      </c>
      <c r="O374" s="245" t="s">
        <v>2162</v>
      </c>
      <c r="P374" s="245" t="s">
        <v>111</v>
      </c>
      <c r="Q374" s="247">
        <v>-175112.37</v>
      </c>
      <c r="R374" s="247">
        <v>-2163.06</v>
      </c>
      <c r="S374" s="247">
        <v>-125.3</v>
      </c>
      <c r="T374" s="245" t="s">
        <v>1991</v>
      </c>
      <c r="U374" s="245" t="s">
        <v>2153</v>
      </c>
      <c r="V374" s="241" t="s">
        <v>1963</v>
      </c>
      <c r="W374" s="241" t="s">
        <v>93</v>
      </c>
      <c r="X374" s="241" t="s">
        <v>2156</v>
      </c>
    </row>
    <row r="375" spans="1:24" ht="13.5" customHeight="1" x14ac:dyDescent="0.3">
      <c r="A375" s="245" t="s">
        <v>2154</v>
      </c>
      <c r="B375" s="246">
        <v>46081</v>
      </c>
      <c r="C375" s="245"/>
      <c r="D375" s="245"/>
      <c r="E375" s="245"/>
      <c r="F375" s="245"/>
      <c r="G375" s="245" t="s">
        <v>2902</v>
      </c>
      <c r="H375" s="245" t="s">
        <v>2350</v>
      </c>
      <c r="I375" s="245" t="s">
        <v>2159</v>
      </c>
      <c r="J375" s="245" t="s">
        <v>2903</v>
      </c>
      <c r="K375" s="245" t="s">
        <v>2904</v>
      </c>
      <c r="L375" s="246">
        <v>46081</v>
      </c>
      <c r="M375" s="245" t="s">
        <v>2159</v>
      </c>
      <c r="N375" s="245" t="s">
        <v>2155</v>
      </c>
      <c r="O375" s="245" t="s">
        <v>1990</v>
      </c>
      <c r="P375" s="245" t="s">
        <v>111</v>
      </c>
      <c r="Q375" s="247">
        <v>1560000</v>
      </c>
      <c r="R375" s="247">
        <v>19269.740000000002</v>
      </c>
      <c r="S375" s="247">
        <v>1116.24</v>
      </c>
      <c r="T375" s="245" t="s">
        <v>1991</v>
      </c>
      <c r="U375" s="245" t="s">
        <v>2153</v>
      </c>
      <c r="V375" s="241" t="s">
        <v>1963</v>
      </c>
      <c r="W375" s="241" t="s">
        <v>93</v>
      </c>
      <c r="X375" s="241" t="s">
        <v>2156</v>
      </c>
    </row>
    <row r="376" spans="1:24" ht="13.5" customHeight="1" x14ac:dyDescent="0.3">
      <c r="A376" s="245" t="s">
        <v>2154</v>
      </c>
      <c r="B376" s="246">
        <v>46081</v>
      </c>
      <c r="C376" s="245"/>
      <c r="D376" s="245"/>
      <c r="E376" s="245"/>
      <c r="F376" s="245"/>
      <c r="G376" s="245" t="s">
        <v>2902</v>
      </c>
      <c r="H376" s="245" t="s">
        <v>2350</v>
      </c>
      <c r="I376" s="245" t="s">
        <v>2160</v>
      </c>
      <c r="J376" s="245" t="s">
        <v>2903</v>
      </c>
      <c r="K376" s="245" t="s">
        <v>2904</v>
      </c>
      <c r="L376" s="246">
        <v>46081</v>
      </c>
      <c r="M376" s="245" t="s">
        <v>2160</v>
      </c>
      <c r="N376" s="245" t="s">
        <v>2161</v>
      </c>
      <c r="O376" s="245" t="s">
        <v>2162</v>
      </c>
      <c r="P376" s="245" t="s">
        <v>111</v>
      </c>
      <c r="Q376" s="247">
        <v>-351050</v>
      </c>
      <c r="R376" s="247">
        <v>-4336.3100000000004</v>
      </c>
      <c r="S376" s="247">
        <v>-251.19</v>
      </c>
      <c r="T376" s="245" t="s">
        <v>1991</v>
      </c>
      <c r="U376" s="245" t="s">
        <v>2153</v>
      </c>
      <c r="V376" s="241" t="s">
        <v>1963</v>
      </c>
      <c r="W376" s="241" t="s">
        <v>93</v>
      </c>
      <c r="X376" s="241" t="s">
        <v>2156</v>
      </c>
    </row>
    <row r="377" spans="1:24" ht="13.5" customHeight="1" x14ac:dyDescent="0.3">
      <c r="A377" s="245" t="s">
        <v>2154</v>
      </c>
      <c r="B377" s="246">
        <v>46081</v>
      </c>
      <c r="C377" s="245"/>
      <c r="D377" s="245"/>
      <c r="E377" s="245"/>
      <c r="F377" s="245"/>
      <c r="G377" s="245" t="s">
        <v>2905</v>
      </c>
      <c r="H377" s="245" t="s">
        <v>2341</v>
      </c>
      <c r="I377" s="245" t="s">
        <v>2159</v>
      </c>
      <c r="J377" s="245" t="s">
        <v>2906</v>
      </c>
      <c r="K377" s="245" t="s">
        <v>2907</v>
      </c>
      <c r="L377" s="246">
        <v>46081</v>
      </c>
      <c r="M377" s="245" t="s">
        <v>2159</v>
      </c>
      <c r="N377" s="245" t="s">
        <v>2155</v>
      </c>
      <c r="O377" s="245" t="s">
        <v>1990</v>
      </c>
      <c r="P377" s="245" t="s">
        <v>111</v>
      </c>
      <c r="Q377" s="247">
        <v>3900000</v>
      </c>
      <c r="R377" s="247">
        <v>48174.35</v>
      </c>
      <c r="S377" s="247">
        <v>2790.59</v>
      </c>
      <c r="T377" s="245" t="s">
        <v>1991</v>
      </c>
      <c r="U377" s="245" t="s">
        <v>2153</v>
      </c>
      <c r="V377" s="241" t="s">
        <v>1963</v>
      </c>
      <c r="W377" s="241" t="s">
        <v>93</v>
      </c>
      <c r="X377" s="241" t="s">
        <v>2156</v>
      </c>
    </row>
    <row r="378" spans="1:24" ht="13.5" customHeight="1" x14ac:dyDescent="0.3">
      <c r="A378" s="245" t="s">
        <v>2154</v>
      </c>
      <c r="B378" s="246">
        <v>46081</v>
      </c>
      <c r="C378" s="245"/>
      <c r="D378" s="245"/>
      <c r="E378" s="245"/>
      <c r="F378" s="245"/>
      <c r="G378" s="245" t="s">
        <v>2905</v>
      </c>
      <c r="H378" s="245" t="s">
        <v>2341</v>
      </c>
      <c r="I378" s="245" t="s">
        <v>2160</v>
      </c>
      <c r="J378" s="245" t="s">
        <v>2906</v>
      </c>
      <c r="K378" s="245" t="s">
        <v>2907</v>
      </c>
      <c r="L378" s="246">
        <v>46081</v>
      </c>
      <c r="M378" s="245" t="s">
        <v>2160</v>
      </c>
      <c r="N378" s="245" t="s">
        <v>2161</v>
      </c>
      <c r="O378" s="245" t="s">
        <v>2162</v>
      </c>
      <c r="P378" s="245" t="s">
        <v>111</v>
      </c>
      <c r="Q378" s="247">
        <v>-877625</v>
      </c>
      <c r="R378" s="247">
        <v>-10840.77</v>
      </c>
      <c r="S378" s="247">
        <v>-627.97</v>
      </c>
      <c r="T378" s="245" t="s">
        <v>1991</v>
      </c>
      <c r="U378" s="245" t="s">
        <v>2153</v>
      </c>
      <c r="V378" s="241" t="s">
        <v>1963</v>
      </c>
      <c r="W378" s="241" t="s">
        <v>93</v>
      </c>
      <c r="X378" s="241" t="s">
        <v>2156</v>
      </c>
    </row>
    <row r="379" spans="1:24" ht="13.5" customHeight="1" x14ac:dyDescent="0.3">
      <c r="A379" s="245" t="s">
        <v>2154</v>
      </c>
      <c r="B379" s="246">
        <v>46081</v>
      </c>
      <c r="C379" s="245"/>
      <c r="D379" s="245"/>
      <c r="E379" s="245"/>
      <c r="F379" s="245"/>
      <c r="G379" s="245" t="s">
        <v>2908</v>
      </c>
      <c r="H379" s="245" t="s">
        <v>2339</v>
      </c>
      <c r="I379" s="245" t="s">
        <v>2171</v>
      </c>
      <c r="J379" s="245" t="s">
        <v>2909</v>
      </c>
      <c r="K379" s="245" t="s">
        <v>2910</v>
      </c>
      <c r="L379" s="246">
        <v>46081</v>
      </c>
      <c r="M379" s="245" t="s">
        <v>2171</v>
      </c>
      <c r="N379" s="245" t="s">
        <v>2161</v>
      </c>
      <c r="O379" s="245" t="s">
        <v>2162</v>
      </c>
      <c r="P379" s="245" t="s">
        <v>95</v>
      </c>
      <c r="Q379" s="247">
        <v>-1.6</v>
      </c>
      <c r="R379" s="247">
        <v>-27.61</v>
      </c>
      <c r="S379" s="247">
        <v>-1.6</v>
      </c>
      <c r="T379" s="245" t="s">
        <v>1991</v>
      </c>
      <c r="U379" s="245" t="s">
        <v>2153</v>
      </c>
      <c r="V379" s="241" t="s">
        <v>1963</v>
      </c>
      <c r="W379" s="241" t="s">
        <v>93</v>
      </c>
      <c r="X379" s="241" t="s">
        <v>2156</v>
      </c>
    </row>
    <row r="380" spans="1:24" ht="13.5" customHeight="1" x14ac:dyDescent="0.3">
      <c r="A380" s="245" t="s">
        <v>2154</v>
      </c>
      <c r="B380" s="246">
        <v>46081</v>
      </c>
      <c r="C380" s="245"/>
      <c r="D380" s="245"/>
      <c r="E380" s="245"/>
      <c r="F380" s="245"/>
      <c r="G380" s="245" t="s">
        <v>2908</v>
      </c>
      <c r="H380" s="245" t="s">
        <v>2339</v>
      </c>
      <c r="I380" s="245" t="s">
        <v>2172</v>
      </c>
      <c r="J380" s="245" t="s">
        <v>2909</v>
      </c>
      <c r="K380" s="245" t="s">
        <v>2910</v>
      </c>
      <c r="L380" s="246">
        <v>46081</v>
      </c>
      <c r="M380" s="245" t="s">
        <v>2172</v>
      </c>
      <c r="N380" s="245" t="s">
        <v>2155</v>
      </c>
      <c r="O380" s="245" t="s">
        <v>1990</v>
      </c>
      <c r="P380" s="245" t="s">
        <v>95</v>
      </c>
      <c r="Q380" s="247">
        <v>7.1</v>
      </c>
      <c r="R380" s="247">
        <v>122.52</v>
      </c>
      <c r="S380" s="247">
        <v>7.1</v>
      </c>
      <c r="T380" s="245" t="s">
        <v>1991</v>
      </c>
      <c r="U380" s="245" t="s">
        <v>2153</v>
      </c>
      <c r="V380" s="241" t="s">
        <v>1963</v>
      </c>
      <c r="W380" s="241" t="s">
        <v>93</v>
      </c>
      <c r="X380" s="241" t="s">
        <v>2156</v>
      </c>
    </row>
    <row r="381" spans="1:24" ht="13.5" customHeight="1" x14ac:dyDescent="0.3">
      <c r="A381" s="245" t="s">
        <v>2154</v>
      </c>
      <c r="B381" s="246">
        <v>46081</v>
      </c>
      <c r="C381" s="245"/>
      <c r="D381" s="245"/>
      <c r="E381" s="245"/>
      <c r="F381" s="245"/>
      <c r="G381" s="245" t="s">
        <v>2911</v>
      </c>
      <c r="H381" s="245" t="s">
        <v>2337</v>
      </c>
      <c r="I381" s="245" t="s">
        <v>2159</v>
      </c>
      <c r="J381" s="245" t="s">
        <v>2912</v>
      </c>
      <c r="K381" s="245" t="s">
        <v>2913</v>
      </c>
      <c r="L381" s="246">
        <v>46081</v>
      </c>
      <c r="M381" s="245" t="s">
        <v>2159</v>
      </c>
      <c r="N381" s="245" t="s">
        <v>2155</v>
      </c>
      <c r="O381" s="245" t="s">
        <v>1990</v>
      </c>
      <c r="P381" s="245" t="s">
        <v>111</v>
      </c>
      <c r="Q381" s="247">
        <v>2426112</v>
      </c>
      <c r="R381" s="247">
        <v>29968.3</v>
      </c>
      <c r="S381" s="247">
        <v>1735.97</v>
      </c>
      <c r="T381" s="245" t="s">
        <v>1991</v>
      </c>
      <c r="U381" s="245" t="s">
        <v>2153</v>
      </c>
      <c r="V381" s="241" t="s">
        <v>1963</v>
      </c>
      <c r="W381" s="241" t="s">
        <v>93</v>
      </c>
      <c r="X381" s="241" t="s">
        <v>2156</v>
      </c>
    </row>
    <row r="382" spans="1:24" ht="13.5" customHeight="1" x14ac:dyDescent="0.3">
      <c r="A382" s="245" t="s">
        <v>2154</v>
      </c>
      <c r="B382" s="246">
        <v>46081</v>
      </c>
      <c r="C382" s="245"/>
      <c r="D382" s="245"/>
      <c r="E382" s="245"/>
      <c r="F382" s="245"/>
      <c r="G382" s="245" t="s">
        <v>2911</v>
      </c>
      <c r="H382" s="245" t="s">
        <v>2337</v>
      </c>
      <c r="I382" s="245" t="s">
        <v>2160</v>
      </c>
      <c r="J382" s="245" t="s">
        <v>2912</v>
      </c>
      <c r="K382" s="245" t="s">
        <v>2913</v>
      </c>
      <c r="L382" s="246">
        <v>46081</v>
      </c>
      <c r="M382" s="245" t="s">
        <v>2160</v>
      </c>
      <c r="N382" s="245" t="s">
        <v>2161</v>
      </c>
      <c r="O382" s="245" t="s">
        <v>2162</v>
      </c>
      <c r="P382" s="245" t="s">
        <v>111</v>
      </c>
      <c r="Q382" s="247">
        <v>-545952.96</v>
      </c>
      <c r="R382" s="247">
        <v>-6743.83</v>
      </c>
      <c r="S382" s="247">
        <v>-390.65</v>
      </c>
      <c r="T382" s="245" t="s">
        <v>1991</v>
      </c>
      <c r="U382" s="245" t="s">
        <v>2153</v>
      </c>
      <c r="V382" s="241" t="s">
        <v>1963</v>
      </c>
      <c r="W382" s="241" t="s">
        <v>93</v>
      </c>
      <c r="X382" s="241" t="s">
        <v>2156</v>
      </c>
    </row>
    <row r="383" spans="1:24" ht="13.5" customHeight="1" x14ac:dyDescent="0.3">
      <c r="A383" s="245" t="s">
        <v>2154</v>
      </c>
      <c r="B383" s="246">
        <v>46081</v>
      </c>
      <c r="C383" s="245"/>
      <c r="D383" s="245"/>
      <c r="E383" s="245"/>
      <c r="F383" s="245"/>
      <c r="G383" s="245" t="s">
        <v>2914</v>
      </c>
      <c r="H383" s="245" t="s">
        <v>2330</v>
      </c>
      <c r="I383" s="245" t="s">
        <v>2159</v>
      </c>
      <c r="J383" s="245" t="s">
        <v>2915</v>
      </c>
      <c r="K383" s="245" t="s">
        <v>2916</v>
      </c>
      <c r="L383" s="246">
        <v>46081</v>
      </c>
      <c r="M383" s="245" t="s">
        <v>2159</v>
      </c>
      <c r="N383" s="245" t="s">
        <v>2155</v>
      </c>
      <c r="O383" s="245" t="s">
        <v>1990</v>
      </c>
      <c r="P383" s="245" t="s">
        <v>111</v>
      </c>
      <c r="Q383" s="247">
        <v>5391360</v>
      </c>
      <c r="R383" s="247">
        <v>66596.22</v>
      </c>
      <c r="S383" s="247">
        <v>3857.71</v>
      </c>
      <c r="T383" s="245" t="s">
        <v>1991</v>
      </c>
      <c r="U383" s="245" t="s">
        <v>2153</v>
      </c>
      <c r="V383" s="241" t="s">
        <v>1963</v>
      </c>
      <c r="W383" s="241" t="s">
        <v>93</v>
      </c>
      <c r="X383" s="241" t="s">
        <v>2156</v>
      </c>
    </row>
    <row r="384" spans="1:24" ht="13.5" customHeight="1" x14ac:dyDescent="0.3">
      <c r="A384" s="245" t="s">
        <v>2154</v>
      </c>
      <c r="B384" s="246">
        <v>46081</v>
      </c>
      <c r="C384" s="245"/>
      <c r="D384" s="245"/>
      <c r="E384" s="245"/>
      <c r="F384" s="245"/>
      <c r="G384" s="245" t="s">
        <v>2914</v>
      </c>
      <c r="H384" s="245" t="s">
        <v>2330</v>
      </c>
      <c r="I384" s="245" t="s">
        <v>2160</v>
      </c>
      <c r="J384" s="245" t="s">
        <v>2915</v>
      </c>
      <c r="K384" s="245" t="s">
        <v>2916</v>
      </c>
      <c r="L384" s="246">
        <v>46081</v>
      </c>
      <c r="M384" s="245" t="s">
        <v>2160</v>
      </c>
      <c r="N384" s="245" t="s">
        <v>2161</v>
      </c>
      <c r="O384" s="245" t="s">
        <v>2162</v>
      </c>
      <c r="P384" s="245" t="s">
        <v>111</v>
      </c>
      <c r="Q384" s="247">
        <v>-1213228.8</v>
      </c>
      <c r="R384" s="247">
        <v>-14986.28</v>
      </c>
      <c r="S384" s="247">
        <v>-868.11</v>
      </c>
      <c r="T384" s="245" t="s">
        <v>1991</v>
      </c>
      <c r="U384" s="245" t="s">
        <v>2153</v>
      </c>
      <c r="V384" s="241" t="s">
        <v>1963</v>
      </c>
      <c r="W384" s="241" t="s">
        <v>93</v>
      </c>
      <c r="X384" s="241" t="s">
        <v>2156</v>
      </c>
    </row>
    <row r="385" spans="1:24" ht="13.5" customHeight="1" x14ac:dyDescent="0.3">
      <c r="A385" s="245" t="s">
        <v>2154</v>
      </c>
      <c r="B385" s="246">
        <v>46081</v>
      </c>
      <c r="C385" s="245"/>
      <c r="D385" s="245"/>
      <c r="E385" s="245"/>
      <c r="F385" s="245"/>
      <c r="G385" s="245" t="s">
        <v>2917</v>
      </c>
      <c r="H385" s="245" t="s">
        <v>2321</v>
      </c>
      <c r="I385" s="245" t="s">
        <v>2159</v>
      </c>
      <c r="J385" s="245" t="s">
        <v>2918</v>
      </c>
      <c r="K385" s="245" t="s">
        <v>2919</v>
      </c>
      <c r="L385" s="246">
        <v>46081</v>
      </c>
      <c r="M385" s="245" t="s">
        <v>2159</v>
      </c>
      <c r="N385" s="245" t="s">
        <v>2155</v>
      </c>
      <c r="O385" s="245" t="s">
        <v>1990</v>
      </c>
      <c r="P385" s="245" t="s">
        <v>111</v>
      </c>
      <c r="Q385" s="247">
        <v>2426112</v>
      </c>
      <c r="R385" s="247">
        <v>29968.3</v>
      </c>
      <c r="S385" s="247">
        <v>1735.97</v>
      </c>
      <c r="T385" s="245" t="s">
        <v>1991</v>
      </c>
      <c r="U385" s="245" t="s">
        <v>2153</v>
      </c>
      <c r="V385" s="241" t="s">
        <v>1963</v>
      </c>
      <c r="W385" s="241" t="s">
        <v>93</v>
      </c>
      <c r="X385" s="241" t="s">
        <v>2156</v>
      </c>
    </row>
    <row r="386" spans="1:24" ht="13.5" customHeight="1" x14ac:dyDescent="0.3">
      <c r="A386" s="245" t="s">
        <v>2154</v>
      </c>
      <c r="B386" s="246">
        <v>46081</v>
      </c>
      <c r="C386" s="245"/>
      <c r="D386" s="245"/>
      <c r="E386" s="245"/>
      <c r="F386" s="245"/>
      <c r="G386" s="245" t="s">
        <v>2917</v>
      </c>
      <c r="H386" s="245" t="s">
        <v>2321</v>
      </c>
      <c r="I386" s="245" t="s">
        <v>2160</v>
      </c>
      <c r="J386" s="245" t="s">
        <v>2918</v>
      </c>
      <c r="K386" s="245" t="s">
        <v>2919</v>
      </c>
      <c r="L386" s="246">
        <v>46081</v>
      </c>
      <c r="M386" s="245" t="s">
        <v>2160</v>
      </c>
      <c r="N386" s="245" t="s">
        <v>2161</v>
      </c>
      <c r="O386" s="245" t="s">
        <v>2162</v>
      </c>
      <c r="P386" s="245" t="s">
        <v>111</v>
      </c>
      <c r="Q386" s="247">
        <v>-545952.96</v>
      </c>
      <c r="R386" s="247">
        <v>-6743.83</v>
      </c>
      <c r="S386" s="247">
        <v>-390.65</v>
      </c>
      <c r="T386" s="245" t="s">
        <v>1991</v>
      </c>
      <c r="U386" s="245" t="s">
        <v>2153</v>
      </c>
      <c r="V386" s="241" t="s">
        <v>1963</v>
      </c>
      <c r="W386" s="241" t="s">
        <v>93</v>
      </c>
      <c r="X386" s="241" t="s">
        <v>2156</v>
      </c>
    </row>
    <row r="387" spans="1:24" ht="13.5" customHeight="1" x14ac:dyDescent="0.3">
      <c r="A387" s="245" t="s">
        <v>2154</v>
      </c>
      <c r="B387" s="246">
        <v>46081</v>
      </c>
      <c r="C387" s="245"/>
      <c r="D387" s="245"/>
      <c r="E387" s="245"/>
      <c r="F387" s="245"/>
      <c r="G387" s="245" t="s">
        <v>2920</v>
      </c>
      <c r="H387" s="245" t="s">
        <v>2328</v>
      </c>
      <c r="I387" s="245" t="s">
        <v>2205</v>
      </c>
      <c r="J387" s="245" t="s">
        <v>2921</v>
      </c>
      <c r="K387" s="245" t="s">
        <v>2922</v>
      </c>
      <c r="L387" s="246">
        <v>46081</v>
      </c>
      <c r="M387" s="245" t="s">
        <v>2205</v>
      </c>
      <c r="N387" s="245" t="s">
        <v>2155</v>
      </c>
      <c r="O387" s="245" t="s">
        <v>1990</v>
      </c>
      <c r="P387" s="245" t="s">
        <v>111</v>
      </c>
      <c r="Q387" s="247">
        <v>1013994.9</v>
      </c>
      <c r="R387" s="247">
        <v>12525.27</v>
      </c>
      <c r="S387" s="247">
        <v>725.55</v>
      </c>
      <c r="T387" s="245" t="s">
        <v>1991</v>
      </c>
      <c r="U387" s="245" t="s">
        <v>2153</v>
      </c>
      <c r="V387" s="241" t="s">
        <v>1963</v>
      </c>
      <c r="W387" s="241" t="s">
        <v>100</v>
      </c>
      <c r="X387" s="241" t="s">
        <v>2156</v>
      </c>
    </row>
    <row r="388" spans="1:24" ht="13.5" customHeight="1" x14ac:dyDescent="0.3">
      <c r="A388" s="245" t="s">
        <v>2154</v>
      </c>
      <c r="B388" s="246">
        <v>46081</v>
      </c>
      <c r="C388" s="245"/>
      <c r="D388" s="245"/>
      <c r="E388" s="245"/>
      <c r="F388" s="245"/>
      <c r="G388" s="245" t="s">
        <v>2920</v>
      </c>
      <c r="H388" s="245" t="s">
        <v>2328</v>
      </c>
      <c r="I388" s="245" t="s">
        <v>2206</v>
      </c>
      <c r="J388" s="245" t="s">
        <v>2921</v>
      </c>
      <c r="K388" s="245" t="s">
        <v>2922</v>
      </c>
      <c r="L388" s="246">
        <v>46081</v>
      </c>
      <c r="M388" s="245" t="s">
        <v>2206</v>
      </c>
      <c r="N388" s="245" t="s">
        <v>2161</v>
      </c>
      <c r="O388" s="245" t="s">
        <v>2162</v>
      </c>
      <c r="P388" s="245" t="s">
        <v>111</v>
      </c>
      <c r="Q388" s="247">
        <v>-226663.65</v>
      </c>
      <c r="R388" s="247">
        <v>-2799.84</v>
      </c>
      <c r="S388" s="247">
        <v>-162.19</v>
      </c>
      <c r="T388" s="245" t="s">
        <v>1991</v>
      </c>
      <c r="U388" s="245" t="s">
        <v>2153</v>
      </c>
      <c r="V388" s="241" t="s">
        <v>1963</v>
      </c>
      <c r="W388" s="241" t="s">
        <v>100</v>
      </c>
      <c r="X388" s="241" t="s">
        <v>2156</v>
      </c>
    </row>
    <row r="389" spans="1:24" ht="13.5" customHeight="1" x14ac:dyDescent="0.3">
      <c r="A389" s="245" t="s">
        <v>2154</v>
      </c>
      <c r="B389" s="246">
        <v>46081</v>
      </c>
      <c r="C389" s="245"/>
      <c r="D389" s="245"/>
      <c r="E389" s="245"/>
      <c r="F389" s="245"/>
      <c r="G389" s="245" t="s">
        <v>2923</v>
      </c>
      <c r="H389" s="245" t="s">
        <v>2390</v>
      </c>
      <c r="I389" s="245" t="s">
        <v>2205</v>
      </c>
      <c r="J389" s="245" t="s">
        <v>2924</v>
      </c>
      <c r="K389" s="245" t="s">
        <v>2925</v>
      </c>
      <c r="L389" s="246">
        <v>46081</v>
      </c>
      <c r="M389" s="245" t="s">
        <v>2205</v>
      </c>
      <c r="N389" s="245" t="s">
        <v>2155</v>
      </c>
      <c r="O389" s="245" t="s">
        <v>1990</v>
      </c>
      <c r="P389" s="245" t="s">
        <v>111</v>
      </c>
      <c r="Q389" s="247">
        <v>459332.75</v>
      </c>
      <c r="R389" s="247">
        <v>5673.86</v>
      </c>
      <c r="S389" s="247">
        <v>328.67</v>
      </c>
      <c r="T389" s="245" t="s">
        <v>1991</v>
      </c>
      <c r="U389" s="245" t="s">
        <v>2153</v>
      </c>
      <c r="V389" s="241" t="s">
        <v>1963</v>
      </c>
      <c r="W389" s="241" t="s">
        <v>100</v>
      </c>
      <c r="X389" s="241" t="s">
        <v>2156</v>
      </c>
    </row>
    <row r="390" spans="1:24" ht="13.5" customHeight="1" x14ac:dyDescent="0.3">
      <c r="A390" s="245" t="s">
        <v>2154</v>
      </c>
      <c r="B390" s="246">
        <v>46081</v>
      </c>
      <c r="C390" s="245"/>
      <c r="D390" s="245"/>
      <c r="E390" s="245"/>
      <c r="F390" s="245"/>
      <c r="G390" s="245" t="s">
        <v>2923</v>
      </c>
      <c r="H390" s="245" t="s">
        <v>2390</v>
      </c>
      <c r="I390" s="245" t="s">
        <v>2206</v>
      </c>
      <c r="J390" s="245" t="s">
        <v>2924</v>
      </c>
      <c r="K390" s="245" t="s">
        <v>2925</v>
      </c>
      <c r="L390" s="246">
        <v>46081</v>
      </c>
      <c r="M390" s="245" t="s">
        <v>2206</v>
      </c>
      <c r="N390" s="245" t="s">
        <v>2161</v>
      </c>
      <c r="O390" s="245" t="s">
        <v>2162</v>
      </c>
      <c r="P390" s="245" t="s">
        <v>111</v>
      </c>
      <c r="Q390" s="247">
        <v>-102677.08</v>
      </c>
      <c r="R390" s="247">
        <v>-1268.31</v>
      </c>
      <c r="S390" s="247">
        <v>-73.47</v>
      </c>
      <c r="T390" s="245" t="s">
        <v>1991</v>
      </c>
      <c r="U390" s="245" t="s">
        <v>2153</v>
      </c>
      <c r="V390" s="241" t="s">
        <v>1963</v>
      </c>
      <c r="W390" s="241" t="s">
        <v>100</v>
      </c>
      <c r="X390" s="241" t="s">
        <v>2156</v>
      </c>
    </row>
    <row r="391" spans="1:24" ht="13.5" customHeight="1" x14ac:dyDescent="0.3">
      <c r="A391" s="245" t="s">
        <v>2154</v>
      </c>
      <c r="B391" s="246">
        <v>46081</v>
      </c>
      <c r="C391" s="245"/>
      <c r="D391" s="245"/>
      <c r="E391" s="245"/>
      <c r="F391" s="245"/>
      <c r="G391" s="245" t="s">
        <v>2926</v>
      </c>
      <c r="H391" s="245" t="s">
        <v>2382</v>
      </c>
      <c r="I391" s="245" t="s">
        <v>2205</v>
      </c>
      <c r="J391" s="245" t="s">
        <v>2927</v>
      </c>
      <c r="K391" s="245" t="s">
        <v>2928</v>
      </c>
      <c r="L391" s="246">
        <v>46081</v>
      </c>
      <c r="M391" s="245" t="s">
        <v>2205</v>
      </c>
      <c r="N391" s="245" t="s">
        <v>2155</v>
      </c>
      <c r="O391" s="245" t="s">
        <v>1990</v>
      </c>
      <c r="P391" s="245" t="s">
        <v>111</v>
      </c>
      <c r="Q391" s="247">
        <v>7841193.0700000003</v>
      </c>
      <c r="R391" s="247">
        <v>96857.54</v>
      </c>
      <c r="S391" s="247">
        <v>5610.65</v>
      </c>
      <c r="T391" s="245" t="s">
        <v>1991</v>
      </c>
      <c r="U391" s="245" t="s">
        <v>2153</v>
      </c>
      <c r="V391" s="241" t="s">
        <v>1963</v>
      </c>
      <c r="W391" s="241" t="s">
        <v>100</v>
      </c>
      <c r="X391" s="241" t="s">
        <v>2156</v>
      </c>
    </row>
    <row r="392" spans="1:24" ht="13.5" customHeight="1" x14ac:dyDescent="0.3">
      <c r="A392" s="245" t="s">
        <v>2154</v>
      </c>
      <c r="B392" s="246">
        <v>46081</v>
      </c>
      <c r="C392" s="245"/>
      <c r="D392" s="245"/>
      <c r="E392" s="245"/>
      <c r="F392" s="245"/>
      <c r="G392" s="245" t="s">
        <v>2926</v>
      </c>
      <c r="H392" s="245" t="s">
        <v>2382</v>
      </c>
      <c r="I392" s="245" t="s">
        <v>2206</v>
      </c>
      <c r="J392" s="245" t="s">
        <v>2927</v>
      </c>
      <c r="K392" s="245" t="s">
        <v>2928</v>
      </c>
      <c r="L392" s="246">
        <v>46081</v>
      </c>
      <c r="M392" s="245" t="s">
        <v>2206</v>
      </c>
      <c r="N392" s="245" t="s">
        <v>2161</v>
      </c>
      <c r="O392" s="245" t="s">
        <v>2162</v>
      </c>
      <c r="P392" s="245" t="s">
        <v>111</v>
      </c>
      <c r="Q392" s="247">
        <v>-1752783.4</v>
      </c>
      <c r="R392" s="247">
        <v>-21651.08</v>
      </c>
      <c r="S392" s="247">
        <v>-1254.18</v>
      </c>
      <c r="T392" s="245" t="s">
        <v>1991</v>
      </c>
      <c r="U392" s="245" t="s">
        <v>2153</v>
      </c>
      <c r="V392" s="241" t="s">
        <v>1963</v>
      </c>
      <c r="W392" s="241" t="s">
        <v>100</v>
      </c>
      <c r="X392" s="241" t="s">
        <v>2156</v>
      </c>
    </row>
    <row r="393" spans="1:24" ht="13.5" customHeight="1" x14ac:dyDescent="0.3">
      <c r="A393" s="245" t="s">
        <v>2154</v>
      </c>
      <c r="B393" s="246">
        <v>46081</v>
      </c>
      <c r="C393" s="245"/>
      <c r="D393" s="245"/>
      <c r="E393" s="245"/>
      <c r="F393" s="245"/>
      <c r="G393" s="245" t="s">
        <v>2929</v>
      </c>
      <c r="H393" s="245" t="s">
        <v>2359</v>
      </c>
      <c r="I393" s="245" t="s">
        <v>2205</v>
      </c>
      <c r="J393" s="245" t="s">
        <v>2930</v>
      </c>
      <c r="K393" s="245" t="s">
        <v>2931</v>
      </c>
      <c r="L393" s="246">
        <v>46081</v>
      </c>
      <c r="M393" s="245" t="s">
        <v>2205</v>
      </c>
      <c r="N393" s="245" t="s">
        <v>2155</v>
      </c>
      <c r="O393" s="245" t="s">
        <v>1990</v>
      </c>
      <c r="P393" s="245" t="s">
        <v>111</v>
      </c>
      <c r="Q393" s="247">
        <v>2456846.92</v>
      </c>
      <c r="R393" s="247">
        <v>30347.95</v>
      </c>
      <c r="S393" s="247">
        <v>1757.96</v>
      </c>
      <c r="T393" s="245" t="s">
        <v>1991</v>
      </c>
      <c r="U393" s="245" t="s">
        <v>2153</v>
      </c>
      <c r="V393" s="241" t="s">
        <v>1963</v>
      </c>
      <c r="W393" s="241" t="s">
        <v>100</v>
      </c>
      <c r="X393" s="241" t="s">
        <v>2156</v>
      </c>
    </row>
    <row r="394" spans="1:24" ht="13.5" customHeight="1" x14ac:dyDescent="0.3">
      <c r="A394" s="245" t="s">
        <v>2154</v>
      </c>
      <c r="B394" s="246">
        <v>46081</v>
      </c>
      <c r="C394" s="245"/>
      <c r="D394" s="245"/>
      <c r="E394" s="245"/>
      <c r="F394" s="245"/>
      <c r="G394" s="245" t="s">
        <v>2929</v>
      </c>
      <c r="H394" s="245" t="s">
        <v>2359</v>
      </c>
      <c r="I394" s="245" t="s">
        <v>2206</v>
      </c>
      <c r="J394" s="245" t="s">
        <v>2930</v>
      </c>
      <c r="K394" s="245" t="s">
        <v>2931</v>
      </c>
      <c r="L394" s="246">
        <v>46081</v>
      </c>
      <c r="M394" s="245" t="s">
        <v>2206</v>
      </c>
      <c r="N394" s="245" t="s">
        <v>2161</v>
      </c>
      <c r="O394" s="245" t="s">
        <v>2162</v>
      </c>
      <c r="P394" s="245" t="s">
        <v>111</v>
      </c>
      <c r="Q394" s="247">
        <v>-549192</v>
      </c>
      <c r="R394" s="247">
        <v>-6783.84</v>
      </c>
      <c r="S394" s="247">
        <v>-392.97</v>
      </c>
      <c r="T394" s="245" t="s">
        <v>1991</v>
      </c>
      <c r="U394" s="245" t="s">
        <v>2153</v>
      </c>
      <c r="V394" s="241" t="s">
        <v>1963</v>
      </c>
      <c r="W394" s="241" t="s">
        <v>100</v>
      </c>
      <c r="X394" s="241" t="s">
        <v>2156</v>
      </c>
    </row>
    <row r="395" spans="1:24" ht="13.5" customHeight="1" x14ac:dyDescent="0.3">
      <c r="A395" s="245" t="s">
        <v>2154</v>
      </c>
      <c r="B395" s="246">
        <v>46081</v>
      </c>
      <c r="C395" s="245"/>
      <c r="D395" s="245"/>
      <c r="E395" s="245"/>
      <c r="F395" s="245"/>
      <c r="G395" s="245" t="s">
        <v>2932</v>
      </c>
      <c r="H395" s="245" t="s">
        <v>2326</v>
      </c>
      <c r="I395" s="245" t="s">
        <v>2205</v>
      </c>
      <c r="J395" s="245" t="s">
        <v>2933</v>
      </c>
      <c r="K395" s="245" t="s">
        <v>2934</v>
      </c>
      <c r="L395" s="246">
        <v>46081</v>
      </c>
      <c r="M395" s="245" t="s">
        <v>2205</v>
      </c>
      <c r="N395" s="245" t="s">
        <v>2155</v>
      </c>
      <c r="O395" s="245" t="s">
        <v>1990</v>
      </c>
      <c r="P395" s="245" t="s">
        <v>111</v>
      </c>
      <c r="Q395" s="247">
        <v>3786439.79</v>
      </c>
      <c r="R395" s="247">
        <v>46771.61</v>
      </c>
      <c r="S395" s="247">
        <v>2709.33</v>
      </c>
      <c r="T395" s="245" t="s">
        <v>1991</v>
      </c>
      <c r="U395" s="245" t="s">
        <v>2153</v>
      </c>
      <c r="V395" s="241" t="s">
        <v>1963</v>
      </c>
      <c r="W395" s="241" t="s">
        <v>100</v>
      </c>
      <c r="X395" s="241" t="s">
        <v>2156</v>
      </c>
    </row>
    <row r="396" spans="1:24" ht="13.5" customHeight="1" x14ac:dyDescent="0.3">
      <c r="A396" s="245" t="s">
        <v>2154</v>
      </c>
      <c r="B396" s="246">
        <v>46081</v>
      </c>
      <c r="C396" s="245"/>
      <c r="D396" s="245"/>
      <c r="E396" s="245"/>
      <c r="F396" s="245"/>
      <c r="G396" s="245" t="s">
        <v>2932</v>
      </c>
      <c r="H396" s="245" t="s">
        <v>2326</v>
      </c>
      <c r="I396" s="245" t="s">
        <v>2206</v>
      </c>
      <c r="J396" s="245" t="s">
        <v>2933</v>
      </c>
      <c r="K396" s="245" t="s">
        <v>2934</v>
      </c>
      <c r="L396" s="246">
        <v>46081</v>
      </c>
      <c r="M396" s="245" t="s">
        <v>2206</v>
      </c>
      <c r="N396" s="245" t="s">
        <v>2161</v>
      </c>
      <c r="O396" s="245" t="s">
        <v>2162</v>
      </c>
      <c r="P396" s="245" t="s">
        <v>111</v>
      </c>
      <c r="Q396" s="247">
        <v>-846402.93</v>
      </c>
      <c r="R396" s="247">
        <v>-10455.11</v>
      </c>
      <c r="S396" s="247">
        <v>-605.63</v>
      </c>
      <c r="T396" s="245" t="s">
        <v>1991</v>
      </c>
      <c r="U396" s="245" t="s">
        <v>2153</v>
      </c>
      <c r="V396" s="241" t="s">
        <v>1963</v>
      </c>
      <c r="W396" s="241" t="s">
        <v>100</v>
      </c>
      <c r="X396" s="241" t="s">
        <v>2156</v>
      </c>
    </row>
    <row r="397" spans="1:24" ht="13.5" customHeight="1" x14ac:dyDescent="0.3">
      <c r="A397" s="245" t="s">
        <v>2154</v>
      </c>
      <c r="B397" s="246">
        <v>46081</v>
      </c>
      <c r="C397" s="245"/>
      <c r="D397" s="245"/>
      <c r="E397" s="245"/>
      <c r="F397" s="245"/>
      <c r="G397" s="245" t="s">
        <v>2935</v>
      </c>
      <c r="H397" s="245" t="s">
        <v>2323</v>
      </c>
      <c r="I397" s="245" t="s">
        <v>2205</v>
      </c>
      <c r="J397" s="245" t="s">
        <v>2936</v>
      </c>
      <c r="K397" s="245" t="s">
        <v>2937</v>
      </c>
      <c r="L397" s="246">
        <v>46081</v>
      </c>
      <c r="M397" s="245" t="s">
        <v>2205</v>
      </c>
      <c r="N397" s="245" t="s">
        <v>2155</v>
      </c>
      <c r="O397" s="245" t="s">
        <v>1990</v>
      </c>
      <c r="P397" s="245" t="s">
        <v>111</v>
      </c>
      <c r="Q397" s="247">
        <v>1958400</v>
      </c>
      <c r="R397" s="247">
        <v>24190.94</v>
      </c>
      <c r="S397" s="247">
        <v>1401.31</v>
      </c>
      <c r="T397" s="245" t="s">
        <v>1991</v>
      </c>
      <c r="U397" s="245" t="s">
        <v>2153</v>
      </c>
      <c r="V397" s="241" t="s">
        <v>1963</v>
      </c>
      <c r="W397" s="241" t="s">
        <v>100</v>
      </c>
      <c r="X397" s="241" t="s">
        <v>2156</v>
      </c>
    </row>
    <row r="398" spans="1:24" ht="13.5" customHeight="1" x14ac:dyDescent="0.3">
      <c r="A398" s="245" t="s">
        <v>2154</v>
      </c>
      <c r="B398" s="246">
        <v>46081</v>
      </c>
      <c r="C398" s="245"/>
      <c r="D398" s="245"/>
      <c r="E398" s="245"/>
      <c r="F398" s="245"/>
      <c r="G398" s="245" t="s">
        <v>2935</v>
      </c>
      <c r="H398" s="245" t="s">
        <v>2323</v>
      </c>
      <c r="I398" s="245" t="s">
        <v>2206</v>
      </c>
      <c r="J398" s="245" t="s">
        <v>2936</v>
      </c>
      <c r="K398" s="245" t="s">
        <v>2937</v>
      </c>
      <c r="L398" s="246">
        <v>46081</v>
      </c>
      <c r="M398" s="245" t="s">
        <v>2206</v>
      </c>
      <c r="N398" s="245" t="s">
        <v>2161</v>
      </c>
      <c r="O398" s="245" t="s">
        <v>2162</v>
      </c>
      <c r="P398" s="245" t="s">
        <v>111</v>
      </c>
      <c r="Q398" s="247">
        <v>-437771.52000000002</v>
      </c>
      <c r="R398" s="247">
        <v>-5407.53</v>
      </c>
      <c r="S398" s="247">
        <v>-313.24</v>
      </c>
      <c r="T398" s="245" t="s">
        <v>1991</v>
      </c>
      <c r="U398" s="245" t="s">
        <v>2153</v>
      </c>
      <c r="V398" s="241" t="s">
        <v>1963</v>
      </c>
      <c r="W398" s="241" t="s">
        <v>100</v>
      </c>
      <c r="X398" s="241" t="s">
        <v>2156</v>
      </c>
    </row>
    <row r="399" spans="1:24" ht="13.5" customHeight="1" x14ac:dyDescent="0.3">
      <c r="A399" s="245" t="s">
        <v>2154</v>
      </c>
      <c r="B399" s="246">
        <v>46081</v>
      </c>
      <c r="C399" s="245"/>
      <c r="D399" s="245"/>
      <c r="E399" s="245"/>
      <c r="F399" s="245"/>
      <c r="G399" s="245" t="s">
        <v>2938</v>
      </c>
      <c r="H399" s="245" t="s">
        <v>2333</v>
      </c>
      <c r="I399" s="245" t="s">
        <v>2205</v>
      </c>
      <c r="J399" s="245" t="s">
        <v>2939</v>
      </c>
      <c r="K399" s="245" t="s">
        <v>2940</v>
      </c>
      <c r="L399" s="246">
        <v>46081</v>
      </c>
      <c r="M399" s="245" t="s">
        <v>2205</v>
      </c>
      <c r="N399" s="245" t="s">
        <v>2155</v>
      </c>
      <c r="O399" s="245" t="s">
        <v>1990</v>
      </c>
      <c r="P399" s="245" t="s">
        <v>111</v>
      </c>
      <c r="Q399" s="247">
        <v>2496960</v>
      </c>
      <c r="R399" s="247">
        <v>30843.439999999999</v>
      </c>
      <c r="S399" s="247">
        <v>1786.66</v>
      </c>
      <c r="T399" s="245" t="s">
        <v>1991</v>
      </c>
      <c r="U399" s="245" t="s">
        <v>2153</v>
      </c>
      <c r="V399" s="241" t="s">
        <v>1963</v>
      </c>
      <c r="W399" s="241" t="s">
        <v>100</v>
      </c>
      <c r="X399" s="241" t="s">
        <v>2156</v>
      </c>
    </row>
    <row r="400" spans="1:24" ht="13.5" customHeight="1" x14ac:dyDescent="0.3">
      <c r="A400" s="245" t="s">
        <v>2154</v>
      </c>
      <c r="B400" s="246">
        <v>46081</v>
      </c>
      <c r="C400" s="245"/>
      <c r="D400" s="245"/>
      <c r="E400" s="245"/>
      <c r="F400" s="245"/>
      <c r="G400" s="245" t="s">
        <v>2938</v>
      </c>
      <c r="H400" s="245" t="s">
        <v>2333</v>
      </c>
      <c r="I400" s="245" t="s">
        <v>2206</v>
      </c>
      <c r="J400" s="245" t="s">
        <v>2939</v>
      </c>
      <c r="K400" s="245" t="s">
        <v>2940</v>
      </c>
      <c r="L400" s="246">
        <v>46081</v>
      </c>
      <c r="M400" s="245" t="s">
        <v>2206</v>
      </c>
      <c r="N400" s="245" t="s">
        <v>2161</v>
      </c>
      <c r="O400" s="245" t="s">
        <v>2162</v>
      </c>
      <c r="P400" s="245" t="s">
        <v>111</v>
      </c>
      <c r="Q400" s="247">
        <v>-558158.68999999994</v>
      </c>
      <c r="R400" s="247">
        <v>-6894.6</v>
      </c>
      <c r="S400" s="247">
        <v>-399.38</v>
      </c>
      <c r="T400" s="245" t="s">
        <v>1991</v>
      </c>
      <c r="U400" s="245" t="s">
        <v>2153</v>
      </c>
      <c r="V400" s="241" t="s">
        <v>1963</v>
      </c>
      <c r="W400" s="241" t="s">
        <v>100</v>
      </c>
      <c r="X400" s="241" t="s">
        <v>2156</v>
      </c>
    </row>
    <row r="401" spans="1:24" ht="13.5" customHeight="1" x14ac:dyDescent="0.3">
      <c r="A401" s="245" t="s">
        <v>2154</v>
      </c>
      <c r="B401" s="246">
        <v>46081</v>
      </c>
      <c r="C401" s="245"/>
      <c r="D401" s="245"/>
      <c r="E401" s="245"/>
      <c r="F401" s="245"/>
      <c r="G401" s="245" t="s">
        <v>2941</v>
      </c>
      <c r="H401" s="245" t="s">
        <v>2335</v>
      </c>
      <c r="I401" s="245" t="s">
        <v>2205</v>
      </c>
      <c r="J401" s="245" t="s">
        <v>2942</v>
      </c>
      <c r="K401" s="245" t="s">
        <v>2943</v>
      </c>
      <c r="L401" s="246">
        <v>46081</v>
      </c>
      <c r="M401" s="245" t="s">
        <v>2205</v>
      </c>
      <c r="N401" s="245" t="s">
        <v>2155</v>
      </c>
      <c r="O401" s="245" t="s">
        <v>1990</v>
      </c>
      <c r="P401" s="245" t="s">
        <v>111</v>
      </c>
      <c r="Q401" s="247">
        <v>3996239.97</v>
      </c>
      <c r="R401" s="247">
        <v>49363.15</v>
      </c>
      <c r="S401" s="247">
        <v>2859.45</v>
      </c>
      <c r="T401" s="245" t="s">
        <v>1991</v>
      </c>
      <c r="U401" s="245" t="s">
        <v>2153</v>
      </c>
      <c r="V401" s="241" t="s">
        <v>1963</v>
      </c>
      <c r="W401" s="241" t="s">
        <v>100</v>
      </c>
      <c r="X401" s="241" t="s">
        <v>2156</v>
      </c>
    </row>
    <row r="402" spans="1:24" ht="13.5" customHeight="1" x14ac:dyDescent="0.3">
      <c r="A402" s="245" t="s">
        <v>2154</v>
      </c>
      <c r="B402" s="246">
        <v>46081</v>
      </c>
      <c r="C402" s="245"/>
      <c r="D402" s="245"/>
      <c r="E402" s="245"/>
      <c r="F402" s="245"/>
      <c r="G402" s="245" t="s">
        <v>2941</v>
      </c>
      <c r="H402" s="245" t="s">
        <v>2335</v>
      </c>
      <c r="I402" s="245" t="s">
        <v>2206</v>
      </c>
      <c r="J402" s="245" t="s">
        <v>2942</v>
      </c>
      <c r="K402" s="245" t="s">
        <v>2943</v>
      </c>
      <c r="L402" s="246">
        <v>46081</v>
      </c>
      <c r="M402" s="245" t="s">
        <v>2206</v>
      </c>
      <c r="N402" s="245" t="s">
        <v>2161</v>
      </c>
      <c r="O402" s="245" t="s">
        <v>2162</v>
      </c>
      <c r="P402" s="245" t="s">
        <v>111</v>
      </c>
      <c r="Q402" s="247">
        <v>-893300.68</v>
      </c>
      <c r="R402" s="247">
        <v>-11034.41</v>
      </c>
      <c r="S402" s="247">
        <v>-639.19000000000005</v>
      </c>
      <c r="T402" s="245" t="s">
        <v>1991</v>
      </c>
      <c r="U402" s="245" t="s">
        <v>2153</v>
      </c>
      <c r="V402" s="241" t="s">
        <v>1963</v>
      </c>
      <c r="W402" s="241" t="s">
        <v>100</v>
      </c>
      <c r="X402" s="241" t="s">
        <v>2156</v>
      </c>
    </row>
    <row r="403" spans="1:24" ht="13.5" customHeight="1" x14ac:dyDescent="0.3">
      <c r="A403" s="245" t="s">
        <v>2154</v>
      </c>
      <c r="B403" s="246">
        <v>46081</v>
      </c>
      <c r="C403" s="245"/>
      <c r="D403" s="245"/>
      <c r="E403" s="245"/>
      <c r="F403" s="245"/>
      <c r="G403" s="245" t="s">
        <v>2157</v>
      </c>
      <c r="H403" s="245" t="s">
        <v>2158</v>
      </c>
      <c r="I403" s="245" t="s">
        <v>2159</v>
      </c>
      <c r="J403" s="245" t="s">
        <v>2944</v>
      </c>
      <c r="K403" s="245" t="s">
        <v>2945</v>
      </c>
      <c r="L403" s="246">
        <v>46081</v>
      </c>
      <c r="M403" s="245" t="s">
        <v>2159</v>
      </c>
      <c r="N403" s="245" t="s">
        <v>2155</v>
      </c>
      <c r="O403" s="245" t="s">
        <v>1990</v>
      </c>
      <c r="P403" s="245" t="s">
        <v>111</v>
      </c>
      <c r="Q403" s="247">
        <v>1107363.68</v>
      </c>
      <c r="R403" s="247">
        <v>13678.59</v>
      </c>
      <c r="S403" s="247">
        <v>792.36</v>
      </c>
      <c r="T403" s="245" t="s">
        <v>1991</v>
      </c>
      <c r="U403" s="245" t="s">
        <v>2153</v>
      </c>
      <c r="V403" s="241" t="s">
        <v>1963</v>
      </c>
      <c r="W403" s="241" t="s">
        <v>93</v>
      </c>
      <c r="X403" s="241" t="s">
        <v>2156</v>
      </c>
    </row>
    <row r="404" spans="1:24" ht="13.5" customHeight="1" x14ac:dyDescent="0.3">
      <c r="A404" s="245" t="s">
        <v>2154</v>
      </c>
      <c r="B404" s="246">
        <v>46081</v>
      </c>
      <c r="C404" s="245"/>
      <c r="D404" s="245"/>
      <c r="E404" s="245"/>
      <c r="F404" s="245"/>
      <c r="G404" s="245" t="s">
        <v>2157</v>
      </c>
      <c r="H404" s="245" t="s">
        <v>2158</v>
      </c>
      <c r="I404" s="245" t="s">
        <v>2160</v>
      </c>
      <c r="J404" s="245" t="s">
        <v>2944</v>
      </c>
      <c r="K404" s="245" t="s">
        <v>2945</v>
      </c>
      <c r="L404" s="246">
        <v>46081</v>
      </c>
      <c r="M404" s="245" t="s">
        <v>2160</v>
      </c>
      <c r="N404" s="245" t="s">
        <v>2161</v>
      </c>
      <c r="O404" s="245" t="s">
        <v>2162</v>
      </c>
      <c r="P404" s="245" t="s">
        <v>111</v>
      </c>
      <c r="Q404" s="247">
        <v>-249192.33</v>
      </c>
      <c r="R404" s="247">
        <v>-3078.13</v>
      </c>
      <c r="S404" s="247">
        <v>-178.31</v>
      </c>
      <c r="T404" s="245" t="s">
        <v>1991</v>
      </c>
      <c r="U404" s="245" t="s">
        <v>2153</v>
      </c>
      <c r="V404" s="241" t="s">
        <v>1963</v>
      </c>
      <c r="W404" s="241" t="s">
        <v>93</v>
      </c>
      <c r="X404" s="241" t="s">
        <v>2156</v>
      </c>
    </row>
    <row r="405" spans="1:24" ht="13.5" customHeight="1" x14ac:dyDescent="0.3">
      <c r="A405" s="245" t="s">
        <v>2154</v>
      </c>
      <c r="B405" s="246">
        <v>46081</v>
      </c>
      <c r="C405" s="245"/>
      <c r="D405" s="245"/>
      <c r="E405" s="245"/>
      <c r="F405" s="245"/>
      <c r="G405" s="245" t="s">
        <v>2163</v>
      </c>
      <c r="H405" s="245" t="s">
        <v>2164</v>
      </c>
      <c r="I405" s="245" t="s">
        <v>2159</v>
      </c>
      <c r="J405" s="245" t="s">
        <v>2946</v>
      </c>
      <c r="K405" s="245" t="s">
        <v>2947</v>
      </c>
      <c r="L405" s="246">
        <v>46081</v>
      </c>
      <c r="M405" s="245" t="s">
        <v>2159</v>
      </c>
      <c r="N405" s="245" t="s">
        <v>2155</v>
      </c>
      <c r="O405" s="245" t="s">
        <v>1990</v>
      </c>
      <c r="P405" s="245" t="s">
        <v>111</v>
      </c>
      <c r="Q405" s="247">
        <v>622849.19999999995</v>
      </c>
      <c r="R405" s="247">
        <v>7693.68</v>
      </c>
      <c r="S405" s="247">
        <v>445.67</v>
      </c>
      <c r="T405" s="245" t="s">
        <v>1991</v>
      </c>
      <c r="U405" s="245" t="s">
        <v>2153</v>
      </c>
      <c r="V405" s="241" t="s">
        <v>1963</v>
      </c>
      <c r="W405" s="241" t="s">
        <v>93</v>
      </c>
      <c r="X405" s="241" t="s">
        <v>2156</v>
      </c>
    </row>
    <row r="406" spans="1:24" ht="13.5" customHeight="1" x14ac:dyDescent="0.3">
      <c r="A406" s="245" t="s">
        <v>2154</v>
      </c>
      <c r="B406" s="246">
        <v>46081</v>
      </c>
      <c r="C406" s="245"/>
      <c r="D406" s="245"/>
      <c r="E406" s="245"/>
      <c r="F406" s="245"/>
      <c r="G406" s="245" t="s">
        <v>2163</v>
      </c>
      <c r="H406" s="245" t="s">
        <v>2164</v>
      </c>
      <c r="I406" s="245" t="s">
        <v>2160</v>
      </c>
      <c r="J406" s="245" t="s">
        <v>2946</v>
      </c>
      <c r="K406" s="245" t="s">
        <v>2947</v>
      </c>
      <c r="L406" s="246">
        <v>46081</v>
      </c>
      <c r="M406" s="245" t="s">
        <v>2160</v>
      </c>
      <c r="N406" s="245" t="s">
        <v>2161</v>
      </c>
      <c r="O406" s="245" t="s">
        <v>2162</v>
      </c>
      <c r="P406" s="245" t="s">
        <v>111</v>
      </c>
      <c r="Q406" s="247">
        <v>-140161.03</v>
      </c>
      <c r="R406" s="247">
        <v>-1731.32</v>
      </c>
      <c r="S406" s="247">
        <v>-100.29</v>
      </c>
      <c r="T406" s="245" t="s">
        <v>1991</v>
      </c>
      <c r="U406" s="245" t="s">
        <v>2153</v>
      </c>
      <c r="V406" s="241" t="s">
        <v>1963</v>
      </c>
      <c r="W406" s="241" t="s">
        <v>93</v>
      </c>
      <c r="X406" s="241" t="s">
        <v>2156</v>
      </c>
    </row>
    <row r="407" spans="1:24" ht="13.5" customHeight="1" x14ac:dyDescent="0.3">
      <c r="A407" s="245" t="s">
        <v>2154</v>
      </c>
      <c r="B407" s="246">
        <v>46081</v>
      </c>
      <c r="C407" s="245"/>
      <c r="D407" s="245"/>
      <c r="E407" s="245"/>
      <c r="F407" s="245"/>
      <c r="G407" s="245" t="s">
        <v>2165</v>
      </c>
      <c r="H407" s="245" t="s">
        <v>2166</v>
      </c>
      <c r="I407" s="245" t="s">
        <v>2159</v>
      </c>
      <c r="J407" s="245" t="s">
        <v>2948</v>
      </c>
      <c r="K407" s="245" t="s">
        <v>2949</v>
      </c>
      <c r="L407" s="246">
        <v>46081</v>
      </c>
      <c r="M407" s="245" t="s">
        <v>2159</v>
      </c>
      <c r="N407" s="245" t="s">
        <v>2155</v>
      </c>
      <c r="O407" s="245" t="s">
        <v>1990</v>
      </c>
      <c r="P407" s="245" t="s">
        <v>111</v>
      </c>
      <c r="Q407" s="247">
        <v>71769.960000000006</v>
      </c>
      <c r="R407" s="247">
        <v>886.53</v>
      </c>
      <c r="S407" s="247">
        <v>51.35</v>
      </c>
      <c r="T407" s="245" t="s">
        <v>1991</v>
      </c>
      <c r="U407" s="245" t="s">
        <v>2153</v>
      </c>
      <c r="V407" s="241" t="s">
        <v>1963</v>
      </c>
      <c r="W407" s="241" t="s">
        <v>93</v>
      </c>
      <c r="X407" s="241" t="s">
        <v>2156</v>
      </c>
    </row>
    <row r="408" spans="1:24" ht="13.5" customHeight="1" x14ac:dyDescent="0.3">
      <c r="A408" s="245" t="s">
        <v>2154</v>
      </c>
      <c r="B408" s="246">
        <v>46081</v>
      </c>
      <c r="C408" s="245"/>
      <c r="D408" s="245"/>
      <c r="E408" s="245"/>
      <c r="F408" s="245"/>
      <c r="G408" s="245" t="s">
        <v>2165</v>
      </c>
      <c r="H408" s="245" t="s">
        <v>2166</v>
      </c>
      <c r="I408" s="245" t="s">
        <v>2160</v>
      </c>
      <c r="J408" s="245" t="s">
        <v>2948</v>
      </c>
      <c r="K408" s="245" t="s">
        <v>2949</v>
      </c>
      <c r="L408" s="246">
        <v>46081</v>
      </c>
      <c r="M408" s="245" t="s">
        <v>2160</v>
      </c>
      <c r="N408" s="245" t="s">
        <v>2161</v>
      </c>
      <c r="O408" s="245" t="s">
        <v>2162</v>
      </c>
      <c r="P408" s="245" t="s">
        <v>111</v>
      </c>
      <c r="Q408" s="247">
        <v>-16150.54</v>
      </c>
      <c r="R408" s="247">
        <v>-199.5</v>
      </c>
      <c r="S408" s="247">
        <v>-11.56</v>
      </c>
      <c r="T408" s="245" t="s">
        <v>1991</v>
      </c>
      <c r="U408" s="245" t="s">
        <v>2153</v>
      </c>
      <c r="V408" s="241" t="s">
        <v>1963</v>
      </c>
      <c r="W408" s="241" t="s">
        <v>93</v>
      </c>
      <c r="X408" s="241" t="s">
        <v>2156</v>
      </c>
    </row>
    <row r="409" spans="1:24" ht="13.5" customHeight="1" x14ac:dyDescent="0.3">
      <c r="A409" s="245" t="s">
        <v>2154</v>
      </c>
      <c r="B409" s="246">
        <v>46081</v>
      </c>
      <c r="C409" s="245"/>
      <c r="D409" s="245"/>
      <c r="E409" s="245"/>
      <c r="F409" s="245"/>
      <c r="G409" s="245" t="s">
        <v>2167</v>
      </c>
      <c r="H409" s="245" t="s">
        <v>2168</v>
      </c>
      <c r="I409" s="245" t="s">
        <v>2159</v>
      </c>
      <c r="J409" s="245" t="s">
        <v>2950</v>
      </c>
      <c r="K409" s="245" t="s">
        <v>2951</v>
      </c>
      <c r="L409" s="246">
        <v>46081</v>
      </c>
      <c r="M409" s="245" t="s">
        <v>2159</v>
      </c>
      <c r="N409" s="245" t="s">
        <v>2155</v>
      </c>
      <c r="O409" s="245" t="s">
        <v>1990</v>
      </c>
      <c r="P409" s="245" t="s">
        <v>111</v>
      </c>
      <c r="Q409" s="247">
        <v>1582075.59</v>
      </c>
      <c r="R409" s="247">
        <v>19542.43</v>
      </c>
      <c r="S409" s="247">
        <v>1132.03</v>
      </c>
      <c r="T409" s="245" t="s">
        <v>1991</v>
      </c>
      <c r="U409" s="245" t="s">
        <v>2153</v>
      </c>
      <c r="V409" s="241" t="s">
        <v>1963</v>
      </c>
      <c r="W409" s="241" t="s">
        <v>93</v>
      </c>
      <c r="X409" s="241" t="s">
        <v>2156</v>
      </c>
    </row>
    <row r="410" spans="1:24" ht="13.5" customHeight="1" x14ac:dyDescent="0.3">
      <c r="A410" s="245" t="s">
        <v>2154</v>
      </c>
      <c r="B410" s="246">
        <v>46081</v>
      </c>
      <c r="C410" s="245"/>
      <c r="D410" s="245"/>
      <c r="E410" s="245"/>
      <c r="F410" s="245"/>
      <c r="G410" s="245" t="s">
        <v>2167</v>
      </c>
      <c r="H410" s="245" t="s">
        <v>2168</v>
      </c>
      <c r="I410" s="245" t="s">
        <v>2160</v>
      </c>
      <c r="J410" s="245" t="s">
        <v>2950</v>
      </c>
      <c r="K410" s="245" t="s">
        <v>2951</v>
      </c>
      <c r="L410" s="246">
        <v>46081</v>
      </c>
      <c r="M410" s="245" t="s">
        <v>2160</v>
      </c>
      <c r="N410" s="245" t="s">
        <v>2161</v>
      </c>
      <c r="O410" s="245" t="s">
        <v>2162</v>
      </c>
      <c r="P410" s="245" t="s">
        <v>111</v>
      </c>
      <c r="Q410" s="247">
        <v>-356017.72</v>
      </c>
      <c r="R410" s="247">
        <v>-4397.67</v>
      </c>
      <c r="S410" s="247">
        <v>-254.74</v>
      </c>
      <c r="T410" s="245" t="s">
        <v>1991</v>
      </c>
      <c r="U410" s="245" t="s">
        <v>2153</v>
      </c>
      <c r="V410" s="241" t="s">
        <v>1963</v>
      </c>
      <c r="W410" s="241" t="s">
        <v>93</v>
      </c>
      <c r="X410" s="241" t="s">
        <v>2156</v>
      </c>
    </row>
    <row r="411" spans="1:24" ht="13.5" customHeight="1" x14ac:dyDescent="0.3">
      <c r="A411" s="245" t="s">
        <v>2154</v>
      </c>
      <c r="B411" s="246">
        <v>46081</v>
      </c>
      <c r="C411" s="245"/>
      <c r="D411" s="245"/>
      <c r="E411" s="245"/>
      <c r="F411" s="245"/>
      <c r="G411" s="245" t="s">
        <v>2169</v>
      </c>
      <c r="H411" s="245" t="s">
        <v>2170</v>
      </c>
      <c r="I411" s="245" t="s">
        <v>2171</v>
      </c>
      <c r="J411" s="245" t="s">
        <v>2952</v>
      </c>
      <c r="K411" s="245" t="s">
        <v>2953</v>
      </c>
      <c r="L411" s="246">
        <v>46081</v>
      </c>
      <c r="M411" s="245" t="s">
        <v>2171</v>
      </c>
      <c r="N411" s="245" t="s">
        <v>2161</v>
      </c>
      <c r="O411" s="245" t="s">
        <v>2162</v>
      </c>
      <c r="P411" s="245" t="s">
        <v>95</v>
      </c>
      <c r="Q411" s="247">
        <v>-329.38</v>
      </c>
      <c r="R411" s="247">
        <v>-5683.88</v>
      </c>
      <c r="S411" s="247">
        <v>-329.38</v>
      </c>
      <c r="T411" s="245" t="s">
        <v>1991</v>
      </c>
      <c r="U411" s="245" t="s">
        <v>2153</v>
      </c>
      <c r="V411" s="241" t="s">
        <v>1963</v>
      </c>
      <c r="W411" s="241" t="s">
        <v>93</v>
      </c>
      <c r="X411" s="241" t="s">
        <v>2156</v>
      </c>
    </row>
    <row r="412" spans="1:24" ht="13.5" customHeight="1" x14ac:dyDescent="0.3">
      <c r="A412" s="245" t="s">
        <v>2154</v>
      </c>
      <c r="B412" s="246">
        <v>46081</v>
      </c>
      <c r="C412" s="245"/>
      <c r="D412" s="245"/>
      <c r="E412" s="245"/>
      <c r="F412" s="245"/>
      <c r="G412" s="245" t="s">
        <v>2169</v>
      </c>
      <c r="H412" s="245" t="s">
        <v>2170</v>
      </c>
      <c r="I412" s="245" t="s">
        <v>2172</v>
      </c>
      <c r="J412" s="245" t="s">
        <v>2952</v>
      </c>
      <c r="K412" s="245" t="s">
        <v>2953</v>
      </c>
      <c r="L412" s="246">
        <v>46081</v>
      </c>
      <c r="M412" s="245" t="s">
        <v>2172</v>
      </c>
      <c r="N412" s="245" t="s">
        <v>2155</v>
      </c>
      <c r="O412" s="245" t="s">
        <v>1990</v>
      </c>
      <c r="P412" s="245" t="s">
        <v>95</v>
      </c>
      <c r="Q412" s="247">
        <v>1463.7</v>
      </c>
      <c r="R412" s="247">
        <v>25258.05</v>
      </c>
      <c r="S412" s="247">
        <v>1463.7</v>
      </c>
      <c r="T412" s="245" t="s">
        <v>1991</v>
      </c>
      <c r="U412" s="245" t="s">
        <v>2153</v>
      </c>
      <c r="V412" s="241" t="s">
        <v>1963</v>
      </c>
      <c r="W412" s="241" t="s">
        <v>93</v>
      </c>
      <c r="X412" s="241" t="s">
        <v>2156</v>
      </c>
    </row>
    <row r="413" spans="1:24" ht="13.5" customHeight="1" x14ac:dyDescent="0.3">
      <c r="A413" s="245" t="s">
        <v>2154</v>
      </c>
      <c r="B413" s="246">
        <v>46081</v>
      </c>
      <c r="C413" s="245"/>
      <c r="D413" s="245"/>
      <c r="E413" s="245"/>
      <c r="F413" s="245"/>
      <c r="G413" s="245" t="s">
        <v>2173</v>
      </c>
      <c r="H413" s="245" t="s">
        <v>2174</v>
      </c>
      <c r="I413" s="245" t="s">
        <v>2159</v>
      </c>
      <c r="J413" s="245" t="s">
        <v>2954</v>
      </c>
      <c r="K413" s="245" t="s">
        <v>2955</v>
      </c>
      <c r="L413" s="246">
        <v>46081</v>
      </c>
      <c r="M413" s="245" t="s">
        <v>2159</v>
      </c>
      <c r="N413" s="245" t="s">
        <v>2155</v>
      </c>
      <c r="O413" s="245" t="s">
        <v>1990</v>
      </c>
      <c r="P413" s="245" t="s">
        <v>111</v>
      </c>
      <c r="Q413" s="247">
        <v>3205772.68</v>
      </c>
      <c r="R413" s="247">
        <v>39598.980000000003</v>
      </c>
      <c r="S413" s="247">
        <v>2293.85</v>
      </c>
      <c r="T413" s="245" t="s">
        <v>1991</v>
      </c>
      <c r="U413" s="245" t="s">
        <v>2153</v>
      </c>
      <c r="V413" s="241" t="s">
        <v>1963</v>
      </c>
      <c r="W413" s="241" t="s">
        <v>93</v>
      </c>
      <c r="X413" s="241" t="s">
        <v>2156</v>
      </c>
    </row>
    <row r="414" spans="1:24" ht="13.5" customHeight="1" x14ac:dyDescent="0.3">
      <c r="A414" s="245" t="s">
        <v>2154</v>
      </c>
      <c r="B414" s="246">
        <v>46081</v>
      </c>
      <c r="C414" s="245"/>
      <c r="D414" s="245"/>
      <c r="E414" s="245"/>
      <c r="F414" s="245"/>
      <c r="G414" s="245" t="s">
        <v>2173</v>
      </c>
      <c r="H414" s="245" t="s">
        <v>2174</v>
      </c>
      <c r="I414" s="245" t="s">
        <v>2160</v>
      </c>
      <c r="J414" s="245" t="s">
        <v>2954</v>
      </c>
      <c r="K414" s="245" t="s">
        <v>2955</v>
      </c>
      <c r="L414" s="246">
        <v>46081</v>
      </c>
      <c r="M414" s="245" t="s">
        <v>2160</v>
      </c>
      <c r="N414" s="245" t="s">
        <v>2161</v>
      </c>
      <c r="O414" s="245" t="s">
        <v>2162</v>
      </c>
      <c r="P414" s="245" t="s">
        <v>111</v>
      </c>
      <c r="Q414" s="247">
        <v>-721401.6</v>
      </c>
      <c r="R414" s="247">
        <v>-8911.0400000000009</v>
      </c>
      <c r="S414" s="247">
        <v>-516.19000000000005</v>
      </c>
      <c r="T414" s="245" t="s">
        <v>1991</v>
      </c>
      <c r="U414" s="245" t="s">
        <v>2153</v>
      </c>
      <c r="V414" s="241" t="s">
        <v>1963</v>
      </c>
      <c r="W414" s="241" t="s">
        <v>93</v>
      </c>
      <c r="X414" s="241" t="s">
        <v>2156</v>
      </c>
    </row>
    <row r="415" spans="1:24" ht="13.5" customHeight="1" x14ac:dyDescent="0.3">
      <c r="A415" s="245" t="s">
        <v>2154</v>
      </c>
      <c r="B415" s="246">
        <v>46081</v>
      </c>
      <c r="C415" s="245"/>
      <c r="D415" s="245"/>
      <c r="E415" s="245"/>
      <c r="F415" s="245"/>
      <c r="G415" s="245" t="s">
        <v>2175</v>
      </c>
      <c r="H415" s="245" t="s">
        <v>2176</v>
      </c>
      <c r="I415" s="245" t="s">
        <v>2159</v>
      </c>
      <c r="J415" s="245" t="s">
        <v>2956</v>
      </c>
      <c r="K415" s="245" t="s">
        <v>2957</v>
      </c>
      <c r="L415" s="246">
        <v>46081</v>
      </c>
      <c r="M415" s="245" t="s">
        <v>2159</v>
      </c>
      <c r="N415" s="245" t="s">
        <v>2155</v>
      </c>
      <c r="O415" s="245" t="s">
        <v>1990</v>
      </c>
      <c r="P415" s="245" t="s">
        <v>111</v>
      </c>
      <c r="Q415" s="247">
        <v>5861039.4400000004</v>
      </c>
      <c r="R415" s="247">
        <v>72397.89</v>
      </c>
      <c r="S415" s="247">
        <v>4193.78</v>
      </c>
      <c r="T415" s="245" t="s">
        <v>1991</v>
      </c>
      <c r="U415" s="245" t="s">
        <v>2153</v>
      </c>
      <c r="V415" s="241" t="s">
        <v>1963</v>
      </c>
      <c r="W415" s="241" t="s">
        <v>93</v>
      </c>
      <c r="X415" s="241" t="s">
        <v>2156</v>
      </c>
    </row>
    <row r="416" spans="1:24" ht="13.5" customHeight="1" x14ac:dyDescent="0.3">
      <c r="A416" s="245" t="s">
        <v>2154</v>
      </c>
      <c r="B416" s="246">
        <v>46081</v>
      </c>
      <c r="C416" s="245"/>
      <c r="D416" s="245"/>
      <c r="E416" s="245"/>
      <c r="F416" s="245"/>
      <c r="G416" s="245" t="s">
        <v>2175</v>
      </c>
      <c r="H416" s="245" t="s">
        <v>2176</v>
      </c>
      <c r="I416" s="245" t="s">
        <v>2160</v>
      </c>
      <c r="J416" s="245" t="s">
        <v>2956</v>
      </c>
      <c r="K416" s="245" t="s">
        <v>2957</v>
      </c>
      <c r="L416" s="246">
        <v>46081</v>
      </c>
      <c r="M416" s="245" t="s">
        <v>2160</v>
      </c>
      <c r="N416" s="245" t="s">
        <v>2161</v>
      </c>
      <c r="O416" s="245" t="s">
        <v>2162</v>
      </c>
      <c r="P416" s="245" t="s">
        <v>111</v>
      </c>
      <c r="Q416" s="247">
        <v>-1318921.73</v>
      </c>
      <c r="R416" s="247">
        <v>-16291.85</v>
      </c>
      <c r="S416" s="247">
        <v>-943.74</v>
      </c>
      <c r="T416" s="245" t="s">
        <v>1991</v>
      </c>
      <c r="U416" s="245" t="s">
        <v>2153</v>
      </c>
      <c r="V416" s="241" t="s">
        <v>1963</v>
      </c>
      <c r="W416" s="241" t="s">
        <v>93</v>
      </c>
      <c r="X416" s="241" t="s">
        <v>2156</v>
      </c>
    </row>
    <row r="417" spans="1:24" ht="13.5" customHeight="1" x14ac:dyDescent="0.3">
      <c r="A417" s="245" t="s">
        <v>2154</v>
      </c>
      <c r="B417" s="246">
        <v>46081</v>
      </c>
      <c r="C417" s="245"/>
      <c r="D417" s="245"/>
      <c r="E417" s="245"/>
      <c r="F417" s="245"/>
      <c r="G417" s="245" t="s">
        <v>2177</v>
      </c>
      <c r="H417" s="245" t="s">
        <v>2178</v>
      </c>
      <c r="I417" s="245" t="s">
        <v>2159</v>
      </c>
      <c r="J417" s="245" t="s">
        <v>2958</v>
      </c>
      <c r="K417" s="245" t="s">
        <v>2959</v>
      </c>
      <c r="L417" s="246">
        <v>46081</v>
      </c>
      <c r="M417" s="245" t="s">
        <v>2159</v>
      </c>
      <c r="N417" s="245" t="s">
        <v>2155</v>
      </c>
      <c r="O417" s="245" t="s">
        <v>1990</v>
      </c>
      <c r="P417" s="245" t="s">
        <v>111</v>
      </c>
      <c r="Q417" s="247">
        <v>6068387.0800000001</v>
      </c>
      <c r="R417" s="247">
        <v>74959.13</v>
      </c>
      <c r="S417" s="247">
        <v>4342.1499999999996</v>
      </c>
      <c r="T417" s="245" t="s">
        <v>1991</v>
      </c>
      <c r="U417" s="245" t="s">
        <v>2153</v>
      </c>
      <c r="V417" s="241" t="s">
        <v>1963</v>
      </c>
      <c r="W417" s="241" t="s">
        <v>93</v>
      </c>
      <c r="X417" s="241" t="s">
        <v>2156</v>
      </c>
    </row>
    <row r="418" spans="1:24" ht="13.5" customHeight="1" x14ac:dyDescent="0.3">
      <c r="A418" s="245" t="s">
        <v>2154</v>
      </c>
      <c r="B418" s="246">
        <v>46081</v>
      </c>
      <c r="C418" s="245"/>
      <c r="D418" s="245"/>
      <c r="E418" s="245"/>
      <c r="F418" s="245"/>
      <c r="G418" s="245" t="s">
        <v>2177</v>
      </c>
      <c r="H418" s="245" t="s">
        <v>2178</v>
      </c>
      <c r="I418" s="245" t="s">
        <v>2160</v>
      </c>
      <c r="J418" s="245" t="s">
        <v>2958</v>
      </c>
      <c r="K418" s="245" t="s">
        <v>2959</v>
      </c>
      <c r="L418" s="246">
        <v>46081</v>
      </c>
      <c r="M418" s="245" t="s">
        <v>2160</v>
      </c>
      <c r="N418" s="245" t="s">
        <v>2161</v>
      </c>
      <c r="O418" s="245" t="s">
        <v>2162</v>
      </c>
      <c r="P418" s="245" t="s">
        <v>111</v>
      </c>
      <c r="Q418" s="247">
        <v>-1365581.59</v>
      </c>
      <c r="R418" s="247">
        <v>-16868.21</v>
      </c>
      <c r="S418" s="247">
        <v>-977.12</v>
      </c>
      <c r="T418" s="245" t="s">
        <v>1991</v>
      </c>
      <c r="U418" s="245" t="s">
        <v>2153</v>
      </c>
      <c r="V418" s="241" t="s">
        <v>1963</v>
      </c>
      <c r="W418" s="241" t="s">
        <v>93</v>
      </c>
      <c r="X418" s="241" t="s">
        <v>2156</v>
      </c>
    </row>
    <row r="419" spans="1:24" ht="13.5" customHeight="1" x14ac:dyDescent="0.3">
      <c r="A419" s="245" t="s">
        <v>2154</v>
      </c>
      <c r="B419" s="246">
        <v>46081</v>
      </c>
      <c r="C419" s="245"/>
      <c r="D419" s="245"/>
      <c r="E419" s="245"/>
      <c r="F419" s="245"/>
      <c r="G419" s="245" t="s">
        <v>2179</v>
      </c>
      <c r="H419" s="245" t="s">
        <v>2180</v>
      </c>
      <c r="I419" s="245" t="s">
        <v>2159</v>
      </c>
      <c r="J419" s="245" t="s">
        <v>2960</v>
      </c>
      <c r="K419" s="245" t="s">
        <v>2961</v>
      </c>
      <c r="L419" s="246">
        <v>46081</v>
      </c>
      <c r="M419" s="245" t="s">
        <v>2159</v>
      </c>
      <c r="N419" s="245" t="s">
        <v>2155</v>
      </c>
      <c r="O419" s="245" t="s">
        <v>1990</v>
      </c>
      <c r="P419" s="245" t="s">
        <v>111</v>
      </c>
      <c r="Q419" s="247">
        <v>1287837.94</v>
      </c>
      <c r="R419" s="247">
        <v>15907.89</v>
      </c>
      <c r="S419" s="247">
        <v>921.49</v>
      </c>
      <c r="T419" s="245" t="s">
        <v>1991</v>
      </c>
      <c r="U419" s="245" t="s">
        <v>2153</v>
      </c>
      <c r="V419" s="241" t="s">
        <v>1963</v>
      </c>
      <c r="W419" s="241" t="s">
        <v>93</v>
      </c>
      <c r="X419" s="241" t="s">
        <v>2156</v>
      </c>
    </row>
    <row r="420" spans="1:24" ht="13.5" customHeight="1" x14ac:dyDescent="0.3">
      <c r="A420" s="245" t="s">
        <v>2154</v>
      </c>
      <c r="B420" s="246">
        <v>46081</v>
      </c>
      <c r="C420" s="245"/>
      <c r="D420" s="245"/>
      <c r="E420" s="245"/>
      <c r="F420" s="245"/>
      <c r="G420" s="245" t="s">
        <v>2179</v>
      </c>
      <c r="H420" s="245" t="s">
        <v>2180</v>
      </c>
      <c r="I420" s="245" t="s">
        <v>2160</v>
      </c>
      <c r="J420" s="245" t="s">
        <v>2960</v>
      </c>
      <c r="K420" s="245" t="s">
        <v>2961</v>
      </c>
      <c r="L420" s="246">
        <v>46081</v>
      </c>
      <c r="M420" s="245" t="s">
        <v>2160</v>
      </c>
      <c r="N420" s="245" t="s">
        <v>2161</v>
      </c>
      <c r="O420" s="245" t="s">
        <v>2162</v>
      </c>
      <c r="P420" s="245" t="s">
        <v>111</v>
      </c>
      <c r="Q420" s="247">
        <v>-289804.81</v>
      </c>
      <c r="R420" s="247">
        <v>-3579.78</v>
      </c>
      <c r="S420" s="247">
        <v>-207.37</v>
      </c>
      <c r="T420" s="245" t="s">
        <v>1991</v>
      </c>
      <c r="U420" s="245" t="s">
        <v>2153</v>
      </c>
      <c r="V420" s="241" t="s">
        <v>1963</v>
      </c>
      <c r="W420" s="241" t="s">
        <v>93</v>
      </c>
      <c r="X420" s="241" t="s">
        <v>2156</v>
      </c>
    </row>
    <row r="421" spans="1:24" ht="13.5" customHeight="1" x14ac:dyDescent="0.3">
      <c r="A421" s="245" t="s">
        <v>2154</v>
      </c>
      <c r="B421" s="246">
        <v>46081</v>
      </c>
      <c r="C421" s="245"/>
      <c r="D421" s="245"/>
      <c r="E421" s="245"/>
      <c r="F421" s="245"/>
      <c r="G421" s="245" t="s">
        <v>2181</v>
      </c>
      <c r="H421" s="245" t="s">
        <v>2182</v>
      </c>
      <c r="I421" s="245" t="s">
        <v>2159</v>
      </c>
      <c r="J421" s="245" t="s">
        <v>2962</v>
      </c>
      <c r="K421" s="245" t="s">
        <v>2963</v>
      </c>
      <c r="L421" s="246">
        <v>46081</v>
      </c>
      <c r="M421" s="245" t="s">
        <v>2159</v>
      </c>
      <c r="N421" s="245" t="s">
        <v>2155</v>
      </c>
      <c r="O421" s="245" t="s">
        <v>1990</v>
      </c>
      <c r="P421" s="245" t="s">
        <v>111</v>
      </c>
      <c r="Q421" s="247">
        <v>6233371.4100000001</v>
      </c>
      <c r="R421" s="247">
        <v>76997.08</v>
      </c>
      <c r="S421" s="247">
        <v>4460.2</v>
      </c>
      <c r="T421" s="245" t="s">
        <v>1991</v>
      </c>
      <c r="U421" s="245" t="s">
        <v>2153</v>
      </c>
      <c r="V421" s="241" t="s">
        <v>1963</v>
      </c>
      <c r="W421" s="241" t="s">
        <v>93</v>
      </c>
      <c r="X421" s="241" t="s">
        <v>2156</v>
      </c>
    </row>
    <row r="422" spans="1:24" ht="13.5" customHeight="1" x14ac:dyDescent="0.3">
      <c r="A422" s="245" t="s">
        <v>2154</v>
      </c>
      <c r="B422" s="246">
        <v>46081</v>
      </c>
      <c r="C422" s="245"/>
      <c r="D422" s="245"/>
      <c r="E422" s="245"/>
      <c r="F422" s="245"/>
      <c r="G422" s="245" t="s">
        <v>2181</v>
      </c>
      <c r="H422" s="245" t="s">
        <v>2182</v>
      </c>
      <c r="I422" s="245" t="s">
        <v>2160</v>
      </c>
      <c r="J422" s="245" t="s">
        <v>2962</v>
      </c>
      <c r="K422" s="245" t="s">
        <v>2963</v>
      </c>
      <c r="L422" s="246">
        <v>46081</v>
      </c>
      <c r="M422" s="245" t="s">
        <v>2160</v>
      </c>
      <c r="N422" s="245" t="s">
        <v>2161</v>
      </c>
      <c r="O422" s="245" t="s">
        <v>2162</v>
      </c>
      <c r="P422" s="245" t="s">
        <v>111</v>
      </c>
      <c r="Q422" s="247">
        <v>-1402708.36</v>
      </c>
      <c r="R422" s="247">
        <v>-17326.810000000001</v>
      </c>
      <c r="S422" s="247">
        <v>-1003.69</v>
      </c>
      <c r="T422" s="245" t="s">
        <v>1991</v>
      </c>
      <c r="U422" s="245" t="s">
        <v>2153</v>
      </c>
      <c r="V422" s="241" t="s">
        <v>1963</v>
      </c>
      <c r="W422" s="241" t="s">
        <v>93</v>
      </c>
      <c r="X422" s="241" t="s">
        <v>2156</v>
      </c>
    </row>
    <row r="423" spans="1:24" ht="13.5" customHeight="1" x14ac:dyDescent="0.3">
      <c r="A423" s="245" t="s">
        <v>2154</v>
      </c>
      <c r="B423" s="246">
        <v>46081</v>
      </c>
      <c r="C423" s="245"/>
      <c r="D423" s="245"/>
      <c r="E423" s="245"/>
      <c r="F423" s="245"/>
      <c r="G423" s="245" t="s">
        <v>2183</v>
      </c>
      <c r="H423" s="245" t="s">
        <v>2184</v>
      </c>
      <c r="I423" s="245" t="s">
        <v>2159</v>
      </c>
      <c r="J423" s="245" t="s">
        <v>2964</v>
      </c>
      <c r="K423" s="245" t="s">
        <v>2965</v>
      </c>
      <c r="L423" s="246">
        <v>46081</v>
      </c>
      <c r="M423" s="245" t="s">
        <v>2159</v>
      </c>
      <c r="N423" s="245" t="s">
        <v>2155</v>
      </c>
      <c r="O423" s="245" t="s">
        <v>1990</v>
      </c>
      <c r="P423" s="245" t="s">
        <v>111</v>
      </c>
      <c r="Q423" s="247">
        <v>3676110.69</v>
      </c>
      <c r="R423" s="247">
        <v>45408.78</v>
      </c>
      <c r="S423" s="247">
        <v>2630.39</v>
      </c>
      <c r="T423" s="245" t="s">
        <v>1991</v>
      </c>
      <c r="U423" s="245" t="s">
        <v>2153</v>
      </c>
      <c r="V423" s="241" t="s">
        <v>1963</v>
      </c>
      <c r="W423" s="241" t="s">
        <v>93</v>
      </c>
      <c r="X423" s="241" t="s">
        <v>2156</v>
      </c>
    </row>
    <row r="424" spans="1:24" ht="13.5" customHeight="1" x14ac:dyDescent="0.3">
      <c r="A424" s="245" t="s">
        <v>2154</v>
      </c>
      <c r="B424" s="246">
        <v>46081</v>
      </c>
      <c r="C424" s="245"/>
      <c r="D424" s="245"/>
      <c r="E424" s="245"/>
      <c r="F424" s="245"/>
      <c r="G424" s="245" t="s">
        <v>2183</v>
      </c>
      <c r="H424" s="245" t="s">
        <v>2184</v>
      </c>
      <c r="I424" s="245" t="s">
        <v>2160</v>
      </c>
      <c r="J424" s="245" t="s">
        <v>2964</v>
      </c>
      <c r="K424" s="245" t="s">
        <v>2965</v>
      </c>
      <c r="L424" s="246">
        <v>46081</v>
      </c>
      <c r="M424" s="245" t="s">
        <v>2160</v>
      </c>
      <c r="N424" s="245" t="s">
        <v>2161</v>
      </c>
      <c r="O424" s="245" t="s">
        <v>2162</v>
      </c>
      <c r="P424" s="245" t="s">
        <v>111</v>
      </c>
      <c r="Q424" s="247">
        <v>-827242.73</v>
      </c>
      <c r="R424" s="247">
        <v>-10218.43</v>
      </c>
      <c r="S424" s="247">
        <v>-591.91999999999996</v>
      </c>
      <c r="T424" s="245" t="s">
        <v>1991</v>
      </c>
      <c r="U424" s="245" t="s">
        <v>2153</v>
      </c>
      <c r="V424" s="241" t="s">
        <v>1963</v>
      </c>
      <c r="W424" s="241" t="s">
        <v>93</v>
      </c>
      <c r="X424" s="241" t="s">
        <v>2156</v>
      </c>
    </row>
    <row r="425" spans="1:24" ht="13.5" customHeight="1" x14ac:dyDescent="0.3">
      <c r="A425" s="245" t="s">
        <v>2154</v>
      </c>
      <c r="B425" s="246">
        <v>46081</v>
      </c>
      <c r="C425" s="245"/>
      <c r="D425" s="245"/>
      <c r="E425" s="245"/>
      <c r="F425" s="245"/>
      <c r="G425" s="245" t="s">
        <v>2185</v>
      </c>
      <c r="H425" s="245" t="s">
        <v>2186</v>
      </c>
      <c r="I425" s="245" t="s">
        <v>2159</v>
      </c>
      <c r="J425" s="245" t="s">
        <v>2966</v>
      </c>
      <c r="K425" s="245" t="s">
        <v>2967</v>
      </c>
      <c r="L425" s="246">
        <v>46081</v>
      </c>
      <c r="M425" s="245" t="s">
        <v>2159</v>
      </c>
      <c r="N425" s="245" t="s">
        <v>2155</v>
      </c>
      <c r="O425" s="245" t="s">
        <v>1990</v>
      </c>
      <c r="P425" s="245" t="s">
        <v>111</v>
      </c>
      <c r="Q425" s="247">
        <v>3417825.66</v>
      </c>
      <c r="R425" s="247">
        <v>42218.34</v>
      </c>
      <c r="S425" s="247">
        <v>2445.58</v>
      </c>
      <c r="T425" s="245" t="s">
        <v>1991</v>
      </c>
      <c r="U425" s="245" t="s">
        <v>2153</v>
      </c>
      <c r="V425" s="241" t="s">
        <v>1963</v>
      </c>
      <c r="W425" s="241" t="s">
        <v>93</v>
      </c>
      <c r="X425" s="241" t="s">
        <v>2156</v>
      </c>
    </row>
    <row r="426" spans="1:24" ht="13.5" customHeight="1" x14ac:dyDescent="0.3">
      <c r="A426" s="245" t="s">
        <v>2154</v>
      </c>
      <c r="B426" s="246">
        <v>46081</v>
      </c>
      <c r="C426" s="245"/>
      <c r="D426" s="245"/>
      <c r="E426" s="245"/>
      <c r="F426" s="245"/>
      <c r="G426" s="245" t="s">
        <v>2185</v>
      </c>
      <c r="H426" s="245" t="s">
        <v>2186</v>
      </c>
      <c r="I426" s="245" t="s">
        <v>2160</v>
      </c>
      <c r="J426" s="245" t="s">
        <v>2966</v>
      </c>
      <c r="K426" s="245" t="s">
        <v>2967</v>
      </c>
      <c r="L426" s="246">
        <v>46081</v>
      </c>
      <c r="M426" s="245" t="s">
        <v>2160</v>
      </c>
      <c r="N426" s="245" t="s">
        <v>2161</v>
      </c>
      <c r="O426" s="245" t="s">
        <v>2162</v>
      </c>
      <c r="P426" s="245" t="s">
        <v>111</v>
      </c>
      <c r="Q426" s="247">
        <v>-769120.32</v>
      </c>
      <c r="R426" s="247">
        <v>-9500.48</v>
      </c>
      <c r="S426" s="247">
        <v>-550.33000000000004</v>
      </c>
      <c r="T426" s="245" t="s">
        <v>1991</v>
      </c>
      <c r="U426" s="245" t="s">
        <v>2153</v>
      </c>
      <c r="V426" s="241" t="s">
        <v>1963</v>
      </c>
      <c r="W426" s="241" t="s">
        <v>93</v>
      </c>
      <c r="X426" s="241" t="s">
        <v>2156</v>
      </c>
    </row>
    <row r="427" spans="1:24" ht="13.5" customHeight="1" x14ac:dyDescent="0.3">
      <c r="A427" s="245" t="s">
        <v>2154</v>
      </c>
      <c r="B427" s="246">
        <v>46081</v>
      </c>
      <c r="C427" s="245"/>
      <c r="D427" s="245"/>
      <c r="E427" s="245"/>
      <c r="F427" s="245"/>
      <c r="G427" s="245" t="s">
        <v>2187</v>
      </c>
      <c r="H427" s="245" t="s">
        <v>2188</v>
      </c>
      <c r="I427" s="245" t="s">
        <v>2159</v>
      </c>
      <c r="J427" s="245" t="s">
        <v>2968</v>
      </c>
      <c r="K427" s="245" t="s">
        <v>2969</v>
      </c>
      <c r="L427" s="246">
        <v>46081</v>
      </c>
      <c r="M427" s="245" t="s">
        <v>2159</v>
      </c>
      <c r="N427" s="245" t="s">
        <v>2155</v>
      </c>
      <c r="O427" s="245" t="s">
        <v>1990</v>
      </c>
      <c r="P427" s="245" t="s">
        <v>111</v>
      </c>
      <c r="Q427" s="247">
        <v>696792.64</v>
      </c>
      <c r="R427" s="247">
        <v>8607.06</v>
      </c>
      <c r="S427" s="247">
        <v>498.58</v>
      </c>
      <c r="T427" s="245" t="s">
        <v>1991</v>
      </c>
      <c r="U427" s="245" t="s">
        <v>2153</v>
      </c>
      <c r="V427" s="241" t="s">
        <v>1963</v>
      </c>
      <c r="W427" s="241" t="s">
        <v>93</v>
      </c>
      <c r="X427" s="241" t="s">
        <v>2156</v>
      </c>
    </row>
    <row r="428" spans="1:24" ht="13.5" customHeight="1" x14ac:dyDescent="0.3">
      <c r="A428" s="245" t="s">
        <v>2154</v>
      </c>
      <c r="B428" s="246">
        <v>46081</v>
      </c>
      <c r="C428" s="245"/>
      <c r="D428" s="245"/>
      <c r="E428" s="245"/>
      <c r="F428" s="245"/>
      <c r="G428" s="245" t="s">
        <v>2187</v>
      </c>
      <c r="H428" s="245" t="s">
        <v>2188</v>
      </c>
      <c r="I428" s="245" t="s">
        <v>2160</v>
      </c>
      <c r="J428" s="245" t="s">
        <v>2968</v>
      </c>
      <c r="K428" s="245" t="s">
        <v>2969</v>
      </c>
      <c r="L428" s="246">
        <v>46081</v>
      </c>
      <c r="M428" s="245" t="s">
        <v>2160</v>
      </c>
      <c r="N428" s="245" t="s">
        <v>2161</v>
      </c>
      <c r="O428" s="245" t="s">
        <v>2162</v>
      </c>
      <c r="P428" s="245" t="s">
        <v>111</v>
      </c>
      <c r="Q428" s="247">
        <v>-156800.68</v>
      </c>
      <c r="R428" s="247">
        <v>-1936.86</v>
      </c>
      <c r="S428" s="247">
        <v>-112.2</v>
      </c>
      <c r="T428" s="245" t="s">
        <v>1991</v>
      </c>
      <c r="U428" s="245" t="s">
        <v>2153</v>
      </c>
      <c r="V428" s="241" t="s">
        <v>1963</v>
      </c>
      <c r="W428" s="241" t="s">
        <v>93</v>
      </c>
      <c r="X428" s="241" t="s">
        <v>2156</v>
      </c>
    </row>
    <row r="429" spans="1:24" ht="13.5" customHeight="1" x14ac:dyDescent="0.3">
      <c r="A429" s="245" t="s">
        <v>2154</v>
      </c>
      <c r="B429" s="246">
        <v>46081</v>
      </c>
      <c r="C429" s="245"/>
      <c r="D429" s="245"/>
      <c r="E429" s="245"/>
      <c r="F429" s="245"/>
      <c r="G429" s="245" t="s">
        <v>2189</v>
      </c>
      <c r="H429" s="245" t="s">
        <v>2190</v>
      </c>
      <c r="I429" s="245" t="s">
        <v>2159</v>
      </c>
      <c r="J429" s="245" t="s">
        <v>2970</v>
      </c>
      <c r="K429" s="245" t="s">
        <v>2971</v>
      </c>
      <c r="L429" s="246">
        <v>46081</v>
      </c>
      <c r="M429" s="245" t="s">
        <v>2159</v>
      </c>
      <c r="N429" s="245" t="s">
        <v>2155</v>
      </c>
      <c r="O429" s="245" t="s">
        <v>1990</v>
      </c>
      <c r="P429" s="245" t="s">
        <v>111</v>
      </c>
      <c r="Q429" s="247">
        <v>3163655.29</v>
      </c>
      <c r="R429" s="247">
        <v>39078.730000000003</v>
      </c>
      <c r="S429" s="247">
        <v>2263.71</v>
      </c>
      <c r="T429" s="245" t="s">
        <v>1991</v>
      </c>
      <c r="U429" s="245" t="s">
        <v>2153</v>
      </c>
      <c r="V429" s="241" t="s">
        <v>1963</v>
      </c>
      <c r="W429" s="241" t="s">
        <v>93</v>
      </c>
      <c r="X429" s="241" t="s">
        <v>2156</v>
      </c>
    </row>
    <row r="430" spans="1:24" ht="13.5" customHeight="1" x14ac:dyDescent="0.3">
      <c r="A430" s="245" t="s">
        <v>2154</v>
      </c>
      <c r="B430" s="246">
        <v>46081</v>
      </c>
      <c r="C430" s="245"/>
      <c r="D430" s="245"/>
      <c r="E430" s="245"/>
      <c r="F430" s="245"/>
      <c r="G430" s="245" t="s">
        <v>2189</v>
      </c>
      <c r="H430" s="245" t="s">
        <v>2190</v>
      </c>
      <c r="I430" s="245" t="s">
        <v>2160</v>
      </c>
      <c r="J430" s="245" t="s">
        <v>2970</v>
      </c>
      <c r="K430" s="245" t="s">
        <v>2971</v>
      </c>
      <c r="L430" s="246">
        <v>46081</v>
      </c>
      <c r="M430" s="245" t="s">
        <v>2160</v>
      </c>
      <c r="N430" s="245" t="s">
        <v>2161</v>
      </c>
      <c r="O430" s="245" t="s">
        <v>2162</v>
      </c>
      <c r="P430" s="245" t="s">
        <v>111</v>
      </c>
      <c r="Q430" s="247">
        <v>-711923.84</v>
      </c>
      <c r="R430" s="247">
        <v>-8793.9699999999993</v>
      </c>
      <c r="S430" s="247">
        <v>-509.41</v>
      </c>
      <c r="T430" s="245" t="s">
        <v>1991</v>
      </c>
      <c r="U430" s="245" t="s">
        <v>2153</v>
      </c>
      <c r="V430" s="241" t="s">
        <v>1963</v>
      </c>
      <c r="W430" s="241" t="s">
        <v>93</v>
      </c>
      <c r="X430" s="241" t="s">
        <v>2156</v>
      </c>
    </row>
    <row r="431" spans="1:24" ht="13.5" customHeight="1" x14ac:dyDescent="0.3">
      <c r="A431" s="245" t="s">
        <v>2154</v>
      </c>
      <c r="B431" s="246">
        <v>46081</v>
      </c>
      <c r="C431" s="245"/>
      <c r="D431" s="245"/>
      <c r="E431" s="245"/>
      <c r="F431" s="245"/>
      <c r="G431" s="245" t="s">
        <v>2191</v>
      </c>
      <c r="H431" s="245" t="s">
        <v>2192</v>
      </c>
      <c r="I431" s="245" t="s">
        <v>2159</v>
      </c>
      <c r="J431" s="245" t="s">
        <v>2972</v>
      </c>
      <c r="K431" s="245" t="s">
        <v>2973</v>
      </c>
      <c r="L431" s="246">
        <v>46081</v>
      </c>
      <c r="M431" s="245" t="s">
        <v>2159</v>
      </c>
      <c r="N431" s="245" t="s">
        <v>2155</v>
      </c>
      <c r="O431" s="245" t="s">
        <v>1990</v>
      </c>
      <c r="P431" s="245" t="s">
        <v>111</v>
      </c>
      <c r="Q431" s="247">
        <v>3091118.43</v>
      </c>
      <c r="R431" s="247">
        <v>38182.730000000003</v>
      </c>
      <c r="S431" s="247">
        <v>2211.81</v>
      </c>
      <c r="T431" s="245" t="s">
        <v>1991</v>
      </c>
      <c r="U431" s="245" t="s">
        <v>2153</v>
      </c>
      <c r="V431" s="241" t="s">
        <v>1963</v>
      </c>
      <c r="W431" s="241" t="s">
        <v>93</v>
      </c>
      <c r="X431" s="241" t="s">
        <v>2156</v>
      </c>
    </row>
    <row r="432" spans="1:24" ht="13.5" customHeight="1" x14ac:dyDescent="0.3">
      <c r="A432" s="245" t="s">
        <v>2154</v>
      </c>
      <c r="B432" s="246">
        <v>46081</v>
      </c>
      <c r="C432" s="245"/>
      <c r="D432" s="245"/>
      <c r="E432" s="245"/>
      <c r="F432" s="245"/>
      <c r="G432" s="245" t="s">
        <v>2191</v>
      </c>
      <c r="H432" s="245" t="s">
        <v>2192</v>
      </c>
      <c r="I432" s="245" t="s">
        <v>2160</v>
      </c>
      <c r="J432" s="245" t="s">
        <v>2972</v>
      </c>
      <c r="K432" s="245" t="s">
        <v>2973</v>
      </c>
      <c r="L432" s="246">
        <v>46081</v>
      </c>
      <c r="M432" s="245" t="s">
        <v>2160</v>
      </c>
      <c r="N432" s="245" t="s">
        <v>2161</v>
      </c>
      <c r="O432" s="245" t="s">
        <v>2162</v>
      </c>
      <c r="P432" s="245" t="s">
        <v>111</v>
      </c>
      <c r="Q432" s="247">
        <v>-695600.72</v>
      </c>
      <c r="R432" s="247">
        <v>-8592.34</v>
      </c>
      <c r="S432" s="247">
        <v>-497.73</v>
      </c>
      <c r="T432" s="245" t="s">
        <v>1991</v>
      </c>
      <c r="U432" s="245" t="s">
        <v>2153</v>
      </c>
      <c r="V432" s="241" t="s">
        <v>1963</v>
      </c>
      <c r="W432" s="241" t="s">
        <v>93</v>
      </c>
      <c r="X432" s="241" t="s">
        <v>2156</v>
      </c>
    </row>
    <row r="433" spans="1:24" ht="13.5" customHeight="1" x14ac:dyDescent="0.3">
      <c r="A433" s="245" t="s">
        <v>2154</v>
      </c>
      <c r="B433" s="246">
        <v>46081</v>
      </c>
      <c r="C433" s="245"/>
      <c r="D433" s="245"/>
      <c r="E433" s="245"/>
      <c r="F433" s="245"/>
      <c r="G433" s="245" t="s">
        <v>2193</v>
      </c>
      <c r="H433" s="245" t="s">
        <v>2194</v>
      </c>
      <c r="I433" s="245" t="s">
        <v>2159</v>
      </c>
      <c r="J433" s="245" t="s">
        <v>2974</v>
      </c>
      <c r="K433" s="245" t="s">
        <v>2975</v>
      </c>
      <c r="L433" s="246">
        <v>46081</v>
      </c>
      <c r="M433" s="245" t="s">
        <v>2159</v>
      </c>
      <c r="N433" s="245" t="s">
        <v>2155</v>
      </c>
      <c r="O433" s="245" t="s">
        <v>1990</v>
      </c>
      <c r="P433" s="245" t="s">
        <v>111</v>
      </c>
      <c r="Q433" s="247">
        <v>697910.39</v>
      </c>
      <c r="R433" s="247">
        <v>8620.8700000000008</v>
      </c>
      <c r="S433" s="247">
        <v>499.38</v>
      </c>
      <c r="T433" s="245" t="s">
        <v>1991</v>
      </c>
      <c r="U433" s="245" t="s">
        <v>2153</v>
      </c>
      <c r="V433" s="241" t="s">
        <v>1963</v>
      </c>
      <c r="W433" s="241" t="s">
        <v>93</v>
      </c>
      <c r="X433" s="241" t="s">
        <v>2156</v>
      </c>
    </row>
    <row r="434" spans="1:24" ht="13.5" customHeight="1" x14ac:dyDescent="0.3">
      <c r="A434" s="245" t="s">
        <v>2154</v>
      </c>
      <c r="B434" s="246">
        <v>46081</v>
      </c>
      <c r="C434" s="245"/>
      <c r="D434" s="245"/>
      <c r="E434" s="245"/>
      <c r="F434" s="245"/>
      <c r="G434" s="245" t="s">
        <v>2193</v>
      </c>
      <c r="H434" s="245" t="s">
        <v>2194</v>
      </c>
      <c r="I434" s="245" t="s">
        <v>2160</v>
      </c>
      <c r="J434" s="245" t="s">
        <v>2974</v>
      </c>
      <c r="K434" s="245" t="s">
        <v>2975</v>
      </c>
      <c r="L434" s="246">
        <v>46081</v>
      </c>
      <c r="M434" s="245" t="s">
        <v>2160</v>
      </c>
      <c r="N434" s="245" t="s">
        <v>2161</v>
      </c>
      <c r="O434" s="245" t="s">
        <v>2162</v>
      </c>
      <c r="P434" s="245" t="s">
        <v>111</v>
      </c>
      <c r="Q434" s="247">
        <v>-157052.21</v>
      </c>
      <c r="R434" s="247">
        <v>-1939.97</v>
      </c>
      <c r="S434" s="247">
        <v>-112.38</v>
      </c>
      <c r="T434" s="245" t="s">
        <v>1991</v>
      </c>
      <c r="U434" s="245" t="s">
        <v>2153</v>
      </c>
      <c r="V434" s="241" t="s">
        <v>1963</v>
      </c>
      <c r="W434" s="241" t="s">
        <v>93</v>
      </c>
      <c r="X434" s="241" t="s">
        <v>2156</v>
      </c>
    </row>
    <row r="435" spans="1:24" ht="13.5" customHeight="1" x14ac:dyDescent="0.3">
      <c r="A435" s="245" t="s">
        <v>2154</v>
      </c>
      <c r="B435" s="246">
        <v>46081</v>
      </c>
      <c r="C435" s="245"/>
      <c r="D435" s="245"/>
      <c r="E435" s="245"/>
      <c r="F435" s="245"/>
      <c r="G435" s="245" t="s">
        <v>2195</v>
      </c>
      <c r="H435" s="245" t="s">
        <v>2196</v>
      </c>
      <c r="I435" s="245" t="s">
        <v>2159</v>
      </c>
      <c r="J435" s="245" t="s">
        <v>2976</v>
      </c>
      <c r="K435" s="245" t="s">
        <v>2977</v>
      </c>
      <c r="L435" s="246">
        <v>46081</v>
      </c>
      <c r="M435" s="245" t="s">
        <v>2159</v>
      </c>
      <c r="N435" s="245" t="s">
        <v>2155</v>
      </c>
      <c r="O435" s="245" t="s">
        <v>1990</v>
      </c>
      <c r="P435" s="245" t="s">
        <v>111</v>
      </c>
      <c r="Q435" s="247">
        <v>1883164.12</v>
      </c>
      <c r="R435" s="247">
        <v>23261.59</v>
      </c>
      <c r="S435" s="247">
        <v>1347.47</v>
      </c>
      <c r="T435" s="245" t="s">
        <v>1991</v>
      </c>
      <c r="U435" s="245" t="s">
        <v>2153</v>
      </c>
      <c r="V435" s="241" t="s">
        <v>1963</v>
      </c>
      <c r="W435" s="241" t="s">
        <v>93</v>
      </c>
      <c r="X435" s="241" t="s">
        <v>2156</v>
      </c>
    </row>
    <row r="436" spans="1:24" ht="13.5" customHeight="1" x14ac:dyDescent="0.3">
      <c r="A436" s="245" t="s">
        <v>2154</v>
      </c>
      <c r="B436" s="246">
        <v>46081</v>
      </c>
      <c r="C436" s="245"/>
      <c r="D436" s="245"/>
      <c r="E436" s="245"/>
      <c r="F436" s="245"/>
      <c r="G436" s="245" t="s">
        <v>2195</v>
      </c>
      <c r="H436" s="245" t="s">
        <v>2196</v>
      </c>
      <c r="I436" s="245" t="s">
        <v>2160</v>
      </c>
      <c r="J436" s="245" t="s">
        <v>2976</v>
      </c>
      <c r="K436" s="245" t="s">
        <v>2977</v>
      </c>
      <c r="L436" s="246">
        <v>46081</v>
      </c>
      <c r="M436" s="245" t="s">
        <v>2160</v>
      </c>
      <c r="N436" s="245" t="s">
        <v>2161</v>
      </c>
      <c r="O436" s="245" t="s">
        <v>2162</v>
      </c>
      <c r="P436" s="245" t="s">
        <v>111</v>
      </c>
      <c r="Q436" s="247">
        <v>-423772.28</v>
      </c>
      <c r="R436" s="247">
        <v>-5234.6000000000004</v>
      </c>
      <c r="S436" s="247">
        <v>-303.22000000000003</v>
      </c>
      <c r="T436" s="245" t="s">
        <v>1991</v>
      </c>
      <c r="U436" s="245" t="s">
        <v>2153</v>
      </c>
      <c r="V436" s="241" t="s">
        <v>1963</v>
      </c>
      <c r="W436" s="241" t="s">
        <v>93</v>
      </c>
      <c r="X436" s="241" t="s">
        <v>2156</v>
      </c>
    </row>
    <row r="437" spans="1:24" ht="13.5" customHeight="1" x14ac:dyDescent="0.3">
      <c r="A437" s="245" t="s">
        <v>2154</v>
      </c>
      <c r="B437" s="246">
        <v>46081</v>
      </c>
      <c r="C437" s="245"/>
      <c r="D437" s="245"/>
      <c r="E437" s="245"/>
      <c r="F437" s="245"/>
      <c r="G437" s="245" t="s">
        <v>2197</v>
      </c>
      <c r="H437" s="245" t="s">
        <v>2198</v>
      </c>
      <c r="I437" s="245" t="s">
        <v>2159</v>
      </c>
      <c r="J437" s="245" t="s">
        <v>2978</v>
      </c>
      <c r="K437" s="245" t="s">
        <v>2979</v>
      </c>
      <c r="L437" s="246">
        <v>46081</v>
      </c>
      <c r="M437" s="245" t="s">
        <v>2159</v>
      </c>
      <c r="N437" s="245" t="s">
        <v>2155</v>
      </c>
      <c r="O437" s="245" t="s">
        <v>1990</v>
      </c>
      <c r="P437" s="245" t="s">
        <v>111</v>
      </c>
      <c r="Q437" s="247">
        <v>7470464.5700000003</v>
      </c>
      <c r="R437" s="247">
        <v>92278.15</v>
      </c>
      <c r="S437" s="247">
        <v>5345.39</v>
      </c>
      <c r="T437" s="245" t="s">
        <v>1991</v>
      </c>
      <c r="U437" s="245" t="s">
        <v>2153</v>
      </c>
      <c r="V437" s="241" t="s">
        <v>1963</v>
      </c>
      <c r="W437" s="241" t="s">
        <v>93</v>
      </c>
      <c r="X437" s="241" t="s">
        <v>2156</v>
      </c>
    </row>
    <row r="438" spans="1:24" ht="13.5" customHeight="1" x14ac:dyDescent="0.3">
      <c r="A438" s="245" t="s">
        <v>2154</v>
      </c>
      <c r="B438" s="246">
        <v>46081</v>
      </c>
      <c r="C438" s="245"/>
      <c r="D438" s="245"/>
      <c r="E438" s="245"/>
      <c r="F438" s="245"/>
      <c r="G438" s="245" t="s">
        <v>2197</v>
      </c>
      <c r="H438" s="245" t="s">
        <v>2198</v>
      </c>
      <c r="I438" s="245" t="s">
        <v>2160</v>
      </c>
      <c r="J438" s="245" t="s">
        <v>2978</v>
      </c>
      <c r="K438" s="245" t="s">
        <v>2979</v>
      </c>
      <c r="L438" s="246">
        <v>46081</v>
      </c>
      <c r="M438" s="245" t="s">
        <v>2160</v>
      </c>
      <c r="N438" s="245" t="s">
        <v>2161</v>
      </c>
      <c r="O438" s="245" t="s">
        <v>2162</v>
      </c>
      <c r="P438" s="245" t="s">
        <v>111</v>
      </c>
      <c r="Q438" s="247">
        <v>-1681093.97</v>
      </c>
      <c r="R438" s="247">
        <v>-20765.54</v>
      </c>
      <c r="S438" s="247">
        <v>-1202.8800000000001</v>
      </c>
      <c r="T438" s="245" t="s">
        <v>1991</v>
      </c>
      <c r="U438" s="245" t="s">
        <v>2153</v>
      </c>
      <c r="V438" s="241" t="s">
        <v>1963</v>
      </c>
      <c r="W438" s="241" t="s">
        <v>93</v>
      </c>
      <c r="X438" s="241" t="s">
        <v>2156</v>
      </c>
    </row>
    <row r="439" spans="1:24" ht="13.5" customHeight="1" x14ac:dyDescent="0.3">
      <c r="A439" s="245" t="s">
        <v>2154</v>
      </c>
      <c r="B439" s="246">
        <v>46081</v>
      </c>
      <c r="C439" s="245"/>
      <c r="D439" s="245"/>
      <c r="E439" s="245"/>
      <c r="F439" s="245"/>
      <c r="G439" s="245" t="s">
        <v>2199</v>
      </c>
      <c r="H439" s="245" t="s">
        <v>2200</v>
      </c>
      <c r="I439" s="245" t="s">
        <v>2159</v>
      </c>
      <c r="J439" s="245" t="s">
        <v>2980</v>
      </c>
      <c r="K439" s="245" t="s">
        <v>2981</v>
      </c>
      <c r="L439" s="246">
        <v>46081</v>
      </c>
      <c r="M439" s="245" t="s">
        <v>2159</v>
      </c>
      <c r="N439" s="245" t="s">
        <v>2155</v>
      </c>
      <c r="O439" s="245" t="s">
        <v>1990</v>
      </c>
      <c r="P439" s="245" t="s">
        <v>111</v>
      </c>
      <c r="Q439" s="247">
        <v>4326221.41</v>
      </c>
      <c r="R439" s="247">
        <v>53439.21</v>
      </c>
      <c r="S439" s="247">
        <v>3095.57</v>
      </c>
      <c r="T439" s="245" t="s">
        <v>1991</v>
      </c>
      <c r="U439" s="245" t="s">
        <v>2153</v>
      </c>
      <c r="V439" s="241" t="s">
        <v>1963</v>
      </c>
      <c r="W439" s="241" t="s">
        <v>93</v>
      </c>
      <c r="X439" s="241" t="s">
        <v>2156</v>
      </c>
    </row>
    <row r="440" spans="1:24" ht="13.5" customHeight="1" x14ac:dyDescent="0.3">
      <c r="A440" s="245" t="s">
        <v>2154</v>
      </c>
      <c r="B440" s="246">
        <v>46081</v>
      </c>
      <c r="C440" s="245"/>
      <c r="D440" s="245"/>
      <c r="E440" s="245"/>
      <c r="F440" s="245"/>
      <c r="G440" s="245" t="s">
        <v>2199</v>
      </c>
      <c r="H440" s="245" t="s">
        <v>2200</v>
      </c>
      <c r="I440" s="245" t="s">
        <v>2160</v>
      </c>
      <c r="J440" s="245" t="s">
        <v>2980</v>
      </c>
      <c r="K440" s="245" t="s">
        <v>2981</v>
      </c>
      <c r="L440" s="246">
        <v>46081</v>
      </c>
      <c r="M440" s="245" t="s">
        <v>2160</v>
      </c>
      <c r="N440" s="245" t="s">
        <v>2161</v>
      </c>
      <c r="O440" s="245" t="s">
        <v>2162</v>
      </c>
      <c r="P440" s="245" t="s">
        <v>111</v>
      </c>
      <c r="Q440" s="247">
        <v>-973538.48</v>
      </c>
      <c r="R440" s="247">
        <v>-12025.53</v>
      </c>
      <c r="S440" s="247">
        <v>-696.6</v>
      </c>
      <c r="T440" s="245" t="s">
        <v>1991</v>
      </c>
      <c r="U440" s="245" t="s">
        <v>2153</v>
      </c>
      <c r="V440" s="241" t="s">
        <v>1963</v>
      </c>
      <c r="W440" s="241" t="s">
        <v>93</v>
      </c>
      <c r="X440" s="241" t="s">
        <v>2156</v>
      </c>
    </row>
    <row r="441" spans="1:24" ht="13.5" customHeight="1" x14ac:dyDescent="0.3">
      <c r="A441" s="245" t="s">
        <v>2154</v>
      </c>
      <c r="B441" s="246">
        <v>46081</v>
      </c>
      <c r="C441" s="245"/>
      <c r="D441" s="245"/>
      <c r="E441" s="245"/>
      <c r="F441" s="245"/>
      <c r="G441" s="245" t="s">
        <v>2201</v>
      </c>
      <c r="H441" s="245" t="s">
        <v>2202</v>
      </c>
      <c r="I441" s="245" t="s">
        <v>2159</v>
      </c>
      <c r="J441" s="245" t="s">
        <v>2982</v>
      </c>
      <c r="K441" s="245" t="s">
        <v>2983</v>
      </c>
      <c r="L441" s="246">
        <v>46081</v>
      </c>
      <c r="M441" s="245" t="s">
        <v>2159</v>
      </c>
      <c r="N441" s="245" t="s">
        <v>2155</v>
      </c>
      <c r="O441" s="245" t="s">
        <v>1990</v>
      </c>
      <c r="P441" s="245" t="s">
        <v>111</v>
      </c>
      <c r="Q441" s="247">
        <v>2426112</v>
      </c>
      <c r="R441" s="247">
        <v>29968.3</v>
      </c>
      <c r="S441" s="247">
        <v>1735.97</v>
      </c>
      <c r="T441" s="245" t="s">
        <v>1991</v>
      </c>
      <c r="U441" s="245" t="s">
        <v>2153</v>
      </c>
      <c r="V441" s="241" t="s">
        <v>1963</v>
      </c>
      <c r="W441" s="241" t="s">
        <v>93</v>
      </c>
      <c r="X441" s="241" t="s">
        <v>2156</v>
      </c>
    </row>
    <row r="442" spans="1:24" ht="13.5" customHeight="1" x14ac:dyDescent="0.3">
      <c r="A442" s="245" t="s">
        <v>2154</v>
      </c>
      <c r="B442" s="246">
        <v>46081</v>
      </c>
      <c r="C442" s="245"/>
      <c r="D442" s="245"/>
      <c r="E442" s="245"/>
      <c r="F442" s="245"/>
      <c r="G442" s="245" t="s">
        <v>2201</v>
      </c>
      <c r="H442" s="245" t="s">
        <v>2202</v>
      </c>
      <c r="I442" s="245" t="s">
        <v>2160</v>
      </c>
      <c r="J442" s="245" t="s">
        <v>2982</v>
      </c>
      <c r="K442" s="245" t="s">
        <v>2983</v>
      </c>
      <c r="L442" s="246">
        <v>46081</v>
      </c>
      <c r="M442" s="245" t="s">
        <v>2160</v>
      </c>
      <c r="N442" s="245" t="s">
        <v>2161</v>
      </c>
      <c r="O442" s="245" t="s">
        <v>2162</v>
      </c>
      <c r="P442" s="245" t="s">
        <v>111</v>
      </c>
      <c r="Q442" s="247">
        <v>-545952.96</v>
      </c>
      <c r="R442" s="247">
        <v>-6743.83</v>
      </c>
      <c r="S442" s="247">
        <v>-390.65</v>
      </c>
      <c r="T442" s="245" t="s">
        <v>1991</v>
      </c>
      <c r="U442" s="245" t="s">
        <v>2153</v>
      </c>
      <c r="V442" s="241" t="s">
        <v>1963</v>
      </c>
      <c r="W442" s="241" t="s">
        <v>93</v>
      </c>
      <c r="X442" s="241" t="s">
        <v>2156</v>
      </c>
    </row>
    <row r="443" spans="1:24" ht="13.5" customHeight="1" x14ac:dyDescent="0.3">
      <c r="A443" s="245" t="s">
        <v>2154</v>
      </c>
      <c r="B443" s="246">
        <v>46081</v>
      </c>
      <c r="C443" s="245"/>
      <c r="D443" s="245"/>
      <c r="E443" s="245"/>
      <c r="F443" s="245"/>
      <c r="G443" s="245" t="s">
        <v>2203</v>
      </c>
      <c r="H443" s="245" t="s">
        <v>2204</v>
      </c>
      <c r="I443" s="245" t="s">
        <v>2205</v>
      </c>
      <c r="J443" s="245" t="s">
        <v>2984</v>
      </c>
      <c r="K443" s="245" t="s">
        <v>2985</v>
      </c>
      <c r="L443" s="246">
        <v>46081</v>
      </c>
      <c r="M443" s="245" t="s">
        <v>2205</v>
      </c>
      <c r="N443" s="245" t="s">
        <v>2155</v>
      </c>
      <c r="O443" s="245" t="s">
        <v>1990</v>
      </c>
      <c r="P443" s="245" t="s">
        <v>111</v>
      </c>
      <c r="Q443" s="247">
        <v>6874896.8200000003</v>
      </c>
      <c r="R443" s="247">
        <v>84921.46</v>
      </c>
      <c r="S443" s="247">
        <v>4919.24</v>
      </c>
      <c r="T443" s="245" t="s">
        <v>1991</v>
      </c>
      <c r="U443" s="245" t="s">
        <v>2153</v>
      </c>
      <c r="V443" s="241" t="s">
        <v>1963</v>
      </c>
      <c r="W443" s="241" t="s">
        <v>100</v>
      </c>
      <c r="X443" s="241" t="s">
        <v>2156</v>
      </c>
    </row>
    <row r="444" spans="1:24" ht="13.5" customHeight="1" x14ac:dyDescent="0.3">
      <c r="A444" s="245" t="s">
        <v>2154</v>
      </c>
      <c r="B444" s="246">
        <v>46081</v>
      </c>
      <c r="C444" s="245"/>
      <c r="D444" s="245"/>
      <c r="E444" s="245"/>
      <c r="F444" s="245"/>
      <c r="G444" s="245" t="s">
        <v>2203</v>
      </c>
      <c r="H444" s="245" t="s">
        <v>2204</v>
      </c>
      <c r="I444" s="245" t="s">
        <v>2206</v>
      </c>
      <c r="J444" s="245" t="s">
        <v>2984</v>
      </c>
      <c r="K444" s="245" t="s">
        <v>2985</v>
      </c>
      <c r="L444" s="246">
        <v>46081</v>
      </c>
      <c r="M444" s="245" t="s">
        <v>2206</v>
      </c>
      <c r="N444" s="245" t="s">
        <v>2161</v>
      </c>
      <c r="O444" s="245" t="s">
        <v>2162</v>
      </c>
      <c r="P444" s="245" t="s">
        <v>111</v>
      </c>
      <c r="Q444" s="247">
        <v>-1536782.08</v>
      </c>
      <c r="R444" s="247">
        <v>-18982.939999999999</v>
      </c>
      <c r="S444" s="247">
        <v>-1099.6199999999999</v>
      </c>
      <c r="T444" s="245" t="s">
        <v>1991</v>
      </c>
      <c r="U444" s="245" t="s">
        <v>2153</v>
      </c>
      <c r="V444" s="241" t="s">
        <v>1963</v>
      </c>
      <c r="W444" s="241" t="s">
        <v>100</v>
      </c>
      <c r="X444" s="241" t="s">
        <v>2156</v>
      </c>
    </row>
    <row r="445" spans="1:24" ht="13.5" customHeight="1" x14ac:dyDescent="0.3">
      <c r="A445" s="245" t="s">
        <v>2154</v>
      </c>
      <c r="B445" s="246">
        <v>46081</v>
      </c>
      <c r="C445" s="245"/>
      <c r="D445" s="245"/>
      <c r="E445" s="245"/>
      <c r="F445" s="245"/>
      <c r="G445" s="245" t="s">
        <v>2207</v>
      </c>
      <c r="H445" s="245" t="s">
        <v>2208</v>
      </c>
      <c r="I445" s="245" t="s">
        <v>2205</v>
      </c>
      <c r="J445" s="245" t="s">
        <v>2986</v>
      </c>
      <c r="K445" s="245" t="s">
        <v>2987</v>
      </c>
      <c r="L445" s="246">
        <v>46081</v>
      </c>
      <c r="M445" s="245" t="s">
        <v>2205</v>
      </c>
      <c r="N445" s="245" t="s">
        <v>2155</v>
      </c>
      <c r="O445" s="245" t="s">
        <v>1990</v>
      </c>
      <c r="P445" s="245" t="s">
        <v>111</v>
      </c>
      <c r="Q445" s="247">
        <v>1150222.92</v>
      </c>
      <c r="R445" s="247">
        <v>14208.01</v>
      </c>
      <c r="S445" s="247">
        <v>823.03</v>
      </c>
      <c r="T445" s="245" t="s">
        <v>1991</v>
      </c>
      <c r="U445" s="245" t="s">
        <v>2153</v>
      </c>
      <c r="V445" s="241" t="s">
        <v>1963</v>
      </c>
      <c r="W445" s="241" t="s">
        <v>100</v>
      </c>
      <c r="X445" s="241" t="s">
        <v>2156</v>
      </c>
    </row>
    <row r="446" spans="1:24" ht="13.5" customHeight="1" x14ac:dyDescent="0.3">
      <c r="A446" s="245" t="s">
        <v>2154</v>
      </c>
      <c r="B446" s="246">
        <v>46081</v>
      </c>
      <c r="C446" s="245"/>
      <c r="D446" s="245"/>
      <c r="E446" s="245"/>
      <c r="F446" s="245"/>
      <c r="G446" s="245" t="s">
        <v>2207</v>
      </c>
      <c r="H446" s="245" t="s">
        <v>2208</v>
      </c>
      <c r="I446" s="245" t="s">
        <v>2206</v>
      </c>
      <c r="J446" s="245" t="s">
        <v>2986</v>
      </c>
      <c r="K446" s="245" t="s">
        <v>2987</v>
      </c>
      <c r="L446" s="246">
        <v>46081</v>
      </c>
      <c r="M446" s="245" t="s">
        <v>2206</v>
      </c>
      <c r="N446" s="245" t="s">
        <v>2161</v>
      </c>
      <c r="O446" s="245" t="s">
        <v>2162</v>
      </c>
      <c r="P446" s="245" t="s">
        <v>111</v>
      </c>
      <c r="Q446" s="247">
        <v>-257115.42</v>
      </c>
      <c r="R446" s="247">
        <v>-3175.99</v>
      </c>
      <c r="S446" s="247">
        <v>-183.98</v>
      </c>
      <c r="T446" s="245" t="s">
        <v>1991</v>
      </c>
      <c r="U446" s="245" t="s">
        <v>2153</v>
      </c>
      <c r="V446" s="241" t="s">
        <v>1963</v>
      </c>
      <c r="W446" s="241" t="s">
        <v>100</v>
      </c>
      <c r="X446" s="241" t="s">
        <v>2156</v>
      </c>
    </row>
    <row r="447" spans="1:24" ht="13.5" customHeight="1" x14ac:dyDescent="0.3">
      <c r="A447" s="245" t="s">
        <v>2154</v>
      </c>
      <c r="B447" s="246">
        <v>46081</v>
      </c>
      <c r="C447" s="245"/>
      <c r="D447" s="245"/>
      <c r="E447" s="245"/>
      <c r="F447" s="245"/>
      <c r="G447" s="245" t="s">
        <v>2209</v>
      </c>
      <c r="H447" s="245" t="s">
        <v>2210</v>
      </c>
      <c r="I447" s="245" t="s">
        <v>2205</v>
      </c>
      <c r="J447" s="245" t="s">
        <v>2988</v>
      </c>
      <c r="K447" s="245" t="s">
        <v>2989</v>
      </c>
      <c r="L447" s="246">
        <v>46081</v>
      </c>
      <c r="M447" s="245" t="s">
        <v>2205</v>
      </c>
      <c r="N447" s="245" t="s">
        <v>2155</v>
      </c>
      <c r="O447" s="245" t="s">
        <v>1990</v>
      </c>
      <c r="P447" s="245" t="s">
        <v>111</v>
      </c>
      <c r="Q447" s="247">
        <v>1483869.79</v>
      </c>
      <c r="R447" s="247">
        <v>18329.349999999999</v>
      </c>
      <c r="S447" s="247">
        <v>1061.76</v>
      </c>
      <c r="T447" s="245" t="s">
        <v>1991</v>
      </c>
      <c r="U447" s="245" t="s">
        <v>2153</v>
      </c>
      <c r="V447" s="241" t="s">
        <v>1963</v>
      </c>
      <c r="W447" s="241" t="s">
        <v>100</v>
      </c>
      <c r="X447" s="241" t="s">
        <v>2156</v>
      </c>
    </row>
    <row r="448" spans="1:24" ht="13.5" customHeight="1" x14ac:dyDescent="0.3">
      <c r="A448" s="245" t="s">
        <v>2154</v>
      </c>
      <c r="B448" s="246">
        <v>46081</v>
      </c>
      <c r="C448" s="245"/>
      <c r="D448" s="245"/>
      <c r="E448" s="245"/>
      <c r="F448" s="245"/>
      <c r="G448" s="245" t="s">
        <v>2209</v>
      </c>
      <c r="H448" s="245" t="s">
        <v>2210</v>
      </c>
      <c r="I448" s="245" t="s">
        <v>2206</v>
      </c>
      <c r="J448" s="245" t="s">
        <v>2988</v>
      </c>
      <c r="K448" s="245" t="s">
        <v>2989</v>
      </c>
      <c r="L448" s="246">
        <v>46081</v>
      </c>
      <c r="M448" s="245" t="s">
        <v>2206</v>
      </c>
      <c r="N448" s="245" t="s">
        <v>2161</v>
      </c>
      <c r="O448" s="245" t="s">
        <v>2162</v>
      </c>
      <c r="P448" s="245" t="s">
        <v>111</v>
      </c>
      <c r="Q448" s="247">
        <v>-331697.27</v>
      </c>
      <c r="R448" s="247">
        <v>-4097.26</v>
      </c>
      <c r="S448" s="247">
        <v>-237.34</v>
      </c>
      <c r="T448" s="245" t="s">
        <v>1991</v>
      </c>
      <c r="U448" s="245" t="s">
        <v>2153</v>
      </c>
      <c r="V448" s="241" t="s">
        <v>1963</v>
      </c>
      <c r="W448" s="241" t="s">
        <v>100</v>
      </c>
      <c r="X448" s="241" t="s">
        <v>2156</v>
      </c>
    </row>
    <row r="449" spans="1:24" ht="13.5" customHeight="1" x14ac:dyDescent="0.3">
      <c r="A449" s="245" t="s">
        <v>2154</v>
      </c>
      <c r="B449" s="246">
        <v>46081</v>
      </c>
      <c r="C449" s="245"/>
      <c r="D449" s="245"/>
      <c r="E449" s="245"/>
      <c r="F449" s="245"/>
      <c r="G449" s="245" t="s">
        <v>2211</v>
      </c>
      <c r="H449" s="245" t="s">
        <v>2212</v>
      </c>
      <c r="I449" s="245" t="s">
        <v>2205</v>
      </c>
      <c r="J449" s="245" t="s">
        <v>2990</v>
      </c>
      <c r="K449" s="245" t="s">
        <v>2991</v>
      </c>
      <c r="L449" s="246">
        <v>46081</v>
      </c>
      <c r="M449" s="245" t="s">
        <v>2205</v>
      </c>
      <c r="N449" s="245" t="s">
        <v>2155</v>
      </c>
      <c r="O449" s="245" t="s">
        <v>1990</v>
      </c>
      <c r="P449" s="245" t="s">
        <v>111</v>
      </c>
      <c r="Q449" s="247">
        <v>1659557.37</v>
      </c>
      <c r="R449" s="247">
        <v>20499.509999999998</v>
      </c>
      <c r="S449" s="247">
        <v>1187.47</v>
      </c>
      <c r="T449" s="245" t="s">
        <v>1991</v>
      </c>
      <c r="U449" s="245" t="s">
        <v>2153</v>
      </c>
      <c r="V449" s="241" t="s">
        <v>1963</v>
      </c>
      <c r="W449" s="241" t="s">
        <v>100</v>
      </c>
      <c r="X449" s="241" t="s">
        <v>2156</v>
      </c>
    </row>
    <row r="450" spans="1:24" ht="13.5" customHeight="1" x14ac:dyDescent="0.3">
      <c r="A450" s="245" t="s">
        <v>2154</v>
      </c>
      <c r="B450" s="246">
        <v>46081</v>
      </c>
      <c r="C450" s="245"/>
      <c r="D450" s="245"/>
      <c r="E450" s="245"/>
      <c r="F450" s="245"/>
      <c r="G450" s="245" t="s">
        <v>2211</v>
      </c>
      <c r="H450" s="245" t="s">
        <v>2212</v>
      </c>
      <c r="I450" s="245" t="s">
        <v>2206</v>
      </c>
      <c r="J450" s="245" t="s">
        <v>2990</v>
      </c>
      <c r="K450" s="245" t="s">
        <v>2991</v>
      </c>
      <c r="L450" s="246">
        <v>46081</v>
      </c>
      <c r="M450" s="245" t="s">
        <v>2206</v>
      </c>
      <c r="N450" s="245" t="s">
        <v>2161</v>
      </c>
      <c r="O450" s="245" t="s">
        <v>2162</v>
      </c>
      <c r="P450" s="245" t="s">
        <v>111</v>
      </c>
      <c r="Q450" s="247">
        <v>-370969.65</v>
      </c>
      <c r="R450" s="247">
        <v>-4582.3599999999997</v>
      </c>
      <c r="S450" s="247">
        <v>-265.44</v>
      </c>
      <c r="T450" s="245" t="s">
        <v>1991</v>
      </c>
      <c r="U450" s="245" t="s">
        <v>2153</v>
      </c>
      <c r="V450" s="241" t="s">
        <v>1963</v>
      </c>
      <c r="W450" s="241" t="s">
        <v>100</v>
      </c>
      <c r="X450" s="241" t="s">
        <v>2156</v>
      </c>
    </row>
    <row r="451" spans="1:24" ht="13.5" customHeight="1" x14ac:dyDescent="0.3">
      <c r="A451" s="245" t="s">
        <v>2154</v>
      </c>
      <c r="B451" s="246">
        <v>46081</v>
      </c>
      <c r="C451" s="245"/>
      <c r="D451" s="245"/>
      <c r="E451" s="245"/>
      <c r="F451" s="245"/>
      <c r="G451" s="245" t="s">
        <v>2213</v>
      </c>
      <c r="H451" s="245" t="s">
        <v>2214</v>
      </c>
      <c r="I451" s="245" t="s">
        <v>2205</v>
      </c>
      <c r="J451" s="245" t="s">
        <v>2992</v>
      </c>
      <c r="K451" s="245" t="s">
        <v>2993</v>
      </c>
      <c r="L451" s="246">
        <v>46081</v>
      </c>
      <c r="M451" s="245" t="s">
        <v>2205</v>
      </c>
      <c r="N451" s="245" t="s">
        <v>2155</v>
      </c>
      <c r="O451" s="245" t="s">
        <v>1990</v>
      </c>
      <c r="P451" s="245" t="s">
        <v>111</v>
      </c>
      <c r="Q451" s="247">
        <v>1958400</v>
      </c>
      <c r="R451" s="247">
        <v>24190.94</v>
      </c>
      <c r="S451" s="247">
        <v>1401.31</v>
      </c>
      <c r="T451" s="245" t="s">
        <v>1991</v>
      </c>
      <c r="U451" s="245" t="s">
        <v>2153</v>
      </c>
      <c r="V451" s="241" t="s">
        <v>1963</v>
      </c>
      <c r="W451" s="241" t="s">
        <v>100</v>
      </c>
      <c r="X451" s="241" t="s">
        <v>2156</v>
      </c>
    </row>
    <row r="452" spans="1:24" ht="13.5" customHeight="1" x14ac:dyDescent="0.3">
      <c r="A452" s="245" t="s">
        <v>2154</v>
      </c>
      <c r="B452" s="246">
        <v>46081</v>
      </c>
      <c r="C452" s="245"/>
      <c r="D452" s="245"/>
      <c r="E452" s="245"/>
      <c r="F452" s="245"/>
      <c r="G452" s="245" t="s">
        <v>2213</v>
      </c>
      <c r="H452" s="245" t="s">
        <v>2214</v>
      </c>
      <c r="I452" s="245" t="s">
        <v>2206</v>
      </c>
      <c r="J452" s="245" t="s">
        <v>2992</v>
      </c>
      <c r="K452" s="245" t="s">
        <v>2993</v>
      </c>
      <c r="L452" s="246">
        <v>46081</v>
      </c>
      <c r="M452" s="245" t="s">
        <v>2206</v>
      </c>
      <c r="N452" s="245" t="s">
        <v>2161</v>
      </c>
      <c r="O452" s="245" t="s">
        <v>2162</v>
      </c>
      <c r="P452" s="245" t="s">
        <v>111</v>
      </c>
      <c r="Q452" s="247">
        <v>-437771.52000000002</v>
      </c>
      <c r="R452" s="247">
        <v>-5407.53</v>
      </c>
      <c r="S452" s="247">
        <v>-313.24</v>
      </c>
      <c r="T452" s="245" t="s">
        <v>1991</v>
      </c>
      <c r="U452" s="245" t="s">
        <v>2153</v>
      </c>
      <c r="V452" s="241" t="s">
        <v>1963</v>
      </c>
      <c r="W452" s="241" t="s">
        <v>100</v>
      </c>
      <c r="X452" s="241" t="s">
        <v>2156</v>
      </c>
    </row>
    <row r="453" spans="1:24" ht="13.5" customHeight="1" x14ac:dyDescent="0.3">
      <c r="A453" s="245" t="s">
        <v>2154</v>
      </c>
      <c r="B453" s="246">
        <v>46081</v>
      </c>
      <c r="C453" s="245"/>
      <c r="D453" s="245"/>
      <c r="E453" s="245"/>
      <c r="F453" s="245"/>
      <c r="G453" s="245" t="s">
        <v>2215</v>
      </c>
      <c r="H453" s="245" t="s">
        <v>2216</v>
      </c>
      <c r="I453" s="245" t="s">
        <v>2159</v>
      </c>
      <c r="J453" s="245" t="s">
        <v>2994</v>
      </c>
      <c r="K453" s="245" t="s">
        <v>2995</v>
      </c>
      <c r="L453" s="246">
        <v>46081</v>
      </c>
      <c r="M453" s="245" t="s">
        <v>2159</v>
      </c>
      <c r="N453" s="245" t="s">
        <v>2155</v>
      </c>
      <c r="O453" s="245" t="s">
        <v>1990</v>
      </c>
      <c r="P453" s="245" t="s">
        <v>111</v>
      </c>
      <c r="Q453" s="247">
        <v>7023981.2300000004</v>
      </c>
      <c r="R453" s="247">
        <v>86763.01</v>
      </c>
      <c r="S453" s="247">
        <v>5025.91</v>
      </c>
      <c r="T453" s="245" t="s">
        <v>1991</v>
      </c>
      <c r="U453" s="245" t="s">
        <v>2153</v>
      </c>
      <c r="V453" s="241" t="s">
        <v>1963</v>
      </c>
      <c r="W453" s="241" t="s">
        <v>93</v>
      </c>
      <c r="X453" s="241" t="s">
        <v>2156</v>
      </c>
    </row>
    <row r="454" spans="1:24" ht="13.5" customHeight="1" x14ac:dyDescent="0.3">
      <c r="A454" s="245" t="s">
        <v>2154</v>
      </c>
      <c r="B454" s="246">
        <v>46081</v>
      </c>
      <c r="C454" s="245"/>
      <c r="D454" s="245"/>
      <c r="E454" s="245"/>
      <c r="F454" s="245"/>
      <c r="G454" s="245" t="s">
        <v>2215</v>
      </c>
      <c r="H454" s="245" t="s">
        <v>2216</v>
      </c>
      <c r="I454" s="245" t="s">
        <v>2160</v>
      </c>
      <c r="J454" s="245" t="s">
        <v>2994</v>
      </c>
      <c r="K454" s="245" t="s">
        <v>2995</v>
      </c>
      <c r="L454" s="246">
        <v>46081</v>
      </c>
      <c r="M454" s="245" t="s">
        <v>2160</v>
      </c>
      <c r="N454" s="245" t="s">
        <v>2161</v>
      </c>
      <c r="O454" s="245" t="s">
        <v>2162</v>
      </c>
      <c r="P454" s="245" t="s">
        <v>111</v>
      </c>
      <c r="Q454" s="247">
        <v>-1580620.9</v>
      </c>
      <c r="R454" s="247">
        <v>-19524.46</v>
      </c>
      <c r="S454" s="247">
        <v>-1130.99</v>
      </c>
      <c r="T454" s="245" t="s">
        <v>1991</v>
      </c>
      <c r="U454" s="245" t="s">
        <v>2153</v>
      </c>
      <c r="V454" s="241" t="s">
        <v>1963</v>
      </c>
      <c r="W454" s="241" t="s">
        <v>93</v>
      </c>
      <c r="X454" s="241" t="s">
        <v>2156</v>
      </c>
    </row>
    <row r="455" spans="1:24" ht="13.5" customHeight="1" x14ac:dyDescent="0.3">
      <c r="A455" s="245" t="s">
        <v>2154</v>
      </c>
      <c r="B455" s="246">
        <v>46081</v>
      </c>
      <c r="C455" s="245"/>
      <c r="D455" s="245"/>
      <c r="E455" s="245"/>
      <c r="F455" s="245"/>
      <c r="G455" s="245" t="s">
        <v>2217</v>
      </c>
      <c r="H455" s="245" t="s">
        <v>2218</v>
      </c>
      <c r="I455" s="245" t="s">
        <v>2159</v>
      </c>
      <c r="J455" s="245" t="s">
        <v>2996</v>
      </c>
      <c r="K455" s="245" t="s">
        <v>2997</v>
      </c>
      <c r="L455" s="246">
        <v>46081</v>
      </c>
      <c r="M455" s="245" t="s">
        <v>2159</v>
      </c>
      <c r="N455" s="245" t="s">
        <v>2155</v>
      </c>
      <c r="O455" s="245" t="s">
        <v>1990</v>
      </c>
      <c r="P455" s="245" t="s">
        <v>111</v>
      </c>
      <c r="Q455" s="247">
        <v>1308728.58</v>
      </c>
      <c r="R455" s="247">
        <v>16165.94</v>
      </c>
      <c r="S455" s="247">
        <v>936.44</v>
      </c>
      <c r="T455" s="245" t="s">
        <v>1991</v>
      </c>
      <c r="U455" s="245" t="s">
        <v>2153</v>
      </c>
      <c r="V455" s="241" t="s">
        <v>1963</v>
      </c>
      <c r="W455" s="241" t="s">
        <v>93</v>
      </c>
      <c r="X455" s="241" t="s">
        <v>2156</v>
      </c>
    </row>
    <row r="456" spans="1:24" ht="13.5" customHeight="1" x14ac:dyDescent="0.3">
      <c r="A456" s="245" t="s">
        <v>2154</v>
      </c>
      <c r="B456" s="246">
        <v>46081</v>
      </c>
      <c r="C456" s="245"/>
      <c r="D456" s="245"/>
      <c r="E456" s="245"/>
      <c r="F456" s="245"/>
      <c r="G456" s="245" t="s">
        <v>2217</v>
      </c>
      <c r="H456" s="245" t="s">
        <v>2218</v>
      </c>
      <c r="I456" s="245" t="s">
        <v>2160</v>
      </c>
      <c r="J456" s="245" t="s">
        <v>2996</v>
      </c>
      <c r="K456" s="245" t="s">
        <v>2997</v>
      </c>
      <c r="L456" s="246">
        <v>46081</v>
      </c>
      <c r="M456" s="245" t="s">
        <v>2160</v>
      </c>
      <c r="N456" s="245" t="s">
        <v>2161</v>
      </c>
      <c r="O456" s="245" t="s">
        <v>2162</v>
      </c>
      <c r="P456" s="245" t="s">
        <v>111</v>
      </c>
      <c r="Q456" s="247">
        <v>-294505.88</v>
      </c>
      <c r="R456" s="247">
        <v>-3637.85</v>
      </c>
      <c r="S456" s="247">
        <v>-210.73</v>
      </c>
      <c r="T456" s="245" t="s">
        <v>1991</v>
      </c>
      <c r="U456" s="245" t="s">
        <v>2153</v>
      </c>
      <c r="V456" s="241" t="s">
        <v>1963</v>
      </c>
      <c r="W456" s="241" t="s">
        <v>93</v>
      </c>
      <c r="X456" s="241" t="s">
        <v>2156</v>
      </c>
    </row>
    <row r="457" spans="1:24" ht="13.5" customHeight="1" x14ac:dyDescent="0.3">
      <c r="A457" s="245" t="s">
        <v>2154</v>
      </c>
      <c r="B457" s="246">
        <v>46081</v>
      </c>
      <c r="C457" s="245"/>
      <c r="D457" s="245"/>
      <c r="E457" s="245"/>
      <c r="F457" s="245"/>
      <c r="G457" s="245" t="s">
        <v>2219</v>
      </c>
      <c r="H457" s="245" t="s">
        <v>2220</v>
      </c>
      <c r="I457" s="245" t="s">
        <v>2159</v>
      </c>
      <c r="J457" s="245" t="s">
        <v>2998</v>
      </c>
      <c r="K457" s="245" t="s">
        <v>2999</v>
      </c>
      <c r="L457" s="246">
        <v>46081</v>
      </c>
      <c r="M457" s="245" t="s">
        <v>2159</v>
      </c>
      <c r="N457" s="245" t="s">
        <v>2155</v>
      </c>
      <c r="O457" s="245" t="s">
        <v>1990</v>
      </c>
      <c r="P457" s="245" t="s">
        <v>111</v>
      </c>
      <c r="Q457" s="247">
        <v>4843943.7699999996</v>
      </c>
      <c r="R457" s="247">
        <v>59834.32</v>
      </c>
      <c r="S457" s="247">
        <v>3466.02</v>
      </c>
      <c r="T457" s="245" t="s">
        <v>1991</v>
      </c>
      <c r="U457" s="245" t="s">
        <v>2153</v>
      </c>
      <c r="V457" s="241" t="s">
        <v>1963</v>
      </c>
      <c r="W457" s="241" t="s">
        <v>93</v>
      </c>
      <c r="X457" s="241" t="s">
        <v>2156</v>
      </c>
    </row>
    <row r="458" spans="1:24" ht="13.5" customHeight="1" x14ac:dyDescent="0.3">
      <c r="A458" s="245" t="s">
        <v>2154</v>
      </c>
      <c r="B458" s="246">
        <v>46081</v>
      </c>
      <c r="C458" s="245"/>
      <c r="D458" s="245"/>
      <c r="E458" s="245"/>
      <c r="F458" s="245"/>
      <c r="G458" s="245" t="s">
        <v>2219</v>
      </c>
      <c r="H458" s="245" t="s">
        <v>2220</v>
      </c>
      <c r="I458" s="245" t="s">
        <v>2160</v>
      </c>
      <c r="J458" s="245" t="s">
        <v>2998</v>
      </c>
      <c r="K458" s="245" t="s">
        <v>2999</v>
      </c>
      <c r="L458" s="246">
        <v>46081</v>
      </c>
      <c r="M458" s="245" t="s">
        <v>2160</v>
      </c>
      <c r="N458" s="245" t="s">
        <v>2161</v>
      </c>
      <c r="O458" s="245" t="s">
        <v>2162</v>
      </c>
      <c r="P458" s="245" t="s">
        <v>111</v>
      </c>
      <c r="Q458" s="247">
        <v>-1090042.6000000001</v>
      </c>
      <c r="R458" s="247">
        <v>-13464.64</v>
      </c>
      <c r="S458" s="247">
        <v>-779.96</v>
      </c>
      <c r="T458" s="245" t="s">
        <v>1991</v>
      </c>
      <c r="U458" s="245" t="s">
        <v>2153</v>
      </c>
      <c r="V458" s="241" t="s">
        <v>1963</v>
      </c>
      <c r="W458" s="241" t="s">
        <v>93</v>
      </c>
      <c r="X458" s="241" t="s">
        <v>2156</v>
      </c>
    </row>
    <row r="459" spans="1:24" ht="13.5" customHeight="1" x14ac:dyDescent="0.3">
      <c r="A459" s="245" t="s">
        <v>2154</v>
      </c>
      <c r="B459" s="246">
        <v>46081</v>
      </c>
      <c r="C459" s="245"/>
      <c r="D459" s="245"/>
      <c r="E459" s="245"/>
      <c r="F459" s="245"/>
      <c r="G459" s="245" t="s">
        <v>2221</v>
      </c>
      <c r="H459" s="245" t="s">
        <v>2222</v>
      </c>
      <c r="I459" s="245" t="s">
        <v>2159</v>
      </c>
      <c r="J459" s="245" t="s">
        <v>3000</v>
      </c>
      <c r="K459" s="245" t="s">
        <v>3001</v>
      </c>
      <c r="L459" s="246">
        <v>46081</v>
      </c>
      <c r="M459" s="245" t="s">
        <v>2159</v>
      </c>
      <c r="N459" s="245" t="s">
        <v>2155</v>
      </c>
      <c r="O459" s="245" t="s">
        <v>1990</v>
      </c>
      <c r="P459" s="245" t="s">
        <v>111</v>
      </c>
      <c r="Q459" s="247">
        <v>1896516.27</v>
      </c>
      <c r="R459" s="247">
        <v>23426.52</v>
      </c>
      <c r="S459" s="247">
        <v>1357.03</v>
      </c>
      <c r="T459" s="245" t="s">
        <v>1991</v>
      </c>
      <c r="U459" s="245" t="s">
        <v>2153</v>
      </c>
      <c r="V459" s="241" t="s">
        <v>1963</v>
      </c>
      <c r="W459" s="241" t="s">
        <v>93</v>
      </c>
      <c r="X459" s="241" t="s">
        <v>2156</v>
      </c>
    </row>
    <row r="460" spans="1:24" ht="13.5" customHeight="1" x14ac:dyDescent="0.3">
      <c r="A460" s="245" t="s">
        <v>2154</v>
      </c>
      <c r="B460" s="246">
        <v>46081</v>
      </c>
      <c r="C460" s="245"/>
      <c r="D460" s="245"/>
      <c r="E460" s="245"/>
      <c r="F460" s="245"/>
      <c r="G460" s="245" t="s">
        <v>2221</v>
      </c>
      <c r="H460" s="245" t="s">
        <v>2222</v>
      </c>
      <c r="I460" s="245" t="s">
        <v>2160</v>
      </c>
      <c r="J460" s="245" t="s">
        <v>3000</v>
      </c>
      <c r="K460" s="245" t="s">
        <v>3001</v>
      </c>
      <c r="L460" s="246">
        <v>46081</v>
      </c>
      <c r="M460" s="245" t="s">
        <v>2160</v>
      </c>
      <c r="N460" s="245" t="s">
        <v>2161</v>
      </c>
      <c r="O460" s="245" t="s">
        <v>2162</v>
      </c>
      <c r="P460" s="245" t="s">
        <v>111</v>
      </c>
      <c r="Q460" s="247">
        <v>-426776.95</v>
      </c>
      <c r="R460" s="247">
        <v>-5271.72</v>
      </c>
      <c r="S460" s="247">
        <v>-305.37</v>
      </c>
      <c r="T460" s="245" t="s">
        <v>1991</v>
      </c>
      <c r="U460" s="245" t="s">
        <v>2153</v>
      </c>
      <c r="V460" s="241" t="s">
        <v>1963</v>
      </c>
      <c r="W460" s="241" t="s">
        <v>93</v>
      </c>
      <c r="X460" s="241" t="s">
        <v>2156</v>
      </c>
    </row>
    <row r="461" spans="1:24" ht="13.5" customHeight="1" x14ac:dyDescent="0.3">
      <c r="A461" s="245" t="s">
        <v>2154</v>
      </c>
      <c r="B461" s="246">
        <v>46081</v>
      </c>
      <c r="C461" s="245"/>
      <c r="D461" s="245"/>
      <c r="E461" s="245"/>
      <c r="F461" s="245"/>
      <c r="G461" s="245" t="s">
        <v>3002</v>
      </c>
      <c r="H461" s="245" t="s">
        <v>2324</v>
      </c>
      <c r="I461" s="245" t="s">
        <v>2159</v>
      </c>
      <c r="J461" s="245" t="s">
        <v>3003</v>
      </c>
      <c r="K461" s="245" t="s">
        <v>3004</v>
      </c>
      <c r="L461" s="246">
        <v>46081</v>
      </c>
      <c r="M461" s="245" t="s">
        <v>2159</v>
      </c>
      <c r="N461" s="245" t="s">
        <v>2155</v>
      </c>
      <c r="O461" s="245" t="s">
        <v>1990</v>
      </c>
      <c r="P461" s="245" t="s">
        <v>111</v>
      </c>
      <c r="Q461" s="247">
        <v>941240.41</v>
      </c>
      <c r="R461" s="247">
        <v>11626.58</v>
      </c>
      <c r="S461" s="247">
        <v>673.49</v>
      </c>
      <c r="T461" s="245" t="s">
        <v>1991</v>
      </c>
      <c r="U461" s="245" t="s">
        <v>2153</v>
      </c>
      <c r="V461" s="241" t="s">
        <v>1963</v>
      </c>
      <c r="W461" s="241" t="s">
        <v>93</v>
      </c>
      <c r="X461" s="241" t="s">
        <v>2156</v>
      </c>
    </row>
    <row r="462" spans="1:24" ht="13.5" customHeight="1" x14ac:dyDescent="0.3">
      <c r="A462" s="245" t="s">
        <v>2154</v>
      </c>
      <c r="B462" s="246">
        <v>46081</v>
      </c>
      <c r="C462" s="245"/>
      <c r="D462" s="245"/>
      <c r="E462" s="245"/>
      <c r="F462" s="245"/>
      <c r="G462" s="245" t="s">
        <v>3002</v>
      </c>
      <c r="H462" s="245" t="s">
        <v>2324</v>
      </c>
      <c r="I462" s="245" t="s">
        <v>2160</v>
      </c>
      <c r="J462" s="245" t="s">
        <v>3003</v>
      </c>
      <c r="K462" s="245" t="s">
        <v>3004</v>
      </c>
      <c r="L462" s="246">
        <v>46081</v>
      </c>
      <c r="M462" s="245" t="s">
        <v>2160</v>
      </c>
      <c r="N462" s="245" t="s">
        <v>2161</v>
      </c>
      <c r="O462" s="245" t="s">
        <v>2162</v>
      </c>
      <c r="P462" s="245" t="s">
        <v>111</v>
      </c>
      <c r="Q462" s="247">
        <v>-211809.26</v>
      </c>
      <c r="R462" s="247">
        <v>-2616.35</v>
      </c>
      <c r="S462" s="247">
        <v>-151.56</v>
      </c>
      <c r="T462" s="245" t="s">
        <v>1991</v>
      </c>
      <c r="U462" s="245" t="s">
        <v>2153</v>
      </c>
      <c r="V462" s="241" t="s">
        <v>1963</v>
      </c>
      <c r="W462" s="241" t="s">
        <v>93</v>
      </c>
      <c r="X462" s="241" t="s">
        <v>2156</v>
      </c>
    </row>
    <row r="463" spans="1:24" ht="13.5" customHeight="1" x14ac:dyDescent="0.3">
      <c r="A463" s="245" t="s">
        <v>2154</v>
      </c>
      <c r="B463" s="246">
        <v>46081</v>
      </c>
      <c r="C463" s="245"/>
      <c r="D463" s="245"/>
      <c r="E463" s="245"/>
      <c r="F463" s="245"/>
      <c r="G463" s="245" t="s">
        <v>2223</v>
      </c>
      <c r="H463" s="245" t="s">
        <v>2224</v>
      </c>
      <c r="I463" s="245" t="s">
        <v>2159</v>
      </c>
      <c r="J463" s="245" t="s">
        <v>3005</v>
      </c>
      <c r="K463" s="245" t="s">
        <v>3006</v>
      </c>
      <c r="L463" s="246">
        <v>46081</v>
      </c>
      <c r="M463" s="245" t="s">
        <v>2159</v>
      </c>
      <c r="N463" s="245" t="s">
        <v>2155</v>
      </c>
      <c r="O463" s="245" t="s">
        <v>1990</v>
      </c>
      <c r="P463" s="245" t="s">
        <v>111</v>
      </c>
      <c r="Q463" s="247">
        <v>560256.02</v>
      </c>
      <c r="R463" s="247">
        <v>6920.51</v>
      </c>
      <c r="S463" s="247">
        <v>400.88</v>
      </c>
      <c r="T463" s="245" t="s">
        <v>1991</v>
      </c>
      <c r="U463" s="245" t="s">
        <v>2153</v>
      </c>
      <c r="V463" s="241" t="s">
        <v>1963</v>
      </c>
      <c r="W463" s="241" t="s">
        <v>93</v>
      </c>
      <c r="X463" s="241" t="s">
        <v>2156</v>
      </c>
    </row>
    <row r="464" spans="1:24" ht="13.5" customHeight="1" x14ac:dyDescent="0.3">
      <c r="A464" s="245" t="s">
        <v>2154</v>
      </c>
      <c r="B464" s="246">
        <v>46081</v>
      </c>
      <c r="C464" s="245"/>
      <c r="D464" s="245"/>
      <c r="E464" s="245"/>
      <c r="F464" s="245"/>
      <c r="G464" s="245" t="s">
        <v>2223</v>
      </c>
      <c r="H464" s="245" t="s">
        <v>2224</v>
      </c>
      <c r="I464" s="245" t="s">
        <v>2160</v>
      </c>
      <c r="J464" s="245" t="s">
        <v>3005</v>
      </c>
      <c r="K464" s="245" t="s">
        <v>3006</v>
      </c>
      <c r="L464" s="246">
        <v>46081</v>
      </c>
      <c r="M464" s="245" t="s">
        <v>2160</v>
      </c>
      <c r="N464" s="245" t="s">
        <v>2161</v>
      </c>
      <c r="O464" s="245" t="s">
        <v>2162</v>
      </c>
      <c r="P464" s="245" t="s">
        <v>111</v>
      </c>
      <c r="Q464" s="247">
        <v>-126075.56</v>
      </c>
      <c r="R464" s="247">
        <v>-1557.34</v>
      </c>
      <c r="S464" s="247">
        <v>-90.21</v>
      </c>
      <c r="T464" s="245" t="s">
        <v>1991</v>
      </c>
      <c r="U464" s="245" t="s">
        <v>2153</v>
      </c>
      <c r="V464" s="241" t="s">
        <v>1963</v>
      </c>
      <c r="W464" s="241" t="s">
        <v>93</v>
      </c>
      <c r="X464" s="241" t="s">
        <v>2156</v>
      </c>
    </row>
    <row r="465" spans="1:24" ht="13.5" customHeight="1" x14ac:dyDescent="0.3">
      <c r="A465" s="245" t="s">
        <v>2154</v>
      </c>
      <c r="B465" s="246">
        <v>46081</v>
      </c>
      <c r="C465" s="245"/>
      <c r="D465" s="245"/>
      <c r="E465" s="245"/>
      <c r="F465" s="245"/>
      <c r="G465" s="245" t="s">
        <v>2225</v>
      </c>
      <c r="H465" s="245" t="s">
        <v>2226</v>
      </c>
      <c r="I465" s="245" t="s">
        <v>2159</v>
      </c>
      <c r="J465" s="245" t="s">
        <v>3007</v>
      </c>
      <c r="K465" s="245" t="s">
        <v>3008</v>
      </c>
      <c r="L465" s="246">
        <v>46081</v>
      </c>
      <c r="M465" s="245" t="s">
        <v>2159</v>
      </c>
      <c r="N465" s="245" t="s">
        <v>2155</v>
      </c>
      <c r="O465" s="245" t="s">
        <v>1990</v>
      </c>
      <c r="P465" s="245" t="s">
        <v>111</v>
      </c>
      <c r="Q465" s="247">
        <v>1325400.78</v>
      </c>
      <c r="R465" s="247">
        <v>16371.88</v>
      </c>
      <c r="S465" s="247">
        <v>948.37</v>
      </c>
      <c r="T465" s="245" t="s">
        <v>1991</v>
      </c>
      <c r="U465" s="245" t="s">
        <v>2153</v>
      </c>
      <c r="V465" s="241" t="s">
        <v>1963</v>
      </c>
      <c r="W465" s="241" t="s">
        <v>93</v>
      </c>
      <c r="X465" s="241" t="s">
        <v>2156</v>
      </c>
    </row>
    <row r="466" spans="1:24" ht="13.5" customHeight="1" x14ac:dyDescent="0.3">
      <c r="A466" s="245" t="s">
        <v>2154</v>
      </c>
      <c r="B466" s="246">
        <v>46081</v>
      </c>
      <c r="C466" s="245"/>
      <c r="D466" s="245"/>
      <c r="E466" s="245"/>
      <c r="F466" s="245"/>
      <c r="G466" s="245" t="s">
        <v>2225</v>
      </c>
      <c r="H466" s="245" t="s">
        <v>2226</v>
      </c>
      <c r="I466" s="245" t="s">
        <v>2160</v>
      </c>
      <c r="J466" s="245" t="s">
        <v>3007</v>
      </c>
      <c r="K466" s="245" t="s">
        <v>3008</v>
      </c>
      <c r="L466" s="246">
        <v>46081</v>
      </c>
      <c r="M466" s="245" t="s">
        <v>2160</v>
      </c>
      <c r="N466" s="245" t="s">
        <v>2161</v>
      </c>
      <c r="O466" s="245" t="s">
        <v>2162</v>
      </c>
      <c r="P466" s="245" t="s">
        <v>111</v>
      </c>
      <c r="Q466" s="247">
        <v>-298257.65999999997</v>
      </c>
      <c r="R466" s="247">
        <v>-3684.2</v>
      </c>
      <c r="S466" s="247">
        <v>-213.41</v>
      </c>
      <c r="T466" s="245" t="s">
        <v>1991</v>
      </c>
      <c r="U466" s="245" t="s">
        <v>2153</v>
      </c>
      <c r="V466" s="241" t="s">
        <v>1963</v>
      </c>
      <c r="W466" s="241" t="s">
        <v>93</v>
      </c>
      <c r="X466" s="241" t="s">
        <v>2156</v>
      </c>
    </row>
    <row r="467" spans="1:24" ht="13.5" customHeight="1" x14ac:dyDescent="0.3">
      <c r="A467" s="245" t="s">
        <v>2154</v>
      </c>
      <c r="B467" s="246">
        <v>46081</v>
      </c>
      <c r="C467" s="245"/>
      <c r="D467" s="245"/>
      <c r="E467" s="245"/>
      <c r="F467" s="245"/>
      <c r="G467" s="245" t="s">
        <v>2227</v>
      </c>
      <c r="H467" s="245" t="s">
        <v>2228</v>
      </c>
      <c r="I467" s="245" t="s">
        <v>2159</v>
      </c>
      <c r="J467" s="245" t="s">
        <v>3009</v>
      </c>
      <c r="K467" s="245" t="s">
        <v>3010</v>
      </c>
      <c r="L467" s="246">
        <v>46081</v>
      </c>
      <c r="M467" s="245" t="s">
        <v>2159</v>
      </c>
      <c r="N467" s="245" t="s">
        <v>2155</v>
      </c>
      <c r="O467" s="245" t="s">
        <v>1990</v>
      </c>
      <c r="P467" s="245" t="s">
        <v>111</v>
      </c>
      <c r="Q467" s="247">
        <v>1565978.29</v>
      </c>
      <c r="R467" s="247">
        <v>19343.59</v>
      </c>
      <c r="S467" s="247">
        <v>1120.51</v>
      </c>
      <c r="T467" s="245" t="s">
        <v>1991</v>
      </c>
      <c r="U467" s="245" t="s">
        <v>2153</v>
      </c>
      <c r="V467" s="241" t="s">
        <v>1963</v>
      </c>
      <c r="W467" s="241" t="s">
        <v>93</v>
      </c>
      <c r="X467" s="241" t="s">
        <v>2156</v>
      </c>
    </row>
    <row r="468" spans="1:24" ht="13.5" customHeight="1" x14ac:dyDescent="0.3">
      <c r="A468" s="245" t="s">
        <v>2154</v>
      </c>
      <c r="B468" s="246">
        <v>46081</v>
      </c>
      <c r="C468" s="245"/>
      <c r="D468" s="245"/>
      <c r="E468" s="245"/>
      <c r="F468" s="245"/>
      <c r="G468" s="245" t="s">
        <v>2227</v>
      </c>
      <c r="H468" s="245" t="s">
        <v>2228</v>
      </c>
      <c r="I468" s="245" t="s">
        <v>2160</v>
      </c>
      <c r="J468" s="245" t="s">
        <v>3009</v>
      </c>
      <c r="K468" s="245" t="s">
        <v>3010</v>
      </c>
      <c r="L468" s="246">
        <v>46081</v>
      </c>
      <c r="M468" s="245" t="s">
        <v>2160</v>
      </c>
      <c r="N468" s="245" t="s">
        <v>2161</v>
      </c>
      <c r="O468" s="245" t="s">
        <v>2162</v>
      </c>
      <c r="P468" s="245" t="s">
        <v>111</v>
      </c>
      <c r="Q468" s="247">
        <v>-352395.31</v>
      </c>
      <c r="R468" s="247">
        <v>-4352.93</v>
      </c>
      <c r="S468" s="247">
        <v>-252.15</v>
      </c>
      <c r="T468" s="245" t="s">
        <v>1991</v>
      </c>
      <c r="U468" s="245" t="s">
        <v>2153</v>
      </c>
      <c r="V468" s="241" t="s">
        <v>1963</v>
      </c>
      <c r="W468" s="241" t="s">
        <v>93</v>
      </c>
      <c r="X468" s="241" t="s">
        <v>2156</v>
      </c>
    </row>
    <row r="469" spans="1:24" ht="13.5" customHeight="1" x14ac:dyDescent="0.3">
      <c r="A469" s="245" t="s">
        <v>2154</v>
      </c>
      <c r="B469" s="246">
        <v>46081</v>
      </c>
      <c r="C469" s="245"/>
      <c r="D469" s="245"/>
      <c r="E469" s="245"/>
      <c r="F469" s="245"/>
      <c r="G469" s="245" t="s">
        <v>2229</v>
      </c>
      <c r="H469" s="245" t="s">
        <v>2230</v>
      </c>
      <c r="I469" s="245" t="s">
        <v>2159</v>
      </c>
      <c r="J469" s="245" t="s">
        <v>3011</v>
      </c>
      <c r="K469" s="245" t="s">
        <v>3012</v>
      </c>
      <c r="L469" s="246">
        <v>46081</v>
      </c>
      <c r="M469" s="245" t="s">
        <v>2159</v>
      </c>
      <c r="N469" s="245" t="s">
        <v>2155</v>
      </c>
      <c r="O469" s="245" t="s">
        <v>1990</v>
      </c>
      <c r="P469" s="245" t="s">
        <v>111</v>
      </c>
      <c r="Q469" s="247">
        <v>165324.51999999999</v>
      </c>
      <c r="R469" s="247">
        <v>2042.15</v>
      </c>
      <c r="S469" s="247">
        <v>118.3</v>
      </c>
      <c r="T469" s="245" t="s">
        <v>1991</v>
      </c>
      <c r="U469" s="245" t="s">
        <v>2153</v>
      </c>
      <c r="V469" s="241" t="s">
        <v>1963</v>
      </c>
      <c r="W469" s="241" t="s">
        <v>93</v>
      </c>
      <c r="X469" s="241" t="s">
        <v>2156</v>
      </c>
    </row>
    <row r="470" spans="1:24" ht="13.5" customHeight="1" x14ac:dyDescent="0.3">
      <c r="A470" s="245" t="s">
        <v>2154</v>
      </c>
      <c r="B470" s="246">
        <v>46081</v>
      </c>
      <c r="C470" s="245"/>
      <c r="D470" s="245"/>
      <c r="E470" s="245"/>
      <c r="F470" s="245"/>
      <c r="G470" s="245" t="s">
        <v>2229</v>
      </c>
      <c r="H470" s="245" t="s">
        <v>2230</v>
      </c>
      <c r="I470" s="245" t="s">
        <v>2160</v>
      </c>
      <c r="J470" s="245" t="s">
        <v>3011</v>
      </c>
      <c r="K470" s="245" t="s">
        <v>3012</v>
      </c>
      <c r="L470" s="246">
        <v>46081</v>
      </c>
      <c r="M470" s="245" t="s">
        <v>2160</v>
      </c>
      <c r="N470" s="245" t="s">
        <v>2161</v>
      </c>
      <c r="O470" s="245" t="s">
        <v>2162</v>
      </c>
      <c r="P470" s="245" t="s">
        <v>111</v>
      </c>
      <c r="Q470" s="247">
        <v>-37203.32</v>
      </c>
      <c r="R470" s="247">
        <v>-459.55</v>
      </c>
      <c r="S470" s="247">
        <v>-26.62</v>
      </c>
      <c r="T470" s="245" t="s">
        <v>1991</v>
      </c>
      <c r="U470" s="245" t="s">
        <v>2153</v>
      </c>
      <c r="V470" s="241" t="s">
        <v>1963</v>
      </c>
      <c r="W470" s="241" t="s">
        <v>93</v>
      </c>
      <c r="X470" s="241" t="s">
        <v>2156</v>
      </c>
    </row>
    <row r="471" spans="1:24" ht="13.5" customHeight="1" x14ac:dyDescent="0.3">
      <c r="A471" s="245" t="s">
        <v>2154</v>
      </c>
      <c r="B471" s="246">
        <v>46081</v>
      </c>
      <c r="C471" s="245"/>
      <c r="D471" s="245"/>
      <c r="E471" s="245"/>
      <c r="F471" s="245"/>
      <c r="G471" s="245" t="s">
        <v>3013</v>
      </c>
      <c r="H471" s="245" t="s">
        <v>2319</v>
      </c>
      <c r="I471" s="245" t="s">
        <v>3014</v>
      </c>
      <c r="J471" s="245" t="s">
        <v>3015</v>
      </c>
      <c r="K471" s="245" t="s">
        <v>3016</v>
      </c>
      <c r="L471" s="246">
        <v>46081</v>
      </c>
      <c r="M471" s="245" t="s">
        <v>3014</v>
      </c>
      <c r="N471" s="245" t="s">
        <v>2155</v>
      </c>
      <c r="O471" s="245" t="s">
        <v>1990</v>
      </c>
      <c r="P471" s="245" t="s">
        <v>111</v>
      </c>
      <c r="Q471" s="247">
        <v>711256.74</v>
      </c>
      <c r="R471" s="247">
        <v>8785.73</v>
      </c>
      <c r="S471" s="247">
        <v>508.93</v>
      </c>
      <c r="T471" s="245" t="s">
        <v>1991</v>
      </c>
      <c r="U471" s="245" t="s">
        <v>2153</v>
      </c>
      <c r="V471" s="241" t="s">
        <v>1963</v>
      </c>
      <c r="W471" s="241" t="s">
        <v>93</v>
      </c>
      <c r="X471" s="241" t="s">
        <v>2156</v>
      </c>
    </row>
    <row r="472" spans="1:24" ht="13.5" customHeight="1" x14ac:dyDescent="0.3">
      <c r="A472" s="245" t="s">
        <v>2154</v>
      </c>
      <c r="B472" s="246">
        <v>46081</v>
      </c>
      <c r="C472" s="245"/>
      <c r="D472" s="245"/>
      <c r="E472" s="245"/>
      <c r="F472" s="245"/>
      <c r="G472" s="245" t="s">
        <v>2231</v>
      </c>
      <c r="H472" s="245" t="s">
        <v>2232</v>
      </c>
      <c r="I472" s="245" t="s">
        <v>2205</v>
      </c>
      <c r="J472" s="245" t="s">
        <v>3017</v>
      </c>
      <c r="K472" s="245" t="s">
        <v>3018</v>
      </c>
      <c r="L472" s="246">
        <v>46081</v>
      </c>
      <c r="M472" s="245" t="s">
        <v>2205</v>
      </c>
      <c r="N472" s="245" t="s">
        <v>2155</v>
      </c>
      <c r="O472" s="245" t="s">
        <v>1990</v>
      </c>
      <c r="P472" s="245" t="s">
        <v>111</v>
      </c>
      <c r="Q472" s="247">
        <v>13885887.27</v>
      </c>
      <c r="R472" s="247">
        <v>171524.01</v>
      </c>
      <c r="S472" s="247">
        <v>9935.85</v>
      </c>
      <c r="T472" s="245" t="s">
        <v>1991</v>
      </c>
      <c r="U472" s="245" t="s">
        <v>2153</v>
      </c>
      <c r="V472" s="241" t="s">
        <v>1963</v>
      </c>
      <c r="W472" s="241" t="s">
        <v>100</v>
      </c>
      <c r="X472" s="241" t="s">
        <v>2156</v>
      </c>
    </row>
    <row r="473" spans="1:24" ht="13.5" customHeight="1" x14ac:dyDescent="0.3">
      <c r="A473" s="245" t="s">
        <v>2154</v>
      </c>
      <c r="B473" s="246">
        <v>46081</v>
      </c>
      <c r="C473" s="245"/>
      <c r="D473" s="245"/>
      <c r="E473" s="245"/>
      <c r="F473" s="245"/>
      <c r="G473" s="245" t="s">
        <v>2231</v>
      </c>
      <c r="H473" s="245" t="s">
        <v>2232</v>
      </c>
      <c r="I473" s="245" t="s">
        <v>2206</v>
      </c>
      <c r="J473" s="245" t="s">
        <v>3017</v>
      </c>
      <c r="K473" s="245" t="s">
        <v>3018</v>
      </c>
      <c r="L473" s="246">
        <v>46081</v>
      </c>
      <c r="M473" s="245" t="s">
        <v>2206</v>
      </c>
      <c r="N473" s="245" t="s">
        <v>2161</v>
      </c>
      <c r="O473" s="245" t="s">
        <v>2162</v>
      </c>
      <c r="P473" s="245" t="s">
        <v>111</v>
      </c>
      <c r="Q473" s="247">
        <v>-3103985.89</v>
      </c>
      <c r="R473" s="247">
        <v>-38341.67</v>
      </c>
      <c r="S473" s="247">
        <v>-2221.0100000000002</v>
      </c>
      <c r="T473" s="245" t="s">
        <v>1991</v>
      </c>
      <c r="U473" s="245" t="s">
        <v>2153</v>
      </c>
      <c r="V473" s="241" t="s">
        <v>1963</v>
      </c>
      <c r="W473" s="241" t="s">
        <v>100</v>
      </c>
      <c r="X473" s="241" t="s">
        <v>2156</v>
      </c>
    </row>
    <row r="474" spans="1:24" ht="13.5" customHeight="1" x14ac:dyDescent="0.3">
      <c r="A474" s="245" t="s">
        <v>2154</v>
      </c>
      <c r="B474" s="246">
        <v>46081</v>
      </c>
      <c r="C474" s="245"/>
      <c r="D474" s="245"/>
      <c r="E474" s="245"/>
      <c r="F474" s="245"/>
      <c r="G474" s="245" t="s">
        <v>2233</v>
      </c>
      <c r="H474" s="245" t="s">
        <v>2234</v>
      </c>
      <c r="I474" s="245" t="s">
        <v>2159</v>
      </c>
      <c r="J474" s="245" t="s">
        <v>3019</v>
      </c>
      <c r="K474" s="245" t="s">
        <v>3020</v>
      </c>
      <c r="L474" s="246">
        <v>46081</v>
      </c>
      <c r="M474" s="245" t="s">
        <v>2159</v>
      </c>
      <c r="N474" s="245" t="s">
        <v>2155</v>
      </c>
      <c r="O474" s="245" t="s">
        <v>1990</v>
      </c>
      <c r="P474" s="245" t="s">
        <v>111</v>
      </c>
      <c r="Q474" s="247">
        <v>63903.05</v>
      </c>
      <c r="R474" s="247">
        <v>789.36</v>
      </c>
      <c r="S474" s="247">
        <v>45.72</v>
      </c>
      <c r="T474" s="245" t="s">
        <v>1991</v>
      </c>
      <c r="U474" s="245" t="s">
        <v>2153</v>
      </c>
      <c r="V474" s="241" t="s">
        <v>1963</v>
      </c>
      <c r="W474" s="241" t="s">
        <v>93</v>
      </c>
      <c r="X474" s="241" t="s">
        <v>2156</v>
      </c>
    </row>
    <row r="475" spans="1:24" ht="13.5" customHeight="1" x14ac:dyDescent="0.3">
      <c r="A475" s="245" t="s">
        <v>2154</v>
      </c>
      <c r="B475" s="246">
        <v>46081</v>
      </c>
      <c r="C475" s="245"/>
      <c r="D475" s="245"/>
      <c r="E475" s="245"/>
      <c r="F475" s="245"/>
      <c r="G475" s="245" t="s">
        <v>2233</v>
      </c>
      <c r="H475" s="245" t="s">
        <v>2234</v>
      </c>
      <c r="I475" s="245" t="s">
        <v>2160</v>
      </c>
      <c r="J475" s="245" t="s">
        <v>3019</v>
      </c>
      <c r="K475" s="245" t="s">
        <v>3020</v>
      </c>
      <c r="L475" s="246">
        <v>46081</v>
      </c>
      <c r="M475" s="245" t="s">
        <v>2160</v>
      </c>
      <c r="N475" s="245" t="s">
        <v>2161</v>
      </c>
      <c r="O475" s="245" t="s">
        <v>2162</v>
      </c>
      <c r="P475" s="245" t="s">
        <v>111</v>
      </c>
      <c r="Q475" s="247">
        <v>-14380.23</v>
      </c>
      <c r="R475" s="247">
        <v>-177.63</v>
      </c>
      <c r="S475" s="247">
        <v>-10.29</v>
      </c>
      <c r="T475" s="245" t="s">
        <v>1991</v>
      </c>
      <c r="U475" s="245" t="s">
        <v>2153</v>
      </c>
      <c r="V475" s="241" t="s">
        <v>1963</v>
      </c>
      <c r="W475" s="241" t="s">
        <v>93</v>
      </c>
      <c r="X475" s="241" t="s">
        <v>2156</v>
      </c>
    </row>
    <row r="476" spans="1:24" ht="13.5" customHeight="1" x14ac:dyDescent="0.3">
      <c r="A476" s="245" t="s">
        <v>2154</v>
      </c>
      <c r="B476" s="246">
        <v>46081</v>
      </c>
      <c r="C476" s="245"/>
      <c r="D476" s="245"/>
      <c r="E476" s="245"/>
      <c r="F476" s="245"/>
      <c r="G476" s="245" t="s">
        <v>2235</v>
      </c>
      <c r="H476" s="245" t="s">
        <v>2236</v>
      </c>
      <c r="I476" s="245" t="s">
        <v>2159</v>
      </c>
      <c r="J476" s="245" t="s">
        <v>3021</v>
      </c>
      <c r="K476" s="245" t="s">
        <v>3022</v>
      </c>
      <c r="L476" s="246">
        <v>46081</v>
      </c>
      <c r="M476" s="245" t="s">
        <v>2159</v>
      </c>
      <c r="N476" s="245" t="s">
        <v>2155</v>
      </c>
      <c r="O476" s="245" t="s">
        <v>1990</v>
      </c>
      <c r="P476" s="245" t="s">
        <v>111</v>
      </c>
      <c r="Q476" s="247">
        <v>1482255.8</v>
      </c>
      <c r="R476" s="247">
        <v>18309.41</v>
      </c>
      <c r="S476" s="247">
        <v>1060.6099999999999</v>
      </c>
      <c r="T476" s="245" t="s">
        <v>1991</v>
      </c>
      <c r="U476" s="245" t="s">
        <v>2153</v>
      </c>
      <c r="V476" s="241" t="s">
        <v>1963</v>
      </c>
      <c r="W476" s="241" t="s">
        <v>93</v>
      </c>
      <c r="X476" s="241" t="s">
        <v>2156</v>
      </c>
    </row>
    <row r="477" spans="1:24" ht="13.5" customHeight="1" x14ac:dyDescent="0.3">
      <c r="A477" s="245" t="s">
        <v>2154</v>
      </c>
      <c r="B477" s="246">
        <v>46081</v>
      </c>
      <c r="C477" s="245"/>
      <c r="D477" s="245"/>
      <c r="E477" s="245"/>
      <c r="F477" s="245"/>
      <c r="G477" s="245" t="s">
        <v>2235</v>
      </c>
      <c r="H477" s="245" t="s">
        <v>2236</v>
      </c>
      <c r="I477" s="245" t="s">
        <v>2160</v>
      </c>
      <c r="J477" s="245" t="s">
        <v>3021</v>
      </c>
      <c r="K477" s="245" t="s">
        <v>3022</v>
      </c>
      <c r="L477" s="246">
        <v>46081</v>
      </c>
      <c r="M477" s="245" t="s">
        <v>2160</v>
      </c>
      <c r="N477" s="245" t="s">
        <v>2161</v>
      </c>
      <c r="O477" s="245" t="s">
        <v>2162</v>
      </c>
      <c r="P477" s="245" t="s">
        <v>111</v>
      </c>
      <c r="Q477" s="247">
        <v>-333555.06</v>
      </c>
      <c r="R477" s="247">
        <v>-4120.2</v>
      </c>
      <c r="S477" s="247">
        <v>-238.67</v>
      </c>
      <c r="T477" s="245" t="s">
        <v>1991</v>
      </c>
      <c r="U477" s="245" t="s">
        <v>2153</v>
      </c>
      <c r="V477" s="241" t="s">
        <v>1963</v>
      </c>
      <c r="W477" s="241" t="s">
        <v>93</v>
      </c>
      <c r="X477" s="241" t="s">
        <v>2156</v>
      </c>
    </row>
    <row r="478" spans="1:24" ht="13.5" customHeight="1" x14ac:dyDescent="0.3">
      <c r="A478" s="245" t="s">
        <v>2154</v>
      </c>
      <c r="B478" s="246">
        <v>46081</v>
      </c>
      <c r="C478" s="245"/>
      <c r="D478" s="245"/>
      <c r="E478" s="245"/>
      <c r="F478" s="245"/>
      <c r="G478" s="245" t="s">
        <v>2237</v>
      </c>
      <c r="H478" s="245" t="s">
        <v>2238</v>
      </c>
      <c r="I478" s="245" t="s">
        <v>2159</v>
      </c>
      <c r="J478" s="245" t="s">
        <v>3023</v>
      </c>
      <c r="K478" s="245" t="s">
        <v>3024</v>
      </c>
      <c r="L478" s="246">
        <v>46081</v>
      </c>
      <c r="M478" s="245" t="s">
        <v>2159</v>
      </c>
      <c r="N478" s="245" t="s">
        <v>2155</v>
      </c>
      <c r="O478" s="245" t="s">
        <v>1990</v>
      </c>
      <c r="P478" s="245" t="s">
        <v>111</v>
      </c>
      <c r="Q478" s="247">
        <v>990493.31</v>
      </c>
      <c r="R478" s="247">
        <v>12234.97</v>
      </c>
      <c r="S478" s="247">
        <v>708.73</v>
      </c>
      <c r="T478" s="245" t="s">
        <v>1991</v>
      </c>
      <c r="U478" s="245" t="s">
        <v>2153</v>
      </c>
      <c r="V478" s="241" t="s">
        <v>1963</v>
      </c>
      <c r="W478" s="241" t="s">
        <v>93</v>
      </c>
      <c r="X478" s="241" t="s">
        <v>2156</v>
      </c>
    </row>
    <row r="479" spans="1:24" ht="13.5" customHeight="1" x14ac:dyDescent="0.3">
      <c r="A479" s="245" t="s">
        <v>2154</v>
      </c>
      <c r="B479" s="246">
        <v>46081</v>
      </c>
      <c r="C479" s="245"/>
      <c r="D479" s="245"/>
      <c r="E479" s="245"/>
      <c r="F479" s="245"/>
      <c r="G479" s="245" t="s">
        <v>2237</v>
      </c>
      <c r="H479" s="245" t="s">
        <v>2238</v>
      </c>
      <c r="I479" s="245" t="s">
        <v>2160</v>
      </c>
      <c r="J479" s="245" t="s">
        <v>3023</v>
      </c>
      <c r="K479" s="245" t="s">
        <v>3024</v>
      </c>
      <c r="L479" s="246">
        <v>46081</v>
      </c>
      <c r="M479" s="245" t="s">
        <v>2160</v>
      </c>
      <c r="N479" s="245" t="s">
        <v>2161</v>
      </c>
      <c r="O479" s="245" t="s">
        <v>2162</v>
      </c>
      <c r="P479" s="245" t="s">
        <v>111</v>
      </c>
      <c r="Q479" s="247">
        <v>-222892.74</v>
      </c>
      <c r="R479" s="247">
        <v>-2753.26</v>
      </c>
      <c r="S479" s="247">
        <v>-159.49</v>
      </c>
      <c r="T479" s="245" t="s">
        <v>1991</v>
      </c>
      <c r="U479" s="245" t="s">
        <v>2153</v>
      </c>
      <c r="V479" s="241" t="s">
        <v>1963</v>
      </c>
      <c r="W479" s="241" t="s">
        <v>93</v>
      </c>
      <c r="X479" s="241" t="s">
        <v>2156</v>
      </c>
    </row>
    <row r="480" spans="1:24" ht="13.5" customHeight="1" x14ac:dyDescent="0.3">
      <c r="A480" s="245" t="s">
        <v>2154</v>
      </c>
      <c r="B480" s="246">
        <v>46081</v>
      </c>
      <c r="C480" s="245"/>
      <c r="D480" s="245"/>
      <c r="E480" s="245"/>
      <c r="F480" s="245"/>
      <c r="G480" s="245" t="s">
        <v>2239</v>
      </c>
      <c r="H480" s="245" t="s">
        <v>2240</v>
      </c>
      <c r="I480" s="245" t="s">
        <v>2159</v>
      </c>
      <c r="J480" s="245" t="s">
        <v>3025</v>
      </c>
      <c r="K480" s="245" t="s">
        <v>3026</v>
      </c>
      <c r="L480" s="246">
        <v>46081</v>
      </c>
      <c r="M480" s="245" t="s">
        <v>2159</v>
      </c>
      <c r="N480" s="245" t="s">
        <v>2155</v>
      </c>
      <c r="O480" s="245" t="s">
        <v>1990</v>
      </c>
      <c r="P480" s="245" t="s">
        <v>111</v>
      </c>
      <c r="Q480" s="247">
        <v>823313.56</v>
      </c>
      <c r="R480" s="247">
        <v>10169.9</v>
      </c>
      <c r="S480" s="247">
        <v>589.11</v>
      </c>
      <c r="T480" s="245" t="s">
        <v>1991</v>
      </c>
      <c r="U480" s="245" t="s">
        <v>2153</v>
      </c>
      <c r="V480" s="241" t="s">
        <v>1963</v>
      </c>
      <c r="W480" s="241" t="s">
        <v>93</v>
      </c>
      <c r="X480" s="241" t="s">
        <v>2156</v>
      </c>
    </row>
    <row r="481" spans="1:24" ht="13.5" customHeight="1" x14ac:dyDescent="0.3">
      <c r="A481" s="245" t="s">
        <v>2154</v>
      </c>
      <c r="B481" s="246">
        <v>46081</v>
      </c>
      <c r="C481" s="245"/>
      <c r="D481" s="245"/>
      <c r="E481" s="245"/>
      <c r="F481" s="245"/>
      <c r="G481" s="245" t="s">
        <v>2239</v>
      </c>
      <c r="H481" s="245" t="s">
        <v>2240</v>
      </c>
      <c r="I481" s="245" t="s">
        <v>2160</v>
      </c>
      <c r="J481" s="245" t="s">
        <v>3025</v>
      </c>
      <c r="K481" s="245" t="s">
        <v>3026</v>
      </c>
      <c r="L481" s="246">
        <v>46081</v>
      </c>
      <c r="M481" s="245" t="s">
        <v>2160</v>
      </c>
      <c r="N481" s="245" t="s">
        <v>2161</v>
      </c>
      <c r="O481" s="245" t="s">
        <v>2162</v>
      </c>
      <c r="P481" s="245" t="s">
        <v>111</v>
      </c>
      <c r="Q481" s="247">
        <v>-185271.94</v>
      </c>
      <c r="R481" s="247">
        <v>-2288.5500000000002</v>
      </c>
      <c r="S481" s="247">
        <v>-132.57</v>
      </c>
      <c r="T481" s="245" t="s">
        <v>1991</v>
      </c>
      <c r="U481" s="245" t="s">
        <v>2153</v>
      </c>
      <c r="V481" s="241" t="s">
        <v>1963</v>
      </c>
      <c r="W481" s="241" t="s">
        <v>93</v>
      </c>
      <c r="X481" s="241" t="s">
        <v>2156</v>
      </c>
    </row>
    <row r="482" spans="1:24" ht="13.5" customHeight="1" x14ac:dyDescent="0.3">
      <c r="A482" s="245" t="s">
        <v>2154</v>
      </c>
      <c r="B482" s="246">
        <v>46081</v>
      </c>
      <c r="C482" s="245"/>
      <c r="D482" s="245"/>
      <c r="E482" s="245"/>
      <c r="F482" s="245"/>
      <c r="G482" s="245" t="s">
        <v>2241</v>
      </c>
      <c r="H482" s="245" t="s">
        <v>2242</v>
      </c>
      <c r="I482" s="245" t="s">
        <v>2159</v>
      </c>
      <c r="J482" s="245" t="s">
        <v>3027</v>
      </c>
      <c r="K482" s="245" t="s">
        <v>3028</v>
      </c>
      <c r="L482" s="246">
        <v>46081</v>
      </c>
      <c r="M482" s="245" t="s">
        <v>2159</v>
      </c>
      <c r="N482" s="245" t="s">
        <v>2155</v>
      </c>
      <c r="O482" s="245" t="s">
        <v>1990</v>
      </c>
      <c r="P482" s="245" t="s">
        <v>111</v>
      </c>
      <c r="Q482" s="247">
        <v>2096516.34</v>
      </c>
      <c r="R482" s="247">
        <v>25897</v>
      </c>
      <c r="S482" s="247">
        <v>1500.13</v>
      </c>
      <c r="T482" s="245" t="s">
        <v>1991</v>
      </c>
      <c r="U482" s="245" t="s">
        <v>2153</v>
      </c>
      <c r="V482" s="241" t="s">
        <v>1963</v>
      </c>
      <c r="W482" s="241" t="s">
        <v>93</v>
      </c>
      <c r="X482" s="241" t="s">
        <v>2156</v>
      </c>
    </row>
    <row r="483" spans="1:24" ht="13.5" customHeight="1" x14ac:dyDescent="0.3">
      <c r="A483" s="245" t="s">
        <v>2154</v>
      </c>
      <c r="B483" s="246">
        <v>46081</v>
      </c>
      <c r="C483" s="245"/>
      <c r="D483" s="245"/>
      <c r="E483" s="245"/>
      <c r="F483" s="245"/>
      <c r="G483" s="245" t="s">
        <v>2241</v>
      </c>
      <c r="H483" s="245" t="s">
        <v>2242</v>
      </c>
      <c r="I483" s="245" t="s">
        <v>2160</v>
      </c>
      <c r="J483" s="245" t="s">
        <v>3027</v>
      </c>
      <c r="K483" s="245" t="s">
        <v>3028</v>
      </c>
      <c r="L483" s="246">
        <v>46081</v>
      </c>
      <c r="M483" s="245" t="s">
        <v>2160</v>
      </c>
      <c r="N483" s="245" t="s">
        <v>2161</v>
      </c>
      <c r="O483" s="245" t="s">
        <v>2162</v>
      </c>
      <c r="P483" s="245" t="s">
        <v>111</v>
      </c>
      <c r="Q483" s="247">
        <v>-471783.37</v>
      </c>
      <c r="R483" s="247">
        <v>-5827.66</v>
      </c>
      <c r="S483" s="247">
        <v>-337.58</v>
      </c>
      <c r="T483" s="245" t="s">
        <v>1991</v>
      </c>
      <c r="U483" s="245" t="s">
        <v>2153</v>
      </c>
      <c r="V483" s="241" t="s">
        <v>1963</v>
      </c>
      <c r="W483" s="241" t="s">
        <v>93</v>
      </c>
      <c r="X483" s="241" t="s">
        <v>2156</v>
      </c>
    </row>
    <row r="484" spans="1:24" ht="13.5" customHeight="1" x14ac:dyDescent="0.3">
      <c r="A484" s="245" t="s">
        <v>2154</v>
      </c>
      <c r="B484" s="246">
        <v>46081</v>
      </c>
      <c r="C484" s="245"/>
      <c r="D484" s="245"/>
      <c r="E484" s="245"/>
      <c r="F484" s="245"/>
      <c r="G484" s="245" t="s">
        <v>2243</v>
      </c>
      <c r="H484" s="245" t="s">
        <v>2244</v>
      </c>
      <c r="I484" s="245" t="s">
        <v>2159</v>
      </c>
      <c r="J484" s="245" t="s">
        <v>3029</v>
      </c>
      <c r="K484" s="245" t="s">
        <v>3030</v>
      </c>
      <c r="L484" s="246">
        <v>46081</v>
      </c>
      <c r="M484" s="245" t="s">
        <v>2159</v>
      </c>
      <c r="N484" s="245" t="s">
        <v>2155</v>
      </c>
      <c r="O484" s="245" t="s">
        <v>1990</v>
      </c>
      <c r="P484" s="245" t="s">
        <v>111</v>
      </c>
      <c r="Q484" s="247">
        <v>2428852.2000000002</v>
      </c>
      <c r="R484" s="247">
        <v>30002.15</v>
      </c>
      <c r="S484" s="247">
        <v>1737.93</v>
      </c>
      <c r="T484" s="245" t="s">
        <v>1991</v>
      </c>
      <c r="U484" s="245" t="s">
        <v>2153</v>
      </c>
      <c r="V484" s="241" t="s">
        <v>1963</v>
      </c>
      <c r="W484" s="241" t="s">
        <v>93</v>
      </c>
      <c r="X484" s="241" t="s">
        <v>2156</v>
      </c>
    </row>
    <row r="485" spans="1:24" ht="13.5" customHeight="1" x14ac:dyDescent="0.3">
      <c r="A485" s="245" t="s">
        <v>2154</v>
      </c>
      <c r="B485" s="246">
        <v>46081</v>
      </c>
      <c r="C485" s="245"/>
      <c r="D485" s="245"/>
      <c r="E485" s="245"/>
      <c r="F485" s="245"/>
      <c r="G485" s="245" t="s">
        <v>2243</v>
      </c>
      <c r="H485" s="245" t="s">
        <v>2244</v>
      </c>
      <c r="I485" s="245" t="s">
        <v>2160</v>
      </c>
      <c r="J485" s="245" t="s">
        <v>3029</v>
      </c>
      <c r="K485" s="245" t="s">
        <v>3030</v>
      </c>
      <c r="L485" s="246">
        <v>46081</v>
      </c>
      <c r="M485" s="245" t="s">
        <v>2160</v>
      </c>
      <c r="N485" s="245" t="s">
        <v>2161</v>
      </c>
      <c r="O485" s="245" t="s">
        <v>2162</v>
      </c>
      <c r="P485" s="245" t="s">
        <v>111</v>
      </c>
      <c r="Q485" s="247">
        <v>-546569.59</v>
      </c>
      <c r="R485" s="247">
        <v>-6751.45</v>
      </c>
      <c r="S485" s="247">
        <v>-391.09</v>
      </c>
      <c r="T485" s="245" t="s">
        <v>1991</v>
      </c>
      <c r="U485" s="245" t="s">
        <v>2153</v>
      </c>
      <c r="V485" s="241" t="s">
        <v>1963</v>
      </c>
      <c r="W485" s="241" t="s">
        <v>93</v>
      </c>
      <c r="X485" s="241" t="s">
        <v>2156</v>
      </c>
    </row>
    <row r="486" spans="1:24" ht="13.5" customHeight="1" x14ac:dyDescent="0.3">
      <c r="A486" s="245" t="s">
        <v>2154</v>
      </c>
      <c r="B486" s="246">
        <v>46081</v>
      </c>
      <c r="C486" s="245"/>
      <c r="D486" s="245"/>
      <c r="E486" s="245"/>
      <c r="F486" s="245"/>
      <c r="G486" s="245" t="s">
        <v>2245</v>
      </c>
      <c r="H486" s="245" t="s">
        <v>2246</v>
      </c>
      <c r="I486" s="245" t="s">
        <v>2159</v>
      </c>
      <c r="J486" s="245" t="s">
        <v>3031</v>
      </c>
      <c r="K486" s="245" t="s">
        <v>3032</v>
      </c>
      <c r="L486" s="246">
        <v>46081</v>
      </c>
      <c r="M486" s="245" t="s">
        <v>2159</v>
      </c>
      <c r="N486" s="245" t="s">
        <v>2155</v>
      </c>
      <c r="O486" s="245" t="s">
        <v>1990</v>
      </c>
      <c r="P486" s="245" t="s">
        <v>111</v>
      </c>
      <c r="Q486" s="247">
        <v>3007333.52</v>
      </c>
      <c r="R486" s="247">
        <v>37147.78</v>
      </c>
      <c r="S486" s="247">
        <v>2151.85</v>
      </c>
      <c r="T486" s="245" t="s">
        <v>1991</v>
      </c>
      <c r="U486" s="245" t="s">
        <v>2153</v>
      </c>
      <c r="V486" s="241" t="s">
        <v>1963</v>
      </c>
      <c r="W486" s="241" t="s">
        <v>93</v>
      </c>
      <c r="X486" s="241" t="s">
        <v>2156</v>
      </c>
    </row>
    <row r="487" spans="1:24" ht="13.5" customHeight="1" x14ac:dyDescent="0.3">
      <c r="A487" s="245" t="s">
        <v>2154</v>
      </c>
      <c r="B487" s="246">
        <v>46081</v>
      </c>
      <c r="C487" s="245"/>
      <c r="D487" s="245"/>
      <c r="E487" s="245"/>
      <c r="F487" s="245"/>
      <c r="G487" s="245" t="s">
        <v>2245</v>
      </c>
      <c r="H487" s="245" t="s">
        <v>2246</v>
      </c>
      <c r="I487" s="245" t="s">
        <v>2160</v>
      </c>
      <c r="J487" s="245" t="s">
        <v>3031</v>
      </c>
      <c r="K487" s="245" t="s">
        <v>3032</v>
      </c>
      <c r="L487" s="246">
        <v>46081</v>
      </c>
      <c r="M487" s="245" t="s">
        <v>2160</v>
      </c>
      <c r="N487" s="245" t="s">
        <v>2161</v>
      </c>
      <c r="O487" s="245" t="s">
        <v>2162</v>
      </c>
      <c r="P487" s="245" t="s">
        <v>111</v>
      </c>
      <c r="Q487" s="247">
        <v>-676746.43</v>
      </c>
      <c r="R487" s="247">
        <v>-8359.44</v>
      </c>
      <c r="S487" s="247">
        <v>-484.24</v>
      </c>
      <c r="T487" s="245" t="s">
        <v>1991</v>
      </c>
      <c r="U487" s="245" t="s">
        <v>2153</v>
      </c>
      <c r="V487" s="241" t="s">
        <v>1963</v>
      </c>
      <c r="W487" s="241" t="s">
        <v>93</v>
      </c>
      <c r="X487" s="241" t="s">
        <v>2156</v>
      </c>
    </row>
    <row r="488" spans="1:24" ht="13.5" customHeight="1" x14ac:dyDescent="0.3">
      <c r="A488" s="245"/>
      <c r="B488" s="246"/>
      <c r="C488" s="245"/>
      <c r="D488" s="245"/>
      <c r="E488" s="245"/>
      <c r="F488" s="245"/>
      <c r="G488" s="245"/>
      <c r="H488" s="245"/>
      <c r="I488" s="245"/>
      <c r="J488" s="245"/>
      <c r="K488" s="245"/>
      <c r="L488" s="246"/>
      <c r="M488" s="245"/>
      <c r="N488" s="245"/>
      <c r="O488" s="245"/>
      <c r="P488" s="245"/>
      <c r="Q488" s="247"/>
      <c r="R488" s="247"/>
      <c r="S488" s="247"/>
      <c r="T488" s="245"/>
      <c r="U488" s="245"/>
      <c r="V488" s="241"/>
      <c r="W488" s="241"/>
      <c r="X488" s="241"/>
    </row>
    <row r="489" spans="1:24" ht="13.5" customHeight="1" x14ac:dyDescent="0.3">
      <c r="A489" s="245"/>
      <c r="B489" s="246"/>
      <c r="C489" s="245"/>
      <c r="D489" s="245"/>
      <c r="E489" s="245"/>
      <c r="F489" s="245"/>
      <c r="G489" s="245"/>
      <c r="H489" s="245"/>
      <c r="I489" s="245"/>
      <c r="J489" s="245"/>
      <c r="K489" s="245"/>
      <c r="L489" s="246"/>
      <c r="M489" s="245"/>
      <c r="N489" s="245"/>
      <c r="O489" s="245"/>
      <c r="P489" s="245"/>
      <c r="Q489" s="247"/>
      <c r="R489" s="247"/>
      <c r="S489" s="247"/>
      <c r="T489" s="245"/>
      <c r="U489" s="245"/>
      <c r="V489" s="241"/>
      <c r="W489" s="241"/>
      <c r="X489" s="241"/>
    </row>
    <row r="490" spans="1:24" ht="13.5" customHeight="1" x14ac:dyDescent="0.3">
      <c r="A490" s="245"/>
      <c r="B490" s="246"/>
      <c r="C490" s="245"/>
      <c r="D490" s="245"/>
      <c r="E490" s="245"/>
      <c r="F490" s="245"/>
      <c r="G490" s="245"/>
      <c r="H490" s="245"/>
      <c r="I490" s="245"/>
      <c r="J490" s="245"/>
      <c r="K490" s="245"/>
      <c r="L490" s="246"/>
      <c r="M490" s="245"/>
      <c r="N490" s="245"/>
      <c r="O490" s="245"/>
      <c r="P490" s="245"/>
      <c r="Q490" s="247"/>
      <c r="R490" s="247"/>
      <c r="S490" s="247"/>
      <c r="T490" s="245"/>
      <c r="U490" s="245"/>
      <c r="V490" s="241"/>
      <c r="W490" s="241"/>
      <c r="X490" s="241"/>
    </row>
    <row r="491" spans="1:24" ht="13.5" customHeight="1" x14ac:dyDescent="0.3">
      <c r="A491" s="245"/>
      <c r="B491" s="246"/>
      <c r="C491" s="245"/>
      <c r="D491" s="245"/>
      <c r="E491" s="245"/>
      <c r="F491" s="245"/>
      <c r="G491" s="245"/>
      <c r="H491" s="245"/>
      <c r="I491" s="245"/>
      <c r="J491" s="245"/>
      <c r="K491" s="245"/>
      <c r="L491" s="246"/>
      <c r="M491" s="245"/>
      <c r="N491" s="245"/>
      <c r="O491" s="245"/>
      <c r="P491" s="245"/>
      <c r="Q491" s="247"/>
      <c r="R491" s="247"/>
      <c r="S491" s="247"/>
      <c r="T491" s="245"/>
      <c r="U491" s="245"/>
      <c r="V491" s="241"/>
      <c r="W491" s="241"/>
      <c r="X491" s="241"/>
    </row>
    <row r="492" spans="1:24" ht="13.5" customHeight="1" x14ac:dyDescent="0.3">
      <c r="A492" s="245"/>
      <c r="B492" s="246"/>
      <c r="C492" s="245"/>
      <c r="D492" s="245"/>
      <c r="E492" s="245"/>
      <c r="F492" s="245"/>
      <c r="G492" s="245"/>
      <c r="H492" s="245"/>
      <c r="I492" s="245"/>
      <c r="J492" s="245"/>
      <c r="K492" s="245"/>
      <c r="L492" s="246"/>
      <c r="M492" s="245"/>
      <c r="N492" s="245"/>
      <c r="O492" s="245"/>
      <c r="P492" s="245"/>
      <c r="Q492" s="247"/>
      <c r="R492" s="247"/>
      <c r="S492" s="247"/>
      <c r="T492" s="245"/>
      <c r="U492" s="245"/>
      <c r="V492" s="241"/>
      <c r="W492" s="241"/>
      <c r="X492" s="241"/>
    </row>
    <row r="493" spans="1:24" ht="13.5" customHeight="1" x14ac:dyDescent="0.3">
      <c r="A493" s="245"/>
      <c r="B493" s="246"/>
      <c r="C493" s="245"/>
      <c r="D493" s="245"/>
      <c r="E493" s="245"/>
      <c r="F493" s="245"/>
      <c r="G493" s="245"/>
      <c r="H493" s="245"/>
      <c r="I493" s="245"/>
      <c r="J493" s="245"/>
      <c r="K493" s="245"/>
      <c r="L493" s="246"/>
      <c r="M493" s="245"/>
      <c r="N493" s="245"/>
      <c r="O493" s="245"/>
      <c r="P493" s="245"/>
      <c r="Q493" s="247"/>
      <c r="R493" s="247"/>
      <c r="S493" s="247"/>
      <c r="T493" s="245"/>
      <c r="U493" s="245"/>
      <c r="V493" s="241"/>
      <c r="W493" s="241"/>
      <c r="X493" s="241"/>
    </row>
    <row r="494" spans="1:24" ht="13.5" customHeight="1" x14ac:dyDescent="0.3">
      <c r="A494" s="245"/>
      <c r="B494" s="246"/>
      <c r="C494" s="245"/>
      <c r="D494" s="245"/>
      <c r="E494" s="245"/>
      <c r="F494" s="245"/>
      <c r="G494" s="245"/>
      <c r="H494" s="245"/>
      <c r="I494" s="245"/>
      <c r="J494" s="245"/>
      <c r="K494" s="245"/>
      <c r="L494" s="246"/>
      <c r="M494" s="245"/>
      <c r="N494" s="245"/>
      <c r="O494" s="245"/>
      <c r="P494" s="245"/>
      <c r="Q494" s="247"/>
      <c r="R494" s="247"/>
      <c r="S494" s="247"/>
      <c r="T494" s="245"/>
      <c r="U494" s="245"/>
      <c r="V494" s="241"/>
      <c r="W494" s="241"/>
      <c r="X494" s="241"/>
    </row>
    <row r="495" spans="1:24" ht="13.5" customHeight="1" x14ac:dyDescent="0.3">
      <c r="A495" s="245"/>
      <c r="B495" s="246"/>
      <c r="C495" s="245"/>
      <c r="D495" s="245"/>
      <c r="E495" s="245"/>
      <c r="F495" s="245"/>
      <c r="G495" s="245"/>
      <c r="H495" s="245"/>
      <c r="I495" s="245"/>
      <c r="J495" s="245"/>
      <c r="K495" s="245"/>
      <c r="L495" s="246"/>
      <c r="M495" s="245"/>
      <c r="N495" s="245"/>
      <c r="O495" s="245"/>
      <c r="P495" s="245"/>
      <c r="Q495" s="247"/>
      <c r="R495" s="247"/>
      <c r="S495" s="247"/>
      <c r="T495" s="245"/>
      <c r="U495" s="245"/>
      <c r="V495" s="241"/>
      <c r="W495" s="241"/>
      <c r="X495" s="241"/>
    </row>
    <row r="496" spans="1:24" ht="13.5" customHeight="1" x14ac:dyDescent="0.3">
      <c r="A496" s="245"/>
      <c r="B496" s="246"/>
      <c r="C496" s="245"/>
      <c r="D496" s="245"/>
      <c r="E496" s="245"/>
      <c r="F496" s="245"/>
      <c r="G496" s="245"/>
      <c r="H496" s="245"/>
      <c r="I496" s="245"/>
      <c r="J496" s="245"/>
      <c r="K496" s="245"/>
      <c r="L496" s="246"/>
      <c r="M496" s="245"/>
      <c r="N496" s="245"/>
      <c r="O496" s="245"/>
      <c r="P496" s="245"/>
      <c r="Q496" s="247"/>
      <c r="R496" s="247"/>
      <c r="S496" s="247"/>
      <c r="T496" s="245"/>
      <c r="U496" s="245"/>
      <c r="V496" s="241"/>
      <c r="W496" s="241"/>
      <c r="X496" s="241"/>
    </row>
    <row r="497" spans="1:24" ht="13.5" customHeight="1" x14ac:dyDescent="0.3">
      <c r="A497" s="245"/>
      <c r="B497" s="246"/>
      <c r="C497" s="245"/>
      <c r="D497" s="245"/>
      <c r="E497" s="245"/>
      <c r="F497" s="245"/>
      <c r="G497" s="245"/>
      <c r="H497" s="245"/>
      <c r="I497" s="245"/>
      <c r="J497" s="245"/>
      <c r="K497" s="245"/>
      <c r="L497" s="246"/>
      <c r="M497" s="245"/>
      <c r="N497" s="245"/>
      <c r="O497" s="245"/>
      <c r="P497" s="245"/>
      <c r="Q497" s="247"/>
      <c r="R497" s="247"/>
      <c r="S497" s="247"/>
      <c r="T497" s="245"/>
      <c r="U497" s="245"/>
      <c r="V497" s="241"/>
      <c r="W497" s="241"/>
      <c r="X497" s="241"/>
    </row>
    <row r="498" spans="1:24" ht="13.5" customHeight="1" x14ac:dyDescent="0.3">
      <c r="A498" s="245"/>
      <c r="B498" s="246"/>
      <c r="C498" s="245"/>
      <c r="D498" s="245"/>
      <c r="E498" s="245"/>
      <c r="F498" s="245"/>
      <c r="G498" s="245"/>
      <c r="H498" s="245"/>
      <c r="I498" s="245"/>
      <c r="J498" s="245"/>
      <c r="K498" s="245"/>
      <c r="L498" s="246"/>
      <c r="M498" s="245"/>
      <c r="N498" s="245"/>
      <c r="O498" s="245"/>
      <c r="P498" s="245"/>
      <c r="Q498" s="247"/>
      <c r="R498" s="247"/>
      <c r="S498" s="247"/>
      <c r="T498" s="245"/>
      <c r="U498" s="245"/>
      <c r="V498" s="241"/>
      <c r="W498" s="241"/>
      <c r="X498" s="241"/>
    </row>
    <row r="499" spans="1:24" ht="13.5" customHeight="1" x14ac:dyDescent="0.3">
      <c r="A499" s="245"/>
      <c r="B499" s="246"/>
      <c r="C499" s="245"/>
      <c r="D499" s="245"/>
      <c r="E499" s="245"/>
      <c r="F499" s="245"/>
      <c r="G499" s="245"/>
      <c r="H499" s="245"/>
      <c r="I499" s="245"/>
      <c r="J499" s="245"/>
      <c r="K499" s="245"/>
      <c r="L499" s="246"/>
      <c r="M499" s="245"/>
      <c r="N499" s="245"/>
      <c r="O499" s="245"/>
      <c r="P499" s="245"/>
      <c r="Q499" s="247"/>
      <c r="R499" s="247"/>
      <c r="S499" s="247"/>
      <c r="T499" s="245"/>
      <c r="U499" s="245"/>
      <c r="V499" s="241"/>
      <c r="W499" s="241"/>
      <c r="X499" s="241"/>
    </row>
    <row r="500" spans="1:24" ht="13.5" customHeight="1" x14ac:dyDescent="0.3">
      <c r="A500" s="245"/>
      <c r="B500" s="246"/>
      <c r="C500" s="245"/>
      <c r="D500" s="245"/>
      <c r="E500" s="245"/>
      <c r="F500" s="245"/>
      <c r="G500" s="245"/>
      <c r="H500" s="245"/>
      <c r="I500" s="245"/>
      <c r="J500" s="245"/>
      <c r="K500" s="245"/>
      <c r="L500" s="246"/>
      <c r="M500" s="245"/>
      <c r="N500" s="245"/>
      <c r="O500" s="245"/>
      <c r="P500" s="245"/>
      <c r="Q500" s="247"/>
      <c r="R500" s="247"/>
      <c r="S500" s="247"/>
      <c r="T500" s="245"/>
      <c r="U500" s="245"/>
      <c r="V500" s="241"/>
      <c r="W500" s="241"/>
      <c r="X500" s="241"/>
    </row>
    <row r="501" spans="1:24" ht="13.5" customHeight="1" x14ac:dyDescent="0.3">
      <c r="A501" s="245"/>
      <c r="B501" s="246"/>
      <c r="C501" s="245"/>
      <c r="D501" s="245"/>
      <c r="E501" s="245"/>
      <c r="F501" s="245"/>
      <c r="G501" s="245"/>
      <c r="H501" s="245"/>
      <c r="I501" s="245"/>
      <c r="J501" s="245"/>
      <c r="K501" s="245"/>
      <c r="L501" s="246"/>
      <c r="M501" s="245"/>
      <c r="N501" s="245"/>
      <c r="O501" s="245"/>
      <c r="P501" s="245"/>
      <c r="Q501" s="247"/>
      <c r="R501" s="247"/>
      <c r="S501" s="247"/>
      <c r="T501" s="245"/>
      <c r="U501" s="245"/>
      <c r="V501" s="241"/>
      <c r="W501" s="241"/>
      <c r="X501" s="241"/>
    </row>
    <row r="502" spans="1:24" ht="13.5" customHeight="1" x14ac:dyDescent="0.3">
      <c r="A502" s="245"/>
      <c r="B502" s="246"/>
      <c r="C502" s="245"/>
      <c r="D502" s="245"/>
      <c r="E502" s="245"/>
      <c r="F502" s="245"/>
      <c r="G502" s="245"/>
      <c r="H502" s="245"/>
      <c r="I502" s="245"/>
      <c r="J502" s="245"/>
      <c r="K502" s="245"/>
      <c r="L502" s="246"/>
      <c r="M502" s="245"/>
      <c r="N502" s="245"/>
      <c r="O502" s="245"/>
      <c r="P502" s="245"/>
      <c r="Q502" s="247"/>
      <c r="R502" s="247"/>
      <c r="S502" s="247"/>
      <c r="T502" s="245"/>
      <c r="U502" s="245"/>
      <c r="V502" s="241"/>
      <c r="W502" s="241"/>
      <c r="X502" s="241"/>
    </row>
    <row r="503" spans="1:24" ht="13.5" customHeight="1" x14ac:dyDescent="0.3">
      <c r="A503" s="245"/>
      <c r="B503" s="246"/>
      <c r="C503" s="245"/>
      <c r="D503" s="245"/>
      <c r="E503" s="245"/>
      <c r="F503" s="245"/>
      <c r="G503" s="245"/>
      <c r="H503" s="245"/>
      <c r="I503" s="245"/>
      <c r="J503" s="245"/>
      <c r="K503" s="245"/>
      <c r="L503" s="246"/>
      <c r="M503" s="245"/>
      <c r="N503" s="245"/>
      <c r="O503" s="245"/>
      <c r="P503" s="245"/>
      <c r="Q503" s="247"/>
      <c r="R503" s="247"/>
      <c r="S503" s="247"/>
      <c r="T503" s="245"/>
      <c r="U503" s="245"/>
      <c r="V503" s="241"/>
      <c r="W503" s="241"/>
      <c r="X503" s="241"/>
    </row>
    <row r="504" spans="1:24" ht="13.5" customHeight="1" x14ac:dyDescent="0.3">
      <c r="A504" s="245"/>
      <c r="B504" s="246"/>
      <c r="C504" s="245"/>
      <c r="D504" s="245"/>
      <c r="E504" s="245"/>
      <c r="F504" s="245"/>
      <c r="G504" s="245"/>
      <c r="H504" s="245"/>
      <c r="I504" s="245"/>
      <c r="J504" s="245"/>
      <c r="K504" s="245"/>
      <c r="L504" s="246"/>
      <c r="M504" s="245"/>
      <c r="N504" s="245"/>
      <c r="O504" s="245"/>
      <c r="P504" s="245"/>
      <c r="Q504" s="247"/>
      <c r="R504" s="247"/>
      <c r="S504" s="247"/>
      <c r="T504" s="245"/>
      <c r="U504" s="245"/>
      <c r="V504" s="241"/>
      <c r="W504" s="241"/>
      <c r="X504" s="241"/>
    </row>
    <row r="505" spans="1:24" ht="13.5" customHeight="1" x14ac:dyDescent="0.3">
      <c r="A505" s="245"/>
      <c r="B505" s="246"/>
      <c r="C505" s="245"/>
      <c r="D505" s="245"/>
      <c r="E505" s="245"/>
      <c r="F505" s="245"/>
      <c r="G505" s="245"/>
      <c r="H505" s="245"/>
      <c r="I505" s="245"/>
      <c r="J505" s="245"/>
      <c r="K505" s="245"/>
      <c r="L505" s="246"/>
      <c r="M505" s="245"/>
      <c r="N505" s="245"/>
      <c r="O505" s="245"/>
      <c r="P505" s="245"/>
      <c r="Q505" s="247"/>
      <c r="R505" s="247"/>
      <c r="S505" s="247"/>
      <c r="T505" s="245"/>
      <c r="U505" s="245"/>
      <c r="V505" s="241"/>
      <c r="W505" s="241"/>
      <c r="X505" s="241"/>
    </row>
    <row r="506" spans="1:24" ht="13.5" customHeight="1" x14ac:dyDescent="0.3">
      <c r="A506" s="245"/>
      <c r="B506" s="246"/>
      <c r="C506" s="245"/>
      <c r="D506" s="245"/>
      <c r="E506" s="245"/>
      <c r="F506" s="245"/>
      <c r="G506" s="245"/>
      <c r="H506" s="245"/>
      <c r="I506" s="245"/>
      <c r="J506" s="245"/>
      <c r="K506" s="245"/>
      <c r="L506" s="246"/>
      <c r="M506" s="245"/>
      <c r="N506" s="245"/>
      <c r="O506" s="245"/>
      <c r="P506" s="245"/>
      <c r="Q506" s="247"/>
      <c r="R506" s="247"/>
      <c r="S506" s="247"/>
      <c r="T506" s="245"/>
      <c r="U506" s="245"/>
      <c r="V506" s="241"/>
      <c r="W506" s="241"/>
      <c r="X506" s="241"/>
    </row>
    <row r="507" spans="1:24" ht="13.5" customHeight="1" x14ac:dyDescent="0.3">
      <c r="A507" s="245"/>
      <c r="B507" s="246"/>
      <c r="C507" s="245"/>
      <c r="D507" s="245"/>
      <c r="E507" s="245"/>
      <c r="F507" s="245"/>
      <c r="G507" s="245"/>
      <c r="H507" s="245"/>
      <c r="I507" s="245"/>
      <c r="J507" s="245"/>
      <c r="K507" s="245"/>
      <c r="L507" s="246"/>
      <c r="M507" s="245"/>
      <c r="N507" s="245"/>
      <c r="O507" s="245"/>
      <c r="P507" s="245"/>
      <c r="Q507" s="247"/>
      <c r="R507" s="247"/>
      <c r="S507" s="247"/>
      <c r="T507" s="245"/>
      <c r="U507" s="245"/>
      <c r="V507" s="241"/>
      <c r="W507" s="241"/>
      <c r="X507" s="241"/>
    </row>
    <row r="508" spans="1:24" ht="13.5" customHeight="1" x14ac:dyDescent="0.3">
      <c r="A508" s="245"/>
      <c r="B508" s="246"/>
      <c r="C508" s="245"/>
      <c r="D508" s="245"/>
      <c r="E508" s="245"/>
      <c r="F508" s="245"/>
      <c r="G508" s="245"/>
      <c r="H508" s="245"/>
      <c r="I508" s="245"/>
      <c r="J508" s="245"/>
      <c r="K508" s="245"/>
      <c r="L508" s="246"/>
      <c r="M508" s="245"/>
      <c r="N508" s="245"/>
      <c r="O508" s="245"/>
      <c r="P508" s="245"/>
      <c r="Q508" s="247"/>
      <c r="R508" s="247"/>
      <c r="S508" s="247"/>
      <c r="T508" s="245"/>
      <c r="U508" s="245"/>
      <c r="V508" s="241"/>
      <c r="W508" s="241"/>
      <c r="X508" s="241"/>
    </row>
    <row r="509" spans="1:24" ht="13.5" customHeight="1" x14ac:dyDescent="0.3">
      <c r="A509" s="245"/>
      <c r="B509" s="246"/>
      <c r="C509" s="245"/>
      <c r="D509" s="245"/>
      <c r="E509" s="245"/>
      <c r="F509" s="245"/>
      <c r="G509" s="245"/>
      <c r="H509" s="245"/>
      <c r="I509" s="245"/>
      <c r="J509" s="245"/>
      <c r="K509" s="245"/>
      <c r="L509" s="246"/>
      <c r="M509" s="245"/>
      <c r="N509" s="245"/>
      <c r="O509" s="245"/>
      <c r="P509" s="245"/>
      <c r="Q509" s="247"/>
      <c r="R509" s="247"/>
      <c r="S509" s="247"/>
      <c r="T509" s="245"/>
      <c r="U509" s="245"/>
      <c r="V509" s="241"/>
      <c r="W509" s="241"/>
      <c r="X509" s="241"/>
    </row>
    <row r="510" spans="1:24" ht="13.5" customHeight="1" x14ac:dyDescent="0.3">
      <c r="A510" s="245"/>
      <c r="B510" s="246"/>
      <c r="C510" s="245"/>
      <c r="D510" s="245"/>
      <c r="E510" s="245"/>
      <c r="F510" s="245"/>
      <c r="G510" s="245"/>
      <c r="H510" s="245"/>
      <c r="I510" s="245"/>
      <c r="J510" s="245"/>
      <c r="K510" s="245"/>
      <c r="L510" s="246"/>
      <c r="M510" s="245"/>
      <c r="N510" s="245"/>
      <c r="O510" s="245"/>
      <c r="P510" s="245"/>
      <c r="Q510" s="247"/>
      <c r="R510" s="247"/>
      <c r="S510" s="247"/>
      <c r="T510" s="245"/>
      <c r="U510" s="245"/>
      <c r="V510" s="241"/>
      <c r="W510" s="241"/>
      <c r="X510" s="241"/>
    </row>
    <row r="511" spans="1:24" ht="13.5" customHeight="1" x14ac:dyDescent="0.3">
      <c r="A511" s="245"/>
      <c r="B511" s="246"/>
      <c r="C511" s="245"/>
      <c r="D511" s="245"/>
      <c r="E511" s="245"/>
      <c r="F511" s="245"/>
      <c r="G511" s="245"/>
      <c r="H511" s="245"/>
      <c r="I511" s="245"/>
      <c r="J511" s="245"/>
      <c r="K511" s="245"/>
      <c r="L511" s="246"/>
      <c r="M511" s="245"/>
      <c r="N511" s="245"/>
      <c r="O511" s="245"/>
      <c r="P511" s="245"/>
      <c r="Q511" s="247"/>
      <c r="R511" s="247"/>
      <c r="S511" s="247"/>
      <c r="T511" s="245"/>
      <c r="U511" s="245"/>
      <c r="V511" s="241"/>
      <c r="W511" s="241"/>
      <c r="X511" s="241"/>
    </row>
    <row r="512" spans="1:24" ht="13.5" customHeight="1" x14ac:dyDescent="0.3">
      <c r="A512" s="245"/>
      <c r="B512" s="246"/>
      <c r="C512" s="245"/>
      <c r="D512" s="245"/>
      <c r="E512" s="245"/>
      <c r="F512" s="245"/>
      <c r="G512" s="245"/>
      <c r="H512" s="245"/>
      <c r="I512" s="245"/>
      <c r="J512" s="245"/>
      <c r="K512" s="245"/>
      <c r="L512" s="246"/>
      <c r="M512" s="245"/>
      <c r="N512" s="245"/>
      <c r="O512" s="245"/>
      <c r="P512" s="245"/>
      <c r="Q512" s="247"/>
      <c r="R512" s="247"/>
      <c r="S512" s="247"/>
      <c r="T512" s="245"/>
      <c r="U512" s="245"/>
      <c r="V512" s="241"/>
      <c r="W512" s="241"/>
      <c r="X512" s="241"/>
    </row>
    <row r="513" spans="1:24" ht="13.5" customHeight="1" x14ac:dyDescent="0.3">
      <c r="A513" s="245"/>
      <c r="B513" s="246"/>
      <c r="C513" s="245"/>
      <c r="D513" s="245"/>
      <c r="E513" s="245"/>
      <c r="F513" s="245"/>
      <c r="G513" s="245"/>
      <c r="H513" s="245"/>
      <c r="I513" s="245"/>
      <c r="J513" s="245"/>
      <c r="K513" s="245"/>
      <c r="L513" s="246"/>
      <c r="M513" s="245"/>
      <c r="N513" s="245"/>
      <c r="O513" s="245"/>
      <c r="P513" s="245"/>
      <c r="Q513" s="247"/>
      <c r="R513" s="247"/>
      <c r="S513" s="247"/>
      <c r="T513" s="245"/>
      <c r="U513" s="245"/>
      <c r="V513" s="241"/>
      <c r="W513" s="241"/>
      <c r="X513" s="241"/>
    </row>
    <row r="514" spans="1:24" ht="13.5" customHeight="1" x14ac:dyDescent="0.3">
      <c r="A514" s="245"/>
      <c r="B514" s="246"/>
      <c r="C514" s="245"/>
      <c r="D514" s="245"/>
      <c r="E514" s="245"/>
      <c r="F514" s="245"/>
      <c r="G514" s="245"/>
      <c r="H514" s="245"/>
      <c r="I514" s="245"/>
      <c r="J514" s="245"/>
      <c r="K514" s="245"/>
      <c r="L514" s="246"/>
      <c r="M514" s="245"/>
      <c r="N514" s="245"/>
      <c r="O514" s="245"/>
      <c r="P514" s="245"/>
      <c r="Q514" s="247"/>
      <c r="R514" s="247"/>
      <c r="S514" s="247"/>
      <c r="T514" s="245"/>
      <c r="U514" s="245"/>
      <c r="V514" s="241"/>
      <c r="W514" s="241"/>
      <c r="X514" s="241"/>
    </row>
    <row r="515" spans="1:24" ht="13.5" customHeight="1" x14ac:dyDescent="0.3">
      <c r="A515" s="245"/>
      <c r="B515" s="246"/>
      <c r="C515" s="245"/>
      <c r="D515" s="245"/>
      <c r="E515" s="245"/>
      <c r="F515" s="245"/>
      <c r="G515" s="245"/>
      <c r="H515" s="245"/>
      <c r="I515" s="245"/>
      <c r="J515" s="245"/>
      <c r="K515" s="245"/>
      <c r="L515" s="246"/>
      <c r="M515" s="245"/>
      <c r="N515" s="245"/>
      <c r="O515" s="245"/>
      <c r="P515" s="245"/>
      <c r="Q515" s="247"/>
      <c r="R515" s="247"/>
      <c r="S515" s="247"/>
      <c r="T515" s="245"/>
      <c r="U515" s="245"/>
      <c r="V515" s="241"/>
      <c r="W515" s="241"/>
      <c r="X515" s="241"/>
    </row>
    <row r="516" spans="1:24" ht="13.5" customHeight="1" x14ac:dyDescent="0.3">
      <c r="A516" s="245"/>
      <c r="B516" s="246"/>
      <c r="C516" s="245"/>
      <c r="D516" s="245"/>
      <c r="E516" s="245"/>
      <c r="F516" s="245"/>
      <c r="G516" s="245"/>
      <c r="H516" s="245"/>
      <c r="I516" s="245"/>
      <c r="J516" s="245"/>
      <c r="K516" s="245"/>
      <c r="L516" s="246"/>
      <c r="M516" s="245"/>
      <c r="N516" s="245"/>
      <c r="O516" s="245"/>
      <c r="P516" s="245"/>
      <c r="Q516" s="247"/>
      <c r="R516" s="247"/>
      <c r="S516" s="247"/>
      <c r="T516" s="245"/>
      <c r="U516" s="245"/>
      <c r="V516" s="241"/>
      <c r="W516" s="241"/>
      <c r="X516" s="241"/>
    </row>
    <row r="517" spans="1:24" ht="13.5" customHeight="1" x14ac:dyDescent="0.3">
      <c r="A517" s="245"/>
      <c r="B517" s="246"/>
      <c r="C517" s="245"/>
      <c r="D517" s="245"/>
      <c r="E517" s="245"/>
      <c r="F517" s="245"/>
      <c r="G517" s="245"/>
      <c r="H517" s="245"/>
      <c r="I517" s="245"/>
      <c r="J517" s="245"/>
      <c r="K517" s="245"/>
      <c r="L517" s="246"/>
      <c r="M517" s="245"/>
      <c r="N517" s="245"/>
      <c r="O517" s="245"/>
      <c r="P517" s="245"/>
      <c r="Q517" s="247"/>
      <c r="R517" s="247"/>
      <c r="S517" s="247"/>
      <c r="T517" s="245"/>
      <c r="U517" s="245"/>
      <c r="V517" s="241"/>
      <c r="W517" s="241"/>
      <c r="X517" s="241"/>
    </row>
    <row r="518" spans="1:24" ht="13.5" customHeight="1" x14ac:dyDescent="0.3">
      <c r="A518" s="245"/>
      <c r="B518" s="246"/>
      <c r="C518" s="245"/>
      <c r="D518" s="245"/>
      <c r="E518" s="245"/>
      <c r="F518" s="245"/>
      <c r="G518" s="245"/>
      <c r="H518" s="245"/>
      <c r="I518" s="245"/>
      <c r="J518" s="245"/>
      <c r="K518" s="245"/>
      <c r="L518" s="246"/>
      <c r="M518" s="245"/>
      <c r="N518" s="245"/>
      <c r="O518" s="245"/>
      <c r="P518" s="245"/>
      <c r="Q518" s="247"/>
      <c r="R518" s="247"/>
      <c r="S518" s="247"/>
      <c r="T518" s="245"/>
      <c r="U518" s="245"/>
      <c r="V518" s="241"/>
      <c r="W518" s="241"/>
      <c r="X518" s="241"/>
    </row>
    <row r="519" spans="1:24" ht="13.5" customHeight="1" x14ac:dyDescent="0.3">
      <c r="A519" s="245"/>
      <c r="B519" s="246"/>
      <c r="C519" s="245"/>
      <c r="D519" s="245"/>
      <c r="E519" s="245"/>
      <c r="F519" s="245"/>
      <c r="G519" s="245"/>
      <c r="H519" s="245"/>
      <c r="I519" s="245"/>
      <c r="J519" s="245"/>
      <c r="K519" s="245"/>
      <c r="L519" s="246"/>
      <c r="M519" s="245"/>
      <c r="N519" s="245"/>
      <c r="O519" s="245"/>
      <c r="P519" s="245"/>
      <c r="Q519" s="247"/>
      <c r="R519" s="247"/>
      <c r="S519" s="247"/>
      <c r="T519" s="245"/>
      <c r="U519" s="245"/>
      <c r="V519" s="241"/>
      <c r="W519" s="241"/>
      <c r="X519" s="241"/>
    </row>
    <row r="520" spans="1:24" ht="13.5" customHeight="1" x14ac:dyDescent="0.3">
      <c r="A520" s="245"/>
      <c r="B520" s="246"/>
      <c r="C520" s="245"/>
      <c r="D520" s="245"/>
      <c r="E520" s="245"/>
      <c r="F520" s="245"/>
      <c r="G520" s="245"/>
      <c r="H520" s="245"/>
      <c r="I520" s="245"/>
      <c r="J520" s="245"/>
      <c r="K520" s="245"/>
      <c r="L520" s="246"/>
      <c r="M520" s="245"/>
      <c r="N520" s="245"/>
      <c r="O520" s="245"/>
      <c r="P520" s="245"/>
      <c r="Q520" s="247"/>
      <c r="R520" s="247"/>
      <c r="S520" s="247"/>
      <c r="T520" s="245"/>
      <c r="U520" s="245"/>
      <c r="V520" s="241"/>
      <c r="W520" s="241"/>
      <c r="X520" s="241"/>
    </row>
    <row r="521" spans="1:24" ht="13.5" customHeight="1" x14ac:dyDescent="0.3">
      <c r="A521" s="245"/>
      <c r="B521" s="246"/>
      <c r="C521" s="245"/>
      <c r="D521" s="245"/>
      <c r="E521" s="245"/>
      <c r="F521" s="245"/>
      <c r="G521" s="245"/>
      <c r="H521" s="245"/>
      <c r="I521" s="245"/>
      <c r="J521" s="245"/>
      <c r="K521" s="245"/>
      <c r="L521" s="246"/>
      <c r="M521" s="245"/>
      <c r="N521" s="245"/>
      <c r="O521" s="245"/>
      <c r="P521" s="245"/>
      <c r="Q521" s="247"/>
      <c r="R521" s="247"/>
      <c r="S521" s="247"/>
      <c r="T521" s="245"/>
      <c r="U521" s="245"/>
      <c r="V521" s="241"/>
      <c r="W521" s="241"/>
      <c r="X521" s="241"/>
    </row>
    <row r="522" spans="1:24" ht="13.5" customHeight="1" x14ac:dyDescent="0.3">
      <c r="A522" s="245"/>
      <c r="B522" s="246"/>
      <c r="C522" s="245"/>
      <c r="D522" s="245"/>
      <c r="E522" s="245"/>
      <c r="F522" s="245"/>
      <c r="G522" s="245"/>
      <c r="H522" s="245"/>
      <c r="I522" s="245"/>
      <c r="J522" s="245"/>
      <c r="K522" s="245"/>
      <c r="L522" s="246"/>
      <c r="M522" s="245"/>
      <c r="N522" s="245"/>
      <c r="O522" s="245"/>
      <c r="P522" s="245"/>
      <c r="Q522" s="247"/>
      <c r="R522" s="247"/>
      <c r="S522" s="247"/>
      <c r="T522" s="245"/>
      <c r="U522" s="245"/>
      <c r="V522" s="241"/>
      <c r="W522" s="241"/>
      <c r="X522" s="241"/>
    </row>
    <row r="523" spans="1:24" ht="13.5" customHeight="1" x14ac:dyDescent="0.3">
      <c r="A523" s="245"/>
      <c r="B523" s="246"/>
      <c r="C523" s="245"/>
      <c r="D523" s="245"/>
      <c r="E523" s="245"/>
      <c r="F523" s="245"/>
      <c r="G523" s="245"/>
      <c r="H523" s="245"/>
      <c r="I523" s="245"/>
      <c r="J523" s="245"/>
      <c r="K523" s="245"/>
      <c r="L523" s="246"/>
      <c r="M523" s="245"/>
      <c r="N523" s="245"/>
      <c r="O523" s="245"/>
      <c r="P523" s="245"/>
      <c r="Q523" s="247"/>
      <c r="R523" s="247"/>
      <c r="S523" s="247"/>
      <c r="T523" s="245"/>
      <c r="U523" s="245"/>
      <c r="V523" s="241"/>
      <c r="W523" s="241"/>
      <c r="X523" s="241"/>
    </row>
    <row r="524" spans="1:24" ht="13.5" customHeight="1" x14ac:dyDescent="0.3">
      <c r="A524" s="245"/>
      <c r="B524" s="246"/>
      <c r="C524" s="245"/>
      <c r="D524" s="245"/>
      <c r="E524" s="245"/>
      <c r="F524" s="245"/>
      <c r="G524" s="245"/>
      <c r="H524" s="245"/>
      <c r="I524" s="245"/>
      <c r="J524" s="245"/>
      <c r="K524" s="245"/>
      <c r="L524" s="246"/>
      <c r="M524" s="245"/>
      <c r="N524" s="245"/>
      <c r="O524" s="245"/>
      <c r="P524" s="245"/>
      <c r="Q524" s="247"/>
      <c r="R524" s="247"/>
      <c r="S524" s="247"/>
      <c r="T524" s="245"/>
      <c r="U524" s="245"/>
      <c r="V524" s="241"/>
      <c r="W524" s="241"/>
      <c r="X524" s="241"/>
    </row>
    <row r="525" spans="1:24" ht="13.5" customHeight="1" x14ac:dyDescent="0.3">
      <c r="A525" s="245"/>
      <c r="B525" s="246"/>
      <c r="C525" s="245"/>
      <c r="D525" s="245"/>
      <c r="E525" s="245"/>
      <c r="F525" s="245"/>
      <c r="G525" s="245"/>
      <c r="H525" s="245"/>
      <c r="I525" s="245"/>
      <c r="J525" s="245"/>
      <c r="K525" s="245"/>
      <c r="L525" s="246"/>
      <c r="M525" s="245"/>
      <c r="N525" s="245"/>
      <c r="O525" s="245"/>
      <c r="P525" s="245"/>
      <c r="Q525" s="247"/>
      <c r="R525" s="247"/>
      <c r="S525" s="247"/>
      <c r="T525" s="245"/>
      <c r="U525" s="245"/>
      <c r="V525" s="241"/>
      <c r="W525" s="241"/>
      <c r="X525" s="241"/>
    </row>
    <row r="526" spans="1:24" ht="13.5" customHeight="1" x14ac:dyDescent="0.3">
      <c r="A526" s="245"/>
      <c r="B526" s="246"/>
      <c r="C526" s="245"/>
      <c r="D526" s="245"/>
      <c r="E526" s="245"/>
      <c r="F526" s="245"/>
      <c r="G526" s="245"/>
      <c r="H526" s="245"/>
      <c r="I526" s="245"/>
      <c r="J526" s="245"/>
      <c r="K526" s="245"/>
      <c r="L526" s="246"/>
      <c r="M526" s="245"/>
      <c r="N526" s="245"/>
      <c r="O526" s="245"/>
      <c r="P526" s="245"/>
      <c r="Q526" s="247"/>
      <c r="R526" s="247"/>
      <c r="S526" s="247"/>
      <c r="T526" s="245"/>
      <c r="U526" s="245"/>
      <c r="V526" s="241"/>
      <c r="W526" s="241"/>
      <c r="X526" s="241"/>
    </row>
    <row r="527" spans="1:24" ht="13.5" customHeight="1" x14ac:dyDescent="0.3">
      <c r="A527" s="245"/>
      <c r="B527" s="246"/>
      <c r="C527" s="245"/>
      <c r="D527" s="245"/>
      <c r="E527" s="245"/>
      <c r="F527" s="245"/>
      <c r="G527" s="245"/>
      <c r="H527" s="245"/>
      <c r="I527" s="245"/>
      <c r="J527" s="245"/>
      <c r="K527" s="245"/>
      <c r="L527" s="246"/>
      <c r="M527" s="245"/>
      <c r="N527" s="245"/>
      <c r="O527" s="245"/>
      <c r="P527" s="245"/>
      <c r="Q527" s="247"/>
      <c r="R527" s="247"/>
      <c r="S527" s="247"/>
      <c r="T527" s="245"/>
      <c r="U527" s="245"/>
      <c r="V527" s="241"/>
      <c r="W527" s="241"/>
      <c r="X527" s="241"/>
    </row>
    <row r="528" spans="1:24" ht="13.5" customHeight="1" x14ac:dyDescent="0.3">
      <c r="A528" s="245"/>
      <c r="B528" s="246"/>
      <c r="C528" s="245"/>
      <c r="D528" s="245"/>
      <c r="E528" s="245"/>
      <c r="F528" s="245"/>
      <c r="G528" s="245"/>
      <c r="H528" s="245"/>
      <c r="I528" s="245"/>
      <c r="J528" s="245"/>
      <c r="K528" s="245"/>
      <c r="L528" s="246"/>
      <c r="M528" s="245"/>
      <c r="N528" s="245"/>
      <c r="O528" s="245"/>
      <c r="P528" s="245"/>
      <c r="Q528" s="247"/>
      <c r="R528" s="247"/>
      <c r="S528" s="247"/>
      <c r="T528" s="245"/>
      <c r="U528" s="245"/>
      <c r="V528" s="241"/>
      <c r="W528" s="241"/>
      <c r="X528" s="241"/>
    </row>
    <row r="529" spans="1:24" ht="13.5" customHeight="1" x14ac:dyDescent="0.3">
      <c r="A529" s="245"/>
      <c r="B529" s="246"/>
      <c r="C529" s="245"/>
      <c r="D529" s="245"/>
      <c r="E529" s="245"/>
      <c r="F529" s="245"/>
      <c r="G529" s="245"/>
      <c r="H529" s="245"/>
      <c r="I529" s="245"/>
      <c r="J529" s="245"/>
      <c r="K529" s="245"/>
      <c r="L529" s="246"/>
      <c r="M529" s="245"/>
      <c r="N529" s="245"/>
      <c r="O529" s="245"/>
      <c r="P529" s="245"/>
      <c r="Q529" s="247"/>
      <c r="R529" s="247"/>
      <c r="S529" s="247"/>
      <c r="T529" s="245"/>
      <c r="U529" s="245"/>
      <c r="V529" s="241"/>
      <c r="W529" s="241"/>
      <c r="X529" s="241"/>
    </row>
    <row r="530" spans="1:24" ht="13.5" customHeight="1" x14ac:dyDescent="0.3">
      <c r="A530" s="245"/>
      <c r="B530" s="246"/>
      <c r="C530" s="245"/>
      <c r="D530" s="245"/>
      <c r="E530" s="245"/>
      <c r="F530" s="245"/>
      <c r="G530" s="245"/>
      <c r="H530" s="245"/>
      <c r="I530" s="245"/>
      <c r="J530" s="245"/>
      <c r="K530" s="245"/>
      <c r="L530" s="246"/>
      <c r="M530" s="245"/>
      <c r="N530" s="245"/>
      <c r="O530" s="245"/>
      <c r="P530" s="245"/>
      <c r="Q530" s="247"/>
      <c r="R530" s="247"/>
      <c r="S530" s="247"/>
      <c r="T530" s="245"/>
      <c r="U530" s="245"/>
      <c r="V530" s="241"/>
      <c r="W530" s="241"/>
      <c r="X530" s="241"/>
    </row>
    <row r="531" spans="1:24" ht="13.5" customHeight="1" x14ac:dyDescent="0.3">
      <c r="A531" s="245"/>
      <c r="B531" s="246"/>
      <c r="C531" s="245"/>
      <c r="D531" s="245"/>
      <c r="E531" s="245"/>
      <c r="F531" s="245"/>
      <c r="G531" s="245"/>
      <c r="H531" s="245"/>
      <c r="I531" s="245"/>
      <c r="J531" s="245"/>
      <c r="K531" s="245"/>
      <c r="L531" s="246"/>
      <c r="M531" s="245"/>
      <c r="N531" s="245"/>
      <c r="O531" s="245"/>
      <c r="P531" s="245"/>
      <c r="Q531" s="247"/>
      <c r="R531" s="247"/>
      <c r="S531" s="247"/>
      <c r="T531" s="245"/>
      <c r="U531" s="245"/>
      <c r="V531" s="241"/>
      <c r="W531" s="241"/>
      <c r="X531" s="241"/>
    </row>
    <row r="532" spans="1:24" ht="13.5" customHeight="1" x14ac:dyDescent="0.3">
      <c r="A532" s="245"/>
      <c r="B532" s="246"/>
      <c r="C532" s="245"/>
      <c r="D532" s="245"/>
      <c r="E532" s="245"/>
      <c r="F532" s="245"/>
      <c r="G532" s="245"/>
      <c r="H532" s="245"/>
      <c r="I532" s="245"/>
      <c r="J532" s="245"/>
      <c r="K532" s="245"/>
      <c r="L532" s="246"/>
      <c r="M532" s="245"/>
      <c r="N532" s="245"/>
      <c r="O532" s="245"/>
      <c r="P532" s="245"/>
      <c r="Q532" s="247"/>
      <c r="R532" s="247"/>
      <c r="S532" s="247"/>
      <c r="T532" s="245"/>
      <c r="U532" s="245"/>
      <c r="V532" s="241"/>
      <c r="W532" s="241"/>
      <c r="X532" s="241"/>
    </row>
    <row r="533" spans="1:24" ht="13.5" customHeight="1" x14ac:dyDescent="0.3">
      <c r="A533" s="245"/>
      <c r="B533" s="246"/>
      <c r="C533" s="245"/>
      <c r="D533" s="245"/>
      <c r="E533" s="245"/>
      <c r="F533" s="245"/>
      <c r="G533" s="245"/>
      <c r="H533" s="245"/>
      <c r="I533" s="245"/>
      <c r="J533" s="245"/>
      <c r="K533" s="245"/>
      <c r="L533" s="246"/>
      <c r="M533" s="245"/>
      <c r="N533" s="245"/>
      <c r="O533" s="245"/>
      <c r="P533" s="245"/>
      <c r="Q533" s="247"/>
      <c r="R533" s="247"/>
      <c r="S533" s="247"/>
      <c r="T533" s="245"/>
      <c r="U533" s="245"/>
      <c r="V533" s="241"/>
      <c r="W533" s="241"/>
      <c r="X533" s="241"/>
    </row>
    <row r="534" spans="1:24" ht="13.5" customHeight="1" x14ac:dyDescent="0.3">
      <c r="A534" s="245"/>
      <c r="B534" s="246"/>
      <c r="C534" s="245"/>
      <c r="D534" s="245"/>
      <c r="E534" s="245"/>
      <c r="F534" s="245"/>
      <c r="G534" s="245"/>
      <c r="H534" s="245"/>
      <c r="I534" s="245"/>
      <c r="J534" s="245"/>
      <c r="K534" s="245"/>
      <c r="L534" s="246"/>
      <c r="M534" s="245"/>
      <c r="N534" s="245"/>
      <c r="O534" s="245"/>
      <c r="P534" s="245"/>
      <c r="Q534" s="247"/>
      <c r="R534" s="247"/>
      <c r="S534" s="247"/>
      <c r="T534" s="245"/>
      <c r="U534" s="245"/>
      <c r="V534" s="241"/>
      <c r="W534" s="241"/>
      <c r="X534" s="241"/>
    </row>
    <row r="535" spans="1:24" ht="13.5" customHeight="1" x14ac:dyDescent="0.3">
      <c r="A535" s="245"/>
      <c r="B535" s="246"/>
      <c r="C535" s="245"/>
      <c r="D535" s="245"/>
      <c r="E535" s="245"/>
      <c r="F535" s="245"/>
      <c r="G535" s="245"/>
      <c r="H535" s="245"/>
      <c r="I535" s="245"/>
      <c r="J535" s="245"/>
      <c r="K535" s="245"/>
      <c r="L535" s="246"/>
      <c r="M535" s="245"/>
      <c r="N535" s="245"/>
      <c r="O535" s="245"/>
      <c r="P535" s="245"/>
      <c r="Q535" s="247"/>
      <c r="R535" s="247"/>
      <c r="S535" s="247"/>
      <c r="T535" s="245"/>
      <c r="U535" s="245"/>
      <c r="V535" s="241"/>
      <c r="W535" s="241"/>
      <c r="X535" s="241"/>
    </row>
    <row r="536" spans="1:24" ht="13.5" customHeight="1" x14ac:dyDescent="0.3">
      <c r="A536" s="245"/>
      <c r="B536" s="246"/>
      <c r="C536" s="245"/>
      <c r="D536" s="245"/>
      <c r="E536" s="245"/>
      <c r="F536" s="245"/>
      <c r="G536" s="245"/>
      <c r="H536" s="245"/>
      <c r="I536" s="245"/>
      <c r="J536" s="245"/>
      <c r="K536" s="245"/>
      <c r="L536" s="246"/>
      <c r="M536" s="245"/>
      <c r="N536" s="245"/>
      <c r="O536" s="245"/>
      <c r="P536" s="245"/>
      <c r="Q536" s="247"/>
      <c r="R536" s="247"/>
      <c r="S536" s="247"/>
      <c r="T536" s="245"/>
      <c r="U536" s="245"/>
      <c r="V536" s="241"/>
      <c r="W536" s="241"/>
      <c r="X536" s="241"/>
    </row>
    <row r="537" spans="1:24" ht="13.5" customHeight="1" x14ac:dyDescent="0.3">
      <c r="A537" s="245"/>
      <c r="B537" s="246"/>
      <c r="C537" s="245"/>
      <c r="D537" s="245"/>
      <c r="E537" s="245"/>
      <c r="F537" s="245"/>
      <c r="G537" s="245"/>
      <c r="H537" s="245"/>
      <c r="I537" s="245"/>
      <c r="J537" s="245"/>
      <c r="K537" s="245"/>
      <c r="L537" s="246"/>
      <c r="M537" s="245"/>
      <c r="N537" s="245"/>
      <c r="O537" s="245"/>
      <c r="P537" s="245"/>
      <c r="Q537" s="247"/>
      <c r="R537" s="247"/>
      <c r="S537" s="247"/>
      <c r="T537" s="245"/>
      <c r="U537" s="245"/>
      <c r="V537" s="241"/>
      <c r="W537" s="241"/>
      <c r="X537" s="241"/>
    </row>
    <row r="538" spans="1:24" ht="13.5" customHeight="1" x14ac:dyDescent="0.3">
      <c r="A538" s="245"/>
      <c r="B538" s="246"/>
      <c r="C538" s="245"/>
      <c r="D538" s="245"/>
      <c r="E538" s="245"/>
      <c r="F538" s="245"/>
      <c r="G538" s="245"/>
      <c r="H538" s="245"/>
      <c r="I538" s="245"/>
      <c r="J538" s="245"/>
      <c r="K538" s="245"/>
      <c r="L538" s="246"/>
      <c r="M538" s="245"/>
      <c r="N538" s="245"/>
      <c r="O538" s="245"/>
      <c r="P538" s="245"/>
      <c r="Q538" s="247"/>
      <c r="R538" s="247"/>
      <c r="S538" s="247"/>
      <c r="T538" s="245"/>
      <c r="U538" s="245"/>
      <c r="V538" s="241"/>
      <c r="W538" s="241"/>
      <c r="X538" s="241"/>
    </row>
    <row r="539" spans="1:24" ht="13.5" customHeight="1" x14ac:dyDescent="0.3">
      <c r="A539" s="245"/>
      <c r="B539" s="246"/>
      <c r="C539" s="245"/>
      <c r="D539" s="245"/>
      <c r="E539" s="245"/>
      <c r="F539" s="245"/>
      <c r="G539" s="245"/>
      <c r="H539" s="245"/>
      <c r="I539" s="245"/>
      <c r="J539" s="245"/>
      <c r="K539" s="245"/>
      <c r="L539" s="246"/>
      <c r="M539" s="245"/>
      <c r="N539" s="245"/>
      <c r="O539" s="245"/>
      <c r="P539" s="245"/>
      <c r="Q539" s="247"/>
      <c r="R539" s="247"/>
      <c r="S539" s="247"/>
      <c r="T539" s="245"/>
      <c r="U539" s="245"/>
      <c r="V539" s="241"/>
      <c r="W539" s="241"/>
      <c r="X539" s="241"/>
    </row>
    <row r="540" spans="1:24" ht="13.5" customHeight="1" x14ac:dyDescent="0.3">
      <c r="A540" s="245"/>
      <c r="B540" s="246"/>
      <c r="C540" s="245"/>
      <c r="D540" s="245"/>
      <c r="E540" s="245"/>
      <c r="F540" s="245"/>
      <c r="G540" s="245"/>
      <c r="H540" s="245"/>
      <c r="I540" s="245"/>
      <c r="J540" s="245"/>
      <c r="K540" s="245"/>
      <c r="L540" s="246"/>
      <c r="M540" s="245"/>
      <c r="N540" s="245"/>
      <c r="O540" s="245"/>
      <c r="P540" s="245"/>
      <c r="Q540" s="247"/>
      <c r="R540" s="247"/>
      <c r="S540" s="247"/>
      <c r="T540" s="245"/>
      <c r="U540" s="245"/>
      <c r="V540" s="241"/>
      <c r="W540" s="241"/>
      <c r="X540" s="241"/>
    </row>
    <row r="541" spans="1:24" ht="13.5" customHeight="1" x14ac:dyDescent="0.3">
      <c r="A541" s="245"/>
      <c r="B541" s="246"/>
      <c r="C541" s="245"/>
      <c r="D541" s="245"/>
      <c r="E541" s="245"/>
      <c r="F541" s="245"/>
      <c r="G541" s="245"/>
      <c r="H541" s="245"/>
      <c r="I541" s="245"/>
      <c r="J541" s="245"/>
      <c r="K541" s="245"/>
      <c r="L541" s="246"/>
      <c r="M541" s="245"/>
      <c r="N541" s="245"/>
      <c r="O541" s="245"/>
      <c r="P541" s="245"/>
      <c r="Q541" s="247"/>
      <c r="R541" s="247"/>
      <c r="S541" s="247"/>
      <c r="T541" s="245"/>
      <c r="U541" s="245"/>
      <c r="V541" s="241"/>
      <c r="W541" s="241"/>
      <c r="X541" s="241"/>
    </row>
    <row r="542" spans="1:24" ht="13.5" customHeight="1" x14ac:dyDescent="0.3">
      <c r="A542" s="245"/>
      <c r="B542" s="246"/>
      <c r="C542" s="245"/>
      <c r="D542" s="245"/>
      <c r="E542" s="245"/>
      <c r="F542" s="245"/>
      <c r="G542" s="245"/>
      <c r="H542" s="245"/>
      <c r="I542" s="245"/>
      <c r="J542" s="245"/>
      <c r="K542" s="245"/>
      <c r="L542" s="246"/>
      <c r="M542" s="245"/>
      <c r="N542" s="245"/>
      <c r="O542" s="245"/>
      <c r="P542" s="245"/>
      <c r="Q542" s="247"/>
      <c r="R542" s="247"/>
      <c r="S542" s="247"/>
      <c r="T542" s="245"/>
      <c r="U542" s="245"/>
      <c r="V542" s="241"/>
      <c r="W542" s="241"/>
      <c r="X542" s="241"/>
    </row>
    <row r="543" spans="1:24" ht="13.5" customHeight="1" x14ac:dyDescent="0.3">
      <c r="A543" s="245"/>
      <c r="B543" s="246"/>
      <c r="C543" s="245"/>
      <c r="D543" s="245"/>
      <c r="E543" s="245"/>
      <c r="F543" s="245"/>
      <c r="G543" s="245"/>
      <c r="H543" s="245"/>
      <c r="I543" s="245"/>
      <c r="J543" s="245"/>
      <c r="K543" s="245"/>
      <c r="L543" s="246"/>
      <c r="M543" s="245"/>
      <c r="N543" s="245"/>
      <c r="O543" s="245"/>
      <c r="P543" s="245"/>
      <c r="Q543" s="247"/>
      <c r="R543" s="247"/>
      <c r="S543" s="247"/>
      <c r="T543" s="245"/>
      <c r="U543" s="245"/>
      <c r="V543" s="241"/>
      <c r="W543" s="241"/>
      <c r="X543" s="241"/>
    </row>
    <row r="544" spans="1:24" ht="13.5" customHeight="1" x14ac:dyDescent="0.3">
      <c r="A544" s="245"/>
      <c r="B544" s="246"/>
      <c r="C544" s="245"/>
      <c r="D544" s="245"/>
      <c r="E544" s="245"/>
      <c r="F544" s="245"/>
      <c r="G544" s="245"/>
      <c r="H544" s="245"/>
      <c r="I544" s="245"/>
      <c r="J544" s="245"/>
      <c r="K544" s="245"/>
      <c r="L544" s="246"/>
      <c r="M544" s="245"/>
      <c r="N544" s="245"/>
      <c r="O544" s="245"/>
      <c r="P544" s="245"/>
      <c r="Q544" s="247"/>
      <c r="R544" s="247"/>
      <c r="S544" s="247"/>
      <c r="T544" s="245"/>
      <c r="U544" s="245"/>
      <c r="V544" s="241"/>
      <c r="W544" s="241"/>
      <c r="X544" s="241"/>
    </row>
    <row r="545" spans="1:24" ht="13.5" customHeight="1" x14ac:dyDescent="0.3">
      <c r="A545" s="245"/>
      <c r="B545" s="246"/>
      <c r="C545" s="245"/>
      <c r="D545" s="245"/>
      <c r="E545" s="245"/>
      <c r="F545" s="245"/>
      <c r="G545" s="245"/>
      <c r="H545" s="245"/>
      <c r="I545" s="245"/>
      <c r="J545" s="245"/>
      <c r="K545" s="245"/>
      <c r="L545" s="246"/>
      <c r="M545" s="245"/>
      <c r="N545" s="245"/>
      <c r="O545" s="245"/>
      <c r="P545" s="245"/>
      <c r="Q545" s="247"/>
      <c r="R545" s="247"/>
      <c r="S545" s="247"/>
      <c r="T545" s="245"/>
      <c r="U545" s="245"/>
      <c r="V545" s="241"/>
      <c r="W545" s="241"/>
      <c r="X545" s="241"/>
    </row>
    <row r="546" spans="1:24" ht="13.5" customHeight="1" x14ac:dyDescent="0.3">
      <c r="A546" s="245"/>
      <c r="B546" s="246"/>
      <c r="C546" s="245"/>
      <c r="D546" s="245"/>
      <c r="E546" s="245"/>
      <c r="F546" s="245"/>
      <c r="G546" s="245"/>
      <c r="H546" s="245"/>
      <c r="I546" s="245"/>
      <c r="J546" s="245"/>
      <c r="K546" s="245"/>
      <c r="L546" s="246"/>
      <c r="M546" s="245"/>
      <c r="N546" s="245"/>
      <c r="O546" s="245"/>
      <c r="P546" s="245"/>
      <c r="Q546" s="247"/>
      <c r="R546" s="247"/>
      <c r="S546" s="247"/>
      <c r="T546" s="245"/>
      <c r="U546" s="245"/>
      <c r="V546" s="241"/>
      <c r="W546" s="241"/>
      <c r="X546" s="241"/>
    </row>
    <row r="547" spans="1:24" ht="13.5" customHeight="1" x14ac:dyDescent="0.3">
      <c r="A547" s="245"/>
      <c r="B547" s="246"/>
      <c r="C547" s="245"/>
      <c r="D547" s="245"/>
      <c r="E547" s="245"/>
      <c r="F547" s="245"/>
      <c r="G547" s="245"/>
      <c r="H547" s="245"/>
      <c r="I547" s="245"/>
      <c r="J547" s="245"/>
      <c r="K547" s="245"/>
      <c r="L547" s="246"/>
      <c r="M547" s="245"/>
      <c r="N547" s="245"/>
      <c r="O547" s="245"/>
      <c r="P547" s="245"/>
      <c r="Q547" s="247"/>
      <c r="R547" s="247"/>
      <c r="S547" s="247"/>
      <c r="T547" s="245"/>
      <c r="U547" s="245"/>
      <c r="V547" s="241"/>
      <c r="W547" s="241"/>
      <c r="X547" s="241"/>
    </row>
    <row r="548" spans="1:24" ht="13.5" customHeight="1" x14ac:dyDescent="0.3">
      <c r="A548" s="245"/>
      <c r="B548" s="246"/>
      <c r="C548" s="245"/>
      <c r="D548" s="245"/>
      <c r="E548" s="245"/>
      <c r="F548" s="245"/>
      <c r="G548" s="245"/>
      <c r="H548" s="245"/>
      <c r="I548" s="245"/>
      <c r="J548" s="245"/>
      <c r="K548" s="245"/>
      <c r="L548" s="246"/>
      <c r="M548" s="245"/>
      <c r="N548" s="245"/>
      <c r="O548" s="245"/>
      <c r="P548" s="245"/>
      <c r="Q548" s="247"/>
      <c r="R548" s="247"/>
      <c r="S548" s="247"/>
      <c r="T548" s="245"/>
      <c r="U548" s="245"/>
      <c r="V548" s="241"/>
      <c r="W548" s="241"/>
      <c r="X548" s="241"/>
    </row>
    <row r="549" spans="1:24" ht="13.5" customHeight="1" x14ac:dyDescent="0.3">
      <c r="A549" s="245"/>
      <c r="B549" s="246"/>
      <c r="C549" s="245"/>
      <c r="D549" s="245"/>
      <c r="E549" s="245"/>
      <c r="F549" s="245"/>
      <c r="G549" s="245"/>
      <c r="H549" s="245"/>
      <c r="I549" s="245"/>
      <c r="J549" s="245"/>
      <c r="K549" s="245"/>
      <c r="L549" s="246"/>
      <c r="M549" s="245"/>
      <c r="N549" s="245"/>
      <c r="O549" s="245"/>
      <c r="P549" s="245"/>
      <c r="Q549" s="247"/>
      <c r="R549" s="247"/>
      <c r="S549" s="247"/>
      <c r="T549" s="245"/>
      <c r="U549" s="245"/>
      <c r="V549" s="241"/>
      <c r="W549" s="241"/>
      <c r="X549" s="241"/>
    </row>
    <row r="550" spans="1:24" ht="13.5" customHeight="1" x14ac:dyDescent="0.3">
      <c r="A550" s="245"/>
      <c r="B550" s="246"/>
      <c r="C550" s="245"/>
      <c r="D550" s="245"/>
      <c r="E550" s="245"/>
      <c r="F550" s="245"/>
      <c r="G550" s="245"/>
      <c r="H550" s="245"/>
      <c r="I550" s="245"/>
      <c r="J550" s="245"/>
      <c r="K550" s="245"/>
      <c r="L550" s="246"/>
      <c r="M550" s="245"/>
      <c r="N550" s="245"/>
      <c r="O550" s="245"/>
      <c r="P550" s="245"/>
      <c r="Q550" s="247"/>
      <c r="R550" s="247"/>
      <c r="S550" s="247"/>
      <c r="T550" s="245"/>
      <c r="U550" s="245"/>
      <c r="V550" s="241"/>
      <c r="W550" s="241"/>
      <c r="X550" s="241"/>
    </row>
    <row r="551" spans="1:24" ht="13.5" customHeight="1" x14ac:dyDescent="0.3">
      <c r="A551" s="245"/>
      <c r="B551" s="246"/>
      <c r="C551" s="245"/>
      <c r="D551" s="245"/>
      <c r="E551" s="245"/>
      <c r="F551" s="245"/>
      <c r="G551" s="245"/>
      <c r="H551" s="245"/>
      <c r="I551" s="245"/>
      <c r="J551" s="245"/>
      <c r="K551" s="245"/>
      <c r="L551" s="246"/>
      <c r="M551" s="245"/>
      <c r="N551" s="245"/>
      <c r="O551" s="245"/>
      <c r="P551" s="245"/>
      <c r="Q551" s="247"/>
      <c r="R551" s="247"/>
      <c r="S551" s="247"/>
      <c r="T551" s="245"/>
      <c r="U551" s="245"/>
      <c r="V551" s="241"/>
      <c r="W551" s="241"/>
      <c r="X551" s="241"/>
    </row>
    <row r="552" spans="1:24" ht="13.5" customHeight="1" x14ac:dyDescent="0.3">
      <c r="A552" s="245"/>
      <c r="B552" s="246"/>
      <c r="C552" s="245"/>
      <c r="D552" s="245"/>
      <c r="E552" s="245"/>
      <c r="F552" s="245"/>
      <c r="G552" s="245"/>
      <c r="H552" s="245"/>
      <c r="I552" s="245"/>
      <c r="J552" s="245"/>
      <c r="K552" s="245"/>
      <c r="L552" s="246"/>
      <c r="M552" s="245"/>
      <c r="N552" s="245"/>
      <c r="O552" s="245"/>
      <c r="P552" s="245"/>
      <c r="Q552" s="247"/>
      <c r="R552" s="247"/>
      <c r="S552" s="247"/>
      <c r="T552" s="245"/>
      <c r="U552" s="245"/>
      <c r="V552" s="241"/>
      <c r="W552" s="241"/>
      <c r="X552" s="241"/>
    </row>
    <row r="553" spans="1:24" ht="13.5" customHeight="1" x14ac:dyDescent="0.3">
      <c r="A553" s="245"/>
      <c r="B553" s="246"/>
      <c r="C553" s="245"/>
      <c r="D553" s="245"/>
      <c r="E553" s="245"/>
      <c r="F553" s="245"/>
      <c r="G553" s="245"/>
      <c r="H553" s="245"/>
      <c r="I553" s="245"/>
      <c r="J553" s="245"/>
      <c r="K553" s="245"/>
      <c r="L553" s="246"/>
      <c r="M553" s="245"/>
      <c r="N553" s="245"/>
      <c r="O553" s="245"/>
      <c r="P553" s="245"/>
      <c r="Q553" s="247"/>
      <c r="R553" s="247"/>
      <c r="S553" s="247"/>
      <c r="T553" s="245"/>
      <c r="U553" s="245"/>
      <c r="V553" s="241"/>
      <c r="W553" s="241"/>
      <c r="X553" s="241"/>
    </row>
    <row r="554" spans="1:24" ht="13.5" customHeight="1" x14ac:dyDescent="0.3">
      <c r="A554" s="245"/>
      <c r="B554" s="246"/>
      <c r="C554" s="245"/>
      <c r="D554" s="245"/>
      <c r="E554" s="245"/>
      <c r="F554" s="245"/>
      <c r="G554" s="245"/>
      <c r="H554" s="245"/>
      <c r="I554" s="245"/>
      <c r="J554" s="245"/>
      <c r="K554" s="245"/>
      <c r="L554" s="246"/>
      <c r="M554" s="245"/>
      <c r="N554" s="245"/>
      <c r="O554" s="245"/>
      <c r="P554" s="245"/>
      <c r="Q554" s="247"/>
      <c r="R554" s="247"/>
      <c r="S554" s="247"/>
      <c r="T554" s="245"/>
      <c r="U554" s="245"/>
      <c r="V554" s="241"/>
      <c r="W554" s="241"/>
      <c r="X554" s="241"/>
    </row>
    <row r="555" spans="1:24" ht="13.5" customHeight="1" x14ac:dyDescent="0.3">
      <c r="A555" s="245"/>
      <c r="B555" s="246"/>
      <c r="C555" s="245"/>
      <c r="D555" s="245"/>
      <c r="E555" s="245"/>
      <c r="F555" s="245"/>
      <c r="G555" s="245"/>
      <c r="H555" s="245"/>
      <c r="I555" s="245"/>
      <c r="J555" s="245"/>
      <c r="K555" s="245"/>
      <c r="L555" s="246"/>
      <c r="M555" s="245"/>
      <c r="N555" s="245"/>
      <c r="O555" s="245"/>
      <c r="P555" s="245"/>
      <c r="Q555" s="247"/>
      <c r="R555" s="247"/>
      <c r="S555" s="247"/>
      <c r="T555" s="245"/>
      <c r="U555" s="245"/>
      <c r="V555" s="241"/>
      <c r="W555" s="241"/>
      <c r="X555" s="241"/>
    </row>
    <row r="556" spans="1:24" ht="13.5" customHeight="1" x14ac:dyDescent="0.3">
      <c r="A556" s="245"/>
      <c r="B556" s="246"/>
      <c r="C556" s="245"/>
      <c r="D556" s="245"/>
      <c r="E556" s="245"/>
      <c r="F556" s="245"/>
      <c r="G556" s="245"/>
      <c r="H556" s="245"/>
      <c r="I556" s="245"/>
      <c r="J556" s="245"/>
      <c r="K556" s="245"/>
      <c r="L556" s="246"/>
      <c r="M556" s="245"/>
      <c r="N556" s="245"/>
      <c r="O556" s="245"/>
      <c r="P556" s="245"/>
      <c r="Q556" s="247"/>
      <c r="R556" s="247"/>
      <c r="S556" s="247"/>
      <c r="T556" s="245"/>
      <c r="U556" s="245"/>
      <c r="V556" s="241"/>
      <c r="W556" s="241"/>
      <c r="X556" s="241"/>
    </row>
    <row r="557" spans="1:24" ht="13.5" customHeight="1" x14ac:dyDescent="0.3">
      <c r="A557" s="245"/>
      <c r="B557" s="246"/>
      <c r="C557" s="245"/>
      <c r="D557" s="245"/>
      <c r="E557" s="245"/>
      <c r="F557" s="245"/>
      <c r="G557" s="245"/>
      <c r="H557" s="245"/>
      <c r="I557" s="245"/>
      <c r="J557" s="245"/>
      <c r="K557" s="245"/>
      <c r="L557" s="246"/>
      <c r="M557" s="245"/>
      <c r="N557" s="245"/>
      <c r="O557" s="245"/>
      <c r="P557" s="245"/>
      <c r="Q557" s="247"/>
      <c r="R557" s="247"/>
      <c r="S557" s="247"/>
      <c r="T557" s="245"/>
      <c r="U557" s="245"/>
      <c r="V557" s="241"/>
      <c r="W557" s="241"/>
      <c r="X557" s="241"/>
    </row>
    <row r="558" spans="1:24" ht="13.5" customHeight="1" x14ac:dyDescent="0.3">
      <c r="A558" s="245"/>
      <c r="B558" s="246"/>
      <c r="C558" s="245"/>
      <c r="D558" s="245"/>
      <c r="E558" s="245"/>
      <c r="F558" s="245"/>
      <c r="G558" s="245"/>
      <c r="H558" s="245"/>
      <c r="I558" s="245"/>
      <c r="J558" s="245"/>
      <c r="K558" s="245"/>
      <c r="L558" s="246"/>
      <c r="M558" s="245"/>
      <c r="N558" s="245"/>
      <c r="O558" s="245"/>
      <c r="P558" s="245"/>
      <c r="Q558" s="247"/>
      <c r="R558" s="247"/>
      <c r="S558" s="247"/>
      <c r="T558" s="245"/>
      <c r="U558" s="245"/>
      <c r="V558" s="241"/>
      <c r="W558" s="241"/>
      <c r="X558" s="241"/>
    </row>
    <row r="559" spans="1:24" ht="13.5" customHeight="1" x14ac:dyDescent="0.3">
      <c r="A559" s="245"/>
      <c r="B559" s="246"/>
      <c r="C559" s="245"/>
      <c r="D559" s="245"/>
      <c r="E559" s="245"/>
      <c r="F559" s="245"/>
      <c r="G559" s="245"/>
      <c r="H559" s="245"/>
      <c r="I559" s="245"/>
      <c r="J559" s="245"/>
      <c r="K559" s="245"/>
      <c r="L559" s="246"/>
      <c r="M559" s="245"/>
      <c r="N559" s="245"/>
      <c r="O559" s="245"/>
      <c r="P559" s="245"/>
      <c r="Q559" s="247"/>
      <c r="R559" s="247"/>
      <c r="S559" s="247"/>
      <c r="T559" s="245"/>
      <c r="U559" s="245"/>
      <c r="V559" s="241"/>
      <c r="W559" s="241"/>
      <c r="X559" s="241"/>
    </row>
    <row r="560" spans="1:24" ht="13.5" customHeight="1" x14ac:dyDescent="0.3">
      <c r="A560" s="245"/>
      <c r="B560" s="246"/>
      <c r="C560" s="245"/>
      <c r="D560" s="245"/>
      <c r="E560" s="245"/>
      <c r="F560" s="245"/>
      <c r="G560" s="245"/>
      <c r="H560" s="245"/>
      <c r="I560" s="245"/>
      <c r="J560" s="245"/>
      <c r="K560" s="245"/>
      <c r="L560" s="246"/>
      <c r="M560" s="245"/>
      <c r="N560" s="245"/>
      <c r="O560" s="245"/>
      <c r="P560" s="245"/>
      <c r="Q560" s="247"/>
      <c r="R560" s="247"/>
      <c r="S560" s="247"/>
      <c r="T560" s="245"/>
      <c r="U560" s="245"/>
      <c r="V560" s="241"/>
      <c r="W560" s="241"/>
      <c r="X560" s="241"/>
    </row>
    <row r="561" spans="1:24" ht="13.5" customHeight="1" x14ac:dyDescent="0.3">
      <c r="A561" s="245"/>
      <c r="B561" s="246"/>
      <c r="C561" s="245"/>
      <c r="D561" s="245"/>
      <c r="E561" s="245"/>
      <c r="F561" s="245"/>
      <c r="G561" s="245"/>
      <c r="H561" s="245"/>
      <c r="I561" s="245"/>
      <c r="J561" s="245"/>
      <c r="K561" s="245"/>
      <c r="L561" s="246"/>
      <c r="M561" s="245"/>
      <c r="N561" s="245"/>
      <c r="O561" s="245"/>
      <c r="P561" s="245"/>
      <c r="Q561" s="247"/>
      <c r="R561" s="247"/>
      <c r="S561" s="247"/>
      <c r="T561" s="245"/>
      <c r="U561" s="245"/>
      <c r="V561" s="241"/>
      <c r="W561" s="241"/>
      <c r="X561" s="241"/>
    </row>
    <row r="562" spans="1:24" ht="13.5" customHeight="1" x14ac:dyDescent="0.3">
      <c r="A562" s="245"/>
      <c r="B562" s="246"/>
      <c r="C562" s="245"/>
      <c r="D562" s="245"/>
      <c r="E562" s="245"/>
      <c r="F562" s="245"/>
      <c r="G562" s="245"/>
      <c r="H562" s="245"/>
      <c r="I562" s="245"/>
      <c r="J562" s="245"/>
      <c r="K562" s="245"/>
      <c r="L562" s="246"/>
      <c r="M562" s="245"/>
      <c r="N562" s="245"/>
      <c r="O562" s="245"/>
      <c r="P562" s="245"/>
      <c r="Q562" s="247"/>
      <c r="R562" s="247"/>
      <c r="S562" s="247"/>
      <c r="T562" s="245"/>
      <c r="U562" s="245"/>
      <c r="V562" s="241"/>
      <c r="W562" s="241"/>
      <c r="X562" s="241"/>
    </row>
    <row r="563" spans="1:24" ht="13.5" customHeight="1" x14ac:dyDescent="0.3">
      <c r="A563" s="245"/>
      <c r="B563" s="246"/>
      <c r="C563" s="245"/>
      <c r="D563" s="245"/>
      <c r="E563" s="245"/>
      <c r="F563" s="245"/>
      <c r="G563" s="245"/>
      <c r="H563" s="245"/>
      <c r="I563" s="245"/>
      <c r="J563" s="245"/>
      <c r="K563" s="245"/>
      <c r="L563" s="246"/>
      <c r="M563" s="245"/>
      <c r="N563" s="245"/>
      <c r="O563" s="245"/>
      <c r="P563" s="245"/>
      <c r="Q563" s="247"/>
      <c r="R563" s="247"/>
      <c r="S563" s="247"/>
      <c r="T563" s="245"/>
      <c r="U563" s="245"/>
      <c r="V563" s="241"/>
      <c r="W563" s="241"/>
      <c r="X563" s="241"/>
    </row>
    <row r="564" spans="1:24" ht="13.5" customHeight="1" x14ac:dyDescent="0.3">
      <c r="A564" s="245"/>
      <c r="B564" s="246"/>
      <c r="C564" s="245"/>
      <c r="D564" s="245"/>
      <c r="E564" s="245"/>
      <c r="F564" s="245"/>
      <c r="G564" s="245"/>
      <c r="H564" s="245"/>
      <c r="I564" s="245"/>
      <c r="J564" s="245"/>
      <c r="K564" s="245"/>
      <c r="L564" s="246"/>
      <c r="M564" s="245"/>
      <c r="N564" s="245"/>
      <c r="O564" s="245"/>
      <c r="P564" s="245"/>
      <c r="Q564" s="247"/>
      <c r="R564" s="247"/>
      <c r="S564" s="247"/>
      <c r="T564" s="245"/>
      <c r="U564" s="245"/>
      <c r="V564" s="241"/>
      <c r="W564" s="241"/>
      <c r="X564" s="241"/>
    </row>
    <row r="565" spans="1:24" ht="13.5" customHeight="1" x14ac:dyDescent="0.3">
      <c r="A565" s="245"/>
      <c r="B565" s="246"/>
      <c r="C565" s="245"/>
      <c r="D565" s="245"/>
      <c r="E565" s="245"/>
      <c r="F565" s="245"/>
      <c r="G565" s="245"/>
      <c r="H565" s="245"/>
      <c r="I565" s="245"/>
      <c r="J565" s="245"/>
      <c r="K565" s="245"/>
      <c r="L565" s="246"/>
      <c r="M565" s="245"/>
      <c r="N565" s="245"/>
      <c r="O565" s="245"/>
      <c r="P565" s="245"/>
      <c r="Q565" s="247"/>
      <c r="R565" s="247"/>
      <c r="S565" s="247"/>
      <c r="T565" s="245"/>
      <c r="U565" s="245"/>
      <c r="V565" s="241"/>
      <c r="W565" s="241"/>
      <c r="X565" s="241"/>
    </row>
    <row r="566" spans="1:24" ht="13.5" customHeight="1" x14ac:dyDescent="0.3">
      <c r="A566" s="245"/>
      <c r="B566" s="246"/>
      <c r="C566" s="245"/>
      <c r="D566" s="245"/>
      <c r="E566" s="245"/>
      <c r="F566" s="245"/>
      <c r="G566" s="245"/>
      <c r="H566" s="245"/>
      <c r="I566" s="245"/>
      <c r="J566" s="245"/>
      <c r="K566" s="245"/>
      <c r="L566" s="246"/>
      <c r="M566" s="245"/>
      <c r="N566" s="245"/>
      <c r="O566" s="245"/>
      <c r="P566" s="245"/>
      <c r="Q566" s="247"/>
      <c r="R566" s="247"/>
      <c r="S566" s="247"/>
      <c r="T566" s="245"/>
      <c r="U566" s="245"/>
      <c r="V566" s="241"/>
      <c r="W566" s="241"/>
      <c r="X566" s="241"/>
    </row>
    <row r="567" spans="1:24" ht="13.5" customHeight="1" x14ac:dyDescent="0.3">
      <c r="A567" s="245"/>
      <c r="B567" s="246"/>
      <c r="C567" s="245"/>
      <c r="D567" s="245"/>
      <c r="E567" s="245"/>
      <c r="F567" s="245"/>
      <c r="G567" s="245"/>
      <c r="H567" s="245"/>
      <c r="I567" s="245"/>
      <c r="J567" s="245"/>
      <c r="K567" s="245"/>
      <c r="L567" s="246"/>
      <c r="M567" s="245"/>
      <c r="N567" s="245"/>
      <c r="O567" s="245"/>
      <c r="P567" s="245"/>
      <c r="Q567" s="247"/>
      <c r="R567" s="247"/>
      <c r="S567" s="247"/>
      <c r="T567" s="245"/>
      <c r="U567" s="245"/>
      <c r="V567" s="241"/>
      <c r="W567" s="241"/>
      <c r="X567" s="241"/>
    </row>
    <row r="568" spans="1:24" ht="13.5" customHeight="1" x14ac:dyDescent="0.3">
      <c r="A568" s="245"/>
      <c r="B568" s="246"/>
      <c r="C568" s="245"/>
      <c r="D568" s="245"/>
      <c r="E568" s="245"/>
      <c r="F568" s="245"/>
      <c r="G568" s="245"/>
      <c r="H568" s="245"/>
      <c r="I568" s="245"/>
      <c r="J568" s="245"/>
      <c r="K568" s="245"/>
      <c r="L568" s="246"/>
      <c r="M568" s="245"/>
      <c r="N568" s="245"/>
      <c r="O568" s="245"/>
      <c r="P568" s="245"/>
      <c r="Q568" s="247"/>
      <c r="R568" s="247"/>
      <c r="S568" s="247"/>
      <c r="T568" s="245"/>
      <c r="U568" s="245"/>
      <c r="V568" s="241"/>
      <c r="W568" s="241"/>
      <c r="X568" s="241"/>
    </row>
    <row r="569" spans="1:24" ht="13.5" customHeight="1" x14ac:dyDescent="0.3">
      <c r="A569" s="245"/>
      <c r="B569" s="246"/>
      <c r="C569" s="245"/>
      <c r="D569" s="245"/>
      <c r="E569" s="245"/>
      <c r="F569" s="245"/>
      <c r="G569" s="245"/>
      <c r="H569" s="245"/>
      <c r="I569" s="245"/>
      <c r="J569" s="245"/>
      <c r="K569" s="245"/>
      <c r="L569" s="246"/>
      <c r="M569" s="245"/>
      <c r="N569" s="245"/>
      <c r="O569" s="245"/>
      <c r="P569" s="245"/>
      <c r="Q569" s="247"/>
      <c r="R569" s="247"/>
      <c r="S569" s="247"/>
      <c r="T569" s="245"/>
      <c r="U569" s="245"/>
      <c r="V569" s="241"/>
      <c r="W569" s="241"/>
      <c r="X569" s="241"/>
    </row>
    <row r="570" spans="1:24" ht="13.5" customHeight="1" x14ac:dyDescent="0.3">
      <c r="A570" s="245"/>
      <c r="B570" s="246"/>
      <c r="C570" s="245"/>
      <c r="D570" s="245"/>
      <c r="E570" s="245"/>
      <c r="F570" s="245"/>
      <c r="G570" s="245"/>
      <c r="H570" s="245"/>
      <c r="I570" s="245"/>
      <c r="J570" s="245"/>
      <c r="K570" s="245"/>
      <c r="L570" s="246"/>
      <c r="M570" s="245"/>
      <c r="N570" s="245"/>
      <c r="O570" s="245"/>
      <c r="P570" s="245"/>
      <c r="Q570" s="247"/>
      <c r="R570" s="247"/>
      <c r="S570" s="247"/>
      <c r="T570" s="245"/>
      <c r="U570" s="245"/>
      <c r="V570" s="241"/>
      <c r="W570" s="241"/>
      <c r="X570" s="241"/>
    </row>
    <row r="571" spans="1:24" ht="13.5" customHeight="1" x14ac:dyDescent="0.3">
      <c r="A571" s="245"/>
      <c r="B571" s="246"/>
      <c r="C571" s="245"/>
      <c r="D571" s="245"/>
      <c r="E571" s="245"/>
      <c r="F571" s="245"/>
      <c r="G571" s="245"/>
      <c r="H571" s="245"/>
      <c r="I571" s="245"/>
      <c r="J571" s="245"/>
      <c r="K571" s="245"/>
      <c r="L571" s="246"/>
      <c r="M571" s="245"/>
      <c r="N571" s="245"/>
      <c r="O571" s="245"/>
      <c r="P571" s="245"/>
      <c r="Q571" s="247"/>
      <c r="R571" s="247"/>
      <c r="S571" s="247"/>
      <c r="T571" s="245"/>
      <c r="U571" s="245"/>
      <c r="V571" s="241"/>
      <c r="W571" s="241"/>
      <c r="X571" s="241"/>
    </row>
    <row r="572" spans="1:24" ht="13.5" customHeight="1" x14ac:dyDescent="0.3">
      <c r="A572" s="245"/>
      <c r="B572" s="246"/>
      <c r="C572" s="245"/>
      <c r="D572" s="245"/>
      <c r="E572" s="245"/>
      <c r="F572" s="245"/>
      <c r="G572" s="245"/>
      <c r="H572" s="245"/>
      <c r="I572" s="245"/>
      <c r="J572" s="245"/>
      <c r="K572" s="245"/>
      <c r="L572" s="246"/>
      <c r="M572" s="245"/>
      <c r="N572" s="245"/>
      <c r="O572" s="245"/>
      <c r="P572" s="245"/>
      <c r="Q572" s="247"/>
      <c r="R572" s="247"/>
      <c r="S572" s="247"/>
      <c r="T572" s="245"/>
      <c r="U572" s="245"/>
      <c r="V572" s="241"/>
      <c r="W572" s="241"/>
      <c r="X572" s="241"/>
    </row>
    <row r="573" spans="1:24" ht="13.5" customHeight="1" x14ac:dyDescent="0.3">
      <c r="A573" s="245"/>
      <c r="B573" s="246"/>
      <c r="C573" s="245"/>
      <c r="D573" s="245"/>
      <c r="E573" s="245"/>
      <c r="F573" s="245"/>
      <c r="G573" s="245"/>
      <c r="H573" s="245"/>
      <c r="I573" s="245"/>
      <c r="J573" s="245"/>
      <c r="K573" s="245"/>
      <c r="L573" s="246"/>
      <c r="M573" s="245"/>
      <c r="N573" s="245"/>
      <c r="O573" s="245"/>
      <c r="P573" s="245"/>
      <c r="Q573" s="247"/>
      <c r="R573" s="247"/>
      <c r="S573" s="247"/>
      <c r="T573" s="245"/>
      <c r="U573" s="245"/>
      <c r="V573" s="241"/>
      <c r="W573" s="241"/>
      <c r="X573" s="241"/>
    </row>
    <row r="574" spans="1:24" ht="13.5" customHeight="1" x14ac:dyDescent="0.3">
      <c r="A574" s="245"/>
      <c r="B574" s="246"/>
      <c r="C574" s="245"/>
      <c r="D574" s="245"/>
      <c r="E574" s="245"/>
      <c r="F574" s="245"/>
      <c r="G574" s="245"/>
      <c r="H574" s="245"/>
      <c r="I574" s="245"/>
      <c r="J574" s="245"/>
      <c r="K574" s="245"/>
      <c r="L574" s="246"/>
      <c r="M574" s="245"/>
      <c r="N574" s="245"/>
      <c r="O574" s="245"/>
      <c r="P574" s="245"/>
      <c r="Q574" s="247"/>
      <c r="R574" s="247"/>
      <c r="S574" s="247"/>
      <c r="T574" s="245"/>
      <c r="U574" s="245"/>
      <c r="V574" s="241"/>
      <c r="W574" s="241"/>
      <c r="X574" s="241"/>
    </row>
    <row r="575" spans="1:24" ht="13.5" customHeight="1" x14ac:dyDescent="0.3">
      <c r="A575" s="245"/>
      <c r="B575" s="246"/>
      <c r="C575" s="245"/>
      <c r="D575" s="245"/>
      <c r="E575" s="245"/>
      <c r="F575" s="245"/>
      <c r="G575" s="245"/>
      <c r="H575" s="245"/>
      <c r="I575" s="245"/>
      <c r="J575" s="245"/>
      <c r="K575" s="245"/>
      <c r="L575" s="246"/>
      <c r="M575" s="245"/>
      <c r="N575" s="245"/>
      <c r="O575" s="245"/>
      <c r="P575" s="245"/>
      <c r="Q575" s="247"/>
      <c r="R575" s="247"/>
      <c r="S575" s="247"/>
      <c r="T575" s="245"/>
      <c r="U575" s="245"/>
      <c r="V575" s="241"/>
      <c r="W575" s="241"/>
      <c r="X575" s="241"/>
    </row>
    <row r="576" spans="1:24" ht="13.5" customHeight="1" x14ac:dyDescent="0.3">
      <c r="A576" s="245"/>
      <c r="B576" s="246"/>
      <c r="C576" s="245"/>
      <c r="D576" s="245"/>
      <c r="E576" s="245"/>
      <c r="F576" s="245"/>
      <c r="G576" s="245"/>
      <c r="H576" s="245"/>
      <c r="I576" s="245"/>
      <c r="J576" s="245"/>
      <c r="K576" s="245"/>
      <c r="L576" s="246"/>
      <c r="M576" s="245"/>
      <c r="N576" s="245"/>
      <c r="O576" s="245"/>
      <c r="P576" s="245"/>
      <c r="Q576" s="247"/>
      <c r="R576" s="247"/>
      <c r="S576" s="247"/>
      <c r="T576" s="245"/>
      <c r="U576" s="245"/>
      <c r="V576" s="241"/>
      <c r="W576" s="241"/>
      <c r="X576" s="241"/>
    </row>
    <row r="577" spans="1:24" ht="13.5" customHeight="1" x14ac:dyDescent="0.3">
      <c r="A577" s="245"/>
      <c r="B577" s="246"/>
      <c r="C577" s="245"/>
      <c r="D577" s="245"/>
      <c r="E577" s="245"/>
      <c r="F577" s="245"/>
      <c r="G577" s="245"/>
      <c r="H577" s="245"/>
      <c r="I577" s="245"/>
      <c r="J577" s="245"/>
      <c r="K577" s="245"/>
      <c r="L577" s="246"/>
      <c r="M577" s="245"/>
      <c r="N577" s="245"/>
      <c r="O577" s="245"/>
      <c r="P577" s="245"/>
      <c r="Q577" s="247"/>
      <c r="R577" s="247"/>
      <c r="S577" s="247"/>
      <c r="T577" s="245"/>
      <c r="U577" s="245"/>
      <c r="V577" s="241"/>
      <c r="W577" s="241"/>
      <c r="X577" s="241"/>
    </row>
    <row r="578" spans="1:24" ht="13.5" customHeight="1" x14ac:dyDescent="0.3">
      <c r="A578" s="245"/>
      <c r="B578" s="246"/>
      <c r="C578" s="245"/>
      <c r="D578" s="245"/>
      <c r="E578" s="245"/>
      <c r="F578" s="245"/>
      <c r="G578" s="245"/>
      <c r="H578" s="245"/>
      <c r="I578" s="245"/>
      <c r="J578" s="245"/>
      <c r="K578" s="245"/>
      <c r="L578" s="246"/>
      <c r="M578" s="245"/>
      <c r="N578" s="245"/>
      <c r="O578" s="245"/>
      <c r="P578" s="245"/>
      <c r="Q578" s="247"/>
      <c r="R578" s="247"/>
      <c r="S578" s="247"/>
      <c r="T578" s="245"/>
      <c r="U578" s="245"/>
      <c r="V578" s="241"/>
      <c r="W578" s="241"/>
      <c r="X578" s="241"/>
    </row>
    <row r="579" spans="1:24" ht="13.5" customHeight="1" x14ac:dyDescent="0.3">
      <c r="A579" s="245"/>
      <c r="B579" s="246"/>
      <c r="C579" s="245"/>
      <c r="D579" s="245"/>
      <c r="E579" s="245"/>
      <c r="F579" s="245"/>
      <c r="G579" s="245"/>
      <c r="H579" s="245"/>
      <c r="I579" s="245"/>
      <c r="J579" s="245"/>
      <c r="K579" s="245"/>
      <c r="L579" s="246"/>
      <c r="M579" s="245"/>
      <c r="N579" s="245"/>
      <c r="O579" s="245"/>
      <c r="P579" s="245"/>
      <c r="Q579" s="247"/>
      <c r="R579" s="247"/>
      <c r="S579" s="247"/>
      <c r="T579" s="245"/>
      <c r="U579" s="245"/>
      <c r="V579" s="241"/>
      <c r="W579" s="241"/>
      <c r="X579" s="241"/>
    </row>
    <row r="580" spans="1:24" ht="13.5" customHeight="1" x14ac:dyDescent="0.3">
      <c r="A580" s="245"/>
      <c r="B580" s="246"/>
      <c r="C580" s="245"/>
      <c r="D580" s="245"/>
      <c r="E580" s="245"/>
      <c r="F580" s="245"/>
      <c r="G580" s="245"/>
      <c r="H580" s="245"/>
      <c r="I580" s="245"/>
      <c r="J580" s="245"/>
      <c r="K580" s="245"/>
      <c r="L580" s="246"/>
      <c r="M580" s="245"/>
      <c r="N580" s="245"/>
      <c r="O580" s="245"/>
      <c r="P580" s="245"/>
      <c r="Q580" s="247"/>
      <c r="R580" s="247"/>
      <c r="S580" s="247"/>
      <c r="T580" s="245"/>
      <c r="U580" s="245"/>
      <c r="V580" s="241"/>
      <c r="W580" s="241"/>
      <c r="X580" s="241"/>
    </row>
    <row r="581" spans="1:24" ht="13.5" customHeight="1" x14ac:dyDescent="0.3">
      <c r="A581" s="245"/>
      <c r="B581" s="246"/>
      <c r="C581" s="245"/>
      <c r="D581" s="245"/>
      <c r="E581" s="245"/>
      <c r="F581" s="245"/>
      <c r="G581" s="245"/>
      <c r="H581" s="245"/>
      <c r="I581" s="245"/>
      <c r="J581" s="245"/>
      <c r="K581" s="245"/>
      <c r="L581" s="246"/>
      <c r="M581" s="245"/>
      <c r="N581" s="245"/>
      <c r="O581" s="245"/>
      <c r="P581" s="245"/>
      <c r="Q581" s="247"/>
      <c r="R581" s="247"/>
      <c r="S581" s="247"/>
      <c r="T581" s="245"/>
      <c r="U581" s="245"/>
      <c r="V581" s="241"/>
      <c r="W581" s="241"/>
      <c r="X581" s="241"/>
    </row>
    <row r="582" spans="1:24" ht="13.5" customHeight="1" x14ac:dyDescent="0.3">
      <c r="A582" s="245"/>
      <c r="B582" s="246"/>
      <c r="C582" s="245"/>
      <c r="D582" s="245"/>
      <c r="E582" s="245"/>
      <c r="F582" s="245"/>
      <c r="G582" s="245"/>
      <c r="H582" s="245"/>
      <c r="I582" s="245"/>
      <c r="J582" s="245"/>
      <c r="K582" s="245"/>
      <c r="L582" s="246"/>
      <c r="M582" s="245"/>
      <c r="N582" s="245"/>
      <c r="O582" s="245"/>
      <c r="P582" s="245"/>
      <c r="Q582" s="247"/>
      <c r="R582" s="247"/>
      <c r="S582" s="247"/>
      <c r="T582" s="245"/>
      <c r="U582" s="245"/>
      <c r="V582" s="241"/>
      <c r="W582" s="241"/>
      <c r="X582" s="241"/>
    </row>
    <row r="583" spans="1:24" ht="13.5" customHeight="1" x14ac:dyDescent="0.3">
      <c r="A583" s="245"/>
      <c r="B583" s="246"/>
      <c r="C583" s="245"/>
      <c r="D583" s="245"/>
      <c r="E583" s="245"/>
      <c r="F583" s="245"/>
      <c r="G583" s="245"/>
      <c r="H583" s="245"/>
      <c r="I583" s="245"/>
      <c r="J583" s="245"/>
      <c r="K583" s="245"/>
      <c r="L583" s="246"/>
      <c r="M583" s="245"/>
      <c r="N583" s="245"/>
      <c r="O583" s="245"/>
      <c r="P583" s="245"/>
      <c r="Q583" s="247"/>
      <c r="R583" s="247"/>
      <c r="S583" s="247"/>
      <c r="T583" s="245"/>
      <c r="U583" s="245"/>
      <c r="V583" s="241"/>
      <c r="W583" s="241"/>
      <c r="X583" s="241"/>
    </row>
    <row r="584" spans="1:24" ht="13.5" customHeight="1" x14ac:dyDescent="0.3">
      <c r="A584" s="245"/>
      <c r="B584" s="246"/>
      <c r="C584" s="245"/>
      <c r="D584" s="245"/>
      <c r="E584" s="245"/>
      <c r="F584" s="245"/>
      <c r="G584" s="245"/>
      <c r="H584" s="245"/>
      <c r="I584" s="245"/>
      <c r="J584" s="245"/>
      <c r="K584" s="245"/>
      <c r="L584" s="246"/>
      <c r="M584" s="245"/>
      <c r="N584" s="245"/>
      <c r="O584" s="245"/>
      <c r="P584" s="245"/>
      <c r="Q584" s="247"/>
      <c r="R584" s="247"/>
      <c r="S584" s="247"/>
      <c r="T584" s="245"/>
      <c r="U584" s="245"/>
      <c r="V584" s="241"/>
      <c r="W584" s="241"/>
      <c r="X584" s="241"/>
    </row>
    <row r="585" spans="1:24" ht="13.5" customHeight="1" x14ac:dyDescent="0.3">
      <c r="A585" s="245"/>
      <c r="B585" s="246"/>
      <c r="C585" s="245"/>
      <c r="D585" s="245"/>
      <c r="E585" s="245"/>
      <c r="F585" s="245"/>
      <c r="G585" s="245"/>
      <c r="H585" s="245"/>
      <c r="I585" s="245"/>
      <c r="J585" s="245"/>
      <c r="K585" s="245"/>
      <c r="L585" s="246"/>
      <c r="M585" s="245"/>
      <c r="N585" s="245"/>
      <c r="O585" s="245"/>
      <c r="P585" s="245"/>
      <c r="Q585" s="247"/>
      <c r="R585" s="247"/>
      <c r="S585" s="247"/>
      <c r="T585" s="245"/>
      <c r="U585" s="245"/>
      <c r="V585" s="241"/>
      <c r="W585" s="241"/>
      <c r="X585" s="241"/>
    </row>
    <row r="586" spans="1:24" ht="13.5" customHeight="1" x14ac:dyDescent="0.3">
      <c r="A586" s="245"/>
      <c r="B586" s="246"/>
      <c r="C586" s="245"/>
      <c r="D586" s="245"/>
      <c r="E586" s="245"/>
      <c r="F586" s="245"/>
      <c r="G586" s="245"/>
      <c r="H586" s="245"/>
      <c r="I586" s="245"/>
      <c r="J586" s="245"/>
      <c r="K586" s="245"/>
      <c r="L586" s="246"/>
      <c r="M586" s="245"/>
      <c r="N586" s="245"/>
      <c r="O586" s="245"/>
      <c r="P586" s="245"/>
      <c r="Q586" s="247"/>
      <c r="R586" s="247"/>
      <c r="S586" s="247"/>
      <c r="T586" s="245"/>
      <c r="U586" s="245"/>
      <c r="V586" s="241"/>
      <c r="W586" s="241"/>
      <c r="X586" s="241"/>
    </row>
    <row r="587" spans="1:24" ht="13.5" customHeight="1" x14ac:dyDescent="0.3">
      <c r="A587" s="245"/>
      <c r="B587" s="246"/>
      <c r="C587" s="245"/>
      <c r="D587" s="245"/>
      <c r="E587" s="245"/>
      <c r="F587" s="245"/>
      <c r="G587" s="245"/>
      <c r="H587" s="245"/>
      <c r="I587" s="245"/>
      <c r="J587" s="245"/>
      <c r="K587" s="245"/>
      <c r="L587" s="246"/>
      <c r="M587" s="245"/>
      <c r="N587" s="245"/>
      <c r="O587" s="245"/>
      <c r="P587" s="245"/>
      <c r="Q587" s="247"/>
      <c r="R587" s="247"/>
      <c r="S587" s="247"/>
      <c r="T587" s="245"/>
      <c r="U587" s="245"/>
      <c r="V587" s="241"/>
      <c r="W587" s="241"/>
      <c r="X587" s="241"/>
    </row>
    <row r="588" spans="1:24" ht="13.5" customHeight="1" x14ac:dyDescent="0.3">
      <c r="A588" s="245"/>
      <c r="B588" s="246"/>
      <c r="C588" s="245"/>
      <c r="D588" s="245"/>
      <c r="E588" s="245"/>
      <c r="F588" s="245"/>
      <c r="G588" s="245"/>
      <c r="H588" s="245"/>
      <c r="I588" s="245"/>
      <c r="J588" s="245"/>
      <c r="K588" s="245"/>
      <c r="L588" s="246"/>
      <c r="M588" s="245"/>
      <c r="N588" s="245"/>
      <c r="O588" s="245"/>
      <c r="P588" s="245"/>
      <c r="Q588" s="247"/>
      <c r="R588" s="247"/>
      <c r="S588" s="247"/>
      <c r="T588" s="245"/>
      <c r="U588" s="245"/>
      <c r="V588" s="241"/>
      <c r="W588" s="241"/>
      <c r="X588" s="241"/>
    </row>
    <row r="589" spans="1:24" ht="13.5" customHeight="1" x14ac:dyDescent="0.3">
      <c r="A589" s="245"/>
      <c r="B589" s="246"/>
      <c r="C589" s="245"/>
      <c r="D589" s="245"/>
      <c r="E589" s="245"/>
      <c r="F589" s="245"/>
      <c r="G589" s="245"/>
      <c r="H589" s="245"/>
      <c r="I589" s="245"/>
      <c r="J589" s="245"/>
      <c r="K589" s="245"/>
      <c r="L589" s="246"/>
      <c r="M589" s="245"/>
      <c r="N589" s="245"/>
      <c r="O589" s="245"/>
      <c r="P589" s="245"/>
      <c r="Q589" s="247"/>
      <c r="R589" s="247"/>
      <c r="S589" s="247"/>
      <c r="T589" s="245"/>
      <c r="U589" s="245"/>
      <c r="V589" s="241"/>
      <c r="W589" s="241"/>
      <c r="X589" s="241"/>
    </row>
    <row r="590" spans="1:24" ht="13.5" customHeight="1" x14ac:dyDescent="0.3">
      <c r="A590" s="245"/>
      <c r="B590" s="246"/>
      <c r="C590" s="245"/>
      <c r="D590" s="245"/>
      <c r="E590" s="245"/>
      <c r="F590" s="245"/>
      <c r="G590" s="245"/>
      <c r="H590" s="245"/>
      <c r="I590" s="245"/>
      <c r="J590" s="245"/>
      <c r="K590" s="245"/>
      <c r="L590" s="246"/>
      <c r="M590" s="245"/>
      <c r="N590" s="245"/>
      <c r="O590" s="245"/>
      <c r="P590" s="245"/>
      <c r="Q590" s="247"/>
      <c r="R590" s="247"/>
      <c r="S590" s="247"/>
      <c r="T590" s="245"/>
      <c r="U590" s="245"/>
      <c r="V590" s="241"/>
      <c r="W590" s="241"/>
      <c r="X590" s="241"/>
    </row>
    <row r="591" spans="1:24" ht="13.5" customHeight="1" x14ac:dyDescent="0.3">
      <c r="A591" s="245"/>
      <c r="B591" s="246"/>
      <c r="C591" s="245"/>
      <c r="D591" s="245"/>
      <c r="E591" s="245"/>
      <c r="F591" s="245"/>
      <c r="G591" s="245"/>
      <c r="H591" s="245"/>
      <c r="I591" s="245"/>
      <c r="J591" s="245"/>
      <c r="K591" s="245"/>
      <c r="L591" s="246"/>
      <c r="M591" s="245"/>
      <c r="N591" s="245"/>
      <c r="O591" s="245"/>
      <c r="P591" s="245"/>
      <c r="Q591" s="247"/>
      <c r="R591" s="247"/>
      <c r="S591" s="247"/>
      <c r="T591" s="245"/>
      <c r="U591" s="245"/>
      <c r="V591" s="241"/>
      <c r="W591" s="241"/>
      <c r="X591" s="241"/>
    </row>
    <row r="592" spans="1:24" ht="13.5" customHeight="1" x14ac:dyDescent="0.3">
      <c r="A592" s="245"/>
      <c r="B592" s="246"/>
      <c r="C592" s="245"/>
      <c r="D592" s="245"/>
      <c r="E592" s="245"/>
      <c r="F592" s="245"/>
      <c r="G592" s="245"/>
      <c r="H592" s="245"/>
      <c r="I592" s="245"/>
      <c r="J592" s="245"/>
      <c r="K592" s="245"/>
      <c r="L592" s="246"/>
      <c r="M592" s="245"/>
      <c r="N592" s="245"/>
      <c r="O592" s="245"/>
      <c r="P592" s="245"/>
      <c r="Q592" s="247"/>
      <c r="R592" s="247"/>
      <c r="S592" s="247"/>
      <c r="T592" s="245"/>
      <c r="U592" s="245"/>
      <c r="V592" s="241"/>
      <c r="W592" s="241"/>
      <c r="X592" s="241"/>
    </row>
    <row r="593" spans="1:24" ht="13.5" customHeight="1" x14ac:dyDescent="0.3">
      <c r="A593" s="245"/>
      <c r="B593" s="246"/>
      <c r="C593" s="245"/>
      <c r="D593" s="245"/>
      <c r="E593" s="245"/>
      <c r="F593" s="245"/>
      <c r="G593" s="245"/>
      <c r="H593" s="245"/>
      <c r="I593" s="245"/>
      <c r="J593" s="245"/>
      <c r="K593" s="245"/>
      <c r="L593" s="246"/>
      <c r="M593" s="245"/>
      <c r="N593" s="245"/>
      <c r="O593" s="245"/>
      <c r="P593" s="245"/>
      <c r="Q593" s="247"/>
      <c r="R593" s="247"/>
      <c r="S593" s="247"/>
      <c r="T593" s="245"/>
      <c r="U593" s="245"/>
      <c r="V593" s="241"/>
      <c r="W593" s="241"/>
      <c r="X593" s="241"/>
    </row>
    <row r="594" spans="1:24" ht="13.5" customHeight="1" x14ac:dyDescent="0.3">
      <c r="A594" s="245"/>
      <c r="B594" s="246"/>
      <c r="C594" s="245"/>
      <c r="D594" s="245"/>
      <c r="E594" s="245"/>
      <c r="F594" s="245"/>
      <c r="G594" s="245"/>
      <c r="H594" s="245"/>
      <c r="I594" s="245"/>
      <c r="J594" s="245"/>
      <c r="K594" s="245"/>
      <c r="L594" s="246"/>
      <c r="M594" s="245"/>
      <c r="N594" s="245"/>
      <c r="O594" s="245"/>
      <c r="P594" s="245"/>
      <c r="Q594" s="247"/>
      <c r="R594" s="247"/>
      <c r="S594" s="247"/>
      <c r="T594" s="245"/>
      <c r="U594" s="245"/>
      <c r="V594" s="241"/>
      <c r="W594" s="241"/>
      <c r="X594" s="241"/>
    </row>
    <row r="595" spans="1:24" ht="13.5" customHeight="1" x14ac:dyDescent="0.3">
      <c r="A595" s="245"/>
      <c r="B595" s="246"/>
      <c r="C595" s="245"/>
      <c r="D595" s="245"/>
      <c r="E595" s="245"/>
      <c r="F595" s="245"/>
      <c r="G595" s="245"/>
      <c r="H595" s="245"/>
      <c r="I595" s="245"/>
      <c r="J595" s="245"/>
      <c r="K595" s="245"/>
      <c r="L595" s="246"/>
      <c r="M595" s="245"/>
      <c r="N595" s="245"/>
      <c r="O595" s="245"/>
      <c r="P595" s="245"/>
      <c r="Q595" s="247"/>
      <c r="R595" s="247"/>
      <c r="S595" s="247"/>
      <c r="T595" s="245"/>
      <c r="U595" s="245"/>
      <c r="V595" s="241"/>
      <c r="W595" s="241"/>
      <c r="X595" s="241"/>
    </row>
    <row r="596" spans="1:24" ht="13.5" customHeight="1" x14ac:dyDescent="0.3">
      <c r="A596" s="245"/>
      <c r="B596" s="246"/>
      <c r="C596" s="245"/>
      <c r="D596" s="245"/>
      <c r="E596" s="245"/>
      <c r="F596" s="245"/>
      <c r="G596" s="245"/>
      <c r="H596" s="245"/>
      <c r="I596" s="245"/>
      <c r="J596" s="245"/>
      <c r="K596" s="245"/>
      <c r="L596" s="246"/>
      <c r="M596" s="245"/>
      <c r="N596" s="245"/>
      <c r="O596" s="245"/>
      <c r="P596" s="245"/>
      <c r="Q596" s="247"/>
      <c r="R596" s="247"/>
      <c r="S596" s="247"/>
      <c r="T596" s="245"/>
      <c r="U596" s="245"/>
      <c r="V596" s="241"/>
      <c r="W596" s="241"/>
      <c r="X596" s="241"/>
    </row>
    <row r="597" spans="1:24" ht="13.5" customHeight="1" x14ac:dyDescent="0.3">
      <c r="A597" s="245"/>
      <c r="B597" s="246"/>
      <c r="C597" s="245"/>
      <c r="D597" s="245"/>
      <c r="E597" s="245"/>
      <c r="F597" s="245"/>
      <c r="G597" s="245"/>
      <c r="H597" s="245"/>
      <c r="I597" s="245"/>
      <c r="J597" s="245"/>
      <c r="K597" s="245"/>
      <c r="L597" s="246"/>
      <c r="M597" s="245"/>
      <c r="N597" s="245"/>
      <c r="O597" s="245"/>
      <c r="P597" s="245"/>
      <c r="Q597" s="247"/>
      <c r="R597" s="247"/>
      <c r="S597" s="247"/>
      <c r="T597" s="245"/>
      <c r="U597" s="245"/>
      <c r="V597" s="241"/>
      <c r="W597" s="241"/>
      <c r="X597" s="241"/>
    </row>
    <row r="598" spans="1:24" ht="13.5" customHeight="1" x14ac:dyDescent="0.3">
      <c r="A598" s="245"/>
      <c r="B598" s="246"/>
      <c r="C598" s="245"/>
      <c r="D598" s="245"/>
      <c r="E598" s="245"/>
      <c r="F598" s="245"/>
      <c r="G598" s="245"/>
      <c r="H598" s="245"/>
      <c r="I598" s="245"/>
      <c r="J598" s="245"/>
      <c r="K598" s="245"/>
      <c r="L598" s="246"/>
      <c r="M598" s="245"/>
      <c r="N598" s="245"/>
      <c r="O598" s="245"/>
      <c r="P598" s="245"/>
      <c r="Q598" s="247"/>
      <c r="R598" s="247"/>
      <c r="S598" s="247"/>
      <c r="T598" s="245"/>
      <c r="U598" s="245"/>
      <c r="V598" s="241"/>
      <c r="W598" s="241"/>
      <c r="X598" s="241"/>
    </row>
    <row r="599" spans="1:24" ht="13.5" customHeight="1" x14ac:dyDescent="0.3">
      <c r="A599" s="245"/>
      <c r="B599" s="246"/>
      <c r="C599" s="245"/>
      <c r="D599" s="245"/>
      <c r="E599" s="245"/>
      <c r="F599" s="245"/>
      <c r="G599" s="245"/>
      <c r="H599" s="245"/>
      <c r="I599" s="245"/>
      <c r="J599" s="245"/>
      <c r="K599" s="245"/>
      <c r="L599" s="246"/>
      <c r="M599" s="245"/>
      <c r="N599" s="245"/>
      <c r="O599" s="245"/>
      <c r="P599" s="245"/>
      <c r="Q599" s="247"/>
      <c r="R599" s="247"/>
      <c r="S599" s="247"/>
      <c r="T599" s="245"/>
      <c r="U599" s="245"/>
      <c r="V599" s="241"/>
      <c r="W599" s="241"/>
      <c r="X599" s="241"/>
    </row>
    <row r="600" spans="1:24" ht="13.5" customHeight="1" x14ac:dyDescent="0.3">
      <c r="A600" s="245"/>
      <c r="B600" s="246"/>
      <c r="C600" s="245"/>
      <c r="D600" s="245"/>
      <c r="E600" s="245"/>
      <c r="F600" s="245"/>
      <c r="G600" s="245"/>
      <c r="H600" s="245"/>
      <c r="I600" s="245"/>
      <c r="J600" s="245"/>
      <c r="K600" s="245"/>
      <c r="L600" s="246"/>
      <c r="M600" s="245"/>
      <c r="N600" s="245"/>
      <c r="O600" s="245"/>
      <c r="P600" s="245"/>
      <c r="Q600" s="247"/>
      <c r="R600" s="247"/>
      <c r="S600" s="247"/>
      <c r="T600" s="245"/>
      <c r="U600" s="245"/>
      <c r="V600" s="241"/>
      <c r="W600" s="241"/>
      <c r="X600" s="241"/>
    </row>
    <row r="601" spans="1:24" ht="13.5" customHeight="1" x14ac:dyDescent="0.3">
      <c r="A601" s="245"/>
      <c r="B601" s="246"/>
      <c r="C601" s="245"/>
      <c r="D601" s="245"/>
      <c r="E601" s="245"/>
      <c r="F601" s="245"/>
      <c r="G601" s="245"/>
      <c r="H601" s="245"/>
      <c r="I601" s="245"/>
      <c r="J601" s="245"/>
      <c r="K601" s="245"/>
      <c r="L601" s="246"/>
      <c r="M601" s="245"/>
      <c r="N601" s="245"/>
      <c r="O601" s="245"/>
      <c r="P601" s="245"/>
      <c r="Q601" s="247"/>
      <c r="R601" s="247"/>
      <c r="S601" s="247"/>
      <c r="T601" s="245"/>
      <c r="U601" s="245"/>
      <c r="V601" s="241"/>
      <c r="W601" s="241"/>
      <c r="X601" s="241"/>
    </row>
    <row r="602" spans="1:24" ht="13.5" customHeight="1" x14ac:dyDescent="0.3">
      <c r="A602" s="245"/>
      <c r="B602" s="246"/>
      <c r="C602" s="245"/>
      <c r="D602" s="245"/>
      <c r="E602" s="245"/>
      <c r="F602" s="245"/>
      <c r="G602" s="245"/>
      <c r="H602" s="245"/>
      <c r="I602" s="245"/>
      <c r="J602" s="245"/>
      <c r="K602" s="245"/>
      <c r="L602" s="246"/>
      <c r="M602" s="245"/>
      <c r="N602" s="245"/>
      <c r="O602" s="245"/>
      <c r="P602" s="245"/>
      <c r="Q602" s="247"/>
      <c r="R602" s="247"/>
      <c r="S602" s="247"/>
      <c r="T602" s="245"/>
      <c r="U602" s="245"/>
      <c r="V602" s="241"/>
      <c r="W602" s="241"/>
      <c r="X602" s="241"/>
    </row>
    <row r="603" spans="1:24" ht="13.5" customHeight="1" x14ac:dyDescent="0.3">
      <c r="A603" s="245"/>
      <c r="B603" s="246"/>
      <c r="C603" s="245"/>
      <c r="D603" s="245"/>
      <c r="E603" s="245"/>
      <c r="F603" s="245"/>
      <c r="G603" s="245"/>
      <c r="H603" s="245"/>
      <c r="I603" s="245"/>
      <c r="J603" s="245"/>
      <c r="K603" s="245"/>
      <c r="L603" s="246"/>
      <c r="M603" s="245"/>
      <c r="N603" s="245"/>
      <c r="O603" s="245"/>
      <c r="P603" s="245"/>
      <c r="Q603" s="247"/>
      <c r="R603" s="247"/>
      <c r="S603" s="247"/>
      <c r="T603" s="245"/>
      <c r="U603" s="245"/>
      <c r="V603" s="241"/>
      <c r="W603" s="241"/>
      <c r="X603" s="241"/>
    </row>
    <row r="604" spans="1:24" ht="13.5" customHeight="1" x14ac:dyDescent="0.3">
      <c r="A604" s="245"/>
      <c r="B604" s="246"/>
      <c r="C604" s="245"/>
      <c r="D604" s="245"/>
      <c r="E604" s="245"/>
      <c r="F604" s="245"/>
      <c r="G604" s="245"/>
      <c r="H604" s="245"/>
      <c r="I604" s="245"/>
      <c r="J604" s="245"/>
      <c r="K604" s="245"/>
      <c r="L604" s="246"/>
      <c r="M604" s="245"/>
      <c r="N604" s="245"/>
      <c r="O604" s="245"/>
      <c r="P604" s="245"/>
      <c r="Q604" s="247"/>
      <c r="R604" s="247"/>
      <c r="S604" s="247"/>
      <c r="T604" s="245"/>
      <c r="U604" s="245"/>
      <c r="V604" s="241"/>
      <c r="W604" s="241"/>
      <c r="X604" s="241"/>
    </row>
    <row r="605" spans="1:24" ht="13.5" customHeight="1" x14ac:dyDescent="0.3">
      <c r="A605" s="245"/>
      <c r="B605" s="246"/>
      <c r="C605" s="245"/>
      <c r="D605" s="245"/>
      <c r="E605" s="245"/>
      <c r="F605" s="245"/>
      <c r="G605" s="245"/>
      <c r="H605" s="245"/>
      <c r="I605" s="245"/>
      <c r="J605" s="245"/>
      <c r="K605" s="245"/>
      <c r="L605" s="246"/>
      <c r="M605" s="245"/>
      <c r="N605" s="245"/>
      <c r="O605" s="245"/>
      <c r="P605" s="245"/>
      <c r="Q605" s="247"/>
      <c r="R605" s="247"/>
      <c r="S605" s="247"/>
      <c r="T605" s="245"/>
      <c r="U605" s="245"/>
      <c r="V605" s="241"/>
      <c r="W605" s="241"/>
      <c r="X605" s="241"/>
    </row>
    <row r="606" spans="1:24" ht="13.5" customHeight="1" x14ac:dyDescent="0.3">
      <c r="A606" s="245"/>
      <c r="B606" s="246"/>
      <c r="C606" s="245"/>
      <c r="D606" s="245"/>
      <c r="E606" s="245"/>
      <c r="F606" s="245"/>
      <c r="G606" s="245"/>
      <c r="H606" s="245"/>
      <c r="I606" s="245"/>
      <c r="J606" s="245"/>
      <c r="K606" s="245"/>
      <c r="L606" s="246"/>
      <c r="M606" s="245"/>
      <c r="N606" s="245"/>
      <c r="O606" s="245"/>
      <c r="P606" s="245"/>
      <c r="Q606" s="247"/>
      <c r="R606" s="247"/>
      <c r="S606" s="247"/>
      <c r="T606" s="245"/>
      <c r="U606" s="245"/>
      <c r="V606" s="241"/>
      <c r="W606" s="241"/>
      <c r="X606" s="241"/>
    </row>
    <row r="607" spans="1:24" ht="13.5" customHeight="1" x14ac:dyDescent="0.3">
      <c r="A607" s="245"/>
      <c r="B607" s="246"/>
      <c r="C607" s="245"/>
      <c r="D607" s="245"/>
      <c r="E607" s="245"/>
      <c r="F607" s="245"/>
      <c r="G607" s="245"/>
      <c r="H607" s="245"/>
      <c r="I607" s="245"/>
      <c r="J607" s="245"/>
      <c r="K607" s="245"/>
      <c r="L607" s="246"/>
      <c r="M607" s="245"/>
      <c r="N607" s="245"/>
      <c r="O607" s="245"/>
      <c r="P607" s="245"/>
      <c r="Q607" s="247"/>
      <c r="R607" s="247"/>
      <c r="S607" s="247"/>
      <c r="T607" s="245"/>
      <c r="U607" s="245"/>
      <c r="V607" s="241"/>
      <c r="W607" s="241"/>
      <c r="X607" s="241"/>
    </row>
    <row r="608" spans="1:24" ht="13.5" customHeight="1" x14ac:dyDescent="0.3">
      <c r="A608" s="245"/>
      <c r="B608" s="246"/>
      <c r="C608" s="245"/>
      <c r="D608" s="245"/>
      <c r="E608" s="245"/>
      <c r="F608" s="245"/>
      <c r="G608" s="245"/>
      <c r="H608" s="245"/>
      <c r="I608" s="245"/>
      <c r="J608" s="245"/>
      <c r="K608" s="245"/>
      <c r="L608" s="246"/>
      <c r="M608" s="245"/>
      <c r="N608" s="245"/>
      <c r="O608" s="245"/>
      <c r="P608" s="245"/>
      <c r="Q608" s="247"/>
      <c r="R608" s="247"/>
      <c r="S608" s="247"/>
      <c r="T608" s="245"/>
      <c r="U608" s="245"/>
      <c r="V608" s="241"/>
      <c r="W608" s="241"/>
      <c r="X608" s="241"/>
    </row>
    <row r="609" spans="1:24" ht="13.5" customHeight="1" x14ac:dyDescent="0.3">
      <c r="A609" s="245"/>
      <c r="B609" s="246"/>
      <c r="C609" s="245"/>
      <c r="D609" s="245"/>
      <c r="E609" s="245"/>
      <c r="F609" s="245"/>
      <c r="G609" s="245"/>
      <c r="H609" s="245"/>
      <c r="I609" s="245"/>
      <c r="J609" s="245"/>
      <c r="K609" s="245"/>
      <c r="L609" s="246"/>
      <c r="M609" s="245"/>
      <c r="N609" s="245"/>
      <c r="O609" s="245"/>
      <c r="P609" s="245"/>
      <c r="Q609" s="247"/>
      <c r="R609" s="247"/>
      <c r="S609" s="247"/>
      <c r="T609" s="245"/>
      <c r="U609" s="245"/>
      <c r="V609" s="241"/>
      <c r="W609" s="241"/>
      <c r="X609" s="241"/>
    </row>
    <row r="610" spans="1:24" ht="13.5" customHeight="1" x14ac:dyDescent="0.3">
      <c r="A610" s="245"/>
      <c r="B610" s="246"/>
      <c r="C610" s="245"/>
      <c r="D610" s="245"/>
      <c r="E610" s="245"/>
      <c r="F610" s="245"/>
      <c r="G610" s="245"/>
      <c r="H610" s="245"/>
      <c r="I610" s="245"/>
      <c r="J610" s="245"/>
      <c r="K610" s="245"/>
      <c r="L610" s="246"/>
      <c r="M610" s="245"/>
      <c r="N610" s="245"/>
      <c r="O610" s="245"/>
      <c r="P610" s="245"/>
      <c r="Q610" s="247"/>
      <c r="R610" s="247"/>
      <c r="S610" s="247"/>
      <c r="T610" s="245"/>
      <c r="U610" s="245"/>
      <c r="V610" s="241"/>
      <c r="W610" s="241"/>
      <c r="X610" s="241"/>
    </row>
    <row r="611" spans="1:24" ht="13.5" customHeight="1" x14ac:dyDescent="0.3">
      <c r="A611" s="245"/>
      <c r="B611" s="246"/>
      <c r="C611" s="245"/>
      <c r="D611" s="245"/>
      <c r="E611" s="245"/>
      <c r="F611" s="245"/>
      <c r="G611" s="245"/>
      <c r="H611" s="245"/>
      <c r="I611" s="245"/>
      <c r="J611" s="245"/>
      <c r="K611" s="245"/>
      <c r="L611" s="246"/>
      <c r="M611" s="245"/>
      <c r="N611" s="245"/>
      <c r="O611" s="245"/>
      <c r="P611" s="245"/>
      <c r="Q611" s="247"/>
      <c r="R611" s="247"/>
      <c r="S611" s="247"/>
      <c r="T611" s="245"/>
      <c r="U611" s="245"/>
      <c r="V611" s="241"/>
      <c r="W611" s="241"/>
      <c r="X611" s="241"/>
    </row>
    <row r="612" spans="1:24" ht="13.5" customHeight="1" x14ac:dyDescent="0.3">
      <c r="A612" s="245"/>
      <c r="B612" s="246"/>
      <c r="C612" s="245"/>
      <c r="D612" s="245"/>
      <c r="E612" s="245"/>
      <c r="F612" s="245"/>
      <c r="G612" s="245"/>
      <c r="H612" s="245"/>
      <c r="I612" s="245"/>
      <c r="J612" s="245"/>
      <c r="K612" s="245"/>
      <c r="L612" s="246"/>
      <c r="M612" s="245"/>
      <c r="N612" s="245"/>
      <c r="O612" s="245"/>
      <c r="P612" s="245"/>
      <c r="Q612" s="247"/>
      <c r="R612" s="247"/>
      <c r="S612" s="247"/>
      <c r="T612" s="245"/>
      <c r="U612" s="245"/>
      <c r="V612" s="241"/>
      <c r="W612" s="241"/>
      <c r="X612" s="241"/>
    </row>
    <row r="613" spans="1:24" ht="13.5" customHeight="1" x14ac:dyDescent="0.3">
      <c r="A613" s="245"/>
      <c r="B613" s="246"/>
      <c r="C613" s="245"/>
      <c r="D613" s="245"/>
      <c r="E613" s="245"/>
      <c r="F613" s="245"/>
      <c r="G613" s="245"/>
      <c r="H613" s="245"/>
      <c r="I613" s="245"/>
      <c r="J613" s="245"/>
      <c r="K613" s="245"/>
      <c r="L613" s="246"/>
      <c r="M613" s="245"/>
      <c r="N613" s="245"/>
      <c r="O613" s="245"/>
      <c r="P613" s="245"/>
      <c r="Q613" s="247"/>
      <c r="R613" s="247"/>
      <c r="S613" s="247"/>
      <c r="T613" s="245"/>
      <c r="U613" s="245"/>
      <c r="V613" s="241"/>
      <c r="W613" s="241"/>
      <c r="X613" s="241"/>
    </row>
    <row r="614" spans="1:24" ht="13.5" customHeight="1" x14ac:dyDescent="0.3">
      <c r="A614" s="245"/>
      <c r="B614" s="246"/>
      <c r="C614" s="245"/>
      <c r="D614" s="245"/>
      <c r="E614" s="245"/>
      <c r="F614" s="245"/>
      <c r="G614" s="245"/>
      <c r="H614" s="245"/>
      <c r="I614" s="245"/>
      <c r="J614" s="245"/>
      <c r="K614" s="245"/>
      <c r="L614" s="246"/>
      <c r="M614" s="245"/>
      <c r="N614" s="245"/>
      <c r="O614" s="245"/>
      <c r="P614" s="245"/>
      <c r="Q614" s="247"/>
      <c r="R614" s="247"/>
      <c r="S614" s="247"/>
      <c r="T614" s="245"/>
      <c r="U614" s="245"/>
      <c r="V614" s="241"/>
      <c r="W614" s="241"/>
      <c r="X614" s="241"/>
    </row>
    <row r="615" spans="1:24" ht="13.5" customHeight="1" x14ac:dyDescent="0.3">
      <c r="A615" s="245"/>
      <c r="B615" s="246"/>
      <c r="C615" s="245"/>
      <c r="D615" s="245"/>
      <c r="E615" s="245"/>
      <c r="F615" s="245"/>
      <c r="G615" s="245"/>
      <c r="H615" s="245"/>
      <c r="I615" s="245"/>
      <c r="J615" s="245"/>
      <c r="K615" s="245"/>
      <c r="L615" s="246"/>
      <c r="M615" s="245"/>
      <c r="N615" s="245"/>
      <c r="O615" s="245"/>
      <c r="P615" s="245"/>
      <c r="Q615" s="247"/>
      <c r="R615" s="247"/>
      <c r="S615" s="247"/>
      <c r="T615" s="245"/>
      <c r="U615" s="245"/>
      <c r="V615" s="241"/>
      <c r="W615" s="241"/>
      <c r="X615" s="241"/>
    </row>
    <row r="616" spans="1:24" ht="13.5" customHeight="1" x14ac:dyDescent="0.3">
      <c r="A616" s="245"/>
      <c r="B616" s="246"/>
      <c r="C616" s="245"/>
      <c r="D616" s="245"/>
      <c r="E616" s="245"/>
      <c r="F616" s="245"/>
      <c r="G616" s="245"/>
      <c r="H616" s="245"/>
      <c r="I616" s="245"/>
      <c r="J616" s="245"/>
      <c r="K616" s="245"/>
      <c r="L616" s="246"/>
      <c r="M616" s="245"/>
      <c r="N616" s="245"/>
      <c r="O616" s="245"/>
      <c r="P616" s="245"/>
      <c r="Q616" s="247"/>
      <c r="R616" s="247"/>
      <c r="S616" s="247"/>
      <c r="T616" s="245"/>
      <c r="U616" s="245"/>
      <c r="V616" s="241"/>
      <c r="W616" s="241"/>
      <c r="X616" s="241"/>
    </row>
    <row r="617" spans="1:24" ht="13.5" customHeight="1" x14ac:dyDescent="0.3">
      <c r="A617" s="245"/>
      <c r="B617" s="246"/>
      <c r="C617" s="245"/>
      <c r="D617" s="245"/>
      <c r="E617" s="245"/>
      <c r="F617" s="245"/>
      <c r="G617" s="245"/>
      <c r="H617" s="245"/>
      <c r="I617" s="245"/>
      <c r="J617" s="245"/>
      <c r="K617" s="245"/>
      <c r="L617" s="246"/>
      <c r="M617" s="245"/>
      <c r="N617" s="245"/>
      <c r="O617" s="245"/>
      <c r="P617" s="245"/>
      <c r="Q617" s="247"/>
      <c r="R617" s="247"/>
      <c r="S617" s="247"/>
      <c r="T617" s="245"/>
      <c r="U617" s="245"/>
      <c r="V617" s="241"/>
      <c r="W617" s="241"/>
      <c r="X617" s="241"/>
    </row>
    <row r="618" spans="1:24" ht="13.5" customHeight="1" x14ac:dyDescent="0.3">
      <c r="A618" s="245"/>
      <c r="B618" s="246"/>
      <c r="C618" s="245"/>
      <c r="D618" s="245"/>
      <c r="E618" s="245"/>
      <c r="F618" s="245"/>
      <c r="G618" s="245"/>
      <c r="H618" s="245"/>
      <c r="I618" s="245"/>
      <c r="J618" s="245"/>
      <c r="K618" s="245"/>
      <c r="L618" s="246"/>
      <c r="M618" s="245"/>
      <c r="N618" s="245"/>
      <c r="O618" s="245"/>
      <c r="P618" s="245"/>
      <c r="Q618" s="247"/>
      <c r="R618" s="247"/>
      <c r="S618" s="247"/>
      <c r="T618" s="245"/>
      <c r="U618" s="245"/>
      <c r="V618" s="241"/>
      <c r="W618" s="241"/>
      <c r="X618" s="241"/>
    </row>
    <row r="619" spans="1:24" ht="13.5" customHeight="1" x14ac:dyDescent="0.3">
      <c r="A619" s="245"/>
      <c r="B619" s="246"/>
      <c r="C619" s="245"/>
      <c r="D619" s="245"/>
      <c r="E619" s="245"/>
      <c r="F619" s="245"/>
      <c r="G619" s="245"/>
      <c r="H619" s="245"/>
      <c r="I619" s="245"/>
      <c r="J619" s="245"/>
      <c r="K619" s="245"/>
      <c r="L619" s="246"/>
      <c r="M619" s="245"/>
      <c r="N619" s="245"/>
      <c r="O619" s="245"/>
      <c r="P619" s="245"/>
      <c r="Q619" s="247"/>
      <c r="R619" s="247"/>
      <c r="S619" s="247"/>
      <c r="T619" s="245"/>
      <c r="U619" s="245"/>
      <c r="V619" s="241"/>
      <c r="W619" s="241"/>
      <c r="X619" s="241"/>
    </row>
    <row r="620" spans="1:24" ht="13.5" customHeight="1" x14ac:dyDescent="0.3">
      <c r="A620" s="245"/>
      <c r="B620" s="246"/>
      <c r="C620" s="245"/>
      <c r="D620" s="245"/>
      <c r="E620" s="245"/>
      <c r="F620" s="245"/>
      <c r="G620" s="245"/>
      <c r="H620" s="245"/>
      <c r="I620" s="245"/>
      <c r="J620" s="245"/>
      <c r="K620" s="245"/>
      <c r="L620" s="246"/>
      <c r="M620" s="245"/>
      <c r="N620" s="245"/>
      <c r="O620" s="245"/>
      <c r="P620" s="245"/>
      <c r="Q620" s="247"/>
      <c r="R620" s="247"/>
      <c r="S620" s="247"/>
      <c r="T620" s="245"/>
      <c r="U620" s="245"/>
      <c r="V620" s="241"/>
      <c r="W620" s="241"/>
      <c r="X620" s="241"/>
    </row>
    <row r="621" spans="1:24" ht="13.5" customHeight="1" x14ac:dyDescent="0.3">
      <c r="A621" s="245"/>
      <c r="B621" s="246"/>
      <c r="C621" s="245"/>
      <c r="D621" s="245"/>
      <c r="E621" s="245"/>
      <c r="F621" s="245"/>
      <c r="G621" s="245"/>
      <c r="H621" s="245"/>
      <c r="I621" s="245"/>
      <c r="J621" s="245"/>
      <c r="K621" s="245"/>
      <c r="L621" s="246"/>
      <c r="M621" s="245"/>
      <c r="N621" s="245"/>
      <c r="O621" s="245"/>
      <c r="P621" s="245"/>
      <c r="Q621" s="247"/>
      <c r="R621" s="247"/>
      <c r="S621" s="247"/>
      <c r="T621" s="245"/>
      <c r="U621" s="245"/>
      <c r="V621" s="241"/>
      <c r="W621" s="241"/>
      <c r="X621" s="241"/>
    </row>
    <row r="622" spans="1:24" ht="13.5" customHeight="1" x14ac:dyDescent="0.3">
      <c r="A622" s="245"/>
      <c r="B622" s="246"/>
      <c r="C622" s="245"/>
      <c r="D622" s="245"/>
      <c r="E622" s="245"/>
      <c r="F622" s="245"/>
      <c r="G622" s="245"/>
      <c r="H622" s="245"/>
      <c r="I622" s="245"/>
      <c r="J622" s="245"/>
      <c r="K622" s="245"/>
      <c r="L622" s="246"/>
      <c r="M622" s="245"/>
      <c r="N622" s="245"/>
      <c r="O622" s="245"/>
      <c r="P622" s="245"/>
      <c r="Q622" s="247"/>
      <c r="R622" s="247"/>
      <c r="S622" s="247"/>
      <c r="T622" s="245"/>
      <c r="U622" s="245"/>
      <c r="V622" s="241"/>
      <c r="W622" s="241"/>
      <c r="X622" s="241"/>
    </row>
    <row r="623" spans="1:24" ht="13.5" customHeight="1" x14ac:dyDescent="0.3">
      <c r="A623" s="245"/>
      <c r="B623" s="246"/>
      <c r="C623" s="245"/>
      <c r="D623" s="245"/>
      <c r="E623" s="245"/>
      <c r="F623" s="245"/>
      <c r="G623" s="245"/>
      <c r="H623" s="245"/>
      <c r="I623" s="245"/>
      <c r="J623" s="245"/>
      <c r="K623" s="245"/>
      <c r="L623" s="246"/>
      <c r="M623" s="245"/>
      <c r="N623" s="245"/>
      <c r="O623" s="245"/>
      <c r="P623" s="245"/>
      <c r="Q623" s="247"/>
      <c r="R623" s="247"/>
      <c r="S623" s="247"/>
      <c r="T623" s="245"/>
      <c r="U623" s="245"/>
      <c r="V623" s="241"/>
      <c r="W623" s="241"/>
      <c r="X623" s="241"/>
    </row>
    <row r="624" spans="1:24" ht="13.5" customHeight="1" x14ac:dyDescent="0.3">
      <c r="A624" s="245"/>
      <c r="B624" s="246"/>
      <c r="C624" s="245"/>
      <c r="D624" s="245"/>
      <c r="E624" s="245"/>
      <c r="F624" s="245"/>
      <c r="G624" s="245"/>
      <c r="H624" s="245"/>
      <c r="I624" s="245"/>
      <c r="J624" s="245"/>
      <c r="K624" s="245"/>
      <c r="L624" s="246"/>
      <c r="M624" s="245"/>
      <c r="N624" s="245"/>
      <c r="O624" s="245"/>
      <c r="P624" s="245"/>
      <c r="Q624" s="247"/>
      <c r="R624" s="247"/>
      <c r="S624" s="247"/>
      <c r="T624" s="245"/>
      <c r="U624" s="245"/>
      <c r="V624" s="241"/>
      <c r="W624" s="241"/>
      <c r="X624" s="241"/>
    </row>
    <row r="625" spans="1:24" ht="13.5" customHeight="1" x14ac:dyDescent="0.3">
      <c r="A625" s="245"/>
      <c r="B625" s="246"/>
      <c r="C625" s="245"/>
      <c r="D625" s="245"/>
      <c r="E625" s="245"/>
      <c r="F625" s="245"/>
      <c r="G625" s="245"/>
      <c r="H625" s="245"/>
      <c r="I625" s="245"/>
      <c r="J625" s="245"/>
      <c r="K625" s="245"/>
      <c r="L625" s="246"/>
      <c r="M625" s="245"/>
      <c r="N625" s="245"/>
      <c r="O625" s="245"/>
      <c r="P625" s="245"/>
      <c r="Q625" s="247"/>
      <c r="R625" s="247"/>
      <c r="S625" s="247"/>
      <c r="T625" s="245"/>
      <c r="U625" s="245"/>
      <c r="V625" s="241"/>
      <c r="W625" s="241"/>
      <c r="X625" s="241"/>
    </row>
    <row r="626" spans="1:24" ht="13.5" customHeight="1" x14ac:dyDescent="0.3">
      <c r="A626" s="245"/>
      <c r="B626" s="246"/>
      <c r="C626" s="245"/>
      <c r="D626" s="245"/>
      <c r="E626" s="245"/>
      <c r="F626" s="245"/>
      <c r="G626" s="245"/>
      <c r="H626" s="245"/>
      <c r="I626" s="245"/>
      <c r="J626" s="245"/>
      <c r="K626" s="245"/>
      <c r="L626" s="246"/>
      <c r="M626" s="245"/>
      <c r="N626" s="245"/>
      <c r="O626" s="245"/>
      <c r="P626" s="245"/>
      <c r="Q626" s="247"/>
      <c r="R626" s="247"/>
      <c r="S626" s="247"/>
      <c r="T626" s="245"/>
      <c r="U626" s="245"/>
      <c r="V626" s="241"/>
      <c r="W626" s="241"/>
      <c r="X626" s="241"/>
    </row>
    <row r="627" spans="1:24" ht="13.5" customHeight="1" x14ac:dyDescent="0.3">
      <c r="A627" s="245"/>
      <c r="B627" s="246"/>
      <c r="C627" s="245"/>
      <c r="D627" s="245"/>
      <c r="E627" s="245"/>
      <c r="F627" s="245"/>
      <c r="G627" s="245"/>
      <c r="H627" s="245"/>
      <c r="I627" s="245"/>
      <c r="J627" s="245"/>
      <c r="K627" s="245"/>
      <c r="L627" s="246"/>
      <c r="M627" s="245"/>
      <c r="N627" s="245"/>
      <c r="O627" s="245"/>
      <c r="P627" s="245"/>
      <c r="Q627" s="247"/>
      <c r="R627" s="247"/>
      <c r="S627" s="247"/>
      <c r="T627" s="245"/>
      <c r="U627" s="245"/>
      <c r="V627" s="241"/>
      <c r="W627" s="241"/>
      <c r="X627" s="241"/>
    </row>
    <row r="628" spans="1:24" ht="13.5" customHeight="1" x14ac:dyDescent="0.3">
      <c r="A628" s="245"/>
      <c r="B628" s="246"/>
      <c r="C628" s="245"/>
      <c r="D628" s="245"/>
      <c r="E628" s="245"/>
      <c r="F628" s="245"/>
      <c r="G628" s="245"/>
      <c r="H628" s="245"/>
      <c r="I628" s="245"/>
      <c r="J628" s="245"/>
      <c r="K628" s="245"/>
      <c r="L628" s="246"/>
      <c r="M628" s="245"/>
      <c r="N628" s="245"/>
      <c r="O628" s="245"/>
      <c r="P628" s="245"/>
      <c r="Q628" s="247"/>
      <c r="R628" s="247"/>
      <c r="S628" s="247"/>
      <c r="T628" s="245"/>
      <c r="U628" s="245"/>
      <c r="V628" s="241"/>
      <c r="W628" s="241"/>
      <c r="X628" s="241"/>
    </row>
    <row r="629" spans="1:24" ht="13.5" customHeight="1" x14ac:dyDescent="0.3">
      <c r="A629" s="245"/>
      <c r="B629" s="246"/>
      <c r="C629" s="245"/>
      <c r="D629" s="245"/>
      <c r="E629" s="245"/>
      <c r="F629" s="245"/>
      <c r="G629" s="245"/>
      <c r="H629" s="245"/>
      <c r="I629" s="245"/>
      <c r="J629" s="245"/>
      <c r="K629" s="245"/>
      <c r="L629" s="246"/>
      <c r="M629" s="245"/>
      <c r="N629" s="245"/>
      <c r="O629" s="245"/>
      <c r="P629" s="245"/>
      <c r="Q629" s="247"/>
      <c r="R629" s="247"/>
      <c r="S629" s="247"/>
      <c r="T629" s="245"/>
      <c r="U629" s="245"/>
      <c r="V629" s="241"/>
      <c r="W629" s="241"/>
      <c r="X629" s="241"/>
    </row>
    <row r="630" spans="1:24" ht="13.5" customHeight="1" x14ac:dyDescent="0.3">
      <c r="A630" s="245"/>
      <c r="B630" s="246"/>
      <c r="C630" s="245"/>
      <c r="D630" s="245"/>
      <c r="E630" s="245"/>
      <c r="F630" s="245"/>
      <c r="G630" s="245"/>
      <c r="H630" s="245"/>
      <c r="I630" s="245"/>
      <c r="J630" s="245"/>
      <c r="K630" s="245"/>
      <c r="L630" s="246"/>
      <c r="M630" s="245"/>
      <c r="N630" s="245"/>
      <c r="O630" s="245"/>
      <c r="P630" s="245"/>
      <c r="Q630" s="247"/>
      <c r="R630" s="247"/>
      <c r="S630" s="247"/>
      <c r="T630" s="245"/>
      <c r="U630" s="245"/>
      <c r="V630" s="241"/>
      <c r="W630" s="241"/>
      <c r="X630" s="241"/>
    </row>
    <row r="631" spans="1:24" ht="13.5" customHeight="1" x14ac:dyDescent="0.3">
      <c r="A631" s="245"/>
      <c r="B631" s="246"/>
      <c r="C631" s="245"/>
      <c r="D631" s="245"/>
      <c r="E631" s="245"/>
      <c r="F631" s="245"/>
      <c r="G631" s="245"/>
      <c r="H631" s="245"/>
      <c r="I631" s="245"/>
      <c r="J631" s="245"/>
      <c r="K631" s="245"/>
      <c r="L631" s="246"/>
      <c r="M631" s="245"/>
      <c r="N631" s="245"/>
      <c r="O631" s="245"/>
      <c r="P631" s="245"/>
      <c r="Q631" s="247"/>
      <c r="R631" s="247"/>
      <c r="S631" s="247"/>
      <c r="T631" s="245"/>
      <c r="U631" s="245"/>
      <c r="V631" s="241"/>
      <c r="W631" s="241"/>
      <c r="X631" s="241"/>
    </row>
    <row r="632" spans="1:24" ht="13.5" customHeight="1" x14ac:dyDescent="0.3">
      <c r="A632" s="245"/>
      <c r="B632" s="246"/>
      <c r="C632" s="245"/>
      <c r="D632" s="245"/>
      <c r="E632" s="245"/>
      <c r="F632" s="245"/>
      <c r="G632" s="245"/>
      <c r="H632" s="245"/>
      <c r="I632" s="245"/>
      <c r="J632" s="245"/>
      <c r="K632" s="245"/>
      <c r="L632" s="246"/>
      <c r="M632" s="245"/>
      <c r="N632" s="245"/>
      <c r="O632" s="245"/>
      <c r="P632" s="245"/>
      <c r="Q632" s="247"/>
      <c r="R632" s="247"/>
      <c r="S632" s="247"/>
      <c r="T632" s="245"/>
      <c r="U632" s="245"/>
      <c r="V632" s="241"/>
      <c r="W632" s="241"/>
      <c r="X632" s="241"/>
    </row>
    <row r="633" spans="1:24" ht="13.5" customHeight="1" x14ac:dyDescent="0.3">
      <c r="A633" s="245"/>
      <c r="B633" s="246"/>
      <c r="C633" s="245"/>
      <c r="D633" s="245"/>
      <c r="E633" s="245"/>
      <c r="F633" s="245"/>
      <c r="G633" s="245"/>
      <c r="H633" s="245"/>
      <c r="I633" s="245"/>
      <c r="J633" s="245"/>
      <c r="K633" s="245"/>
      <c r="L633" s="246"/>
      <c r="M633" s="245"/>
      <c r="N633" s="245"/>
      <c r="O633" s="245"/>
      <c r="P633" s="245"/>
      <c r="Q633" s="247"/>
      <c r="R633" s="247"/>
      <c r="S633" s="247"/>
      <c r="T633" s="245"/>
      <c r="U633" s="245"/>
      <c r="V633" s="241"/>
      <c r="W633" s="241"/>
      <c r="X633" s="241"/>
    </row>
    <row r="634" spans="1:24" ht="13.5" customHeight="1" x14ac:dyDescent="0.3">
      <c r="A634" s="245"/>
      <c r="B634" s="246"/>
      <c r="C634" s="245"/>
      <c r="D634" s="245"/>
      <c r="E634" s="245"/>
      <c r="F634" s="245"/>
      <c r="G634" s="245"/>
      <c r="H634" s="245"/>
      <c r="I634" s="245"/>
      <c r="J634" s="245"/>
      <c r="K634" s="245"/>
      <c r="L634" s="246"/>
      <c r="M634" s="245"/>
      <c r="N634" s="245"/>
      <c r="O634" s="245"/>
      <c r="P634" s="245"/>
      <c r="Q634" s="247"/>
      <c r="R634" s="247"/>
      <c r="S634" s="247"/>
      <c r="T634" s="245"/>
      <c r="U634" s="245"/>
      <c r="V634" s="241"/>
      <c r="W634" s="241"/>
      <c r="X634" s="241"/>
    </row>
    <row r="635" spans="1:24" ht="13.5" customHeight="1" x14ac:dyDescent="0.3">
      <c r="A635" s="245"/>
      <c r="B635" s="246"/>
      <c r="C635" s="245"/>
      <c r="D635" s="245"/>
      <c r="E635" s="245"/>
      <c r="F635" s="245"/>
      <c r="G635" s="245"/>
      <c r="H635" s="245"/>
      <c r="I635" s="245"/>
      <c r="J635" s="245"/>
      <c r="K635" s="245"/>
      <c r="L635" s="246"/>
      <c r="M635" s="245"/>
      <c r="N635" s="245"/>
      <c r="O635" s="245"/>
      <c r="P635" s="245"/>
      <c r="Q635" s="247"/>
      <c r="R635" s="247"/>
      <c r="S635" s="247"/>
      <c r="T635" s="245"/>
      <c r="U635" s="245"/>
      <c r="V635" s="241"/>
      <c r="W635" s="241"/>
      <c r="X635" s="241"/>
    </row>
    <row r="636" spans="1:24" ht="13.5" customHeight="1" x14ac:dyDescent="0.3">
      <c r="A636" s="245"/>
      <c r="B636" s="246"/>
      <c r="C636" s="245"/>
      <c r="D636" s="245"/>
      <c r="E636" s="245"/>
      <c r="F636" s="245"/>
      <c r="G636" s="245"/>
      <c r="H636" s="245"/>
      <c r="I636" s="245"/>
      <c r="J636" s="245"/>
      <c r="K636" s="245"/>
      <c r="L636" s="246"/>
      <c r="M636" s="245"/>
      <c r="N636" s="245"/>
      <c r="O636" s="245"/>
      <c r="P636" s="245"/>
      <c r="Q636" s="247"/>
      <c r="R636" s="247"/>
      <c r="S636" s="247"/>
      <c r="T636" s="245"/>
      <c r="U636" s="245"/>
      <c r="V636" s="241"/>
      <c r="W636" s="241"/>
      <c r="X636" s="241"/>
    </row>
    <row r="637" spans="1:24" ht="13.5" customHeight="1" x14ac:dyDescent="0.3">
      <c r="A637" s="245"/>
      <c r="B637" s="246"/>
      <c r="C637" s="245"/>
      <c r="D637" s="245"/>
      <c r="E637" s="245"/>
      <c r="F637" s="245"/>
      <c r="G637" s="245"/>
      <c r="H637" s="245"/>
      <c r="I637" s="245"/>
      <c r="J637" s="245"/>
      <c r="K637" s="245"/>
      <c r="L637" s="246"/>
      <c r="M637" s="245"/>
      <c r="N637" s="245"/>
      <c r="O637" s="245"/>
      <c r="P637" s="245"/>
      <c r="Q637" s="247"/>
      <c r="R637" s="247"/>
      <c r="S637" s="247"/>
      <c r="T637" s="245"/>
      <c r="U637" s="245"/>
      <c r="V637" s="241"/>
      <c r="W637" s="241"/>
      <c r="X637" s="241"/>
    </row>
    <row r="638" spans="1:24" ht="13.5" customHeight="1" x14ac:dyDescent="0.3">
      <c r="A638" s="245"/>
      <c r="B638" s="246"/>
      <c r="C638" s="245"/>
      <c r="D638" s="245"/>
      <c r="E638" s="245"/>
      <c r="F638" s="245"/>
      <c r="G638" s="245"/>
      <c r="H638" s="245"/>
      <c r="I638" s="245"/>
      <c r="J638" s="245"/>
      <c r="K638" s="245"/>
      <c r="L638" s="246"/>
      <c r="M638" s="245"/>
      <c r="N638" s="245"/>
      <c r="O638" s="245"/>
      <c r="P638" s="245"/>
      <c r="Q638" s="247"/>
      <c r="R638" s="247"/>
      <c r="S638" s="247"/>
      <c r="T638" s="245"/>
      <c r="U638" s="245"/>
      <c r="V638" s="241"/>
      <c r="W638" s="241"/>
      <c r="X638" s="241"/>
    </row>
    <row r="639" spans="1:24" ht="13.5" customHeight="1" x14ac:dyDescent="0.3">
      <c r="A639" s="245"/>
      <c r="B639" s="246"/>
      <c r="C639" s="245"/>
      <c r="D639" s="245"/>
      <c r="E639" s="245"/>
      <c r="F639" s="245"/>
      <c r="G639" s="245"/>
      <c r="H639" s="245"/>
      <c r="I639" s="245"/>
      <c r="J639" s="245"/>
      <c r="K639" s="245"/>
      <c r="L639" s="246"/>
      <c r="M639" s="245"/>
      <c r="N639" s="245"/>
      <c r="O639" s="245"/>
      <c r="P639" s="245"/>
      <c r="Q639" s="247"/>
      <c r="R639" s="247"/>
      <c r="S639" s="247"/>
      <c r="T639" s="245"/>
      <c r="U639" s="245"/>
      <c r="V639" s="241"/>
      <c r="W639" s="241"/>
      <c r="X639" s="241"/>
    </row>
    <row r="640" spans="1:24" ht="13.5" customHeight="1" x14ac:dyDescent="0.3">
      <c r="A640" s="245"/>
      <c r="B640" s="246"/>
      <c r="C640" s="245"/>
      <c r="D640" s="245"/>
      <c r="E640" s="245"/>
      <c r="F640" s="245"/>
      <c r="G640" s="245"/>
      <c r="H640" s="245"/>
      <c r="I640" s="245"/>
      <c r="J640" s="245"/>
      <c r="K640" s="245"/>
      <c r="L640" s="246"/>
      <c r="M640" s="245"/>
      <c r="N640" s="245"/>
      <c r="O640" s="245"/>
      <c r="P640" s="245"/>
      <c r="Q640" s="247"/>
      <c r="R640" s="247"/>
      <c r="S640" s="247"/>
      <c r="T640" s="245"/>
      <c r="U640" s="245"/>
      <c r="V640" s="241"/>
      <c r="W640" s="241"/>
      <c r="X640" s="241"/>
    </row>
    <row r="641" spans="1:24" ht="13.5" customHeight="1" x14ac:dyDescent="0.3">
      <c r="A641" s="245"/>
      <c r="B641" s="246"/>
      <c r="C641" s="245"/>
      <c r="D641" s="245"/>
      <c r="E641" s="245"/>
      <c r="F641" s="245"/>
      <c r="G641" s="245"/>
      <c r="H641" s="245"/>
      <c r="I641" s="245"/>
      <c r="J641" s="245"/>
      <c r="K641" s="245"/>
      <c r="L641" s="246"/>
      <c r="M641" s="245"/>
      <c r="N641" s="245"/>
      <c r="O641" s="245"/>
      <c r="P641" s="245"/>
      <c r="Q641" s="247"/>
      <c r="R641" s="247"/>
      <c r="S641" s="247"/>
      <c r="T641" s="245"/>
      <c r="U641" s="245"/>
      <c r="V641" s="241"/>
      <c r="W641" s="241"/>
      <c r="X641" s="241"/>
    </row>
    <row r="642" spans="1:24" ht="13.5" customHeight="1" x14ac:dyDescent="0.3">
      <c r="A642" s="245"/>
      <c r="B642" s="246"/>
      <c r="C642" s="245"/>
      <c r="D642" s="245"/>
      <c r="E642" s="245"/>
      <c r="F642" s="245"/>
      <c r="G642" s="245"/>
      <c r="H642" s="245"/>
      <c r="I642" s="245"/>
      <c r="J642" s="245"/>
      <c r="K642" s="245"/>
      <c r="L642" s="246"/>
      <c r="M642" s="245"/>
      <c r="N642" s="245"/>
      <c r="O642" s="245"/>
      <c r="P642" s="245"/>
      <c r="Q642" s="247"/>
      <c r="R642" s="247"/>
      <c r="S642" s="247"/>
      <c r="T642" s="245"/>
      <c r="U642" s="245"/>
      <c r="V642" s="241"/>
      <c r="W642" s="241"/>
      <c r="X642" s="241"/>
    </row>
    <row r="643" spans="1:24" ht="13.5" customHeight="1" x14ac:dyDescent="0.3">
      <c r="A643" s="245"/>
      <c r="B643" s="246"/>
      <c r="C643" s="245"/>
      <c r="D643" s="245"/>
      <c r="E643" s="245"/>
      <c r="F643" s="245"/>
      <c r="G643" s="245"/>
      <c r="H643" s="245"/>
      <c r="I643" s="245"/>
      <c r="J643" s="245"/>
      <c r="K643" s="245"/>
      <c r="L643" s="246"/>
      <c r="M643" s="245"/>
      <c r="N643" s="245"/>
      <c r="O643" s="245"/>
      <c r="P643" s="245"/>
      <c r="Q643" s="247"/>
      <c r="R643" s="247"/>
      <c r="S643" s="247"/>
      <c r="T643" s="245"/>
      <c r="U643" s="245"/>
      <c r="V643" s="241"/>
      <c r="W643" s="241"/>
      <c r="X643" s="241"/>
    </row>
    <row r="644" spans="1:24" ht="13.5" customHeight="1" x14ac:dyDescent="0.3">
      <c r="A644" s="245"/>
      <c r="B644" s="246"/>
      <c r="C644" s="245"/>
      <c r="D644" s="245"/>
      <c r="E644" s="245"/>
      <c r="F644" s="245"/>
      <c r="G644" s="245"/>
      <c r="H644" s="245"/>
      <c r="I644" s="245"/>
      <c r="J644" s="245"/>
      <c r="K644" s="245"/>
      <c r="L644" s="246"/>
      <c r="M644" s="245"/>
      <c r="N644" s="245"/>
      <c r="O644" s="245"/>
      <c r="P644" s="245"/>
      <c r="Q644" s="247"/>
      <c r="R644" s="247"/>
      <c r="S644" s="247"/>
      <c r="T644" s="245"/>
      <c r="U644" s="245"/>
      <c r="V644" s="241"/>
      <c r="W644" s="241"/>
      <c r="X644" s="241"/>
    </row>
    <row r="645" spans="1:24" ht="13.5" customHeight="1" x14ac:dyDescent="0.3">
      <c r="A645" s="245"/>
      <c r="B645" s="246"/>
      <c r="C645" s="245"/>
      <c r="D645" s="245"/>
      <c r="E645" s="245"/>
      <c r="F645" s="245"/>
      <c r="G645" s="245"/>
      <c r="H645" s="245"/>
      <c r="I645" s="245"/>
      <c r="J645" s="245"/>
      <c r="K645" s="245"/>
      <c r="L645" s="246"/>
      <c r="M645" s="245"/>
      <c r="N645" s="245"/>
      <c r="O645" s="245"/>
      <c r="P645" s="245"/>
      <c r="Q645" s="247"/>
      <c r="R645" s="247"/>
      <c r="S645" s="247"/>
      <c r="T645" s="245"/>
      <c r="U645" s="245"/>
      <c r="V645" s="241"/>
      <c r="W645" s="241"/>
      <c r="X645" s="241"/>
    </row>
    <row r="646" spans="1:24" ht="13.5" customHeight="1" x14ac:dyDescent="0.3">
      <c r="A646" s="245"/>
      <c r="B646" s="246"/>
      <c r="C646" s="245"/>
      <c r="D646" s="245"/>
      <c r="E646" s="245"/>
      <c r="F646" s="245"/>
      <c r="G646" s="245"/>
      <c r="H646" s="245"/>
      <c r="I646" s="245"/>
      <c r="J646" s="245"/>
      <c r="K646" s="245"/>
      <c r="L646" s="246"/>
      <c r="M646" s="245"/>
      <c r="N646" s="245"/>
      <c r="O646" s="245"/>
      <c r="P646" s="245"/>
      <c r="Q646" s="247"/>
      <c r="R646" s="247"/>
      <c r="S646" s="247"/>
      <c r="T646" s="245"/>
      <c r="U646" s="245"/>
      <c r="V646" s="241"/>
      <c r="W646" s="241"/>
      <c r="X646" s="241"/>
    </row>
    <row r="647" spans="1:24" ht="13.5" customHeight="1" x14ac:dyDescent="0.3">
      <c r="A647" s="245"/>
      <c r="B647" s="246"/>
      <c r="C647" s="245"/>
      <c r="D647" s="245"/>
      <c r="E647" s="245"/>
      <c r="F647" s="245"/>
      <c r="G647" s="245"/>
      <c r="H647" s="245"/>
      <c r="I647" s="245"/>
      <c r="J647" s="245"/>
      <c r="K647" s="245"/>
      <c r="L647" s="246"/>
      <c r="M647" s="245"/>
      <c r="N647" s="245"/>
      <c r="O647" s="245"/>
      <c r="P647" s="245"/>
      <c r="Q647" s="247"/>
      <c r="R647" s="247"/>
      <c r="S647" s="247"/>
      <c r="T647" s="245"/>
      <c r="U647" s="245"/>
      <c r="V647" s="241"/>
      <c r="W647" s="241"/>
      <c r="X647" s="241"/>
    </row>
    <row r="648" spans="1:24" ht="13.5" customHeight="1" x14ac:dyDescent="0.3">
      <c r="A648" s="245"/>
      <c r="B648" s="246"/>
      <c r="C648" s="245"/>
      <c r="D648" s="245"/>
      <c r="E648" s="245"/>
      <c r="F648" s="245"/>
      <c r="G648" s="245"/>
      <c r="H648" s="245"/>
      <c r="I648" s="245"/>
      <c r="J648" s="245"/>
      <c r="K648" s="245"/>
      <c r="L648" s="246"/>
      <c r="M648" s="245"/>
      <c r="N648" s="245"/>
      <c r="O648" s="245"/>
      <c r="P648" s="245"/>
      <c r="Q648" s="247"/>
      <c r="R648" s="247"/>
      <c r="S648" s="247"/>
      <c r="T648" s="245"/>
      <c r="U648" s="245"/>
      <c r="V648" s="241"/>
      <c r="W648" s="241"/>
      <c r="X648" s="241"/>
    </row>
    <row r="649" spans="1:24" ht="13.5" customHeight="1" x14ac:dyDescent="0.3">
      <c r="A649" s="245"/>
      <c r="B649" s="246"/>
      <c r="C649" s="245"/>
      <c r="D649" s="245"/>
      <c r="E649" s="245"/>
      <c r="F649" s="245"/>
      <c r="G649" s="245"/>
      <c r="H649" s="245"/>
      <c r="I649" s="245"/>
      <c r="J649" s="245"/>
      <c r="K649" s="245"/>
      <c r="L649" s="246"/>
      <c r="M649" s="245"/>
      <c r="N649" s="245"/>
      <c r="O649" s="245"/>
      <c r="P649" s="245"/>
      <c r="Q649" s="247"/>
      <c r="R649" s="247"/>
      <c r="S649" s="247"/>
      <c r="T649" s="245"/>
      <c r="U649" s="245"/>
      <c r="V649" s="241"/>
      <c r="W649" s="241"/>
      <c r="X649" s="241"/>
    </row>
    <row r="650" spans="1:24" ht="13.5" customHeight="1" x14ac:dyDescent="0.3">
      <c r="A650" s="245"/>
      <c r="B650" s="246"/>
      <c r="C650" s="245"/>
      <c r="D650" s="245"/>
      <c r="E650" s="245"/>
      <c r="F650" s="245"/>
      <c r="G650" s="245"/>
      <c r="H650" s="245"/>
      <c r="I650" s="245"/>
      <c r="J650" s="245"/>
      <c r="K650" s="245"/>
      <c r="L650" s="246"/>
      <c r="M650" s="245"/>
      <c r="N650" s="245"/>
      <c r="O650" s="245"/>
      <c r="P650" s="245"/>
      <c r="Q650" s="247"/>
      <c r="R650" s="247"/>
      <c r="S650" s="247"/>
      <c r="T650" s="245"/>
      <c r="U650" s="245"/>
      <c r="V650" s="241"/>
      <c r="W650" s="241"/>
      <c r="X650" s="241"/>
    </row>
    <row r="651" spans="1:24" ht="13.5" customHeight="1" x14ac:dyDescent="0.3">
      <c r="A651" s="245"/>
      <c r="B651" s="246"/>
      <c r="C651" s="245"/>
      <c r="D651" s="245"/>
      <c r="E651" s="245"/>
      <c r="F651" s="245"/>
      <c r="G651" s="245"/>
      <c r="H651" s="245"/>
      <c r="I651" s="245"/>
      <c r="J651" s="245"/>
      <c r="K651" s="245"/>
      <c r="L651" s="246"/>
      <c r="M651" s="245"/>
      <c r="N651" s="245"/>
      <c r="O651" s="245"/>
      <c r="P651" s="245"/>
      <c r="Q651" s="247"/>
      <c r="R651" s="247"/>
      <c r="S651" s="247"/>
      <c r="T651" s="245"/>
      <c r="U651" s="245"/>
      <c r="V651" s="241"/>
      <c r="W651" s="241"/>
      <c r="X651" s="241"/>
    </row>
    <row r="652" spans="1:24" ht="13.5" customHeight="1" x14ac:dyDescent="0.3">
      <c r="A652" s="245"/>
      <c r="B652" s="246"/>
      <c r="C652" s="245"/>
      <c r="D652" s="245"/>
      <c r="E652" s="245"/>
      <c r="F652" s="245"/>
      <c r="G652" s="245"/>
      <c r="H652" s="245"/>
      <c r="I652" s="245"/>
      <c r="J652" s="245"/>
      <c r="K652" s="245"/>
      <c r="L652" s="246"/>
      <c r="M652" s="245"/>
      <c r="N652" s="245"/>
      <c r="O652" s="245"/>
      <c r="P652" s="245"/>
      <c r="Q652" s="247"/>
      <c r="R652" s="247"/>
      <c r="S652" s="247"/>
      <c r="T652" s="245"/>
      <c r="U652" s="245"/>
      <c r="V652" s="241"/>
      <c r="W652" s="241"/>
      <c r="X652" s="241"/>
    </row>
    <row r="653" spans="1:24" ht="13.5" customHeight="1" x14ac:dyDescent="0.3">
      <c r="A653" s="245"/>
      <c r="B653" s="246"/>
      <c r="C653" s="245"/>
      <c r="D653" s="245"/>
      <c r="E653" s="245"/>
      <c r="F653" s="245"/>
      <c r="G653" s="245"/>
      <c r="H653" s="245"/>
      <c r="I653" s="245"/>
      <c r="J653" s="245"/>
      <c r="K653" s="245"/>
      <c r="L653" s="246"/>
      <c r="M653" s="245"/>
      <c r="N653" s="245"/>
      <c r="O653" s="245"/>
      <c r="P653" s="245"/>
      <c r="Q653" s="247"/>
      <c r="R653" s="247"/>
      <c r="S653" s="247"/>
      <c r="T653" s="245"/>
      <c r="U653" s="245"/>
      <c r="V653" s="241"/>
      <c r="W653" s="241"/>
      <c r="X653" s="241"/>
    </row>
    <row r="654" spans="1:24" ht="13.5" customHeight="1" x14ac:dyDescent="0.3">
      <c r="A654" s="245"/>
      <c r="B654" s="246"/>
      <c r="C654" s="245"/>
      <c r="D654" s="245"/>
      <c r="E654" s="245"/>
      <c r="F654" s="245"/>
      <c r="G654" s="245"/>
      <c r="H654" s="245"/>
      <c r="I654" s="245"/>
      <c r="J654" s="245"/>
      <c r="K654" s="245"/>
      <c r="L654" s="246"/>
      <c r="M654" s="245"/>
      <c r="N654" s="245"/>
      <c r="O654" s="245"/>
      <c r="P654" s="245"/>
      <c r="Q654" s="247"/>
      <c r="R654" s="247"/>
      <c r="S654" s="247"/>
      <c r="T654" s="245"/>
      <c r="U654" s="245"/>
      <c r="V654" s="241"/>
      <c r="W654" s="241"/>
      <c r="X654" s="241"/>
    </row>
    <row r="655" spans="1:24" ht="13.5" customHeight="1" x14ac:dyDescent="0.3">
      <c r="A655" s="245"/>
      <c r="B655" s="246"/>
      <c r="C655" s="245"/>
      <c r="D655" s="245"/>
      <c r="E655" s="245"/>
      <c r="F655" s="245"/>
      <c r="G655" s="245"/>
      <c r="H655" s="245"/>
      <c r="I655" s="245"/>
      <c r="J655" s="245"/>
      <c r="K655" s="245"/>
      <c r="L655" s="246"/>
      <c r="M655" s="245"/>
      <c r="N655" s="245"/>
      <c r="O655" s="245"/>
      <c r="P655" s="245"/>
      <c r="Q655" s="247"/>
      <c r="R655" s="247"/>
      <c r="S655" s="247"/>
      <c r="T655" s="245"/>
      <c r="U655" s="245"/>
      <c r="V655" s="241"/>
      <c r="W655" s="241"/>
      <c r="X655" s="241"/>
    </row>
    <row r="656" spans="1:24" ht="13.5" customHeight="1" x14ac:dyDescent="0.3">
      <c r="A656" s="245"/>
      <c r="B656" s="246"/>
      <c r="C656" s="245"/>
      <c r="D656" s="245"/>
      <c r="E656" s="245"/>
      <c r="F656" s="245"/>
      <c r="G656" s="245"/>
      <c r="H656" s="245"/>
      <c r="I656" s="245"/>
      <c r="J656" s="245"/>
      <c r="K656" s="245"/>
      <c r="L656" s="246"/>
      <c r="M656" s="245"/>
      <c r="N656" s="245"/>
      <c r="O656" s="245"/>
      <c r="P656" s="245"/>
      <c r="Q656" s="247"/>
      <c r="R656" s="247"/>
      <c r="S656" s="247"/>
      <c r="T656" s="245"/>
      <c r="U656" s="245"/>
      <c r="V656" s="241"/>
      <c r="W656" s="241"/>
      <c r="X656" s="241"/>
    </row>
    <row r="657" spans="1:24" ht="13.5" customHeight="1" x14ac:dyDescent="0.3">
      <c r="A657" s="245"/>
      <c r="B657" s="246"/>
      <c r="C657" s="245"/>
      <c r="D657" s="245"/>
      <c r="E657" s="245"/>
      <c r="F657" s="245"/>
      <c r="G657" s="245"/>
      <c r="H657" s="245"/>
      <c r="I657" s="245"/>
      <c r="J657" s="245"/>
      <c r="K657" s="245"/>
      <c r="L657" s="246"/>
      <c r="M657" s="245"/>
      <c r="N657" s="245"/>
      <c r="O657" s="245"/>
      <c r="P657" s="245"/>
      <c r="Q657" s="247"/>
      <c r="R657" s="247"/>
      <c r="S657" s="247"/>
      <c r="T657" s="245"/>
      <c r="U657" s="245"/>
      <c r="V657" s="241"/>
      <c r="W657" s="241"/>
      <c r="X657" s="241"/>
    </row>
    <row r="658" spans="1:24" ht="13.5" customHeight="1" x14ac:dyDescent="0.3">
      <c r="A658" s="245"/>
      <c r="B658" s="246"/>
      <c r="C658" s="245"/>
      <c r="D658" s="245"/>
      <c r="E658" s="245"/>
      <c r="F658" s="245"/>
      <c r="G658" s="245"/>
      <c r="H658" s="245"/>
      <c r="I658" s="245"/>
      <c r="J658" s="245"/>
      <c r="K658" s="245"/>
      <c r="L658" s="246"/>
      <c r="M658" s="245"/>
      <c r="N658" s="245"/>
      <c r="O658" s="245"/>
      <c r="P658" s="245"/>
      <c r="Q658" s="247"/>
      <c r="R658" s="247"/>
      <c r="S658" s="247"/>
      <c r="T658" s="245"/>
      <c r="U658" s="245"/>
      <c r="V658" s="241"/>
      <c r="W658" s="241"/>
      <c r="X658" s="241"/>
    </row>
    <row r="659" spans="1:24" ht="13.5" customHeight="1" x14ac:dyDescent="0.3">
      <c r="A659" s="245"/>
      <c r="B659" s="246"/>
      <c r="C659" s="245"/>
      <c r="D659" s="245"/>
      <c r="E659" s="245"/>
      <c r="F659" s="245"/>
      <c r="G659" s="245"/>
      <c r="H659" s="245"/>
      <c r="I659" s="245"/>
      <c r="J659" s="245"/>
      <c r="K659" s="245"/>
      <c r="L659" s="246"/>
      <c r="M659" s="245"/>
      <c r="N659" s="245"/>
      <c r="O659" s="245"/>
      <c r="P659" s="245"/>
      <c r="Q659" s="247"/>
      <c r="R659" s="247"/>
      <c r="S659" s="247"/>
      <c r="T659" s="245"/>
      <c r="U659" s="245"/>
      <c r="V659" s="241"/>
      <c r="W659" s="241"/>
      <c r="X659" s="241"/>
    </row>
    <row r="660" spans="1:24" ht="13.5" customHeight="1" x14ac:dyDescent="0.3">
      <c r="A660" s="245"/>
      <c r="B660" s="246"/>
      <c r="C660" s="245"/>
      <c r="D660" s="245"/>
      <c r="E660" s="245"/>
      <c r="F660" s="245"/>
      <c r="G660" s="245"/>
      <c r="H660" s="245"/>
      <c r="I660" s="245"/>
      <c r="J660" s="245"/>
      <c r="K660" s="245"/>
      <c r="L660" s="246"/>
      <c r="M660" s="245"/>
      <c r="N660" s="245"/>
      <c r="O660" s="245"/>
      <c r="P660" s="245"/>
      <c r="Q660" s="247"/>
      <c r="R660" s="247"/>
      <c r="S660" s="247"/>
      <c r="T660" s="245"/>
      <c r="U660" s="245"/>
      <c r="V660" s="241"/>
      <c r="W660" s="241"/>
      <c r="X660" s="241"/>
    </row>
    <row r="661" spans="1:24" ht="13.5" customHeight="1" x14ac:dyDescent="0.3">
      <c r="A661" s="245"/>
      <c r="B661" s="246"/>
      <c r="C661" s="245"/>
      <c r="D661" s="245"/>
      <c r="E661" s="245"/>
      <c r="F661" s="245"/>
      <c r="G661" s="245"/>
      <c r="H661" s="245"/>
      <c r="I661" s="245"/>
      <c r="J661" s="245"/>
      <c r="K661" s="245"/>
      <c r="L661" s="246"/>
      <c r="M661" s="245"/>
      <c r="N661" s="245"/>
      <c r="O661" s="245"/>
      <c r="P661" s="245"/>
      <c r="Q661" s="247"/>
      <c r="R661" s="247"/>
      <c r="S661" s="247"/>
      <c r="T661" s="245"/>
      <c r="U661" s="245"/>
      <c r="V661" s="241"/>
      <c r="W661" s="241"/>
      <c r="X661" s="241"/>
    </row>
    <row r="662" spans="1:24" ht="13.5" customHeight="1" x14ac:dyDescent="0.3">
      <c r="A662" s="245"/>
      <c r="B662" s="246"/>
      <c r="C662" s="245"/>
      <c r="D662" s="245"/>
      <c r="E662" s="245"/>
      <c r="F662" s="245"/>
      <c r="G662" s="245"/>
      <c r="H662" s="245"/>
      <c r="I662" s="245"/>
      <c r="J662" s="245"/>
      <c r="K662" s="245"/>
      <c r="L662" s="246"/>
      <c r="M662" s="245"/>
      <c r="N662" s="245"/>
      <c r="O662" s="245"/>
      <c r="P662" s="245"/>
      <c r="Q662" s="247"/>
      <c r="R662" s="247"/>
      <c r="S662" s="247"/>
      <c r="T662" s="245"/>
      <c r="U662" s="245"/>
      <c r="V662" s="241"/>
      <c r="W662" s="241"/>
      <c r="X662" s="241"/>
    </row>
    <row r="663" spans="1:24" ht="13.5" customHeight="1" x14ac:dyDescent="0.3">
      <c r="A663" s="245"/>
      <c r="B663" s="246"/>
      <c r="C663" s="245"/>
      <c r="D663" s="245"/>
      <c r="E663" s="245"/>
      <c r="F663" s="245"/>
      <c r="G663" s="245"/>
      <c r="H663" s="245"/>
      <c r="I663" s="245"/>
      <c r="J663" s="245"/>
      <c r="K663" s="245"/>
      <c r="L663" s="246"/>
      <c r="M663" s="245"/>
      <c r="N663" s="245"/>
      <c r="O663" s="245"/>
      <c r="P663" s="245"/>
      <c r="Q663" s="247"/>
      <c r="R663" s="247"/>
      <c r="S663" s="247"/>
      <c r="T663" s="245"/>
      <c r="U663" s="245"/>
      <c r="V663" s="241"/>
      <c r="W663" s="241"/>
      <c r="X663" s="241"/>
    </row>
    <row r="664" spans="1:24" ht="13.5" customHeight="1" x14ac:dyDescent="0.3">
      <c r="A664" s="245"/>
      <c r="B664" s="246"/>
      <c r="C664" s="245"/>
      <c r="D664" s="245"/>
      <c r="E664" s="245"/>
      <c r="F664" s="245"/>
      <c r="G664" s="245"/>
      <c r="H664" s="245"/>
      <c r="I664" s="245"/>
      <c r="J664" s="245"/>
      <c r="K664" s="245"/>
      <c r="L664" s="246"/>
      <c r="M664" s="245"/>
      <c r="N664" s="245"/>
      <c r="O664" s="245"/>
      <c r="P664" s="245"/>
      <c r="Q664" s="247"/>
      <c r="R664" s="247"/>
      <c r="S664" s="247"/>
      <c r="T664" s="245"/>
      <c r="U664" s="245"/>
      <c r="V664" s="241"/>
      <c r="W664" s="241"/>
      <c r="X664" s="241"/>
    </row>
    <row r="665" spans="1:24" ht="13.5" customHeight="1" x14ac:dyDescent="0.3">
      <c r="A665" s="245"/>
      <c r="B665" s="246"/>
      <c r="C665" s="245"/>
      <c r="D665" s="245"/>
      <c r="E665" s="245"/>
      <c r="F665" s="245"/>
      <c r="G665" s="245"/>
      <c r="H665" s="245"/>
      <c r="I665" s="245"/>
      <c r="J665" s="245"/>
      <c r="K665" s="245"/>
      <c r="L665" s="246"/>
      <c r="M665" s="245"/>
      <c r="N665" s="245"/>
      <c r="O665" s="245"/>
      <c r="P665" s="245"/>
      <c r="Q665" s="247"/>
      <c r="R665" s="247"/>
      <c r="S665" s="247"/>
      <c r="T665" s="245"/>
      <c r="U665" s="245"/>
      <c r="V665" s="241"/>
      <c r="W665" s="241"/>
      <c r="X665" s="241"/>
    </row>
    <row r="666" spans="1:24" ht="13.5" customHeight="1" x14ac:dyDescent="0.3">
      <c r="A666" s="245"/>
      <c r="B666" s="246"/>
      <c r="C666" s="245"/>
      <c r="D666" s="245"/>
      <c r="E666" s="245"/>
      <c r="F666" s="245"/>
      <c r="G666" s="245"/>
      <c r="H666" s="245"/>
      <c r="I666" s="245"/>
      <c r="J666" s="245"/>
      <c r="K666" s="245"/>
      <c r="L666" s="246"/>
      <c r="M666" s="245"/>
      <c r="N666" s="245"/>
      <c r="O666" s="245"/>
      <c r="P666" s="245"/>
      <c r="Q666" s="247"/>
      <c r="R666" s="247"/>
      <c r="S666" s="247"/>
      <c r="T666" s="245"/>
      <c r="U666" s="245"/>
      <c r="V666" s="241"/>
      <c r="W666" s="241"/>
      <c r="X666" s="241"/>
    </row>
    <row r="667" spans="1:24" ht="13.5" customHeight="1" x14ac:dyDescent="0.3">
      <c r="A667" s="245"/>
      <c r="B667" s="246"/>
      <c r="C667" s="245"/>
      <c r="D667" s="245"/>
      <c r="E667" s="245"/>
      <c r="F667" s="245"/>
      <c r="G667" s="245"/>
      <c r="H667" s="245"/>
      <c r="I667" s="245"/>
      <c r="J667" s="245"/>
      <c r="K667" s="245"/>
      <c r="L667" s="246"/>
      <c r="M667" s="245"/>
      <c r="N667" s="245"/>
      <c r="O667" s="245"/>
      <c r="P667" s="245"/>
      <c r="Q667" s="247"/>
      <c r="R667" s="247"/>
      <c r="S667" s="247"/>
      <c r="T667" s="245"/>
      <c r="U667" s="245"/>
      <c r="V667" s="241"/>
      <c r="W667" s="241"/>
      <c r="X667" s="241"/>
    </row>
    <row r="668" spans="1:24" ht="13.5" customHeight="1" x14ac:dyDescent="0.3">
      <c r="A668" s="245"/>
      <c r="B668" s="246"/>
      <c r="C668" s="245"/>
      <c r="D668" s="245"/>
      <c r="E668" s="245"/>
      <c r="F668" s="245"/>
      <c r="G668" s="245"/>
      <c r="H668" s="245"/>
      <c r="I668" s="245"/>
      <c r="J668" s="245"/>
      <c r="K668" s="245"/>
      <c r="L668" s="246"/>
      <c r="M668" s="245"/>
      <c r="N668" s="245"/>
      <c r="O668" s="245"/>
      <c r="P668" s="245"/>
      <c r="Q668" s="247"/>
      <c r="R668" s="247"/>
      <c r="S668" s="247"/>
      <c r="T668" s="245"/>
      <c r="U668" s="245"/>
      <c r="V668" s="241"/>
      <c r="W668" s="241"/>
      <c r="X668" s="241"/>
    </row>
    <row r="669" spans="1:24" ht="13.5" customHeight="1" x14ac:dyDescent="0.3">
      <c r="A669" s="245"/>
      <c r="B669" s="246"/>
      <c r="C669" s="245"/>
      <c r="D669" s="245"/>
      <c r="E669" s="245"/>
      <c r="F669" s="245"/>
      <c r="G669" s="245"/>
      <c r="H669" s="245"/>
      <c r="I669" s="245"/>
      <c r="J669" s="245"/>
      <c r="K669" s="245"/>
      <c r="L669" s="246"/>
      <c r="M669" s="245"/>
      <c r="N669" s="245"/>
      <c r="O669" s="245"/>
      <c r="P669" s="245"/>
      <c r="Q669" s="247"/>
      <c r="R669" s="247"/>
      <c r="S669" s="247"/>
      <c r="T669" s="245"/>
      <c r="U669" s="245"/>
      <c r="V669" s="241"/>
      <c r="W669" s="241"/>
      <c r="X669" s="241"/>
    </row>
    <row r="670" spans="1:24" ht="13.5" customHeight="1" x14ac:dyDescent="0.3">
      <c r="A670" s="245"/>
      <c r="B670" s="246"/>
      <c r="C670" s="245"/>
      <c r="D670" s="245"/>
      <c r="E670" s="245"/>
      <c r="F670" s="245"/>
      <c r="G670" s="245"/>
      <c r="H670" s="245"/>
      <c r="I670" s="245"/>
      <c r="J670" s="245"/>
      <c r="K670" s="245"/>
      <c r="L670" s="246"/>
      <c r="M670" s="245"/>
      <c r="N670" s="245"/>
      <c r="O670" s="245"/>
      <c r="P670" s="245"/>
      <c r="Q670" s="247"/>
      <c r="R670" s="247"/>
      <c r="S670" s="247"/>
      <c r="T670" s="245"/>
      <c r="U670" s="245"/>
      <c r="V670" s="241"/>
      <c r="W670" s="241"/>
      <c r="X670" s="241"/>
    </row>
    <row r="671" spans="1:24" ht="13.5" customHeight="1" x14ac:dyDescent="0.3">
      <c r="A671" s="245"/>
      <c r="B671" s="246"/>
      <c r="C671" s="245"/>
      <c r="D671" s="245"/>
      <c r="E671" s="245"/>
      <c r="F671" s="245"/>
      <c r="G671" s="245"/>
      <c r="H671" s="245"/>
      <c r="I671" s="245"/>
      <c r="J671" s="245"/>
      <c r="K671" s="245"/>
      <c r="L671" s="246"/>
      <c r="M671" s="245"/>
      <c r="N671" s="245"/>
      <c r="O671" s="245"/>
      <c r="P671" s="245"/>
      <c r="Q671" s="247"/>
      <c r="R671" s="247"/>
      <c r="S671" s="247"/>
      <c r="T671" s="245"/>
      <c r="U671" s="245"/>
      <c r="V671" s="241"/>
      <c r="W671" s="241"/>
      <c r="X671" s="241"/>
    </row>
    <row r="672" spans="1:24" ht="13.5" customHeight="1" x14ac:dyDescent="0.3">
      <c r="A672" s="245"/>
      <c r="B672" s="246"/>
      <c r="C672" s="245"/>
      <c r="D672" s="245"/>
      <c r="E672" s="245"/>
      <c r="F672" s="245"/>
      <c r="G672" s="245"/>
      <c r="H672" s="245"/>
      <c r="I672" s="245"/>
      <c r="J672" s="245"/>
      <c r="K672" s="245"/>
      <c r="L672" s="246"/>
      <c r="M672" s="245"/>
      <c r="N672" s="245"/>
      <c r="O672" s="245"/>
      <c r="P672" s="245"/>
      <c r="Q672" s="247"/>
      <c r="R672" s="247"/>
      <c r="S672" s="247"/>
      <c r="T672" s="245"/>
      <c r="U672" s="245"/>
      <c r="V672" s="241"/>
      <c r="W672" s="241"/>
      <c r="X672" s="241"/>
    </row>
    <row r="673" spans="1:24" ht="13.5" customHeight="1" x14ac:dyDescent="0.3">
      <c r="A673" s="245"/>
      <c r="B673" s="246"/>
      <c r="C673" s="245"/>
      <c r="D673" s="245"/>
      <c r="E673" s="245"/>
      <c r="F673" s="245"/>
      <c r="G673" s="245"/>
      <c r="H673" s="245"/>
      <c r="I673" s="245"/>
      <c r="J673" s="245"/>
      <c r="K673" s="245"/>
      <c r="L673" s="246"/>
      <c r="M673" s="245"/>
      <c r="N673" s="245"/>
      <c r="O673" s="245"/>
      <c r="P673" s="245"/>
      <c r="Q673" s="247"/>
      <c r="R673" s="247"/>
      <c r="S673" s="247"/>
      <c r="T673" s="245"/>
      <c r="U673" s="245"/>
      <c r="V673" s="241"/>
      <c r="W673" s="241"/>
      <c r="X673" s="241"/>
    </row>
    <row r="674" spans="1:24" ht="13.5" customHeight="1" x14ac:dyDescent="0.3">
      <c r="A674" s="245"/>
      <c r="B674" s="246"/>
      <c r="C674" s="245"/>
      <c r="D674" s="245"/>
      <c r="E674" s="245"/>
      <c r="F674" s="245"/>
      <c r="G674" s="245"/>
      <c r="H674" s="245"/>
      <c r="I674" s="245"/>
      <c r="J674" s="245"/>
      <c r="K674" s="245"/>
      <c r="L674" s="246"/>
      <c r="M674" s="245"/>
      <c r="N674" s="245"/>
      <c r="O674" s="245"/>
      <c r="P674" s="245"/>
      <c r="Q674" s="247"/>
      <c r="R674" s="247"/>
      <c r="S674" s="247"/>
      <c r="T674" s="245"/>
      <c r="U674" s="245"/>
      <c r="V674" s="241"/>
      <c r="W674" s="241"/>
      <c r="X674" s="241"/>
    </row>
    <row r="675" spans="1:24" ht="13.5" customHeight="1" x14ac:dyDescent="0.3">
      <c r="A675" s="245"/>
      <c r="B675" s="246"/>
      <c r="C675" s="245"/>
      <c r="D675" s="245"/>
      <c r="E675" s="245"/>
      <c r="F675" s="245"/>
      <c r="G675" s="245"/>
      <c r="H675" s="245"/>
      <c r="I675" s="245"/>
      <c r="J675" s="245"/>
      <c r="K675" s="245"/>
      <c r="L675" s="246"/>
      <c r="M675" s="245"/>
      <c r="N675" s="245"/>
      <c r="O675" s="245"/>
      <c r="P675" s="245"/>
      <c r="Q675" s="247"/>
      <c r="R675" s="247"/>
      <c r="S675" s="247"/>
      <c r="T675" s="245"/>
      <c r="U675" s="245"/>
      <c r="V675" s="241"/>
      <c r="W675" s="241"/>
      <c r="X675" s="241"/>
    </row>
    <row r="676" spans="1:24" ht="13.5" customHeight="1" x14ac:dyDescent="0.3">
      <c r="A676" s="245"/>
      <c r="B676" s="246"/>
      <c r="C676" s="245"/>
      <c r="D676" s="245"/>
      <c r="E676" s="245"/>
      <c r="F676" s="245"/>
      <c r="G676" s="245"/>
      <c r="H676" s="245"/>
      <c r="I676" s="245"/>
      <c r="J676" s="245"/>
      <c r="K676" s="245"/>
      <c r="L676" s="246"/>
      <c r="M676" s="245"/>
      <c r="N676" s="245"/>
      <c r="O676" s="245"/>
      <c r="P676" s="245"/>
      <c r="Q676" s="247"/>
      <c r="R676" s="247"/>
      <c r="S676" s="247"/>
      <c r="T676" s="245"/>
      <c r="U676" s="245"/>
      <c r="V676" s="241"/>
      <c r="W676" s="241"/>
      <c r="X676" s="241"/>
    </row>
    <row r="677" spans="1:24" ht="13.5" customHeight="1" x14ac:dyDescent="0.3">
      <c r="A677" s="245"/>
      <c r="B677" s="246"/>
      <c r="C677" s="245"/>
      <c r="D677" s="245"/>
      <c r="E677" s="245"/>
      <c r="F677" s="245"/>
      <c r="G677" s="245"/>
      <c r="H677" s="245"/>
      <c r="I677" s="245"/>
      <c r="J677" s="245"/>
      <c r="K677" s="245"/>
      <c r="L677" s="246"/>
      <c r="M677" s="245"/>
      <c r="N677" s="245"/>
      <c r="O677" s="245"/>
      <c r="P677" s="245"/>
      <c r="Q677" s="247"/>
      <c r="R677" s="247"/>
      <c r="S677" s="247"/>
      <c r="T677" s="245"/>
      <c r="U677" s="245"/>
      <c r="V677" s="241"/>
      <c r="W677" s="241"/>
      <c r="X677" s="241"/>
    </row>
    <row r="678" spans="1:24" ht="13.5" customHeight="1" x14ac:dyDescent="0.3">
      <c r="A678" s="245"/>
      <c r="B678" s="246"/>
      <c r="C678" s="245"/>
      <c r="D678" s="245"/>
      <c r="E678" s="245"/>
      <c r="F678" s="245"/>
      <c r="G678" s="245"/>
      <c r="H678" s="245"/>
      <c r="I678" s="245"/>
      <c r="J678" s="245"/>
      <c r="K678" s="245"/>
      <c r="L678" s="246"/>
      <c r="M678" s="245"/>
      <c r="N678" s="245"/>
      <c r="O678" s="245"/>
      <c r="P678" s="245"/>
      <c r="Q678" s="247"/>
      <c r="R678" s="247"/>
      <c r="S678" s="247"/>
      <c r="T678" s="245"/>
      <c r="U678" s="245"/>
      <c r="V678" s="241"/>
      <c r="W678" s="241"/>
      <c r="X678" s="241"/>
    </row>
    <row r="679" spans="1:24" ht="13.5" customHeight="1" x14ac:dyDescent="0.3">
      <c r="A679" s="245"/>
      <c r="B679" s="246"/>
      <c r="C679" s="245"/>
      <c r="D679" s="245"/>
      <c r="E679" s="245"/>
      <c r="F679" s="245"/>
      <c r="G679" s="245"/>
      <c r="H679" s="245"/>
      <c r="I679" s="245"/>
      <c r="J679" s="245"/>
      <c r="K679" s="245"/>
      <c r="L679" s="246"/>
      <c r="M679" s="245"/>
      <c r="N679" s="245"/>
      <c r="O679" s="245"/>
      <c r="P679" s="245"/>
      <c r="Q679" s="247"/>
      <c r="R679" s="247"/>
      <c r="S679" s="247"/>
      <c r="T679" s="245"/>
      <c r="U679" s="245"/>
      <c r="V679" s="241"/>
      <c r="W679" s="241"/>
      <c r="X679" s="241"/>
    </row>
    <row r="680" spans="1:24" ht="13.5" customHeight="1" x14ac:dyDescent="0.3">
      <c r="A680" s="245"/>
      <c r="B680" s="246"/>
      <c r="C680" s="245"/>
      <c r="D680" s="245"/>
      <c r="E680" s="245"/>
      <c r="F680" s="245"/>
      <c r="G680" s="245"/>
      <c r="H680" s="245"/>
      <c r="I680" s="245"/>
      <c r="J680" s="245"/>
      <c r="K680" s="245"/>
      <c r="L680" s="246"/>
      <c r="M680" s="245"/>
      <c r="N680" s="245"/>
      <c r="O680" s="245"/>
      <c r="P680" s="245"/>
      <c r="Q680" s="247"/>
      <c r="R680" s="247"/>
      <c r="S680" s="247"/>
      <c r="T680" s="245"/>
      <c r="U680" s="245"/>
      <c r="V680" s="241"/>
      <c r="W680" s="241"/>
      <c r="X680" s="241"/>
    </row>
    <row r="681" spans="1:24" ht="13.5" customHeight="1" x14ac:dyDescent="0.3">
      <c r="A681" s="245"/>
      <c r="B681" s="246"/>
      <c r="C681" s="245"/>
      <c r="D681" s="245"/>
      <c r="E681" s="245"/>
      <c r="F681" s="245"/>
      <c r="G681" s="245"/>
      <c r="H681" s="245"/>
      <c r="I681" s="245"/>
      <c r="J681" s="245"/>
      <c r="K681" s="245"/>
      <c r="L681" s="246"/>
      <c r="M681" s="245"/>
      <c r="N681" s="245"/>
      <c r="O681" s="245"/>
      <c r="P681" s="245"/>
      <c r="Q681" s="247"/>
      <c r="R681" s="247"/>
      <c r="S681" s="247"/>
      <c r="T681" s="245"/>
      <c r="U681" s="245"/>
      <c r="V681" s="241"/>
      <c r="W681" s="241"/>
      <c r="X681" s="241"/>
    </row>
    <row r="682" spans="1:24" ht="13.5" customHeight="1" x14ac:dyDescent="0.3">
      <c r="A682" s="245"/>
      <c r="B682" s="246"/>
      <c r="C682" s="245"/>
      <c r="D682" s="245"/>
      <c r="E682" s="245"/>
      <c r="F682" s="245"/>
      <c r="G682" s="245"/>
      <c r="H682" s="245"/>
      <c r="I682" s="245"/>
      <c r="J682" s="245"/>
      <c r="K682" s="245"/>
      <c r="L682" s="246"/>
      <c r="M682" s="245"/>
      <c r="N682" s="245"/>
      <c r="O682" s="245"/>
      <c r="P682" s="245"/>
      <c r="Q682" s="247"/>
      <c r="R682" s="247"/>
      <c r="S682" s="247"/>
      <c r="T682" s="245"/>
      <c r="U682" s="245"/>
      <c r="V682" s="241"/>
      <c r="W682" s="241"/>
      <c r="X682" s="241"/>
    </row>
    <row r="683" spans="1:24" ht="13.5" customHeight="1" x14ac:dyDescent="0.3">
      <c r="A683" s="245"/>
      <c r="B683" s="246"/>
      <c r="C683" s="245"/>
      <c r="D683" s="245"/>
      <c r="E683" s="245"/>
      <c r="F683" s="245"/>
      <c r="G683" s="245"/>
      <c r="H683" s="245"/>
      <c r="I683" s="245"/>
      <c r="J683" s="245"/>
      <c r="K683" s="245"/>
      <c r="L683" s="246"/>
      <c r="M683" s="245"/>
      <c r="N683" s="245"/>
      <c r="O683" s="245"/>
      <c r="P683" s="245"/>
      <c r="Q683" s="247"/>
      <c r="R683" s="247"/>
      <c r="S683" s="247"/>
      <c r="T683" s="245"/>
      <c r="U683" s="245"/>
      <c r="V683" s="241"/>
      <c r="W683" s="241"/>
      <c r="X683" s="241"/>
    </row>
    <row r="684" spans="1:24" ht="13.5" customHeight="1" x14ac:dyDescent="0.3">
      <c r="A684" s="245"/>
      <c r="B684" s="246"/>
      <c r="C684" s="245"/>
      <c r="D684" s="245"/>
      <c r="E684" s="245"/>
      <c r="F684" s="245"/>
      <c r="G684" s="245"/>
      <c r="H684" s="245"/>
      <c r="I684" s="245"/>
      <c r="J684" s="245"/>
      <c r="K684" s="245"/>
      <c r="L684" s="246"/>
      <c r="M684" s="245"/>
      <c r="N684" s="245"/>
      <c r="O684" s="245"/>
      <c r="P684" s="245"/>
      <c r="Q684" s="247"/>
      <c r="R684" s="247"/>
      <c r="S684" s="247"/>
      <c r="T684" s="245"/>
      <c r="U684" s="245"/>
      <c r="V684" s="241"/>
      <c r="W684" s="241"/>
      <c r="X684" s="241"/>
    </row>
    <row r="685" spans="1:24" ht="13.5" customHeight="1" x14ac:dyDescent="0.3">
      <c r="A685" s="245"/>
      <c r="B685" s="246"/>
      <c r="C685" s="245"/>
      <c r="D685" s="245"/>
      <c r="E685" s="245"/>
      <c r="F685" s="245"/>
      <c r="G685" s="245"/>
      <c r="H685" s="245"/>
      <c r="I685" s="245"/>
      <c r="J685" s="245"/>
      <c r="K685" s="245"/>
      <c r="L685" s="246"/>
      <c r="M685" s="245"/>
      <c r="N685" s="245"/>
      <c r="O685" s="245"/>
      <c r="P685" s="245"/>
      <c r="Q685" s="247"/>
      <c r="R685" s="247"/>
      <c r="S685" s="247"/>
      <c r="T685" s="245"/>
      <c r="U685" s="245"/>
      <c r="V685" s="241"/>
      <c r="W685" s="241"/>
      <c r="X685" s="241"/>
    </row>
    <row r="686" spans="1:24" ht="13.5" customHeight="1" x14ac:dyDescent="0.3">
      <c r="A686" s="245"/>
      <c r="B686" s="246"/>
      <c r="C686" s="245"/>
      <c r="D686" s="245"/>
      <c r="E686" s="245"/>
      <c r="F686" s="245"/>
      <c r="G686" s="245"/>
      <c r="H686" s="245"/>
      <c r="I686" s="245"/>
      <c r="J686" s="245"/>
      <c r="K686" s="245"/>
      <c r="L686" s="246"/>
      <c r="M686" s="245"/>
      <c r="N686" s="245"/>
      <c r="O686" s="245"/>
      <c r="P686" s="245"/>
      <c r="Q686" s="247"/>
      <c r="R686" s="247"/>
      <c r="S686" s="247"/>
      <c r="T686" s="245"/>
      <c r="U686" s="245"/>
      <c r="V686" s="241"/>
      <c r="W686" s="241"/>
      <c r="X686" s="241"/>
    </row>
    <row r="687" spans="1:24" ht="13.5" customHeight="1" x14ac:dyDescent="0.3">
      <c r="A687" s="245"/>
      <c r="B687" s="246"/>
      <c r="C687" s="245"/>
      <c r="D687" s="245"/>
      <c r="E687" s="245"/>
      <c r="F687" s="245"/>
      <c r="G687" s="245"/>
      <c r="H687" s="245"/>
      <c r="I687" s="245"/>
      <c r="J687" s="245"/>
      <c r="K687" s="245"/>
      <c r="L687" s="246"/>
      <c r="M687" s="245"/>
      <c r="N687" s="245"/>
      <c r="O687" s="245"/>
      <c r="P687" s="245"/>
      <c r="Q687" s="247"/>
      <c r="R687" s="247"/>
      <c r="S687" s="247"/>
      <c r="T687" s="245"/>
      <c r="U687" s="245"/>
      <c r="V687" s="241"/>
      <c r="W687" s="241"/>
      <c r="X687" s="241"/>
    </row>
    <row r="688" spans="1:24" ht="13.5" customHeight="1" x14ac:dyDescent="0.3">
      <c r="A688" s="245"/>
      <c r="B688" s="246"/>
      <c r="C688" s="245"/>
      <c r="D688" s="245"/>
      <c r="E688" s="245"/>
      <c r="F688" s="245"/>
      <c r="G688" s="245"/>
      <c r="H688" s="245"/>
      <c r="I688" s="245"/>
      <c r="J688" s="245"/>
      <c r="K688" s="245"/>
      <c r="L688" s="246"/>
      <c r="M688" s="245"/>
      <c r="N688" s="245"/>
      <c r="O688" s="245"/>
      <c r="P688" s="245"/>
      <c r="Q688" s="247"/>
      <c r="R688" s="247"/>
      <c r="S688" s="247"/>
      <c r="T688" s="245"/>
      <c r="U688" s="245"/>
      <c r="V688" s="241"/>
      <c r="W688" s="241"/>
      <c r="X688" s="241"/>
    </row>
    <row r="689" spans="1:24" ht="13.5" customHeight="1" x14ac:dyDescent="0.3">
      <c r="A689" s="245"/>
      <c r="B689" s="246"/>
      <c r="C689" s="245"/>
      <c r="D689" s="245"/>
      <c r="E689" s="245"/>
      <c r="F689" s="245"/>
      <c r="G689" s="245"/>
      <c r="H689" s="245"/>
      <c r="I689" s="245"/>
      <c r="J689" s="245"/>
      <c r="K689" s="245"/>
      <c r="L689" s="246"/>
      <c r="M689" s="245"/>
      <c r="N689" s="245"/>
      <c r="O689" s="245"/>
      <c r="P689" s="245"/>
      <c r="Q689" s="247"/>
      <c r="R689" s="247"/>
      <c r="S689" s="247"/>
      <c r="T689" s="245"/>
      <c r="U689" s="245"/>
      <c r="V689" s="241"/>
      <c r="W689" s="241"/>
      <c r="X689" s="241"/>
    </row>
    <row r="690" spans="1:24" ht="13.5" customHeight="1" x14ac:dyDescent="0.3">
      <c r="A690" s="245"/>
      <c r="B690" s="246"/>
      <c r="C690" s="245"/>
      <c r="D690" s="245"/>
      <c r="E690" s="245"/>
      <c r="F690" s="245"/>
      <c r="G690" s="245"/>
      <c r="H690" s="245"/>
      <c r="I690" s="245"/>
      <c r="J690" s="245"/>
      <c r="K690" s="245"/>
      <c r="L690" s="246"/>
      <c r="M690" s="245"/>
      <c r="N690" s="245"/>
      <c r="O690" s="245"/>
      <c r="P690" s="245"/>
      <c r="Q690" s="247"/>
      <c r="R690" s="247"/>
      <c r="S690" s="247"/>
      <c r="T690" s="245"/>
      <c r="U690" s="245"/>
      <c r="V690" s="241"/>
      <c r="W690" s="241"/>
      <c r="X690" s="241"/>
    </row>
    <row r="691" spans="1:24" ht="13.5" customHeight="1" x14ac:dyDescent="0.3">
      <c r="A691" s="245"/>
      <c r="B691" s="246"/>
      <c r="C691" s="245"/>
      <c r="D691" s="245"/>
      <c r="E691" s="245"/>
      <c r="F691" s="245"/>
      <c r="G691" s="245"/>
      <c r="H691" s="245"/>
      <c r="I691" s="245"/>
      <c r="J691" s="245"/>
      <c r="K691" s="245"/>
      <c r="L691" s="246"/>
      <c r="M691" s="245"/>
      <c r="N691" s="245"/>
      <c r="O691" s="245"/>
      <c r="P691" s="245"/>
      <c r="Q691" s="247"/>
      <c r="R691" s="247"/>
      <c r="S691" s="247"/>
      <c r="T691" s="245"/>
      <c r="U691" s="245"/>
      <c r="V691" s="241"/>
      <c r="W691" s="241"/>
      <c r="X691" s="241"/>
    </row>
    <row r="692" spans="1:24" ht="13.5" customHeight="1" x14ac:dyDescent="0.3">
      <c r="A692" s="245"/>
      <c r="B692" s="246"/>
      <c r="C692" s="245"/>
      <c r="D692" s="245"/>
      <c r="E692" s="245"/>
      <c r="F692" s="245"/>
      <c r="G692" s="245"/>
      <c r="H692" s="245"/>
      <c r="I692" s="245"/>
      <c r="J692" s="245"/>
      <c r="K692" s="245"/>
      <c r="L692" s="246"/>
      <c r="M692" s="245"/>
      <c r="N692" s="245"/>
      <c r="O692" s="245"/>
      <c r="P692" s="245"/>
      <c r="Q692" s="247"/>
      <c r="R692" s="247"/>
      <c r="S692" s="247"/>
      <c r="T692" s="245"/>
      <c r="U692" s="245"/>
      <c r="V692" s="241"/>
      <c r="W692" s="241"/>
      <c r="X692" s="241"/>
    </row>
    <row r="693" spans="1:24" ht="13.5" customHeight="1" x14ac:dyDescent="0.3">
      <c r="A693" s="245"/>
      <c r="B693" s="246"/>
      <c r="C693" s="245"/>
      <c r="D693" s="245"/>
      <c r="E693" s="245"/>
      <c r="F693" s="245"/>
      <c r="G693" s="245"/>
      <c r="H693" s="245"/>
      <c r="I693" s="245"/>
      <c r="J693" s="245"/>
      <c r="K693" s="245"/>
      <c r="L693" s="246"/>
      <c r="M693" s="245"/>
      <c r="N693" s="245"/>
      <c r="O693" s="245"/>
      <c r="P693" s="245"/>
      <c r="Q693" s="247"/>
      <c r="R693" s="247"/>
      <c r="S693" s="247"/>
      <c r="T693" s="245"/>
      <c r="U693" s="245"/>
      <c r="V693" s="241"/>
      <c r="W693" s="241"/>
      <c r="X693" s="241"/>
    </row>
    <row r="694" spans="1:24" ht="13.5" customHeight="1" x14ac:dyDescent="0.3">
      <c r="A694" s="245"/>
      <c r="B694" s="246"/>
      <c r="C694" s="245"/>
      <c r="D694" s="245"/>
      <c r="E694" s="245"/>
      <c r="F694" s="245"/>
      <c r="G694" s="245"/>
      <c r="H694" s="245"/>
      <c r="I694" s="245"/>
      <c r="J694" s="245"/>
      <c r="K694" s="245"/>
      <c r="L694" s="246"/>
      <c r="M694" s="245"/>
      <c r="N694" s="245"/>
      <c r="O694" s="245"/>
      <c r="P694" s="245"/>
      <c r="Q694" s="247"/>
      <c r="R694" s="247"/>
      <c r="S694" s="247"/>
      <c r="T694" s="245"/>
      <c r="U694" s="245"/>
      <c r="V694" s="241"/>
      <c r="W694" s="241"/>
      <c r="X694" s="241"/>
    </row>
    <row r="695" spans="1:24" ht="13.5" customHeight="1" x14ac:dyDescent="0.3">
      <c r="A695" s="245"/>
      <c r="B695" s="246"/>
      <c r="C695" s="245"/>
      <c r="D695" s="245"/>
      <c r="E695" s="245"/>
      <c r="F695" s="245"/>
      <c r="G695" s="245"/>
      <c r="H695" s="245"/>
      <c r="I695" s="245"/>
      <c r="J695" s="245"/>
      <c r="K695" s="245"/>
      <c r="L695" s="246"/>
      <c r="M695" s="245"/>
      <c r="N695" s="245"/>
      <c r="O695" s="245"/>
      <c r="P695" s="245"/>
      <c r="Q695" s="247"/>
      <c r="R695" s="247"/>
      <c r="S695" s="247"/>
      <c r="T695" s="245"/>
      <c r="U695" s="245"/>
      <c r="V695" s="241"/>
      <c r="W695" s="241"/>
      <c r="X695" s="241"/>
    </row>
    <row r="696" spans="1:24" ht="13.5" customHeight="1" x14ac:dyDescent="0.3">
      <c r="A696" s="245"/>
      <c r="B696" s="246"/>
      <c r="C696" s="245"/>
      <c r="D696" s="245"/>
      <c r="E696" s="245"/>
      <c r="F696" s="245"/>
      <c r="G696" s="245"/>
      <c r="H696" s="245"/>
      <c r="I696" s="245"/>
      <c r="J696" s="245"/>
      <c r="K696" s="245"/>
      <c r="L696" s="246"/>
      <c r="M696" s="245"/>
      <c r="N696" s="245"/>
      <c r="O696" s="245"/>
      <c r="P696" s="245"/>
      <c r="Q696" s="247"/>
      <c r="R696" s="247"/>
      <c r="S696" s="247"/>
      <c r="T696" s="245"/>
      <c r="U696" s="245"/>
      <c r="V696" s="241"/>
      <c r="W696" s="241"/>
      <c r="X696" s="241"/>
    </row>
    <row r="697" spans="1:24" ht="13.5" customHeight="1" x14ac:dyDescent="0.3">
      <c r="A697" s="245"/>
      <c r="B697" s="246"/>
      <c r="C697" s="245"/>
      <c r="D697" s="245"/>
      <c r="E697" s="245"/>
      <c r="F697" s="245"/>
      <c r="G697" s="245"/>
      <c r="H697" s="245"/>
      <c r="I697" s="245"/>
      <c r="J697" s="245"/>
      <c r="K697" s="245"/>
      <c r="L697" s="246"/>
      <c r="M697" s="245"/>
      <c r="N697" s="245"/>
      <c r="O697" s="245"/>
      <c r="P697" s="245"/>
      <c r="Q697" s="247"/>
      <c r="R697" s="247"/>
      <c r="S697" s="247"/>
      <c r="T697" s="245"/>
      <c r="U697" s="245"/>
      <c r="V697" s="241"/>
      <c r="W697" s="241"/>
      <c r="X697" s="241"/>
    </row>
    <row r="698" spans="1:24" ht="13.5" customHeight="1" x14ac:dyDescent="0.3">
      <c r="A698" s="245"/>
      <c r="B698" s="246"/>
      <c r="C698" s="245"/>
      <c r="D698" s="245"/>
      <c r="E698" s="245"/>
      <c r="F698" s="245"/>
      <c r="G698" s="245"/>
      <c r="H698" s="245"/>
      <c r="I698" s="245"/>
      <c r="J698" s="245"/>
      <c r="K698" s="245"/>
      <c r="L698" s="246"/>
      <c r="M698" s="245"/>
      <c r="N698" s="245"/>
      <c r="O698" s="245"/>
      <c r="P698" s="245"/>
      <c r="Q698" s="247"/>
      <c r="R698" s="247"/>
      <c r="S698" s="247"/>
      <c r="T698" s="245"/>
      <c r="U698" s="245"/>
      <c r="V698" s="241"/>
      <c r="W698" s="241"/>
      <c r="X698" s="241"/>
    </row>
    <row r="699" spans="1:24" ht="13.5" customHeight="1" x14ac:dyDescent="0.3">
      <c r="A699" s="245"/>
      <c r="B699" s="246"/>
      <c r="C699" s="245"/>
      <c r="D699" s="245"/>
      <c r="E699" s="245"/>
      <c r="F699" s="245"/>
      <c r="G699" s="245"/>
      <c r="H699" s="245"/>
      <c r="I699" s="245"/>
      <c r="J699" s="245"/>
      <c r="K699" s="245"/>
      <c r="L699" s="246"/>
      <c r="M699" s="245"/>
      <c r="N699" s="245"/>
      <c r="O699" s="245"/>
      <c r="P699" s="245"/>
      <c r="Q699" s="247"/>
      <c r="R699" s="247"/>
      <c r="S699" s="247"/>
      <c r="T699" s="245"/>
      <c r="U699" s="245"/>
      <c r="V699" s="241"/>
      <c r="W699" s="241"/>
      <c r="X699" s="241"/>
    </row>
    <row r="700" spans="1:24" ht="13.5" customHeight="1" x14ac:dyDescent="0.3">
      <c r="A700" s="245"/>
      <c r="B700" s="246"/>
      <c r="C700" s="245"/>
      <c r="D700" s="245"/>
      <c r="E700" s="245"/>
      <c r="F700" s="245"/>
      <c r="G700" s="245"/>
      <c r="H700" s="245"/>
      <c r="I700" s="245"/>
      <c r="J700" s="245"/>
      <c r="K700" s="245"/>
      <c r="L700" s="246"/>
      <c r="M700" s="245"/>
      <c r="N700" s="245"/>
      <c r="O700" s="245"/>
      <c r="P700" s="245"/>
      <c r="Q700" s="247"/>
      <c r="R700" s="247"/>
      <c r="S700" s="247"/>
      <c r="T700" s="245"/>
      <c r="U700" s="245"/>
      <c r="V700" s="241"/>
      <c r="W700" s="241"/>
      <c r="X700" s="241"/>
    </row>
    <row r="701" spans="1:24" ht="13.5" customHeight="1" x14ac:dyDescent="0.3">
      <c r="A701" s="245"/>
      <c r="B701" s="246"/>
      <c r="C701" s="245"/>
      <c r="D701" s="245"/>
      <c r="E701" s="245"/>
      <c r="F701" s="245"/>
      <c r="G701" s="245"/>
      <c r="H701" s="245"/>
      <c r="I701" s="245"/>
      <c r="J701" s="245"/>
      <c r="K701" s="245"/>
      <c r="L701" s="246"/>
      <c r="M701" s="245"/>
      <c r="N701" s="245"/>
      <c r="O701" s="245"/>
      <c r="P701" s="245"/>
      <c r="Q701" s="247"/>
      <c r="R701" s="247"/>
      <c r="S701" s="247"/>
      <c r="T701" s="245"/>
      <c r="U701" s="245"/>
      <c r="V701" s="241"/>
      <c r="W701" s="241"/>
      <c r="X701" s="241"/>
    </row>
    <row r="702" spans="1:24" ht="13.5" customHeight="1" x14ac:dyDescent="0.3">
      <c r="A702" s="245"/>
      <c r="B702" s="246"/>
      <c r="C702" s="245"/>
      <c r="D702" s="245"/>
      <c r="E702" s="245"/>
      <c r="F702" s="245"/>
      <c r="G702" s="245"/>
      <c r="H702" s="245"/>
      <c r="I702" s="245"/>
      <c r="J702" s="245"/>
      <c r="K702" s="245"/>
      <c r="L702" s="246"/>
      <c r="M702" s="245"/>
      <c r="N702" s="245"/>
      <c r="O702" s="245"/>
      <c r="P702" s="245"/>
      <c r="Q702" s="247"/>
      <c r="R702" s="247"/>
      <c r="S702" s="247"/>
      <c r="T702" s="245"/>
      <c r="U702" s="245"/>
      <c r="V702" s="241"/>
      <c r="W702" s="241"/>
      <c r="X702" s="241"/>
    </row>
    <row r="703" spans="1:24" ht="13.5" customHeight="1" x14ac:dyDescent="0.3">
      <c r="A703" s="245"/>
      <c r="B703" s="246"/>
      <c r="C703" s="245"/>
      <c r="D703" s="245"/>
      <c r="E703" s="245"/>
      <c r="F703" s="245"/>
      <c r="G703" s="245"/>
      <c r="H703" s="245"/>
      <c r="I703" s="245"/>
      <c r="J703" s="245"/>
      <c r="K703" s="245"/>
      <c r="L703" s="246"/>
      <c r="M703" s="245"/>
      <c r="N703" s="245"/>
      <c r="O703" s="245"/>
      <c r="P703" s="245"/>
      <c r="Q703" s="247"/>
      <c r="R703" s="247"/>
      <c r="S703" s="247"/>
      <c r="T703" s="245"/>
      <c r="U703" s="245"/>
      <c r="V703" s="241"/>
      <c r="W703" s="241"/>
      <c r="X703" s="241"/>
    </row>
    <row r="704" spans="1:24" ht="13.5" customHeight="1" x14ac:dyDescent="0.3">
      <c r="A704" s="245"/>
      <c r="B704" s="246"/>
      <c r="C704" s="245"/>
      <c r="D704" s="245"/>
      <c r="E704" s="245"/>
      <c r="F704" s="245"/>
      <c r="G704" s="245"/>
      <c r="H704" s="245"/>
      <c r="I704" s="245"/>
      <c r="J704" s="245"/>
      <c r="K704" s="245"/>
      <c r="L704" s="246"/>
      <c r="M704" s="245"/>
      <c r="N704" s="245"/>
      <c r="O704" s="245"/>
      <c r="P704" s="245"/>
      <c r="Q704" s="247"/>
      <c r="R704" s="247"/>
      <c r="S704" s="247"/>
      <c r="T704" s="245"/>
      <c r="U704" s="245"/>
      <c r="V704" s="241"/>
      <c r="W704" s="241"/>
      <c r="X704" s="241"/>
    </row>
    <row r="705" spans="1:24" ht="13.5" customHeight="1" x14ac:dyDescent="0.3">
      <c r="A705" s="245"/>
      <c r="B705" s="246"/>
      <c r="C705" s="245"/>
      <c r="D705" s="245"/>
      <c r="E705" s="245"/>
      <c r="F705" s="245"/>
      <c r="G705" s="245"/>
      <c r="H705" s="245"/>
      <c r="I705" s="245"/>
      <c r="J705" s="245"/>
      <c r="K705" s="245"/>
      <c r="L705" s="246"/>
      <c r="M705" s="245"/>
      <c r="N705" s="245"/>
      <c r="O705" s="245"/>
      <c r="P705" s="245"/>
      <c r="Q705" s="247"/>
      <c r="R705" s="247"/>
      <c r="S705" s="247"/>
      <c r="T705" s="245"/>
      <c r="U705" s="245"/>
      <c r="V705" s="241"/>
      <c r="W705" s="241"/>
      <c r="X705" s="241"/>
    </row>
    <row r="706" spans="1:24" ht="13.5" customHeight="1" x14ac:dyDescent="0.3">
      <c r="A706" s="245"/>
      <c r="B706" s="246"/>
      <c r="C706" s="245"/>
      <c r="D706" s="245"/>
      <c r="E706" s="245"/>
      <c r="F706" s="245"/>
      <c r="G706" s="245"/>
      <c r="H706" s="245"/>
      <c r="I706" s="245"/>
      <c r="J706" s="245"/>
      <c r="K706" s="245"/>
      <c r="L706" s="246"/>
      <c r="M706" s="245"/>
      <c r="N706" s="245"/>
      <c r="O706" s="245"/>
      <c r="P706" s="245"/>
      <c r="Q706" s="247"/>
      <c r="R706" s="247"/>
      <c r="S706" s="247"/>
      <c r="T706" s="245"/>
      <c r="U706" s="245"/>
      <c r="V706" s="241"/>
      <c r="W706" s="241"/>
      <c r="X706" s="241"/>
    </row>
    <row r="707" spans="1:24" ht="13.5" customHeight="1" x14ac:dyDescent="0.3">
      <c r="A707" s="245"/>
      <c r="B707" s="246"/>
      <c r="C707" s="245"/>
      <c r="D707" s="245"/>
      <c r="E707" s="245"/>
      <c r="F707" s="245"/>
      <c r="G707" s="245"/>
      <c r="H707" s="245"/>
      <c r="I707" s="245"/>
      <c r="J707" s="245"/>
      <c r="K707" s="245"/>
      <c r="L707" s="246"/>
      <c r="M707" s="245"/>
      <c r="N707" s="245"/>
      <c r="O707" s="245"/>
      <c r="P707" s="245"/>
      <c r="Q707" s="247"/>
      <c r="R707" s="247"/>
      <c r="S707" s="247"/>
      <c r="T707" s="245"/>
      <c r="U707" s="245"/>
      <c r="V707" s="241"/>
      <c r="W707" s="241"/>
      <c r="X707" s="241"/>
    </row>
    <row r="708" spans="1:24" ht="13.5" customHeight="1" x14ac:dyDescent="0.3">
      <c r="A708" s="245"/>
      <c r="B708" s="246"/>
      <c r="C708" s="245"/>
      <c r="D708" s="245"/>
      <c r="E708" s="245"/>
      <c r="F708" s="245"/>
      <c r="G708" s="245"/>
      <c r="H708" s="245"/>
      <c r="I708" s="245"/>
      <c r="J708" s="245"/>
      <c r="K708" s="245"/>
      <c r="L708" s="246"/>
      <c r="M708" s="245"/>
      <c r="N708" s="245"/>
      <c r="O708" s="245"/>
      <c r="P708" s="245"/>
      <c r="Q708" s="247"/>
      <c r="R708" s="247"/>
      <c r="S708" s="247"/>
      <c r="T708" s="245"/>
      <c r="U708" s="245"/>
      <c r="V708" s="241"/>
      <c r="W708" s="241"/>
      <c r="X708" s="241"/>
    </row>
    <row r="709" spans="1:24" ht="13.5" customHeight="1" x14ac:dyDescent="0.3">
      <c r="A709" s="245"/>
      <c r="B709" s="246"/>
      <c r="C709" s="245"/>
      <c r="D709" s="245"/>
      <c r="E709" s="245"/>
      <c r="F709" s="245"/>
      <c r="G709" s="245"/>
      <c r="H709" s="245"/>
      <c r="I709" s="245"/>
      <c r="J709" s="245"/>
      <c r="K709" s="245"/>
      <c r="L709" s="246"/>
      <c r="M709" s="245"/>
      <c r="N709" s="245"/>
      <c r="O709" s="245"/>
      <c r="P709" s="245"/>
      <c r="Q709" s="247"/>
      <c r="R709" s="247"/>
      <c r="S709" s="247"/>
      <c r="T709" s="245"/>
      <c r="U709" s="245"/>
      <c r="V709" s="241"/>
      <c r="W709" s="241"/>
      <c r="X709" s="241"/>
    </row>
    <row r="710" spans="1:24" ht="13.5" customHeight="1" x14ac:dyDescent="0.3">
      <c r="A710" s="245"/>
      <c r="B710" s="246"/>
      <c r="C710" s="245"/>
      <c r="D710" s="245"/>
      <c r="E710" s="245"/>
      <c r="F710" s="245"/>
      <c r="G710" s="245"/>
      <c r="H710" s="245"/>
      <c r="I710" s="245"/>
      <c r="J710" s="245"/>
      <c r="K710" s="245"/>
      <c r="L710" s="246"/>
      <c r="M710" s="245"/>
      <c r="N710" s="245"/>
      <c r="O710" s="245"/>
      <c r="P710" s="245"/>
      <c r="Q710" s="247"/>
      <c r="R710" s="247"/>
      <c r="S710" s="247"/>
      <c r="T710" s="245"/>
      <c r="U710" s="245"/>
      <c r="V710" s="241"/>
      <c r="W710" s="241"/>
      <c r="X710" s="241"/>
    </row>
    <row r="711" spans="1:24" ht="13.5" customHeight="1" x14ac:dyDescent="0.3">
      <c r="A711" s="245"/>
      <c r="B711" s="246"/>
      <c r="C711" s="245"/>
      <c r="D711" s="245"/>
      <c r="E711" s="245"/>
      <c r="F711" s="245"/>
      <c r="G711" s="245"/>
      <c r="H711" s="245"/>
      <c r="I711" s="245"/>
      <c r="J711" s="245"/>
      <c r="K711" s="245"/>
      <c r="L711" s="246"/>
      <c r="M711" s="245"/>
      <c r="N711" s="245"/>
      <c r="O711" s="245"/>
      <c r="P711" s="245"/>
      <c r="Q711" s="247"/>
      <c r="R711" s="247"/>
      <c r="S711" s="247"/>
      <c r="T711" s="245"/>
      <c r="U711" s="245"/>
      <c r="V711" s="241"/>
      <c r="W711" s="241"/>
      <c r="X711" s="241"/>
    </row>
    <row r="712" spans="1:24" ht="13.5" customHeight="1" x14ac:dyDescent="0.3">
      <c r="A712" s="245"/>
      <c r="B712" s="246"/>
      <c r="C712" s="245"/>
      <c r="D712" s="245"/>
      <c r="E712" s="245"/>
      <c r="F712" s="245"/>
      <c r="G712" s="245"/>
      <c r="H712" s="245"/>
      <c r="I712" s="245"/>
      <c r="J712" s="245"/>
      <c r="K712" s="245"/>
      <c r="L712" s="246"/>
      <c r="M712" s="245"/>
      <c r="N712" s="245"/>
      <c r="O712" s="245"/>
      <c r="P712" s="245"/>
      <c r="Q712" s="247"/>
      <c r="R712" s="247"/>
      <c r="S712" s="247"/>
      <c r="T712" s="245"/>
      <c r="U712" s="245"/>
      <c r="V712" s="241"/>
      <c r="W712" s="241"/>
      <c r="X712" s="241"/>
    </row>
    <row r="713" spans="1:24" ht="13.5" customHeight="1" x14ac:dyDescent="0.3">
      <c r="A713" s="245"/>
      <c r="B713" s="246"/>
      <c r="C713" s="245"/>
      <c r="D713" s="245"/>
      <c r="E713" s="245"/>
      <c r="F713" s="245"/>
      <c r="G713" s="245"/>
      <c r="H713" s="245"/>
      <c r="I713" s="245"/>
      <c r="J713" s="245"/>
      <c r="K713" s="245"/>
      <c r="L713" s="246"/>
      <c r="M713" s="245"/>
      <c r="N713" s="245"/>
      <c r="O713" s="245"/>
      <c r="P713" s="245"/>
      <c r="Q713" s="247"/>
      <c r="R713" s="247"/>
      <c r="S713" s="247"/>
      <c r="T713" s="245"/>
      <c r="U713" s="245"/>
      <c r="V713" s="241"/>
      <c r="W713" s="241"/>
      <c r="X713" s="241"/>
    </row>
    <row r="714" spans="1:24" ht="13.5" customHeight="1" x14ac:dyDescent="0.3">
      <c r="A714" s="245"/>
      <c r="B714" s="246"/>
      <c r="C714" s="245"/>
      <c r="D714" s="245"/>
      <c r="E714" s="245"/>
      <c r="F714" s="245"/>
      <c r="G714" s="245"/>
      <c r="H714" s="245"/>
      <c r="I714" s="245"/>
      <c r="J714" s="245"/>
      <c r="K714" s="245"/>
      <c r="L714" s="246"/>
      <c r="M714" s="245"/>
      <c r="N714" s="245"/>
      <c r="O714" s="245"/>
      <c r="P714" s="245"/>
      <c r="Q714" s="247"/>
      <c r="R714" s="247"/>
      <c r="S714" s="247"/>
      <c r="T714" s="245"/>
      <c r="U714" s="245"/>
      <c r="V714" s="241"/>
      <c r="W714" s="241"/>
      <c r="X714" s="241"/>
    </row>
    <row r="715" spans="1:24" ht="13.5" customHeight="1" x14ac:dyDescent="0.3">
      <c r="A715" s="245"/>
      <c r="B715" s="246"/>
      <c r="C715" s="245"/>
      <c r="D715" s="245"/>
      <c r="E715" s="245"/>
      <c r="F715" s="245"/>
      <c r="G715" s="245"/>
      <c r="H715" s="245"/>
      <c r="I715" s="245"/>
      <c r="J715" s="245"/>
      <c r="K715" s="245"/>
      <c r="L715" s="246"/>
      <c r="M715" s="245"/>
      <c r="N715" s="245"/>
      <c r="O715" s="245"/>
      <c r="P715" s="245"/>
      <c r="Q715" s="247"/>
      <c r="R715" s="247"/>
      <c r="S715" s="247"/>
      <c r="T715" s="245"/>
      <c r="U715" s="245"/>
      <c r="V715" s="241"/>
      <c r="W715" s="241"/>
      <c r="X715" s="241"/>
    </row>
    <row r="716" spans="1:24" ht="13.5" customHeight="1" x14ac:dyDescent="0.3">
      <c r="A716" s="245"/>
      <c r="B716" s="246"/>
      <c r="C716" s="245"/>
      <c r="D716" s="245"/>
      <c r="E716" s="245"/>
      <c r="F716" s="245"/>
      <c r="G716" s="245"/>
      <c r="H716" s="245"/>
      <c r="I716" s="245"/>
      <c r="J716" s="245"/>
      <c r="K716" s="245"/>
      <c r="L716" s="246"/>
      <c r="M716" s="245"/>
      <c r="N716" s="245"/>
      <c r="O716" s="245"/>
      <c r="P716" s="245"/>
      <c r="Q716" s="247"/>
      <c r="R716" s="247"/>
      <c r="S716" s="247"/>
      <c r="T716" s="245"/>
      <c r="U716" s="245"/>
      <c r="V716" s="241"/>
      <c r="W716" s="241"/>
      <c r="X716" s="241"/>
    </row>
    <row r="717" spans="1:24" ht="13.5" customHeight="1" x14ac:dyDescent="0.3">
      <c r="A717" s="245"/>
      <c r="B717" s="246"/>
      <c r="C717" s="245"/>
      <c r="D717" s="245"/>
      <c r="E717" s="245"/>
      <c r="F717" s="245"/>
      <c r="G717" s="245"/>
      <c r="H717" s="245"/>
      <c r="I717" s="245"/>
      <c r="J717" s="245"/>
      <c r="K717" s="245"/>
      <c r="L717" s="246"/>
      <c r="M717" s="245"/>
      <c r="N717" s="245"/>
      <c r="O717" s="245"/>
      <c r="P717" s="245"/>
      <c r="Q717" s="247"/>
      <c r="R717" s="247"/>
      <c r="S717" s="247"/>
      <c r="T717" s="245"/>
      <c r="U717" s="245"/>
      <c r="V717" s="241"/>
      <c r="W717" s="241"/>
      <c r="X717" s="241"/>
    </row>
    <row r="718" spans="1:24" ht="13.5" customHeight="1" x14ac:dyDescent="0.3">
      <c r="A718" s="245"/>
      <c r="B718" s="246"/>
      <c r="C718" s="245"/>
      <c r="D718" s="245"/>
      <c r="E718" s="245"/>
      <c r="F718" s="245"/>
      <c r="G718" s="245"/>
      <c r="H718" s="245"/>
      <c r="I718" s="245"/>
      <c r="J718" s="245"/>
      <c r="K718" s="245"/>
      <c r="L718" s="246"/>
      <c r="M718" s="245"/>
      <c r="N718" s="245"/>
      <c r="O718" s="245"/>
      <c r="P718" s="245"/>
      <c r="Q718" s="247"/>
      <c r="R718" s="247"/>
      <c r="S718" s="247"/>
      <c r="T718" s="245"/>
      <c r="U718" s="245"/>
      <c r="V718" s="241"/>
      <c r="W718" s="241"/>
      <c r="X718" s="241"/>
    </row>
    <row r="719" spans="1:24" ht="13.5" customHeight="1" x14ac:dyDescent="0.3">
      <c r="A719" s="245"/>
      <c r="B719" s="246"/>
      <c r="C719" s="245"/>
      <c r="D719" s="245"/>
      <c r="E719" s="245"/>
      <c r="F719" s="245"/>
      <c r="G719" s="245"/>
      <c r="H719" s="245"/>
      <c r="I719" s="245"/>
      <c r="J719" s="245"/>
      <c r="K719" s="245"/>
      <c r="L719" s="246"/>
      <c r="M719" s="245"/>
      <c r="N719" s="245"/>
      <c r="O719" s="245"/>
      <c r="P719" s="245"/>
      <c r="Q719" s="247"/>
      <c r="R719" s="247"/>
      <c r="S719" s="247"/>
      <c r="T719" s="245"/>
      <c r="U719" s="245"/>
      <c r="V719" s="241"/>
      <c r="W719" s="241"/>
      <c r="X719" s="241"/>
    </row>
    <row r="720" spans="1:24" ht="13.5" customHeight="1" x14ac:dyDescent="0.3">
      <c r="A720" s="245"/>
      <c r="B720" s="246"/>
      <c r="C720" s="245"/>
      <c r="D720" s="245"/>
      <c r="E720" s="245"/>
      <c r="F720" s="245"/>
      <c r="G720" s="245"/>
      <c r="H720" s="245"/>
      <c r="I720" s="245"/>
      <c r="J720" s="245"/>
      <c r="K720" s="245"/>
      <c r="L720" s="246"/>
      <c r="M720" s="245"/>
      <c r="N720" s="245"/>
      <c r="O720" s="245"/>
      <c r="P720" s="245"/>
      <c r="Q720" s="247"/>
      <c r="R720" s="247"/>
      <c r="S720" s="247"/>
      <c r="T720" s="245"/>
      <c r="U720" s="245"/>
      <c r="V720" s="241"/>
      <c r="W720" s="241"/>
      <c r="X720" s="241"/>
    </row>
    <row r="721" spans="1:24" ht="13.5" customHeight="1" x14ac:dyDescent="0.3">
      <c r="A721" s="245"/>
      <c r="B721" s="246"/>
      <c r="C721" s="245"/>
      <c r="D721" s="245"/>
      <c r="E721" s="245"/>
      <c r="F721" s="245"/>
      <c r="G721" s="245"/>
      <c r="H721" s="245"/>
      <c r="I721" s="245"/>
      <c r="J721" s="245"/>
      <c r="K721" s="245"/>
      <c r="L721" s="246"/>
      <c r="M721" s="245"/>
      <c r="N721" s="245"/>
      <c r="O721" s="245"/>
      <c r="P721" s="245"/>
      <c r="Q721" s="247"/>
      <c r="R721" s="247"/>
      <c r="S721" s="247"/>
      <c r="T721" s="245"/>
      <c r="U721" s="245"/>
      <c r="V721" s="241"/>
      <c r="W721" s="241"/>
      <c r="X721" s="241"/>
    </row>
    <row r="722" spans="1:24" ht="13.5" customHeight="1" x14ac:dyDescent="0.3">
      <c r="A722" s="245"/>
      <c r="B722" s="246"/>
      <c r="C722" s="245"/>
      <c r="D722" s="245"/>
      <c r="E722" s="245"/>
      <c r="F722" s="245"/>
      <c r="G722" s="245"/>
      <c r="H722" s="245"/>
      <c r="I722" s="245"/>
      <c r="J722" s="245"/>
      <c r="K722" s="245"/>
      <c r="L722" s="246"/>
      <c r="M722" s="245"/>
      <c r="N722" s="245"/>
      <c r="O722" s="245"/>
      <c r="P722" s="245"/>
      <c r="Q722" s="247"/>
      <c r="R722" s="247"/>
      <c r="S722" s="247"/>
      <c r="T722" s="245"/>
      <c r="U722" s="245"/>
      <c r="V722" s="241"/>
      <c r="W722" s="241"/>
      <c r="X722" s="241"/>
    </row>
    <row r="723" spans="1:24" ht="13.5" customHeight="1" x14ac:dyDescent="0.3">
      <c r="A723" s="245"/>
      <c r="B723" s="246"/>
      <c r="C723" s="245"/>
      <c r="D723" s="245"/>
      <c r="E723" s="245"/>
      <c r="F723" s="245"/>
      <c r="G723" s="245"/>
      <c r="H723" s="245"/>
      <c r="I723" s="245"/>
      <c r="J723" s="245"/>
      <c r="K723" s="245"/>
      <c r="L723" s="246"/>
      <c r="M723" s="245"/>
      <c r="N723" s="245"/>
      <c r="O723" s="245"/>
      <c r="P723" s="245"/>
      <c r="Q723" s="247"/>
      <c r="R723" s="247"/>
      <c r="S723" s="247"/>
      <c r="T723" s="245"/>
      <c r="U723" s="245"/>
      <c r="V723" s="241"/>
      <c r="W723" s="241"/>
      <c r="X723" s="241"/>
    </row>
    <row r="724" spans="1:24" ht="13.5" customHeight="1" x14ac:dyDescent="0.3">
      <c r="A724" s="245"/>
      <c r="B724" s="246"/>
      <c r="C724" s="245"/>
      <c r="D724" s="245"/>
      <c r="E724" s="245"/>
      <c r="F724" s="245"/>
      <c r="G724" s="245"/>
      <c r="H724" s="245"/>
      <c r="I724" s="245"/>
      <c r="J724" s="245"/>
      <c r="K724" s="245"/>
      <c r="L724" s="246"/>
      <c r="M724" s="245"/>
      <c r="N724" s="245"/>
      <c r="O724" s="245"/>
      <c r="P724" s="245"/>
      <c r="Q724" s="247"/>
      <c r="R724" s="247"/>
      <c r="S724" s="247"/>
      <c r="T724" s="245"/>
      <c r="U724" s="245"/>
      <c r="V724" s="241"/>
      <c r="W724" s="241"/>
      <c r="X724" s="241"/>
    </row>
    <row r="725" spans="1:24" ht="13.5" customHeight="1" x14ac:dyDescent="0.3">
      <c r="A725" s="245"/>
      <c r="B725" s="246"/>
      <c r="C725" s="245"/>
      <c r="D725" s="245"/>
      <c r="E725" s="245"/>
      <c r="F725" s="245"/>
      <c r="G725" s="245"/>
      <c r="H725" s="245"/>
      <c r="I725" s="245"/>
      <c r="J725" s="245"/>
      <c r="K725" s="245"/>
      <c r="L725" s="246"/>
      <c r="M725" s="245"/>
      <c r="N725" s="245"/>
      <c r="O725" s="245"/>
      <c r="P725" s="245"/>
      <c r="Q725" s="247"/>
      <c r="R725" s="247"/>
      <c r="S725" s="247"/>
      <c r="T725" s="245"/>
      <c r="U725" s="245"/>
      <c r="V725" s="241"/>
      <c r="W725" s="241"/>
      <c r="X725" s="241"/>
    </row>
    <row r="726" spans="1:24" ht="13.5" customHeight="1" x14ac:dyDescent="0.3">
      <c r="A726" s="245"/>
      <c r="B726" s="246"/>
      <c r="C726" s="245"/>
      <c r="D726" s="245"/>
      <c r="E726" s="245"/>
      <c r="F726" s="245"/>
      <c r="G726" s="245"/>
      <c r="H726" s="245"/>
      <c r="I726" s="245"/>
      <c r="J726" s="245"/>
      <c r="K726" s="245"/>
      <c r="L726" s="246"/>
      <c r="M726" s="245"/>
      <c r="N726" s="245"/>
      <c r="O726" s="245"/>
      <c r="P726" s="245"/>
      <c r="Q726" s="247"/>
      <c r="R726" s="247"/>
      <c r="S726" s="247"/>
      <c r="T726" s="245"/>
      <c r="U726" s="245"/>
      <c r="V726" s="241"/>
      <c r="W726" s="241"/>
      <c r="X726" s="241"/>
    </row>
    <row r="727" spans="1:24" ht="13.5" customHeight="1" x14ac:dyDescent="0.3">
      <c r="A727" s="245"/>
      <c r="B727" s="246"/>
      <c r="C727" s="245"/>
      <c r="D727" s="245"/>
      <c r="E727" s="245"/>
      <c r="F727" s="245"/>
      <c r="G727" s="245"/>
      <c r="H727" s="245"/>
      <c r="I727" s="245"/>
      <c r="J727" s="245"/>
      <c r="K727" s="245"/>
      <c r="L727" s="246"/>
      <c r="M727" s="245"/>
      <c r="N727" s="245"/>
      <c r="O727" s="245"/>
      <c r="P727" s="245"/>
      <c r="Q727" s="247"/>
      <c r="R727" s="247"/>
      <c r="S727" s="247"/>
      <c r="T727" s="245"/>
      <c r="U727" s="245"/>
      <c r="V727" s="241"/>
      <c r="W727" s="241"/>
      <c r="X727" s="241"/>
    </row>
    <row r="728" spans="1:24" ht="13.5" customHeight="1" x14ac:dyDescent="0.3">
      <c r="A728" s="245"/>
      <c r="B728" s="246"/>
      <c r="C728" s="245"/>
      <c r="D728" s="245"/>
      <c r="E728" s="245"/>
      <c r="F728" s="245"/>
      <c r="G728" s="245"/>
      <c r="H728" s="245"/>
      <c r="I728" s="245"/>
      <c r="J728" s="245"/>
      <c r="K728" s="245"/>
      <c r="L728" s="246"/>
      <c r="M728" s="245"/>
      <c r="N728" s="245"/>
      <c r="O728" s="245"/>
      <c r="P728" s="245"/>
      <c r="Q728" s="247"/>
      <c r="R728" s="247"/>
      <c r="S728" s="247"/>
      <c r="T728" s="245"/>
      <c r="U728" s="245"/>
      <c r="V728" s="241"/>
      <c r="W728" s="241"/>
      <c r="X728" s="241"/>
    </row>
    <row r="729" spans="1:24" ht="13.5" customHeight="1" x14ac:dyDescent="0.3">
      <c r="A729" s="245"/>
      <c r="B729" s="246"/>
      <c r="C729" s="245"/>
      <c r="D729" s="245"/>
      <c r="E729" s="245"/>
      <c r="F729" s="245"/>
      <c r="G729" s="245"/>
      <c r="H729" s="245"/>
      <c r="I729" s="245"/>
      <c r="J729" s="245"/>
      <c r="K729" s="245"/>
      <c r="L729" s="246"/>
      <c r="M729" s="245"/>
      <c r="N729" s="245"/>
      <c r="O729" s="245"/>
      <c r="P729" s="245"/>
      <c r="Q729" s="247"/>
      <c r="R729" s="247"/>
      <c r="S729" s="247"/>
      <c r="T729" s="245"/>
      <c r="U729" s="245"/>
      <c r="V729" s="241"/>
      <c r="W729" s="241"/>
      <c r="X729" s="241"/>
    </row>
    <row r="730" spans="1:24" ht="13.5" customHeight="1" x14ac:dyDescent="0.3">
      <c r="A730" s="245"/>
      <c r="B730" s="246"/>
      <c r="C730" s="245"/>
      <c r="D730" s="245"/>
      <c r="E730" s="245"/>
      <c r="F730" s="245"/>
      <c r="G730" s="245"/>
      <c r="H730" s="245"/>
      <c r="I730" s="245"/>
      <c r="J730" s="245"/>
      <c r="K730" s="245"/>
      <c r="L730" s="246"/>
      <c r="M730" s="245"/>
      <c r="N730" s="245"/>
      <c r="O730" s="245"/>
      <c r="P730" s="245"/>
      <c r="Q730" s="247"/>
      <c r="R730" s="247"/>
      <c r="S730" s="247"/>
      <c r="T730" s="245"/>
      <c r="U730" s="245"/>
      <c r="V730" s="241"/>
      <c r="W730" s="241"/>
      <c r="X730" s="241"/>
    </row>
    <row r="731" spans="1:24" ht="13.5" customHeight="1" x14ac:dyDescent="0.3">
      <c r="A731" s="245"/>
      <c r="B731" s="246"/>
      <c r="C731" s="245"/>
      <c r="D731" s="245"/>
      <c r="E731" s="245"/>
      <c r="F731" s="245"/>
      <c r="G731" s="245"/>
      <c r="H731" s="245"/>
      <c r="I731" s="245"/>
      <c r="J731" s="245"/>
      <c r="K731" s="245"/>
      <c r="L731" s="246"/>
      <c r="M731" s="245"/>
      <c r="N731" s="245"/>
      <c r="O731" s="245"/>
      <c r="P731" s="245"/>
      <c r="Q731" s="247"/>
      <c r="R731" s="247"/>
      <c r="S731" s="247"/>
      <c r="T731" s="245"/>
      <c r="U731" s="245"/>
      <c r="V731" s="241"/>
      <c r="W731" s="241"/>
      <c r="X731" s="241"/>
    </row>
    <row r="732" spans="1:24" ht="13.5" customHeight="1" x14ac:dyDescent="0.3">
      <c r="A732" s="245"/>
      <c r="B732" s="246"/>
      <c r="C732" s="245"/>
      <c r="D732" s="245"/>
      <c r="E732" s="245"/>
      <c r="F732" s="245"/>
      <c r="G732" s="245"/>
      <c r="H732" s="245"/>
      <c r="I732" s="245"/>
      <c r="J732" s="245"/>
      <c r="K732" s="245"/>
      <c r="L732" s="246"/>
      <c r="M732" s="245"/>
      <c r="N732" s="245"/>
      <c r="O732" s="245"/>
      <c r="P732" s="245"/>
      <c r="Q732" s="247"/>
      <c r="R732" s="247"/>
      <c r="S732" s="247"/>
      <c r="T732" s="245"/>
      <c r="U732" s="245"/>
      <c r="V732" s="241"/>
      <c r="W732" s="241"/>
      <c r="X732" s="241"/>
    </row>
    <row r="733" spans="1:24" ht="13.5" customHeight="1" x14ac:dyDescent="0.3">
      <c r="A733" s="245"/>
      <c r="B733" s="246"/>
      <c r="C733" s="245"/>
      <c r="D733" s="245"/>
      <c r="E733" s="245"/>
      <c r="F733" s="245"/>
      <c r="G733" s="245"/>
      <c r="H733" s="245"/>
      <c r="I733" s="245"/>
      <c r="J733" s="245"/>
      <c r="K733" s="245"/>
      <c r="L733" s="246"/>
      <c r="M733" s="245"/>
      <c r="N733" s="245"/>
      <c r="O733" s="245"/>
      <c r="P733" s="245"/>
      <c r="Q733" s="247"/>
      <c r="R733" s="247"/>
      <c r="S733" s="247"/>
      <c r="T733" s="245"/>
      <c r="U733" s="245"/>
      <c r="V733" s="241"/>
      <c r="W733" s="241"/>
      <c r="X733" s="241"/>
    </row>
    <row r="734" spans="1:24" ht="13.5" customHeight="1" x14ac:dyDescent="0.3">
      <c r="A734" s="245"/>
      <c r="B734" s="246"/>
      <c r="C734" s="245"/>
      <c r="D734" s="245"/>
      <c r="E734" s="245"/>
      <c r="F734" s="245"/>
      <c r="G734" s="245"/>
      <c r="H734" s="245"/>
      <c r="I734" s="245"/>
      <c r="J734" s="245"/>
      <c r="K734" s="245"/>
      <c r="L734" s="246"/>
      <c r="M734" s="245"/>
      <c r="N734" s="245"/>
      <c r="O734" s="245"/>
      <c r="P734" s="245"/>
      <c r="Q734" s="247"/>
      <c r="R734" s="247"/>
      <c r="S734" s="247"/>
      <c r="T734" s="245"/>
      <c r="U734" s="245"/>
      <c r="V734" s="241"/>
      <c r="W734" s="241"/>
      <c r="X734" s="241"/>
    </row>
    <row r="735" spans="1:24" ht="13.5" customHeight="1" x14ac:dyDescent="0.3">
      <c r="A735" s="245"/>
      <c r="B735" s="246"/>
      <c r="C735" s="245"/>
      <c r="D735" s="245"/>
      <c r="E735" s="245"/>
      <c r="F735" s="245"/>
      <c r="G735" s="245"/>
      <c r="H735" s="245"/>
      <c r="I735" s="245"/>
      <c r="J735" s="245"/>
      <c r="K735" s="245"/>
      <c r="L735" s="246"/>
      <c r="M735" s="245"/>
      <c r="N735" s="245"/>
      <c r="O735" s="245"/>
      <c r="P735" s="245"/>
      <c r="Q735" s="247"/>
      <c r="R735" s="247"/>
      <c r="S735" s="247"/>
      <c r="T735" s="245"/>
      <c r="U735" s="245"/>
      <c r="V735" s="241"/>
      <c r="W735" s="241"/>
      <c r="X735" s="241"/>
    </row>
    <row r="736" spans="1:24" ht="13.5" customHeight="1" x14ac:dyDescent="0.3">
      <c r="A736" s="245"/>
      <c r="B736" s="246"/>
      <c r="C736" s="245"/>
      <c r="D736" s="245"/>
      <c r="E736" s="245"/>
      <c r="F736" s="245"/>
      <c r="G736" s="245"/>
      <c r="H736" s="245"/>
      <c r="I736" s="245"/>
      <c r="J736" s="245"/>
      <c r="K736" s="245"/>
      <c r="L736" s="246"/>
      <c r="M736" s="245"/>
      <c r="N736" s="245"/>
      <c r="O736" s="245"/>
      <c r="P736" s="245"/>
      <c r="Q736" s="247"/>
      <c r="R736" s="247"/>
      <c r="S736" s="247"/>
      <c r="T736" s="245"/>
      <c r="U736" s="245"/>
      <c r="V736" s="241"/>
      <c r="W736" s="241"/>
      <c r="X736" s="241"/>
    </row>
    <row r="737" spans="1:24" ht="13.5" customHeight="1" x14ac:dyDescent="0.3">
      <c r="A737" s="245"/>
      <c r="B737" s="246"/>
      <c r="C737" s="245"/>
      <c r="D737" s="245"/>
      <c r="E737" s="245"/>
      <c r="F737" s="245"/>
      <c r="G737" s="245"/>
      <c r="H737" s="245"/>
      <c r="I737" s="245"/>
      <c r="J737" s="245"/>
      <c r="K737" s="245"/>
      <c r="L737" s="246"/>
      <c r="M737" s="245"/>
      <c r="N737" s="245"/>
      <c r="O737" s="245"/>
      <c r="P737" s="245"/>
      <c r="Q737" s="247"/>
      <c r="R737" s="247"/>
      <c r="S737" s="247"/>
      <c r="T737" s="245"/>
      <c r="U737" s="245"/>
      <c r="V737" s="241"/>
      <c r="W737" s="241"/>
      <c r="X737" s="241"/>
    </row>
    <row r="738" spans="1:24" ht="13.5" customHeight="1" x14ac:dyDescent="0.3">
      <c r="A738" s="245"/>
      <c r="B738" s="246"/>
      <c r="C738" s="245"/>
      <c r="D738" s="245"/>
      <c r="E738" s="245"/>
      <c r="F738" s="245"/>
      <c r="G738" s="245"/>
      <c r="H738" s="245"/>
      <c r="I738" s="245"/>
      <c r="J738" s="245"/>
      <c r="K738" s="245"/>
      <c r="L738" s="246"/>
      <c r="M738" s="245"/>
      <c r="N738" s="245"/>
      <c r="O738" s="245"/>
      <c r="P738" s="245"/>
      <c r="Q738" s="247"/>
      <c r="R738" s="247"/>
      <c r="S738" s="247"/>
      <c r="T738" s="245"/>
      <c r="U738" s="245"/>
      <c r="V738" s="241"/>
      <c r="W738" s="241"/>
      <c r="X738" s="241"/>
    </row>
    <row r="739" spans="1:24" ht="13.5" customHeight="1" x14ac:dyDescent="0.3">
      <c r="A739" s="245"/>
      <c r="B739" s="246"/>
      <c r="C739" s="245"/>
      <c r="D739" s="245"/>
      <c r="E739" s="245"/>
      <c r="F739" s="245"/>
      <c r="G739" s="245"/>
      <c r="H739" s="245"/>
      <c r="I739" s="245"/>
      <c r="J739" s="245"/>
      <c r="K739" s="245"/>
      <c r="L739" s="246"/>
      <c r="M739" s="245"/>
      <c r="N739" s="245"/>
      <c r="O739" s="245"/>
      <c r="P739" s="245"/>
      <c r="Q739" s="247"/>
      <c r="R739" s="247"/>
      <c r="S739" s="247"/>
      <c r="T739" s="245"/>
      <c r="U739" s="245"/>
      <c r="V739" s="241"/>
      <c r="W739" s="241"/>
      <c r="X739" s="241"/>
    </row>
    <row r="740" spans="1:24" ht="13.5" customHeight="1" x14ac:dyDescent="0.3">
      <c r="A740" s="245"/>
      <c r="B740" s="246"/>
      <c r="C740" s="245"/>
      <c r="D740" s="245"/>
      <c r="E740" s="245"/>
      <c r="F740" s="245"/>
      <c r="G740" s="245"/>
      <c r="H740" s="245"/>
      <c r="I740" s="245"/>
      <c r="J740" s="245"/>
      <c r="K740" s="245"/>
      <c r="L740" s="246"/>
      <c r="M740" s="245"/>
      <c r="N740" s="245"/>
      <c r="O740" s="245"/>
      <c r="P740" s="245"/>
      <c r="Q740" s="247"/>
      <c r="R740" s="247"/>
      <c r="S740" s="247"/>
      <c r="T740" s="245"/>
      <c r="U740" s="245"/>
      <c r="V740" s="241"/>
      <c r="W740" s="241"/>
      <c r="X740" s="241"/>
    </row>
    <row r="741" spans="1:24" ht="13.5" customHeight="1" x14ac:dyDescent="0.3">
      <c r="A741" s="245"/>
      <c r="B741" s="246"/>
      <c r="C741" s="245"/>
      <c r="D741" s="245"/>
      <c r="E741" s="245"/>
      <c r="F741" s="245"/>
      <c r="G741" s="245"/>
      <c r="H741" s="245"/>
      <c r="I741" s="245"/>
      <c r="J741" s="245"/>
      <c r="K741" s="245"/>
      <c r="L741" s="246"/>
      <c r="M741" s="245"/>
      <c r="N741" s="245"/>
      <c r="O741" s="245"/>
      <c r="P741" s="245"/>
      <c r="Q741" s="247"/>
      <c r="R741" s="247"/>
      <c r="S741" s="247"/>
      <c r="T741" s="245"/>
      <c r="U741" s="245"/>
      <c r="V741" s="241"/>
      <c r="W741" s="241"/>
      <c r="X741" s="241"/>
    </row>
    <row r="742" spans="1:24" ht="13.5" customHeight="1" x14ac:dyDescent="0.3">
      <c r="A742" s="245"/>
      <c r="B742" s="246"/>
      <c r="C742" s="245"/>
      <c r="D742" s="245"/>
      <c r="E742" s="245"/>
      <c r="F742" s="245"/>
      <c r="G742" s="245"/>
      <c r="H742" s="245"/>
      <c r="I742" s="245"/>
      <c r="J742" s="245"/>
      <c r="K742" s="245"/>
      <c r="L742" s="246"/>
      <c r="M742" s="245"/>
      <c r="N742" s="245"/>
      <c r="O742" s="245"/>
      <c r="P742" s="245"/>
      <c r="Q742" s="247"/>
      <c r="R742" s="247"/>
      <c r="S742" s="247"/>
      <c r="T742" s="245"/>
      <c r="U742" s="245"/>
      <c r="V742" s="241"/>
      <c r="W742" s="241"/>
      <c r="X742" s="241"/>
    </row>
    <row r="743" spans="1:24" ht="13.5" customHeight="1" x14ac:dyDescent="0.3">
      <c r="A743" s="245"/>
      <c r="B743" s="246"/>
      <c r="C743" s="245"/>
      <c r="D743" s="245"/>
      <c r="E743" s="245"/>
      <c r="F743" s="245"/>
      <c r="G743" s="245"/>
      <c r="H743" s="245"/>
      <c r="I743" s="245"/>
      <c r="J743" s="245"/>
      <c r="K743" s="245"/>
      <c r="L743" s="246"/>
      <c r="M743" s="245"/>
      <c r="N743" s="245"/>
      <c r="O743" s="245"/>
      <c r="P743" s="245"/>
      <c r="Q743" s="247"/>
      <c r="R743" s="247"/>
      <c r="S743" s="247"/>
      <c r="T743" s="245"/>
      <c r="U743" s="245"/>
      <c r="V743" s="241"/>
      <c r="W743" s="241"/>
      <c r="X743" s="241"/>
    </row>
    <row r="744" spans="1:24" ht="13.5" customHeight="1" x14ac:dyDescent="0.3">
      <c r="A744" s="245"/>
      <c r="B744" s="246"/>
      <c r="C744" s="245"/>
      <c r="D744" s="245"/>
      <c r="E744" s="245"/>
      <c r="F744" s="245"/>
      <c r="G744" s="245"/>
      <c r="H744" s="245"/>
      <c r="I744" s="245"/>
      <c r="J744" s="245"/>
      <c r="K744" s="245"/>
      <c r="L744" s="246"/>
      <c r="M744" s="245"/>
      <c r="N744" s="245"/>
      <c r="O744" s="245"/>
      <c r="P744" s="245"/>
      <c r="Q744" s="247"/>
      <c r="R744" s="247"/>
      <c r="S744" s="247"/>
      <c r="T744" s="245"/>
      <c r="U744" s="245"/>
      <c r="V744" s="241"/>
      <c r="W744" s="241"/>
      <c r="X744" s="241"/>
    </row>
    <row r="745" spans="1:24" ht="13.5" customHeight="1" x14ac:dyDescent="0.3">
      <c r="A745" s="245"/>
      <c r="B745" s="246"/>
      <c r="C745" s="245"/>
      <c r="D745" s="245"/>
      <c r="E745" s="245"/>
      <c r="F745" s="245"/>
      <c r="G745" s="245"/>
      <c r="H745" s="245"/>
      <c r="I745" s="245"/>
      <c r="J745" s="245"/>
      <c r="K745" s="245"/>
      <c r="L745" s="246"/>
      <c r="M745" s="245"/>
      <c r="N745" s="245"/>
      <c r="O745" s="245"/>
      <c r="P745" s="245"/>
      <c r="Q745" s="247"/>
      <c r="R745" s="247"/>
      <c r="S745" s="247"/>
      <c r="T745" s="245"/>
      <c r="U745" s="245"/>
      <c r="V745" s="241"/>
      <c r="W745" s="241"/>
      <c r="X745" s="241"/>
    </row>
    <row r="746" spans="1:24" ht="13.5" customHeight="1" x14ac:dyDescent="0.3">
      <c r="A746" s="245"/>
      <c r="B746" s="246"/>
      <c r="C746" s="245"/>
      <c r="D746" s="245"/>
      <c r="E746" s="245"/>
      <c r="F746" s="245"/>
      <c r="G746" s="245"/>
      <c r="H746" s="245"/>
      <c r="I746" s="245"/>
      <c r="J746" s="245"/>
      <c r="K746" s="245"/>
      <c r="L746" s="246"/>
      <c r="M746" s="245"/>
      <c r="N746" s="245"/>
      <c r="O746" s="245"/>
      <c r="P746" s="245"/>
      <c r="Q746" s="247"/>
      <c r="R746" s="247"/>
      <c r="S746" s="247"/>
      <c r="T746" s="245"/>
      <c r="U746" s="245"/>
      <c r="V746" s="241"/>
      <c r="W746" s="241"/>
      <c r="X746" s="241"/>
    </row>
    <row r="747" spans="1:24" ht="13.5" customHeight="1" x14ac:dyDescent="0.3">
      <c r="A747" s="245"/>
      <c r="B747" s="246"/>
      <c r="C747" s="245"/>
      <c r="D747" s="245"/>
      <c r="E747" s="245"/>
      <c r="F747" s="245"/>
      <c r="G747" s="245"/>
      <c r="H747" s="245"/>
      <c r="I747" s="245"/>
      <c r="J747" s="245"/>
      <c r="K747" s="245"/>
      <c r="L747" s="246"/>
      <c r="M747" s="245"/>
      <c r="N747" s="245"/>
      <c r="O747" s="245"/>
      <c r="P747" s="245"/>
      <c r="Q747" s="247"/>
      <c r="R747" s="247"/>
      <c r="S747" s="247"/>
      <c r="T747" s="245"/>
      <c r="U747" s="245"/>
      <c r="V747" s="241"/>
      <c r="W747" s="241"/>
      <c r="X747" s="241"/>
    </row>
    <row r="748" spans="1:24" ht="13.5" customHeight="1" x14ac:dyDescent="0.3">
      <c r="A748" s="245"/>
      <c r="B748" s="246"/>
      <c r="C748" s="245"/>
      <c r="D748" s="245"/>
      <c r="E748" s="245"/>
      <c r="F748" s="245"/>
      <c r="G748" s="245"/>
      <c r="H748" s="245"/>
      <c r="I748" s="245"/>
      <c r="J748" s="245"/>
      <c r="K748" s="245"/>
      <c r="L748" s="246"/>
      <c r="M748" s="245"/>
      <c r="N748" s="245"/>
      <c r="O748" s="245"/>
      <c r="P748" s="245"/>
      <c r="Q748" s="247"/>
      <c r="R748" s="247"/>
      <c r="S748" s="247"/>
      <c r="T748" s="245"/>
      <c r="U748" s="245"/>
      <c r="V748" s="241"/>
      <c r="W748" s="241"/>
      <c r="X748" s="241"/>
    </row>
    <row r="749" spans="1:24" ht="13.5" customHeight="1" x14ac:dyDescent="0.3">
      <c r="A749" s="245"/>
      <c r="B749" s="246"/>
      <c r="C749" s="245"/>
      <c r="D749" s="245"/>
      <c r="E749" s="245"/>
      <c r="F749" s="245"/>
      <c r="G749" s="245"/>
      <c r="H749" s="245"/>
      <c r="I749" s="245"/>
      <c r="J749" s="245"/>
      <c r="K749" s="245"/>
      <c r="L749" s="246"/>
      <c r="M749" s="245"/>
      <c r="N749" s="245"/>
      <c r="O749" s="245"/>
      <c r="P749" s="245"/>
      <c r="Q749" s="247"/>
      <c r="R749" s="247"/>
      <c r="S749" s="247"/>
      <c r="T749" s="245"/>
      <c r="U749" s="245"/>
      <c r="V749" s="241"/>
      <c r="W749" s="241"/>
      <c r="X749" s="241"/>
    </row>
    <row r="750" spans="1:24" ht="13.5" customHeight="1" x14ac:dyDescent="0.3">
      <c r="A750" s="245"/>
      <c r="B750" s="246"/>
      <c r="C750" s="245"/>
      <c r="D750" s="245"/>
      <c r="E750" s="245"/>
      <c r="F750" s="245"/>
      <c r="G750" s="245"/>
      <c r="H750" s="245"/>
      <c r="I750" s="245"/>
      <c r="J750" s="245"/>
      <c r="K750" s="245"/>
      <c r="L750" s="246"/>
      <c r="M750" s="245"/>
      <c r="N750" s="245"/>
      <c r="O750" s="245"/>
      <c r="P750" s="245"/>
      <c r="Q750" s="247"/>
      <c r="R750" s="247"/>
      <c r="S750" s="247"/>
      <c r="T750" s="245"/>
      <c r="U750" s="245"/>
      <c r="V750" s="241"/>
      <c r="W750" s="241"/>
      <c r="X750" s="241"/>
    </row>
    <row r="751" spans="1:24" ht="13.5" customHeight="1" x14ac:dyDescent="0.3">
      <c r="A751" s="245"/>
      <c r="B751" s="246"/>
      <c r="C751" s="245"/>
      <c r="D751" s="245"/>
      <c r="E751" s="245"/>
      <c r="F751" s="245"/>
      <c r="G751" s="245"/>
      <c r="H751" s="245"/>
      <c r="I751" s="245"/>
      <c r="J751" s="245"/>
      <c r="K751" s="245"/>
      <c r="L751" s="246"/>
      <c r="M751" s="245"/>
      <c r="N751" s="245"/>
      <c r="O751" s="245"/>
      <c r="P751" s="245"/>
      <c r="Q751" s="247"/>
      <c r="R751" s="247"/>
      <c r="S751" s="247"/>
      <c r="T751" s="245"/>
      <c r="U751" s="245"/>
      <c r="V751" s="241"/>
      <c r="W751" s="241"/>
      <c r="X751" s="241"/>
    </row>
    <row r="752" spans="1:24" ht="13.5" customHeight="1" x14ac:dyDescent="0.3">
      <c r="A752" s="245"/>
      <c r="B752" s="246"/>
      <c r="C752" s="245"/>
      <c r="D752" s="245"/>
      <c r="E752" s="245"/>
      <c r="F752" s="245"/>
      <c r="G752" s="245"/>
      <c r="H752" s="245"/>
      <c r="I752" s="245"/>
      <c r="J752" s="245"/>
      <c r="K752" s="245"/>
      <c r="L752" s="246"/>
      <c r="M752" s="245"/>
      <c r="N752" s="245"/>
      <c r="O752" s="245"/>
      <c r="P752" s="245"/>
      <c r="Q752" s="247"/>
      <c r="R752" s="247"/>
      <c r="S752" s="247"/>
      <c r="T752" s="245"/>
      <c r="U752" s="245"/>
      <c r="V752" s="241"/>
      <c r="W752" s="241"/>
      <c r="X752" s="241"/>
    </row>
    <row r="753" spans="1:24" ht="13.5" customHeight="1" x14ac:dyDescent="0.3">
      <c r="A753" s="245"/>
      <c r="B753" s="246"/>
      <c r="C753" s="245"/>
      <c r="D753" s="245"/>
      <c r="E753" s="245"/>
      <c r="F753" s="245"/>
      <c r="G753" s="245"/>
      <c r="H753" s="245"/>
      <c r="I753" s="245"/>
      <c r="J753" s="245"/>
      <c r="K753" s="245"/>
      <c r="L753" s="246"/>
      <c r="M753" s="245"/>
      <c r="N753" s="245"/>
      <c r="O753" s="245"/>
      <c r="P753" s="245"/>
      <c r="Q753" s="247"/>
      <c r="R753" s="247"/>
      <c r="S753" s="247"/>
      <c r="T753" s="245"/>
      <c r="U753" s="245"/>
      <c r="V753" s="241"/>
      <c r="W753" s="241"/>
      <c r="X753" s="241"/>
    </row>
    <row r="754" spans="1:24" ht="13.5" customHeight="1" x14ac:dyDescent="0.3">
      <c r="A754" s="245"/>
      <c r="B754" s="246"/>
      <c r="C754" s="245"/>
      <c r="D754" s="245"/>
      <c r="E754" s="245"/>
      <c r="F754" s="245"/>
      <c r="G754" s="245"/>
      <c r="H754" s="245"/>
      <c r="I754" s="245"/>
      <c r="J754" s="245"/>
      <c r="K754" s="245"/>
      <c r="L754" s="246"/>
      <c r="M754" s="245"/>
      <c r="N754" s="245"/>
      <c r="O754" s="245"/>
      <c r="P754" s="245"/>
      <c r="Q754" s="247"/>
      <c r="R754" s="247"/>
      <c r="S754" s="247"/>
      <c r="T754" s="245"/>
      <c r="U754" s="245"/>
      <c r="V754" s="241"/>
      <c r="W754" s="241"/>
      <c r="X754" s="241"/>
    </row>
    <row r="755" spans="1:24" ht="13.5" customHeight="1" x14ac:dyDescent="0.3">
      <c r="A755" s="245"/>
      <c r="B755" s="246"/>
      <c r="C755" s="245"/>
      <c r="D755" s="245"/>
      <c r="E755" s="245"/>
      <c r="F755" s="245"/>
      <c r="G755" s="245"/>
      <c r="H755" s="245"/>
      <c r="I755" s="245"/>
      <c r="J755" s="245"/>
      <c r="K755" s="245"/>
      <c r="L755" s="246"/>
      <c r="M755" s="245"/>
      <c r="N755" s="245"/>
      <c r="O755" s="245"/>
      <c r="P755" s="245"/>
      <c r="Q755" s="247"/>
      <c r="R755" s="247"/>
      <c r="S755" s="247"/>
      <c r="T755" s="245"/>
      <c r="U755" s="245"/>
      <c r="V755" s="241"/>
      <c r="W755" s="241"/>
      <c r="X755" s="241"/>
    </row>
    <row r="756" spans="1:24" ht="13.5" customHeight="1" x14ac:dyDescent="0.3">
      <c r="A756" s="245"/>
      <c r="B756" s="246"/>
      <c r="C756" s="245"/>
      <c r="D756" s="245"/>
      <c r="E756" s="245"/>
      <c r="F756" s="245"/>
      <c r="G756" s="245"/>
      <c r="H756" s="245"/>
      <c r="I756" s="245"/>
      <c r="J756" s="245"/>
      <c r="K756" s="245"/>
      <c r="L756" s="246"/>
      <c r="M756" s="245"/>
      <c r="N756" s="245"/>
      <c r="O756" s="245"/>
      <c r="P756" s="245"/>
      <c r="Q756" s="247"/>
      <c r="R756" s="247"/>
      <c r="S756" s="247"/>
      <c r="T756" s="245"/>
      <c r="U756" s="245"/>
      <c r="V756" s="241"/>
      <c r="W756" s="241"/>
      <c r="X756" s="241"/>
    </row>
    <row r="757" spans="1:24" ht="13.5" customHeight="1" x14ac:dyDescent="0.3">
      <c r="A757" s="245"/>
      <c r="B757" s="246"/>
      <c r="C757" s="245"/>
      <c r="D757" s="245"/>
      <c r="E757" s="245"/>
      <c r="F757" s="245"/>
      <c r="G757" s="245"/>
      <c r="H757" s="245"/>
      <c r="I757" s="245"/>
      <c r="J757" s="245"/>
      <c r="K757" s="245"/>
      <c r="L757" s="246"/>
      <c r="M757" s="245"/>
      <c r="N757" s="245"/>
      <c r="O757" s="245"/>
      <c r="P757" s="245"/>
      <c r="Q757" s="247"/>
      <c r="R757" s="247"/>
      <c r="S757" s="247"/>
      <c r="T757" s="245"/>
      <c r="U757" s="245"/>
      <c r="V757" s="241"/>
      <c r="W757" s="241"/>
      <c r="X757" s="241"/>
    </row>
    <row r="758" spans="1:24" ht="13.5" customHeight="1" x14ac:dyDescent="0.3">
      <c r="A758" s="245"/>
      <c r="B758" s="246"/>
      <c r="C758" s="245"/>
      <c r="D758" s="245"/>
      <c r="E758" s="245"/>
      <c r="F758" s="245"/>
      <c r="G758" s="245"/>
      <c r="H758" s="245"/>
      <c r="I758" s="245"/>
      <c r="J758" s="245"/>
      <c r="K758" s="245"/>
      <c r="L758" s="246"/>
      <c r="M758" s="245"/>
      <c r="N758" s="245"/>
      <c r="O758" s="245"/>
      <c r="P758" s="245"/>
      <c r="Q758" s="247"/>
      <c r="R758" s="247"/>
      <c r="S758" s="247"/>
      <c r="T758" s="245"/>
      <c r="U758" s="245"/>
      <c r="V758" s="241"/>
      <c r="W758" s="241"/>
      <c r="X758" s="241"/>
    </row>
    <row r="759" spans="1:24" ht="13.5" customHeight="1" x14ac:dyDescent="0.3">
      <c r="A759" s="245"/>
      <c r="B759" s="246"/>
      <c r="C759" s="245"/>
      <c r="D759" s="245"/>
      <c r="E759" s="245"/>
      <c r="F759" s="245"/>
      <c r="G759" s="245"/>
      <c r="H759" s="245"/>
      <c r="I759" s="245"/>
      <c r="J759" s="245"/>
      <c r="K759" s="245"/>
      <c r="L759" s="246"/>
      <c r="M759" s="245"/>
      <c r="N759" s="245"/>
      <c r="O759" s="245"/>
      <c r="P759" s="245"/>
      <c r="Q759" s="247"/>
      <c r="R759" s="247"/>
      <c r="S759" s="247"/>
      <c r="T759" s="245"/>
      <c r="U759" s="245"/>
      <c r="V759" s="241"/>
      <c r="W759" s="241"/>
      <c r="X759" s="241"/>
    </row>
    <row r="760" spans="1:24" ht="13.5" customHeight="1" x14ac:dyDescent="0.3">
      <c r="A760" s="245"/>
      <c r="B760" s="246"/>
      <c r="C760" s="245"/>
      <c r="D760" s="245"/>
      <c r="E760" s="245"/>
      <c r="F760" s="245"/>
      <c r="G760" s="245"/>
      <c r="H760" s="245"/>
      <c r="I760" s="245"/>
      <c r="J760" s="245"/>
      <c r="K760" s="245"/>
      <c r="L760" s="246"/>
      <c r="M760" s="245"/>
      <c r="N760" s="245"/>
      <c r="O760" s="245"/>
      <c r="P760" s="245"/>
      <c r="Q760" s="247"/>
      <c r="R760" s="247"/>
      <c r="S760" s="247"/>
      <c r="T760" s="245"/>
      <c r="U760" s="245"/>
      <c r="V760" s="241"/>
      <c r="W760" s="241"/>
      <c r="X760" s="241"/>
    </row>
    <row r="761" spans="1:24" ht="13.5" customHeight="1" x14ac:dyDescent="0.3">
      <c r="A761" s="245"/>
      <c r="B761" s="246"/>
      <c r="C761" s="245"/>
      <c r="D761" s="245"/>
      <c r="E761" s="245"/>
      <c r="F761" s="245"/>
      <c r="G761" s="245"/>
      <c r="H761" s="245"/>
      <c r="I761" s="245"/>
      <c r="J761" s="245"/>
      <c r="K761" s="245"/>
      <c r="L761" s="246"/>
      <c r="M761" s="245"/>
      <c r="N761" s="245"/>
      <c r="O761" s="245"/>
      <c r="P761" s="245"/>
      <c r="Q761" s="247"/>
      <c r="R761" s="247"/>
      <c r="S761" s="247"/>
      <c r="T761" s="245"/>
      <c r="U761" s="245"/>
      <c r="V761" s="241"/>
      <c r="W761" s="241"/>
      <c r="X761" s="241"/>
    </row>
    <row r="762" spans="1:24" ht="13.5" customHeight="1" x14ac:dyDescent="0.3">
      <c r="A762" s="245"/>
      <c r="B762" s="246"/>
      <c r="C762" s="245"/>
      <c r="D762" s="245"/>
      <c r="E762" s="245"/>
      <c r="F762" s="245"/>
      <c r="G762" s="245"/>
      <c r="H762" s="245"/>
      <c r="I762" s="245"/>
      <c r="J762" s="245"/>
      <c r="K762" s="245"/>
      <c r="L762" s="246"/>
      <c r="M762" s="245"/>
      <c r="N762" s="245"/>
      <c r="O762" s="245"/>
      <c r="P762" s="245"/>
      <c r="Q762" s="247"/>
      <c r="R762" s="247"/>
      <c r="S762" s="247"/>
      <c r="T762" s="245"/>
      <c r="U762" s="245"/>
      <c r="V762" s="241"/>
      <c r="W762" s="241"/>
      <c r="X762" s="241"/>
    </row>
    <row r="763" spans="1:24" ht="13.5" customHeight="1" x14ac:dyDescent="0.3">
      <c r="A763" s="245"/>
      <c r="B763" s="246"/>
      <c r="C763" s="245"/>
      <c r="D763" s="245"/>
      <c r="E763" s="245"/>
      <c r="F763" s="245"/>
      <c r="G763" s="245"/>
      <c r="H763" s="245"/>
      <c r="I763" s="245"/>
      <c r="J763" s="245"/>
      <c r="K763" s="245"/>
      <c r="L763" s="246"/>
      <c r="M763" s="245"/>
      <c r="N763" s="245"/>
      <c r="O763" s="245"/>
      <c r="P763" s="245"/>
      <c r="Q763" s="247"/>
      <c r="R763" s="247"/>
      <c r="S763" s="247"/>
      <c r="T763" s="245"/>
      <c r="U763" s="245"/>
      <c r="V763" s="241"/>
      <c r="W763" s="241"/>
      <c r="X763" s="241"/>
    </row>
    <row r="764" spans="1:24" ht="13.5" customHeight="1" x14ac:dyDescent="0.3">
      <c r="A764" s="245"/>
      <c r="B764" s="246"/>
      <c r="C764" s="245"/>
      <c r="D764" s="245"/>
      <c r="E764" s="245"/>
      <c r="F764" s="245"/>
      <c r="G764" s="245"/>
      <c r="H764" s="245"/>
      <c r="I764" s="245"/>
      <c r="J764" s="245"/>
      <c r="K764" s="245"/>
      <c r="L764" s="246"/>
      <c r="M764" s="245"/>
      <c r="N764" s="245"/>
      <c r="O764" s="245"/>
      <c r="P764" s="245"/>
      <c r="Q764" s="247"/>
      <c r="R764" s="247"/>
      <c r="S764" s="247"/>
      <c r="T764" s="245"/>
      <c r="U764" s="245"/>
      <c r="V764" s="241"/>
      <c r="W764" s="241"/>
      <c r="X764" s="241"/>
    </row>
    <row r="765" spans="1:24" ht="13.5" customHeight="1" x14ac:dyDescent="0.3">
      <c r="A765" s="245"/>
      <c r="B765" s="246"/>
      <c r="C765" s="245"/>
      <c r="D765" s="245"/>
      <c r="E765" s="245"/>
      <c r="F765" s="245"/>
      <c r="G765" s="245"/>
      <c r="H765" s="245"/>
      <c r="I765" s="245"/>
      <c r="J765" s="245"/>
      <c r="K765" s="245"/>
      <c r="L765" s="246"/>
      <c r="M765" s="245"/>
      <c r="N765" s="245"/>
      <c r="O765" s="245"/>
      <c r="P765" s="245"/>
      <c r="Q765" s="247"/>
      <c r="R765" s="247"/>
      <c r="S765" s="247"/>
      <c r="T765" s="245"/>
      <c r="U765" s="245"/>
      <c r="V765" s="241"/>
      <c r="W765" s="241"/>
      <c r="X765" s="241"/>
    </row>
    <row r="766" spans="1:24" ht="13.5" customHeight="1" x14ac:dyDescent="0.3">
      <c r="A766" s="245"/>
      <c r="B766" s="246"/>
      <c r="C766" s="245"/>
      <c r="D766" s="245"/>
      <c r="E766" s="245"/>
      <c r="F766" s="245"/>
      <c r="G766" s="245"/>
      <c r="H766" s="245"/>
      <c r="I766" s="245"/>
      <c r="J766" s="245"/>
      <c r="K766" s="245"/>
      <c r="L766" s="246"/>
      <c r="M766" s="245"/>
      <c r="N766" s="245"/>
      <c r="O766" s="245"/>
      <c r="P766" s="245"/>
      <c r="Q766" s="247"/>
      <c r="R766" s="247"/>
      <c r="S766" s="247"/>
      <c r="T766" s="245"/>
      <c r="U766" s="245"/>
      <c r="V766" s="241"/>
      <c r="W766" s="241"/>
      <c r="X766" s="241"/>
    </row>
    <row r="767" spans="1:24" ht="13.5" customHeight="1" x14ac:dyDescent="0.3">
      <c r="A767" s="245"/>
      <c r="B767" s="246"/>
      <c r="C767" s="245"/>
      <c r="D767" s="245"/>
      <c r="E767" s="245"/>
      <c r="F767" s="245"/>
      <c r="G767" s="245"/>
      <c r="H767" s="245"/>
      <c r="I767" s="245"/>
      <c r="J767" s="245"/>
      <c r="K767" s="245"/>
      <c r="L767" s="246"/>
      <c r="M767" s="245"/>
      <c r="N767" s="245"/>
      <c r="O767" s="245"/>
      <c r="P767" s="245"/>
      <c r="Q767" s="247"/>
      <c r="R767" s="247"/>
      <c r="S767" s="247"/>
      <c r="T767" s="245"/>
      <c r="U767" s="245"/>
      <c r="V767" s="241"/>
      <c r="W767" s="241"/>
      <c r="X767" s="241"/>
    </row>
    <row r="768" spans="1:24" ht="13.5" customHeight="1" x14ac:dyDescent="0.3">
      <c r="A768" s="245"/>
      <c r="B768" s="246"/>
      <c r="C768" s="245"/>
      <c r="D768" s="245"/>
      <c r="E768" s="245"/>
      <c r="F768" s="245"/>
      <c r="G768" s="245"/>
      <c r="H768" s="245"/>
      <c r="I768" s="245"/>
      <c r="J768" s="245"/>
      <c r="K768" s="245"/>
      <c r="L768" s="246"/>
      <c r="M768" s="245"/>
      <c r="N768" s="245"/>
      <c r="O768" s="245"/>
      <c r="P768" s="245"/>
      <c r="Q768" s="247"/>
      <c r="R768" s="247"/>
      <c r="S768" s="247"/>
      <c r="T768" s="245"/>
      <c r="U768" s="245"/>
      <c r="V768" s="241"/>
      <c r="W768" s="241"/>
      <c r="X768" s="241"/>
    </row>
    <row r="769" spans="1:24" ht="13.5" customHeight="1" x14ac:dyDescent="0.3">
      <c r="A769" s="245"/>
      <c r="B769" s="246"/>
      <c r="C769" s="245"/>
      <c r="D769" s="245"/>
      <c r="E769" s="245"/>
      <c r="F769" s="245"/>
      <c r="G769" s="245"/>
      <c r="H769" s="245"/>
      <c r="I769" s="245"/>
      <c r="J769" s="245"/>
      <c r="K769" s="245"/>
      <c r="L769" s="246"/>
      <c r="M769" s="245"/>
      <c r="N769" s="245"/>
      <c r="O769" s="245"/>
      <c r="P769" s="245"/>
      <c r="Q769" s="247"/>
      <c r="R769" s="247"/>
      <c r="S769" s="247"/>
      <c r="T769" s="245"/>
      <c r="U769" s="245"/>
      <c r="V769" s="241"/>
      <c r="W769" s="241"/>
      <c r="X769" s="241"/>
    </row>
    <row r="770" spans="1:24" ht="13.5" customHeight="1" x14ac:dyDescent="0.3">
      <c r="A770" s="245"/>
      <c r="B770" s="246"/>
      <c r="C770" s="245"/>
      <c r="D770" s="245"/>
      <c r="E770" s="245"/>
      <c r="F770" s="245"/>
      <c r="G770" s="245"/>
      <c r="H770" s="245"/>
      <c r="I770" s="245"/>
      <c r="J770" s="245"/>
      <c r="K770" s="245"/>
      <c r="L770" s="246"/>
      <c r="M770" s="245"/>
      <c r="N770" s="245"/>
      <c r="O770" s="245"/>
      <c r="P770" s="245"/>
      <c r="Q770" s="247"/>
      <c r="R770" s="247"/>
      <c r="S770" s="247"/>
      <c r="T770" s="245"/>
      <c r="U770" s="245"/>
      <c r="V770" s="241"/>
      <c r="W770" s="241"/>
      <c r="X770" s="241"/>
    </row>
    <row r="771" spans="1:24" ht="13.5" customHeight="1" x14ac:dyDescent="0.3">
      <c r="A771" s="245"/>
      <c r="B771" s="246"/>
      <c r="C771" s="245"/>
      <c r="D771" s="245"/>
      <c r="E771" s="245"/>
      <c r="F771" s="245"/>
      <c r="G771" s="245"/>
      <c r="H771" s="245"/>
      <c r="I771" s="245"/>
      <c r="J771" s="245"/>
      <c r="K771" s="245"/>
      <c r="L771" s="246"/>
      <c r="M771" s="245"/>
      <c r="N771" s="245"/>
      <c r="O771" s="245"/>
      <c r="P771" s="245"/>
      <c r="Q771" s="247"/>
      <c r="R771" s="247"/>
      <c r="S771" s="247"/>
      <c r="T771" s="245"/>
      <c r="U771" s="245"/>
      <c r="V771" s="241"/>
      <c r="W771" s="241"/>
      <c r="X771" s="241"/>
    </row>
    <row r="772" spans="1:24" ht="13.5" customHeight="1" x14ac:dyDescent="0.3">
      <c r="A772" s="245"/>
      <c r="B772" s="246"/>
      <c r="C772" s="245"/>
      <c r="D772" s="245"/>
      <c r="E772" s="245"/>
      <c r="F772" s="245"/>
      <c r="G772" s="245"/>
      <c r="H772" s="245"/>
      <c r="I772" s="245"/>
      <c r="J772" s="245"/>
      <c r="K772" s="245"/>
      <c r="L772" s="246"/>
      <c r="M772" s="245"/>
      <c r="N772" s="245"/>
      <c r="O772" s="245"/>
      <c r="P772" s="245"/>
      <c r="Q772" s="247"/>
      <c r="R772" s="247"/>
      <c r="S772" s="247"/>
      <c r="T772" s="245"/>
      <c r="U772" s="245"/>
      <c r="V772" s="241"/>
      <c r="W772" s="241"/>
      <c r="X772" s="241"/>
    </row>
    <row r="773" spans="1:24" ht="13.5" customHeight="1" x14ac:dyDescent="0.3">
      <c r="A773" s="245"/>
      <c r="B773" s="246"/>
      <c r="C773" s="245"/>
      <c r="D773" s="245"/>
      <c r="E773" s="245"/>
      <c r="F773" s="245"/>
      <c r="G773" s="245"/>
      <c r="H773" s="245"/>
      <c r="I773" s="245"/>
      <c r="J773" s="245"/>
      <c r="K773" s="245"/>
      <c r="L773" s="246"/>
      <c r="M773" s="245"/>
      <c r="N773" s="245"/>
      <c r="O773" s="245"/>
      <c r="P773" s="245"/>
      <c r="Q773" s="247"/>
      <c r="R773" s="247"/>
      <c r="S773" s="247"/>
      <c r="T773" s="245"/>
      <c r="U773" s="245"/>
      <c r="V773" s="241"/>
      <c r="W773" s="241"/>
      <c r="X773" s="241"/>
    </row>
    <row r="774" spans="1:24" ht="13.5" customHeight="1" x14ac:dyDescent="0.3">
      <c r="A774" s="245"/>
      <c r="B774" s="246"/>
      <c r="C774" s="245"/>
      <c r="D774" s="245"/>
      <c r="E774" s="245"/>
      <c r="F774" s="245"/>
      <c r="G774" s="245"/>
      <c r="H774" s="245"/>
      <c r="I774" s="245"/>
      <c r="J774" s="245"/>
      <c r="K774" s="245"/>
      <c r="L774" s="246"/>
      <c r="M774" s="245"/>
      <c r="N774" s="245"/>
      <c r="O774" s="245"/>
      <c r="P774" s="245"/>
      <c r="Q774" s="247"/>
      <c r="R774" s="247"/>
      <c r="S774" s="247"/>
      <c r="T774" s="245"/>
      <c r="U774" s="245"/>
      <c r="V774" s="241"/>
      <c r="W774" s="241"/>
      <c r="X774" s="241"/>
    </row>
    <row r="775" spans="1:24" ht="13.5" customHeight="1" x14ac:dyDescent="0.3">
      <c r="A775" s="245"/>
      <c r="B775" s="246"/>
      <c r="C775" s="245"/>
      <c r="D775" s="245"/>
      <c r="E775" s="245"/>
      <c r="F775" s="245"/>
      <c r="G775" s="245"/>
      <c r="H775" s="245"/>
      <c r="I775" s="245"/>
      <c r="J775" s="245"/>
      <c r="K775" s="245"/>
      <c r="L775" s="246"/>
      <c r="M775" s="245"/>
      <c r="N775" s="245"/>
      <c r="O775" s="245"/>
      <c r="P775" s="245"/>
      <c r="Q775" s="247"/>
      <c r="R775" s="247"/>
      <c r="S775" s="247"/>
      <c r="T775" s="245"/>
      <c r="U775" s="245"/>
      <c r="V775" s="241"/>
      <c r="W775" s="241"/>
      <c r="X775" s="241"/>
    </row>
    <row r="776" spans="1:24" ht="13.5" customHeight="1" x14ac:dyDescent="0.3">
      <c r="A776" s="245"/>
      <c r="B776" s="246"/>
      <c r="C776" s="245"/>
      <c r="D776" s="245"/>
      <c r="E776" s="245"/>
      <c r="F776" s="245"/>
      <c r="G776" s="245"/>
      <c r="H776" s="245"/>
      <c r="I776" s="245"/>
      <c r="J776" s="245"/>
      <c r="K776" s="245"/>
      <c r="L776" s="246"/>
      <c r="M776" s="245"/>
      <c r="N776" s="245"/>
      <c r="O776" s="245"/>
      <c r="P776" s="245"/>
      <c r="Q776" s="247"/>
      <c r="R776" s="247"/>
      <c r="S776" s="247"/>
      <c r="T776" s="245"/>
      <c r="U776" s="245"/>
      <c r="V776" s="241"/>
      <c r="W776" s="241"/>
      <c r="X776" s="241"/>
    </row>
    <row r="777" spans="1:24" ht="13.5" customHeight="1" x14ac:dyDescent="0.3">
      <c r="A777" s="245"/>
      <c r="B777" s="246"/>
      <c r="C777" s="245"/>
      <c r="D777" s="245"/>
      <c r="E777" s="245"/>
      <c r="F777" s="245"/>
      <c r="G777" s="245"/>
      <c r="H777" s="245"/>
      <c r="I777" s="245"/>
      <c r="J777" s="245"/>
      <c r="K777" s="245"/>
      <c r="L777" s="246"/>
      <c r="M777" s="245"/>
      <c r="N777" s="245"/>
      <c r="O777" s="245"/>
      <c r="P777" s="245"/>
      <c r="Q777" s="247"/>
      <c r="R777" s="247"/>
      <c r="S777" s="247"/>
      <c r="T777" s="245"/>
      <c r="U777" s="245"/>
      <c r="V777" s="241"/>
      <c r="W777" s="241"/>
      <c r="X777" s="241"/>
    </row>
    <row r="778" spans="1:24" ht="13.5" customHeight="1" x14ac:dyDescent="0.3">
      <c r="A778" s="245"/>
      <c r="B778" s="246"/>
      <c r="C778" s="245"/>
      <c r="D778" s="245"/>
      <c r="E778" s="245"/>
      <c r="F778" s="245"/>
      <c r="G778" s="245"/>
      <c r="H778" s="245"/>
      <c r="I778" s="245"/>
      <c r="J778" s="245"/>
      <c r="K778" s="245"/>
      <c r="L778" s="246"/>
      <c r="M778" s="245"/>
      <c r="N778" s="245"/>
      <c r="O778" s="245"/>
      <c r="P778" s="245"/>
      <c r="Q778" s="247"/>
      <c r="R778" s="247"/>
      <c r="S778" s="247"/>
      <c r="T778" s="245"/>
      <c r="U778" s="245"/>
      <c r="V778" s="241"/>
      <c r="W778" s="241"/>
      <c r="X778" s="241"/>
    </row>
    <row r="779" spans="1:24" ht="13.5" customHeight="1" x14ac:dyDescent="0.3">
      <c r="A779" s="245"/>
      <c r="B779" s="246"/>
      <c r="C779" s="245"/>
      <c r="D779" s="245"/>
      <c r="E779" s="245"/>
      <c r="F779" s="245"/>
      <c r="G779" s="245"/>
      <c r="H779" s="245"/>
      <c r="I779" s="245"/>
      <c r="J779" s="245"/>
      <c r="K779" s="245"/>
      <c r="L779" s="246"/>
      <c r="M779" s="245"/>
      <c r="N779" s="245"/>
      <c r="O779" s="245"/>
      <c r="P779" s="245"/>
      <c r="Q779" s="247"/>
      <c r="R779" s="247"/>
      <c r="S779" s="247"/>
      <c r="T779" s="245"/>
      <c r="U779" s="245"/>
      <c r="V779" s="241"/>
      <c r="W779" s="241"/>
      <c r="X779" s="241"/>
    </row>
    <row r="780" spans="1:24" ht="13.5" customHeight="1" x14ac:dyDescent="0.3">
      <c r="A780" s="245"/>
      <c r="B780" s="246"/>
      <c r="C780" s="245"/>
      <c r="D780" s="245"/>
      <c r="E780" s="245"/>
      <c r="F780" s="245"/>
      <c r="G780" s="245"/>
      <c r="H780" s="245"/>
      <c r="I780" s="245"/>
      <c r="J780" s="245"/>
      <c r="K780" s="245"/>
      <c r="L780" s="246"/>
      <c r="M780" s="245"/>
      <c r="N780" s="245"/>
      <c r="O780" s="245"/>
      <c r="P780" s="245"/>
      <c r="Q780" s="247"/>
      <c r="R780" s="247"/>
      <c r="S780" s="247"/>
      <c r="T780" s="245"/>
      <c r="U780" s="245"/>
      <c r="V780" s="241"/>
      <c r="W780" s="241"/>
      <c r="X780" s="241"/>
    </row>
    <row r="781" spans="1:24" ht="13.5" customHeight="1" x14ac:dyDescent="0.3">
      <c r="A781" s="245"/>
      <c r="B781" s="246"/>
      <c r="C781" s="245"/>
      <c r="D781" s="245"/>
      <c r="E781" s="245"/>
      <c r="F781" s="245"/>
      <c r="G781" s="245"/>
      <c r="H781" s="245"/>
      <c r="I781" s="245"/>
      <c r="J781" s="245"/>
      <c r="K781" s="245"/>
      <c r="L781" s="246"/>
      <c r="M781" s="245"/>
      <c r="N781" s="245"/>
      <c r="O781" s="245"/>
      <c r="P781" s="245"/>
      <c r="Q781" s="247"/>
      <c r="R781" s="247"/>
      <c r="S781" s="247"/>
      <c r="T781" s="245"/>
      <c r="U781" s="245"/>
      <c r="V781" s="241"/>
      <c r="W781" s="241"/>
      <c r="X781" s="241"/>
    </row>
    <row r="782" spans="1:24" ht="13.5" customHeight="1" x14ac:dyDescent="0.3">
      <c r="A782" s="245"/>
      <c r="B782" s="246"/>
      <c r="C782" s="245"/>
      <c r="D782" s="245"/>
      <c r="E782" s="245"/>
      <c r="F782" s="245"/>
      <c r="G782" s="245"/>
      <c r="H782" s="245"/>
      <c r="I782" s="245"/>
      <c r="J782" s="245"/>
      <c r="K782" s="245"/>
      <c r="L782" s="246"/>
      <c r="M782" s="245"/>
      <c r="N782" s="245"/>
      <c r="O782" s="245"/>
      <c r="P782" s="245"/>
      <c r="Q782" s="247"/>
      <c r="R782" s="247"/>
      <c r="S782" s="247"/>
      <c r="T782" s="245"/>
      <c r="U782" s="245"/>
      <c r="V782" s="241"/>
      <c r="W782" s="241"/>
      <c r="X782" s="241"/>
    </row>
    <row r="783" spans="1:24" ht="13.5" customHeight="1" x14ac:dyDescent="0.3">
      <c r="A783" s="245"/>
      <c r="B783" s="246"/>
      <c r="C783" s="245"/>
      <c r="D783" s="245"/>
      <c r="E783" s="245"/>
      <c r="F783" s="245"/>
      <c r="G783" s="245"/>
      <c r="H783" s="245"/>
      <c r="I783" s="245"/>
      <c r="J783" s="245"/>
      <c r="K783" s="245"/>
      <c r="L783" s="246"/>
      <c r="M783" s="245"/>
      <c r="N783" s="245"/>
      <c r="O783" s="245"/>
      <c r="P783" s="245"/>
      <c r="Q783" s="247"/>
      <c r="R783" s="247"/>
      <c r="S783" s="247"/>
      <c r="T783" s="245"/>
      <c r="U783" s="245"/>
      <c r="V783" s="241"/>
      <c r="W783" s="241"/>
      <c r="X783" s="241"/>
    </row>
    <row r="784" spans="1:24" ht="13.5" customHeight="1" x14ac:dyDescent="0.3">
      <c r="A784" s="245"/>
      <c r="B784" s="246"/>
      <c r="C784" s="245"/>
      <c r="D784" s="245"/>
      <c r="E784" s="245"/>
      <c r="F784" s="245"/>
      <c r="G784" s="245"/>
      <c r="H784" s="245"/>
      <c r="I784" s="245"/>
      <c r="J784" s="245"/>
      <c r="K784" s="245"/>
      <c r="L784" s="246"/>
      <c r="M784" s="245"/>
      <c r="N784" s="245"/>
      <c r="O784" s="245"/>
      <c r="P784" s="245"/>
      <c r="Q784" s="247"/>
      <c r="R784" s="247"/>
      <c r="S784" s="247"/>
      <c r="T784" s="245"/>
      <c r="U784" s="245"/>
      <c r="V784" s="241"/>
      <c r="W784" s="241"/>
      <c r="X784" s="241"/>
    </row>
    <row r="785" spans="1:24" ht="13.5" customHeight="1" x14ac:dyDescent="0.3">
      <c r="A785" s="245"/>
      <c r="B785" s="246"/>
      <c r="C785" s="245"/>
      <c r="D785" s="245"/>
      <c r="E785" s="245"/>
      <c r="F785" s="245"/>
      <c r="G785" s="245"/>
      <c r="H785" s="245"/>
      <c r="I785" s="245"/>
      <c r="J785" s="245"/>
      <c r="K785" s="245"/>
      <c r="L785" s="246"/>
      <c r="M785" s="245"/>
      <c r="N785" s="245"/>
      <c r="O785" s="245"/>
      <c r="P785" s="245"/>
      <c r="Q785" s="247"/>
      <c r="R785" s="247"/>
      <c r="S785" s="247"/>
      <c r="T785" s="245"/>
      <c r="U785" s="245"/>
      <c r="V785" s="241"/>
      <c r="W785" s="241"/>
      <c r="X785" s="241"/>
    </row>
    <row r="786" spans="1:24" ht="13.5" customHeight="1" x14ac:dyDescent="0.3">
      <c r="A786" s="245"/>
      <c r="B786" s="246"/>
      <c r="C786" s="245"/>
      <c r="D786" s="245"/>
      <c r="E786" s="245"/>
      <c r="F786" s="245"/>
      <c r="G786" s="245"/>
      <c r="H786" s="245"/>
      <c r="I786" s="245"/>
      <c r="J786" s="245"/>
      <c r="K786" s="245"/>
      <c r="L786" s="246"/>
      <c r="M786" s="245"/>
      <c r="N786" s="245"/>
      <c r="O786" s="245"/>
      <c r="P786" s="245"/>
      <c r="Q786" s="247"/>
      <c r="R786" s="247"/>
      <c r="S786" s="247"/>
      <c r="T786" s="245"/>
      <c r="U786" s="245"/>
      <c r="V786" s="241"/>
      <c r="W786" s="241"/>
      <c r="X786" s="241"/>
    </row>
    <row r="787" spans="1:24" ht="13.5" customHeight="1" x14ac:dyDescent="0.3">
      <c r="A787" s="245"/>
      <c r="B787" s="246"/>
      <c r="C787" s="245"/>
      <c r="D787" s="245"/>
      <c r="E787" s="245"/>
      <c r="F787" s="245"/>
      <c r="G787" s="245"/>
      <c r="H787" s="245"/>
      <c r="I787" s="245"/>
      <c r="J787" s="245"/>
      <c r="K787" s="245"/>
      <c r="L787" s="246"/>
      <c r="M787" s="245"/>
      <c r="N787" s="245"/>
      <c r="O787" s="245"/>
      <c r="P787" s="245"/>
      <c r="Q787" s="247"/>
      <c r="R787" s="247"/>
      <c r="S787" s="247"/>
      <c r="T787" s="245"/>
      <c r="U787" s="245"/>
      <c r="V787" s="241"/>
      <c r="W787" s="241"/>
      <c r="X787" s="241"/>
    </row>
    <row r="788" spans="1:24" ht="13.5" customHeight="1" x14ac:dyDescent="0.3">
      <c r="A788" s="245"/>
      <c r="B788" s="246"/>
      <c r="C788" s="245"/>
      <c r="D788" s="245"/>
      <c r="E788" s="245"/>
      <c r="F788" s="245"/>
      <c r="G788" s="245"/>
      <c r="H788" s="245"/>
      <c r="I788" s="245"/>
      <c r="J788" s="245"/>
      <c r="K788" s="245"/>
      <c r="L788" s="246"/>
      <c r="M788" s="245"/>
      <c r="N788" s="245"/>
      <c r="O788" s="245"/>
      <c r="P788" s="245"/>
      <c r="Q788" s="247"/>
      <c r="R788" s="247"/>
      <c r="S788" s="247"/>
      <c r="T788" s="245"/>
      <c r="U788" s="245"/>
      <c r="V788" s="241"/>
      <c r="W788" s="241"/>
      <c r="X788" s="241"/>
    </row>
    <row r="789" spans="1:24" ht="13.5" customHeight="1" x14ac:dyDescent="0.3">
      <c r="A789" s="245"/>
      <c r="B789" s="246"/>
      <c r="C789" s="245"/>
      <c r="D789" s="245"/>
      <c r="E789" s="245"/>
      <c r="F789" s="245"/>
      <c r="G789" s="245"/>
      <c r="H789" s="245"/>
      <c r="I789" s="245"/>
      <c r="J789" s="245"/>
      <c r="K789" s="245"/>
      <c r="L789" s="246"/>
      <c r="M789" s="245"/>
      <c r="N789" s="245"/>
      <c r="O789" s="245"/>
      <c r="P789" s="245"/>
      <c r="Q789" s="247"/>
      <c r="R789" s="247"/>
      <c r="S789" s="247"/>
      <c r="T789" s="245"/>
      <c r="U789" s="245"/>
      <c r="V789" s="241"/>
      <c r="W789" s="241"/>
      <c r="X789" s="241"/>
    </row>
    <row r="790" spans="1:24" ht="13.5" customHeight="1" x14ac:dyDescent="0.3">
      <c r="A790" s="245"/>
      <c r="B790" s="246"/>
      <c r="C790" s="245"/>
      <c r="D790" s="245"/>
      <c r="E790" s="245"/>
      <c r="F790" s="245"/>
      <c r="G790" s="245"/>
      <c r="H790" s="245"/>
      <c r="I790" s="245"/>
      <c r="J790" s="245"/>
      <c r="K790" s="245"/>
      <c r="L790" s="246"/>
      <c r="M790" s="245"/>
      <c r="N790" s="245"/>
      <c r="O790" s="245"/>
      <c r="P790" s="245"/>
      <c r="Q790" s="247"/>
      <c r="R790" s="247"/>
      <c r="S790" s="247"/>
      <c r="T790" s="245"/>
      <c r="U790" s="245"/>
      <c r="V790" s="241"/>
      <c r="W790" s="241"/>
      <c r="X790" s="241"/>
    </row>
    <row r="791" spans="1:24" ht="13.5" customHeight="1" x14ac:dyDescent="0.3">
      <c r="A791" s="245"/>
      <c r="B791" s="246"/>
      <c r="C791" s="245"/>
      <c r="D791" s="245"/>
      <c r="E791" s="245"/>
      <c r="F791" s="245"/>
      <c r="G791" s="245"/>
      <c r="H791" s="245"/>
      <c r="I791" s="245"/>
      <c r="J791" s="245"/>
      <c r="K791" s="245"/>
      <c r="L791" s="246"/>
      <c r="M791" s="245"/>
      <c r="N791" s="245"/>
      <c r="O791" s="245"/>
      <c r="P791" s="245"/>
      <c r="Q791" s="247"/>
      <c r="R791" s="247"/>
      <c r="S791" s="247"/>
      <c r="T791" s="245"/>
      <c r="U791" s="245"/>
      <c r="V791" s="241"/>
      <c r="W791" s="241"/>
      <c r="X791" s="241"/>
    </row>
    <row r="792" spans="1:24" ht="13.5" customHeight="1" x14ac:dyDescent="0.3">
      <c r="A792" s="245"/>
      <c r="B792" s="246"/>
      <c r="C792" s="245"/>
      <c r="D792" s="245"/>
      <c r="E792" s="245"/>
      <c r="F792" s="245"/>
      <c r="G792" s="245"/>
      <c r="H792" s="245"/>
      <c r="I792" s="245"/>
      <c r="J792" s="245"/>
      <c r="K792" s="245"/>
      <c r="L792" s="246"/>
      <c r="M792" s="245"/>
      <c r="N792" s="245"/>
      <c r="O792" s="245"/>
      <c r="P792" s="245"/>
      <c r="Q792" s="247"/>
      <c r="R792" s="247"/>
      <c r="S792" s="247"/>
      <c r="T792" s="245"/>
      <c r="U792" s="245"/>
      <c r="V792" s="241"/>
      <c r="W792" s="241"/>
      <c r="X792" s="241"/>
    </row>
    <row r="793" spans="1:24" ht="13.5" customHeight="1" x14ac:dyDescent="0.3">
      <c r="A793" s="245"/>
      <c r="B793" s="246"/>
      <c r="C793" s="245"/>
      <c r="D793" s="245"/>
      <c r="E793" s="245"/>
      <c r="F793" s="245"/>
      <c r="G793" s="245"/>
      <c r="H793" s="245"/>
      <c r="I793" s="245"/>
      <c r="J793" s="245"/>
      <c r="K793" s="245"/>
      <c r="L793" s="246"/>
      <c r="M793" s="245"/>
      <c r="N793" s="245"/>
      <c r="O793" s="245"/>
      <c r="P793" s="245"/>
      <c r="Q793" s="247"/>
      <c r="R793" s="247"/>
      <c r="S793" s="247"/>
      <c r="T793" s="245"/>
      <c r="U793" s="245"/>
      <c r="V793" s="241"/>
      <c r="W793" s="241"/>
      <c r="X793" s="241"/>
    </row>
    <row r="794" spans="1:24" ht="13.5" customHeight="1" x14ac:dyDescent="0.3">
      <c r="A794" s="245"/>
      <c r="B794" s="246"/>
      <c r="C794" s="245"/>
      <c r="D794" s="245"/>
      <c r="E794" s="245"/>
      <c r="F794" s="245"/>
      <c r="G794" s="245"/>
      <c r="H794" s="245"/>
      <c r="I794" s="245"/>
      <c r="J794" s="245"/>
      <c r="K794" s="245"/>
      <c r="L794" s="246"/>
      <c r="M794" s="245"/>
      <c r="N794" s="245"/>
      <c r="O794" s="245"/>
      <c r="P794" s="245"/>
      <c r="Q794" s="247"/>
      <c r="R794" s="247"/>
      <c r="S794" s="247"/>
      <c r="T794" s="245"/>
      <c r="U794" s="245"/>
      <c r="V794" s="241"/>
      <c r="W794" s="241"/>
      <c r="X794" s="241"/>
    </row>
    <row r="795" spans="1:24" ht="13.5" customHeight="1" x14ac:dyDescent="0.3">
      <c r="A795" s="245"/>
      <c r="B795" s="246"/>
      <c r="C795" s="245"/>
      <c r="D795" s="245"/>
      <c r="E795" s="245"/>
      <c r="F795" s="245"/>
      <c r="G795" s="245"/>
      <c r="H795" s="245"/>
      <c r="I795" s="245"/>
      <c r="J795" s="245"/>
      <c r="K795" s="245"/>
      <c r="L795" s="246"/>
      <c r="M795" s="245"/>
      <c r="N795" s="245"/>
      <c r="O795" s="245"/>
      <c r="P795" s="245"/>
      <c r="Q795" s="247"/>
      <c r="R795" s="247"/>
      <c r="S795" s="247"/>
      <c r="T795" s="245"/>
      <c r="U795" s="245"/>
      <c r="V795" s="241"/>
      <c r="W795" s="241"/>
      <c r="X795" s="241"/>
    </row>
    <row r="796" spans="1:24" ht="13.5" customHeight="1" x14ac:dyDescent="0.3">
      <c r="A796" s="245"/>
      <c r="B796" s="246"/>
      <c r="C796" s="245"/>
      <c r="D796" s="245"/>
      <c r="E796" s="245"/>
      <c r="F796" s="245"/>
      <c r="G796" s="245"/>
      <c r="H796" s="245"/>
      <c r="I796" s="245"/>
      <c r="J796" s="245"/>
      <c r="K796" s="245"/>
      <c r="L796" s="246"/>
      <c r="M796" s="245"/>
      <c r="N796" s="245"/>
      <c r="O796" s="245"/>
      <c r="P796" s="245"/>
      <c r="Q796" s="247"/>
      <c r="R796" s="247"/>
      <c r="S796" s="247"/>
      <c r="T796" s="245"/>
      <c r="U796" s="245"/>
      <c r="V796" s="241"/>
      <c r="W796" s="241"/>
      <c r="X796" s="241"/>
    </row>
    <row r="797" spans="1:24" ht="13.5" customHeight="1" x14ac:dyDescent="0.3">
      <c r="A797" s="245"/>
      <c r="B797" s="246"/>
      <c r="C797" s="245"/>
      <c r="D797" s="245"/>
      <c r="E797" s="245"/>
      <c r="F797" s="245"/>
      <c r="G797" s="245"/>
      <c r="H797" s="245"/>
      <c r="I797" s="245"/>
      <c r="J797" s="245"/>
      <c r="K797" s="245"/>
      <c r="L797" s="246"/>
      <c r="M797" s="245"/>
      <c r="N797" s="245"/>
      <c r="O797" s="245"/>
      <c r="P797" s="245"/>
      <c r="Q797" s="247"/>
      <c r="R797" s="247"/>
      <c r="S797" s="247"/>
      <c r="T797" s="245"/>
      <c r="U797" s="245"/>
      <c r="V797" s="241"/>
      <c r="W797" s="241"/>
      <c r="X797" s="241"/>
    </row>
    <row r="798" spans="1:24" ht="13.5" customHeight="1" x14ac:dyDescent="0.3">
      <c r="A798" s="245"/>
      <c r="B798" s="246"/>
      <c r="C798" s="245"/>
      <c r="D798" s="245"/>
      <c r="E798" s="245"/>
      <c r="F798" s="245"/>
      <c r="G798" s="245"/>
      <c r="H798" s="245"/>
      <c r="I798" s="245"/>
      <c r="J798" s="245"/>
      <c r="K798" s="245"/>
      <c r="L798" s="246"/>
      <c r="M798" s="245"/>
      <c r="N798" s="245"/>
      <c r="O798" s="245"/>
      <c r="P798" s="245"/>
      <c r="Q798" s="247"/>
      <c r="R798" s="247"/>
      <c r="S798" s="247"/>
      <c r="T798" s="245"/>
      <c r="U798" s="245"/>
      <c r="V798" s="241"/>
      <c r="W798" s="241"/>
      <c r="X798" s="241"/>
    </row>
    <row r="799" spans="1:24" ht="13.5" customHeight="1" x14ac:dyDescent="0.3">
      <c r="A799" s="245"/>
      <c r="B799" s="246"/>
      <c r="C799" s="245"/>
      <c r="D799" s="245"/>
      <c r="E799" s="245"/>
      <c r="F799" s="245"/>
      <c r="G799" s="245"/>
      <c r="H799" s="245"/>
      <c r="I799" s="245"/>
      <c r="J799" s="245"/>
      <c r="K799" s="245"/>
      <c r="L799" s="246"/>
      <c r="M799" s="245"/>
      <c r="N799" s="245"/>
      <c r="O799" s="245"/>
      <c r="P799" s="245"/>
      <c r="Q799" s="247"/>
      <c r="R799" s="247"/>
      <c r="S799" s="247"/>
      <c r="T799" s="245"/>
      <c r="U799" s="245"/>
      <c r="V799" s="241"/>
      <c r="W799" s="241"/>
      <c r="X799" s="241"/>
    </row>
    <row r="800" spans="1:24" ht="13.5" customHeight="1" x14ac:dyDescent="0.3">
      <c r="A800" s="245"/>
      <c r="B800" s="246"/>
      <c r="C800" s="245"/>
      <c r="D800" s="245"/>
      <c r="E800" s="245"/>
      <c r="F800" s="245"/>
      <c r="G800" s="245"/>
      <c r="H800" s="245"/>
      <c r="I800" s="245"/>
      <c r="J800" s="245"/>
      <c r="K800" s="245"/>
      <c r="L800" s="246"/>
      <c r="M800" s="245"/>
      <c r="N800" s="245"/>
      <c r="O800" s="245"/>
      <c r="P800" s="245"/>
      <c r="Q800" s="247"/>
      <c r="R800" s="247"/>
      <c r="S800" s="247"/>
      <c r="T800" s="245"/>
      <c r="U800" s="245"/>
      <c r="V800" s="241"/>
      <c r="W800" s="241"/>
      <c r="X800" s="241"/>
    </row>
    <row r="801" spans="1:24" ht="13.5" customHeight="1" x14ac:dyDescent="0.3">
      <c r="A801" s="245"/>
      <c r="B801" s="246"/>
      <c r="C801" s="245"/>
      <c r="D801" s="245"/>
      <c r="E801" s="245"/>
      <c r="F801" s="245"/>
      <c r="G801" s="245"/>
      <c r="H801" s="245"/>
      <c r="I801" s="245"/>
      <c r="J801" s="245"/>
      <c r="K801" s="245"/>
      <c r="L801" s="246"/>
      <c r="M801" s="245"/>
      <c r="N801" s="245"/>
      <c r="O801" s="245"/>
      <c r="P801" s="245"/>
      <c r="Q801" s="247"/>
      <c r="R801" s="247"/>
      <c r="S801" s="247"/>
      <c r="T801" s="245"/>
      <c r="U801" s="245"/>
      <c r="V801" s="241"/>
      <c r="W801" s="241"/>
      <c r="X801" s="241"/>
    </row>
    <row r="802" spans="1:24" ht="13.5" customHeight="1" x14ac:dyDescent="0.3">
      <c r="A802" s="245"/>
      <c r="B802" s="246"/>
      <c r="C802" s="245"/>
      <c r="D802" s="245"/>
      <c r="E802" s="245"/>
      <c r="F802" s="245"/>
      <c r="G802" s="245"/>
      <c r="H802" s="245"/>
      <c r="I802" s="245"/>
      <c r="J802" s="245"/>
      <c r="K802" s="245"/>
      <c r="L802" s="246"/>
      <c r="M802" s="245"/>
      <c r="N802" s="245"/>
      <c r="O802" s="245"/>
      <c r="P802" s="245"/>
      <c r="Q802" s="247"/>
      <c r="R802" s="247"/>
      <c r="S802" s="247"/>
      <c r="T802" s="245"/>
      <c r="U802" s="245"/>
      <c r="V802" s="241"/>
      <c r="W802" s="241"/>
      <c r="X802" s="241"/>
    </row>
    <row r="803" spans="1:24" ht="13.5" customHeight="1" x14ac:dyDescent="0.3">
      <c r="A803" s="245"/>
      <c r="B803" s="246"/>
      <c r="C803" s="245"/>
      <c r="D803" s="245"/>
      <c r="E803" s="245"/>
      <c r="F803" s="245"/>
      <c r="G803" s="245"/>
      <c r="H803" s="245"/>
      <c r="I803" s="245"/>
      <c r="J803" s="245"/>
      <c r="K803" s="245"/>
      <c r="L803" s="246"/>
      <c r="M803" s="245"/>
      <c r="N803" s="245"/>
      <c r="O803" s="245"/>
      <c r="P803" s="245"/>
      <c r="Q803" s="247"/>
      <c r="R803" s="247"/>
      <c r="S803" s="247"/>
      <c r="T803" s="245"/>
      <c r="U803" s="245"/>
      <c r="V803" s="241"/>
      <c r="W803" s="241"/>
      <c r="X803" s="241"/>
    </row>
    <row r="804" spans="1:24" ht="13.5" customHeight="1" x14ac:dyDescent="0.3">
      <c r="A804" s="245"/>
      <c r="B804" s="246"/>
      <c r="C804" s="245"/>
      <c r="D804" s="245"/>
      <c r="E804" s="245"/>
      <c r="F804" s="245"/>
      <c r="G804" s="245"/>
      <c r="H804" s="245"/>
      <c r="I804" s="245"/>
      <c r="J804" s="245"/>
      <c r="K804" s="245"/>
      <c r="L804" s="246"/>
      <c r="M804" s="245"/>
      <c r="N804" s="245"/>
      <c r="O804" s="245"/>
      <c r="P804" s="245"/>
      <c r="Q804" s="247"/>
      <c r="R804" s="247"/>
      <c r="S804" s="247"/>
      <c r="T804" s="245"/>
      <c r="U804" s="245"/>
      <c r="V804" s="241"/>
      <c r="W804" s="241"/>
      <c r="X804" s="241"/>
    </row>
    <row r="805" spans="1:24" ht="13.5" customHeight="1" x14ac:dyDescent="0.3">
      <c r="A805" s="245"/>
      <c r="B805" s="246"/>
      <c r="C805" s="245"/>
      <c r="D805" s="245"/>
      <c r="E805" s="245"/>
      <c r="F805" s="245"/>
      <c r="G805" s="245"/>
      <c r="H805" s="245"/>
      <c r="I805" s="245"/>
      <c r="J805" s="245"/>
      <c r="K805" s="245"/>
      <c r="L805" s="246"/>
      <c r="M805" s="245"/>
      <c r="N805" s="245"/>
      <c r="O805" s="245"/>
      <c r="P805" s="245"/>
      <c r="Q805" s="247"/>
      <c r="R805" s="247"/>
      <c r="S805" s="247"/>
      <c r="T805" s="245"/>
      <c r="U805" s="245"/>
      <c r="V805" s="241"/>
      <c r="W805" s="241"/>
      <c r="X805" s="241"/>
    </row>
    <row r="806" spans="1:24" ht="13.5" customHeight="1" x14ac:dyDescent="0.3">
      <c r="A806" s="245"/>
      <c r="B806" s="246"/>
      <c r="C806" s="245"/>
      <c r="D806" s="245"/>
      <c r="E806" s="245"/>
      <c r="F806" s="245"/>
      <c r="G806" s="245"/>
      <c r="H806" s="245"/>
      <c r="I806" s="245"/>
      <c r="J806" s="245"/>
      <c r="K806" s="245"/>
      <c r="L806" s="246"/>
      <c r="M806" s="245"/>
      <c r="N806" s="245"/>
      <c r="O806" s="245"/>
      <c r="P806" s="245"/>
      <c r="Q806" s="247"/>
      <c r="R806" s="247"/>
      <c r="S806" s="247"/>
      <c r="T806" s="245"/>
      <c r="U806" s="245"/>
      <c r="V806" s="241"/>
      <c r="W806" s="241"/>
      <c r="X806" s="241"/>
    </row>
    <row r="807" spans="1:24" ht="13.5" customHeight="1" x14ac:dyDescent="0.3">
      <c r="A807" s="245"/>
      <c r="B807" s="246"/>
      <c r="C807" s="245"/>
      <c r="D807" s="245"/>
      <c r="E807" s="245"/>
      <c r="F807" s="245"/>
      <c r="G807" s="245"/>
      <c r="H807" s="245"/>
      <c r="I807" s="245"/>
      <c r="J807" s="245"/>
      <c r="K807" s="245"/>
      <c r="L807" s="246"/>
      <c r="M807" s="245"/>
      <c r="N807" s="245"/>
      <c r="O807" s="245"/>
      <c r="P807" s="245"/>
      <c r="Q807" s="247"/>
      <c r="R807" s="247"/>
      <c r="S807" s="247"/>
      <c r="T807" s="245"/>
      <c r="U807" s="245"/>
      <c r="V807" s="241"/>
      <c r="W807" s="241"/>
      <c r="X807" s="241"/>
    </row>
    <row r="808" spans="1:24" ht="13.5" customHeight="1" x14ac:dyDescent="0.3">
      <c r="A808" s="245"/>
      <c r="B808" s="246"/>
      <c r="C808" s="245"/>
      <c r="D808" s="245"/>
      <c r="E808" s="245"/>
      <c r="F808" s="245"/>
      <c r="G808" s="245"/>
      <c r="H808" s="245"/>
      <c r="I808" s="245"/>
      <c r="J808" s="245"/>
      <c r="K808" s="245"/>
      <c r="L808" s="246"/>
      <c r="M808" s="245"/>
      <c r="N808" s="245"/>
      <c r="O808" s="245"/>
      <c r="P808" s="245"/>
      <c r="Q808" s="247"/>
      <c r="R808" s="247"/>
      <c r="S808" s="247"/>
      <c r="T808" s="245"/>
      <c r="U808" s="245"/>
      <c r="V808" s="241"/>
      <c r="W808" s="241"/>
      <c r="X808" s="241"/>
    </row>
    <row r="809" spans="1:24" ht="13.5" customHeight="1" x14ac:dyDescent="0.3">
      <c r="A809" s="245"/>
      <c r="B809" s="246"/>
      <c r="C809" s="245"/>
      <c r="D809" s="245"/>
      <c r="E809" s="245"/>
      <c r="F809" s="245"/>
      <c r="G809" s="245"/>
      <c r="H809" s="245"/>
      <c r="I809" s="245"/>
      <c r="J809" s="245"/>
      <c r="K809" s="245"/>
      <c r="L809" s="246"/>
      <c r="M809" s="245"/>
      <c r="N809" s="245"/>
      <c r="O809" s="245"/>
      <c r="P809" s="245"/>
      <c r="Q809" s="247"/>
      <c r="R809" s="247"/>
      <c r="S809" s="247"/>
      <c r="T809" s="245"/>
      <c r="U809" s="245"/>
      <c r="V809" s="241"/>
      <c r="W809" s="241"/>
      <c r="X809" s="241"/>
    </row>
    <row r="810" spans="1:24" ht="13.5" customHeight="1" x14ac:dyDescent="0.3">
      <c r="A810" s="245"/>
      <c r="B810" s="246"/>
      <c r="C810" s="245"/>
      <c r="D810" s="245"/>
      <c r="E810" s="245"/>
      <c r="F810" s="245"/>
      <c r="G810" s="245"/>
      <c r="H810" s="245"/>
      <c r="I810" s="245"/>
      <c r="J810" s="245"/>
      <c r="K810" s="245"/>
      <c r="L810" s="246"/>
      <c r="M810" s="245"/>
      <c r="N810" s="245"/>
      <c r="O810" s="245"/>
      <c r="P810" s="245"/>
      <c r="Q810" s="247"/>
      <c r="R810" s="247"/>
      <c r="S810" s="247"/>
      <c r="T810" s="245"/>
      <c r="U810" s="245"/>
      <c r="V810" s="241"/>
      <c r="W810" s="241"/>
      <c r="X810" s="241"/>
    </row>
    <row r="811" spans="1:24" ht="13.5" customHeight="1" x14ac:dyDescent="0.3">
      <c r="A811" s="245"/>
      <c r="B811" s="246"/>
      <c r="C811" s="245"/>
      <c r="D811" s="245"/>
      <c r="E811" s="245"/>
      <c r="F811" s="245"/>
      <c r="G811" s="245"/>
      <c r="H811" s="245"/>
      <c r="I811" s="245"/>
      <c r="J811" s="245"/>
      <c r="K811" s="245"/>
      <c r="L811" s="246"/>
      <c r="M811" s="245"/>
      <c r="N811" s="245"/>
      <c r="O811" s="245"/>
      <c r="P811" s="245"/>
      <c r="Q811" s="247"/>
      <c r="R811" s="247"/>
      <c r="S811" s="247"/>
      <c r="T811" s="245"/>
      <c r="U811" s="245"/>
      <c r="V811" s="241"/>
      <c r="W811" s="241"/>
      <c r="X811" s="241"/>
    </row>
    <row r="812" spans="1:24" ht="13.5" customHeight="1" x14ac:dyDescent="0.3">
      <c r="A812" s="245"/>
      <c r="B812" s="246"/>
      <c r="C812" s="245"/>
      <c r="D812" s="245"/>
      <c r="E812" s="245"/>
      <c r="F812" s="245"/>
      <c r="G812" s="245"/>
      <c r="H812" s="245"/>
      <c r="I812" s="245"/>
      <c r="J812" s="245"/>
      <c r="K812" s="245"/>
      <c r="L812" s="246"/>
      <c r="M812" s="245"/>
      <c r="N812" s="245"/>
      <c r="O812" s="245"/>
      <c r="P812" s="245"/>
      <c r="Q812" s="247"/>
      <c r="R812" s="247"/>
      <c r="S812" s="247"/>
      <c r="T812" s="245"/>
      <c r="U812" s="245"/>
      <c r="V812" s="241"/>
      <c r="W812" s="241"/>
      <c r="X812" s="241"/>
    </row>
    <row r="813" spans="1:24" ht="13.5" customHeight="1" x14ac:dyDescent="0.3">
      <c r="A813" s="245"/>
      <c r="B813" s="246"/>
      <c r="C813" s="245"/>
      <c r="D813" s="245"/>
      <c r="E813" s="245"/>
      <c r="F813" s="245"/>
      <c r="G813" s="245"/>
      <c r="H813" s="245"/>
      <c r="I813" s="245"/>
      <c r="J813" s="245"/>
      <c r="K813" s="245"/>
      <c r="L813" s="246"/>
      <c r="M813" s="245"/>
      <c r="N813" s="245"/>
      <c r="O813" s="245"/>
      <c r="P813" s="245"/>
      <c r="Q813" s="247"/>
      <c r="R813" s="247"/>
      <c r="S813" s="247"/>
      <c r="T813" s="245"/>
      <c r="U813" s="245"/>
      <c r="V813" s="241"/>
      <c r="W813" s="241"/>
      <c r="X813" s="241"/>
    </row>
    <row r="814" spans="1:24" ht="13.5" customHeight="1" x14ac:dyDescent="0.3">
      <c r="A814" s="245"/>
      <c r="B814" s="246"/>
      <c r="C814" s="245"/>
      <c r="D814" s="245"/>
      <c r="E814" s="245"/>
      <c r="F814" s="245"/>
      <c r="G814" s="245"/>
      <c r="H814" s="245"/>
      <c r="I814" s="245"/>
      <c r="J814" s="245"/>
      <c r="K814" s="245"/>
      <c r="L814" s="246"/>
      <c r="M814" s="245"/>
      <c r="N814" s="245"/>
      <c r="O814" s="245"/>
      <c r="P814" s="245"/>
      <c r="Q814" s="247"/>
      <c r="R814" s="247"/>
      <c r="S814" s="247"/>
      <c r="T814" s="245"/>
      <c r="U814" s="245"/>
      <c r="V814" s="241"/>
      <c r="W814" s="241"/>
      <c r="X814" s="241"/>
    </row>
    <row r="815" spans="1:24" ht="13.5" customHeight="1" x14ac:dyDescent="0.3">
      <c r="A815" s="245"/>
      <c r="B815" s="246"/>
      <c r="C815" s="245"/>
      <c r="D815" s="245"/>
      <c r="E815" s="245"/>
      <c r="F815" s="245"/>
      <c r="G815" s="245"/>
      <c r="H815" s="245"/>
      <c r="I815" s="245"/>
      <c r="J815" s="245"/>
      <c r="K815" s="245"/>
      <c r="L815" s="246"/>
      <c r="M815" s="245"/>
      <c r="N815" s="245"/>
      <c r="O815" s="245"/>
      <c r="P815" s="245"/>
      <c r="Q815" s="247"/>
      <c r="R815" s="247"/>
      <c r="S815" s="247"/>
      <c r="T815" s="245"/>
      <c r="U815" s="245"/>
      <c r="V815" s="241"/>
      <c r="W815" s="241"/>
      <c r="X815" s="241"/>
    </row>
    <row r="816" spans="1:24" ht="13.5" customHeight="1" x14ac:dyDescent="0.3">
      <c r="A816" s="245"/>
      <c r="B816" s="246"/>
      <c r="C816" s="245"/>
      <c r="D816" s="245"/>
      <c r="E816" s="245"/>
      <c r="F816" s="245"/>
      <c r="G816" s="245"/>
      <c r="H816" s="245"/>
      <c r="I816" s="245"/>
      <c r="J816" s="245"/>
      <c r="K816" s="245"/>
      <c r="L816" s="246"/>
      <c r="M816" s="245"/>
      <c r="N816" s="245"/>
      <c r="O816" s="245"/>
      <c r="P816" s="245"/>
      <c r="Q816" s="247"/>
      <c r="R816" s="247"/>
      <c r="S816" s="247"/>
      <c r="T816" s="245"/>
      <c r="U816" s="245"/>
      <c r="V816" s="241"/>
      <c r="W816" s="241"/>
      <c r="X816" s="241"/>
    </row>
    <row r="817" spans="1:24" ht="13.5" customHeight="1" x14ac:dyDescent="0.3">
      <c r="A817" s="245"/>
      <c r="B817" s="246"/>
      <c r="C817" s="245"/>
      <c r="D817" s="245"/>
      <c r="E817" s="245"/>
      <c r="F817" s="245"/>
      <c r="G817" s="245"/>
      <c r="H817" s="245"/>
      <c r="I817" s="245"/>
      <c r="J817" s="245"/>
      <c r="K817" s="245"/>
      <c r="L817" s="246"/>
      <c r="M817" s="245"/>
      <c r="N817" s="245"/>
      <c r="O817" s="245"/>
      <c r="P817" s="245"/>
      <c r="Q817" s="247"/>
      <c r="R817" s="247"/>
      <c r="S817" s="247"/>
      <c r="T817" s="245"/>
      <c r="U817" s="245"/>
      <c r="V817" s="241"/>
      <c r="W817" s="241"/>
      <c r="X817" s="241"/>
    </row>
    <row r="818" spans="1:24" ht="13.5" customHeight="1" x14ac:dyDescent="0.3">
      <c r="A818" s="245"/>
      <c r="B818" s="246"/>
      <c r="C818" s="245"/>
      <c r="D818" s="245"/>
      <c r="E818" s="245"/>
      <c r="F818" s="245"/>
      <c r="G818" s="245"/>
      <c r="H818" s="245"/>
      <c r="I818" s="245"/>
      <c r="J818" s="245"/>
      <c r="K818" s="245"/>
      <c r="L818" s="246"/>
      <c r="M818" s="245"/>
      <c r="N818" s="245"/>
      <c r="O818" s="245"/>
      <c r="P818" s="245"/>
      <c r="Q818" s="247"/>
      <c r="R818" s="247"/>
      <c r="S818" s="247"/>
      <c r="T818" s="245"/>
      <c r="U818" s="245"/>
      <c r="V818" s="241"/>
      <c r="W818" s="241"/>
      <c r="X818" s="241"/>
    </row>
    <row r="819" spans="1:24" ht="13.5" customHeight="1" x14ac:dyDescent="0.3">
      <c r="A819" s="245"/>
      <c r="B819" s="246"/>
      <c r="C819" s="245"/>
      <c r="D819" s="245"/>
      <c r="E819" s="245"/>
      <c r="F819" s="245"/>
      <c r="G819" s="245"/>
      <c r="H819" s="245"/>
      <c r="I819" s="245"/>
      <c r="J819" s="245"/>
      <c r="K819" s="245"/>
      <c r="L819" s="246"/>
      <c r="M819" s="245"/>
      <c r="N819" s="245"/>
      <c r="O819" s="245"/>
      <c r="P819" s="245"/>
      <c r="Q819" s="247"/>
      <c r="R819" s="247"/>
      <c r="S819" s="247"/>
      <c r="T819" s="245"/>
      <c r="U819" s="245"/>
      <c r="V819" s="241"/>
      <c r="W819" s="241"/>
      <c r="X819" s="241"/>
    </row>
    <row r="820" spans="1:24" ht="13.5" customHeight="1" x14ac:dyDescent="0.3">
      <c r="A820" s="245"/>
      <c r="B820" s="246"/>
      <c r="C820" s="245"/>
      <c r="D820" s="245"/>
      <c r="E820" s="245"/>
      <c r="F820" s="245"/>
      <c r="G820" s="245"/>
      <c r="H820" s="245"/>
      <c r="I820" s="245"/>
      <c r="J820" s="245"/>
      <c r="K820" s="245"/>
      <c r="L820" s="246"/>
      <c r="M820" s="245"/>
      <c r="N820" s="245"/>
      <c r="O820" s="245"/>
      <c r="P820" s="245"/>
      <c r="Q820" s="247"/>
      <c r="R820" s="247"/>
      <c r="S820" s="247"/>
      <c r="T820" s="245"/>
      <c r="U820" s="245"/>
      <c r="V820" s="241"/>
      <c r="W820" s="241"/>
      <c r="X820" s="241"/>
    </row>
    <row r="821" spans="1:24" ht="13.5" customHeight="1" x14ac:dyDescent="0.3">
      <c r="A821" s="245"/>
      <c r="B821" s="246"/>
      <c r="C821" s="245"/>
      <c r="D821" s="245"/>
      <c r="E821" s="245"/>
      <c r="F821" s="245"/>
      <c r="G821" s="245"/>
      <c r="H821" s="245"/>
      <c r="I821" s="245"/>
      <c r="J821" s="245"/>
      <c r="K821" s="245"/>
      <c r="L821" s="246"/>
      <c r="M821" s="245"/>
      <c r="N821" s="245"/>
      <c r="O821" s="245"/>
      <c r="P821" s="245"/>
      <c r="Q821" s="247"/>
      <c r="R821" s="247"/>
      <c r="S821" s="247"/>
      <c r="T821" s="245"/>
      <c r="U821" s="245"/>
      <c r="V821" s="241"/>
      <c r="W821" s="241"/>
      <c r="X821" s="241"/>
    </row>
    <row r="822" spans="1:24" ht="13.5" customHeight="1" x14ac:dyDescent="0.3">
      <c r="A822" s="245"/>
      <c r="B822" s="246"/>
      <c r="C822" s="245"/>
      <c r="D822" s="245"/>
      <c r="E822" s="245"/>
      <c r="F822" s="245"/>
      <c r="G822" s="245"/>
      <c r="H822" s="245"/>
      <c r="I822" s="245"/>
      <c r="J822" s="245"/>
      <c r="K822" s="245"/>
      <c r="L822" s="246"/>
      <c r="M822" s="245"/>
      <c r="N822" s="245"/>
      <c r="O822" s="245"/>
      <c r="P822" s="245"/>
      <c r="Q822" s="247"/>
      <c r="R822" s="247"/>
      <c r="S822" s="247"/>
      <c r="T822" s="245"/>
      <c r="U822" s="245"/>
      <c r="V822" s="241"/>
      <c r="W822" s="241"/>
      <c r="X822" s="241"/>
    </row>
    <row r="823" spans="1:24" ht="13.5" customHeight="1" x14ac:dyDescent="0.3">
      <c r="A823" s="245"/>
      <c r="B823" s="246"/>
      <c r="C823" s="245"/>
      <c r="D823" s="245"/>
      <c r="E823" s="245"/>
      <c r="F823" s="245"/>
      <c r="G823" s="245"/>
      <c r="H823" s="245"/>
      <c r="I823" s="245"/>
      <c r="J823" s="245"/>
      <c r="K823" s="245"/>
      <c r="L823" s="246"/>
      <c r="M823" s="245"/>
      <c r="N823" s="245"/>
      <c r="O823" s="245"/>
      <c r="P823" s="245"/>
      <c r="Q823" s="247"/>
      <c r="R823" s="247"/>
      <c r="S823" s="247"/>
      <c r="T823" s="245"/>
      <c r="U823" s="245"/>
      <c r="V823" s="241"/>
      <c r="W823" s="241"/>
      <c r="X823" s="241"/>
    </row>
    <row r="824" spans="1:24" ht="13.5" customHeight="1" x14ac:dyDescent="0.3">
      <c r="A824" s="245"/>
      <c r="B824" s="246"/>
      <c r="C824" s="245"/>
      <c r="D824" s="245"/>
      <c r="E824" s="245"/>
      <c r="F824" s="245"/>
      <c r="G824" s="245"/>
      <c r="H824" s="245"/>
      <c r="I824" s="245"/>
      <c r="J824" s="245"/>
      <c r="K824" s="245"/>
      <c r="L824" s="246"/>
      <c r="M824" s="245"/>
      <c r="N824" s="245"/>
      <c r="O824" s="245"/>
      <c r="P824" s="245"/>
      <c r="Q824" s="247"/>
      <c r="R824" s="247"/>
      <c r="S824" s="247"/>
      <c r="T824" s="245"/>
      <c r="U824" s="245"/>
      <c r="V824" s="241"/>
      <c r="W824" s="241"/>
      <c r="X824" s="241"/>
    </row>
    <row r="825" spans="1:24" ht="13.5" customHeight="1" x14ac:dyDescent="0.3">
      <c r="A825" s="245"/>
      <c r="B825" s="246"/>
      <c r="C825" s="245"/>
      <c r="D825" s="245"/>
      <c r="E825" s="245"/>
      <c r="F825" s="245"/>
      <c r="G825" s="245"/>
      <c r="H825" s="245"/>
      <c r="I825" s="245"/>
      <c r="J825" s="245"/>
      <c r="K825" s="245"/>
      <c r="L825" s="246"/>
      <c r="M825" s="245"/>
      <c r="N825" s="245"/>
      <c r="O825" s="245"/>
      <c r="P825" s="245"/>
      <c r="Q825" s="247"/>
      <c r="R825" s="247"/>
      <c r="S825" s="247"/>
      <c r="T825" s="245"/>
      <c r="U825" s="245"/>
      <c r="V825" s="241"/>
      <c r="W825" s="241"/>
      <c r="X825" s="241"/>
    </row>
    <row r="826" spans="1:24" ht="13.5" customHeight="1" x14ac:dyDescent="0.3">
      <c r="A826" s="245"/>
      <c r="B826" s="246"/>
      <c r="C826" s="245"/>
      <c r="D826" s="245"/>
      <c r="E826" s="245"/>
      <c r="F826" s="245"/>
      <c r="G826" s="245"/>
      <c r="H826" s="245"/>
      <c r="I826" s="245"/>
      <c r="J826" s="245"/>
      <c r="K826" s="245"/>
      <c r="L826" s="246"/>
      <c r="M826" s="245"/>
      <c r="N826" s="245"/>
      <c r="O826" s="245"/>
      <c r="P826" s="245"/>
      <c r="Q826" s="247"/>
      <c r="R826" s="247"/>
      <c r="S826" s="247"/>
      <c r="T826" s="245"/>
      <c r="U826" s="245"/>
      <c r="V826" s="241"/>
      <c r="W826" s="241"/>
      <c r="X826" s="241"/>
    </row>
    <row r="827" spans="1:24" ht="13.5" customHeight="1" x14ac:dyDescent="0.3">
      <c r="A827" s="245"/>
      <c r="B827" s="246"/>
      <c r="C827" s="245"/>
      <c r="D827" s="245"/>
      <c r="E827" s="245"/>
      <c r="F827" s="245"/>
      <c r="G827" s="245"/>
      <c r="H827" s="245"/>
      <c r="I827" s="245"/>
      <c r="J827" s="245"/>
      <c r="K827" s="245"/>
      <c r="L827" s="246"/>
      <c r="M827" s="245"/>
      <c r="N827" s="245"/>
      <c r="O827" s="245"/>
      <c r="P827" s="245"/>
      <c r="Q827" s="247"/>
      <c r="R827" s="247"/>
      <c r="S827" s="247"/>
      <c r="T827" s="245"/>
      <c r="U827" s="245"/>
      <c r="V827" s="241"/>
      <c r="W827" s="241"/>
      <c r="X827" s="241"/>
    </row>
    <row r="828" spans="1:24" ht="13.5" customHeight="1" x14ac:dyDescent="0.3">
      <c r="A828" s="245"/>
      <c r="B828" s="246"/>
      <c r="C828" s="245"/>
      <c r="D828" s="245"/>
      <c r="E828" s="245"/>
      <c r="F828" s="245"/>
      <c r="G828" s="245"/>
      <c r="H828" s="245"/>
      <c r="I828" s="245"/>
      <c r="J828" s="245"/>
      <c r="K828" s="245"/>
      <c r="L828" s="246"/>
      <c r="M828" s="245"/>
      <c r="N828" s="245"/>
      <c r="O828" s="245"/>
      <c r="P828" s="245"/>
      <c r="Q828" s="247"/>
      <c r="R828" s="247"/>
      <c r="S828" s="247"/>
      <c r="T828" s="245"/>
      <c r="U828" s="245"/>
      <c r="V828" s="241"/>
      <c r="W828" s="241"/>
      <c r="X828" s="241"/>
    </row>
    <row r="829" spans="1:24" ht="13.5" customHeight="1" x14ac:dyDescent="0.3">
      <c r="A829" s="245"/>
      <c r="B829" s="246"/>
      <c r="C829" s="245"/>
      <c r="D829" s="245"/>
      <c r="E829" s="245"/>
      <c r="F829" s="245"/>
      <c r="G829" s="245"/>
      <c r="H829" s="245"/>
      <c r="I829" s="245"/>
      <c r="J829" s="245"/>
      <c r="K829" s="245"/>
      <c r="L829" s="246"/>
      <c r="M829" s="245"/>
      <c r="N829" s="245"/>
      <c r="O829" s="245"/>
      <c r="P829" s="245"/>
      <c r="Q829" s="247"/>
      <c r="R829" s="247"/>
      <c r="S829" s="247"/>
      <c r="T829" s="245"/>
      <c r="U829" s="245"/>
      <c r="V829" s="241"/>
      <c r="W829" s="241"/>
      <c r="X829" s="241"/>
    </row>
    <row r="830" spans="1:24" ht="13.5" customHeight="1" x14ac:dyDescent="0.3">
      <c r="A830" s="245"/>
      <c r="B830" s="246"/>
      <c r="C830" s="245"/>
      <c r="D830" s="245"/>
      <c r="E830" s="245"/>
      <c r="F830" s="245"/>
      <c r="G830" s="245"/>
      <c r="H830" s="245"/>
      <c r="I830" s="245"/>
      <c r="J830" s="245"/>
      <c r="K830" s="245"/>
      <c r="L830" s="246"/>
      <c r="M830" s="245"/>
      <c r="N830" s="245"/>
      <c r="O830" s="245"/>
      <c r="P830" s="245"/>
      <c r="Q830" s="247"/>
      <c r="R830" s="247"/>
      <c r="S830" s="247"/>
      <c r="T830" s="245"/>
      <c r="U830" s="245"/>
      <c r="V830" s="241"/>
      <c r="W830" s="241"/>
      <c r="X830" s="241"/>
    </row>
    <row r="831" spans="1:24" ht="13.5" customHeight="1" x14ac:dyDescent="0.3">
      <c r="A831" s="245"/>
      <c r="B831" s="246"/>
      <c r="C831" s="245"/>
      <c r="D831" s="245"/>
      <c r="E831" s="245"/>
      <c r="F831" s="245"/>
      <c r="G831" s="245"/>
      <c r="H831" s="245"/>
      <c r="I831" s="245"/>
      <c r="J831" s="245"/>
      <c r="K831" s="245"/>
      <c r="L831" s="246"/>
      <c r="M831" s="245"/>
      <c r="N831" s="245"/>
      <c r="O831" s="245"/>
      <c r="P831" s="245"/>
      <c r="Q831" s="247"/>
      <c r="R831" s="247"/>
      <c r="S831" s="247"/>
      <c r="T831" s="245"/>
      <c r="U831" s="245"/>
      <c r="V831" s="241"/>
      <c r="W831" s="241"/>
      <c r="X831" s="241"/>
    </row>
    <row r="832" spans="1:24" ht="13.5" customHeight="1" x14ac:dyDescent="0.3">
      <c r="A832" s="245"/>
      <c r="B832" s="246"/>
      <c r="C832" s="245"/>
      <c r="D832" s="245"/>
      <c r="E832" s="245"/>
      <c r="F832" s="245"/>
      <c r="G832" s="245"/>
      <c r="H832" s="245"/>
      <c r="I832" s="245"/>
      <c r="J832" s="245"/>
      <c r="K832" s="245"/>
      <c r="L832" s="246"/>
      <c r="M832" s="245"/>
      <c r="N832" s="245"/>
      <c r="O832" s="245"/>
      <c r="P832" s="245"/>
      <c r="Q832" s="247"/>
      <c r="R832" s="247"/>
      <c r="S832" s="247"/>
      <c r="T832" s="245"/>
      <c r="U832" s="245"/>
      <c r="V832" s="241"/>
      <c r="W832" s="241"/>
      <c r="X832" s="241"/>
    </row>
    <row r="833" spans="1:24" ht="13.5" customHeight="1" x14ac:dyDescent="0.3">
      <c r="A833" s="245"/>
      <c r="B833" s="246"/>
      <c r="C833" s="245"/>
      <c r="D833" s="245"/>
      <c r="E833" s="245"/>
      <c r="F833" s="245"/>
      <c r="G833" s="245"/>
      <c r="H833" s="245"/>
      <c r="I833" s="245"/>
      <c r="J833" s="245"/>
      <c r="K833" s="245"/>
      <c r="L833" s="246"/>
      <c r="M833" s="245"/>
      <c r="N833" s="245"/>
      <c r="O833" s="245"/>
      <c r="P833" s="245"/>
      <c r="Q833" s="247"/>
      <c r="R833" s="247"/>
      <c r="S833" s="247"/>
      <c r="T833" s="245"/>
      <c r="U833" s="245"/>
      <c r="V833" s="241"/>
      <c r="W833" s="241"/>
      <c r="X833" s="241"/>
    </row>
    <row r="834" spans="1:24" ht="13.5" customHeight="1" x14ac:dyDescent="0.3">
      <c r="A834" s="245"/>
      <c r="B834" s="246"/>
      <c r="C834" s="245"/>
      <c r="D834" s="245"/>
      <c r="E834" s="245"/>
      <c r="F834" s="245"/>
      <c r="G834" s="245"/>
      <c r="H834" s="245"/>
      <c r="I834" s="245"/>
      <c r="J834" s="245"/>
      <c r="K834" s="245"/>
      <c r="L834" s="246"/>
      <c r="M834" s="245"/>
      <c r="N834" s="245"/>
      <c r="O834" s="245"/>
      <c r="P834" s="245"/>
      <c r="Q834" s="247"/>
      <c r="R834" s="247"/>
      <c r="S834" s="247"/>
      <c r="T834" s="245"/>
      <c r="U834" s="245"/>
      <c r="V834" s="241"/>
      <c r="W834" s="241"/>
      <c r="X834" s="241"/>
    </row>
    <row r="835" spans="1:24" ht="13.5" customHeight="1" x14ac:dyDescent="0.3">
      <c r="A835" s="245"/>
      <c r="B835" s="246"/>
      <c r="C835" s="245"/>
      <c r="D835" s="245"/>
      <c r="E835" s="245"/>
      <c r="F835" s="245"/>
      <c r="G835" s="245"/>
      <c r="H835" s="245"/>
      <c r="I835" s="245"/>
      <c r="J835" s="245"/>
      <c r="K835" s="245"/>
      <c r="L835" s="246"/>
      <c r="M835" s="245"/>
      <c r="N835" s="245"/>
      <c r="O835" s="245"/>
      <c r="P835" s="245"/>
      <c r="Q835" s="247"/>
      <c r="R835" s="247"/>
      <c r="S835" s="247"/>
      <c r="T835" s="245"/>
      <c r="U835" s="245"/>
      <c r="V835" s="241"/>
      <c r="W835" s="241"/>
      <c r="X835" s="241"/>
    </row>
    <row r="836" spans="1:24" ht="13.5" customHeight="1" x14ac:dyDescent="0.3">
      <c r="A836" s="245"/>
      <c r="B836" s="246"/>
      <c r="C836" s="245"/>
      <c r="D836" s="245"/>
      <c r="E836" s="245"/>
      <c r="F836" s="245"/>
      <c r="G836" s="245"/>
      <c r="H836" s="245"/>
      <c r="I836" s="245"/>
      <c r="J836" s="245"/>
      <c r="K836" s="245"/>
      <c r="L836" s="246"/>
      <c r="M836" s="245"/>
      <c r="N836" s="245"/>
      <c r="O836" s="245"/>
      <c r="P836" s="245"/>
      <c r="Q836" s="247"/>
      <c r="R836" s="247"/>
      <c r="S836" s="247"/>
      <c r="T836" s="245"/>
      <c r="U836" s="245"/>
      <c r="V836" s="241"/>
      <c r="W836" s="241"/>
      <c r="X836" s="241"/>
    </row>
    <row r="837" spans="1:24" ht="13.5" customHeight="1" x14ac:dyDescent="0.3">
      <c r="A837" s="245"/>
      <c r="B837" s="246"/>
      <c r="C837" s="245"/>
      <c r="D837" s="245"/>
      <c r="E837" s="245"/>
      <c r="F837" s="245"/>
      <c r="G837" s="245"/>
      <c r="H837" s="245"/>
      <c r="I837" s="245"/>
      <c r="J837" s="245"/>
      <c r="K837" s="245"/>
      <c r="L837" s="246"/>
      <c r="M837" s="245"/>
      <c r="N837" s="245"/>
      <c r="O837" s="245"/>
      <c r="P837" s="245"/>
      <c r="Q837" s="247"/>
      <c r="R837" s="247"/>
      <c r="S837" s="247"/>
      <c r="T837" s="245"/>
      <c r="U837" s="245"/>
      <c r="V837" s="241"/>
      <c r="W837" s="241"/>
      <c r="X837" s="241"/>
    </row>
    <row r="838" spans="1:24" ht="13.5" customHeight="1" x14ac:dyDescent="0.3">
      <c r="A838" s="245"/>
      <c r="B838" s="246"/>
      <c r="C838" s="245"/>
      <c r="D838" s="245"/>
      <c r="E838" s="245"/>
      <c r="F838" s="245"/>
      <c r="G838" s="245"/>
      <c r="H838" s="245"/>
      <c r="I838" s="245"/>
      <c r="J838" s="245"/>
      <c r="K838" s="245"/>
      <c r="L838" s="246"/>
      <c r="M838" s="245"/>
      <c r="N838" s="245"/>
      <c r="O838" s="245"/>
      <c r="P838" s="245"/>
      <c r="Q838" s="247"/>
      <c r="R838" s="247"/>
      <c r="S838" s="247"/>
      <c r="T838" s="245"/>
      <c r="U838" s="245"/>
      <c r="V838" s="241"/>
      <c r="W838" s="241"/>
      <c r="X838" s="241"/>
    </row>
    <row r="839" spans="1:24" ht="13.5" customHeight="1" x14ac:dyDescent="0.3">
      <c r="A839" s="245"/>
      <c r="B839" s="246"/>
      <c r="C839" s="245"/>
      <c r="D839" s="245"/>
      <c r="E839" s="245"/>
      <c r="F839" s="245"/>
      <c r="G839" s="245"/>
      <c r="H839" s="245"/>
      <c r="I839" s="245"/>
      <c r="J839" s="245"/>
      <c r="K839" s="245"/>
      <c r="L839" s="246"/>
      <c r="M839" s="245"/>
      <c r="N839" s="245"/>
      <c r="O839" s="245"/>
      <c r="P839" s="245"/>
      <c r="Q839" s="247"/>
      <c r="R839" s="247"/>
      <c r="S839" s="247"/>
      <c r="T839" s="245"/>
      <c r="U839" s="245"/>
      <c r="V839" s="241"/>
      <c r="W839" s="241"/>
      <c r="X839" s="241"/>
    </row>
    <row r="840" spans="1:24" ht="13.5" customHeight="1" x14ac:dyDescent="0.3">
      <c r="A840" s="245"/>
      <c r="B840" s="246"/>
      <c r="C840" s="245"/>
      <c r="D840" s="245"/>
      <c r="E840" s="245"/>
      <c r="F840" s="245"/>
      <c r="G840" s="245"/>
      <c r="H840" s="245"/>
      <c r="I840" s="245"/>
      <c r="J840" s="245"/>
      <c r="K840" s="245"/>
      <c r="L840" s="246"/>
      <c r="M840" s="245"/>
      <c r="N840" s="245"/>
      <c r="O840" s="245"/>
      <c r="P840" s="245"/>
      <c r="Q840" s="247"/>
      <c r="R840" s="247"/>
      <c r="S840" s="247"/>
      <c r="T840" s="245"/>
      <c r="U840" s="245"/>
      <c r="V840" s="241"/>
      <c r="W840" s="241"/>
      <c r="X840" s="241"/>
    </row>
    <row r="841" spans="1:24" ht="13.5" customHeight="1" x14ac:dyDescent="0.3">
      <c r="A841" s="245"/>
      <c r="B841" s="246"/>
      <c r="C841" s="245"/>
      <c r="D841" s="245"/>
      <c r="E841" s="245"/>
      <c r="F841" s="245"/>
      <c r="G841" s="245"/>
      <c r="H841" s="245"/>
      <c r="I841" s="245"/>
      <c r="J841" s="245"/>
      <c r="K841" s="245"/>
      <c r="L841" s="246"/>
      <c r="M841" s="245"/>
      <c r="N841" s="245"/>
      <c r="O841" s="245"/>
      <c r="P841" s="245"/>
      <c r="Q841" s="247"/>
      <c r="R841" s="247"/>
      <c r="S841" s="247"/>
      <c r="T841" s="245"/>
      <c r="U841" s="245"/>
      <c r="V841" s="241"/>
      <c r="W841" s="241"/>
      <c r="X841" s="241"/>
    </row>
    <row r="842" spans="1:24" ht="13.5" customHeight="1" x14ac:dyDescent="0.3">
      <c r="A842" s="245"/>
      <c r="B842" s="246"/>
      <c r="C842" s="245"/>
      <c r="D842" s="245"/>
      <c r="E842" s="245"/>
      <c r="F842" s="245"/>
      <c r="G842" s="245"/>
      <c r="H842" s="245"/>
      <c r="I842" s="245"/>
      <c r="J842" s="245"/>
      <c r="K842" s="245"/>
      <c r="L842" s="246"/>
      <c r="M842" s="245"/>
      <c r="N842" s="245"/>
      <c r="O842" s="245"/>
      <c r="P842" s="245"/>
      <c r="Q842" s="247"/>
      <c r="R842" s="247"/>
      <c r="S842" s="247"/>
      <c r="T842" s="245"/>
      <c r="U842" s="245"/>
      <c r="V842" s="241"/>
      <c r="W842" s="241"/>
      <c r="X842" s="241"/>
    </row>
    <row r="843" spans="1:24" ht="13.5" customHeight="1" x14ac:dyDescent="0.3">
      <c r="A843" s="245"/>
      <c r="B843" s="246"/>
      <c r="C843" s="245"/>
      <c r="D843" s="245"/>
      <c r="E843" s="245"/>
      <c r="F843" s="245"/>
      <c r="G843" s="245"/>
      <c r="H843" s="245"/>
      <c r="I843" s="245"/>
      <c r="J843" s="245"/>
      <c r="K843" s="245"/>
      <c r="L843" s="246"/>
      <c r="M843" s="245"/>
      <c r="N843" s="245"/>
      <c r="O843" s="245"/>
      <c r="P843" s="245"/>
      <c r="Q843" s="247"/>
      <c r="R843" s="247"/>
      <c r="S843" s="247"/>
      <c r="T843" s="245"/>
      <c r="U843" s="245"/>
      <c r="V843" s="241"/>
      <c r="W843" s="241"/>
      <c r="X843" s="241"/>
    </row>
    <row r="844" spans="1:24" ht="13.5" customHeight="1" x14ac:dyDescent="0.3">
      <c r="A844" s="245"/>
      <c r="B844" s="246"/>
      <c r="C844" s="245"/>
      <c r="D844" s="245"/>
      <c r="E844" s="245"/>
      <c r="F844" s="245"/>
      <c r="G844" s="245"/>
      <c r="H844" s="245"/>
      <c r="I844" s="245"/>
      <c r="J844" s="245"/>
      <c r="K844" s="245"/>
      <c r="L844" s="246"/>
      <c r="M844" s="245"/>
      <c r="N844" s="245"/>
      <c r="O844" s="245"/>
      <c r="P844" s="245"/>
      <c r="Q844" s="247"/>
      <c r="R844" s="247"/>
      <c r="S844" s="247"/>
      <c r="T844" s="245"/>
      <c r="U844" s="245"/>
      <c r="V844" s="241"/>
      <c r="W844" s="241"/>
      <c r="X844" s="241"/>
    </row>
    <row r="845" spans="1:24" ht="13.5" customHeight="1" x14ac:dyDescent="0.3">
      <c r="A845" s="245"/>
      <c r="B845" s="246"/>
      <c r="C845" s="245"/>
      <c r="D845" s="245"/>
      <c r="E845" s="245"/>
      <c r="F845" s="245"/>
      <c r="G845" s="245"/>
      <c r="H845" s="245"/>
      <c r="I845" s="245"/>
      <c r="J845" s="245"/>
      <c r="K845" s="245"/>
      <c r="L845" s="246"/>
      <c r="M845" s="245"/>
      <c r="N845" s="245"/>
      <c r="O845" s="245"/>
      <c r="P845" s="245"/>
      <c r="Q845" s="247"/>
      <c r="R845" s="247"/>
      <c r="S845" s="247"/>
      <c r="T845" s="245"/>
      <c r="U845" s="245"/>
      <c r="V845" s="241"/>
      <c r="W845" s="241"/>
      <c r="X845" s="241"/>
    </row>
    <row r="846" spans="1:24" ht="13.5" customHeight="1" x14ac:dyDescent="0.3">
      <c r="A846" s="245"/>
      <c r="B846" s="246"/>
      <c r="C846" s="245"/>
      <c r="D846" s="245"/>
      <c r="E846" s="245"/>
      <c r="F846" s="245"/>
      <c r="G846" s="245"/>
      <c r="H846" s="245"/>
      <c r="I846" s="245"/>
      <c r="J846" s="245"/>
      <c r="K846" s="245"/>
      <c r="L846" s="246"/>
      <c r="M846" s="245"/>
      <c r="N846" s="245"/>
      <c r="O846" s="245"/>
      <c r="P846" s="245"/>
      <c r="Q846" s="247"/>
      <c r="R846" s="247"/>
      <c r="S846" s="247"/>
      <c r="T846" s="245"/>
      <c r="U846" s="245"/>
      <c r="V846" s="241"/>
      <c r="W846" s="241"/>
      <c r="X846" s="241"/>
    </row>
    <row r="847" spans="1:24" ht="13.5" customHeight="1" x14ac:dyDescent="0.3">
      <c r="A847" s="245"/>
      <c r="B847" s="246"/>
      <c r="C847" s="245"/>
      <c r="D847" s="245"/>
      <c r="E847" s="245"/>
      <c r="F847" s="245"/>
      <c r="G847" s="245"/>
      <c r="H847" s="245"/>
      <c r="I847" s="245"/>
      <c r="J847" s="245"/>
      <c r="K847" s="245"/>
      <c r="L847" s="246"/>
      <c r="M847" s="245"/>
      <c r="N847" s="245"/>
      <c r="O847" s="245"/>
      <c r="P847" s="245"/>
      <c r="Q847" s="247"/>
      <c r="R847" s="247"/>
      <c r="S847" s="247"/>
      <c r="T847" s="245"/>
      <c r="U847" s="245"/>
      <c r="V847" s="241"/>
      <c r="W847" s="241"/>
      <c r="X847" s="241"/>
    </row>
    <row r="848" spans="1:24" ht="13.5" customHeight="1" x14ac:dyDescent="0.3">
      <c r="A848" s="245"/>
      <c r="B848" s="246"/>
      <c r="C848" s="245"/>
      <c r="D848" s="245"/>
      <c r="E848" s="245"/>
      <c r="F848" s="245"/>
      <c r="G848" s="245"/>
      <c r="H848" s="245"/>
      <c r="I848" s="245"/>
      <c r="J848" s="245"/>
      <c r="K848" s="245"/>
      <c r="L848" s="246"/>
      <c r="M848" s="245"/>
      <c r="N848" s="245"/>
      <c r="O848" s="245"/>
      <c r="P848" s="245"/>
      <c r="Q848" s="247"/>
      <c r="R848" s="247"/>
      <c r="S848" s="247"/>
      <c r="T848" s="245"/>
      <c r="U848" s="245"/>
      <c r="V848" s="241"/>
      <c r="W848" s="241"/>
      <c r="X848" s="241"/>
    </row>
    <row r="849" spans="1:24" ht="13.5" customHeight="1" x14ac:dyDescent="0.3">
      <c r="A849" s="245"/>
      <c r="B849" s="246"/>
      <c r="C849" s="245"/>
      <c r="D849" s="245"/>
      <c r="E849" s="245"/>
      <c r="F849" s="245"/>
      <c r="G849" s="245"/>
      <c r="H849" s="245"/>
      <c r="I849" s="245"/>
      <c r="J849" s="245"/>
      <c r="K849" s="245"/>
      <c r="L849" s="246"/>
      <c r="M849" s="245"/>
      <c r="N849" s="245"/>
      <c r="O849" s="245"/>
      <c r="P849" s="245"/>
      <c r="Q849" s="247"/>
      <c r="R849" s="247"/>
      <c r="S849" s="247"/>
      <c r="T849" s="245"/>
      <c r="U849" s="245"/>
      <c r="V849" s="241"/>
      <c r="W849" s="241"/>
      <c r="X849" s="241"/>
    </row>
    <row r="850" spans="1:24" ht="13.5" customHeight="1" x14ac:dyDescent="0.3">
      <c r="A850" s="245"/>
      <c r="B850" s="246"/>
      <c r="C850" s="245"/>
      <c r="D850" s="245"/>
      <c r="E850" s="245"/>
      <c r="F850" s="245"/>
      <c r="G850" s="245"/>
      <c r="H850" s="245"/>
      <c r="I850" s="245"/>
      <c r="J850" s="245"/>
      <c r="K850" s="245"/>
      <c r="L850" s="246"/>
      <c r="M850" s="245"/>
      <c r="N850" s="245"/>
      <c r="O850" s="245"/>
      <c r="P850" s="245"/>
      <c r="Q850" s="247"/>
      <c r="R850" s="247"/>
      <c r="S850" s="247"/>
      <c r="T850" s="245"/>
      <c r="U850" s="245"/>
      <c r="V850" s="241"/>
      <c r="W850" s="241"/>
      <c r="X850" s="241"/>
    </row>
    <row r="851" spans="1:24" ht="13.5" customHeight="1" x14ac:dyDescent="0.3">
      <c r="A851" s="245"/>
      <c r="B851" s="246"/>
      <c r="C851" s="245"/>
      <c r="D851" s="245"/>
      <c r="E851" s="245"/>
      <c r="F851" s="245"/>
      <c r="G851" s="245"/>
      <c r="H851" s="245"/>
      <c r="I851" s="245"/>
      <c r="J851" s="245"/>
      <c r="K851" s="245"/>
      <c r="L851" s="246"/>
      <c r="M851" s="245"/>
      <c r="N851" s="245"/>
      <c r="O851" s="245"/>
      <c r="P851" s="245"/>
      <c r="Q851" s="247"/>
      <c r="R851" s="247"/>
      <c r="S851" s="247"/>
      <c r="T851" s="245"/>
      <c r="U851" s="245"/>
      <c r="V851" s="241"/>
      <c r="W851" s="241"/>
      <c r="X851" s="241"/>
    </row>
    <row r="852" spans="1:24" ht="13.5" customHeight="1" x14ac:dyDescent="0.3">
      <c r="A852" s="245"/>
      <c r="B852" s="246"/>
      <c r="C852" s="245"/>
      <c r="D852" s="245"/>
      <c r="E852" s="245"/>
      <c r="F852" s="245"/>
      <c r="G852" s="245"/>
      <c r="H852" s="245"/>
      <c r="I852" s="245"/>
      <c r="J852" s="245"/>
      <c r="K852" s="245"/>
      <c r="L852" s="246"/>
      <c r="M852" s="245"/>
      <c r="N852" s="245"/>
      <c r="O852" s="245"/>
      <c r="P852" s="245"/>
      <c r="Q852" s="247"/>
      <c r="R852" s="247"/>
      <c r="S852" s="247"/>
      <c r="T852" s="245"/>
      <c r="U852" s="245"/>
      <c r="V852" s="241"/>
      <c r="W852" s="241"/>
      <c r="X852" s="241"/>
    </row>
    <row r="853" spans="1:24" ht="13.5" customHeight="1" x14ac:dyDescent="0.3">
      <c r="A853" s="245"/>
      <c r="B853" s="246"/>
      <c r="C853" s="245"/>
      <c r="D853" s="245"/>
      <c r="E853" s="245"/>
      <c r="F853" s="245"/>
      <c r="G853" s="245"/>
      <c r="H853" s="245"/>
      <c r="I853" s="245"/>
      <c r="J853" s="245"/>
      <c r="K853" s="245"/>
      <c r="L853" s="246"/>
      <c r="M853" s="245"/>
      <c r="N853" s="245"/>
      <c r="O853" s="245"/>
      <c r="P853" s="245"/>
      <c r="Q853" s="247"/>
      <c r="R853" s="247"/>
      <c r="S853" s="247"/>
      <c r="T853" s="245"/>
      <c r="U853" s="245"/>
      <c r="V853" s="241"/>
      <c r="W853" s="241"/>
      <c r="X853" s="241"/>
    </row>
    <row r="854" spans="1:24" ht="13.5" customHeight="1" x14ac:dyDescent="0.3">
      <c r="A854" s="245"/>
      <c r="B854" s="246"/>
      <c r="C854" s="245"/>
      <c r="D854" s="245"/>
      <c r="E854" s="245"/>
      <c r="F854" s="245"/>
      <c r="G854" s="245"/>
      <c r="H854" s="245"/>
      <c r="I854" s="245"/>
      <c r="J854" s="245"/>
      <c r="K854" s="245"/>
      <c r="L854" s="246"/>
      <c r="M854" s="245"/>
      <c r="N854" s="245"/>
      <c r="O854" s="245"/>
      <c r="P854" s="245"/>
      <c r="Q854" s="247"/>
      <c r="R854" s="247"/>
      <c r="S854" s="247"/>
      <c r="T854" s="245"/>
      <c r="U854" s="245"/>
      <c r="V854" s="241"/>
      <c r="W854" s="241"/>
      <c r="X854" s="241"/>
    </row>
    <row r="855" spans="1:24" ht="13.5" customHeight="1" x14ac:dyDescent="0.3">
      <c r="A855" s="245"/>
      <c r="B855" s="246"/>
      <c r="C855" s="245"/>
      <c r="D855" s="245"/>
      <c r="E855" s="245"/>
      <c r="F855" s="245"/>
      <c r="G855" s="245"/>
      <c r="H855" s="245"/>
      <c r="I855" s="245"/>
      <c r="J855" s="245"/>
      <c r="K855" s="245"/>
      <c r="L855" s="246"/>
      <c r="M855" s="245"/>
      <c r="N855" s="245"/>
      <c r="O855" s="245"/>
      <c r="P855" s="245"/>
      <c r="Q855" s="247"/>
      <c r="R855" s="247"/>
      <c r="S855" s="247"/>
      <c r="T855" s="245"/>
      <c r="U855" s="245"/>
      <c r="V855" s="241"/>
      <c r="W855" s="241"/>
      <c r="X855" s="241"/>
    </row>
    <row r="856" spans="1:24" ht="13.5" customHeight="1" x14ac:dyDescent="0.3">
      <c r="A856" s="245"/>
      <c r="B856" s="246"/>
      <c r="C856" s="245"/>
      <c r="D856" s="245"/>
      <c r="E856" s="245"/>
      <c r="F856" s="245"/>
      <c r="G856" s="245"/>
      <c r="H856" s="245"/>
      <c r="I856" s="245"/>
      <c r="J856" s="245"/>
      <c r="K856" s="245"/>
      <c r="L856" s="246"/>
      <c r="M856" s="245"/>
      <c r="N856" s="245"/>
      <c r="O856" s="245"/>
      <c r="P856" s="245"/>
      <c r="Q856" s="247"/>
      <c r="R856" s="247"/>
      <c r="S856" s="247"/>
      <c r="T856" s="245"/>
      <c r="U856" s="245"/>
      <c r="V856" s="241"/>
      <c r="W856" s="241"/>
      <c r="X856" s="241"/>
    </row>
    <row r="857" spans="1:24" ht="13.5" customHeight="1" x14ac:dyDescent="0.3">
      <c r="A857" s="245"/>
      <c r="B857" s="246"/>
      <c r="C857" s="245"/>
      <c r="D857" s="245"/>
      <c r="E857" s="245"/>
      <c r="F857" s="245"/>
      <c r="G857" s="245"/>
      <c r="H857" s="245"/>
      <c r="I857" s="245"/>
      <c r="J857" s="245"/>
      <c r="K857" s="245"/>
      <c r="L857" s="246"/>
      <c r="M857" s="245"/>
      <c r="N857" s="245"/>
      <c r="O857" s="245"/>
      <c r="P857" s="245"/>
      <c r="Q857" s="247"/>
      <c r="R857" s="247"/>
      <c r="S857" s="247"/>
      <c r="T857" s="245"/>
      <c r="U857" s="245"/>
      <c r="V857" s="241"/>
      <c r="W857" s="241"/>
      <c r="X857" s="241"/>
    </row>
    <row r="858" spans="1:24" ht="13.5" customHeight="1" x14ac:dyDescent="0.3">
      <c r="A858" s="245"/>
      <c r="B858" s="246"/>
      <c r="C858" s="245"/>
      <c r="D858" s="245"/>
      <c r="E858" s="245"/>
      <c r="F858" s="245"/>
      <c r="G858" s="245"/>
      <c r="H858" s="245"/>
      <c r="I858" s="245"/>
      <c r="J858" s="245"/>
      <c r="K858" s="245"/>
      <c r="L858" s="246"/>
      <c r="M858" s="245"/>
      <c r="N858" s="245"/>
      <c r="O858" s="245"/>
      <c r="P858" s="245"/>
      <c r="Q858" s="247"/>
      <c r="R858" s="247"/>
      <c r="S858" s="247"/>
      <c r="T858" s="245"/>
      <c r="U858" s="245"/>
      <c r="V858" s="241"/>
      <c r="W858" s="241"/>
      <c r="X858" s="241"/>
    </row>
    <row r="859" spans="1:24" ht="13.5" customHeight="1" x14ac:dyDescent="0.3">
      <c r="A859" s="245"/>
      <c r="B859" s="246"/>
      <c r="C859" s="245"/>
      <c r="D859" s="245"/>
      <c r="E859" s="245"/>
      <c r="F859" s="245"/>
      <c r="G859" s="245"/>
      <c r="H859" s="245"/>
      <c r="I859" s="245"/>
      <c r="J859" s="245"/>
      <c r="K859" s="245"/>
      <c r="L859" s="246"/>
      <c r="M859" s="245"/>
      <c r="N859" s="245"/>
      <c r="O859" s="245"/>
      <c r="P859" s="245"/>
      <c r="Q859" s="247"/>
      <c r="R859" s="247"/>
      <c r="S859" s="247"/>
      <c r="T859" s="245"/>
      <c r="U859" s="245"/>
      <c r="V859" s="241"/>
      <c r="W859" s="241"/>
      <c r="X859" s="241"/>
    </row>
    <row r="860" spans="1:24" ht="13.5" customHeight="1" x14ac:dyDescent="0.3">
      <c r="A860" s="245"/>
      <c r="B860" s="246"/>
      <c r="C860" s="245"/>
      <c r="D860" s="245"/>
      <c r="E860" s="245"/>
      <c r="F860" s="245"/>
      <c r="G860" s="245"/>
      <c r="H860" s="245"/>
      <c r="I860" s="245"/>
      <c r="J860" s="245"/>
      <c r="K860" s="245"/>
      <c r="L860" s="246"/>
      <c r="M860" s="245"/>
      <c r="N860" s="245"/>
      <c r="O860" s="245"/>
      <c r="P860" s="245"/>
      <c r="Q860" s="247"/>
      <c r="R860" s="247"/>
      <c r="S860" s="247"/>
      <c r="T860" s="245"/>
      <c r="U860" s="245"/>
      <c r="V860" s="241"/>
      <c r="W860" s="241"/>
      <c r="X860" s="241"/>
    </row>
    <row r="861" spans="1:24" ht="13.5" customHeight="1" x14ac:dyDescent="0.3">
      <c r="A861" s="245"/>
      <c r="B861" s="246"/>
      <c r="C861" s="245"/>
      <c r="D861" s="245"/>
      <c r="E861" s="245"/>
      <c r="F861" s="245"/>
      <c r="G861" s="245"/>
      <c r="H861" s="245"/>
      <c r="I861" s="245"/>
      <c r="J861" s="245"/>
      <c r="K861" s="245"/>
      <c r="L861" s="246"/>
      <c r="M861" s="245"/>
      <c r="N861" s="245"/>
      <c r="O861" s="245"/>
      <c r="P861" s="245"/>
      <c r="Q861" s="247"/>
      <c r="R861" s="247"/>
      <c r="S861" s="247"/>
      <c r="T861" s="245"/>
      <c r="U861" s="245"/>
      <c r="V861" s="241"/>
      <c r="W861" s="241"/>
      <c r="X861" s="241"/>
    </row>
    <row r="862" spans="1:24" ht="13.5" customHeight="1" x14ac:dyDescent="0.3">
      <c r="A862" s="245"/>
      <c r="B862" s="246"/>
      <c r="C862" s="245"/>
      <c r="D862" s="245"/>
      <c r="E862" s="245"/>
      <c r="F862" s="245"/>
      <c r="G862" s="245"/>
      <c r="H862" s="245"/>
      <c r="I862" s="245"/>
      <c r="J862" s="245"/>
      <c r="K862" s="245"/>
      <c r="L862" s="246"/>
      <c r="M862" s="245"/>
      <c r="N862" s="245"/>
      <c r="O862" s="245"/>
      <c r="P862" s="245"/>
      <c r="Q862" s="247"/>
      <c r="R862" s="247"/>
      <c r="S862" s="247"/>
      <c r="T862" s="245"/>
      <c r="U862" s="245"/>
      <c r="V862" s="241"/>
      <c r="W862" s="241"/>
      <c r="X862" s="241"/>
    </row>
    <row r="863" spans="1:24" ht="13.5" customHeight="1" x14ac:dyDescent="0.3">
      <c r="A863" s="245"/>
      <c r="B863" s="246"/>
      <c r="C863" s="245"/>
      <c r="D863" s="245"/>
      <c r="E863" s="245"/>
      <c r="F863" s="245"/>
      <c r="G863" s="245"/>
      <c r="H863" s="245"/>
      <c r="I863" s="245"/>
      <c r="J863" s="245"/>
      <c r="K863" s="245"/>
      <c r="L863" s="246"/>
      <c r="M863" s="245"/>
      <c r="N863" s="245"/>
      <c r="O863" s="245"/>
      <c r="P863" s="245"/>
      <c r="Q863" s="247"/>
      <c r="R863" s="247"/>
      <c r="S863" s="247"/>
      <c r="T863" s="245"/>
      <c r="U863" s="245"/>
      <c r="V863" s="241"/>
      <c r="W863" s="241"/>
      <c r="X863" s="241"/>
    </row>
    <row r="864" spans="1:24" ht="13.5" customHeight="1" x14ac:dyDescent="0.3">
      <c r="A864" s="245"/>
      <c r="B864" s="246"/>
      <c r="C864" s="245"/>
      <c r="D864" s="245"/>
      <c r="E864" s="245"/>
      <c r="F864" s="245"/>
      <c r="G864" s="245"/>
      <c r="H864" s="245"/>
      <c r="I864" s="245"/>
      <c r="J864" s="245"/>
      <c r="K864" s="245"/>
      <c r="L864" s="246"/>
      <c r="M864" s="245"/>
      <c r="N864" s="245"/>
      <c r="O864" s="245"/>
      <c r="P864" s="245"/>
      <c r="Q864" s="247"/>
      <c r="R864" s="247"/>
      <c r="S864" s="247"/>
      <c r="T864" s="245"/>
      <c r="U864" s="245"/>
      <c r="V864" s="241"/>
      <c r="W864" s="241"/>
      <c r="X864" s="241"/>
    </row>
    <row r="865" spans="1:24" ht="13.5" customHeight="1" x14ac:dyDescent="0.3">
      <c r="A865" s="245"/>
      <c r="B865" s="246"/>
      <c r="C865" s="245"/>
      <c r="D865" s="245"/>
      <c r="E865" s="245"/>
      <c r="F865" s="245"/>
      <c r="G865" s="245"/>
      <c r="H865" s="245"/>
      <c r="I865" s="245"/>
      <c r="J865" s="245"/>
      <c r="K865" s="245"/>
      <c r="L865" s="246"/>
      <c r="M865" s="245"/>
      <c r="N865" s="245"/>
      <c r="O865" s="245"/>
      <c r="P865" s="245"/>
      <c r="Q865" s="247"/>
      <c r="R865" s="247"/>
      <c r="S865" s="247"/>
      <c r="T865" s="245"/>
      <c r="U865" s="245"/>
      <c r="V865" s="241"/>
      <c r="W865" s="241"/>
      <c r="X865" s="241"/>
    </row>
    <row r="866" spans="1:24" ht="13.5" customHeight="1" x14ac:dyDescent="0.3">
      <c r="A866" s="245"/>
      <c r="B866" s="246"/>
      <c r="C866" s="245"/>
      <c r="D866" s="245"/>
      <c r="E866" s="245"/>
      <c r="F866" s="245"/>
      <c r="G866" s="245"/>
      <c r="H866" s="245"/>
      <c r="I866" s="245"/>
      <c r="J866" s="245"/>
      <c r="K866" s="245"/>
      <c r="L866" s="246"/>
      <c r="M866" s="245"/>
      <c r="N866" s="245"/>
      <c r="O866" s="245"/>
      <c r="P866" s="245"/>
      <c r="Q866" s="247"/>
      <c r="R866" s="247"/>
      <c r="S866" s="247"/>
      <c r="T866" s="245"/>
      <c r="U866" s="245"/>
      <c r="V866" s="241"/>
      <c r="W866" s="241"/>
      <c r="X866" s="241"/>
    </row>
    <row r="867" spans="1:24" ht="13.5" customHeight="1" x14ac:dyDescent="0.3">
      <c r="A867" s="245"/>
      <c r="B867" s="246"/>
      <c r="C867" s="245"/>
      <c r="D867" s="245"/>
      <c r="E867" s="245"/>
      <c r="F867" s="245"/>
      <c r="G867" s="245"/>
      <c r="H867" s="245"/>
      <c r="I867" s="245"/>
      <c r="J867" s="245"/>
      <c r="K867" s="245"/>
      <c r="L867" s="246"/>
      <c r="M867" s="245"/>
      <c r="N867" s="245"/>
      <c r="O867" s="245"/>
      <c r="P867" s="245"/>
      <c r="Q867" s="247"/>
      <c r="R867" s="247"/>
      <c r="S867" s="247"/>
      <c r="T867" s="245"/>
      <c r="U867" s="245"/>
      <c r="V867" s="241"/>
      <c r="W867" s="241"/>
      <c r="X867" s="241"/>
    </row>
    <row r="868" spans="1:24" ht="13.5" customHeight="1" x14ac:dyDescent="0.3">
      <c r="A868" s="245"/>
      <c r="B868" s="246"/>
      <c r="C868" s="245"/>
      <c r="D868" s="245"/>
      <c r="E868" s="245"/>
      <c r="F868" s="245"/>
      <c r="G868" s="245"/>
      <c r="H868" s="245"/>
      <c r="I868" s="245"/>
      <c r="J868" s="245"/>
      <c r="K868" s="245"/>
      <c r="L868" s="246"/>
      <c r="M868" s="245"/>
      <c r="N868" s="245"/>
      <c r="O868" s="245"/>
      <c r="P868" s="245"/>
      <c r="Q868" s="247"/>
      <c r="R868" s="247"/>
      <c r="S868" s="247"/>
      <c r="T868" s="245"/>
      <c r="U868" s="245"/>
      <c r="V868" s="241"/>
      <c r="W868" s="241"/>
      <c r="X868" s="241"/>
    </row>
    <row r="869" spans="1:24" ht="13.5" customHeight="1" x14ac:dyDescent="0.3">
      <c r="A869" s="245"/>
      <c r="B869" s="246"/>
      <c r="C869" s="245"/>
      <c r="D869" s="245"/>
      <c r="E869" s="245"/>
      <c r="F869" s="245"/>
      <c r="G869" s="245"/>
      <c r="H869" s="245"/>
      <c r="I869" s="245"/>
      <c r="J869" s="245"/>
      <c r="K869" s="245"/>
      <c r="L869" s="246"/>
      <c r="M869" s="245"/>
      <c r="N869" s="245"/>
      <c r="O869" s="245"/>
      <c r="P869" s="245"/>
      <c r="Q869" s="247"/>
      <c r="R869" s="247"/>
      <c r="S869" s="247"/>
      <c r="T869" s="245"/>
      <c r="U869" s="245"/>
      <c r="V869" s="241"/>
      <c r="W869" s="241"/>
      <c r="X869" s="241"/>
    </row>
    <row r="870" spans="1:24" ht="13.5" customHeight="1" x14ac:dyDescent="0.3">
      <c r="A870" s="245"/>
      <c r="B870" s="246"/>
      <c r="C870" s="245"/>
      <c r="D870" s="245"/>
      <c r="E870" s="245"/>
      <c r="F870" s="245"/>
      <c r="G870" s="245"/>
      <c r="H870" s="245"/>
      <c r="I870" s="245"/>
      <c r="J870" s="245"/>
      <c r="K870" s="245"/>
      <c r="L870" s="246"/>
      <c r="M870" s="245"/>
      <c r="N870" s="245"/>
      <c r="O870" s="245"/>
      <c r="P870" s="245"/>
      <c r="Q870" s="247"/>
      <c r="R870" s="247"/>
      <c r="S870" s="247"/>
      <c r="T870" s="245"/>
      <c r="U870" s="245"/>
      <c r="V870" s="241"/>
      <c r="W870" s="241"/>
      <c r="X870" s="241"/>
    </row>
    <row r="871" spans="1:24" ht="13.5" customHeight="1" x14ac:dyDescent="0.3">
      <c r="A871" s="245"/>
      <c r="B871" s="246"/>
      <c r="C871" s="245"/>
      <c r="D871" s="245"/>
      <c r="E871" s="245"/>
      <c r="F871" s="245"/>
      <c r="G871" s="245"/>
      <c r="H871" s="245"/>
      <c r="I871" s="245"/>
      <c r="J871" s="245"/>
      <c r="K871" s="245"/>
      <c r="L871" s="246"/>
      <c r="M871" s="245"/>
      <c r="N871" s="245"/>
      <c r="O871" s="245"/>
      <c r="P871" s="245"/>
      <c r="Q871" s="247"/>
      <c r="R871" s="247"/>
      <c r="S871" s="247"/>
      <c r="T871" s="245"/>
      <c r="U871" s="245"/>
      <c r="V871" s="241"/>
      <c r="W871" s="241"/>
      <c r="X871" s="241"/>
    </row>
    <row r="872" spans="1:24" ht="13.5" customHeight="1" x14ac:dyDescent="0.3">
      <c r="A872" s="245"/>
      <c r="B872" s="246"/>
      <c r="C872" s="245"/>
      <c r="D872" s="245"/>
      <c r="E872" s="245"/>
      <c r="F872" s="245"/>
      <c r="G872" s="245"/>
      <c r="H872" s="245"/>
      <c r="I872" s="245"/>
      <c r="J872" s="245"/>
      <c r="K872" s="245"/>
      <c r="L872" s="246"/>
      <c r="M872" s="245"/>
      <c r="N872" s="245"/>
      <c r="O872" s="245"/>
      <c r="P872" s="245"/>
      <c r="Q872" s="247"/>
      <c r="R872" s="247"/>
      <c r="S872" s="247"/>
      <c r="T872" s="245"/>
      <c r="U872" s="245"/>
      <c r="V872" s="241"/>
      <c r="W872" s="241"/>
      <c r="X872" s="241"/>
    </row>
    <row r="873" spans="1:24" ht="13.5" customHeight="1" x14ac:dyDescent="0.3">
      <c r="A873" s="245"/>
      <c r="B873" s="246"/>
      <c r="C873" s="245"/>
      <c r="D873" s="245"/>
      <c r="E873" s="245"/>
      <c r="F873" s="245"/>
      <c r="G873" s="245"/>
      <c r="H873" s="245"/>
      <c r="I873" s="245"/>
      <c r="J873" s="245"/>
      <c r="K873" s="245"/>
      <c r="L873" s="246"/>
      <c r="M873" s="245"/>
      <c r="N873" s="245"/>
      <c r="O873" s="245"/>
      <c r="P873" s="245"/>
      <c r="Q873" s="247"/>
      <c r="R873" s="247"/>
      <c r="S873" s="247"/>
      <c r="T873" s="245"/>
      <c r="U873" s="245"/>
      <c r="V873" s="241"/>
      <c r="W873" s="241"/>
      <c r="X873" s="241"/>
    </row>
    <row r="874" spans="1:24" ht="13.5" customHeight="1" x14ac:dyDescent="0.3">
      <c r="A874" s="245"/>
      <c r="B874" s="246"/>
      <c r="C874" s="245"/>
      <c r="D874" s="245"/>
      <c r="E874" s="245"/>
      <c r="F874" s="245"/>
      <c r="G874" s="245"/>
      <c r="H874" s="245"/>
      <c r="I874" s="245"/>
      <c r="J874" s="245"/>
      <c r="K874" s="245"/>
      <c r="L874" s="246"/>
      <c r="M874" s="245"/>
      <c r="N874" s="245"/>
      <c r="O874" s="245"/>
      <c r="P874" s="245"/>
      <c r="Q874" s="247"/>
      <c r="R874" s="247"/>
      <c r="S874" s="247"/>
      <c r="T874" s="245"/>
      <c r="U874" s="245"/>
      <c r="V874" s="241"/>
      <c r="W874" s="241"/>
      <c r="X874" s="241"/>
    </row>
    <row r="875" spans="1:24" ht="13.5" customHeight="1" x14ac:dyDescent="0.3">
      <c r="A875" s="245"/>
      <c r="B875" s="246"/>
      <c r="C875" s="245"/>
      <c r="D875" s="245"/>
      <c r="E875" s="245"/>
      <c r="F875" s="245"/>
      <c r="G875" s="245"/>
      <c r="H875" s="245"/>
      <c r="I875" s="245"/>
      <c r="J875" s="245"/>
      <c r="K875" s="245"/>
      <c r="L875" s="246"/>
      <c r="M875" s="245"/>
      <c r="N875" s="245"/>
      <c r="O875" s="245"/>
      <c r="P875" s="245"/>
      <c r="Q875" s="247"/>
      <c r="R875" s="247"/>
      <c r="S875" s="247"/>
      <c r="T875" s="245"/>
      <c r="U875" s="245"/>
      <c r="V875" s="241"/>
      <c r="W875" s="241"/>
      <c r="X875" s="241"/>
    </row>
    <row r="876" spans="1:24" ht="13.5" customHeight="1" x14ac:dyDescent="0.3">
      <c r="A876" s="245"/>
      <c r="B876" s="246"/>
      <c r="C876" s="245"/>
      <c r="D876" s="245"/>
      <c r="E876" s="245"/>
      <c r="F876" s="245"/>
      <c r="G876" s="245"/>
      <c r="H876" s="245"/>
      <c r="I876" s="245"/>
      <c r="J876" s="245"/>
      <c r="K876" s="245"/>
      <c r="L876" s="246"/>
      <c r="M876" s="245"/>
      <c r="N876" s="245"/>
      <c r="O876" s="245"/>
      <c r="P876" s="245"/>
      <c r="Q876" s="247"/>
      <c r="R876" s="247"/>
      <c r="S876" s="247"/>
      <c r="T876" s="245"/>
      <c r="U876" s="245"/>
      <c r="V876" s="241"/>
      <c r="W876" s="241"/>
      <c r="X876" s="241"/>
    </row>
    <row r="877" spans="1:24" ht="13.5" customHeight="1" x14ac:dyDescent="0.3">
      <c r="A877" s="245"/>
      <c r="B877" s="246"/>
      <c r="C877" s="245"/>
      <c r="D877" s="245"/>
      <c r="E877" s="245"/>
      <c r="F877" s="245"/>
      <c r="G877" s="245"/>
      <c r="H877" s="245"/>
      <c r="I877" s="245"/>
      <c r="J877" s="245"/>
      <c r="K877" s="245"/>
      <c r="L877" s="246"/>
      <c r="M877" s="245"/>
      <c r="N877" s="245"/>
      <c r="O877" s="245"/>
      <c r="P877" s="245"/>
      <c r="Q877" s="247"/>
      <c r="R877" s="247"/>
      <c r="S877" s="247"/>
      <c r="T877" s="245"/>
      <c r="U877" s="245"/>
      <c r="V877" s="241"/>
      <c r="W877" s="241"/>
      <c r="X877" s="241"/>
    </row>
    <row r="878" spans="1:24" ht="13.5" customHeight="1" x14ac:dyDescent="0.3">
      <c r="A878" s="245"/>
      <c r="B878" s="246"/>
      <c r="C878" s="245"/>
      <c r="D878" s="245"/>
      <c r="E878" s="245"/>
      <c r="F878" s="245"/>
      <c r="G878" s="245"/>
      <c r="H878" s="245"/>
      <c r="I878" s="245"/>
      <c r="J878" s="245"/>
      <c r="K878" s="245"/>
      <c r="L878" s="246"/>
      <c r="M878" s="245"/>
      <c r="N878" s="245"/>
      <c r="O878" s="245"/>
      <c r="P878" s="245"/>
      <c r="Q878" s="247"/>
      <c r="R878" s="247"/>
      <c r="S878" s="247"/>
      <c r="T878" s="245"/>
      <c r="U878" s="245"/>
      <c r="V878" s="241"/>
      <c r="W878" s="241"/>
      <c r="X878" s="241"/>
    </row>
    <row r="879" spans="1:24" ht="13.5" customHeight="1" x14ac:dyDescent="0.3">
      <c r="A879" s="245"/>
      <c r="B879" s="246"/>
      <c r="C879" s="245"/>
      <c r="D879" s="245"/>
      <c r="E879" s="245"/>
      <c r="F879" s="245"/>
      <c r="G879" s="245"/>
      <c r="H879" s="245"/>
      <c r="I879" s="245"/>
      <c r="J879" s="245"/>
      <c r="K879" s="245"/>
      <c r="L879" s="246"/>
      <c r="M879" s="245"/>
      <c r="N879" s="245"/>
      <c r="O879" s="245"/>
      <c r="P879" s="245"/>
      <c r="Q879" s="247"/>
      <c r="R879" s="247"/>
      <c r="S879" s="247"/>
      <c r="T879" s="245"/>
      <c r="U879" s="245"/>
      <c r="V879" s="241"/>
      <c r="W879" s="241"/>
      <c r="X879" s="241"/>
    </row>
    <row r="880" spans="1:24" ht="13.5" customHeight="1" x14ac:dyDescent="0.3">
      <c r="A880" s="245"/>
      <c r="B880" s="246"/>
      <c r="C880" s="245"/>
      <c r="D880" s="245"/>
      <c r="E880" s="245"/>
      <c r="F880" s="245"/>
      <c r="G880" s="245"/>
      <c r="H880" s="245"/>
      <c r="I880" s="245"/>
      <c r="J880" s="245"/>
      <c r="K880" s="245"/>
      <c r="L880" s="246"/>
      <c r="M880" s="245"/>
      <c r="N880" s="245"/>
      <c r="O880" s="245"/>
      <c r="P880" s="245"/>
      <c r="Q880" s="247"/>
      <c r="R880" s="247"/>
      <c r="S880" s="247"/>
      <c r="T880" s="245"/>
      <c r="U880" s="245"/>
      <c r="V880" s="241"/>
      <c r="W880" s="241"/>
      <c r="X880" s="241"/>
    </row>
    <row r="881" spans="1:24" ht="13.5" customHeight="1" x14ac:dyDescent="0.3">
      <c r="A881" s="245"/>
      <c r="B881" s="246"/>
      <c r="C881" s="245"/>
      <c r="D881" s="245"/>
      <c r="E881" s="245"/>
      <c r="F881" s="245"/>
      <c r="G881" s="245"/>
      <c r="H881" s="245"/>
      <c r="I881" s="245"/>
      <c r="J881" s="245"/>
      <c r="K881" s="245"/>
      <c r="L881" s="246"/>
      <c r="M881" s="245"/>
      <c r="N881" s="245"/>
      <c r="O881" s="245"/>
      <c r="P881" s="245"/>
      <c r="Q881" s="247"/>
      <c r="R881" s="247"/>
      <c r="S881" s="247"/>
      <c r="T881" s="245"/>
      <c r="U881" s="245"/>
      <c r="V881" s="241"/>
      <c r="W881" s="241"/>
      <c r="X881" s="241"/>
    </row>
    <row r="882" spans="1:24" ht="13.5" customHeight="1" x14ac:dyDescent="0.3">
      <c r="A882" s="245"/>
      <c r="B882" s="246"/>
      <c r="C882" s="245"/>
      <c r="D882" s="245"/>
      <c r="E882" s="245"/>
      <c r="F882" s="245"/>
      <c r="G882" s="245"/>
      <c r="H882" s="245"/>
      <c r="I882" s="245"/>
      <c r="J882" s="245"/>
      <c r="K882" s="245"/>
      <c r="L882" s="246"/>
      <c r="M882" s="245"/>
      <c r="N882" s="245"/>
      <c r="O882" s="245"/>
      <c r="P882" s="245"/>
      <c r="Q882" s="247"/>
      <c r="R882" s="247"/>
      <c r="S882" s="247"/>
      <c r="T882" s="245"/>
      <c r="U882" s="245"/>
      <c r="V882" s="241"/>
      <c r="W882" s="241"/>
      <c r="X882" s="241"/>
    </row>
    <row r="883" spans="1:24" ht="13.5" customHeight="1" x14ac:dyDescent="0.3">
      <c r="A883" s="245"/>
      <c r="B883" s="246"/>
      <c r="C883" s="245"/>
      <c r="D883" s="245"/>
      <c r="E883" s="245"/>
      <c r="F883" s="245"/>
      <c r="G883" s="245"/>
      <c r="H883" s="245"/>
      <c r="I883" s="245"/>
      <c r="J883" s="245"/>
      <c r="K883" s="245"/>
      <c r="L883" s="246"/>
      <c r="M883" s="245"/>
      <c r="N883" s="245"/>
      <c r="O883" s="245"/>
      <c r="P883" s="245"/>
      <c r="Q883" s="247"/>
      <c r="R883" s="247"/>
      <c r="S883" s="247"/>
      <c r="T883" s="245"/>
      <c r="U883" s="245"/>
      <c r="V883" s="241"/>
      <c r="W883" s="241"/>
      <c r="X883" s="241"/>
    </row>
    <row r="884" spans="1:24" ht="13.5" customHeight="1" x14ac:dyDescent="0.3">
      <c r="A884" s="245"/>
      <c r="B884" s="246"/>
      <c r="C884" s="245"/>
      <c r="D884" s="245"/>
      <c r="E884" s="245"/>
      <c r="F884" s="245"/>
      <c r="G884" s="245"/>
      <c r="H884" s="245"/>
      <c r="I884" s="245"/>
      <c r="J884" s="245"/>
      <c r="K884" s="245"/>
      <c r="L884" s="246"/>
      <c r="M884" s="245"/>
      <c r="N884" s="245"/>
      <c r="O884" s="245"/>
      <c r="P884" s="245"/>
      <c r="Q884" s="247"/>
      <c r="R884" s="247"/>
      <c r="S884" s="247"/>
      <c r="T884" s="245"/>
      <c r="U884" s="245"/>
      <c r="V884" s="241"/>
      <c r="W884" s="241"/>
      <c r="X884" s="241"/>
    </row>
    <row r="885" spans="1:24" ht="13.5" customHeight="1" x14ac:dyDescent="0.3">
      <c r="A885" s="245"/>
      <c r="B885" s="246"/>
      <c r="C885" s="245"/>
      <c r="D885" s="245"/>
      <c r="E885" s="245"/>
      <c r="F885" s="245"/>
      <c r="G885" s="245"/>
      <c r="H885" s="245"/>
      <c r="I885" s="245"/>
      <c r="J885" s="245"/>
      <c r="K885" s="245"/>
      <c r="L885" s="246"/>
      <c r="M885" s="245"/>
      <c r="N885" s="245"/>
      <c r="O885" s="245"/>
      <c r="P885" s="245"/>
      <c r="Q885" s="247"/>
      <c r="R885" s="247"/>
      <c r="S885" s="247"/>
      <c r="T885" s="245"/>
      <c r="U885" s="245"/>
      <c r="V885" s="241"/>
      <c r="W885" s="241"/>
      <c r="X885" s="241"/>
    </row>
    <row r="886" spans="1:24" ht="13.5" customHeight="1" x14ac:dyDescent="0.3">
      <c r="A886" s="245"/>
      <c r="B886" s="246"/>
      <c r="C886" s="245"/>
      <c r="D886" s="245"/>
      <c r="E886" s="245"/>
      <c r="F886" s="245"/>
      <c r="G886" s="245"/>
      <c r="H886" s="245"/>
      <c r="I886" s="245"/>
      <c r="J886" s="245"/>
      <c r="K886" s="245"/>
      <c r="L886" s="246"/>
      <c r="M886" s="245"/>
      <c r="N886" s="245"/>
      <c r="O886" s="245"/>
      <c r="P886" s="245"/>
      <c r="Q886" s="247"/>
      <c r="R886" s="247"/>
      <c r="S886" s="247"/>
      <c r="T886" s="245"/>
      <c r="U886" s="245"/>
      <c r="V886" s="241"/>
      <c r="W886" s="241"/>
      <c r="X886" s="241"/>
    </row>
    <row r="887" spans="1:24" ht="13.5" customHeight="1" x14ac:dyDescent="0.3">
      <c r="A887" s="245"/>
      <c r="B887" s="246"/>
      <c r="C887" s="245"/>
      <c r="D887" s="245"/>
      <c r="E887" s="245"/>
      <c r="F887" s="245"/>
      <c r="G887" s="245"/>
      <c r="H887" s="245"/>
      <c r="I887" s="245"/>
      <c r="J887" s="245"/>
      <c r="K887" s="245"/>
      <c r="L887" s="246"/>
      <c r="M887" s="245"/>
      <c r="N887" s="245"/>
      <c r="O887" s="245"/>
      <c r="P887" s="245"/>
      <c r="Q887" s="247"/>
      <c r="R887" s="247"/>
      <c r="S887" s="247"/>
      <c r="T887" s="245"/>
      <c r="U887" s="245"/>
      <c r="V887" s="241"/>
      <c r="W887" s="241"/>
      <c r="X887" s="241"/>
    </row>
    <row r="888" spans="1:24" ht="13.5" customHeight="1" x14ac:dyDescent="0.3">
      <c r="A888" s="245"/>
      <c r="B888" s="246"/>
      <c r="C888" s="245"/>
      <c r="D888" s="245"/>
      <c r="E888" s="245"/>
      <c r="F888" s="245"/>
      <c r="G888" s="245"/>
      <c r="H888" s="245"/>
      <c r="I888" s="245"/>
      <c r="J888" s="245"/>
      <c r="K888" s="245"/>
      <c r="L888" s="246"/>
      <c r="M888" s="245"/>
      <c r="N888" s="245"/>
      <c r="O888" s="245"/>
      <c r="P888" s="245"/>
      <c r="Q888" s="247"/>
      <c r="R888" s="247"/>
      <c r="S888" s="247"/>
      <c r="T888" s="245"/>
      <c r="U888" s="245"/>
      <c r="V888" s="241"/>
      <c r="W888" s="241"/>
      <c r="X888" s="241"/>
    </row>
    <row r="889" spans="1:24" ht="13.5" customHeight="1" x14ac:dyDescent="0.3">
      <c r="A889" s="245"/>
      <c r="B889" s="246"/>
      <c r="C889" s="245"/>
      <c r="D889" s="245"/>
      <c r="E889" s="245"/>
      <c r="F889" s="245"/>
      <c r="G889" s="245"/>
      <c r="H889" s="245"/>
      <c r="I889" s="245"/>
      <c r="J889" s="245"/>
      <c r="K889" s="245"/>
      <c r="L889" s="246"/>
      <c r="M889" s="245"/>
      <c r="N889" s="245"/>
      <c r="O889" s="245"/>
      <c r="P889" s="245"/>
      <c r="Q889" s="247"/>
      <c r="R889" s="247"/>
      <c r="S889" s="247"/>
      <c r="T889" s="245"/>
      <c r="U889" s="245"/>
      <c r="V889" s="241"/>
      <c r="W889" s="241"/>
      <c r="X889" s="241"/>
    </row>
    <row r="890" spans="1:24" ht="13.5" customHeight="1" x14ac:dyDescent="0.3">
      <c r="A890" s="245"/>
      <c r="B890" s="246"/>
      <c r="C890" s="245"/>
      <c r="D890" s="245"/>
      <c r="E890" s="245"/>
      <c r="F890" s="245"/>
      <c r="G890" s="245"/>
      <c r="H890" s="245"/>
      <c r="I890" s="245"/>
      <c r="J890" s="245"/>
      <c r="K890" s="245"/>
      <c r="L890" s="246"/>
      <c r="M890" s="245"/>
      <c r="N890" s="245"/>
      <c r="O890" s="245"/>
      <c r="P890" s="245"/>
      <c r="Q890" s="247"/>
      <c r="R890" s="247"/>
      <c r="S890" s="247"/>
      <c r="T890" s="245"/>
      <c r="U890" s="245"/>
      <c r="V890" s="241"/>
      <c r="W890" s="241"/>
      <c r="X890" s="241"/>
    </row>
    <row r="891" spans="1:24" ht="13.5" customHeight="1" x14ac:dyDescent="0.3">
      <c r="A891" s="245"/>
      <c r="B891" s="246"/>
      <c r="C891" s="245"/>
      <c r="D891" s="245"/>
      <c r="E891" s="245"/>
      <c r="F891" s="245"/>
      <c r="G891" s="245"/>
      <c r="H891" s="245"/>
      <c r="I891" s="245"/>
      <c r="J891" s="245"/>
      <c r="K891" s="245"/>
      <c r="L891" s="246"/>
      <c r="M891" s="245"/>
      <c r="N891" s="245"/>
      <c r="O891" s="245"/>
      <c r="P891" s="245"/>
      <c r="Q891" s="247"/>
      <c r="R891" s="247"/>
      <c r="S891" s="247"/>
      <c r="T891" s="245"/>
      <c r="U891" s="245"/>
      <c r="V891" s="241"/>
      <c r="W891" s="241"/>
      <c r="X891" s="241"/>
    </row>
    <row r="892" spans="1:24" ht="13.5" customHeight="1" x14ac:dyDescent="0.3">
      <c r="A892" s="245"/>
      <c r="B892" s="246"/>
      <c r="C892" s="245"/>
      <c r="D892" s="245"/>
      <c r="E892" s="245"/>
      <c r="F892" s="245"/>
      <c r="G892" s="245"/>
      <c r="H892" s="245"/>
      <c r="I892" s="245"/>
      <c r="J892" s="245"/>
      <c r="K892" s="245"/>
      <c r="L892" s="246"/>
      <c r="M892" s="245"/>
      <c r="N892" s="245"/>
      <c r="O892" s="245"/>
      <c r="P892" s="245"/>
      <c r="Q892" s="247"/>
      <c r="R892" s="247"/>
      <c r="S892" s="247"/>
      <c r="T892" s="245"/>
      <c r="U892" s="245"/>
      <c r="V892" s="241"/>
      <c r="W892" s="241"/>
      <c r="X892" s="241"/>
    </row>
    <row r="893" spans="1:24" ht="13.5" customHeight="1" x14ac:dyDescent="0.3">
      <c r="A893" s="245"/>
      <c r="B893" s="246"/>
      <c r="C893" s="245"/>
      <c r="D893" s="245"/>
      <c r="E893" s="245"/>
      <c r="F893" s="245"/>
      <c r="G893" s="245"/>
      <c r="H893" s="245"/>
      <c r="I893" s="245"/>
      <c r="J893" s="245"/>
      <c r="K893" s="245"/>
      <c r="L893" s="246"/>
      <c r="M893" s="245"/>
      <c r="N893" s="245"/>
      <c r="O893" s="245"/>
      <c r="P893" s="245"/>
      <c r="Q893" s="247"/>
      <c r="R893" s="247"/>
      <c r="S893" s="247"/>
      <c r="T893" s="245"/>
      <c r="U893" s="245"/>
      <c r="V893" s="241"/>
      <c r="W893" s="241"/>
      <c r="X893" s="241"/>
    </row>
    <row r="894" spans="1:24" ht="13.5" customHeight="1" x14ac:dyDescent="0.3">
      <c r="A894" s="245"/>
      <c r="B894" s="246"/>
      <c r="C894" s="245"/>
      <c r="D894" s="245"/>
      <c r="E894" s="245"/>
      <c r="F894" s="245"/>
      <c r="G894" s="245"/>
      <c r="H894" s="245"/>
      <c r="I894" s="245"/>
      <c r="J894" s="245"/>
      <c r="K894" s="245"/>
      <c r="L894" s="246"/>
      <c r="M894" s="245"/>
      <c r="N894" s="245"/>
      <c r="O894" s="245"/>
      <c r="P894" s="245"/>
      <c r="Q894" s="247"/>
      <c r="R894" s="247"/>
      <c r="S894" s="247"/>
      <c r="T894" s="245"/>
      <c r="U894" s="245"/>
      <c r="V894" s="241"/>
      <c r="W894" s="241"/>
      <c r="X894" s="241"/>
    </row>
    <row r="895" spans="1:24" ht="13.5" customHeight="1" x14ac:dyDescent="0.3">
      <c r="A895" s="245"/>
      <c r="B895" s="246"/>
      <c r="C895" s="245"/>
      <c r="D895" s="245"/>
      <c r="E895" s="245"/>
      <c r="F895" s="245"/>
      <c r="G895" s="245"/>
      <c r="H895" s="245"/>
      <c r="I895" s="245"/>
      <c r="J895" s="245"/>
      <c r="K895" s="245"/>
      <c r="L895" s="246"/>
      <c r="M895" s="245"/>
      <c r="N895" s="245"/>
      <c r="O895" s="245"/>
      <c r="P895" s="245"/>
      <c r="Q895" s="247"/>
      <c r="R895" s="247"/>
      <c r="S895" s="247"/>
      <c r="T895" s="245"/>
      <c r="U895" s="245"/>
      <c r="V895" s="241"/>
      <c r="W895" s="241"/>
      <c r="X895" s="241"/>
    </row>
    <row r="896" spans="1:24" ht="13.5" customHeight="1" x14ac:dyDescent="0.3">
      <c r="A896" s="245"/>
      <c r="B896" s="246"/>
      <c r="C896" s="245"/>
      <c r="D896" s="245"/>
      <c r="E896" s="245"/>
      <c r="F896" s="245"/>
      <c r="G896" s="245"/>
      <c r="H896" s="245"/>
      <c r="I896" s="245"/>
      <c r="J896" s="245"/>
      <c r="K896" s="245"/>
      <c r="L896" s="246"/>
      <c r="M896" s="245"/>
      <c r="N896" s="245"/>
      <c r="O896" s="245"/>
      <c r="P896" s="245"/>
      <c r="Q896" s="247"/>
      <c r="R896" s="247"/>
      <c r="S896" s="247"/>
      <c r="T896" s="245"/>
      <c r="U896" s="245"/>
      <c r="V896" s="241"/>
      <c r="W896" s="241"/>
      <c r="X896" s="241"/>
    </row>
    <row r="897" spans="1:24" ht="13.5" customHeight="1" x14ac:dyDescent="0.3">
      <c r="A897" s="245"/>
      <c r="B897" s="246"/>
      <c r="C897" s="245"/>
      <c r="D897" s="245"/>
      <c r="E897" s="245"/>
      <c r="F897" s="245"/>
      <c r="G897" s="245"/>
      <c r="H897" s="245"/>
      <c r="I897" s="245"/>
      <c r="J897" s="245"/>
      <c r="K897" s="245"/>
      <c r="L897" s="246"/>
      <c r="M897" s="245"/>
      <c r="N897" s="245"/>
      <c r="O897" s="245"/>
      <c r="P897" s="245"/>
      <c r="Q897" s="247"/>
      <c r="R897" s="247"/>
      <c r="S897" s="247"/>
      <c r="T897" s="245"/>
      <c r="U897" s="245"/>
      <c r="V897" s="241"/>
      <c r="W897" s="241"/>
      <c r="X897" s="241"/>
    </row>
    <row r="898" spans="1:24" ht="13.5" customHeight="1" x14ac:dyDescent="0.3">
      <c r="A898" s="245"/>
      <c r="B898" s="246"/>
      <c r="C898" s="245"/>
      <c r="D898" s="245"/>
      <c r="E898" s="245"/>
      <c r="F898" s="245"/>
      <c r="G898" s="245"/>
      <c r="H898" s="245"/>
      <c r="I898" s="245"/>
      <c r="J898" s="245"/>
      <c r="K898" s="245"/>
      <c r="L898" s="246"/>
      <c r="M898" s="245"/>
      <c r="N898" s="245"/>
      <c r="O898" s="245"/>
      <c r="P898" s="245"/>
      <c r="Q898" s="247"/>
      <c r="R898" s="247"/>
      <c r="S898" s="247"/>
      <c r="T898" s="245"/>
      <c r="U898" s="245"/>
      <c r="V898" s="241"/>
      <c r="W898" s="241"/>
      <c r="X898" s="241"/>
    </row>
    <row r="899" spans="1:24" ht="13.5" customHeight="1" x14ac:dyDescent="0.3">
      <c r="A899" s="245"/>
      <c r="B899" s="246"/>
      <c r="C899" s="245"/>
      <c r="D899" s="245"/>
      <c r="E899" s="245"/>
      <c r="F899" s="245"/>
      <c r="G899" s="245"/>
      <c r="H899" s="245"/>
      <c r="I899" s="245"/>
      <c r="J899" s="245"/>
      <c r="K899" s="245"/>
      <c r="L899" s="246"/>
      <c r="M899" s="245"/>
      <c r="N899" s="245"/>
      <c r="O899" s="245"/>
      <c r="P899" s="245"/>
      <c r="Q899" s="247"/>
      <c r="R899" s="247"/>
      <c r="S899" s="247"/>
      <c r="T899" s="245"/>
      <c r="U899" s="245"/>
      <c r="V899" s="241"/>
      <c r="W899" s="241"/>
      <c r="X899" s="241"/>
    </row>
    <row r="900" spans="1:24" ht="13.5" customHeight="1" x14ac:dyDescent="0.3">
      <c r="A900" s="245"/>
      <c r="B900" s="246"/>
      <c r="C900" s="245"/>
      <c r="D900" s="245"/>
      <c r="E900" s="245"/>
      <c r="F900" s="245"/>
      <c r="G900" s="245"/>
      <c r="H900" s="245"/>
      <c r="I900" s="245"/>
      <c r="J900" s="245"/>
      <c r="K900" s="245"/>
      <c r="L900" s="246"/>
      <c r="M900" s="245"/>
      <c r="N900" s="245"/>
      <c r="O900" s="245"/>
      <c r="P900" s="245"/>
      <c r="Q900" s="247"/>
      <c r="R900" s="247"/>
      <c r="S900" s="247"/>
      <c r="T900" s="245"/>
      <c r="U900" s="245"/>
      <c r="V900" s="241"/>
      <c r="W900" s="241"/>
      <c r="X900" s="241"/>
    </row>
    <row r="901" spans="1:24" ht="13.5" customHeight="1" x14ac:dyDescent="0.3">
      <c r="A901" s="245"/>
      <c r="B901" s="246"/>
      <c r="C901" s="245"/>
      <c r="D901" s="245"/>
      <c r="E901" s="245"/>
      <c r="F901" s="245"/>
      <c r="G901" s="245"/>
      <c r="H901" s="245"/>
      <c r="I901" s="245"/>
      <c r="J901" s="245"/>
      <c r="K901" s="245"/>
      <c r="L901" s="246"/>
      <c r="M901" s="245"/>
      <c r="N901" s="245"/>
      <c r="O901" s="245"/>
      <c r="P901" s="245"/>
      <c r="Q901" s="247"/>
      <c r="R901" s="247"/>
      <c r="S901" s="247"/>
      <c r="T901" s="245"/>
      <c r="U901" s="245"/>
      <c r="V901" s="241"/>
      <c r="W901" s="241"/>
      <c r="X901" s="241"/>
    </row>
    <row r="902" spans="1:24" ht="13.5" customHeight="1" x14ac:dyDescent="0.3">
      <c r="A902" s="245"/>
      <c r="B902" s="246"/>
      <c r="C902" s="245"/>
      <c r="D902" s="245"/>
      <c r="E902" s="245"/>
      <c r="F902" s="245"/>
      <c r="G902" s="245"/>
      <c r="H902" s="245"/>
      <c r="I902" s="245"/>
      <c r="J902" s="245"/>
      <c r="K902" s="245"/>
      <c r="L902" s="246"/>
      <c r="M902" s="245"/>
      <c r="N902" s="245"/>
      <c r="O902" s="245"/>
      <c r="P902" s="245"/>
      <c r="Q902" s="247"/>
      <c r="R902" s="247"/>
      <c r="S902" s="247"/>
      <c r="T902" s="245"/>
      <c r="U902" s="245"/>
      <c r="V902" s="241"/>
      <c r="W902" s="241"/>
      <c r="X902" s="241"/>
    </row>
    <row r="903" spans="1:24" ht="13.5" customHeight="1" x14ac:dyDescent="0.3">
      <c r="A903" s="245"/>
      <c r="B903" s="246"/>
      <c r="C903" s="245"/>
      <c r="D903" s="245"/>
      <c r="E903" s="245"/>
      <c r="F903" s="245"/>
      <c r="G903" s="245"/>
      <c r="H903" s="245"/>
      <c r="I903" s="245"/>
      <c r="J903" s="245"/>
      <c r="K903" s="245"/>
      <c r="L903" s="246"/>
      <c r="M903" s="245"/>
      <c r="N903" s="245"/>
      <c r="O903" s="245"/>
      <c r="P903" s="245"/>
      <c r="Q903" s="247"/>
      <c r="R903" s="247"/>
      <c r="S903" s="247"/>
      <c r="T903" s="245"/>
      <c r="U903" s="245"/>
      <c r="V903" s="241"/>
      <c r="W903" s="241"/>
      <c r="X903" s="241"/>
    </row>
    <row r="904" spans="1:24" ht="13.5" customHeight="1" x14ac:dyDescent="0.3">
      <c r="A904" s="245"/>
      <c r="B904" s="246"/>
      <c r="C904" s="245"/>
      <c r="D904" s="245"/>
      <c r="E904" s="245"/>
      <c r="F904" s="245"/>
      <c r="G904" s="245"/>
      <c r="H904" s="245"/>
      <c r="I904" s="245"/>
      <c r="J904" s="245"/>
      <c r="K904" s="245"/>
      <c r="L904" s="246"/>
      <c r="M904" s="245"/>
      <c r="N904" s="245"/>
      <c r="O904" s="245"/>
      <c r="P904" s="245"/>
      <c r="Q904" s="247"/>
      <c r="R904" s="247"/>
      <c r="S904" s="247"/>
      <c r="T904" s="245"/>
      <c r="U904" s="245"/>
      <c r="V904" s="241"/>
      <c r="W904" s="241"/>
      <c r="X904" s="241"/>
    </row>
    <row r="905" spans="1:24" ht="13.5" customHeight="1" x14ac:dyDescent="0.3">
      <c r="A905" s="245"/>
      <c r="B905" s="246"/>
      <c r="C905" s="245"/>
      <c r="D905" s="245"/>
      <c r="E905" s="245"/>
      <c r="F905" s="245"/>
      <c r="G905" s="245"/>
      <c r="H905" s="245"/>
      <c r="I905" s="245"/>
      <c r="J905" s="245"/>
      <c r="K905" s="245"/>
      <c r="L905" s="246"/>
      <c r="M905" s="245"/>
      <c r="N905" s="245"/>
      <c r="O905" s="245"/>
      <c r="P905" s="245"/>
      <c r="Q905" s="247"/>
      <c r="R905" s="247"/>
      <c r="S905" s="247"/>
      <c r="T905" s="245"/>
      <c r="U905" s="245"/>
      <c r="V905" s="241"/>
      <c r="W905" s="241"/>
      <c r="X905" s="241"/>
    </row>
    <row r="906" spans="1:24" ht="13.5" customHeight="1" x14ac:dyDescent="0.3">
      <c r="A906" s="245"/>
      <c r="B906" s="246"/>
      <c r="C906" s="245"/>
      <c r="D906" s="245"/>
      <c r="E906" s="245"/>
      <c r="F906" s="245"/>
      <c r="G906" s="245"/>
      <c r="H906" s="245"/>
      <c r="I906" s="245"/>
      <c r="J906" s="245"/>
      <c r="K906" s="245"/>
      <c r="L906" s="246"/>
      <c r="M906" s="245"/>
      <c r="N906" s="245"/>
      <c r="O906" s="245"/>
      <c r="P906" s="245"/>
      <c r="Q906" s="247"/>
      <c r="R906" s="247"/>
      <c r="S906" s="247"/>
      <c r="T906" s="245"/>
      <c r="U906" s="245"/>
      <c r="V906" s="241"/>
      <c r="W906" s="241"/>
      <c r="X906" s="241"/>
    </row>
    <row r="907" spans="1:24" ht="13.5" customHeight="1" x14ac:dyDescent="0.3">
      <c r="A907" s="245"/>
      <c r="B907" s="246"/>
      <c r="C907" s="245"/>
      <c r="D907" s="245"/>
      <c r="E907" s="245"/>
      <c r="F907" s="245"/>
      <c r="G907" s="245"/>
      <c r="H907" s="245"/>
      <c r="I907" s="245"/>
      <c r="J907" s="245"/>
      <c r="K907" s="245"/>
      <c r="L907" s="246"/>
      <c r="M907" s="245"/>
      <c r="N907" s="245"/>
      <c r="O907" s="245"/>
      <c r="P907" s="245"/>
      <c r="Q907" s="247"/>
      <c r="R907" s="247"/>
      <c r="S907" s="247"/>
      <c r="T907" s="245"/>
      <c r="U907" s="245"/>
      <c r="V907" s="241"/>
      <c r="W907" s="241"/>
      <c r="X907" s="241"/>
    </row>
    <row r="908" spans="1:24" ht="13.5" customHeight="1" x14ac:dyDescent="0.3">
      <c r="A908" s="245"/>
      <c r="B908" s="246"/>
      <c r="C908" s="245"/>
      <c r="D908" s="245"/>
      <c r="E908" s="245"/>
      <c r="F908" s="245"/>
      <c r="G908" s="245"/>
      <c r="H908" s="245"/>
      <c r="I908" s="245"/>
      <c r="J908" s="245"/>
      <c r="K908" s="245"/>
      <c r="L908" s="246"/>
      <c r="M908" s="245"/>
      <c r="N908" s="245"/>
      <c r="O908" s="245"/>
      <c r="P908" s="245"/>
      <c r="Q908" s="247"/>
      <c r="R908" s="247"/>
      <c r="S908" s="247"/>
      <c r="T908" s="245"/>
      <c r="U908" s="245"/>
      <c r="V908" s="241"/>
      <c r="W908" s="241"/>
      <c r="X908" s="241"/>
    </row>
    <row r="909" spans="1:24" ht="13.5" customHeight="1" x14ac:dyDescent="0.3">
      <c r="A909" s="245"/>
      <c r="B909" s="246"/>
      <c r="C909" s="245"/>
      <c r="D909" s="245"/>
      <c r="E909" s="245"/>
      <c r="F909" s="245"/>
      <c r="G909" s="245"/>
      <c r="H909" s="245"/>
      <c r="I909" s="245"/>
      <c r="J909" s="245"/>
      <c r="K909" s="245"/>
      <c r="L909" s="246"/>
      <c r="M909" s="245"/>
      <c r="N909" s="245"/>
      <c r="O909" s="245"/>
      <c r="P909" s="245"/>
      <c r="Q909" s="247"/>
      <c r="R909" s="247"/>
      <c r="S909" s="247"/>
      <c r="T909" s="245"/>
      <c r="U909" s="245"/>
      <c r="V909" s="241"/>
      <c r="W909" s="241"/>
      <c r="X909" s="241"/>
    </row>
    <row r="910" spans="1:24" ht="13.5" customHeight="1" x14ac:dyDescent="0.3">
      <c r="A910" s="245"/>
      <c r="B910" s="246"/>
      <c r="C910" s="245"/>
      <c r="D910" s="245"/>
      <c r="E910" s="245"/>
      <c r="F910" s="245"/>
      <c r="G910" s="245"/>
      <c r="H910" s="245"/>
      <c r="I910" s="245"/>
      <c r="J910" s="245"/>
      <c r="K910" s="245"/>
      <c r="L910" s="246"/>
      <c r="M910" s="245"/>
      <c r="N910" s="245"/>
      <c r="O910" s="245"/>
      <c r="P910" s="245"/>
      <c r="Q910" s="247"/>
      <c r="R910" s="247"/>
      <c r="S910" s="247"/>
      <c r="T910" s="245"/>
      <c r="U910" s="245"/>
      <c r="V910" s="241"/>
      <c r="W910" s="241"/>
      <c r="X910" s="241"/>
    </row>
    <row r="911" spans="1:24" ht="13.5" customHeight="1" x14ac:dyDescent="0.3">
      <c r="A911" s="245"/>
      <c r="B911" s="246"/>
      <c r="C911" s="245"/>
      <c r="D911" s="245"/>
      <c r="E911" s="245"/>
      <c r="F911" s="245"/>
      <c r="G911" s="245"/>
      <c r="H911" s="245"/>
      <c r="I911" s="245"/>
      <c r="J911" s="245"/>
      <c r="K911" s="245"/>
      <c r="L911" s="246"/>
      <c r="M911" s="245"/>
      <c r="N911" s="245"/>
      <c r="O911" s="245"/>
      <c r="P911" s="245"/>
      <c r="Q911" s="247"/>
      <c r="R911" s="247"/>
      <c r="S911" s="247"/>
      <c r="T911" s="245"/>
      <c r="U911" s="245"/>
      <c r="V911" s="241"/>
      <c r="W911" s="241"/>
      <c r="X911" s="241"/>
    </row>
    <row r="912" spans="1:24" ht="13.5" customHeight="1" x14ac:dyDescent="0.3">
      <c r="A912" s="245"/>
      <c r="B912" s="246"/>
      <c r="C912" s="245"/>
      <c r="D912" s="245"/>
      <c r="E912" s="245"/>
      <c r="F912" s="245"/>
      <c r="G912" s="245"/>
      <c r="H912" s="245"/>
      <c r="I912" s="245"/>
      <c r="J912" s="245"/>
      <c r="K912" s="245"/>
      <c r="L912" s="246"/>
      <c r="M912" s="245"/>
      <c r="N912" s="245"/>
      <c r="O912" s="245"/>
      <c r="P912" s="245"/>
      <c r="Q912" s="247"/>
      <c r="R912" s="247"/>
      <c r="S912" s="247"/>
      <c r="T912" s="245"/>
      <c r="U912" s="245"/>
      <c r="V912" s="241"/>
      <c r="W912" s="241"/>
      <c r="X912" s="241"/>
    </row>
    <row r="913" spans="1:24" ht="13.5" customHeight="1" x14ac:dyDescent="0.3">
      <c r="A913" s="245"/>
      <c r="B913" s="246"/>
      <c r="C913" s="245"/>
      <c r="D913" s="245"/>
      <c r="E913" s="245"/>
      <c r="F913" s="245"/>
      <c r="G913" s="245"/>
      <c r="H913" s="245"/>
      <c r="I913" s="245"/>
      <c r="J913" s="245"/>
      <c r="K913" s="245"/>
      <c r="L913" s="246"/>
      <c r="M913" s="245"/>
      <c r="N913" s="245"/>
      <c r="O913" s="245"/>
      <c r="P913" s="245"/>
      <c r="Q913" s="247"/>
      <c r="R913" s="247"/>
      <c r="S913" s="247"/>
      <c r="T913" s="245"/>
      <c r="U913" s="245"/>
      <c r="V913" s="241"/>
      <c r="W913" s="241"/>
      <c r="X913" s="241"/>
    </row>
    <row r="914" spans="1:24" ht="13.5" customHeight="1" x14ac:dyDescent="0.3">
      <c r="A914" s="245"/>
      <c r="B914" s="246"/>
      <c r="C914" s="245"/>
      <c r="D914" s="245"/>
      <c r="E914" s="245"/>
      <c r="F914" s="245"/>
      <c r="G914" s="245"/>
      <c r="H914" s="245"/>
      <c r="I914" s="245"/>
      <c r="J914" s="245"/>
      <c r="K914" s="245"/>
      <c r="L914" s="246"/>
      <c r="M914" s="245"/>
      <c r="N914" s="245"/>
      <c r="O914" s="245"/>
      <c r="P914" s="245"/>
      <c r="Q914" s="247"/>
      <c r="R914" s="247"/>
      <c r="S914" s="247"/>
      <c r="T914" s="245"/>
      <c r="U914" s="245"/>
      <c r="V914" s="241"/>
      <c r="W914" s="241"/>
      <c r="X914" s="241"/>
    </row>
    <row r="915" spans="1:24" ht="13.5" customHeight="1" x14ac:dyDescent="0.3">
      <c r="A915" s="245"/>
      <c r="B915" s="246"/>
      <c r="C915" s="245"/>
      <c r="D915" s="245"/>
      <c r="E915" s="245"/>
      <c r="F915" s="245"/>
      <c r="G915" s="245"/>
      <c r="H915" s="245"/>
      <c r="I915" s="245"/>
      <c r="J915" s="245"/>
      <c r="K915" s="245"/>
      <c r="L915" s="246"/>
      <c r="M915" s="245"/>
      <c r="N915" s="245"/>
      <c r="O915" s="245"/>
      <c r="P915" s="245"/>
      <c r="Q915" s="247"/>
      <c r="R915" s="247"/>
      <c r="S915" s="247"/>
      <c r="T915" s="245"/>
      <c r="U915" s="245"/>
      <c r="V915" s="241"/>
      <c r="W915" s="241"/>
      <c r="X915" s="241"/>
    </row>
    <row r="916" spans="1:24" ht="13.5" customHeight="1" x14ac:dyDescent="0.3">
      <c r="A916" s="245"/>
      <c r="B916" s="246"/>
      <c r="C916" s="245"/>
      <c r="D916" s="245"/>
      <c r="E916" s="245"/>
      <c r="F916" s="245"/>
      <c r="G916" s="245"/>
      <c r="H916" s="245"/>
      <c r="I916" s="245"/>
      <c r="J916" s="245"/>
      <c r="K916" s="245"/>
      <c r="L916" s="246"/>
      <c r="M916" s="245"/>
      <c r="N916" s="245"/>
      <c r="O916" s="245"/>
      <c r="P916" s="245"/>
      <c r="Q916" s="247"/>
      <c r="R916" s="247"/>
      <c r="S916" s="247"/>
      <c r="T916" s="245"/>
      <c r="U916" s="245"/>
      <c r="V916" s="241"/>
      <c r="W916" s="241"/>
      <c r="X916" s="241"/>
    </row>
    <row r="917" spans="1:24" ht="13.5" customHeight="1" x14ac:dyDescent="0.3">
      <c r="A917" s="245"/>
      <c r="B917" s="246"/>
      <c r="C917" s="245"/>
      <c r="D917" s="245"/>
      <c r="E917" s="245"/>
      <c r="F917" s="245"/>
      <c r="G917" s="245"/>
      <c r="H917" s="245"/>
      <c r="I917" s="245"/>
      <c r="J917" s="245"/>
      <c r="K917" s="245"/>
      <c r="L917" s="246"/>
      <c r="M917" s="245"/>
      <c r="N917" s="245"/>
      <c r="O917" s="245"/>
      <c r="P917" s="245"/>
      <c r="Q917" s="247"/>
      <c r="R917" s="247"/>
      <c r="S917" s="247"/>
      <c r="T917" s="245"/>
      <c r="U917" s="245"/>
      <c r="V917" s="241"/>
      <c r="W917" s="241"/>
      <c r="X917" s="241"/>
    </row>
    <row r="918" spans="1:24" ht="13.5" customHeight="1" x14ac:dyDescent="0.3">
      <c r="A918" s="245"/>
      <c r="B918" s="246"/>
      <c r="C918" s="245"/>
      <c r="D918" s="245"/>
      <c r="E918" s="245"/>
      <c r="F918" s="245"/>
      <c r="G918" s="245"/>
      <c r="H918" s="245"/>
      <c r="I918" s="245"/>
      <c r="J918" s="245"/>
      <c r="K918" s="245"/>
      <c r="L918" s="246"/>
      <c r="M918" s="245"/>
      <c r="N918" s="245"/>
      <c r="O918" s="245"/>
      <c r="P918" s="245"/>
      <c r="Q918" s="247"/>
      <c r="R918" s="247"/>
      <c r="S918" s="247"/>
      <c r="T918" s="245"/>
      <c r="U918" s="245"/>
      <c r="V918" s="241"/>
      <c r="W918" s="241"/>
      <c r="X918" s="241"/>
    </row>
    <row r="919" spans="1:24" ht="13.5" customHeight="1" x14ac:dyDescent="0.3">
      <c r="A919" s="245"/>
      <c r="B919" s="246"/>
      <c r="C919" s="245"/>
      <c r="D919" s="245"/>
      <c r="E919" s="245"/>
      <c r="F919" s="245"/>
      <c r="G919" s="245"/>
      <c r="H919" s="245"/>
      <c r="I919" s="245"/>
      <c r="J919" s="245"/>
      <c r="K919" s="245"/>
      <c r="L919" s="246"/>
      <c r="M919" s="245"/>
      <c r="N919" s="245"/>
      <c r="O919" s="245"/>
      <c r="P919" s="245"/>
      <c r="Q919" s="247"/>
      <c r="R919" s="247"/>
      <c r="S919" s="247"/>
      <c r="T919" s="245"/>
      <c r="U919" s="245"/>
      <c r="V919" s="241"/>
      <c r="W919" s="241"/>
      <c r="X919" s="241"/>
    </row>
    <row r="920" spans="1:24" ht="13.5" customHeight="1" x14ac:dyDescent="0.3">
      <c r="A920" s="245"/>
      <c r="B920" s="246"/>
      <c r="C920" s="245"/>
      <c r="D920" s="245"/>
      <c r="E920" s="245"/>
      <c r="F920" s="245"/>
      <c r="G920" s="245"/>
      <c r="H920" s="245"/>
      <c r="I920" s="245"/>
      <c r="J920" s="245"/>
      <c r="K920" s="245"/>
      <c r="L920" s="246"/>
      <c r="M920" s="245"/>
      <c r="N920" s="245"/>
      <c r="O920" s="245"/>
      <c r="P920" s="245"/>
      <c r="Q920" s="247"/>
      <c r="R920" s="247"/>
      <c r="S920" s="247"/>
      <c r="T920" s="245"/>
      <c r="U920" s="245"/>
      <c r="V920" s="241"/>
      <c r="W920" s="241"/>
      <c r="X920" s="241"/>
    </row>
    <row r="921" spans="1:24" ht="13.5" customHeight="1" x14ac:dyDescent="0.3">
      <c r="A921" s="245"/>
      <c r="B921" s="246"/>
      <c r="C921" s="245"/>
      <c r="D921" s="245"/>
      <c r="E921" s="245"/>
      <c r="F921" s="245"/>
      <c r="G921" s="245"/>
      <c r="H921" s="245"/>
      <c r="I921" s="245"/>
      <c r="J921" s="245"/>
      <c r="K921" s="245"/>
      <c r="L921" s="246"/>
      <c r="M921" s="245"/>
      <c r="N921" s="245"/>
      <c r="O921" s="245"/>
      <c r="P921" s="245"/>
      <c r="Q921" s="247"/>
      <c r="R921" s="247"/>
      <c r="S921" s="247"/>
      <c r="T921" s="245"/>
      <c r="U921" s="245"/>
      <c r="V921" s="241"/>
      <c r="W921" s="241"/>
      <c r="X921" s="241"/>
    </row>
    <row r="922" spans="1:24" ht="13.5" customHeight="1" x14ac:dyDescent="0.3">
      <c r="A922" s="245"/>
      <c r="B922" s="246"/>
      <c r="C922" s="245"/>
      <c r="D922" s="245"/>
      <c r="E922" s="245"/>
      <c r="F922" s="245"/>
      <c r="G922" s="245"/>
      <c r="H922" s="245"/>
      <c r="I922" s="245"/>
      <c r="J922" s="245"/>
      <c r="K922" s="245"/>
      <c r="L922" s="246"/>
      <c r="M922" s="245"/>
      <c r="N922" s="245"/>
      <c r="O922" s="245"/>
      <c r="P922" s="245"/>
      <c r="Q922" s="247"/>
      <c r="R922" s="247"/>
      <c r="S922" s="247"/>
      <c r="T922" s="245"/>
      <c r="U922" s="245"/>
      <c r="V922" s="241"/>
      <c r="W922" s="241"/>
      <c r="X922" s="241"/>
    </row>
    <row r="923" spans="1:24" ht="13.5" customHeight="1" x14ac:dyDescent="0.3">
      <c r="A923" s="245"/>
      <c r="B923" s="246"/>
      <c r="C923" s="245"/>
      <c r="D923" s="245"/>
      <c r="E923" s="245"/>
      <c r="F923" s="245"/>
      <c r="G923" s="245"/>
      <c r="H923" s="245"/>
      <c r="I923" s="245"/>
      <c r="J923" s="245"/>
      <c r="K923" s="245"/>
      <c r="L923" s="246"/>
      <c r="M923" s="245"/>
      <c r="N923" s="245"/>
      <c r="O923" s="245"/>
      <c r="P923" s="245"/>
      <c r="Q923" s="247"/>
      <c r="R923" s="247"/>
      <c r="S923" s="247"/>
      <c r="T923" s="245"/>
      <c r="U923" s="245"/>
      <c r="V923" s="241"/>
      <c r="W923" s="241"/>
      <c r="X923" s="241"/>
    </row>
    <row r="924" spans="1:24" ht="13.5" customHeight="1" x14ac:dyDescent="0.3">
      <c r="A924" s="245"/>
      <c r="B924" s="246"/>
      <c r="C924" s="245"/>
      <c r="D924" s="245"/>
      <c r="E924" s="245"/>
      <c r="F924" s="245"/>
      <c r="G924" s="245"/>
      <c r="H924" s="245"/>
      <c r="I924" s="245"/>
      <c r="J924" s="245"/>
      <c r="K924" s="245"/>
      <c r="L924" s="246"/>
      <c r="M924" s="245"/>
      <c r="N924" s="245"/>
      <c r="O924" s="245"/>
      <c r="P924" s="245"/>
      <c r="Q924" s="247"/>
      <c r="R924" s="247"/>
      <c r="S924" s="247"/>
      <c r="T924" s="245"/>
      <c r="U924" s="245"/>
      <c r="V924" s="241"/>
      <c r="W924" s="241"/>
      <c r="X924" s="241"/>
    </row>
    <row r="925" spans="1:24" ht="13.5" customHeight="1" x14ac:dyDescent="0.3">
      <c r="A925" s="245"/>
      <c r="B925" s="246"/>
      <c r="C925" s="245"/>
      <c r="D925" s="245"/>
      <c r="E925" s="245"/>
      <c r="F925" s="245"/>
      <c r="G925" s="245"/>
      <c r="H925" s="245"/>
      <c r="I925" s="245"/>
      <c r="J925" s="245"/>
      <c r="K925" s="245"/>
      <c r="L925" s="246"/>
      <c r="M925" s="245"/>
      <c r="N925" s="245"/>
      <c r="O925" s="245"/>
      <c r="P925" s="245"/>
      <c r="Q925" s="247"/>
      <c r="R925" s="247"/>
      <c r="S925" s="247"/>
      <c r="T925" s="245"/>
      <c r="U925" s="245"/>
      <c r="V925" s="241"/>
      <c r="W925" s="241"/>
      <c r="X925" s="241"/>
    </row>
    <row r="926" spans="1:24" ht="13.5" customHeight="1" x14ac:dyDescent="0.3">
      <c r="A926" s="245"/>
      <c r="B926" s="246"/>
      <c r="C926" s="245"/>
      <c r="D926" s="245"/>
      <c r="E926" s="245"/>
      <c r="F926" s="245"/>
      <c r="G926" s="245"/>
      <c r="H926" s="245"/>
      <c r="I926" s="245"/>
      <c r="J926" s="245"/>
      <c r="K926" s="245"/>
      <c r="L926" s="246"/>
      <c r="M926" s="245"/>
      <c r="N926" s="245"/>
      <c r="O926" s="245"/>
      <c r="P926" s="245"/>
      <c r="Q926" s="247"/>
      <c r="R926" s="247"/>
      <c r="S926" s="247"/>
      <c r="T926" s="245"/>
      <c r="U926" s="245"/>
      <c r="V926" s="241"/>
      <c r="W926" s="241"/>
      <c r="X926" s="241"/>
    </row>
    <row r="927" spans="1:24" ht="13.5" customHeight="1" x14ac:dyDescent="0.3">
      <c r="A927" s="245"/>
      <c r="B927" s="246"/>
      <c r="C927" s="245"/>
      <c r="D927" s="245"/>
      <c r="E927" s="245"/>
      <c r="F927" s="245"/>
      <c r="G927" s="245"/>
      <c r="H927" s="245"/>
      <c r="I927" s="245"/>
      <c r="J927" s="245"/>
      <c r="K927" s="245"/>
      <c r="L927" s="246"/>
      <c r="M927" s="245"/>
      <c r="N927" s="245"/>
      <c r="O927" s="245"/>
      <c r="P927" s="245"/>
      <c r="Q927" s="247"/>
      <c r="R927" s="247"/>
      <c r="S927" s="247"/>
      <c r="T927" s="245"/>
      <c r="U927" s="245"/>
      <c r="V927" s="241"/>
      <c r="W927" s="241"/>
      <c r="X927" s="241"/>
    </row>
    <row r="928" spans="1:24" ht="13.5" customHeight="1" x14ac:dyDescent="0.3">
      <c r="A928" s="245"/>
      <c r="B928" s="246"/>
      <c r="C928" s="245"/>
      <c r="D928" s="245"/>
      <c r="E928" s="245"/>
      <c r="F928" s="245"/>
      <c r="G928" s="245"/>
      <c r="H928" s="245"/>
      <c r="I928" s="245"/>
      <c r="J928" s="245"/>
      <c r="K928" s="245"/>
      <c r="L928" s="246"/>
      <c r="M928" s="245"/>
      <c r="N928" s="245"/>
      <c r="O928" s="245"/>
      <c r="P928" s="245"/>
      <c r="Q928" s="247"/>
      <c r="R928" s="247"/>
      <c r="S928" s="247"/>
      <c r="T928" s="245"/>
      <c r="U928" s="245"/>
      <c r="V928" s="241"/>
      <c r="W928" s="241"/>
      <c r="X928" s="241"/>
    </row>
    <row r="929" spans="1:24" ht="13.5" customHeight="1" x14ac:dyDescent="0.3">
      <c r="A929" s="245"/>
      <c r="B929" s="246"/>
      <c r="C929" s="245"/>
      <c r="D929" s="245"/>
      <c r="E929" s="245"/>
      <c r="F929" s="245"/>
      <c r="G929" s="245"/>
      <c r="H929" s="245"/>
      <c r="I929" s="245"/>
      <c r="J929" s="245"/>
      <c r="K929" s="245"/>
      <c r="L929" s="246"/>
      <c r="M929" s="245"/>
      <c r="N929" s="245"/>
      <c r="O929" s="245"/>
      <c r="P929" s="245"/>
      <c r="Q929" s="247"/>
      <c r="R929" s="247"/>
      <c r="S929" s="247"/>
      <c r="T929" s="245"/>
      <c r="U929" s="245"/>
      <c r="V929" s="241"/>
      <c r="W929" s="241"/>
      <c r="X929" s="241"/>
    </row>
    <row r="930" spans="1:24" ht="13.5" customHeight="1" x14ac:dyDescent="0.3">
      <c r="A930" s="245"/>
      <c r="B930" s="246"/>
      <c r="C930" s="245"/>
      <c r="D930" s="245"/>
      <c r="E930" s="245"/>
      <c r="F930" s="245"/>
      <c r="G930" s="245"/>
      <c r="H930" s="245"/>
      <c r="I930" s="245"/>
      <c r="J930" s="245"/>
      <c r="K930" s="245"/>
      <c r="L930" s="246"/>
      <c r="M930" s="245"/>
      <c r="N930" s="245"/>
      <c r="O930" s="245"/>
      <c r="P930" s="245"/>
      <c r="Q930" s="247"/>
      <c r="R930" s="247"/>
      <c r="S930" s="247"/>
      <c r="T930" s="245"/>
      <c r="U930" s="245"/>
      <c r="V930" s="241"/>
      <c r="W930" s="241"/>
      <c r="X930" s="241"/>
    </row>
    <row r="931" spans="1:24" ht="13.5" customHeight="1" x14ac:dyDescent="0.3">
      <c r="A931" s="245"/>
      <c r="B931" s="246"/>
      <c r="C931" s="245"/>
      <c r="D931" s="245"/>
      <c r="E931" s="245"/>
      <c r="F931" s="245"/>
      <c r="G931" s="245"/>
      <c r="H931" s="245"/>
      <c r="I931" s="245"/>
      <c r="J931" s="245"/>
      <c r="K931" s="245"/>
      <c r="L931" s="246"/>
      <c r="M931" s="245"/>
      <c r="N931" s="245"/>
      <c r="O931" s="245"/>
      <c r="P931" s="245"/>
      <c r="Q931" s="247"/>
      <c r="R931" s="247"/>
      <c r="S931" s="247"/>
      <c r="T931" s="245"/>
      <c r="U931" s="245"/>
      <c r="V931" s="241"/>
      <c r="W931" s="241"/>
      <c r="X931" s="241"/>
    </row>
    <row r="932" spans="1:24" ht="13.5" customHeight="1" x14ac:dyDescent="0.3">
      <c r="A932" s="245"/>
      <c r="B932" s="246"/>
      <c r="C932" s="245"/>
      <c r="D932" s="245"/>
      <c r="E932" s="245"/>
      <c r="F932" s="245"/>
      <c r="G932" s="245"/>
      <c r="H932" s="245"/>
      <c r="I932" s="245"/>
      <c r="J932" s="245"/>
      <c r="K932" s="245"/>
      <c r="L932" s="246"/>
      <c r="M932" s="245"/>
      <c r="N932" s="245"/>
      <c r="O932" s="245"/>
      <c r="P932" s="245"/>
      <c r="Q932" s="247"/>
      <c r="R932" s="247"/>
      <c r="S932" s="247"/>
      <c r="T932" s="245"/>
      <c r="U932" s="245"/>
      <c r="V932" s="241"/>
      <c r="W932" s="241"/>
      <c r="X932" s="241"/>
    </row>
    <row r="933" spans="1:24" ht="13.5" customHeight="1" x14ac:dyDescent="0.3">
      <c r="A933" s="245"/>
      <c r="B933" s="246"/>
      <c r="C933" s="245"/>
      <c r="D933" s="245"/>
      <c r="E933" s="245"/>
      <c r="F933" s="245"/>
      <c r="G933" s="245"/>
      <c r="H933" s="245"/>
      <c r="I933" s="245"/>
      <c r="J933" s="245"/>
      <c r="K933" s="245"/>
      <c r="L933" s="246"/>
      <c r="M933" s="245"/>
      <c r="N933" s="245"/>
      <c r="O933" s="245"/>
      <c r="P933" s="245"/>
      <c r="Q933" s="247"/>
      <c r="R933" s="247"/>
      <c r="S933" s="247"/>
      <c r="T933" s="245"/>
      <c r="U933" s="245"/>
      <c r="V933" s="241"/>
      <c r="W933" s="241"/>
      <c r="X933" s="241"/>
    </row>
    <row r="934" spans="1:24" ht="13.5" customHeight="1" x14ac:dyDescent="0.3">
      <c r="A934" s="245"/>
      <c r="B934" s="246"/>
      <c r="C934" s="245"/>
      <c r="D934" s="245"/>
      <c r="E934" s="245"/>
      <c r="F934" s="245"/>
      <c r="G934" s="245"/>
      <c r="H934" s="245"/>
      <c r="I934" s="245"/>
      <c r="J934" s="245"/>
      <c r="K934" s="245"/>
      <c r="L934" s="246"/>
      <c r="M934" s="245"/>
      <c r="N934" s="245"/>
      <c r="O934" s="245"/>
      <c r="P934" s="245"/>
      <c r="Q934" s="247"/>
      <c r="R934" s="247"/>
      <c r="S934" s="247"/>
      <c r="T934" s="245"/>
      <c r="U934" s="245"/>
      <c r="V934" s="241"/>
      <c r="W934" s="241"/>
      <c r="X934" s="241"/>
    </row>
    <row r="935" spans="1:24" ht="13.5" customHeight="1" x14ac:dyDescent="0.3">
      <c r="A935" s="245"/>
      <c r="B935" s="246"/>
      <c r="C935" s="245"/>
      <c r="D935" s="245"/>
      <c r="E935" s="245"/>
      <c r="F935" s="245"/>
      <c r="G935" s="245"/>
      <c r="H935" s="245"/>
      <c r="I935" s="245"/>
      <c r="J935" s="245"/>
      <c r="K935" s="245"/>
      <c r="L935" s="246"/>
      <c r="M935" s="245"/>
      <c r="N935" s="245"/>
      <c r="O935" s="245"/>
      <c r="P935" s="245"/>
      <c r="Q935" s="247"/>
      <c r="R935" s="247"/>
      <c r="S935" s="247"/>
      <c r="T935" s="245"/>
      <c r="U935" s="245"/>
      <c r="V935" s="241"/>
      <c r="W935" s="241"/>
      <c r="X935" s="241"/>
    </row>
    <row r="936" spans="1:24" ht="13.5" customHeight="1" x14ac:dyDescent="0.3">
      <c r="A936" s="245"/>
      <c r="B936" s="246"/>
      <c r="C936" s="245"/>
      <c r="D936" s="245"/>
      <c r="E936" s="245"/>
      <c r="F936" s="245"/>
      <c r="G936" s="245"/>
      <c r="H936" s="245"/>
      <c r="I936" s="245"/>
      <c r="J936" s="245"/>
      <c r="K936" s="245"/>
      <c r="L936" s="246"/>
      <c r="M936" s="245"/>
      <c r="N936" s="245"/>
      <c r="O936" s="245"/>
      <c r="P936" s="245"/>
      <c r="Q936" s="247"/>
      <c r="R936" s="247"/>
      <c r="S936" s="247"/>
      <c r="T936" s="245"/>
      <c r="U936" s="245"/>
      <c r="V936" s="241"/>
      <c r="W936" s="241"/>
      <c r="X936" s="241"/>
    </row>
    <row r="937" spans="1:24" ht="13.5" customHeight="1" x14ac:dyDescent="0.3">
      <c r="A937" s="245"/>
      <c r="B937" s="246"/>
      <c r="C937" s="245"/>
      <c r="D937" s="245"/>
      <c r="E937" s="245"/>
      <c r="F937" s="245"/>
      <c r="G937" s="245"/>
      <c r="H937" s="245"/>
      <c r="I937" s="245"/>
      <c r="J937" s="245"/>
      <c r="K937" s="245"/>
      <c r="L937" s="246"/>
      <c r="M937" s="245"/>
      <c r="N937" s="245"/>
      <c r="O937" s="245"/>
      <c r="P937" s="245"/>
      <c r="Q937" s="247"/>
      <c r="R937" s="247"/>
      <c r="S937" s="247"/>
      <c r="T937" s="245"/>
      <c r="U937" s="245"/>
      <c r="V937" s="241"/>
      <c r="W937" s="241"/>
      <c r="X937" s="241"/>
    </row>
    <row r="938" spans="1:24" ht="13.5" customHeight="1" x14ac:dyDescent="0.3">
      <c r="A938" s="245"/>
      <c r="B938" s="246"/>
      <c r="C938" s="245"/>
      <c r="D938" s="245"/>
      <c r="E938" s="245"/>
      <c r="F938" s="245"/>
      <c r="G938" s="245"/>
      <c r="H938" s="245"/>
      <c r="I938" s="245"/>
      <c r="J938" s="245"/>
      <c r="K938" s="245"/>
      <c r="L938" s="246"/>
      <c r="M938" s="245"/>
      <c r="N938" s="245"/>
      <c r="O938" s="245"/>
      <c r="P938" s="245"/>
      <c r="Q938" s="247"/>
      <c r="R938" s="247"/>
      <c r="S938" s="247"/>
      <c r="T938" s="245"/>
      <c r="U938" s="245"/>
      <c r="V938" s="241"/>
      <c r="W938" s="241"/>
      <c r="X938" s="241"/>
    </row>
    <row r="939" spans="1:24" ht="13.5" customHeight="1" x14ac:dyDescent="0.3">
      <c r="A939" s="245"/>
      <c r="B939" s="246"/>
      <c r="C939" s="245"/>
      <c r="D939" s="245"/>
      <c r="E939" s="245"/>
      <c r="F939" s="245"/>
      <c r="G939" s="245"/>
      <c r="H939" s="245"/>
      <c r="I939" s="245"/>
      <c r="J939" s="245"/>
      <c r="K939" s="245"/>
      <c r="L939" s="246"/>
      <c r="M939" s="245"/>
      <c r="N939" s="245"/>
      <c r="O939" s="245"/>
      <c r="P939" s="245"/>
      <c r="Q939" s="247"/>
      <c r="R939" s="247"/>
      <c r="S939" s="247"/>
      <c r="T939" s="245"/>
      <c r="U939" s="245"/>
      <c r="V939" s="241"/>
      <c r="W939" s="241"/>
      <c r="X939" s="241"/>
    </row>
    <row r="940" spans="1:24" ht="13.5" customHeight="1" x14ac:dyDescent="0.3">
      <c r="A940" s="245"/>
      <c r="B940" s="246"/>
      <c r="C940" s="245"/>
      <c r="D940" s="245"/>
      <c r="E940" s="245"/>
      <c r="F940" s="245"/>
      <c r="G940" s="245"/>
      <c r="H940" s="245"/>
      <c r="I940" s="245"/>
      <c r="J940" s="245"/>
      <c r="K940" s="245"/>
      <c r="L940" s="246"/>
      <c r="M940" s="245"/>
      <c r="N940" s="245"/>
      <c r="O940" s="245"/>
      <c r="P940" s="245"/>
      <c r="Q940" s="247"/>
      <c r="R940" s="247"/>
      <c r="S940" s="247"/>
      <c r="T940" s="245"/>
      <c r="U940" s="245"/>
      <c r="V940" s="241"/>
      <c r="W940" s="241"/>
      <c r="X940" s="241"/>
    </row>
    <row r="941" spans="1:24" ht="13.5" customHeight="1" x14ac:dyDescent="0.3">
      <c r="A941" s="245"/>
      <c r="B941" s="246"/>
      <c r="C941" s="245"/>
      <c r="D941" s="245"/>
      <c r="E941" s="245"/>
      <c r="F941" s="245"/>
      <c r="G941" s="245"/>
      <c r="H941" s="245"/>
      <c r="I941" s="245"/>
      <c r="J941" s="245"/>
      <c r="K941" s="245"/>
      <c r="L941" s="246"/>
      <c r="M941" s="245"/>
      <c r="N941" s="245"/>
      <c r="O941" s="245"/>
      <c r="P941" s="245"/>
      <c r="Q941" s="247"/>
      <c r="R941" s="247"/>
      <c r="S941" s="247"/>
      <c r="T941" s="245"/>
      <c r="U941" s="245"/>
      <c r="V941" s="241"/>
      <c r="W941" s="241"/>
      <c r="X941" s="241"/>
    </row>
    <row r="942" spans="1:24" ht="13.5" customHeight="1" x14ac:dyDescent="0.3">
      <c r="A942" s="245"/>
      <c r="B942" s="246"/>
      <c r="C942" s="245"/>
      <c r="D942" s="245"/>
      <c r="E942" s="245"/>
      <c r="F942" s="245"/>
      <c r="G942" s="245"/>
      <c r="H942" s="245"/>
      <c r="I942" s="245"/>
      <c r="J942" s="245"/>
      <c r="K942" s="245"/>
      <c r="L942" s="246"/>
      <c r="M942" s="245"/>
      <c r="N942" s="245"/>
      <c r="O942" s="245"/>
      <c r="P942" s="245"/>
      <c r="Q942" s="247"/>
      <c r="R942" s="247"/>
      <c r="S942" s="247"/>
      <c r="T942" s="245"/>
      <c r="U942" s="245"/>
      <c r="V942" s="241"/>
      <c r="W942" s="241"/>
      <c r="X942" s="241"/>
    </row>
    <row r="943" spans="1:24" ht="13.5" customHeight="1" x14ac:dyDescent="0.3">
      <c r="A943" s="245"/>
      <c r="B943" s="246"/>
      <c r="C943" s="245"/>
      <c r="D943" s="245"/>
      <c r="E943" s="245"/>
      <c r="F943" s="245"/>
      <c r="G943" s="245"/>
      <c r="H943" s="245"/>
      <c r="I943" s="245"/>
      <c r="J943" s="245"/>
      <c r="K943" s="245"/>
      <c r="L943" s="246"/>
      <c r="M943" s="245"/>
      <c r="N943" s="245"/>
      <c r="O943" s="245"/>
      <c r="P943" s="245"/>
      <c r="Q943" s="247"/>
      <c r="R943" s="247"/>
      <c r="S943" s="247"/>
      <c r="T943" s="245"/>
      <c r="U943" s="245"/>
      <c r="V943" s="241"/>
      <c r="W943" s="241"/>
      <c r="X943" s="241"/>
    </row>
    <row r="944" spans="1:24" ht="13.5" customHeight="1" x14ac:dyDescent="0.3">
      <c r="A944" s="245"/>
      <c r="B944" s="246"/>
      <c r="C944" s="245"/>
      <c r="D944" s="245"/>
      <c r="E944" s="245"/>
      <c r="F944" s="245"/>
      <c r="G944" s="245"/>
      <c r="H944" s="245"/>
      <c r="I944" s="245"/>
      <c r="J944" s="245"/>
      <c r="K944" s="245"/>
      <c r="L944" s="246"/>
      <c r="M944" s="245"/>
      <c r="N944" s="245"/>
      <c r="O944" s="245"/>
      <c r="P944" s="245"/>
      <c r="Q944" s="247"/>
      <c r="R944" s="247"/>
      <c r="S944" s="247"/>
      <c r="T944" s="245"/>
      <c r="U944" s="245"/>
      <c r="V944" s="241"/>
      <c r="W944" s="241"/>
      <c r="X944" s="241"/>
    </row>
    <row r="945" spans="1:24" ht="13.5" customHeight="1" x14ac:dyDescent="0.3">
      <c r="A945" s="245"/>
      <c r="B945" s="246"/>
      <c r="C945" s="245"/>
      <c r="D945" s="245"/>
      <c r="E945" s="245"/>
      <c r="F945" s="245"/>
      <c r="G945" s="245"/>
      <c r="H945" s="245"/>
      <c r="I945" s="245"/>
      <c r="J945" s="245"/>
      <c r="K945" s="245"/>
      <c r="L945" s="246"/>
      <c r="M945" s="245"/>
      <c r="N945" s="245"/>
      <c r="O945" s="245"/>
      <c r="P945" s="245"/>
      <c r="Q945" s="247"/>
      <c r="R945" s="247"/>
      <c r="S945" s="247"/>
      <c r="T945" s="245"/>
      <c r="U945" s="245"/>
      <c r="V945" s="241"/>
      <c r="W945" s="241"/>
      <c r="X945" s="241"/>
    </row>
    <row r="946" spans="1:24" ht="13.5" customHeight="1" x14ac:dyDescent="0.3">
      <c r="A946" s="245"/>
      <c r="B946" s="246"/>
      <c r="C946" s="245"/>
      <c r="D946" s="245"/>
      <c r="E946" s="245"/>
      <c r="F946" s="245"/>
      <c r="G946" s="245"/>
      <c r="H946" s="245"/>
      <c r="I946" s="245"/>
      <c r="J946" s="245"/>
      <c r="K946" s="245"/>
      <c r="L946" s="246"/>
      <c r="M946" s="245"/>
      <c r="N946" s="245"/>
      <c r="O946" s="245"/>
      <c r="P946" s="245"/>
      <c r="Q946" s="247"/>
      <c r="R946" s="247"/>
      <c r="S946" s="247"/>
      <c r="T946" s="245"/>
      <c r="U946" s="245"/>
      <c r="V946" s="241"/>
      <c r="W946" s="241"/>
      <c r="X946" s="241"/>
    </row>
    <row r="947" spans="1:24" ht="13.5" customHeight="1" x14ac:dyDescent="0.3">
      <c r="A947" s="245"/>
      <c r="B947" s="246"/>
      <c r="C947" s="245"/>
      <c r="D947" s="245"/>
      <c r="E947" s="245"/>
      <c r="F947" s="245"/>
      <c r="G947" s="245"/>
      <c r="H947" s="245"/>
      <c r="I947" s="245"/>
      <c r="J947" s="245"/>
      <c r="K947" s="245"/>
      <c r="L947" s="246"/>
      <c r="M947" s="245"/>
      <c r="N947" s="245"/>
      <c r="O947" s="245"/>
      <c r="P947" s="245"/>
      <c r="Q947" s="247"/>
      <c r="R947" s="247"/>
      <c r="S947" s="247"/>
      <c r="T947" s="245"/>
      <c r="U947" s="245"/>
      <c r="V947" s="241"/>
      <c r="W947" s="241"/>
      <c r="X947" s="241"/>
    </row>
    <row r="948" spans="1:24" ht="13.5" customHeight="1" x14ac:dyDescent="0.3">
      <c r="A948" s="245"/>
      <c r="B948" s="246"/>
      <c r="C948" s="245"/>
      <c r="D948" s="245"/>
      <c r="E948" s="245"/>
      <c r="F948" s="245"/>
      <c r="G948" s="245"/>
      <c r="H948" s="245"/>
      <c r="I948" s="245"/>
      <c r="J948" s="245"/>
      <c r="K948" s="245"/>
      <c r="L948" s="246"/>
      <c r="M948" s="245"/>
      <c r="N948" s="245"/>
      <c r="O948" s="245"/>
      <c r="P948" s="245"/>
      <c r="Q948" s="247"/>
      <c r="R948" s="247"/>
      <c r="S948" s="247"/>
      <c r="T948" s="245"/>
      <c r="U948" s="245"/>
      <c r="V948" s="241"/>
      <c r="W948" s="241"/>
      <c r="X948" s="241"/>
    </row>
    <row r="949" spans="1:24" ht="13.5" customHeight="1" x14ac:dyDescent="0.3">
      <c r="A949" s="245"/>
      <c r="B949" s="246"/>
      <c r="C949" s="245"/>
      <c r="D949" s="245"/>
      <c r="E949" s="245"/>
      <c r="F949" s="245"/>
      <c r="G949" s="245"/>
      <c r="H949" s="245"/>
      <c r="I949" s="245"/>
      <c r="J949" s="245"/>
      <c r="K949" s="245"/>
      <c r="L949" s="246"/>
      <c r="M949" s="245"/>
      <c r="N949" s="245"/>
      <c r="O949" s="245"/>
      <c r="P949" s="245"/>
      <c r="Q949" s="247"/>
      <c r="R949" s="247"/>
      <c r="S949" s="247"/>
      <c r="T949" s="245"/>
      <c r="U949" s="245"/>
      <c r="V949" s="241"/>
      <c r="W949" s="241"/>
      <c r="X949" s="241"/>
    </row>
    <row r="950" spans="1:24" ht="13.5" customHeight="1" x14ac:dyDescent="0.3">
      <c r="A950" s="245"/>
      <c r="B950" s="246"/>
      <c r="C950" s="245"/>
      <c r="D950" s="245"/>
      <c r="E950" s="245"/>
      <c r="F950" s="245"/>
      <c r="G950" s="245"/>
      <c r="H950" s="245"/>
      <c r="I950" s="245"/>
      <c r="J950" s="245"/>
      <c r="K950" s="245"/>
      <c r="L950" s="246"/>
      <c r="M950" s="245"/>
      <c r="N950" s="245"/>
      <c r="O950" s="245"/>
      <c r="P950" s="245"/>
      <c r="Q950" s="247"/>
      <c r="R950" s="247"/>
      <c r="S950" s="247"/>
      <c r="T950" s="245"/>
      <c r="U950" s="245"/>
      <c r="V950" s="241"/>
      <c r="W950" s="241"/>
      <c r="X950" s="241"/>
    </row>
    <row r="951" spans="1:24" ht="13.5" customHeight="1" x14ac:dyDescent="0.3">
      <c r="A951" s="245"/>
      <c r="B951" s="246"/>
      <c r="C951" s="245"/>
      <c r="D951" s="245"/>
      <c r="E951" s="245"/>
      <c r="F951" s="245"/>
      <c r="G951" s="245"/>
      <c r="H951" s="245"/>
      <c r="I951" s="245"/>
      <c r="J951" s="245"/>
      <c r="K951" s="245"/>
      <c r="L951" s="246"/>
      <c r="M951" s="245"/>
      <c r="N951" s="245"/>
      <c r="O951" s="245"/>
      <c r="P951" s="245"/>
      <c r="Q951" s="247"/>
      <c r="R951" s="247"/>
      <c r="S951" s="247"/>
      <c r="T951" s="245"/>
      <c r="U951" s="245"/>
      <c r="V951" s="241"/>
      <c r="W951" s="241"/>
      <c r="X951" s="241"/>
    </row>
    <row r="952" spans="1:24" ht="13.5" customHeight="1" x14ac:dyDescent="0.3">
      <c r="A952" s="245"/>
      <c r="B952" s="246"/>
      <c r="C952" s="245"/>
      <c r="D952" s="245"/>
      <c r="E952" s="245"/>
      <c r="F952" s="245"/>
      <c r="G952" s="245"/>
      <c r="H952" s="245"/>
      <c r="I952" s="245"/>
      <c r="J952" s="245"/>
      <c r="K952" s="245"/>
      <c r="L952" s="246"/>
      <c r="M952" s="245"/>
      <c r="N952" s="245"/>
      <c r="O952" s="245"/>
      <c r="P952" s="245"/>
      <c r="Q952" s="247"/>
      <c r="R952" s="247"/>
      <c r="S952" s="247"/>
      <c r="T952" s="245"/>
      <c r="U952" s="245"/>
      <c r="V952" s="241"/>
      <c r="W952" s="241"/>
      <c r="X952" s="241"/>
    </row>
    <row r="953" spans="1:24" ht="13.5" customHeight="1" x14ac:dyDescent="0.3">
      <c r="A953" s="245"/>
      <c r="B953" s="246"/>
      <c r="C953" s="245"/>
      <c r="D953" s="245"/>
      <c r="E953" s="245"/>
      <c r="F953" s="245"/>
      <c r="G953" s="245"/>
      <c r="H953" s="245"/>
      <c r="I953" s="245"/>
      <c r="J953" s="245"/>
      <c r="K953" s="245"/>
      <c r="L953" s="246"/>
      <c r="M953" s="245"/>
      <c r="N953" s="245"/>
      <c r="O953" s="245"/>
      <c r="P953" s="245"/>
      <c r="Q953" s="247"/>
      <c r="R953" s="247"/>
      <c r="S953" s="247"/>
      <c r="T953" s="245"/>
      <c r="U953" s="245"/>
      <c r="V953" s="241"/>
      <c r="W953" s="241"/>
      <c r="X953" s="241"/>
    </row>
    <row r="954" spans="1:24" ht="13.5" customHeight="1" x14ac:dyDescent="0.3">
      <c r="A954" s="245"/>
      <c r="B954" s="246"/>
      <c r="C954" s="245"/>
      <c r="D954" s="245"/>
      <c r="E954" s="245"/>
      <c r="F954" s="245"/>
      <c r="G954" s="245"/>
      <c r="H954" s="245"/>
      <c r="I954" s="245"/>
      <c r="J954" s="245"/>
      <c r="K954" s="245"/>
      <c r="L954" s="246"/>
      <c r="M954" s="245"/>
      <c r="N954" s="245"/>
      <c r="O954" s="245"/>
      <c r="P954" s="245"/>
      <c r="Q954" s="247"/>
      <c r="R954" s="247"/>
      <c r="S954" s="247"/>
      <c r="T954" s="245"/>
      <c r="U954" s="245"/>
      <c r="V954" s="241"/>
      <c r="W954" s="241"/>
      <c r="X954" s="241"/>
    </row>
    <row r="955" spans="1:24" ht="13.5" customHeight="1" x14ac:dyDescent="0.3">
      <c r="A955" s="245"/>
      <c r="B955" s="246"/>
      <c r="C955" s="245"/>
      <c r="D955" s="245"/>
      <c r="E955" s="245"/>
      <c r="F955" s="245"/>
      <c r="G955" s="245"/>
      <c r="H955" s="245"/>
      <c r="I955" s="245"/>
      <c r="J955" s="245"/>
      <c r="K955" s="245"/>
      <c r="L955" s="246"/>
      <c r="M955" s="245"/>
      <c r="N955" s="245"/>
      <c r="O955" s="245"/>
      <c r="P955" s="245"/>
      <c r="Q955" s="247"/>
      <c r="R955" s="247"/>
      <c r="S955" s="247"/>
      <c r="T955" s="245"/>
      <c r="U955" s="245"/>
      <c r="V955" s="241"/>
      <c r="W955" s="241"/>
      <c r="X955" s="241"/>
    </row>
    <row r="956" spans="1:24" ht="13.5" customHeight="1" x14ac:dyDescent="0.3">
      <c r="A956" s="245"/>
      <c r="B956" s="246"/>
      <c r="C956" s="245"/>
      <c r="D956" s="245"/>
      <c r="E956" s="245"/>
      <c r="F956" s="245"/>
      <c r="G956" s="245"/>
      <c r="H956" s="245"/>
      <c r="I956" s="245"/>
      <c r="J956" s="245"/>
      <c r="K956" s="245"/>
      <c r="L956" s="246"/>
      <c r="M956" s="245"/>
      <c r="N956" s="245"/>
      <c r="O956" s="245"/>
      <c r="P956" s="245"/>
      <c r="Q956" s="247"/>
      <c r="R956" s="247"/>
      <c r="S956" s="247"/>
      <c r="T956" s="245"/>
      <c r="U956" s="245"/>
      <c r="V956" s="241"/>
      <c r="W956" s="241"/>
      <c r="X956" s="241"/>
    </row>
    <row r="957" spans="1:24" ht="13.5" customHeight="1" x14ac:dyDescent="0.3">
      <c r="A957" s="245"/>
      <c r="B957" s="246"/>
      <c r="C957" s="245"/>
      <c r="D957" s="245"/>
      <c r="E957" s="245"/>
      <c r="F957" s="245"/>
      <c r="G957" s="245"/>
      <c r="H957" s="245"/>
      <c r="I957" s="245"/>
      <c r="J957" s="245"/>
      <c r="K957" s="245"/>
      <c r="L957" s="246"/>
      <c r="M957" s="245"/>
      <c r="N957" s="245"/>
      <c r="O957" s="245"/>
      <c r="P957" s="245"/>
      <c r="Q957" s="247"/>
      <c r="R957" s="247"/>
      <c r="S957" s="247"/>
      <c r="T957" s="245"/>
      <c r="U957" s="245"/>
      <c r="V957" s="241"/>
      <c r="W957" s="241"/>
      <c r="X957" s="241"/>
    </row>
    <row r="958" spans="1:24" ht="13.5" customHeight="1" x14ac:dyDescent="0.3">
      <c r="A958" s="245"/>
      <c r="B958" s="246"/>
      <c r="C958" s="245"/>
      <c r="D958" s="245"/>
      <c r="E958" s="245"/>
      <c r="F958" s="245"/>
      <c r="G958" s="245"/>
      <c r="H958" s="245"/>
      <c r="I958" s="245"/>
      <c r="J958" s="245"/>
      <c r="K958" s="245"/>
      <c r="L958" s="246"/>
      <c r="M958" s="245"/>
      <c r="N958" s="245"/>
      <c r="O958" s="245"/>
      <c r="P958" s="245"/>
      <c r="Q958" s="247"/>
      <c r="R958" s="247"/>
      <c r="S958" s="247"/>
      <c r="T958" s="245"/>
      <c r="U958" s="245"/>
      <c r="V958" s="241"/>
      <c r="W958" s="241"/>
      <c r="X958" s="241"/>
    </row>
    <row r="959" spans="1:24" ht="13.5" customHeight="1" x14ac:dyDescent="0.3">
      <c r="A959" s="245"/>
      <c r="B959" s="246"/>
      <c r="C959" s="245"/>
      <c r="D959" s="245"/>
      <c r="E959" s="245"/>
      <c r="F959" s="245"/>
      <c r="G959" s="245"/>
      <c r="H959" s="245"/>
      <c r="I959" s="245"/>
      <c r="J959" s="245"/>
      <c r="K959" s="245"/>
      <c r="L959" s="246"/>
      <c r="M959" s="245"/>
      <c r="N959" s="245"/>
      <c r="O959" s="245"/>
      <c r="P959" s="245"/>
      <c r="Q959" s="247"/>
      <c r="R959" s="247"/>
      <c r="S959" s="247"/>
      <c r="T959" s="245"/>
      <c r="U959" s="245"/>
      <c r="V959" s="241"/>
      <c r="W959" s="241"/>
      <c r="X959" s="241"/>
    </row>
    <row r="960" spans="1:24" ht="13.5" customHeight="1" x14ac:dyDescent="0.3">
      <c r="A960" s="245"/>
      <c r="B960" s="246"/>
      <c r="C960" s="245"/>
      <c r="D960" s="245"/>
      <c r="E960" s="245"/>
      <c r="F960" s="245"/>
      <c r="G960" s="245"/>
      <c r="H960" s="245"/>
      <c r="I960" s="245"/>
      <c r="J960" s="245"/>
      <c r="K960" s="245"/>
      <c r="L960" s="246"/>
      <c r="M960" s="245"/>
      <c r="N960" s="245"/>
      <c r="O960" s="245"/>
      <c r="P960" s="245"/>
      <c r="Q960" s="247"/>
      <c r="R960" s="247"/>
      <c r="S960" s="247"/>
      <c r="T960" s="245"/>
      <c r="U960" s="245"/>
      <c r="V960" s="241"/>
      <c r="W960" s="241"/>
      <c r="X960" s="241"/>
    </row>
    <row r="961" spans="1:24" ht="13.5" customHeight="1" x14ac:dyDescent="0.3">
      <c r="A961" s="245"/>
      <c r="B961" s="246"/>
      <c r="C961" s="245"/>
      <c r="D961" s="245"/>
      <c r="E961" s="245"/>
      <c r="F961" s="245"/>
      <c r="G961" s="245"/>
      <c r="H961" s="245"/>
      <c r="I961" s="245"/>
      <c r="J961" s="245"/>
      <c r="K961" s="245"/>
      <c r="L961" s="246"/>
      <c r="M961" s="245"/>
      <c r="N961" s="245"/>
      <c r="O961" s="245"/>
      <c r="P961" s="245"/>
      <c r="Q961" s="247"/>
      <c r="R961" s="247"/>
      <c r="S961" s="247"/>
      <c r="T961" s="245"/>
      <c r="U961" s="245"/>
      <c r="V961" s="241"/>
      <c r="W961" s="241"/>
      <c r="X961" s="241"/>
    </row>
    <row r="962" spans="1:24" ht="13.5" customHeight="1" x14ac:dyDescent="0.3">
      <c r="A962" s="245"/>
      <c r="B962" s="246"/>
      <c r="C962" s="245"/>
      <c r="D962" s="245"/>
      <c r="E962" s="245"/>
      <c r="F962" s="245"/>
      <c r="G962" s="245"/>
      <c r="H962" s="245"/>
      <c r="I962" s="245"/>
      <c r="J962" s="245"/>
      <c r="K962" s="245"/>
      <c r="L962" s="246"/>
      <c r="M962" s="245"/>
      <c r="N962" s="245"/>
      <c r="O962" s="245"/>
      <c r="P962" s="245"/>
      <c r="Q962" s="247"/>
      <c r="R962" s="247"/>
      <c r="S962" s="247"/>
      <c r="T962" s="245"/>
      <c r="U962" s="245"/>
      <c r="V962" s="241"/>
      <c r="W962" s="241"/>
      <c r="X962" s="241"/>
    </row>
    <row r="963" spans="1:24" ht="13.5" customHeight="1" x14ac:dyDescent="0.3">
      <c r="A963" s="245"/>
      <c r="B963" s="246"/>
      <c r="C963" s="245"/>
      <c r="D963" s="245"/>
      <c r="E963" s="245"/>
      <c r="F963" s="245"/>
      <c r="G963" s="245"/>
      <c r="H963" s="245"/>
      <c r="I963" s="245"/>
      <c r="J963" s="245"/>
      <c r="K963" s="245"/>
      <c r="L963" s="246"/>
      <c r="M963" s="245"/>
      <c r="N963" s="245"/>
      <c r="O963" s="245"/>
      <c r="P963" s="245"/>
      <c r="Q963" s="247"/>
      <c r="R963" s="247"/>
      <c r="S963" s="247"/>
      <c r="T963" s="245"/>
      <c r="U963" s="245"/>
      <c r="V963" s="241"/>
      <c r="W963" s="241"/>
      <c r="X963" s="241"/>
    </row>
    <row r="964" spans="1:24" ht="13.5" customHeight="1" x14ac:dyDescent="0.3">
      <c r="A964" s="245"/>
      <c r="B964" s="246"/>
      <c r="C964" s="245"/>
      <c r="D964" s="245"/>
      <c r="E964" s="245"/>
      <c r="F964" s="245"/>
      <c r="G964" s="245"/>
      <c r="H964" s="245"/>
      <c r="I964" s="245"/>
      <c r="J964" s="245"/>
      <c r="K964" s="245"/>
      <c r="L964" s="246"/>
      <c r="M964" s="245"/>
      <c r="N964" s="245"/>
      <c r="O964" s="245"/>
      <c r="P964" s="245"/>
      <c r="Q964" s="247"/>
      <c r="R964" s="247"/>
      <c r="S964" s="247"/>
      <c r="T964" s="245"/>
      <c r="U964" s="245"/>
      <c r="V964" s="241"/>
      <c r="W964" s="241"/>
      <c r="X964" s="241"/>
    </row>
    <row r="965" spans="1:24" ht="13.5" customHeight="1" x14ac:dyDescent="0.3">
      <c r="A965" s="245"/>
      <c r="B965" s="246"/>
      <c r="C965" s="245"/>
      <c r="D965" s="245"/>
      <c r="E965" s="245"/>
      <c r="F965" s="245"/>
      <c r="G965" s="245"/>
      <c r="H965" s="245"/>
      <c r="I965" s="245"/>
      <c r="J965" s="245"/>
      <c r="K965" s="245"/>
      <c r="L965" s="246"/>
      <c r="M965" s="245"/>
      <c r="N965" s="245"/>
      <c r="O965" s="245"/>
      <c r="P965" s="245"/>
      <c r="Q965" s="247"/>
      <c r="R965" s="247"/>
      <c r="S965" s="247"/>
      <c r="T965" s="245"/>
      <c r="U965" s="245"/>
      <c r="V965" s="241"/>
      <c r="W965" s="241"/>
      <c r="X965" s="241"/>
    </row>
    <row r="966" spans="1:24" ht="13.5" customHeight="1" x14ac:dyDescent="0.3">
      <c r="A966" s="245"/>
      <c r="B966" s="246"/>
      <c r="C966" s="245"/>
      <c r="D966" s="245"/>
      <c r="E966" s="245"/>
      <c r="F966" s="245"/>
      <c r="G966" s="245"/>
      <c r="H966" s="245"/>
      <c r="I966" s="245"/>
      <c r="J966" s="245"/>
      <c r="K966" s="245"/>
      <c r="L966" s="246"/>
      <c r="M966" s="245"/>
      <c r="N966" s="245"/>
      <c r="O966" s="245"/>
      <c r="P966" s="245"/>
      <c r="Q966" s="247"/>
      <c r="R966" s="247"/>
      <c r="S966" s="247"/>
      <c r="T966" s="245"/>
      <c r="U966" s="245"/>
      <c r="V966" s="241"/>
      <c r="W966" s="241"/>
      <c r="X966" s="241"/>
    </row>
    <row r="967" spans="1:24" ht="13.5" customHeight="1" x14ac:dyDescent="0.3">
      <c r="A967" s="245"/>
      <c r="B967" s="246"/>
      <c r="C967" s="245"/>
      <c r="D967" s="245"/>
      <c r="E967" s="245"/>
      <c r="F967" s="245"/>
      <c r="G967" s="245"/>
      <c r="H967" s="245"/>
      <c r="I967" s="245"/>
      <c r="J967" s="245"/>
      <c r="K967" s="245"/>
      <c r="L967" s="246"/>
      <c r="M967" s="245"/>
      <c r="N967" s="245"/>
      <c r="O967" s="245"/>
      <c r="P967" s="245"/>
      <c r="Q967" s="247"/>
      <c r="R967" s="247"/>
      <c r="S967" s="247"/>
      <c r="T967" s="245"/>
      <c r="U967" s="245"/>
      <c r="V967" s="241"/>
      <c r="W967" s="241"/>
      <c r="X967" s="241"/>
    </row>
    <row r="968" spans="1:24" ht="13.5" customHeight="1" x14ac:dyDescent="0.3">
      <c r="A968" s="245"/>
      <c r="B968" s="246"/>
      <c r="C968" s="245"/>
      <c r="D968" s="245"/>
      <c r="E968" s="245"/>
      <c r="F968" s="245"/>
      <c r="G968" s="245"/>
      <c r="H968" s="245"/>
      <c r="I968" s="245"/>
      <c r="J968" s="245"/>
      <c r="K968" s="245"/>
      <c r="L968" s="246"/>
      <c r="M968" s="245"/>
      <c r="N968" s="245"/>
      <c r="O968" s="245"/>
      <c r="P968" s="245"/>
      <c r="Q968" s="247"/>
      <c r="R968" s="247"/>
      <c r="S968" s="247"/>
      <c r="T968" s="245"/>
      <c r="U968" s="245"/>
      <c r="V968" s="241"/>
      <c r="W968" s="241"/>
      <c r="X968" s="241"/>
    </row>
    <row r="969" spans="1:24" ht="13.5" customHeight="1" x14ac:dyDescent="0.3">
      <c r="A969" s="245"/>
      <c r="B969" s="246"/>
      <c r="C969" s="245"/>
      <c r="D969" s="245"/>
      <c r="E969" s="245"/>
      <c r="F969" s="245"/>
      <c r="G969" s="245"/>
      <c r="H969" s="245"/>
      <c r="I969" s="245"/>
      <c r="J969" s="245"/>
      <c r="K969" s="245"/>
      <c r="L969" s="246"/>
      <c r="M969" s="245"/>
      <c r="N969" s="245"/>
      <c r="O969" s="245"/>
      <c r="P969" s="245"/>
      <c r="Q969" s="247"/>
      <c r="R969" s="247"/>
      <c r="S969" s="247"/>
      <c r="T969" s="245"/>
      <c r="U969" s="245"/>
      <c r="V969" s="241"/>
      <c r="W969" s="241"/>
      <c r="X969" s="241"/>
    </row>
    <row r="970" spans="1:24" ht="13.5" customHeight="1" x14ac:dyDescent="0.3">
      <c r="A970" s="245"/>
      <c r="B970" s="246"/>
      <c r="C970" s="245"/>
      <c r="D970" s="245"/>
      <c r="E970" s="245"/>
      <c r="F970" s="245"/>
      <c r="G970" s="245"/>
      <c r="H970" s="245"/>
      <c r="I970" s="245"/>
      <c r="J970" s="245"/>
      <c r="K970" s="245"/>
      <c r="L970" s="246"/>
      <c r="M970" s="245"/>
      <c r="N970" s="245"/>
      <c r="O970" s="245"/>
      <c r="P970" s="245"/>
      <c r="Q970" s="247"/>
      <c r="R970" s="247"/>
      <c r="S970" s="247"/>
      <c r="T970" s="245"/>
      <c r="U970" s="245"/>
      <c r="V970" s="241"/>
      <c r="W970" s="241"/>
      <c r="X970" s="241"/>
    </row>
    <row r="971" spans="1:24" ht="13.5" customHeight="1" x14ac:dyDescent="0.3">
      <c r="A971" s="245"/>
      <c r="B971" s="246"/>
      <c r="C971" s="245"/>
      <c r="D971" s="245"/>
      <c r="E971" s="245"/>
      <c r="F971" s="245"/>
      <c r="G971" s="245"/>
      <c r="H971" s="245"/>
      <c r="I971" s="245"/>
      <c r="J971" s="245"/>
      <c r="K971" s="245"/>
      <c r="L971" s="246"/>
      <c r="M971" s="245"/>
      <c r="N971" s="245"/>
      <c r="O971" s="245"/>
      <c r="P971" s="245"/>
      <c r="Q971" s="247"/>
      <c r="R971" s="247"/>
      <c r="S971" s="247"/>
      <c r="T971" s="245"/>
      <c r="U971" s="245"/>
      <c r="V971" s="241"/>
      <c r="W971" s="241"/>
      <c r="X971" s="241"/>
    </row>
    <row r="972" spans="1:24" ht="13.5" customHeight="1" x14ac:dyDescent="0.3">
      <c r="A972" s="245"/>
      <c r="B972" s="246"/>
      <c r="C972" s="245"/>
      <c r="D972" s="245"/>
      <c r="E972" s="245"/>
      <c r="F972" s="245"/>
      <c r="G972" s="245"/>
      <c r="H972" s="245"/>
      <c r="I972" s="245"/>
      <c r="J972" s="245"/>
      <c r="K972" s="245"/>
      <c r="L972" s="246"/>
      <c r="M972" s="245"/>
      <c r="N972" s="245"/>
      <c r="O972" s="245"/>
      <c r="P972" s="245"/>
      <c r="Q972" s="247"/>
      <c r="R972" s="247"/>
      <c r="S972" s="247"/>
      <c r="T972" s="245"/>
      <c r="U972" s="245"/>
      <c r="V972" s="241"/>
      <c r="W972" s="241"/>
      <c r="X972" s="241"/>
    </row>
    <row r="973" spans="1:24" ht="13.5" customHeight="1" x14ac:dyDescent="0.3">
      <c r="A973" s="245"/>
      <c r="B973" s="246"/>
      <c r="C973" s="245"/>
      <c r="D973" s="245"/>
      <c r="E973" s="245"/>
      <c r="F973" s="245"/>
      <c r="G973" s="245"/>
      <c r="H973" s="245"/>
      <c r="I973" s="245"/>
      <c r="J973" s="245"/>
      <c r="K973" s="245"/>
      <c r="L973" s="246"/>
      <c r="M973" s="245"/>
      <c r="N973" s="245"/>
      <c r="O973" s="245"/>
      <c r="P973" s="245"/>
      <c r="Q973" s="247"/>
      <c r="R973" s="247"/>
      <c r="S973" s="247"/>
      <c r="T973" s="245"/>
      <c r="U973" s="245"/>
      <c r="V973" s="241"/>
      <c r="W973" s="241"/>
      <c r="X973" s="241"/>
    </row>
    <row r="974" spans="1:24" ht="13.5" customHeight="1" x14ac:dyDescent="0.3">
      <c r="A974" s="245"/>
      <c r="B974" s="246"/>
      <c r="C974" s="245"/>
      <c r="D974" s="245"/>
      <c r="E974" s="245"/>
      <c r="F974" s="245"/>
      <c r="G974" s="245"/>
      <c r="H974" s="245"/>
      <c r="I974" s="245"/>
      <c r="J974" s="245"/>
      <c r="K974" s="245"/>
      <c r="L974" s="246"/>
      <c r="M974" s="245"/>
      <c r="N974" s="245"/>
      <c r="O974" s="245"/>
      <c r="P974" s="245"/>
      <c r="Q974" s="247"/>
      <c r="R974" s="247"/>
      <c r="S974" s="247"/>
      <c r="T974" s="245"/>
      <c r="U974" s="245"/>
      <c r="V974" s="241"/>
      <c r="W974" s="241"/>
      <c r="X974" s="241"/>
    </row>
    <row r="975" spans="1:24" ht="13.5" customHeight="1" x14ac:dyDescent="0.3">
      <c r="A975" s="245"/>
      <c r="B975" s="246"/>
      <c r="C975" s="245"/>
      <c r="D975" s="245"/>
      <c r="E975" s="245"/>
      <c r="F975" s="245"/>
      <c r="G975" s="245"/>
      <c r="H975" s="245"/>
      <c r="I975" s="245"/>
      <c r="J975" s="245"/>
      <c r="K975" s="245"/>
      <c r="L975" s="246"/>
      <c r="M975" s="245"/>
      <c r="N975" s="245"/>
      <c r="O975" s="245"/>
      <c r="P975" s="245"/>
      <c r="Q975" s="247"/>
      <c r="R975" s="247"/>
      <c r="S975" s="247"/>
      <c r="T975" s="245"/>
      <c r="U975" s="245"/>
      <c r="V975" s="241"/>
      <c r="W975" s="241"/>
      <c r="X975" s="241"/>
    </row>
    <row r="976" spans="1:24" ht="13.5" customHeight="1" x14ac:dyDescent="0.3">
      <c r="A976" s="245"/>
      <c r="B976" s="246"/>
      <c r="C976" s="245"/>
      <c r="D976" s="245"/>
      <c r="E976" s="245"/>
      <c r="F976" s="245"/>
      <c r="G976" s="245"/>
      <c r="H976" s="245"/>
      <c r="I976" s="245"/>
      <c r="J976" s="245"/>
      <c r="K976" s="245"/>
      <c r="L976" s="246"/>
      <c r="M976" s="245"/>
      <c r="N976" s="245"/>
      <c r="O976" s="245"/>
      <c r="P976" s="245"/>
      <c r="Q976" s="247"/>
      <c r="R976" s="247"/>
      <c r="S976" s="247"/>
      <c r="T976" s="245"/>
      <c r="U976" s="245"/>
      <c r="V976" s="241"/>
      <c r="W976" s="241"/>
      <c r="X976" s="241"/>
    </row>
    <row r="977" spans="1:24" ht="13.5" customHeight="1" x14ac:dyDescent="0.3">
      <c r="A977" s="245"/>
      <c r="B977" s="246"/>
      <c r="C977" s="245"/>
      <c r="D977" s="245"/>
      <c r="E977" s="245"/>
      <c r="F977" s="245"/>
      <c r="G977" s="245"/>
      <c r="H977" s="245"/>
      <c r="I977" s="245"/>
      <c r="J977" s="245"/>
      <c r="K977" s="245"/>
      <c r="L977" s="246"/>
      <c r="M977" s="245"/>
      <c r="N977" s="245"/>
      <c r="O977" s="245"/>
      <c r="P977" s="245"/>
      <c r="Q977" s="247"/>
      <c r="R977" s="247"/>
      <c r="S977" s="247"/>
      <c r="T977" s="245"/>
      <c r="U977" s="245"/>
      <c r="V977" s="241"/>
      <c r="W977" s="241"/>
      <c r="X977" s="241"/>
    </row>
    <row r="978" spans="1:24" ht="13.5" customHeight="1" x14ac:dyDescent="0.3">
      <c r="A978" s="245"/>
      <c r="B978" s="246"/>
      <c r="C978" s="245"/>
      <c r="D978" s="245"/>
      <c r="E978" s="245"/>
      <c r="F978" s="245"/>
      <c r="G978" s="245"/>
      <c r="H978" s="245"/>
      <c r="I978" s="245"/>
      <c r="J978" s="245"/>
      <c r="K978" s="245"/>
      <c r="L978" s="246"/>
      <c r="M978" s="245"/>
      <c r="N978" s="245"/>
      <c r="O978" s="245"/>
      <c r="P978" s="245"/>
      <c r="Q978" s="247"/>
      <c r="R978" s="247"/>
      <c r="S978" s="247"/>
      <c r="T978" s="245"/>
      <c r="U978" s="245"/>
      <c r="V978" s="241"/>
      <c r="W978" s="241"/>
      <c r="X978" s="241"/>
    </row>
    <row r="979" spans="1:24" ht="13.5" customHeight="1" x14ac:dyDescent="0.3">
      <c r="A979" s="245"/>
      <c r="B979" s="246"/>
      <c r="C979" s="245"/>
      <c r="D979" s="245"/>
      <c r="E979" s="245"/>
      <c r="F979" s="245"/>
      <c r="G979" s="245"/>
      <c r="H979" s="245"/>
      <c r="I979" s="245"/>
      <c r="J979" s="245"/>
      <c r="K979" s="245"/>
      <c r="L979" s="246"/>
      <c r="M979" s="245"/>
      <c r="N979" s="245"/>
      <c r="O979" s="245"/>
      <c r="P979" s="245"/>
      <c r="Q979" s="247"/>
      <c r="R979" s="247"/>
      <c r="S979" s="247"/>
      <c r="T979" s="245"/>
      <c r="U979" s="245"/>
      <c r="V979" s="241"/>
      <c r="W979" s="241"/>
      <c r="X979" s="241"/>
    </row>
    <row r="980" spans="1:24" ht="13.5" customHeight="1" x14ac:dyDescent="0.3">
      <c r="A980" s="245"/>
      <c r="B980" s="246"/>
      <c r="C980" s="245"/>
      <c r="D980" s="245"/>
      <c r="E980" s="245"/>
      <c r="F980" s="245"/>
      <c r="G980" s="245"/>
      <c r="H980" s="245"/>
      <c r="I980" s="245"/>
      <c r="J980" s="245"/>
      <c r="K980" s="245"/>
      <c r="L980" s="246"/>
      <c r="M980" s="245"/>
      <c r="N980" s="245"/>
      <c r="O980" s="245"/>
      <c r="P980" s="245"/>
      <c r="Q980" s="247"/>
      <c r="R980" s="247"/>
      <c r="S980" s="247"/>
      <c r="T980" s="245"/>
      <c r="U980" s="245"/>
      <c r="V980" s="241"/>
      <c r="W980" s="241"/>
      <c r="X980" s="241"/>
    </row>
    <row r="981" spans="1:24" ht="13.5" customHeight="1" x14ac:dyDescent="0.3">
      <c r="A981" s="245"/>
      <c r="B981" s="246"/>
      <c r="C981" s="245"/>
      <c r="D981" s="245"/>
      <c r="E981" s="245"/>
      <c r="F981" s="245"/>
      <c r="G981" s="245"/>
      <c r="H981" s="245"/>
      <c r="I981" s="245"/>
      <c r="J981" s="245"/>
      <c r="K981" s="245"/>
      <c r="L981" s="246"/>
      <c r="M981" s="245"/>
      <c r="N981" s="245"/>
      <c r="O981" s="245"/>
      <c r="P981" s="245"/>
      <c r="Q981" s="247"/>
      <c r="R981" s="247"/>
      <c r="S981" s="247"/>
      <c r="T981" s="245"/>
      <c r="U981" s="245"/>
      <c r="V981" s="241"/>
      <c r="W981" s="241"/>
      <c r="X981" s="241"/>
    </row>
    <row r="982" spans="1:24" ht="13.5" customHeight="1" x14ac:dyDescent="0.3">
      <c r="A982" s="245"/>
      <c r="B982" s="246"/>
      <c r="C982" s="245"/>
      <c r="D982" s="245"/>
      <c r="E982" s="245"/>
      <c r="F982" s="245"/>
      <c r="G982" s="245"/>
      <c r="H982" s="245"/>
      <c r="I982" s="245"/>
      <c r="J982" s="245"/>
      <c r="K982" s="245"/>
      <c r="L982" s="246"/>
      <c r="M982" s="245"/>
      <c r="N982" s="245"/>
      <c r="O982" s="245"/>
      <c r="P982" s="245"/>
      <c r="Q982" s="247"/>
      <c r="R982" s="247"/>
      <c r="S982" s="247"/>
      <c r="T982" s="245"/>
      <c r="U982" s="245"/>
      <c r="V982" s="241"/>
      <c r="W982" s="241"/>
      <c r="X982" s="241"/>
    </row>
    <row r="983" spans="1:24" ht="13.5" customHeight="1" x14ac:dyDescent="0.3">
      <c r="A983" s="245"/>
      <c r="B983" s="246"/>
      <c r="C983" s="245"/>
      <c r="D983" s="245"/>
      <c r="E983" s="245"/>
      <c r="F983" s="245"/>
      <c r="G983" s="245"/>
      <c r="H983" s="245"/>
      <c r="I983" s="245"/>
      <c r="J983" s="245"/>
      <c r="K983" s="245"/>
      <c r="L983" s="246"/>
      <c r="M983" s="245"/>
      <c r="N983" s="245"/>
      <c r="O983" s="245"/>
      <c r="P983" s="245"/>
      <c r="Q983" s="247"/>
      <c r="R983" s="247"/>
      <c r="S983" s="247"/>
      <c r="T983" s="245"/>
      <c r="U983" s="245"/>
      <c r="V983" s="241"/>
      <c r="W983" s="241"/>
      <c r="X983" s="241"/>
    </row>
    <row r="984" spans="1:24" ht="13.5" customHeight="1" x14ac:dyDescent="0.3">
      <c r="A984" s="245"/>
      <c r="B984" s="246"/>
      <c r="C984" s="245"/>
      <c r="D984" s="245"/>
      <c r="E984" s="245"/>
      <c r="F984" s="245"/>
      <c r="G984" s="245"/>
      <c r="H984" s="245"/>
      <c r="I984" s="245"/>
      <c r="J984" s="245"/>
      <c r="K984" s="245"/>
      <c r="L984" s="246"/>
      <c r="M984" s="245"/>
      <c r="N984" s="245"/>
      <c r="O984" s="245"/>
      <c r="P984" s="245"/>
      <c r="Q984" s="247"/>
      <c r="R984" s="247"/>
      <c r="S984" s="247"/>
      <c r="T984" s="245"/>
      <c r="U984" s="245"/>
      <c r="V984" s="241"/>
      <c r="W984" s="241"/>
      <c r="X984" s="241"/>
    </row>
    <row r="985" spans="1:24" ht="13.5" customHeight="1" x14ac:dyDescent="0.3">
      <c r="A985" s="245"/>
      <c r="B985" s="246"/>
      <c r="C985" s="245"/>
      <c r="D985" s="245"/>
      <c r="E985" s="245"/>
      <c r="F985" s="245"/>
      <c r="G985" s="245"/>
      <c r="H985" s="245"/>
      <c r="I985" s="245"/>
      <c r="J985" s="245"/>
      <c r="K985" s="245"/>
      <c r="L985" s="246"/>
      <c r="M985" s="245"/>
      <c r="N985" s="245"/>
      <c r="O985" s="245"/>
      <c r="P985" s="245"/>
      <c r="Q985" s="247"/>
      <c r="R985" s="247"/>
      <c r="S985" s="247"/>
      <c r="T985" s="245"/>
      <c r="U985" s="245"/>
      <c r="V985" s="241"/>
      <c r="W985" s="241"/>
      <c r="X985" s="241"/>
    </row>
    <row r="986" spans="1:24" ht="13.5" customHeight="1" x14ac:dyDescent="0.3">
      <c r="A986" s="245"/>
      <c r="B986" s="246"/>
      <c r="C986" s="245"/>
      <c r="D986" s="245"/>
      <c r="E986" s="245"/>
      <c r="F986" s="245"/>
      <c r="G986" s="245"/>
      <c r="H986" s="245"/>
      <c r="I986" s="245"/>
      <c r="J986" s="245"/>
      <c r="K986" s="245"/>
      <c r="L986" s="246"/>
      <c r="M986" s="245"/>
      <c r="N986" s="245"/>
      <c r="O986" s="245"/>
      <c r="P986" s="245"/>
      <c r="Q986" s="247"/>
      <c r="R986" s="247"/>
      <c r="S986" s="247"/>
      <c r="T986" s="245"/>
      <c r="U986" s="245"/>
      <c r="V986" s="241"/>
      <c r="W986" s="241"/>
      <c r="X986" s="241"/>
    </row>
    <row r="987" spans="1:24" ht="13.5" customHeight="1" x14ac:dyDescent="0.3">
      <c r="A987" s="245"/>
      <c r="B987" s="246"/>
      <c r="C987" s="245"/>
      <c r="D987" s="245"/>
      <c r="E987" s="245"/>
      <c r="F987" s="245"/>
      <c r="G987" s="245"/>
      <c r="H987" s="245"/>
      <c r="I987" s="245"/>
      <c r="J987" s="245"/>
      <c r="K987" s="245"/>
      <c r="L987" s="246"/>
      <c r="M987" s="245"/>
      <c r="N987" s="245"/>
      <c r="O987" s="245"/>
      <c r="P987" s="245"/>
      <c r="Q987" s="247"/>
      <c r="R987" s="247"/>
      <c r="S987" s="247"/>
      <c r="T987" s="245"/>
      <c r="U987" s="245"/>
      <c r="V987" s="241"/>
      <c r="W987" s="241"/>
      <c r="X987" s="241"/>
    </row>
    <row r="988" spans="1:24" ht="13.5" customHeight="1" x14ac:dyDescent="0.3">
      <c r="A988" s="245"/>
      <c r="B988" s="246"/>
      <c r="C988" s="245"/>
      <c r="D988" s="245"/>
      <c r="E988" s="245"/>
      <c r="F988" s="245"/>
      <c r="G988" s="245"/>
      <c r="H988" s="245"/>
      <c r="I988" s="245"/>
      <c r="J988" s="245"/>
      <c r="K988" s="245"/>
      <c r="L988" s="246"/>
      <c r="M988" s="245"/>
      <c r="N988" s="245"/>
      <c r="O988" s="245"/>
      <c r="P988" s="245"/>
      <c r="Q988" s="247"/>
      <c r="R988" s="247"/>
      <c r="S988" s="247"/>
      <c r="T988" s="245"/>
      <c r="U988" s="245"/>
      <c r="V988" s="241"/>
      <c r="W988" s="241"/>
      <c r="X988" s="241"/>
    </row>
    <row r="989" spans="1:24" ht="13.5" customHeight="1" x14ac:dyDescent="0.3">
      <c r="A989" s="245"/>
      <c r="B989" s="246"/>
      <c r="C989" s="245"/>
      <c r="D989" s="245"/>
      <c r="E989" s="245"/>
      <c r="F989" s="245"/>
      <c r="G989" s="245"/>
      <c r="H989" s="245"/>
      <c r="I989" s="245"/>
      <c r="J989" s="245"/>
      <c r="K989" s="245"/>
      <c r="L989" s="246"/>
      <c r="M989" s="245"/>
      <c r="N989" s="245"/>
      <c r="O989" s="245"/>
      <c r="P989" s="245"/>
      <c r="Q989" s="247"/>
      <c r="R989" s="247"/>
      <c r="S989" s="247"/>
      <c r="T989" s="245"/>
      <c r="U989" s="245"/>
      <c r="V989" s="241"/>
      <c r="W989" s="241"/>
      <c r="X989" s="241"/>
    </row>
    <row r="990" spans="1:24" ht="13.5" customHeight="1" x14ac:dyDescent="0.3">
      <c r="A990" s="245"/>
      <c r="B990" s="246"/>
      <c r="C990" s="245"/>
      <c r="D990" s="245"/>
      <c r="E990" s="245"/>
      <c r="F990" s="245"/>
      <c r="G990" s="245"/>
      <c r="H990" s="245"/>
      <c r="I990" s="245"/>
      <c r="J990" s="245"/>
      <c r="K990" s="245"/>
      <c r="L990" s="246"/>
      <c r="M990" s="245"/>
      <c r="N990" s="245"/>
      <c r="O990" s="245"/>
      <c r="P990" s="245"/>
      <c r="Q990" s="247"/>
      <c r="R990" s="247"/>
      <c r="S990" s="247"/>
      <c r="T990" s="245"/>
      <c r="U990" s="245"/>
      <c r="V990" s="241"/>
      <c r="W990" s="241"/>
      <c r="X990" s="241"/>
    </row>
    <row r="991" spans="1:24" ht="13.5" customHeight="1" x14ac:dyDescent="0.3">
      <c r="A991" s="245"/>
      <c r="B991" s="246"/>
      <c r="C991" s="245"/>
      <c r="D991" s="245"/>
      <c r="E991" s="245"/>
      <c r="F991" s="245"/>
      <c r="G991" s="245"/>
      <c r="H991" s="245"/>
      <c r="I991" s="245"/>
      <c r="J991" s="245"/>
      <c r="K991" s="245"/>
      <c r="L991" s="246"/>
      <c r="M991" s="245"/>
      <c r="N991" s="245"/>
      <c r="O991" s="245"/>
      <c r="P991" s="245"/>
      <c r="Q991" s="247"/>
      <c r="R991" s="247"/>
      <c r="S991" s="247"/>
      <c r="T991" s="245"/>
      <c r="U991" s="245"/>
      <c r="V991" s="241"/>
      <c r="W991" s="241"/>
      <c r="X991" s="241"/>
    </row>
    <row r="992" spans="1:24" ht="13.5" customHeight="1" x14ac:dyDescent="0.3">
      <c r="A992" s="245"/>
      <c r="B992" s="246"/>
      <c r="C992" s="245"/>
      <c r="D992" s="245"/>
      <c r="E992" s="245"/>
      <c r="F992" s="245"/>
      <c r="G992" s="245"/>
      <c r="H992" s="245"/>
      <c r="I992" s="245"/>
      <c r="J992" s="245"/>
      <c r="K992" s="245"/>
      <c r="L992" s="246"/>
      <c r="M992" s="245"/>
      <c r="N992" s="245"/>
      <c r="O992" s="245"/>
      <c r="P992" s="245"/>
      <c r="Q992" s="247"/>
      <c r="R992" s="247"/>
      <c r="S992" s="247"/>
      <c r="T992" s="245"/>
      <c r="U992" s="245"/>
      <c r="V992" s="241"/>
      <c r="W992" s="241"/>
      <c r="X992" s="241"/>
    </row>
    <row r="993" spans="1:24" ht="13.5" customHeight="1" x14ac:dyDescent="0.3">
      <c r="A993" s="245"/>
      <c r="B993" s="246"/>
      <c r="C993" s="245"/>
      <c r="D993" s="245"/>
      <c r="E993" s="245"/>
      <c r="F993" s="245"/>
      <c r="G993" s="245"/>
      <c r="H993" s="245"/>
      <c r="I993" s="245"/>
      <c r="J993" s="245"/>
      <c r="K993" s="245"/>
      <c r="L993" s="246"/>
      <c r="M993" s="245"/>
      <c r="N993" s="245"/>
      <c r="O993" s="245"/>
      <c r="P993" s="245"/>
      <c r="Q993" s="247"/>
      <c r="R993" s="247"/>
      <c r="S993" s="247"/>
      <c r="T993" s="245"/>
      <c r="U993" s="245"/>
      <c r="V993" s="241"/>
      <c r="W993" s="241"/>
      <c r="X993" s="241"/>
    </row>
    <row r="994" spans="1:24" ht="13.5" customHeight="1" x14ac:dyDescent="0.3">
      <c r="A994" s="245"/>
      <c r="B994" s="246"/>
      <c r="C994" s="245"/>
      <c r="D994" s="245"/>
      <c r="E994" s="245"/>
      <c r="F994" s="245"/>
      <c r="G994" s="245"/>
      <c r="H994" s="245"/>
      <c r="I994" s="245"/>
      <c r="J994" s="245"/>
      <c r="K994" s="245"/>
      <c r="L994" s="246"/>
      <c r="M994" s="245"/>
      <c r="N994" s="245"/>
      <c r="O994" s="245"/>
      <c r="P994" s="245"/>
      <c r="Q994" s="247"/>
      <c r="R994" s="247"/>
      <c r="S994" s="247"/>
      <c r="T994" s="245"/>
      <c r="U994" s="245"/>
      <c r="V994" s="241"/>
      <c r="W994" s="241"/>
      <c r="X994" s="241"/>
    </row>
    <row r="995" spans="1:24" ht="13.5" customHeight="1" x14ac:dyDescent="0.3">
      <c r="A995" s="245"/>
      <c r="B995" s="246"/>
      <c r="C995" s="245"/>
      <c r="D995" s="245"/>
      <c r="E995" s="245"/>
      <c r="F995" s="245"/>
      <c r="G995" s="245"/>
      <c r="H995" s="245"/>
      <c r="I995" s="245"/>
      <c r="J995" s="245"/>
      <c r="K995" s="245"/>
      <c r="L995" s="246"/>
      <c r="M995" s="245"/>
      <c r="N995" s="245"/>
      <c r="O995" s="245"/>
      <c r="P995" s="245"/>
      <c r="Q995" s="247"/>
      <c r="R995" s="247"/>
      <c r="S995" s="247"/>
      <c r="T995" s="245"/>
      <c r="U995" s="245"/>
      <c r="V995" s="241"/>
      <c r="W995" s="241"/>
      <c r="X995" s="241"/>
    </row>
    <row r="996" spans="1:24" ht="13.5" customHeight="1" x14ac:dyDescent="0.3">
      <c r="A996" s="245"/>
      <c r="B996" s="246"/>
      <c r="C996" s="245"/>
      <c r="D996" s="245"/>
      <c r="E996" s="245"/>
      <c r="F996" s="245"/>
      <c r="G996" s="245"/>
      <c r="H996" s="245"/>
      <c r="I996" s="245"/>
      <c r="J996" s="245"/>
      <c r="K996" s="245"/>
      <c r="L996" s="246"/>
      <c r="M996" s="245"/>
      <c r="N996" s="245"/>
      <c r="O996" s="245"/>
      <c r="P996" s="245"/>
      <c r="Q996" s="247"/>
      <c r="R996" s="247"/>
      <c r="S996" s="247"/>
      <c r="T996" s="245"/>
      <c r="U996" s="245"/>
      <c r="V996" s="241"/>
      <c r="W996" s="241"/>
      <c r="X996" s="241"/>
    </row>
    <row r="997" spans="1:24" ht="13.5" customHeight="1" x14ac:dyDescent="0.3">
      <c r="A997" s="245"/>
      <c r="B997" s="246"/>
      <c r="C997" s="245"/>
      <c r="D997" s="245"/>
      <c r="E997" s="245"/>
      <c r="F997" s="245"/>
      <c r="G997" s="245"/>
      <c r="H997" s="245"/>
      <c r="I997" s="245"/>
      <c r="J997" s="245"/>
      <c r="K997" s="245"/>
      <c r="L997" s="246"/>
      <c r="M997" s="245"/>
      <c r="N997" s="245"/>
      <c r="O997" s="245"/>
      <c r="P997" s="245"/>
      <c r="Q997" s="247"/>
      <c r="R997" s="247"/>
      <c r="S997" s="247"/>
      <c r="T997" s="245"/>
      <c r="U997" s="245"/>
      <c r="V997" s="241"/>
      <c r="W997" s="241"/>
      <c r="X997" s="241"/>
    </row>
    <row r="998" spans="1:24" ht="13.5" customHeight="1" x14ac:dyDescent="0.3">
      <c r="A998" s="245"/>
      <c r="B998" s="246"/>
      <c r="C998" s="245"/>
      <c r="D998" s="245"/>
      <c r="E998" s="245"/>
      <c r="F998" s="245"/>
      <c r="G998" s="245"/>
      <c r="H998" s="245"/>
      <c r="I998" s="245"/>
      <c r="J998" s="245"/>
      <c r="K998" s="245"/>
      <c r="L998" s="246"/>
      <c r="M998" s="245"/>
      <c r="N998" s="245"/>
      <c r="O998" s="245"/>
      <c r="P998" s="245"/>
      <c r="Q998" s="247"/>
      <c r="R998" s="247"/>
      <c r="S998" s="247"/>
      <c r="T998" s="245"/>
      <c r="U998" s="245"/>
      <c r="V998" s="241"/>
      <c r="W998" s="241"/>
      <c r="X998" s="241"/>
    </row>
    <row r="999" spans="1:24" ht="13.5" customHeight="1" x14ac:dyDescent="0.3">
      <c r="A999" s="245"/>
      <c r="B999" s="246"/>
      <c r="C999" s="245"/>
      <c r="D999" s="245"/>
      <c r="E999" s="245"/>
      <c r="F999" s="245"/>
      <c r="G999" s="245"/>
      <c r="H999" s="245"/>
      <c r="I999" s="245"/>
      <c r="J999" s="245"/>
      <c r="K999" s="245"/>
      <c r="L999" s="246"/>
      <c r="M999" s="245"/>
      <c r="N999" s="245"/>
      <c r="O999" s="245"/>
      <c r="P999" s="245"/>
      <c r="Q999" s="247"/>
      <c r="R999" s="247"/>
      <c r="S999" s="247"/>
      <c r="T999" s="245"/>
      <c r="U999" s="245"/>
      <c r="V999" s="241"/>
      <c r="W999" s="241"/>
      <c r="X999" s="241"/>
    </row>
    <row r="1000" spans="1:24" ht="13.5" customHeight="1" x14ac:dyDescent="0.3">
      <c r="A1000" s="245"/>
      <c r="B1000" s="246"/>
      <c r="C1000" s="245"/>
      <c r="D1000" s="245"/>
      <c r="E1000" s="245"/>
      <c r="F1000" s="245"/>
      <c r="G1000" s="245"/>
      <c r="H1000" s="245"/>
      <c r="I1000" s="245"/>
      <c r="J1000" s="245"/>
      <c r="K1000" s="245"/>
      <c r="L1000" s="246"/>
      <c r="M1000" s="245"/>
      <c r="N1000" s="245"/>
      <c r="O1000" s="245"/>
      <c r="P1000" s="245"/>
      <c r="Q1000" s="247"/>
      <c r="R1000" s="247"/>
      <c r="S1000" s="247"/>
      <c r="T1000" s="245"/>
      <c r="U1000" s="245"/>
      <c r="V1000" s="241"/>
      <c r="W1000" s="241"/>
      <c r="X1000" s="241"/>
    </row>
    <row r="1001" spans="1:24" ht="13.5" customHeight="1" x14ac:dyDescent="0.3">
      <c r="A1001" s="245"/>
      <c r="B1001" s="246"/>
      <c r="C1001" s="245"/>
      <c r="D1001" s="245"/>
      <c r="E1001" s="245"/>
      <c r="F1001" s="245"/>
      <c r="G1001" s="245"/>
      <c r="H1001" s="245"/>
      <c r="I1001" s="245"/>
      <c r="J1001" s="245"/>
      <c r="K1001" s="245"/>
      <c r="L1001" s="246"/>
      <c r="M1001" s="245"/>
      <c r="N1001" s="245"/>
      <c r="O1001" s="245"/>
      <c r="P1001" s="245"/>
      <c r="Q1001" s="247"/>
      <c r="R1001" s="247"/>
      <c r="S1001" s="247"/>
      <c r="T1001" s="245"/>
      <c r="U1001" s="245"/>
      <c r="V1001" s="241"/>
      <c r="W1001" s="241"/>
      <c r="X1001" s="241"/>
    </row>
    <row r="1002" spans="1:24" ht="13.5" customHeight="1" x14ac:dyDescent="0.3">
      <c r="A1002" s="245"/>
      <c r="B1002" s="246"/>
      <c r="C1002" s="245"/>
      <c r="D1002" s="245"/>
      <c r="E1002" s="245"/>
      <c r="F1002" s="245"/>
      <c r="G1002" s="245"/>
      <c r="H1002" s="245"/>
      <c r="I1002" s="245"/>
      <c r="J1002" s="245"/>
      <c r="K1002" s="245"/>
      <c r="L1002" s="246"/>
      <c r="M1002" s="245"/>
      <c r="N1002" s="245"/>
      <c r="O1002" s="245"/>
      <c r="P1002" s="245"/>
      <c r="Q1002" s="247"/>
      <c r="R1002" s="247"/>
      <c r="S1002" s="247"/>
      <c r="T1002" s="245"/>
      <c r="U1002" s="245"/>
      <c r="V1002" s="241"/>
      <c r="W1002" s="241"/>
      <c r="X1002" s="241"/>
    </row>
    <row r="1003" spans="1:24" ht="13.5" customHeight="1" x14ac:dyDescent="0.3">
      <c r="A1003" s="245"/>
      <c r="B1003" s="246"/>
      <c r="C1003" s="245"/>
      <c r="D1003" s="245"/>
      <c r="E1003" s="245"/>
      <c r="F1003" s="245"/>
      <c r="G1003" s="245"/>
      <c r="H1003" s="245"/>
      <c r="I1003" s="245"/>
      <c r="J1003" s="245"/>
      <c r="K1003" s="245"/>
      <c r="L1003" s="246"/>
      <c r="M1003" s="245"/>
      <c r="N1003" s="245"/>
      <c r="O1003" s="245"/>
      <c r="P1003" s="245"/>
      <c r="Q1003" s="247"/>
      <c r="R1003" s="247"/>
      <c r="S1003" s="247"/>
      <c r="T1003" s="245"/>
      <c r="U1003" s="245"/>
      <c r="V1003" s="241"/>
      <c r="W1003" s="241"/>
      <c r="X1003" s="241"/>
    </row>
    <row r="1004" spans="1:24" ht="13.5" customHeight="1" x14ac:dyDescent="0.3">
      <c r="A1004" s="245"/>
      <c r="B1004" s="246"/>
      <c r="C1004" s="245"/>
      <c r="D1004" s="245"/>
      <c r="E1004" s="245"/>
      <c r="F1004" s="245"/>
      <c r="G1004" s="245"/>
      <c r="H1004" s="245"/>
      <c r="I1004" s="245"/>
      <c r="J1004" s="245"/>
      <c r="K1004" s="245"/>
      <c r="L1004" s="246"/>
      <c r="M1004" s="245"/>
      <c r="N1004" s="245"/>
      <c r="O1004" s="245"/>
      <c r="P1004" s="245"/>
      <c r="Q1004" s="247"/>
      <c r="R1004" s="247"/>
      <c r="S1004" s="247"/>
      <c r="T1004" s="245"/>
      <c r="U1004" s="245"/>
      <c r="V1004" s="241"/>
      <c r="W1004" s="241"/>
      <c r="X1004" s="241"/>
    </row>
    <row r="1005" spans="1:24" ht="13.5" customHeight="1" x14ac:dyDescent="0.3">
      <c r="A1005" s="245"/>
      <c r="B1005" s="246"/>
      <c r="C1005" s="245"/>
      <c r="D1005" s="245"/>
      <c r="E1005" s="245"/>
      <c r="F1005" s="245"/>
      <c r="G1005" s="245"/>
      <c r="H1005" s="245"/>
      <c r="I1005" s="245"/>
      <c r="J1005" s="245"/>
      <c r="K1005" s="245"/>
      <c r="L1005" s="246"/>
      <c r="M1005" s="245"/>
      <c r="N1005" s="245"/>
      <c r="O1005" s="245"/>
      <c r="P1005" s="245"/>
      <c r="Q1005" s="247"/>
      <c r="R1005" s="247"/>
      <c r="S1005" s="247"/>
      <c r="T1005" s="245"/>
      <c r="U1005" s="245"/>
      <c r="V1005" s="241"/>
      <c r="W1005" s="241"/>
      <c r="X1005" s="241"/>
    </row>
    <row r="1006" spans="1:24" ht="13.5" customHeight="1" x14ac:dyDescent="0.3">
      <c r="A1006" s="245"/>
      <c r="B1006" s="246"/>
      <c r="C1006" s="245"/>
      <c r="D1006" s="245"/>
      <c r="E1006" s="245"/>
      <c r="F1006" s="245"/>
      <c r="G1006" s="245"/>
      <c r="H1006" s="245"/>
      <c r="I1006" s="245"/>
      <c r="J1006" s="245"/>
      <c r="K1006" s="245"/>
      <c r="L1006" s="246"/>
      <c r="M1006" s="245"/>
      <c r="N1006" s="245"/>
      <c r="O1006" s="245"/>
      <c r="P1006" s="245"/>
      <c r="Q1006" s="247"/>
      <c r="R1006" s="247"/>
      <c r="S1006" s="247"/>
      <c r="T1006" s="245"/>
      <c r="U1006" s="245"/>
      <c r="V1006" s="241"/>
      <c r="W1006" s="241"/>
      <c r="X1006" s="241"/>
    </row>
    <row r="1007" spans="1:24" ht="13.5" customHeight="1" x14ac:dyDescent="0.3">
      <c r="A1007" s="245"/>
      <c r="B1007" s="246"/>
      <c r="C1007" s="245"/>
      <c r="D1007" s="245"/>
      <c r="E1007" s="245"/>
      <c r="F1007" s="245"/>
      <c r="G1007" s="245"/>
      <c r="H1007" s="245"/>
      <c r="I1007" s="245"/>
      <c r="J1007" s="245"/>
      <c r="K1007" s="245"/>
      <c r="L1007" s="246"/>
      <c r="M1007" s="245"/>
      <c r="N1007" s="245"/>
      <c r="O1007" s="245"/>
      <c r="P1007" s="245"/>
      <c r="Q1007" s="247"/>
      <c r="R1007" s="247"/>
      <c r="S1007" s="247"/>
      <c r="T1007" s="245"/>
      <c r="U1007" s="245"/>
      <c r="V1007" s="241"/>
      <c r="W1007" s="241"/>
      <c r="X1007" s="241"/>
    </row>
    <row r="1008" spans="1:24" ht="13.5" customHeight="1" x14ac:dyDescent="0.3">
      <c r="A1008" s="245"/>
      <c r="B1008" s="246"/>
      <c r="C1008" s="245"/>
      <c r="D1008" s="245"/>
      <c r="E1008" s="245"/>
      <c r="F1008" s="245"/>
      <c r="G1008" s="245"/>
      <c r="H1008" s="245"/>
      <c r="I1008" s="245"/>
      <c r="J1008" s="245"/>
      <c r="K1008" s="245"/>
      <c r="L1008" s="246"/>
      <c r="M1008" s="245"/>
      <c r="N1008" s="245"/>
      <c r="O1008" s="245"/>
      <c r="P1008" s="245"/>
      <c r="Q1008" s="247"/>
      <c r="R1008" s="247"/>
      <c r="S1008" s="247"/>
      <c r="T1008" s="245"/>
      <c r="U1008" s="245"/>
      <c r="V1008" s="241"/>
      <c r="W1008" s="241"/>
      <c r="X1008" s="241"/>
    </row>
    <row r="1009" spans="1:24" ht="13.5" customHeight="1" x14ac:dyDescent="0.3">
      <c r="A1009" s="245"/>
      <c r="B1009" s="246"/>
      <c r="C1009" s="245"/>
      <c r="D1009" s="245"/>
      <c r="E1009" s="245"/>
      <c r="F1009" s="245"/>
      <c r="G1009" s="245"/>
      <c r="H1009" s="245"/>
      <c r="I1009" s="245"/>
      <c r="J1009" s="245"/>
      <c r="K1009" s="245"/>
      <c r="L1009" s="246"/>
      <c r="M1009" s="245"/>
      <c r="N1009" s="245"/>
      <c r="O1009" s="245"/>
      <c r="P1009" s="245"/>
      <c r="Q1009" s="247"/>
      <c r="R1009" s="247"/>
      <c r="S1009" s="247"/>
      <c r="T1009" s="245"/>
      <c r="U1009" s="245"/>
      <c r="V1009" s="241"/>
      <c r="W1009" s="241"/>
      <c r="X1009" s="241"/>
    </row>
    <row r="1010" spans="1:24" ht="13.5" customHeight="1" x14ac:dyDescent="0.3">
      <c r="A1010" s="245"/>
      <c r="B1010" s="246"/>
      <c r="C1010" s="245"/>
      <c r="D1010" s="245"/>
      <c r="E1010" s="245"/>
      <c r="F1010" s="245"/>
      <c r="G1010" s="245"/>
      <c r="H1010" s="245"/>
      <c r="I1010" s="245"/>
      <c r="J1010" s="245"/>
      <c r="K1010" s="245"/>
      <c r="L1010" s="246"/>
      <c r="M1010" s="245"/>
      <c r="N1010" s="245"/>
      <c r="O1010" s="245"/>
      <c r="P1010" s="245"/>
      <c r="Q1010" s="247"/>
      <c r="R1010" s="247"/>
      <c r="S1010" s="247"/>
      <c r="T1010" s="245"/>
      <c r="U1010" s="245"/>
      <c r="V1010" s="241"/>
      <c r="W1010" s="241"/>
      <c r="X1010" s="241"/>
    </row>
    <row r="1011" spans="1:24" ht="13.5" customHeight="1" x14ac:dyDescent="0.3">
      <c r="A1011" s="245"/>
      <c r="B1011" s="246"/>
      <c r="C1011" s="245"/>
      <c r="D1011" s="245"/>
      <c r="E1011" s="245"/>
      <c r="F1011" s="245"/>
      <c r="G1011" s="245"/>
      <c r="H1011" s="245"/>
      <c r="I1011" s="245"/>
      <c r="J1011" s="245"/>
      <c r="K1011" s="245"/>
      <c r="L1011" s="246"/>
      <c r="M1011" s="245"/>
      <c r="N1011" s="245"/>
      <c r="O1011" s="245"/>
      <c r="P1011" s="245"/>
      <c r="Q1011" s="247"/>
      <c r="R1011" s="247"/>
      <c r="S1011" s="247"/>
      <c r="T1011" s="245"/>
      <c r="U1011" s="245"/>
      <c r="V1011" s="241"/>
      <c r="W1011" s="241"/>
      <c r="X1011" s="241"/>
    </row>
    <row r="1012" spans="1:24" ht="13.5" customHeight="1" x14ac:dyDescent="0.3">
      <c r="A1012" s="245"/>
      <c r="B1012" s="246"/>
      <c r="C1012" s="245"/>
      <c r="D1012" s="245"/>
      <c r="E1012" s="245"/>
      <c r="F1012" s="245"/>
      <c r="G1012" s="245"/>
      <c r="H1012" s="245"/>
      <c r="I1012" s="245"/>
      <c r="J1012" s="245"/>
      <c r="K1012" s="245"/>
      <c r="L1012" s="246"/>
      <c r="M1012" s="245"/>
      <c r="N1012" s="245"/>
      <c r="O1012" s="245"/>
      <c r="P1012" s="245"/>
      <c r="Q1012" s="247"/>
      <c r="R1012" s="247"/>
      <c r="S1012" s="247"/>
      <c r="T1012" s="245"/>
      <c r="U1012" s="245"/>
      <c r="V1012" s="241"/>
      <c r="W1012" s="241"/>
      <c r="X1012" s="241"/>
    </row>
    <row r="1013" spans="1:24" ht="13.5" customHeight="1" x14ac:dyDescent="0.3">
      <c r="A1013" s="245"/>
      <c r="B1013" s="246"/>
      <c r="C1013" s="245"/>
      <c r="D1013" s="245"/>
      <c r="E1013" s="245"/>
      <c r="F1013" s="245"/>
      <c r="G1013" s="245"/>
      <c r="H1013" s="245"/>
      <c r="I1013" s="245"/>
      <c r="J1013" s="245"/>
      <c r="K1013" s="245"/>
      <c r="L1013" s="246"/>
      <c r="M1013" s="245"/>
      <c r="N1013" s="245"/>
      <c r="O1013" s="245"/>
      <c r="P1013" s="245"/>
      <c r="Q1013" s="247"/>
      <c r="R1013" s="247"/>
      <c r="S1013" s="247"/>
      <c r="T1013" s="245"/>
      <c r="U1013" s="245"/>
      <c r="V1013" s="241"/>
      <c r="W1013" s="241"/>
      <c r="X1013" s="241"/>
    </row>
    <row r="1014" spans="1:24" ht="13.5" customHeight="1" x14ac:dyDescent="0.3">
      <c r="A1014" s="245"/>
      <c r="B1014" s="246"/>
      <c r="C1014" s="245"/>
      <c r="D1014" s="245"/>
      <c r="E1014" s="245"/>
      <c r="F1014" s="245"/>
      <c r="G1014" s="245"/>
      <c r="H1014" s="245"/>
      <c r="I1014" s="245"/>
      <c r="J1014" s="245"/>
      <c r="K1014" s="245"/>
      <c r="L1014" s="246"/>
      <c r="M1014" s="245"/>
      <c r="N1014" s="245"/>
      <c r="O1014" s="245"/>
      <c r="P1014" s="245"/>
      <c r="Q1014" s="247"/>
      <c r="R1014" s="247"/>
      <c r="S1014" s="247"/>
      <c r="T1014" s="245"/>
      <c r="U1014" s="245"/>
      <c r="V1014" s="241"/>
      <c r="W1014" s="241"/>
      <c r="X1014" s="241"/>
    </row>
    <row r="1015" spans="1:24" ht="13.5" customHeight="1" x14ac:dyDescent="0.3">
      <c r="A1015" s="245"/>
      <c r="B1015" s="246"/>
      <c r="C1015" s="245"/>
      <c r="D1015" s="245"/>
      <c r="E1015" s="245"/>
      <c r="F1015" s="245"/>
      <c r="G1015" s="245"/>
      <c r="H1015" s="245"/>
      <c r="I1015" s="245"/>
      <c r="J1015" s="245"/>
      <c r="K1015" s="245"/>
      <c r="L1015" s="246"/>
      <c r="M1015" s="245"/>
      <c r="N1015" s="245"/>
      <c r="O1015" s="245"/>
      <c r="P1015" s="245"/>
      <c r="Q1015" s="247"/>
      <c r="R1015" s="247"/>
      <c r="S1015" s="247"/>
      <c r="T1015" s="245"/>
      <c r="U1015" s="245"/>
      <c r="V1015" s="241"/>
      <c r="W1015" s="241"/>
      <c r="X1015" s="241"/>
    </row>
    <row r="1016" spans="1:24" ht="13.5" customHeight="1" x14ac:dyDescent="0.3">
      <c r="A1016" s="245"/>
      <c r="B1016" s="246"/>
      <c r="C1016" s="245"/>
      <c r="D1016" s="245"/>
      <c r="E1016" s="245"/>
      <c r="F1016" s="245"/>
      <c r="G1016" s="245"/>
      <c r="H1016" s="245"/>
      <c r="I1016" s="245"/>
      <c r="J1016" s="245"/>
      <c r="K1016" s="245"/>
      <c r="L1016" s="246"/>
      <c r="M1016" s="245"/>
      <c r="N1016" s="245"/>
      <c r="O1016" s="245"/>
      <c r="P1016" s="245"/>
      <c r="Q1016" s="247"/>
      <c r="R1016" s="247"/>
      <c r="S1016" s="247"/>
      <c r="T1016" s="245"/>
      <c r="U1016" s="245"/>
      <c r="V1016" s="241"/>
      <c r="W1016" s="241"/>
      <c r="X1016" s="241"/>
    </row>
    <row r="1017" spans="1:24" ht="13.5" customHeight="1" x14ac:dyDescent="0.3">
      <c r="A1017" s="245"/>
      <c r="B1017" s="246"/>
      <c r="C1017" s="245"/>
      <c r="D1017" s="245"/>
      <c r="E1017" s="245"/>
      <c r="F1017" s="245"/>
      <c r="G1017" s="245"/>
      <c r="H1017" s="245"/>
      <c r="I1017" s="245"/>
      <c r="J1017" s="245"/>
      <c r="K1017" s="245"/>
      <c r="L1017" s="246"/>
      <c r="M1017" s="245"/>
      <c r="N1017" s="245"/>
      <c r="O1017" s="245"/>
      <c r="P1017" s="245"/>
      <c r="Q1017" s="247"/>
      <c r="R1017" s="247"/>
      <c r="S1017" s="247"/>
      <c r="T1017" s="245"/>
      <c r="U1017" s="245"/>
      <c r="V1017" s="241"/>
      <c r="W1017" s="241"/>
      <c r="X1017" s="241"/>
    </row>
    <row r="1018" spans="1:24" ht="13.5" customHeight="1" x14ac:dyDescent="0.3">
      <c r="A1018" s="245"/>
      <c r="B1018" s="246"/>
      <c r="C1018" s="245"/>
      <c r="D1018" s="245"/>
      <c r="E1018" s="245"/>
      <c r="F1018" s="245"/>
      <c r="G1018" s="245"/>
      <c r="H1018" s="245"/>
      <c r="I1018" s="245"/>
      <c r="J1018" s="245"/>
      <c r="K1018" s="245"/>
      <c r="L1018" s="246"/>
      <c r="M1018" s="245"/>
      <c r="N1018" s="245"/>
      <c r="O1018" s="245"/>
      <c r="P1018" s="245"/>
      <c r="Q1018" s="247"/>
      <c r="R1018" s="247"/>
      <c r="S1018" s="247"/>
      <c r="T1018" s="245"/>
      <c r="U1018" s="245"/>
      <c r="V1018" s="241"/>
      <c r="W1018" s="241"/>
      <c r="X1018" s="241"/>
    </row>
    <row r="1019" spans="1:24" ht="13.5" customHeight="1" x14ac:dyDescent="0.3">
      <c r="A1019" s="245"/>
      <c r="B1019" s="246"/>
      <c r="C1019" s="245"/>
      <c r="D1019" s="245"/>
      <c r="E1019" s="245"/>
      <c r="F1019" s="245"/>
      <c r="G1019" s="245"/>
      <c r="H1019" s="245"/>
      <c r="I1019" s="245"/>
      <c r="J1019" s="245"/>
      <c r="K1019" s="245"/>
      <c r="L1019" s="246"/>
      <c r="M1019" s="245"/>
      <c r="N1019" s="245"/>
      <c r="O1019" s="245"/>
      <c r="P1019" s="245"/>
      <c r="Q1019" s="247"/>
      <c r="R1019" s="247"/>
      <c r="S1019" s="247"/>
      <c r="T1019" s="245"/>
      <c r="U1019" s="245"/>
      <c r="V1019" s="241"/>
      <c r="W1019" s="241"/>
      <c r="X1019" s="241"/>
    </row>
    <row r="1020" spans="1:24" ht="13.5" customHeight="1" x14ac:dyDescent="0.3">
      <c r="A1020" s="245"/>
      <c r="B1020" s="246"/>
      <c r="C1020" s="245"/>
      <c r="D1020" s="245"/>
      <c r="E1020" s="245"/>
      <c r="F1020" s="245"/>
      <c r="G1020" s="245"/>
      <c r="H1020" s="245"/>
      <c r="I1020" s="245"/>
      <c r="J1020" s="245"/>
      <c r="K1020" s="245"/>
      <c r="L1020" s="246"/>
      <c r="M1020" s="245"/>
      <c r="N1020" s="245"/>
      <c r="O1020" s="245"/>
      <c r="P1020" s="245"/>
      <c r="Q1020" s="247"/>
      <c r="R1020" s="247"/>
      <c r="S1020" s="247"/>
      <c r="T1020" s="245"/>
      <c r="U1020" s="245"/>
      <c r="V1020" s="241"/>
      <c r="W1020" s="241"/>
      <c r="X1020" s="241"/>
    </row>
    <row r="1021" spans="1:24" ht="13.5" customHeight="1" x14ac:dyDescent="0.3">
      <c r="A1021" s="245"/>
      <c r="B1021" s="246"/>
      <c r="C1021" s="245"/>
      <c r="D1021" s="245"/>
      <c r="E1021" s="245"/>
      <c r="F1021" s="245"/>
      <c r="G1021" s="245"/>
      <c r="H1021" s="245"/>
      <c r="I1021" s="245"/>
      <c r="J1021" s="245"/>
      <c r="K1021" s="245"/>
      <c r="L1021" s="246"/>
      <c r="M1021" s="245"/>
      <c r="N1021" s="245"/>
      <c r="O1021" s="245"/>
      <c r="P1021" s="245"/>
      <c r="Q1021" s="247"/>
      <c r="R1021" s="247"/>
      <c r="S1021" s="247"/>
      <c r="T1021" s="245"/>
      <c r="U1021" s="245"/>
      <c r="V1021" s="241"/>
      <c r="W1021" s="241"/>
      <c r="X1021" s="241"/>
    </row>
    <row r="1022" spans="1:24" ht="13.5" customHeight="1" x14ac:dyDescent="0.3">
      <c r="A1022" s="245"/>
      <c r="B1022" s="246"/>
      <c r="C1022" s="245"/>
      <c r="D1022" s="245"/>
      <c r="E1022" s="245"/>
      <c r="F1022" s="245"/>
      <c r="G1022" s="245"/>
      <c r="H1022" s="245"/>
      <c r="I1022" s="245"/>
      <c r="J1022" s="245"/>
      <c r="K1022" s="245"/>
      <c r="L1022" s="246"/>
      <c r="M1022" s="245"/>
      <c r="N1022" s="245"/>
      <c r="O1022" s="245"/>
      <c r="P1022" s="245"/>
      <c r="Q1022" s="247"/>
      <c r="R1022" s="247"/>
      <c r="S1022" s="247"/>
      <c r="T1022" s="245"/>
      <c r="U1022" s="245"/>
      <c r="V1022" s="241"/>
      <c r="W1022" s="241"/>
      <c r="X1022" s="241"/>
    </row>
    <row r="1023" spans="1:24" ht="13.5" customHeight="1" x14ac:dyDescent="0.3">
      <c r="A1023" s="245"/>
      <c r="B1023" s="246"/>
      <c r="C1023" s="245"/>
      <c r="D1023" s="245"/>
      <c r="E1023" s="245"/>
      <c r="F1023" s="245"/>
      <c r="G1023" s="245"/>
      <c r="H1023" s="245"/>
      <c r="I1023" s="245"/>
      <c r="J1023" s="245"/>
      <c r="K1023" s="245"/>
      <c r="L1023" s="246"/>
      <c r="M1023" s="245"/>
      <c r="N1023" s="245"/>
      <c r="O1023" s="245"/>
      <c r="P1023" s="245"/>
      <c r="Q1023" s="247"/>
      <c r="R1023" s="247"/>
      <c r="S1023" s="247"/>
      <c r="T1023" s="245"/>
      <c r="U1023" s="245"/>
      <c r="V1023" s="241"/>
      <c r="W1023" s="241"/>
      <c r="X1023" s="241"/>
    </row>
    <row r="1024" spans="1:24" ht="13.5" customHeight="1" x14ac:dyDescent="0.3">
      <c r="A1024" s="245"/>
      <c r="B1024" s="246"/>
      <c r="C1024" s="245"/>
      <c r="D1024" s="245"/>
      <c r="E1024" s="245"/>
      <c r="F1024" s="245"/>
      <c r="G1024" s="245"/>
      <c r="H1024" s="245"/>
      <c r="I1024" s="245"/>
      <c r="J1024" s="245"/>
      <c r="K1024" s="245"/>
      <c r="L1024" s="246"/>
      <c r="M1024" s="245"/>
      <c r="N1024" s="245"/>
      <c r="O1024" s="245"/>
      <c r="P1024" s="245"/>
      <c r="Q1024" s="247"/>
      <c r="R1024" s="247"/>
      <c r="S1024" s="247"/>
      <c r="T1024" s="245"/>
      <c r="U1024" s="245"/>
      <c r="V1024" s="241"/>
      <c r="W1024" s="241"/>
      <c r="X1024" s="241"/>
    </row>
    <row r="1025" spans="1:24" ht="13.5" customHeight="1" x14ac:dyDescent="0.3">
      <c r="A1025" s="245"/>
      <c r="B1025" s="246"/>
      <c r="C1025" s="245"/>
      <c r="D1025" s="245"/>
      <c r="E1025" s="245"/>
      <c r="F1025" s="245"/>
      <c r="G1025" s="245"/>
      <c r="H1025" s="245"/>
      <c r="I1025" s="245"/>
      <c r="J1025" s="245"/>
      <c r="K1025" s="245"/>
      <c r="L1025" s="246"/>
      <c r="M1025" s="245"/>
      <c r="N1025" s="245"/>
      <c r="O1025" s="245"/>
      <c r="P1025" s="245"/>
      <c r="Q1025" s="247"/>
      <c r="R1025" s="247"/>
      <c r="S1025" s="247"/>
      <c r="T1025" s="245"/>
      <c r="U1025" s="245"/>
      <c r="V1025" s="241"/>
      <c r="W1025" s="241"/>
      <c r="X1025" s="241"/>
    </row>
    <row r="1026" spans="1:24" ht="13.5" customHeight="1" x14ac:dyDescent="0.3">
      <c r="A1026" s="245"/>
      <c r="B1026" s="246"/>
      <c r="C1026" s="245"/>
      <c r="D1026" s="245"/>
      <c r="E1026" s="245"/>
      <c r="F1026" s="245"/>
      <c r="G1026" s="245"/>
      <c r="H1026" s="245"/>
      <c r="I1026" s="245"/>
      <c r="J1026" s="245"/>
      <c r="K1026" s="245"/>
      <c r="L1026" s="246"/>
      <c r="M1026" s="245"/>
      <c r="N1026" s="245"/>
      <c r="O1026" s="245"/>
      <c r="P1026" s="245"/>
      <c r="Q1026" s="247"/>
      <c r="R1026" s="247"/>
      <c r="S1026" s="247"/>
      <c r="T1026" s="245"/>
      <c r="U1026" s="245"/>
      <c r="V1026" s="241"/>
      <c r="W1026" s="241"/>
      <c r="X1026" s="241"/>
    </row>
    <row r="1027" spans="1:24" ht="13.5" customHeight="1" x14ac:dyDescent="0.3">
      <c r="A1027" s="245"/>
      <c r="B1027" s="246"/>
      <c r="C1027" s="245"/>
      <c r="D1027" s="245"/>
      <c r="E1027" s="245"/>
      <c r="F1027" s="245"/>
      <c r="G1027" s="245"/>
      <c r="H1027" s="245"/>
      <c r="I1027" s="245"/>
      <c r="J1027" s="245"/>
      <c r="K1027" s="245"/>
      <c r="L1027" s="246"/>
      <c r="M1027" s="245"/>
      <c r="N1027" s="245"/>
      <c r="O1027" s="245"/>
      <c r="P1027" s="245"/>
      <c r="Q1027" s="247"/>
      <c r="R1027" s="247"/>
      <c r="S1027" s="247"/>
      <c r="T1027" s="245"/>
      <c r="U1027" s="245"/>
      <c r="V1027" s="241"/>
      <c r="W1027" s="241"/>
      <c r="X1027" s="241"/>
    </row>
    <row r="1028" spans="1:24" ht="13.5" customHeight="1" x14ac:dyDescent="0.3">
      <c r="A1028" s="245"/>
      <c r="B1028" s="246"/>
      <c r="C1028" s="245"/>
      <c r="D1028" s="245"/>
      <c r="E1028" s="245"/>
      <c r="F1028" s="245"/>
      <c r="G1028" s="245"/>
      <c r="H1028" s="245"/>
      <c r="I1028" s="245"/>
      <c r="J1028" s="245"/>
      <c r="K1028" s="245"/>
      <c r="L1028" s="246"/>
      <c r="M1028" s="245"/>
      <c r="N1028" s="245"/>
      <c r="O1028" s="245"/>
      <c r="P1028" s="245"/>
      <c r="Q1028" s="247"/>
      <c r="R1028" s="247"/>
      <c r="S1028" s="247"/>
      <c r="T1028" s="245"/>
      <c r="U1028" s="245"/>
      <c r="V1028" s="241"/>
      <c r="W1028" s="241"/>
      <c r="X1028" s="241"/>
    </row>
    <row r="1029" spans="1:24" ht="13.5" customHeight="1" x14ac:dyDescent="0.3">
      <c r="A1029" s="245"/>
      <c r="B1029" s="246"/>
      <c r="C1029" s="245"/>
      <c r="D1029" s="245"/>
      <c r="E1029" s="245"/>
      <c r="F1029" s="245"/>
      <c r="G1029" s="245"/>
      <c r="H1029" s="245"/>
      <c r="I1029" s="245"/>
      <c r="J1029" s="245"/>
      <c r="K1029" s="245"/>
      <c r="L1029" s="246"/>
      <c r="M1029" s="245"/>
      <c r="N1029" s="245"/>
      <c r="O1029" s="245"/>
      <c r="P1029" s="245"/>
      <c r="Q1029" s="247"/>
      <c r="R1029" s="247"/>
      <c r="S1029" s="247"/>
      <c r="T1029" s="245"/>
      <c r="U1029" s="245"/>
      <c r="V1029" s="241"/>
      <c r="W1029" s="241"/>
      <c r="X1029" s="241"/>
    </row>
    <row r="1030" spans="1:24" ht="13.5" customHeight="1" x14ac:dyDescent="0.3">
      <c r="A1030" s="245"/>
      <c r="B1030" s="246"/>
      <c r="C1030" s="245"/>
      <c r="D1030" s="245"/>
      <c r="E1030" s="245"/>
      <c r="F1030" s="245"/>
      <c r="G1030" s="245"/>
      <c r="H1030" s="245"/>
      <c r="I1030" s="245"/>
      <c r="J1030" s="245"/>
      <c r="K1030" s="245"/>
      <c r="L1030" s="246"/>
      <c r="M1030" s="245"/>
      <c r="N1030" s="245"/>
      <c r="O1030" s="245"/>
      <c r="P1030" s="245"/>
      <c r="Q1030" s="247"/>
      <c r="R1030" s="247"/>
      <c r="S1030" s="247"/>
      <c r="T1030" s="245"/>
      <c r="U1030" s="245"/>
      <c r="V1030" s="241"/>
      <c r="W1030" s="241"/>
      <c r="X1030" s="241"/>
    </row>
    <row r="1031" spans="1:24" ht="13.5" customHeight="1" x14ac:dyDescent="0.3">
      <c r="A1031" s="245"/>
      <c r="B1031" s="246"/>
      <c r="C1031" s="245"/>
      <c r="D1031" s="245"/>
      <c r="E1031" s="245"/>
      <c r="F1031" s="245"/>
      <c r="G1031" s="245"/>
      <c r="H1031" s="245"/>
      <c r="I1031" s="245"/>
      <c r="J1031" s="245"/>
      <c r="K1031" s="245"/>
      <c r="L1031" s="246"/>
      <c r="M1031" s="245"/>
      <c r="N1031" s="245"/>
      <c r="O1031" s="245"/>
      <c r="P1031" s="245"/>
      <c r="Q1031" s="247"/>
      <c r="R1031" s="247"/>
      <c r="S1031" s="247"/>
      <c r="T1031" s="245"/>
      <c r="U1031" s="245"/>
      <c r="V1031" s="241"/>
      <c r="W1031" s="241"/>
      <c r="X1031" s="241"/>
    </row>
    <row r="1032" spans="1:24" ht="13.5" customHeight="1" x14ac:dyDescent="0.3">
      <c r="A1032" s="245"/>
      <c r="B1032" s="246"/>
      <c r="C1032" s="245"/>
      <c r="D1032" s="245"/>
      <c r="E1032" s="245"/>
      <c r="F1032" s="245"/>
      <c r="G1032" s="245"/>
      <c r="H1032" s="245"/>
      <c r="I1032" s="245"/>
      <c r="J1032" s="245"/>
      <c r="K1032" s="245"/>
      <c r="L1032" s="246"/>
      <c r="M1032" s="245"/>
      <c r="N1032" s="245"/>
      <c r="O1032" s="245"/>
      <c r="P1032" s="245"/>
      <c r="Q1032" s="247"/>
      <c r="R1032" s="247"/>
      <c r="S1032" s="247"/>
      <c r="T1032" s="245"/>
      <c r="U1032" s="245"/>
      <c r="V1032" s="241"/>
      <c r="W1032" s="241"/>
      <c r="X1032" s="241"/>
    </row>
    <row r="1033" spans="1:24" ht="13.5" customHeight="1" x14ac:dyDescent="0.3">
      <c r="A1033" s="245"/>
      <c r="B1033" s="246"/>
      <c r="C1033" s="245"/>
      <c r="D1033" s="245"/>
      <c r="E1033" s="245"/>
      <c r="F1033" s="245"/>
      <c r="G1033" s="245"/>
      <c r="H1033" s="245"/>
      <c r="I1033" s="245"/>
      <c r="J1033" s="245"/>
      <c r="K1033" s="245"/>
      <c r="L1033" s="246"/>
      <c r="M1033" s="245"/>
      <c r="N1033" s="245"/>
      <c r="O1033" s="245"/>
      <c r="P1033" s="245"/>
      <c r="Q1033" s="247"/>
      <c r="R1033" s="247"/>
      <c r="S1033" s="247"/>
      <c r="T1033" s="245"/>
      <c r="U1033" s="245"/>
      <c r="V1033" s="241"/>
      <c r="W1033" s="241"/>
      <c r="X1033" s="241"/>
    </row>
    <row r="1034" spans="1:24" ht="13.5" customHeight="1" x14ac:dyDescent="0.3">
      <c r="A1034" s="245"/>
      <c r="B1034" s="246"/>
      <c r="C1034" s="245"/>
      <c r="D1034" s="245"/>
      <c r="E1034" s="245"/>
      <c r="F1034" s="245"/>
      <c r="G1034" s="245"/>
      <c r="H1034" s="245"/>
      <c r="I1034" s="245"/>
      <c r="J1034" s="245"/>
      <c r="K1034" s="245"/>
      <c r="L1034" s="246"/>
      <c r="M1034" s="245"/>
      <c r="N1034" s="245"/>
      <c r="O1034" s="245"/>
      <c r="P1034" s="245"/>
      <c r="Q1034" s="247"/>
      <c r="R1034" s="247"/>
      <c r="S1034" s="247"/>
      <c r="T1034" s="245"/>
      <c r="U1034" s="245"/>
      <c r="V1034" s="241"/>
      <c r="W1034" s="241"/>
      <c r="X1034" s="241"/>
    </row>
    <row r="1035" spans="1:24" ht="13.5" customHeight="1" x14ac:dyDescent="0.3">
      <c r="A1035" s="245"/>
      <c r="B1035" s="246"/>
      <c r="C1035" s="245"/>
      <c r="D1035" s="245"/>
      <c r="E1035" s="245"/>
      <c r="F1035" s="245"/>
      <c r="G1035" s="245"/>
      <c r="H1035" s="245"/>
      <c r="I1035" s="245"/>
      <c r="J1035" s="245"/>
      <c r="K1035" s="245"/>
      <c r="L1035" s="246"/>
      <c r="M1035" s="245"/>
      <c r="N1035" s="245"/>
      <c r="O1035" s="245"/>
      <c r="P1035" s="245"/>
      <c r="Q1035" s="247"/>
      <c r="R1035" s="247"/>
      <c r="S1035" s="247"/>
      <c r="T1035" s="245"/>
      <c r="U1035" s="245"/>
      <c r="V1035" s="241"/>
      <c r="W1035" s="241"/>
      <c r="X1035" s="241"/>
    </row>
    <row r="1036" spans="1:24" ht="13.5" customHeight="1" x14ac:dyDescent="0.3">
      <c r="A1036" s="245"/>
      <c r="B1036" s="246"/>
      <c r="C1036" s="245"/>
      <c r="D1036" s="245"/>
      <c r="E1036" s="245"/>
      <c r="F1036" s="245"/>
      <c r="G1036" s="245"/>
      <c r="H1036" s="245"/>
      <c r="I1036" s="245"/>
      <c r="J1036" s="245"/>
      <c r="K1036" s="245"/>
      <c r="L1036" s="246"/>
      <c r="M1036" s="245"/>
      <c r="N1036" s="245"/>
      <c r="O1036" s="245"/>
      <c r="P1036" s="245"/>
      <c r="Q1036" s="247"/>
      <c r="R1036" s="247"/>
      <c r="S1036" s="247"/>
      <c r="T1036" s="245"/>
      <c r="U1036" s="245"/>
      <c r="V1036" s="241"/>
      <c r="W1036" s="241"/>
      <c r="X1036" s="241"/>
    </row>
    <row r="1037" spans="1:24" ht="13.5" customHeight="1" x14ac:dyDescent="0.3">
      <c r="A1037" s="245"/>
      <c r="B1037" s="246"/>
      <c r="C1037" s="245"/>
      <c r="D1037" s="245"/>
      <c r="E1037" s="245"/>
      <c r="F1037" s="245"/>
      <c r="G1037" s="245"/>
      <c r="H1037" s="245"/>
      <c r="I1037" s="245"/>
      <c r="J1037" s="245"/>
      <c r="K1037" s="245"/>
      <c r="L1037" s="246"/>
      <c r="M1037" s="245"/>
      <c r="N1037" s="245"/>
      <c r="O1037" s="245"/>
      <c r="P1037" s="245"/>
      <c r="Q1037" s="247"/>
      <c r="R1037" s="247"/>
      <c r="S1037" s="247"/>
      <c r="T1037" s="245"/>
      <c r="U1037" s="245"/>
      <c r="V1037" s="241"/>
      <c r="W1037" s="241"/>
      <c r="X1037" s="241"/>
    </row>
    <row r="1038" spans="1:24" ht="13.5" customHeight="1" x14ac:dyDescent="0.3">
      <c r="A1038" s="245"/>
      <c r="B1038" s="246"/>
      <c r="C1038" s="245"/>
      <c r="D1038" s="245"/>
      <c r="E1038" s="245"/>
      <c r="F1038" s="245"/>
      <c r="G1038" s="245"/>
      <c r="H1038" s="245"/>
      <c r="I1038" s="245"/>
      <c r="J1038" s="245"/>
      <c r="K1038" s="245"/>
      <c r="L1038" s="246"/>
      <c r="M1038" s="245"/>
      <c r="N1038" s="245"/>
      <c r="O1038" s="245"/>
      <c r="P1038" s="245"/>
      <c r="Q1038" s="247"/>
      <c r="R1038" s="247"/>
      <c r="S1038" s="247"/>
      <c r="T1038" s="245"/>
      <c r="U1038" s="245"/>
      <c r="V1038" s="241"/>
      <c r="W1038" s="241"/>
      <c r="X1038" s="241"/>
    </row>
    <row r="1039" spans="1:24" ht="13.5" customHeight="1" x14ac:dyDescent="0.3">
      <c r="A1039" s="245"/>
      <c r="B1039" s="246"/>
      <c r="C1039" s="245"/>
      <c r="D1039" s="245"/>
      <c r="E1039" s="245"/>
      <c r="F1039" s="245"/>
      <c r="G1039" s="245"/>
      <c r="H1039" s="245"/>
      <c r="I1039" s="245"/>
      <c r="J1039" s="245"/>
      <c r="K1039" s="245"/>
      <c r="L1039" s="246"/>
      <c r="M1039" s="245"/>
      <c r="N1039" s="245"/>
      <c r="O1039" s="245"/>
      <c r="P1039" s="245"/>
      <c r="Q1039" s="247"/>
      <c r="R1039" s="247"/>
      <c r="S1039" s="247"/>
      <c r="T1039" s="245"/>
      <c r="U1039" s="245"/>
      <c r="V1039" s="241"/>
      <c r="W1039" s="241"/>
      <c r="X1039" s="241"/>
    </row>
    <row r="1040" spans="1:24" ht="13.5" customHeight="1" x14ac:dyDescent="0.3">
      <c r="A1040" s="245"/>
      <c r="B1040" s="246"/>
      <c r="C1040" s="245"/>
      <c r="D1040" s="245"/>
      <c r="E1040" s="245"/>
      <c r="F1040" s="245"/>
      <c r="G1040" s="245"/>
      <c r="H1040" s="245"/>
      <c r="I1040" s="245"/>
      <c r="J1040" s="245"/>
      <c r="K1040" s="245"/>
      <c r="L1040" s="246"/>
      <c r="M1040" s="245"/>
      <c r="N1040" s="245"/>
      <c r="O1040" s="245"/>
      <c r="P1040" s="245"/>
      <c r="Q1040" s="247"/>
      <c r="R1040" s="247"/>
      <c r="S1040" s="247"/>
      <c r="T1040" s="245"/>
      <c r="U1040" s="245"/>
      <c r="V1040" s="241"/>
      <c r="W1040" s="241"/>
      <c r="X1040" s="241"/>
    </row>
    <row r="1041" spans="1:24" ht="13.5" customHeight="1" x14ac:dyDescent="0.3">
      <c r="A1041" s="245"/>
      <c r="B1041" s="246"/>
      <c r="C1041" s="245"/>
      <c r="D1041" s="245"/>
      <c r="E1041" s="245"/>
      <c r="F1041" s="245"/>
      <c r="G1041" s="245"/>
      <c r="H1041" s="245"/>
      <c r="I1041" s="245"/>
      <c r="J1041" s="245"/>
      <c r="K1041" s="245"/>
      <c r="L1041" s="246"/>
      <c r="M1041" s="245"/>
      <c r="N1041" s="245"/>
      <c r="O1041" s="245"/>
      <c r="P1041" s="245"/>
      <c r="Q1041" s="247"/>
      <c r="R1041" s="247"/>
      <c r="S1041" s="247"/>
      <c r="T1041" s="245"/>
      <c r="U1041" s="245"/>
      <c r="V1041" s="241"/>
      <c r="W1041" s="241"/>
      <c r="X1041" s="241"/>
    </row>
    <row r="1042" spans="1:24" ht="13.5" customHeight="1" x14ac:dyDescent="0.3">
      <c r="A1042" s="245"/>
      <c r="B1042" s="246"/>
      <c r="C1042" s="245"/>
      <c r="D1042" s="245"/>
      <c r="E1042" s="245"/>
      <c r="F1042" s="245"/>
      <c r="G1042" s="245"/>
      <c r="H1042" s="245"/>
      <c r="I1042" s="245"/>
      <c r="J1042" s="245"/>
      <c r="K1042" s="245"/>
      <c r="L1042" s="246"/>
      <c r="M1042" s="245"/>
      <c r="N1042" s="245"/>
      <c r="O1042" s="245"/>
      <c r="P1042" s="245"/>
      <c r="Q1042" s="247"/>
      <c r="R1042" s="247"/>
      <c r="S1042" s="247"/>
      <c r="T1042" s="245"/>
      <c r="U1042" s="245"/>
      <c r="V1042" s="241"/>
      <c r="W1042" s="241"/>
      <c r="X1042" s="241"/>
    </row>
    <row r="1043" spans="1:24" ht="13.5" customHeight="1" x14ac:dyDescent="0.3">
      <c r="A1043" s="245"/>
      <c r="B1043" s="246"/>
      <c r="C1043" s="245"/>
      <c r="D1043" s="245"/>
      <c r="E1043" s="245"/>
      <c r="F1043" s="245"/>
      <c r="G1043" s="245"/>
      <c r="H1043" s="245"/>
      <c r="I1043" s="245"/>
      <c r="J1043" s="245"/>
      <c r="K1043" s="245"/>
      <c r="L1043" s="246"/>
      <c r="M1043" s="245"/>
      <c r="N1043" s="245"/>
      <c r="O1043" s="245"/>
      <c r="P1043" s="245"/>
      <c r="Q1043" s="247"/>
      <c r="R1043" s="247"/>
      <c r="S1043" s="247"/>
      <c r="T1043" s="245"/>
      <c r="U1043" s="245"/>
      <c r="V1043" s="241"/>
      <c r="W1043" s="241"/>
      <c r="X1043" s="241"/>
    </row>
    <row r="1044" spans="1:24" ht="13.5" customHeight="1" x14ac:dyDescent="0.3">
      <c r="A1044" s="245"/>
      <c r="B1044" s="246"/>
      <c r="C1044" s="245"/>
      <c r="D1044" s="245"/>
      <c r="E1044" s="245"/>
      <c r="F1044" s="245"/>
      <c r="G1044" s="245"/>
      <c r="H1044" s="245"/>
      <c r="I1044" s="245"/>
      <c r="J1044" s="245"/>
      <c r="K1044" s="245"/>
      <c r="L1044" s="246"/>
      <c r="M1044" s="245"/>
      <c r="N1044" s="245"/>
      <c r="O1044" s="245"/>
      <c r="P1044" s="245"/>
      <c r="Q1044" s="247"/>
      <c r="R1044" s="247"/>
      <c r="S1044" s="247"/>
      <c r="T1044" s="245"/>
      <c r="U1044" s="245"/>
      <c r="V1044" s="241"/>
      <c r="W1044" s="241"/>
      <c r="X1044" s="241"/>
    </row>
    <row r="1045" spans="1:24" ht="13.5" customHeight="1" x14ac:dyDescent="0.3">
      <c r="A1045" s="245"/>
      <c r="B1045" s="246"/>
      <c r="C1045" s="245"/>
      <c r="D1045" s="245"/>
      <c r="E1045" s="245"/>
      <c r="F1045" s="245"/>
      <c r="G1045" s="245"/>
      <c r="H1045" s="245"/>
      <c r="I1045" s="245"/>
      <c r="J1045" s="245"/>
      <c r="K1045" s="245"/>
      <c r="L1045" s="246"/>
      <c r="M1045" s="245"/>
      <c r="N1045" s="245"/>
      <c r="O1045" s="245"/>
      <c r="P1045" s="245"/>
      <c r="Q1045" s="247"/>
      <c r="R1045" s="247"/>
      <c r="S1045" s="247"/>
      <c r="T1045" s="245"/>
      <c r="U1045" s="245"/>
      <c r="V1045" s="241"/>
      <c r="W1045" s="241"/>
      <c r="X1045" s="241"/>
    </row>
    <row r="1046" spans="1:24" ht="13.5" customHeight="1" x14ac:dyDescent="0.3">
      <c r="A1046" s="245"/>
      <c r="B1046" s="246"/>
      <c r="C1046" s="245"/>
      <c r="D1046" s="245"/>
      <c r="E1046" s="245"/>
      <c r="F1046" s="245"/>
      <c r="G1046" s="245"/>
      <c r="H1046" s="245"/>
      <c r="I1046" s="245"/>
      <c r="J1046" s="245"/>
      <c r="K1046" s="245"/>
      <c r="L1046" s="246"/>
      <c r="M1046" s="245"/>
      <c r="N1046" s="245"/>
      <c r="O1046" s="245"/>
      <c r="P1046" s="245"/>
      <c r="Q1046" s="247"/>
      <c r="R1046" s="247"/>
      <c r="S1046" s="247"/>
      <c r="T1046" s="245"/>
      <c r="U1046" s="245"/>
      <c r="V1046" s="241"/>
      <c r="W1046" s="241"/>
      <c r="X1046" s="241"/>
    </row>
    <row r="1047" spans="1:24" ht="13.5" customHeight="1" x14ac:dyDescent="0.3">
      <c r="A1047" s="245"/>
      <c r="B1047" s="246"/>
      <c r="C1047" s="245"/>
      <c r="D1047" s="245"/>
      <c r="E1047" s="245"/>
      <c r="F1047" s="245"/>
      <c r="G1047" s="245"/>
      <c r="H1047" s="245"/>
      <c r="I1047" s="245"/>
      <c r="J1047" s="245"/>
      <c r="K1047" s="245"/>
      <c r="L1047" s="246"/>
      <c r="M1047" s="245"/>
      <c r="N1047" s="245"/>
      <c r="O1047" s="245"/>
      <c r="P1047" s="245"/>
      <c r="Q1047" s="247"/>
      <c r="R1047" s="247"/>
      <c r="S1047" s="247"/>
      <c r="T1047" s="245"/>
      <c r="U1047" s="245"/>
      <c r="V1047" s="241"/>
      <c r="W1047" s="241"/>
      <c r="X1047" s="241"/>
    </row>
    <row r="1048" spans="1:24" ht="13.5" customHeight="1" x14ac:dyDescent="0.3">
      <c r="A1048" s="245"/>
      <c r="B1048" s="246"/>
      <c r="C1048" s="245"/>
      <c r="D1048" s="245"/>
      <c r="E1048" s="245"/>
      <c r="F1048" s="245"/>
      <c r="G1048" s="245"/>
      <c r="H1048" s="245"/>
      <c r="I1048" s="245"/>
      <c r="J1048" s="245"/>
      <c r="K1048" s="245"/>
      <c r="L1048" s="246"/>
      <c r="M1048" s="245"/>
      <c r="N1048" s="245"/>
      <c r="O1048" s="245"/>
      <c r="P1048" s="245"/>
      <c r="Q1048" s="247"/>
      <c r="R1048" s="247"/>
      <c r="S1048" s="247"/>
      <c r="T1048" s="245"/>
      <c r="U1048" s="245"/>
      <c r="V1048" s="241"/>
      <c r="W1048" s="241"/>
      <c r="X1048" s="241"/>
    </row>
    <row r="1049" spans="1:24" ht="13.5" customHeight="1" x14ac:dyDescent="0.3">
      <c r="A1049" s="245"/>
      <c r="B1049" s="246"/>
      <c r="C1049" s="245"/>
      <c r="D1049" s="245"/>
      <c r="E1049" s="245"/>
      <c r="F1049" s="245"/>
      <c r="G1049" s="245"/>
      <c r="H1049" s="245"/>
      <c r="I1049" s="245"/>
      <c r="J1049" s="245"/>
      <c r="K1049" s="245"/>
      <c r="L1049" s="246"/>
      <c r="M1049" s="245"/>
      <c r="N1049" s="245"/>
      <c r="O1049" s="245"/>
      <c r="P1049" s="245"/>
      <c r="Q1049" s="247"/>
      <c r="R1049" s="247"/>
      <c r="S1049" s="247"/>
      <c r="T1049" s="245"/>
      <c r="U1049" s="245"/>
      <c r="V1049" s="241"/>
      <c r="W1049" s="241"/>
      <c r="X1049" s="241"/>
    </row>
    <row r="1050" spans="1:24" ht="13.5" customHeight="1" x14ac:dyDescent="0.3">
      <c r="A1050" s="245"/>
      <c r="B1050" s="246"/>
      <c r="C1050" s="245"/>
      <c r="D1050" s="245"/>
      <c r="E1050" s="245"/>
      <c r="F1050" s="245"/>
      <c r="G1050" s="245"/>
      <c r="H1050" s="245"/>
      <c r="I1050" s="245"/>
      <c r="J1050" s="245"/>
      <c r="K1050" s="245"/>
      <c r="L1050" s="246"/>
      <c r="M1050" s="245"/>
      <c r="N1050" s="245"/>
      <c r="O1050" s="245"/>
      <c r="P1050" s="245"/>
      <c r="Q1050" s="247"/>
      <c r="R1050" s="247"/>
      <c r="S1050" s="247"/>
      <c r="T1050" s="245"/>
      <c r="U1050" s="245"/>
      <c r="V1050" s="241"/>
      <c r="W1050" s="241"/>
      <c r="X1050" s="241"/>
    </row>
    <row r="1051" spans="1:24" ht="13.5" customHeight="1" x14ac:dyDescent="0.3">
      <c r="A1051" s="245"/>
      <c r="B1051" s="246"/>
      <c r="C1051" s="245"/>
      <c r="D1051" s="245"/>
      <c r="E1051" s="245"/>
      <c r="F1051" s="245"/>
      <c r="G1051" s="245"/>
      <c r="H1051" s="245"/>
      <c r="I1051" s="245"/>
      <c r="J1051" s="245"/>
      <c r="K1051" s="245"/>
      <c r="L1051" s="246"/>
      <c r="M1051" s="245"/>
      <c r="N1051" s="245"/>
      <c r="O1051" s="245"/>
      <c r="P1051" s="245"/>
      <c r="Q1051" s="247"/>
      <c r="R1051" s="247"/>
      <c r="S1051" s="247"/>
      <c r="T1051" s="245"/>
      <c r="U1051" s="245"/>
      <c r="V1051" s="241"/>
      <c r="W1051" s="241"/>
      <c r="X1051" s="241"/>
    </row>
    <row r="1052" spans="1:24" ht="13.5" customHeight="1" x14ac:dyDescent="0.3">
      <c r="A1052" s="245"/>
      <c r="B1052" s="246"/>
      <c r="C1052" s="245"/>
      <c r="D1052" s="245"/>
      <c r="E1052" s="245"/>
      <c r="F1052" s="245"/>
      <c r="G1052" s="245"/>
      <c r="H1052" s="245"/>
      <c r="I1052" s="245"/>
      <c r="J1052" s="245"/>
      <c r="K1052" s="245"/>
      <c r="L1052" s="246"/>
      <c r="M1052" s="245"/>
      <c r="N1052" s="245"/>
      <c r="O1052" s="245"/>
      <c r="P1052" s="245"/>
      <c r="Q1052" s="247"/>
      <c r="R1052" s="247"/>
      <c r="S1052" s="247"/>
      <c r="T1052" s="245"/>
      <c r="U1052" s="245"/>
      <c r="V1052" s="241"/>
      <c r="W1052" s="241"/>
      <c r="X1052" s="241"/>
    </row>
    <row r="1053" spans="1:24" ht="13.5" customHeight="1" x14ac:dyDescent="0.3">
      <c r="A1053" s="245"/>
      <c r="B1053" s="246"/>
      <c r="C1053" s="245"/>
      <c r="D1053" s="245"/>
      <c r="E1053" s="245"/>
      <c r="F1053" s="245"/>
      <c r="G1053" s="245"/>
      <c r="H1053" s="245"/>
      <c r="I1053" s="245"/>
      <c r="J1053" s="245"/>
      <c r="K1053" s="245"/>
      <c r="L1053" s="246"/>
      <c r="M1053" s="245"/>
      <c r="N1053" s="245"/>
      <c r="O1053" s="245"/>
      <c r="P1053" s="245"/>
      <c r="Q1053" s="247"/>
      <c r="R1053" s="247"/>
      <c r="S1053" s="247"/>
      <c r="T1053" s="245"/>
      <c r="U1053" s="245"/>
      <c r="V1053" s="241"/>
      <c r="W1053" s="241"/>
      <c r="X1053" s="241"/>
    </row>
    <row r="1054" spans="1:24" ht="13.5" customHeight="1" x14ac:dyDescent="0.3">
      <c r="A1054" s="245"/>
      <c r="B1054" s="246"/>
      <c r="C1054" s="245"/>
      <c r="D1054" s="245"/>
      <c r="E1054" s="245"/>
      <c r="F1054" s="245"/>
      <c r="G1054" s="245"/>
      <c r="H1054" s="245"/>
      <c r="I1054" s="245"/>
      <c r="J1054" s="245"/>
      <c r="K1054" s="245"/>
      <c r="L1054" s="246"/>
      <c r="M1054" s="245"/>
      <c r="N1054" s="245"/>
      <c r="O1054" s="245"/>
      <c r="P1054" s="245"/>
      <c r="Q1054" s="247"/>
      <c r="R1054" s="247"/>
      <c r="S1054" s="247"/>
      <c r="T1054" s="245"/>
      <c r="U1054" s="245"/>
      <c r="V1054" s="241"/>
      <c r="W1054" s="241"/>
      <c r="X1054" s="241"/>
    </row>
    <row r="1055" spans="1:24" ht="13.5" customHeight="1" x14ac:dyDescent="0.3">
      <c r="A1055" s="245"/>
      <c r="B1055" s="246"/>
      <c r="C1055" s="245"/>
      <c r="D1055" s="245"/>
      <c r="E1055" s="245"/>
      <c r="F1055" s="245"/>
      <c r="G1055" s="245"/>
      <c r="H1055" s="245"/>
      <c r="I1055" s="245"/>
      <c r="J1055" s="245"/>
      <c r="K1055" s="245"/>
      <c r="L1055" s="246"/>
      <c r="M1055" s="245"/>
      <c r="N1055" s="245"/>
      <c r="O1055" s="245"/>
      <c r="P1055" s="245"/>
      <c r="Q1055" s="247"/>
      <c r="R1055" s="247"/>
      <c r="S1055" s="247"/>
      <c r="T1055" s="245"/>
      <c r="U1055" s="245"/>
      <c r="V1055" s="241"/>
      <c r="W1055" s="241"/>
      <c r="X1055" s="241"/>
    </row>
    <row r="1056" spans="1:24" ht="13.5" customHeight="1" x14ac:dyDescent="0.3">
      <c r="A1056" s="245"/>
      <c r="B1056" s="246"/>
      <c r="C1056" s="245"/>
      <c r="D1056" s="245"/>
      <c r="E1056" s="245"/>
      <c r="F1056" s="245"/>
      <c r="G1056" s="245"/>
      <c r="H1056" s="245"/>
      <c r="I1056" s="245"/>
      <c r="J1056" s="245"/>
      <c r="K1056" s="245"/>
      <c r="L1056" s="246"/>
      <c r="M1056" s="245"/>
      <c r="N1056" s="245"/>
      <c r="O1056" s="245"/>
      <c r="P1056" s="245"/>
      <c r="Q1056" s="247"/>
      <c r="R1056" s="247"/>
      <c r="S1056" s="247"/>
      <c r="T1056" s="245"/>
      <c r="U1056" s="245"/>
      <c r="V1056" s="241"/>
      <c r="W1056" s="241"/>
      <c r="X1056" s="241"/>
    </row>
    <row r="1057" spans="1:24" ht="13.5" customHeight="1" x14ac:dyDescent="0.3">
      <c r="A1057" s="245"/>
      <c r="B1057" s="246"/>
      <c r="C1057" s="245"/>
      <c r="D1057" s="245"/>
      <c r="E1057" s="245"/>
      <c r="F1057" s="245"/>
      <c r="G1057" s="245"/>
      <c r="H1057" s="245"/>
      <c r="I1057" s="245"/>
      <c r="J1057" s="245"/>
      <c r="K1057" s="245"/>
      <c r="L1057" s="246"/>
      <c r="M1057" s="245"/>
      <c r="N1057" s="245"/>
      <c r="O1057" s="245"/>
      <c r="P1057" s="245"/>
      <c r="Q1057" s="247"/>
      <c r="R1057" s="247"/>
      <c r="S1057" s="247"/>
      <c r="T1057" s="245"/>
      <c r="U1057" s="245"/>
      <c r="V1057" s="241"/>
      <c r="W1057" s="241"/>
      <c r="X1057" s="241"/>
    </row>
    <row r="1058" spans="1:24" ht="13.5" customHeight="1" x14ac:dyDescent="0.3">
      <c r="A1058" s="245"/>
      <c r="B1058" s="246"/>
      <c r="C1058" s="245"/>
      <c r="D1058" s="245"/>
      <c r="E1058" s="245"/>
      <c r="F1058" s="245"/>
      <c r="G1058" s="245"/>
      <c r="H1058" s="245"/>
      <c r="I1058" s="245"/>
      <c r="J1058" s="245"/>
      <c r="K1058" s="245"/>
      <c r="L1058" s="246"/>
      <c r="M1058" s="245"/>
      <c r="N1058" s="245"/>
      <c r="O1058" s="245"/>
      <c r="P1058" s="245"/>
      <c r="Q1058" s="247"/>
      <c r="R1058" s="247"/>
      <c r="S1058" s="247"/>
      <c r="T1058" s="245"/>
      <c r="U1058" s="245"/>
      <c r="V1058" s="241"/>
      <c r="W1058" s="241"/>
      <c r="X1058" s="241"/>
    </row>
    <row r="1059" spans="1:24" ht="13.5" customHeight="1" x14ac:dyDescent="0.3">
      <c r="A1059" s="245"/>
      <c r="B1059" s="246"/>
      <c r="C1059" s="245"/>
      <c r="D1059" s="245"/>
      <c r="E1059" s="245"/>
      <c r="F1059" s="245"/>
      <c r="G1059" s="245"/>
      <c r="H1059" s="245"/>
      <c r="I1059" s="245"/>
      <c r="J1059" s="245"/>
      <c r="K1059" s="245"/>
      <c r="L1059" s="246"/>
      <c r="M1059" s="245"/>
      <c r="N1059" s="245"/>
      <c r="O1059" s="245"/>
      <c r="P1059" s="245"/>
      <c r="Q1059" s="247"/>
      <c r="R1059" s="247"/>
      <c r="S1059" s="247"/>
      <c r="T1059" s="245"/>
      <c r="U1059" s="245"/>
      <c r="V1059" s="241"/>
      <c r="W1059" s="241"/>
      <c r="X1059" s="241"/>
    </row>
    <row r="1060" spans="1:24" ht="13.5" customHeight="1" x14ac:dyDescent="0.3">
      <c r="A1060" s="245"/>
      <c r="B1060" s="246"/>
      <c r="C1060" s="245"/>
      <c r="D1060" s="245"/>
      <c r="E1060" s="245"/>
      <c r="F1060" s="245"/>
      <c r="G1060" s="245"/>
      <c r="H1060" s="245"/>
      <c r="I1060" s="245"/>
      <c r="J1060" s="245"/>
      <c r="K1060" s="245"/>
      <c r="L1060" s="246"/>
      <c r="M1060" s="245"/>
      <c r="N1060" s="245"/>
      <c r="O1060" s="245"/>
      <c r="P1060" s="245"/>
      <c r="Q1060" s="247"/>
      <c r="R1060" s="247"/>
      <c r="S1060" s="247"/>
      <c r="T1060" s="245"/>
      <c r="U1060" s="245"/>
      <c r="V1060" s="241"/>
      <c r="W1060" s="241"/>
      <c r="X1060" s="241"/>
    </row>
    <row r="1061" spans="1:24" ht="13.5" customHeight="1" x14ac:dyDescent="0.3">
      <c r="A1061" s="245"/>
      <c r="B1061" s="246"/>
      <c r="C1061" s="245"/>
      <c r="D1061" s="245"/>
      <c r="E1061" s="245"/>
      <c r="F1061" s="245"/>
      <c r="G1061" s="245"/>
      <c r="H1061" s="245"/>
      <c r="I1061" s="245"/>
      <c r="J1061" s="245"/>
      <c r="K1061" s="245"/>
      <c r="L1061" s="246"/>
      <c r="M1061" s="245"/>
      <c r="N1061" s="245"/>
      <c r="O1061" s="245"/>
      <c r="P1061" s="245"/>
      <c r="Q1061" s="247"/>
      <c r="R1061" s="247"/>
      <c r="S1061" s="247"/>
      <c r="T1061" s="245"/>
      <c r="U1061" s="245"/>
      <c r="V1061" s="241"/>
      <c r="W1061" s="241"/>
      <c r="X1061" s="241"/>
    </row>
    <row r="1062" spans="1:24" ht="13.5" customHeight="1" x14ac:dyDescent="0.3">
      <c r="A1062" s="245"/>
      <c r="B1062" s="246"/>
      <c r="C1062" s="245"/>
      <c r="D1062" s="245"/>
      <c r="E1062" s="245"/>
      <c r="F1062" s="245"/>
      <c r="G1062" s="245"/>
      <c r="H1062" s="245"/>
      <c r="I1062" s="245"/>
      <c r="J1062" s="245"/>
      <c r="K1062" s="245"/>
      <c r="L1062" s="246"/>
      <c r="M1062" s="245"/>
      <c r="N1062" s="245"/>
      <c r="O1062" s="245"/>
      <c r="P1062" s="245"/>
      <c r="Q1062" s="247"/>
      <c r="R1062" s="247"/>
      <c r="S1062" s="247"/>
      <c r="T1062" s="245"/>
      <c r="U1062" s="245"/>
      <c r="V1062" s="241"/>
      <c r="W1062" s="241"/>
      <c r="X1062" s="241"/>
    </row>
    <row r="1063" spans="1:24" ht="13.5" customHeight="1" x14ac:dyDescent="0.3">
      <c r="A1063" s="245"/>
      <c r="B1063" s="246"/>
      <c r="C1063" s="245"/>
      <c r="D1063" s="245"/>
      <c r="E1063" s="245"/>
      <c r="F1063" s="245"/>
      <c r="G1063" s="245"/>
      <c r="H1063" s="245"/>
      <c r="I1063" s="245"/>
      <c r="J1063" s="245"/>
      <c r="K1063" s="245"/>
      <c r="L1063" s="246"/>
      <c r="M1063" s="245"/>
      <c r="N1063" s="245"/>
      <c r="O1063" s="245"/>
      <c r="P1063" s="245"/>
      <c r="Q1063" s="247"/>
      <c r="R1063" s="247"/>
      <c r="S1063" s="247"/>
      <c r="T1063" s="245"/>
      <c r="U1063" s="245"/>
      <c r="V1063" s="241"/>
      <c r="W1063" s="241"/>
      <c r="X1063" s="241"/>
    </row>
    <row r="1064" spans="1:24" ht="13.5" customHeight="1" x14ac:dyDescent="0.3">
      <c r="A1064" s="245"/>
      <c r="B1064" s="246"/>
      <c r="C1064" s="245"/>
      <c r="D1064" s="245"/>
      <c r="E1064" s="245"/>
      <c r="F1064" s="245"/>
      <c r="G1064" s="245"/>
      <c r="H1064" s="245"/>
      <c r="I1064" s="245"/>
      <c r="J1064" s="245"/>
      <c r="K1064" s="245"/>
      <c r="L1064" s="246"/>
      <c r="M1064" s="245"/>
      <c r="N1064" s="245"/>
      <c r="O1064" s="245"/>
      <c r="P1064" s="245"/>
      <c r="Q1064" s="247"/>
      <c r="R1064" s="247"/>
      <c r="S1064" s="247"/>
      <c r="T1064" s="245"/>
      <c r="U1064" s="245"/>
      <c r="V1064" s="241"/>
      <c r="W1064" s="241"/>
      <c r="X1064" s="241"/>
    </row>
    <row r="1065" spans="1:24" ht="13.5" customHeight="1" x14ac:dyDescent="0.3">
      <c r="A1065" s="245"/>
      <c r="B1065" s="246"/>
      <c r="C1065" s="245"/>
      <c r="D1065" s="245"/>
      <c r="E1065" s="245"/>
      <c r="F1065" s="245"/>
      <c r="G1065" s="245"/>
      <c r="H1065" s="245"/>
      <c r="I1065" s="245"/>
      <c r="J1065" s="245"/>
      <c r="K1065" s="245"/>
      <c r="L1065" s="246"/>
      <c r="M1065" s="245"/>
      <c r="N1065" s="245"/>
      <c r="O1065" s="245"/>
      <c r="P1065" s="245"/>
      <c r="Q1065" s="247"/>
      <c r="R1065" s="247"/>
      <c r="S1065" s="247"/>
      <c r="T1065" s="245"/>
      <c r="U1065" s="245"/>
      <c r="V1065" s="241"/>
      <c r="W1065" s="241"/>
      <c r="X1065" s="241"/>
    </row>
    <row r="1066" spans="1:24" ht="13.5" customHeight="1" x14ac:dyDescent="0.3">
      <c r="A1066" s="245"/>
      <c r="B1066" s="246"/>
      <c r="C1066" s="245"/>
      <c r="D1066" s="245"/>
      <c r="E1066" s="245"/>
      <c r="F1066" s="245"/>
      <c r="G1066" s="245"/>
      <c r="H1066" s="245"/>
      <c r="I1066" s="245"/>
      <c r="J1066" s="245"/>
      <c r="K1066" s="245"/>
      <c r="L1066" s="246"/>
      <c r="M1066" s="245"/>
      <c r="N1066" s="245"/>
      <c r="O1066" s="245"/>
      <c r="P1066" s="245"/>
      <c r="Q1066" s="247"/>
      <c r="R1066" s="247"/>
      <c r="S1066" s="247"/>
      <c r="T1066" s="245"/>
      <c r="U1066" s="245"/>
      <c r="V1066" s="241"/>
      <c r="W1066" s="241"/>
      <c r="X1066" s="241"/>
    </row>
    <row r="1067" spans="1:24" ht="13.5" customHeight="1" x14ac:dyDescent="0.3">
      <c r="A1067" s="245"/>
      <c r="B1067" s="246"/>
      <c r="C1067" s="245"/>
      <c r="D1067" s="245"/>
      <c r="E1067" s="245"/>
      <c r="F1067" s="245"/>
      <c r="G1067" s="245"/>
      <c r="H1067" s="245"/>
      <c r="I1067" s="245"/>
      <c r="J1067" s="245"/>
      <c r="K1067" s="245"/>
      <c r="L1067" s="246"/>
      <c r="M1067" s="245"/>
      <c r="N1067" s="245"/>
      <c r="O1067" s="245"/>
      <c r="P1067" s="245"/>
      <c r="Q1067" s="247"/>
      <c r="R1067" s="247"/>
      <c r="S1067" s="247"/>
      <c r="T1067" s="245"/>
      <c r="U1067" s="245"/>
      <c r="V1067" s="241"/>
      <c r="W1067" s="241"/>
      <c r="X1067" s="241"/>
    </row>
    <row r="1068" spans="1:24" ht="13.5" customHeight="1" x14ac:dyDescent="0.3">
      <c r="A1068" s="245"/>
      <c r="B1068" s="246"/>
      <c r="C1068" s="245"/>
      <c r="D1068" s="245"/>
      <c r="E1068" s="245"/>
      <c r="F1068" s="245"/>
      <c r="G1068" s="245"/>
      <c r="H1068" s="245"/>
      <c r="I1068" s="245"/>
      <c r="J1068" s="245"/>
      <c r="K1068" s="245"/>
      <c r="L1068" s="246"/>
      <c r="M1068" s="245"/>
      <c r="N1068" s="245"/>
      <c r="O1068" s="245"/>
      <c r="P1068" s="245"/>
      <c r="Q1068" s="247"/>
      <c r="R1068" s="247"/>
      <c r="S1068" s="247"/>
      <c r="T1068" s="245"/>
      <c r="U1068" s="245"/>
      <c r="V1068" s="241"/>
      <c r="W1068" s="241"/>
      <c r="X1068" s="241"/>
    </row>
    <row r="1069" spans="1:24" ht="13.5" customHeight="1" x14ac:dyDescent="0.3">
      <c r="A1069" s="245"/>
      <c r="B1069" s="246"/>
      <c r="C1069" s="245"/>
      <c r="D1069" s="245"/>
      <c r="E1069" s="245"/>
      <c r="F1069" s="245"/>
      <c r="G1069" s="245"/>
      <c r="H1069" s="245"/>
      <c r="I1069" s="245"/>
      <c r="J1069" s="245"/>
      <c r="K1069" s="245"/>
      <c r="L1069" s="246"/>
      <c r="M1069" s="245"/>
      <c r="N1069" s="245"/>
      <c r="O1069" s="245"/>
      <c r="P1069" s="245"/>
      <c r="Q1069" s="247"/>
      <c r="R1069" s="247"/>
      <c r="S1069" s="247"/>
      <c r="T1069" s="245"/>
      <c r="U1069" s="245"/>
      <c r="V1069" s="241"/>
      <c r="W1069" s="241"/>
      <c r="X1069" s="241"/>
    </row>
    <row r="1070" spans="1:24" ht="13.5" customHeight="1" x14ac:dyDescent="0.3">
      <c r="A1070" s="245"/>
      <c r="B1070" s="246"/>
      <c r="C1070" s="245"/>
      <c r="D1070" s="245"/>
      <c r="E1070" s="245"/>
      <c r="F1070" s="245"/>
      <c r="G1070" s="245"/>
      <c r="H1070" s="245"/>
      <c r="I1070" s="245"/>
      <c r="J1070" s="245"/>
      <c r="K1070" s="245"/>
      <c r="L1070" s="246"/>
      <c r="M1070" s="245"/>
      <c r="N1070" s="245"/>
      <c r="O1070" s="245"/>
      <c r="P1070" s="245"/>
      <c r="Q1070" s="247"/>
      <c r="R1070" s="247"/>
      <c r="S1070" s="247"/>
      <c r="T1070" s="245"/>
      <c r="U1070" s="245"/>
      <c r="V1070" s="241"/>
      <c r="W1070" s="241"/>
      <c r="X1070" s="241"/>
    </row>
    <row r="1071" spans="1:24" ht="13.5" customHeight="1" x14ac:dyDescent="0.3">
      <c r="A1071" s="245"/>
      <c r="B1071" s="246"/>
      <c r="C1071" s="245"/>
      <c r="D1071" s="245"/>
      <c r="E1071" s="245"/>
      <c r="F1071" s="245"/>
      <c r="G1071" s="245"/>
      <c r="H1071" s="245"/>
      <c r="I1071" s="245"/>
      <c r="J1071" s="245"/>
      <c r="K1071" s="245"/>
      <c r="L1071" s="246"/>
      <c r="M1071" s="245"/>
      <c r="N1071" s="245"/>
      <c r="O1071" s="245"/>
      <c r="P1071" s="245"/>
      <c r="Q1071" s="247"/>
      <c r="R1071" s="247"/>
      <c r="S1071" s="247"/>
      <c r="T1071" s="245"/>
      <c r="U1071" s="245"/>
      <c r="V1071" s="241"/>
      <c r="W1071" s="241"/>
      <c r="X1071" s="241"/>
    </row>
    <row r="1072" spans="1:24" ht="13.5" customHeight="1" x14ac:dyDescent="0.3">
      <c r="A1072" s="245"/>
      <c r="B1072" s="246"/>
      <c r="C1072" s="245"/>
      <c r="D1072" s="245"/>
      <c r="E1072" s="245"/>
      <c r="F1072" s="245"/>
      <c r="G1072" s="245"/>
      <c r="H1072" s="245"/>
      <c r="I1072" s="245"/>
      <c r="J1072" s="245"/>
      <c r="K1072" s="245"/>
      <c r="L1072" s="246"/>
      <c r="M1072" s="245"/>
      <c r="N1072" s="245"/>
      <c r="O1072" s="245"/>
      <c r="P1072" s="245"/>
      <c r="Q1072" s="247"/>
      <c r="R1072" s="247"/>
      <c r="S1072" s="247"/>
      <c r="T1072" s="245"/>
      <c r="U1072" s="245"/>
      <c r="V1072" s="241"/>
      <c r="W1072" s="241"/>
      <c r="X1072" s="241"/>
    </row>
    <row r="1073" spans="1:24" ht="13.5" customHeight="1" x14ac:dyDescent="0.3">
      <c r="A1073" s="245"/>
      <c r="B1073" s="246"/>
      <c r="C1073" s="245"/>
      <c r="D1073" s="245"/>
      <c r="E1073" s="245"/>
      <c r="F1073" s="245"/>
      <c r="G1073" s="245"/>
      <c r="H1073" s="245"/>
      <c r="I1073" s="245"/>
      <c r="J1073" s="245"/>
      <c r="K1073" s="245"/>
      <c r="L1073" s="246"/>
      <c r="M1073" s="245"/>
      <c r="N1073" s="245"/>
      <c r="O1073" s="245"/>
      <c r="P1073" s="245"/>
      <c r="Q1073" s="247"/>
      <c r="R1073" s="247"/>
      <c r="S1073" s="247"/>
      <c r="T1073" s="245"/>
      <c r="U1073" s="245"/>
      <c r="V1073" s="241"/>
      <c r="W1073" s="241"/>
      <c r="X1073" s="241"/>
    </row>
    <row r="1074" spans="1:24" ht="13.5" customHeight="1" x14ac:dyDescent="0.3">
      <c r="A1074" s="245"/>
      <c r="B1074" s="246"/>
      <c r="C1074" s="245"/>
      <c r="D1074" s="245"/>
      <c r="E1074" s="245"/>
      <c r="F1074" s="245"/>
      <c r="G1074" s="245"/>
      <c r="H1074" s="245"/>
      <c r="I1074" s="245"/>
      <c r="J1074" s="245"/>
      <c r="K1074" s="245"/>
      <c r="L1074" s="246"/>
      <c r="M1074" s="245"/>
      <c r="N1074" s="245"/>
      <c r="O1074" s="245"/>
      <c r="P1074" s="245"/>
      <c r="Q1074" s="247"/>
      <c r="R1074" s="247"/>
      <c r="S1074" s="247"/>
      <c r="T1074" s="245"/>
      <c r="U1074" s="245"/>
      <c r="V1074" s="241"/>
      <c r="W1074" s="241"/>
      <c r="X1074" s="241"/>
    </row>
    <row r="1075" spans="1:24" ht="13.5" customHeight="1" x14ac:dyDescent="0.3">
      <c r="A1075" s="245"/>
      <c r="B1075" s="246"/>
      <c r="C1075" s="245"/>
      <c r="D1075" s="245"/>
      <c r="E1075" s="245"/>
      <c r="F1075" s="245"/>
      <c r="G1075" s="245"/>
      <c r="H1075" s="245"/>
      <c r="I1075" s="245"/>
      <c r="J1075" s="245"/>
      <c r="K1075" s="245"/>
      <c r="L1075" s="246"/>
      <c r="M1075" s="245"/>
      <c r="N1075" s="245"/>
      <c r="O1075" s="245"/>
      <c r="P1075" s="245"/>
      <c r="Q1075" s="247"/>
      <c r="R1075" s="247"/>
      <c r="S1075" s="247"/>
      <c r="T1075" s="245"/>
      <c r="U1075" s="245"/>
      <c r="V1075" s="241"/>
      <c r="W1075" s="241"/>
      <c r="X1075" s="241"/>
    </row>
    <row r="1076" spans="1:24" ht="13.5" customHeight="1" x14ac:dyDescent="0.3">
      <c r="A1076" s="245"/>
      <c r="B1076" s="246"/>
      <c r="C1076" s="245"/>
      <c r="D1076" s="245"/>
      <c r="E1076" s="245"/>
      <c r="F1076" s="245"/>
      <c r="G1076" s="245"/>
      <c r="H1076" s="245"/>
      <c r="I1076" s="245"/>
      <c r="J1076" s="245"/>
      <c r="K1076" s="245"/>
      <c r="L1076" s="246"/>
      <c r="M1076" s="245"/>
      <c r="N1076" s="245"/>
      <c r="O1076" s="245"/>
      <c r="P1076" s="245"/>
      <c r="Q1076" s="247"/>
      <c r="R1076" s="247"/>
      <c r="S1076" s="247"/>
      <c r="T1076" s="245"/>
      <c r="U1076" s="245"/>
      <c r="V1076" s="241"/>
      <c r="W1076" s="241"/>
      <c r="X1076" s="241"/>
    </row>
    <row r="1077" spans="1:24" ht="13.5" customHeight="1" x14ac:dyDescent="0.3">
      <c r="A1077" s="245"/>
      <c r="B1077" s="246"/>
      <c r="C1077" s="245"/>
      <c r="D1077" s="245"/>
      <c r="E1077" s="245"/>
      <c r="F1077" s="245"/>
      <c r="G1077" s="245"/>
      <c r="H1077" s="245"/>
      <c r="I1077" s="245"/>
      <c r="J1077" s="245"/>
      <c r="K1077" s="245"/>
      <c r="L1077" s="246"/>
      <c r="M1077" s="245"/>
      <c r="N1077" s="245"/>
      <c r="O1077" s="245"/>
      <c r="P1077" s="245"/>
      <c r="Q1077" s="247"/>
      <c r="R1077" s="247"/>
      <c r="S1077" s="247"/>
      <c r="T1077" s="245"/>
      <c r="U1077" s="245"/>
      <c r="V1077" s="241"/>
      <c r="W1077" s="241"/>
      <c r="X1077" s="241"/>
    </row>
    <row r="1078" spans="1:24" ht="13.5" customHeight="1" x14ac:dyDescent="0.3">
      <c r="A1078" s="245"/>
      <c r="B1078" s="246"/>
      <c r="C1078" s="245"/>
      <c r="D1078" s="245"/>
      <c r="E1078" s="245"/>
      <c r="F1078" s="245"/>
      <c r="G1078" s="245"/>
      <c r="H1078" s="245"/>
      <c r="I1078" s="245"/>
      <c r="J1078" s="245"/>
      <c r="K1078" s="245"/>
      <c r="L1078" s="246"/>
      <c r="M1078" s="245"/>
      <c r="N1078" s="245"/>
      <c r="O1078" s="245"/>
      <c r="P1078" s="245"/>
      <c r="Q1078" s="247"/>
      <c r="R1078" s="247"/>
      <c r="S1078" s="247"/>
      <c r="T1078" s="245"/>
      <c r="U1078" s="245"/>
      <c r="V1078" s="241"/>
      <c r="W1078" s="241"/>
      <c r="X1078" s="241"/>
    </row>
    <row r="1079" spans="1:24" ht="13.5" customHeight="1" x14ac:dyDescent="0.3">
      <c r="A1079" s="245"/>
      <c r="B1079" s="246"/>
      <c r="C1079" s="245"/>
      <c r="D1079" s="245"/>
      <c r="E1079" s="245"/>
      <c r="F1079" s="245"/>
      <c r="G1079" s="245"/>
      <c r="H1079" s="245"/>
      <c r="I1079" s="245"/>
      <c r="J1079" s="245"/>
      <c r="K1079" s="245"/>
      <c r="L1079" s="246"/>
      <c r="M1079" s="245"/>
      <c r="N1079" s="245"/>
      <c r="O1079" s="245"/>
      <c r="P1079" s="245"/>
      <c r="Q1079" s="247"/>
      <c r="R1079" s="247"/>
      <c r="S1079" s="247"/>
      <c r="T1079" s="245"/>
      <c r="U1079" s="245"/>
      <c r="V1079" s="241"/>
      <c r="W1079" s="241"/>
      <c r="X1079" s="241"/>
    </row>
    <row r="1080" spans="1:24" ht="13.5" customHeight="1" x14ac:dyDescent="0.3">
      <c r="A1080" s="245"/>
      <c r="B1080" s="246"/>
      <c r="C1080" s="245"/>
      <c r="D1080" s="245"/>
      <c r="E1080" s="245"/>
      <c r="F1080" s="245"/>
      <c r="G1080" s="245"/>
      <c r="H1080" s="245"/>
      <c r="I1080" s="245"/>
      <c r="J1080" s="245"/>
      <c r="K1080" s="245"/>
      <c r="L1080" s="246"/>
      <c r="M1080" s="245"/>
      <c r="N1080" s="245"/>
      <c r="O1080" s="245"/>
      <c r="P1080" s="245"/>
      <c r="Q1080" s="247"/>
      <c r="R1080" s="247"/>
      <c r="S1080" s="247"/>
      <c r="T1080" s="245"/>
      <c r="U1080" s="245"/>
      <c r="V1080" s="241"/>
      <c r="W1080" s="241"/>
      <c r="X1080" s="241"/>
    </row>
    <row r="1081" spans="1:24" ht="13.5" customHeight="1" x14ac:dyDescent="0.3">
      <c r="A1081" s="245"/>
      <c r="B1081" s="246"/>
      <c r="C1081" s="245"/>
      <c r="D1081" s="245"/>
      <c r="E1081" s="245"/>
      <c r="F1081" s="245"/>
      <c r="G1081" s="245"/>
      <c r="H1081" s="245"/>
      <c r="I1081" s="245"/>
      <c r="J1081" s="245"/>
      <c r="K1081" s="245"/>
      <c r="L1081" s="246"/>
      <c r="M1081" s="245"/>
      <c r="N1081" s="245"/>
      <c r="O1081" s="245"/>
      <c r="P1081" s="245"/>
      <c r="Q1081" s="247"/>
      <c r="R1081" s="247"/>
      <c r="S1081" s="247"/>
      <c r="T1081" s="245"/>
      <c r="U1081" s="245"/>
      <c r="V1081" s="241"/>
      <c r="W1081" s="241"/>
      <c r="X1081" s="241"/>
    </row>
    <row r="1082" spans="1:24" ht="13.5" customHeight="1" x14ac:dyDescent="0.3">
      <c r="A1082" s="245"/>
      <c r="B1082" s="246"/>
      <c r="C1082" s="245"/>
      <c r="D1082" s="245"/>
      <c r="E1082" s="245"/>
      <c r="F1082" s="245"/>
      <c r="G1082" s="245"/>
      <c r="H1082" s="245"/>
      <c r="I1082" s="245"/>
      <c r="J1082" s="245"/>
      <c r="K1082" s="245"/>
      <c r="L1082" s="246"/>
      <c r="M1082" s="245"/>
      <c r="N1082" s="245"/>
      <c r="O1082" s="245"/>
      <c r="P1082" s="245"/>
      <c r="Q1082" s="247"/>
      <c r="R1082" s="247"/>
      <c r="S1082" s="247"/>
      <c r="T1082" s="245"/>
      <c r="U1082" s="245"/>
      <c r="V1082" s="241"/>
      <c r="W1082" s="241"/>
      <c r="X1082" s="241"/>
    </row>
    <row r="1083" spans="1:24" ht="13.5" customHeight="1" x14ac:dyDescent="0.3">
      <c r="A1083" s="245"/>
      <c r="B1083" s="246"/>
      <c r="C1083" s="245"/>
      <c r="D1083" s="245"/>
      <c r="E1083" s="245"/>
      <c r="F1083" s="245"/>
      <c r="G1083" s="245"/>
      <c r="H1083" s="245"/>
      <c r="I1083" s="245"/>
      <c r="J1083" s="245"/>
      <c r="K1083" s="245"/>
      <c r="L1083" s="246"/>
      <c r="M1083" s="245"/>
      <c r="N1083" s="245"/>
      <c r="O1083" s="245"/>
      <c r="P1083" s="245"/>
      <c r="Q1083" s="247"/>
      <c r="R1083" s="247"/>
      <c r="S1083" s="247"/>
      <c r="T1083" s="245"/>
      <c r="U1083" s="245"/>
      <c r="V1083" s="241"/>
      <c r="W1083" s="241"/>
      <c r="X1083" s="241"/>
    </row>
    <row r="1084" spans="1:24" ht="13.5" customHeight="1" x14ac:dyDescent="0.3">
      <c r="A1084" s="245"/>
      <c r="B1084" s="246"/>
      <c r="C1084" s="245"/>
      <c r="D1084" s="245"/>
      <c r="E1084" s="245"/>
      <c r="F1084" s="245"/>
      <c r="G1084" s="245"/>
      <c r="H1084" s="245"/>
      <c r="I1084" s="245"/>
      <c r="J1084" s="245"/>
      <c r="K1084" s="245"/>
      <c r="L1084" s="246"/>
      <c r="M1084" s="245"/>
      <c r="N1084" s="245"/>
      <c r="O1084" s="245"/>
      <c r="P1084" s="245"/>
      <c r="Q1084" s="247"/>
      <c r="R1084" s="247"/>
      <c r="S1084" s="247"/>
      <c r="T1084" s="245"/>
      <c r="U1084" s="245"/>
      <c r="V1084" s="241"/>
      <c r="W1084" s="241"/>
      <c r="X1084" s="241"/>
    </row>
    <row r="1085" spans="1:24" ht="13.5" customHeight="1" x14ac:dyDescent="0.3">
      <c r="A1085" s="245"/>
      <c r="B1085" s="246"/>
      <c r="C1085" s="245"/>
      <c r="D1085" s="245"/>
      <c r="E1085" s="245"/>
      <c r="F1085" s="245"/>
      <c r="G1085" s="245"/>
      <c r="H1085" s="245"/>
      <c r="I1085" s="245"/>
      <c r="J1085" s="245"/>
      <c r="K1085" s="245"/>
      <c r="L1085" s="246"/>
      <c r="M1085" s="245"/>
      <c r="N1085" s="245"/>
      <c r="O1085" s="245"/>
      <c r="P1085" s="245"/>
      <c r="Q1085" s="247"/>
      <c r="R1085" s="247"/>
      <c r="S1085" s="247"/>
      <c r="T1085" s="245"/>
      <c r="U1085" s="245"/>
      <c r="V1085" s="241"/>
      <c r="W1085" s="241"/>
      <c r="X1085" s="241"/>
    </row>
    <row r="1086" spans="1:24" ht="13.5" customHeight="1" x14ac:dyDescent="0.3">
      <c r="A1086" s="245"/>
      <c r="B1086" s="246"/>
      <c r="C1086" s="245"/>
      <c r="D1086" s="245"/>
      <c r="E1086" s="245"/>
      <c r="F1086" s="245"/>
      <c r="G1086" s="245"/>
      <c r="H1086" s="245"/>
      <c r="I1086" s="245"/>
      <c r="J1086" s="245"/>
      <c r="K1086" s="245"/>
      <c r="L1086" s="246"/>
      <c r="M1086" s="245"/>
      <c r="N1086" s="245"/>
      <c r="O1086" s="245"/>
      <c r="P1086" s="245"/>
      <c r="Q1086" s="247"/>
      <c r="R1086" s="247"/>
      <c r="S1086" s="247"/>
      <c r="T1086" s="245"/>
      <c r="U1086" s="245"/>
      <c r="V1086" s="241"/>
      <c r="W1086" s="241"/>
      <c r="X1086" s="241"/>
    </row>
    <row r="1087" spans="1:24" ht="13.5" customHeight="1" x14ac:dyDescent="0.3">
      <c r="A1087" s="245"/>
      <c r="B1087" s="246"/>
      <c r="C1087" s="245"/>
      <c r="D1087" s="245"/>
      <c r="E1087" s="245"/>
      <c r="F1087" s="245"/>
      <c r="G1087" s="245"/>
      <c r="H1087" s="245"/>
      <c r="I1087" s="245"/>
      <c r="J1087" s="245"/>
      <c r="K1087" s="245"/>
      <c r="L1087" s="246"/>
      <c r="M1087" s="245"/>
      <c r="N1087" s="245"/>
      <c r="O1087" s="245"/>
      <c r="P1087" s="245"/>
      <c r="Q1087" s="247"/>
      <c r="R1087" s="247"/>
      <c r="S1087" s="247"/>
      <c r="T1087" s="245"/>
      <c r="U1087" s="245"/>
      <c r="V1087" s="241"/>
      <c r="W1087" s="241"/>
      <c r="X1087" s="241"/>
    </row>
    <row r="1088" spans="1:24" ht="13.5" customHeight="1" x14ac:dyDescent="0.3">
      <c r="A1088" s="245"/>
      <c r="B1088" s="246"/>
      <c r="C1088" s="245"/>
      <c r="D1088" s="245"/>
      <c r="E1088" s="245"/>
      <c r="F1088" s="245"/>
      <c r="G1088" s="245"/>
      <c r="H1088" s="245"/>
      <c r="I1088" s="245"/>
      <c r="J1088" s="245"/>
      <c r="K1088" s="245"/>
      <c r="L1088" s="246"/>
      <c r="M1088" s="245"/>
      <c r="N1088" s="245"/>
      <c r="O1088" s="245"/>
      <c r="P1088" s="245"/>
      <c r="Q1088" s="247"/>
      <c r="R1088" s="247"/>
      <c r="S1088" s="247"/>
      <c r="T1088" s="245"/>
      <c r="U1088" s="245"/>
      <c r="V1088" s="241"/>
      <c r="W1088" s="241"/>
      <c r="X1088" s="241"/>
    </row>
    <row r="1089" spans="1:24" ht="13.5" customHeight="1" x14ac:dyDescent="0.3">
      <c r="A1089" s="245"/>
      <c r="B1089" s="246"/>
      <c r="C1089" s="245"/>
      <c r="D1089" s="245"/>
      <c r="E1089" s="245"/>
      <c r="F1089" s="245"/>
      <c r="G1089" s="245"/>
      <c r="H1089" s="245"/>
      <c r="I1089" s="245"/>
      <c r="J1089" s="245"/>
      <c r="K1089" s="245"/>
      <c r="L1089" s="246"/>
      <c r="M1089" s="245"/>
      <c r="N1089" s="245"/>
      <c r="O1089" s="245"/>
      <c r="P1089" s="245"/>
      <c r="Q1089" s="247"/>
      <c r="R1089" s="247"/>
      <c r="S1089" s="247"/>
      <c r="T1089" s="245"/>
      <c r="U1089" s="245"/>
      <c r="V1089" s="241"/>
      <c r="W1089" s="241"/>
      <c r="X1089" s="241"/>
    </row>
    <row r="1090" spans="1:24" ht="13.5" customHeight="1" x14ac:dyDescent="0.3">
      <c r="A1090" s="245"/>
      <c r="B1090" s="246"/>
      <c r="C1090" s="245"/>
      <c r="D1090" s="245"/>
      <c r="E1090" s="245"/>
      <c r="F1090" s="245"/>
      <c r="G1090" s="245"/>
      <c r="H1090" s="245"/>
      <c r="I1090" s="245"/>
      <c r="J1090" s="245"/>
      <c r="K1090" s="245"/>
      <c r="L1090" s="246"/>
      <c r="M1090" s="245"/>
      <c r="N1090" s="245"/>
      <c r="O1090" s="245"/>
      <c r="P1090" s="245"/>
      <c r="Q1090" s="247"/>
      <c r="R1090" s="247"/>
      <c r="S1090" s="247"/>
      <c r="T1090" s="245"/>
      <c r="U1090" s="245"/>
      <c r="V1090" s="241"/>
      <c r="W1090" s="241"/>
      <c r="X1090" s="241"/>
    </row>
    <row r="1091" spans="1:24" ht="13.5" customHeight="1" x14ac:dyDescent="0.3">
      <c r="A1091" s="245"/>
      <c r="B1091" s="246"/>
      <c r="C1091" s="245"/>
      <c r="D1091" s="245"/>
      <c r="E1091" s="245"/>
      <c r="F1091" s="245"/>
      <c r="G1091" s="245"/>
      <c r="H1091" s="245"/>
      <c r="I1091" s="245"/>
      <c r="J1091" s="245"/>
      <c r="K1091" s="245"/>
      <c r="L1091" s="246"/>
      <c r="M1091" s="245"/>
      <c r="N1091" s="245"/>
      <c r="O1091" s="245"/>
      <c r="P1091" s="245"/>
      <c r="Q1091" s="247"/>
      <c r="R1091" s="247"/>
      <c r="S1091" s="247"/>
      <c r="T1091" s="245"/>
      <c r="U1091" s="245"/>
      <c r="V1091" s="241"/>
      <c r="W1091" s="241"/>
      <c r="X1091" s="241"/>
    </row>
    <row r="1092" spans="1:24" ht="13.5" customHeight="1" x14ac:dyDescent="0.3">
      <c r="A1092" s="245"/>
      <c r="B1092" s="246"/>
      <c r="C1092" s="245"/>
      <c r="D1092" s="245"/>
      <c r="E1092" s="245"/>
      <c r="F1092" s="245"/>
      <c r="G1092" s="245"/>
      <c r="H1092" s="245"/>
      <c r="I1092" s="245"/>
      <c r="J1092" s="245"/>
      <c r="K1092" s="245"/>
      <c r="L1092" s="246"/>
      <c r="M1092" s="245"/>
      <c r="N1092" s="245"/>
      <c r="O1092" s="245"/>
      <c r="P1092" s="245"/>
      <c r="Q1092" s="247"/>
      <c r="R1092" s="247"/>
      <c r="S1092" s="247"/>
      <c r="T1092" s="245"/>
      <c r="U1092" s="245"/>
      <c r="V1092" s="241"/>
      <c r="W1092" s="241"/>
      <c r="X1092" s="241"/>
    </row>
    <row r="1093" spans="1:24" ht="13.5" customHeight="1" x14ac:dyDescent="0.3">
      <c r="A1093" s="245"/>
      <c r="B1093" s="246"/>
      <c r="C1093" s="245"/>
      <c r="D1093" s="245"/>
      <c r="E1093" s="245"/>
      <c r="F1093" s="245"/>
      <c r="G1093" s="245"/>
      <c r="H1093" s="245"/>
      <c r="I1093" s="245"/>
      <c r="J1093" s="245"/>
      <c r="K1093" s="245"/>
      <c r="L1093" s="246"/>
      <c r="M1093" s="245"/>
      <c r="N1093" s="245"/>
      <c r="O1093" s="245"/>
      <c r="P1093" s="245"/>
      <c r="Q1093" s="247"/>
      <c r="R1093" s="247"/>
      <c r="S1093" s="247"/>
      <c r="T1093" s="245"/>
      <c r="U1093" s="245"/>
      <c r="V1093" s="241"/>
      <c r="W1093" s="241"/>
      <c r="X1093" s="241"/>
    </row>
    <row r="1094" spans="1:24" ht="13.5" customHeight="1" x14ac:dyDescent="0.3">
      <c r="A1094" s="245"/>
      <c r="B1094" s="246"/>
      <c r="C1094" s="245"/>
      <c r="D1094" s="245"/>
      <c r="E1094" s="245"/>
      <c r="F1094" s="245"/>
      <c r="G1094" s="245"/>
      <c r="H1094" s="245"/>
      <c r="I1094" s="245"/>
      <c r="J1094" s="245"/>
      <c r="K1094" s="245"/>
      <c r="L1094" s="246"/>
      <c r="M1094" s="245"/>
      <c r="N1094" s="245"/>
      <c r="O1094" s="245"/>
      <c r="P1094" s="245"/>
      <c r="Q1094" s="247"/>
      <c r="R1094" s="247"/>
      <c r="S1094" s="247"/>
      <c r="T1094" s="245"/>
      <c r="U1094" s="245"/>
      <c r="V1094" s="241"/>
      <c r="W1094" s="241"/>
      <c r="X1094" s="241"/>
    </row>
    <row r="1095" spans="1:24" ht="13.5" customHeight="1" x14ac:dyDescent="0.3">
      <c r="A1095" s="245"/>
      <c r="B1095" s="246"/>
      <c r="C1095" s="245"/>
      <c r="D1095" s="245"/>
      <c r="E1095" s="245"/>
      <c r="F1095" s="245"/>
      <c r="G1095" s="245"/>
      <c r="H1095" s="245"/>
      <c r="I1095" s="245"/>
      <c r="J1095" s="245"/>
      <c r="K1095" s="245"/>
      <c r="L1095" s="246"/>
      <c r="M1095" s="245"/>
      <c r="N1095" s="245"/>
      <c r="O1095" s="245"/>
      <c r="P1095" s="245"/>
      <c r="Q1095" s="247"/>
      <c r="R1095" s="247"/>
      <c r="S1095" s="247"/>
      <c r="T1095" s="245"/>
      <c r="U1095" s="245"/>
      <c r="V1095" s="241"/>
      <c r="W1095" s="241"/>
      <c r="X1095" s="241"/>
    </row>
    <row r="1096" spans="1:24" ht="13.5" customHeight="1" x14ac:dyDescent="0.3">
      <c r="A1096" s="245"/>
      <c r="B1096" s="246"/>
      <c r="C1096" s="245"/>
      <c r="D1096" s="245"/>
      <c r="E1096" s="245"/>
      <c r="F1096" s="245"/>
      <c r="G1096" s="245"/>
      <c r="H1096" s="245"/>
      <c r="I1096" s="245"/>
      <c r="J1096" s="245"/>
      <c r="K1096" s="245"/>
      <c r="L1096" s="246"/>
      <c r="M1096" s="245"/>
      <c r="N1096" s="245"/>
      <c r="O1096" s="245"/>
      <c r="P1096" s="245"/>
      <c r="Q1096" s="247"/>
      <c r="R1096" s="247"/>
      <c r="S1096" s="247"/>
      <c r="T1096" s="245"/>
      <c r="U1096" s="245"/>
      <c r="V1096" s="241"/>
      <c r="W1096" s="241"/>
      <c r="X1096" s="241"/>
    </row>
    <row r="1097" spans="1:24" ht="13.5" customHeight="1" x14ac:dyDescent="0.3">
      <c r="A1097" s="245"/>
      <c r="B1097" s="246"/>
      <c r="C1097" s="245"/>
      <c r="D1097" s="245"/>
      <c r="E1097" s="245"/>
      <c r="F1097" s="245"/>
      <c r="G1097" s="245"/>
      <c r="H1097" s="245"/>
      <c r="I1097" s="245"/>
      <c r="J1097" s="245"/>
      <c r="K1097" s="245"/>
      <c r="L1097" s="246"/>
      <c r="M1097" s="245"/>
      <c r="N1097" s="245"/>
      <c r="O1097" s="245"/>
      <c r="P1097" s="245"/>
      <c r="Q1097" s="247"/>
      <c r="R1097" s="247"/>
      <c r="S1097" s="247"/>
      <c r="T1097" s="245"/>
      <c r="U1097" s="245"/>
      <c r="V1097" s="241"/>
      <c r="W1097" s="241"/>
      <c r="X1097" s="241"/>
    </row>
    <row r="1098" spans="1:24" ht="13.5" customHeight="1" x14ac:dyDescent="0.3">
      <c r="A1098" s="245"/>
      <c r="B1098" s="246"/>
      <c r="C1098" s="245"/>
      <c r="D1098" s="245"/>
      <c r="E1098" s="245"/>
      <c r="F1098" s="245"/>
      <c r="G1098" s="245"/>
      <c r="H1098" s="245"/>
      <c r="I1098" s="245"/>
      <c r="J1098" s="245"/>
      <c r="K1098" s="245"/>
      <c r="L1098" s="246"/>
      <c r="M1098" s="245"/>
      <c r="N1098" s="245"/>
      <c r="O1098" s="245"/>
      <c r="P1098" s="245"/>
      <c r="Q1098" s="247"/>
      <c r="R1098" s="247"/>
      <c r="S1098" s="247"/>
      <c r="T1098" s="245"/>
      <c r="U1098" s="245"/>
      <c r="V1098" s="241"/>
      <c r="W1098" s="241"/>
      <c r="X1098" s="241"/>
    </row>
    <row r="1099" spans="1:24" ht="13.5" customHeight="1" x14ac:dyDescent="0.3">
      <c r="A1099" s="245"/>
      <c r="B1099" s="246"/>
      <c r="C1099" s="245"/>
      <c r="D1099" s="245"/>
      <c r="E1099" s="245"/>
      <c r="F1099" s="245"/>
      <c r="G1099" s="245"/>
      <c r="H1099" s="245"/>
      <c r="I1099" s="245"/>
      <c r="J1099" s="245"/>
      <c r="K1099" s="245"/>
      <c r="L1099" s="246"/>
      <c r="M1099" s="245"/>
      <c r="N1099" s="245"/>
      <c r="O1099" s="245"/>
      <c r="P1099" s="245"/>
      <c r="Q1099" s="247"/>
      <c r="R1099" s="247"/>
      <c r="S1099" s="247"/>
      <c r="T1099" s="245"/>
      <c r="U1099" s="245"/>
      <c r="V1099" s="241"/>
      <c r="W1099" s="241"/>
      <c r="X1099" s="241"/>
    </row>
    <row r="1100" spans="1:24" ht="13.5" customHeight="1" x14ac:dyDescent="0.3">
      <c r="A1100" s="245"/>
      <c r="B1100" s="246"/>
      <c r="C1100" s="245"/>
      <c r="D1100" s="245"/>
      <c r="E1100" s="245"/>
      <c r="F1100" s="245"/>
      <c r="G1100" s="245"/>
      <c r="H1100" s="245"/>
      <c r="I1100" s="245"/>
      <c r="J1100" s="245"/>
      <c r="K1100" s="245"/>
      <c r="L1100" s="246"/>
      <c r="M1100" s="245"/>
      <c r="N1100" s="245"/>
      <c r="O1100" s="245"/>
      <c r="P1100" s="245"/>
      <c r="Q1100" s="247"/>
      <c r="R1100" s="247"/>
      <c r="S1100" s="247"/>
      <c r="T1100" s="245"/>
      <c r="U1100" s="245"/>
      <c r="V1100" s="241"/>
      <c r="W1100" s="241"/>
      <c r="X1100" s="241"/>
    </row>
    <row r="1101" spans="1:24" ht="13.5" customHeight="1" x14ac:dyDescent="0.3">
      <c r="A1101" s="245"/>
      <c r="B1101" s="246"/>
      <c r="C1101" s="245"/>
      <c r="D1101" s="245"/>
      <c r="E1101" s="245"/>
      <c r="F1101" s="245"/>
      <c r="G1101" s="245"/>
      <c r="H1101" s="245"/>
      <c r="I1101" s="245"/>
      <c r="J1101" s="245"/>
      <c r="K1101" s="245"/>
      <c r="L1101" s="246"/>
      <c r="M1101" s="245"/>
      <c r="N1101" s="245"/>
      <c r="O1101" s="245"/>
      <c r="P1101" s="245"/>
      <c r="Q1101" s="247"/>
      <c r="R1101" s="247"/>
      <c r="S1101" s="247"/>
      <c r="T1101" s="245"/>
      <c r="U1101" s="245"/>
      <c r="V1101" s="241"/>
      <c r="W1101" s="241"/>
      <c r="X1101" s="241"/>
    </row>
    <row r="1102" spans="1:24" ht="13.5" customHeight="1" x14ac:dyDescent="0.3">
      <c r="A1102" s="245"/>
      <c r="B1102" s="246"/>
      <c r="C1102" s="245"/>
      <c r="D1102" s="245"/>
      <c r="E1102" s="245"/>
      <c r="F1102" s="245"/>
      <c r="G1102" s="245"/>
      <c r="H1102" s="245"/>
      <c r="I1102" s="245"/>
      <c r="J1102" s="245"/>
      <c r="K1102" s="245"/>
      <c r="L1102" s="246"/>
      <c r="M1102" s="245"/>
      <c r="N1102" s="245"/>
      <c r="O1102" s="245"/>
      <c r="P1102" s="245"/>
      <c r="Q1102" s="247"/>
      <c r="R1102" s="247"/>
      <c r="S1102" s="247"/>
      <c r="T1102" s="245"/>
      <c r="U1102" s="245"/>
      <c r="V1102" s="241"/>
      <c r="W1102" s="241"/>
      <c r="X1102" s="241"/>
    </row>
    <row r="1103" spans="1:24" ht="13.5" customHeight="1" x14ac:dyDescent="0.3">
      <c r="A1103" s="245"/>
      <c r="B1103" s="246"/>
      <c r="C1103" s="245"/>
      <c r="D1103" s="245"/>
      <c r="E1103" s="245"/>
      <c r="F1103" s="245"/>
      <c r="G1103" s="245"/>
      <c r="H1103" s="245"/>
      <c r="I1103" s="245"/>
      <c r="J1103" s="245"/>
      <c r="K1103" s="245"/>
      <c r="L1103" s="246"/>
      <c r="M1103" s="245"/>
      <c r="N1103" s="245"/>
      <c r="O1103" s="245"/>
      <c r="P1103" s="245"/>
      <c r="Q1103" s="247"/>
      <c r="R1103" s="247"/>
      <c r="S1103" s="247"/>
      <c r="T1103" s="245"/>
      <c r="U1103" s="245"/>
      <c r="V1103" s="241"/>
      <c r="W1103" s="241"/>
      <c r="X1103" s="241"/>
    </row>
    <row r="1104" spans="1:24" ht="13.5" customHeight="1" x14ac:dyDescent="0.3">
      <c r="A1104" s="245"/>
      <c r="B1104" s="246"/>
      <c r="C1104" s="245"/>
      <c r="D1104" s="245"/>
      <c r="E1104" s="245"/>
      <c r="F1104" s="245"/>
      <c r="G1104" s="245"/>
      <c r="H1104" s="245"/>
      <c r="I1104" s="245"/>
      <c r="J1104" s="245"/>
      <c r="K1104" s="245"/>
      <c r="L1104" s="246"/>
      <c r="M1104" s="245"/>
      <c r="N1104" s="245"/>
      <c r="O1104" s="245"/>
      <c r="P1104" s="245"/>
      <c r="Q1104" s="247"/>
      <c r="R1104" s="247"/>
      <c r="S1104" s="247"/>
      <c r="T1104" s="245"/>
      <c r="U1104" s="245"/>
      <c r="V1104" s="241"/>
      <c r="W1104" s="241"/>
      <c r="X1104" s="241"/>
    </row>
    <row r="1105" spans="1:24" ht="13.5" customHeight="1" x14ac:dyDescent="0.3">
      <c r="A1105" s="245"/>
      <c r="B1105" s="246"/>
      <c r="C1105" s="245"/>
      <c r="D1105" s="245"/>
      <c r="E1105" s="245"/>
      <c r="F1105" s="245"/>
      <c r="G1105" s="245"/>
      <c r="H1105" s="245"/>
      <c r="I1105" s="245"/>
      <c r="J1105" s="245"/>
      <c r="K1105" s="245"/>
      <c r="L1105" s="246"/>
      <c r="M1105" s="245"/>
      <c r="N1105" s="245"/>
      <c r="O1105" s="245"/>
      <c r="P1105" s="245"/>
      <c r="Q1105" s="247"/>
      <c r="R1105" s="247"/>
      <c r="S1105" s="247"/>
      <c r="T1105" s="245"/>
      <c r="U1105" s="245"/>
      <c r="V1105" s="241"/>
      <c r="W1105" s="241"/>
      <c r="X1105" s="241"/>
    </row>
    <row r="1106" spans="1:24" ht="13.5" customHeight="1" x14ac:dyDescent="0.3">
      <c r="A1106" s="245"/>
      <c r="B1106" s="246"/>
      <c r="C1106" s="245"/>
      <c r="D1106" s="245"/>
      <c r="E1106" s="245"/>
      <c r="F1106" s="245"/>
      <c r="G1106" s="245"/>
      <c r="H1106" s="245"/>
      <c r="I1106" s="245"/>
      <c r="J1106" s="245"/>
      <c r="K1106" s="245"/>
      <c r="L1106" s="246"/>
      <c r="M1106" s="245"/>
      <c r="N1106" s="245"/>
      <c r="O1106" s="245"/>
      <c r="P1106" s="245"/>
      <c r="Q1106" s="247"/>
      <c r="R1106" s="247"/>
      <c r="S1106" s="247"/>
      <c r="T1106" s="245"/>
      <c r="U1106" s="245"/>
      <c r="V1106" s="241"/>
      <c r="W1106" s="241"/>
      <c r="X1106" s="241"/>
    </row>
    <row r="1107" spans="1:24" ht="13.5" customHeight="1" x14ac:dyDescent="0.3">
      <c r="A1107" s="245"/>
      <c r="B1107" s="246"/>
      <c r="C1107" s="245"/>
      <c r="D1107" s="245"/>
      <c r="E1107" s="245"/>
      <c r="F1107" s="245"/>
      <c r="G1107" s="245"/>
      <c r="H1107" s="245"/>
      <c r="I1107" s="245"/>
      <c r="J1107" s="245"/>
      <c r="K1107" s="245"/>
      <c r="L1107" s="246"/>
      <c r="M1107" s="245"/>
      <c r="N1107" s="245"/>
      <c r="O1107" s="245"/>
      <c r="P1107" s="245"/>
      <c r="Q1107" s="247"/>
      <c r="R1107" s="247"/>
      <c r="S1107" s="247"/>
      <c r="T1107" s="245"/>
      <c r="U1107" s="245"/>
      <c r="V1107" s="241"/>
      <c r="W1107" s="241"/>
      <c r="X1107" s="241"/>
    </row>
    <row r="1108" spans="1:24" ht="13.5" customHeight="1" x14ac:dyDescent="0.3">
      <c r="A1108" s="245"/>
      <c r="B1108" s="246"/>
      <c r="C1108" s="245"/>
      <c r="D1108" s="245"/>
      <c r="E1108" s="245"/>
      <c r="F1108" s="245"/>
      <c r="G1108" s="245"/>
      <c r="H1108" s="245"/>
      <c r="I1108" s="245"/>
      <c r="J1108" s="245"/>
      <c r="K1108" s="245"/>
      <c r="L1108" s="246"/>
      <c r="M1108" s="245"/>
      <c r="N1108" s="245"/>
      <c r="O1108" s="245"/>
      <c r="P1108" s="245"/>
      <c r="Q1108" s="247"/>
      <c r="R1108" s="247"/>
      <c r="S1108" s="247"/>
      <c r="T1108" s="245"/>
      <c r="U1108" s="245"/>
      <c r="V1108" s="241"/>
      <c r="W1108" s="241"/>
      <c r="X1108" s="241"/>
    </row>
    <row r="1109" spans="1:24" ht="13.5" customHeight="1" x14ac:dyDescent="0.3">
      <c r="A1109" s="245"/>
      <c r="B1109" s="246"/>
      <c r="C1109" s="245"/>
      <c r="D1109" s="245"/>
      <c r="E1109" s="245"/>
      <c r="F1109" s="245"/>
      <c r="G1109" s="245"/>
      <c r="H1109" s="245"/>
      <c r="I1109" s="245"/>
      <c r="J1109" s="245"/>
      <c r="K1109" s="245"/>
      <c r="L1109" s="246"/>
      <c r="M1109" s="245"/>
      <c r="N1109" s="245"/>
      <c r="O1109" s="245"/>
      <c r="P1109" s="245"/>
      <c r="Q1109" s="247"/>
      <c r="R1109" s="247"/>
      <c r="S1109" s="247"/>
      <c r="T1109" s="245"/>
      <c r="U1109" s="245"/>
      <c r="V1109" s="241"/>
      <c r="W1109" s="241"/>
      <c r="X1109" s="241"/>
    </row>
    <row r="1110" spans="1:24" ht="13.5" customHeight="1" x14ac:dyDescent="0.3">
      <c r="A1110" s="245"/>
      <c r="B1110" s="246"/>
      <c r="C1110" s="245"/>
      <c r="D1110" s="245"/>
      <c r="E1110" s="245"/>
      <c r="F1110" s="245"/>
      <c r="G1110" s="245"/>
      <c r="H1110" s="245"/>
      <c r="I1110" s="245"/>
      <c r="J1110" s="245"/>
      <c r="K1110" s="245"/>
      <c r="L1110" s="246"/>
      <c r="M1110" s="245"/>
      <c r="N1110" s="245"/>
      <c r="O1110" s="245"/>
      <c r="P1110" s="245"/>
      <c r="Q1110" s="247"/>
      <c r="R1110" s="247"/>
      <c r="S1110" s="247"/>
      <c r="T1110" s="245"/>
      <c r="U1110" s="245"/>
      <c r="V1110" s="241"/>
      <c r="W1110" s="241"/>
      <c r="X1110" s="241"/>
    </row>
    <row r="1111" spans="1:24" ht="13.5" customHeight="1" x14ac:dyDescent="0.3">
      <c r="A1111" s="245"/>
      <c r="B1111" s="246"/>
      <c r="C1111" s="245"/>
      <c r="D1111" s="245"/>
      <c r="E1111" s="245"/>
      <c r="F1111" s="245"/>
      <c r="G1111" s="245"/>
      <c r="H1111" s="245"/>
      <c r="I1111" s="245"/>
      <c r="J1111" s="245"/>
      <c r="K1111" s="245"/>
      <c r="L1111" s="246"/>
      <c r="M1111" s="245"/>
      <c r="N1111" s="245"/>
      <c r="O1111" s="245"/>
      <c r="P1111" s="245"/>
      <c r="Q1111" s="247"/>
      <c r="R1111" s="247"/>
      <c r="S1111" s="247"/>
      <c r="T1111" s="245"/>
      <c r="U1111" s="245"/>
      <c r="V1111" s="241"/>
      <c r="W1111" s="241"/>
      <c r="X1111" s="241"/>
    </row>
    <row r="1112" spans="1:24" ht="13.5" customHeight="1" x14ac:dyDescent="0.3">
      <c r="A1112" s="245"/>
      <c r="B1112" s="246"/>
      <c r="C1112" s="245"/>
      <c r="D1112" s="245"/>
      <c r="E1112" s="245"/>
      <c r="F1112" s="245"/>
      <c r="G1112" s="245"/>
      <c r="H1112" s="245"/>
      <c r="I1112" s="245"/>
      <c r="J1112" s="245"/>
      <c r="K1112" s="245"/>
      <c r="L1112" s="246"/>
      <c r="M1112" s="245"/>
      <c r="N1112" s="245"/>
      <c r="O1112" s="245"/>
      <c r="P1112" s="245"/>
      <c r="Q1112" s="247"/>
      <c r="R1112" s="247"/>
      <c r="S1112" s="247"/>
      <c r="T1112" s="245"/>
      <c r="U1112" s="245"/>
      <c r="V1112" s="241"/>
      <c r="W1112" s="241"/>
      <c r="X1112" s="241"/>
    </row>
    <row r="1113" spans="1:24" ht="13.5" customHeight="1" x14ac:dyDescent="0.3">
      <c r="A1113" s="245"/>
      <c r="B1113" s="246"/>
      <c r="C1113" s="245"/>
      <c r="D1113" s="245"/>
      <c r="E1113" s="245"/>
      <c r="F1113" s="245"/>
      <c r="G1113" s="245"/>
      <c r="H1113" s="245"/>
      <c r="I1113" s="245"/>
      <c r="J1113" s="245"/>
      <c r="K1113" s="245"/>
      <c r="L1113" s="246"/>
      <c r="M1113" s="245"/>
      <c r="N1113" s="245"/>
      <c r="O1113" s="245"/>
      <c r="P1113" s="245"/>
      <c r="Q1113" s="247"/>
      <c r="R1113" s="247"/>
      <c r="S1113" s="247"/>
      <c r="T1113" s="245"/>
      <c r="U1113" s="245"/>
      <c r="V1113" s="241"/>
      <c r="W1113" s="241"/>
      <c r="X1113" s="241"/>
    </row>
    <row r="1114" spans="1:24" ht="13.5" customHeight="1" x14ac:dyDescent="0.3">
      <c r="A1114" s="245"/>
      <c r="B1114" s="246"/>
      <c r="C1114" s="245"/>
      <c r="D1114" s="245"/>
      <c r="E1114" s="245"/>
      <c r="F1114" s="245"/>
      <c r="G1114" s="245"/>
      <c r="H1114" s="245"/>
      <c r="I1114" s="245"/>
      <c r="J1114" s="245"/>
      <c r="K1114" s="245"/>
      <c r="L1114" s="246"/>
      <c r="M1114" s="245"/>
      <c r="N1114" s="245"/>
      <c r="O1114" s="245"/>
      <c r="P1114" s="245"/>
      <c r="Q1114" s="247"/>
      <c r="R1114" s="247"/>
      <c r="S1114" s="247"/>
      <c r="T1114" s="245"/>
      <c r="U1114" s="245"/>
      <c r="V1114" s="241"/>
      <c r="W1114" s="241"/>
      <c r="X1114" s="241"/>
    </row>
    <row r="1115" spans="1:24" ht="13.5" customHeight="1" x14ac:dyDescent="0.3">
      <c r="A1115" s="245"/>
      <c r="B1115" s="246"/>
      <c r="C1115" s="245"/>
      <c r="D1115" s="245"/>
      <c r="E1115" s="245"/>
      <c r="F1115" s="245"/>
      <c r="G1115" s="245"/>
      <c r="H1115" s="245"/>
      <c r="I1115" s="245"/>
      <c r="J1115" s="245"/>
      <c r="K1115" s="245"/>
      <c r="L1115" s="246"/>
      <c r="M1115" s="245"/>
      <c r="N1115" s="245"/>
      <c r="O1115" s="245"/>
      <c r="P1115" s="245"/>
      <c r="Q1115" s="247"/>
      <c r="R1115" s="247"/>
      <c r="S1115" s="247"/>
      <c r="T1115" s="245"/>
      <c r="U1115" s="245"/>
      <c r="V1115" s="241"/>
      <c r="W1115" s="241"/>
      <c r="X1115" s="241"/>
    </row>
    <row r="1116" spans="1:24" ht="13.5" customHeight="1" x14ac:dyDescent="0.3">
      <c r="A1116" s="245"/>
      <c r="B1116" s="246"/>
      <c r="C1116" s="245"/>
      <c r="D1116" s="245"/>
      <c r="E1116" s="245"/>
      <c r="F1116" s="245"/>
      <c r="G1116" s="245"/>
      <c r="H1116" s="245"/>
      <c r="I1116" s="245"/>
      <c r="J1116" s="245"/>
      <c r="K1116" s="245"/>
      <c r="L1116" s="246"/>
      <c r="M1116" s="245"/>
      <c r="N1116" s="245"/>
      <c r="O1116" s="245"/>
      <c r="P1116" s="245"/>
      <c r="Q1116" s="247"/>
      <c r="R1116" s="247"/>
      <c r="S1116" s="247"/>
      <c r="T1116" s="245"/>
      <c r="U1116" s="245"/>
      <c r="V1116" s="241"/>
      <c r="W1116" s="241"/>
      <c r="X1116" s="241"/>
    </row>
    <row r="1117" spans="1:24" ht="13.5" customHeight="1" x14ac:dyDescent="0.3">
      <c r="A1117" s="245"/>
      <c r="B1117" s="246"/>
      <c r="C1117" s="245"/>
      <c r="D1117" s="245"/>
      <c r="E1117" s="245"/>
      <c r="F1117" s="245"/>
      <c r="G1117" s="245"/>
      <c r="H1117" s="245"/>
      <c r="I1117" s="245"/>
      <c r="J1117" s="245"/>
      <c r="K1117" s="245"/>
      <c r="L1117" s="246"/>
      <c r="M1117" s="245"/>
      <c r="N1117" s="245"/>
      <c r="O1117" s="245"/>
      <c r="P1117" s="245"/>
      <c r="Q1117" s="247"/>
      <c r="R1117" s="247"/>
      <c r="S1117" s="247"/>
      <c r="T1117" s="245"/>
      <c r="U1117" s="245"/>
      <c r="V1117" s="241"/>
      <c r="W1117" s="241"/>
      <c r="X1117" s="241"/>
    </row>
    <row r="1118" spans="1:24" ht="13.5" customHeight="1" x14ac:dyDescent="0.3">
      <c r="A1118" s="245"/>
      <c r="B1118" s="246"/>
      <c r="C1118" s="245"/>
      <c r="D1118" s="245"/>
      <c r="E1118" s="245"/>
      <c r="F1118" s="245"/>
      <c r="G1118" s="245"/>
      <c r="H1118" s="245"/>
      <c r="I1118" s="245"/>
      <c r="J1118" s="245"/>
      <c r="K1118" s="245"/>
      <c r="L1118" s="246"/>
      <c r="M1118" s="245"/>
      <c r="N1118" s="245"/>
      <c r="O1118" s="245"/>
      <c r="P1118" s="245"/>
      <c r="Q1118" s="247"/>
      <c r="R1118" s="247"/>
      <c r="S1118" s="247"/>
      <c r="T1118" s="245"/>
      <c r="U1118" s="245"/>
      <c r="V1118" s="241"/>
      <c r="W1118" s="241"/>
      <c r="X1118" s="241"/>
    </row>
    <row r="1119" spans="1:24" ht="13.5" customHeight="1" x14ac:dyDescent="0.3">
      <c r="A1119" s="245"/>
      <c r="B1119" s="246"/>
      <c r="C1119" s="245"/>
      <c r="D1119" s="245"/>
      <c r="E1119" s="245"/>
      <c r="F1119" s="245"/>
      <c r="G1119" s="245"/>
      <c r="H1119" s="245"/>
      <c r="I1119" s="245"/>
      <c r="J1119" s="245"/>
      <c r="K1119" s="245"/>
      <c r="L1119" s="246"/>
      <c r="M1119" s="245"/>
      <c r="N1119" s="245"/>
      <c r="O1119" s="245"/>
      <c r="P1119" s="245"/>
      <c r="Q1119" s="247"/>
      <c r="R1119" s="247"/>
      <c r="S1119" s="247"/>
      <c r="T1119" s="245"/>
      <c r="U1119" s="245"/>
      <c r="V1119" s="241"/>
      <c r="W1119" s="241"/>
      <c r="X1119" s="241"/>
    </row>
    <row r="1120" spans="1:24" ht="13.5" customHeight="1" x14ac:dyDescent="0.3">
      <c r="A1120" s="245"/>
      <c r="B1120" s="246"/>
      <c r="C1120" s="245"/>
      <c r="D1120" s="245"/>
      <c r="E1120" s="245"/>
      <c r="F1120" s="245"/>
      <c r="G1120" s="245"/>
      <c r="H1120" s="245"/>
      <c r="I1120" s="245"/>
      <c r="J1120" s="245"/>
      <c r="K1120" s="245"/>
      <c r="L1120" s="246"/>
      <c r="M1120" s="245"/>
      <c r="N1120" s="245"/>
      <c r="O1120" s="245"/>
      <c r="P1120" s="245"/>
      <c r="Q1120" s="247"/>
      <c r="R1120" s="247"/>
      <c r="S1120" s="247"/>
      <c r="T1120" s="245"/>
      <c r="U1120" s="245"/>
      <c r="V1120" s="241"/>
      <c r="W1120" s="241"/>
      <c r="X1120" s="241"/>
    </row>
    <row r="1121" spans="1:24" ht="13.5" customHeight="1" x14ac:dyDescent="0.3">
      <c r="A1121" s="245"/>
      <c r="B1121" s="246"/>
      <c r="C1121" s="245"/>
      <c r="D1121" s="245"/>
      <c r="E1121" s="245"/>
      <c r="F1121" s="245"/>
      <c r="G1121" s="245"/>
      <c r="H1121" s="245"/>
      <c r="I1121" s="245"/>
      <c r="J1121" s="245"/>
      <c r="K1121" s="245"/>
      <c r="L1121" s="246"/>
      <c r="M1121" s="245"/>
      <c r="N1121" s="245"/>
      <c r="O1121" s="245"/>
      <c r="P1121" s="245"/>
      <c r="Q1121" s="247"/>
      <c r="R1121" s="247"/>
      <c r="S1121" s="247"/>
      <c r="T1121" s="245"/>
      <c r="U1121" s="245"/>
      <c r="V1121" s="241"/>
      <c r="W1121" s="241"/>
      <c r="X1121" s="241"/>
    </row>
    <row r="1122" spans="1:24" ht="13.5" customHeight="1" x14ac:dyDescent="0.3">
      <c r="A1122" s="245"/>
      <c r="B1122" s="246"/>
      <c r="C1122" s="245"/>
      <c r="D1122" s="245"/>
      <c r="E1122" s="245"/>
      <c r="F1122" s="245"/>
      <c r="G1122" s="245"/>
      <c r="H1122" s="245"/>
      <c r="I1122" s="245"/>
      <c r="J1122" s="245"/>
      <c r="K1122" s="245"/>
      <c r="L1122" s="246"/>
      <c r="M1122" s="245"/>
      <c r="N1122" s="245"/>
      <c r="O1122" s="245"/>
      <c r="P1122" s="245"/>
      <c r="Q1122" s="247"/>
      <c r="R1122" s="247"/>
      <c r="S1122" s="247"/>
      <c r="T1122" s="245"/>
      <c r="U1122" s="245"/>
      <c r="V1122" s="241"/>
      <c r="W1122" s="241"/>
      <c r="X1122" s="241"/>
    </row>
    <row r="1123" spans="1:24" ht="13.5" customHeight="1" x14ac:dyDescent="0.3">
      <c r="A1123" s="245"/>
      <c r="B1123" s="246"/>
      <c r="C1123" s="245"/>
      <c r="D1123" s="245"/>
      <c r="E1123" s="245"/>
      <c r="F1123" s="245"/>
      <c r="G1123" s="245"/>
      <c r="H1123" s="245"/>
      <c r="I1123" s="245"/>
      <c r="J1123" s="245"/>
      <c r="K1123" s="245"/>
      <c r="L1123" s="246"/>
      <c r="M1123" s="245"/>
      <c r="N1123" s="245"/>
      <c r="O1123" s="245"/>
      <c r="P1123" s="245"/>
      <c r="Q1123" s="247"/>
      <c r="R1123" s="247"/>
      <c r="S1123" s="247"/>
      <c r="T1123" s="245"/>
      <c r="U1123" s="245"/>
      <c r="V1123" s="241"/>
      <c r="W1123" s="241"/>
      <c r="X1123" s="241"/>
    </row>
    <row r="1124" spans="1:24" ht="13.5" customHeight="1" x14ac:dyDescent="0.3">
      <c r="A1124" s="245"/>
      <c r="B1124" s="246"/>
      <c r="C1124" s="245"/>
      <c r="D1124" s="245"/>
      <c r="E1124" s="245"/>
      <c r="F1124" s="245"/>
      <c r="G1124" s="245"/>
      <c r="H1124" s="245"/>
      <c r="I1124" s="245"/>
      <c r="J1124" s="245"/>
      <c r="K1124" s="245"/>
      <c r="L1124" s="246"/>
      <c r="M1124" s="245"/>
      <c r="N1124" s="245"/>
      <c r="O1124" s="245"/>
      <c r="P1124" s="245"/>
      <c r="Q1124" s="247"/>
      <c r="R1124" s="247"/>
      <c r="S1124" s="247"/>
      <c r="T1124" s="245"/>
      <c r="U1124" s="245"/>
      <c r="V1124" s="241"/>
      <c r="W1124" s="241"/>
      <c r="X1124" s="241"/>
    </row>
    <row r="1125" spans="1:24" ht="13.5" customHeight="1" x14ac:dyDescent="0.3">
      <c r="A1125" s="245"/>
      <c r="B1125" s="246"/>
      <c r="C1125" s="245"/>
      <c r="D1125" s="245"/>
      <c r="E1125" s="245"/>
      <c r="F1125" s="245"/>
      <c r="G1125" s="245"/>
      <c r="H1125" s="245"/>
      <c r="I1125" s="245"/>
      <c r="J1125" s="245"/>
      <c r="K1125" s="245"/>
      <c r="L1125" s="246"/>
      <c r="M1125" s="245"/>
      <c r="N1125" s="245"/>
      <c r="O1125" s="245"/>
      <c r="P1125" s="245"/>
      <c r="Q1125" s="247"/>
      <c r="R1125" s="247"/>
      <c r="S1125" s="247"/>
      <c r="T1125" s="245"/>
      <c r="U1125" s="245"/>
      <c r="V1125" s="241"/>
      <c r="W1125" s="241"/>
      <c r="X1125" s="241"/>
    </row>
    <row r="1126" spans="1:24" ht="13.5" customHeight="1" x14ac:dyDescent="0.3">
      <c r="A1126" s="245"/>
      <c r="B1126" s="246"/>
      <c r="C1126" s="245"/>
      <c r="D1126" s="245"/>
      <c r="E1126" s="245"/>
      <c r="F1126" s="245"/>
      <c r="G1126" s="245"/>
      <c r="H1126" s="245"/>
      <c r="I1126" s="245"/>
      <c r="J1126" s="245"/>
      <c r="K1126" s="245"/>
      <c r="L1126" s="246"/>
      <c r="M1126" s="245"/>
      <c r="N1126" s="245"/>
      <c r="O1126" s="245"/>
      <c r="P1126" s="245"/>
      <c r="Q1126" s="247"/>
      <c r="R1126" s="247"/>
      <c r="S1126" s="247"/>
      <c r="T1126" s="245"/>
      <c r="U1126" s="245"/>
      <c r="V1126" s="241"/>
      <c r="W1126" s="241"/>
      <c r="X1126" s="241"/>
    </row>
    <row r="1127" spans="1:24" ht="13.5" customHeight="1" x14ac:dyDescent="0.3">
      <c r="A1127" s="245"/>
      <c r="B1127" s="246"/>
      <c r="C1127" s="245"/>
      <c r="D1127" s="245"/>
      <c r="E1127" s="245"/>
      <c r="F1127" s="245"/>
      <c r="G1127" s="245"/>
      <c r="H1127" s="245"/>
      <c r="I1127" s="245"/>
      <c r="J1127" s="245"/>
      <c r="K1127" s="245"/>
      <c r="L1127" s="246"/>
      <c r="M1127" s="245"/>
      <c r="N1127" s="245"/>
      <c r="O1127" s="245"/>
      <c r="P1127" s="245"/>
      <c r="Q1127" s="247"/>
      <c r="R1127" s="247"/>
      <c r="S1127" s="247"/>
      <c r="T1127" s="245"/>
      <c r="U1127" s="245"/>
      <c r="V1127" s="241"/>
      <c r="W1127" s="241"/>
      <c r="X1127" s="241"/>
    </row>
    <row r="1128" spans="1:24" ht="13.5" customHeight="1" x14ac:dyDescent="0.3">
      <c r="A1128" s="245"/>
      <c r="B1128" s="246"/>
      <c r="C1128" s="245"/>
      <c r="D1128" s="245"/>
      <c r="E1128" s="245"/>
      <c r="F1128" s="245"/>
      <c r="G1128" s="245"/>
      <c r="H1128" s="245"/>
      <c r="I1128" s="245"/>
      <c r="J1128" s="245"/>
      <c r="K1128" s="245"/>
      <c r="L1128" s="246"/>
      <c r="M1128" s="245"/>
      <c r="N1128" s="245"/>
      <c r="O1128" s="245"/>
      <c r="P1128" s="245"/>
      <c r="Q1128" s="247"/>
      <c r="R1128" s="247"/>
      <c r="S1128" s="247"/>
      <c r="T1128" s="245"/>
      <c r="U1128" s="245"/>
      <c r="V1128" s="241"/>
      <c r="W1128" s="241"/>
      <c r="X1128" s="241"/>
    </row>
    <row r="1129" spans="1:24" ht="13.5" customHeight="1" x14ac:dyDescent="0.3">
      <c r="A1129" s="245"/>
      <c r="B1129" s="246"/>
      <c r="C1129" s="245"/>
      <c r="D1129" s="245"/>
      <c r="E1129" s="245"/>
      <c r="F1129" s="245"/>
      <c r="G1129" s="245"/>
      <c r="H1129" s="245"/>
      <c r="I1129" s="245"/>
      <c r="J1129" s="245"/>
      <c r="K1129" s="245"/>
      <c r="L1129" s="246"/>
      <c r="M1129" s="245"/>
      <c r="N1129" s="245"/>
      <c r="O1129" s="245"/>
      <c r="P1129" s="245"/>
      <c r="Q1129" s="247"/>
      <c r="R1129" s="247"/>
      <c r="S1129" s="247"/>
      <c r="T1129" s="245"/>
      <c r="U1129" s="245"/>
      <c r="V1129" s="241"/>
      <c r="W1129" s="241"/>
      <c r="X1129" s="241"/>
    </row>
    <row r="1130" spans="1:24" ht="13.5" customHeight="1" x14ac:dyDescent="0.3">
      <c r="A1130" s="245"/>
      <c r="B1130" s="246"/>
      <c r="C1130" s="245"/>
      <c r="D1130" s="245"/>
      <c r="E1130" s="245"/>
      <c r="F1130" s="245"/>
      <c r="G1130" s="245"/>
      <c r="H1130" s="245"/>
      <c r="I1130" s="245"/>
      <c r="J1130" s="245"/>
      <c r="K1130" s="245"/>
      <c r="L1130" s="246"/>
      <c r="M1130" s="245"/>
      <c r="N1130" s="245"/>
      <c r="O1130" s="245"/>
      <c r="P1130" s="245"/>
      <c r="Q1130" s="247"/>
      <c r="R1130" s="247"/>
      <c r="S1130" s="247"/>
      <c r="T1130" s="245"/>
      <c r="U1130" s="245"/>
      <c r="V1130" s="241"/>
      <c r="W1130" s="241"/>
      <c r="X1130" s="241"/>
    </row>
    <row r="1131" spans="1:24" ht="13.5" customHeight="1" x14ac:dyDescent="0.3">
      <c r="A1131" s="245"/>
      <c r="B1131" s="246"/>
      <c r="C1131" s="245"/>
      <c r="D1131" s="245"/>
      <c r="E1131" s="245"/>
      <c r="F1131" s="245"/>
      <c r="G1131" s="245"/>
      <c r="H1131" s="245"/>
      <c r="I1131" s="245"/>
      <c r="J1131" s="245"/>
      <c r="K1131" s="245"/>
      <c r="L1131" s="246"/>
      <c r="M1131" s="245"/>
      <c r="N1131" s="245"/>
      <c r="O1131" s="245"/>
      <c r="P1131" s="245"/>
      <c r="Q1131" s="247"/>
      <c r="R1131" s="247"/>
      <c r="S1131" s="247"/>
      <c r="T1131" s="245"/>
      <c r="U1131" s="245"/>
      <c r="V1131" s="241"/>
      <c r="W1131" s="241"/>
      <c r="X1131" s="241"/>
    </row>
    <row r="1132" spans="1:24" ht="13.5" customHeight="1" x14ac:dyDescent="0.3">
      <c r="A1132" s="245"/>
      <c r="B1132" s="246"/>
      <c r="C1132" s="245"/>
      <c r="D1132" s="245"/>
      <c r="E1132" s="245"/>
      <c r="F1132" s="245"/>
      <c r="G1132" s="245"/>
      <c r="H1132" s="245"/>
      <c r="I1132" s="245"/>
      <c r="J1132" s="245"/>
      <c r="K1132" s="245"/>
      <c r="L1132" s="246"/>
      <c r="M1132" s="245"/>
      <c r="N1132" s="245"/>
      <c r="O1132" s="245"/>
      <c r="P1132" s="245"/>
      <c r="Q1132" s="247"/>
      <c r="R1132" s="247"/>
      <c r="S1132" s="247"/>
      <c r="T1132" s="245"/>
      <c r="U1132" s="245"/>
      <c r="V1132" s="241"/>
      <c r="W1132" s="241"/>
      <c r="X1132" s="241"/>
    </row>
    <row r="1133" spans="1:24" ht="13.5" customHeight="1" x14ac:dyDescent="0.3">
      <c r="A1133" s="245"/>
      <c r="B1133" s="246"/>
      <c r="C1133" s="245"/>
      <c r="D1133" s="245"/>
      <c r="E1133" s="245"/>
      <c r="F1133" s="245"/>
      <c r="G1133" s="245"/>
      <c r="H1133" s="245"/>
      <c r="I1133" s="245"/>
      <c r="J1133" s="245"/>
      <c r="K1133" s="245"/>
      <c r="L1133" s="246"/>
      <c r="M1133" s="245"/>
      <c r="N1133" s="245"/>
      <c r="O1133" s="245"/>
      <c r="P1133" s="245"/>
      <c r="Q1133" s="247"/>
      <c r="R1133" s="247"/>
      <c r="S1133" s="247"/>
      <c r="T1133" s="245"/>
      <c r="U1133" s="245"/>
      <c r="V1133" s="241"/>
      <c r="W1133" s="241"/>
      <c r="X1133" s="241"/>
    </row>
    <row r="1134" spans="1:24" ht="13.5" customHeight="1" x14ac:dyDescent="0.3">
      <c r="A1134" s="245"/>
      <c r="B1134" s="246"/>
      <c r="C1134" s="245"/>
      <c r="D1134" s="245"/>
      <c r="E1134" s="245"/>
      <c r="F1134" s="245"/>
      <c r="G1134" s="245"/>
      <c r="H1134" s="245"/>
      <c r="I1134" s="245"/>
      <c r="J1134" s="245"/>
      <c r="K1134" s="245"/>
      <c r="L1134" s="246"/>
      <c r="M1134" s="245"/>
      <c r="N1134" s="245"/>
      <c r="O1134" s="245"/>
      <c r="P1134" s="245"/>
      <c r="Q1134" s="247"/>
      <c r="R1134" s="247"/>
      <c r="S1134" s="247"/>
      <c r="T1134" s="245"/>
      <c r="U1134" s="245"/>
      <c r="V1134" s="241"/>
      <c r="W1134" s="241"/>
      <c r="X1134" s="241"/>
    </row>
    <row r="1135" spans="1:24" ht="13.5" customHeight="1" x14ac:dyDescent="0.3">
      <c r="A1135" s="245"/>
      <c r="B1135" s="246"/>
      <c r="C1135" s="245"/>
      <c r="D1135" s="245"/>
      <c r="E1135" s="245"/>
      <c r="F1135" s="245"/>
      <c r="G1135" s="245"/>
      <c r="H1135" s="245"/>
      <c r="I1135" s="245"/>
      <c r="J1135" s="245"/>
      <c r="K1135" s="245"/>
      <c r="L1135" s="246"/>
      <c r="M1135" s="245"/>
      <c r="N1135" s="245"/>
      <c r="O1135" s="245"/>
      <c r="P1135" s="245"/>
      <c r="Q1135" s="247"/>
      <c r="R1135" s="247"/>
      <c r="S1135" s="247"/>
      <c r="T1135" s="245"/>
      <c r="U1135" s="245"/>
      <c r="V1135" s="241"/>
      <c r="W1135" s="241"/>
      <c r="X1135" s="241"/>
    </row>
    <row r="1136" spans="1:24" ht="13.5" customHeight="1" x14ac:dyDescent="0.3">
      <c r="A1136" s="245"/>
      <c r="B1136" s="246"/>
      <c r="C1136" s="245"/>
      <c r="D1136" s="245"/>
      <c r="E1136" s="245"/>
      <c r="F1136" s="245"/>
      <c r="G1136" s="245"/>
      <c r="H1136" s="245"/>
      <c r="I1136" s="245"/>
      <c r="J1136" s="245"/>
      <c r="K1136" s="245"/>
      <c r="L1136" s="246"/>
      <c r="M1136" s="245"/>
      <c r="N1136" s="245"/>
      <c r="O1136" s="245"/>
      <c r="P1136" s="245"/>
      <c r="Q1136" s="247"/>
      <c r="R1136" s="247"/>
      <c r="S1136" s="247"/>
      <c r="T1136" s="245"/>
      <c r="U1136" s="245"/>
      <c r="V1136" s="241"/>
      <c r="W1136" s="241"/>
      <c r="X1136" s="241"/>
    </row>
    <row r="1137" spans="1:24" ht="13.5" customHeight="1" x14ac:dyDescent="0.3">
      <c r="A1137" s="245"/>
      <c r="B1137" s="246"/>
      <c r="C1137" s="245"/>
      <c r="D1137" s="245"/>
      <c r="E1137" s="245"/>
      <c r="F1137" s="245"/>
      <c r="G1137" s="245"/>
      <c r="H1137" s="245"/>
      <c r="I1137" s="245"/>
      <c r="J1137" s="245"/>
      <c r="K1137" s="245"/>
      <c r="L1137" s="246"/>
      <c r="M1137" s="245"/>
      <c r="N1137" s="245"/>
      <c r="O1137" s="245"/>
      <c r="P1137" s="245"/>
      <c r="Q1137" s="247"/>
      <c r="R1137" s="247"/>
      <c r="S1137" s="247"/>
      <c r="T1137" s="245"/>
      <c r="U1137" s="245"/>
      <c r="V1137" s="241"/>
      <c r="W1137" s="241"/>
      <c r="X1137" s="241"/>
    </row>
    <row r="1138" spans="1:24" ht="13.5" customHeight="1" x14ac:dyDescent="0.3">
      <c r="A1138" s="245"/>
      <c r="B1138" s="246"/>
      <c r="C1138" s="245"/>
      <c r="D1138" s="245"/>
      <c r="E1138" s="245"/>
      <c r="F1138" s="245"/>
      <c r="G1138" s="245"/>
      <c r="H1138" s="245"/>
      <c r="I1138" s="245"/>
      <c r="J1138" s="245"/>
      <c r="K1138" s="245"/>
      <c r="L1138" s="246"/>
      <c r="M1138" s="245"/>
      <c r="N1138" s="245"/>
      <c r="O1138" s="245"/>
      <c r="P1138" s="245"/>
      <c r="Q1138" s="247"/>
      <c r="R1138" s="247"/>
      <c r="S1138" s="247"/>
      <c r="T1138" s="245"/>
      <c r="U1138" s="245"/>
      <c r="V1138" s="241"/>
      <c r="W1138" s="241"/>
      <c r="X1138" s="241"/>
    </row>
    <row r="1139" spans="1:24" ht="13.5" customHeight="1" x14ac:dyDescent="0.3">
      <c r="A1139" s="245"/>
      <c r="B1139" s="246"/>
      <c r="C1139" s="245"/>
      <c r="D1139" s="245"/>
      <c r="E1139" s="245"/>
      <c r="F1139" s="245"/>
      <c r="G1139" s="245"/>
      <c r="H1139" s="245"/>
      <c r="I1139" s="245"/>
      <c r="J1139" s="245"/>
      <c r="K1139" s="245"/>
      <c r="L1139" s="246"/>
      <c r="M1139" s="245"/>
      <c r="N1139" s="245"/>
      <c r="O1139" s="245"/>
      <c r="P1139" s="245"/>
      <c r="Q1139" s="247"/>
      <c r="R1139" s="247"/>
      <c r="S1139" s="247"/>
      <c r="T1139" s="245"/>
      <c r="U1139" s="245"/>
      <c r="V1139" s="241"/>
      <c r="W1139" s="241"/>
      <c r="X1139" s="241"/>
    </row>
    <row r="1140" spans="1:24" ht="13.5" customHeight="1" x14ac:dyDescent="0.3">
      <c r="A1140" s="245"/>
      <c r="B1140" s="246"/>
      <c r="C1140" s="245"/>
      <c r="D1140" s="245"/>
      <c r="E1140" s="245"/>
      <c r="F1140" s="245"/>
      <c r="G1140" s="245"/>
      <c r="H1140" s="245"/>
      <c r="I1140" s="245"/>
      <c r="J1140" s="245"/>
      <c r="K1140" s="245"/>
      <c r="L1140" s="246"/>
      <c r="M1140" s="245"/>
      <c r="N1140" s="245"/>
      <c r="O1140" s="245"/>
      <c r="P1140" s="245"/>
      <c r="Q1140" s="247"/>
      <c r="R1140" s="247"/>
      <c r="S1140" s="247"/>
      <c r="T1140" s="245"/>
      <c r="U1140" s="245"/>
      <c r="V1140" s="241"/>
      <c r="W1140" s="241"/>
      <c r="X1140" s="241"/>
    </row>
    <row r="1141" spans="1:24" ht="13.5" customHeight="1" x14ac:dyDescent="0.3">
      <c r="A1141" s="245"/>
      <c r="B1141" s="246"/>
      <c r="C1141" s="245"/>
      <c r="D1141" s="245"/>
      <c r="E1141" s="245"/>
      <c r="F1141" s="245"/>
      <c r="G1141" s="245"/>
      <c r="H1141" s="245"/>
      <c r="I1141" s="245"/>
      <c r="J1141" s="245"/>
      <c r="K1141" s="245"/>
      <c r="L1141" s="246"/>
      <c r="M1141" s="245"/>
      <c r="N1141" s="245"/>
      <c r="O1141" s="245"/>
      <c r="P1141" s="245"/>
      <c r="Q1141" s="247"/>
      <c r="R1141" s="247"/>
      <c r="S1141" s="247"/>
      <c r="T1141" s="245"/>
      <c r="U1141" s="245"/>
      <c r="V1141" s="241"/>
      <c r="W1141" s="241"/>
      <c r="X1141" s="241"/>
    </row>
    <row r="1142" spans="1:24" ht="13.5" customHeight="1" x14ac:dyDescent="0.3">
      <c r="A1142" s="245"/>
      <c r="B1142" s="246"/>
      <c r="C1142" s="245"/>
      <c r="D1142" s="245"/>
      <c r="E1142" s="245"/>
      <c r="F1142" s="245"/>
      <c r="G1142" s="245"/>
      <c r="H1142" s="245"/>
      <c r="I1142" s="245"/>
      <c r="J1142" s="245"/>
      <c r="K1142" s="245"/>
      <c r="L1142" s="246"/>
      <c r="M1142" s="245"/>
      <c r="N1142" s="245"/>
      <c r="O1142" s="245"/>
      <c r="P1142" s="245"/>
      <c r="Q1142" s="247"/>
      <c r="R1142" s="247"/>
      <c r="S1142" s="247"/>
      <c r="T1142" s="245"/>
      <c r="U1142" s="245"/>
      <c r="V1142" s="241"/>
      <c r="W1142" s="241"/>
      <c r="X1142" s="241"/>
    </row>
    <row r="1143" spans="1:24" ht="13.5" customHeight="1" x14ac:dyDescent="0.3">
      <c r="A1143" s="245"/>
      <c r="B1143" s="246"/>
      <c r="C1143" s="245"/>
      <c r="D1143" s="245"/>
      <c r="E1143" s="245"/>
      <c r="F1143" s="245"/>
      <c r="G1143" s="245"/>
      <c r="H1143" s="245"/>
      <c r="I1143" s="245"/>
      <c r="J1143" s="245"/>
      <c r="K1143" s="245"/>
      <c r="L1143" s="246"/>
      <c r="M1143" s="245"/>
      <c r="N1143" s="245"/>
      <c r="O1143" s="245"/>
      <c r="P1143" s="245"/>
      <c r="Q1143" s="247"/>
      <c r="R1143" s="247"/>
      <c r="S1143" s="247"/>
      <c r="T1143" s="245"/>
      <c r="U1143" s="245"/>
      <c r="V1143" s="241"/>
      <c r="W1143" s="241"/>
      <c r="X1143" s="241"/>
    </row>
    <row r="1144" spans="1:24" ht="13.5" customHeight="1" x14ac:dyDescent="0.3">
      <c r="A1144" s="245"/>
      <c r="B1144" s="246"/>
      <c r="C1144" s="245"/>
      <c r="D1144" s="245"/>
      <c r="E1144" s="245"/>
      <c r="F1144" s="245"/>
      <c r="G1144" s="245"/>
      <c r="H1144" s="245"/>
      <c r="I1144" s="245"/>
      <c r="J1144" s="245"/>
      <c r="K1144" s="245"/>
      <c r="L1144" s="246"/>
      <c r="M1144" s="245"/>
      <c r="N1144" s="245"/>
      <c r="O1144" s="245"/>
      <c r="P1144" s="245"/>
      <c r="Q1144" s="247"/>
      <c r="R1144" s="247"/>
      <c r="S1144" s="247"/>
      <c r="T1144" s="245"/>
      <c r="U1144" s="245"/>
      <c r="V1144" s="241"/>
      <c r="W1144" s="241"/>
      <c r="X1144" s="241"/>
    </row>
    <row r="1145" spans="1:24" ht="13.5" customHeight="1" x14ac:dyDescent="0.3">
      <c r="A1145" s="245"/>
      <c r="B1145" s="246"/>
      <c r="C1145" s="245"/>
      <c r="D1145" s="245"/>
      <c r="E1145" s="245"/>
      <c r="F1145" s="245"/>
      <c r="G1145" s="245"/>
      <c r="H1145" s="245"/>
      <c r="I1145" s="245"/>
      <c r="J1145" s="245"/>
      <c r="K1145" s="245"/>
      <c r="L1145" s="246"/>
      <c r="M1145" s="245"/>
      <c r="N1145" s="245"/>
      <c r="O1145" s="245"/>
      <c r="P1145" s="245"/>
      <c r="Q1145" s="247"/>
      <c r="R1145" s="247"/>
      <c r="S1145" s="247"/>
      <c r="T1145" s="245"/>
      <c r="U1145" s="245"/>
      <c r="V1145" s="241"/>
      <c r="W1145" s="241"/>
      <c r="X1145" s="241"/>
    </row>
    <row r="1146" spans="1:24" ht="13.5" customHeight="1" x14ac:dyDescent="0.3">
      <c r="A1146" s="245"/>
      <c r="B1146" s="246"/>
      <c r="C1146" s="245"/>
      <c r="D1146" s="245"/>
      <c r="E1146" s="245"/>
      <c r="F1146" s="245"/>
      <c r="G1146" s="245"/>
      <c r="H1146" s="245"/>
      <c r="I1146" s="245"/>
      <c r="J1146" s="245"/>
      <c r="K1146" s="245"/>
      <c r="L1146" s="246"/>
      <c r="M1146" s="245"/>
      <c r="N1146" s="245"/>
      <c r="O1146" s="245"/>
      <c r="P1146" s="245"/>
      <c r="Q1146" s="247"/>
      <c r="R1146" s="247"/>
      <c r="S1146" s="247"/>
      <c r="T1146" s="245"/>
      <c r="U1146" s="245"/>
      <c r="V1146" s="241"/>
      <c r="W1146" s="241"/>
      <c r="X1146" s="241"/>
    </row>
    <row r="1147" spans="1:24" ht="13.5" customHeight="1" x14ac:dyDescent="0.3">
      <c r="A1147" s="245"/>
      <c r="B1147" s="246"/>
      <c r="C1147" s="245"/>
      <c r="D1147" s="245"/>
      <c r="E1147" s="245"/>
      <c r="F1147" s="245"/>
      <c r="G1147" s="245"/>
      <c r="H1147" s="245"/>
      <c r="I1147" s="245"/>
      <c r="J1147" s="245"/>
      <c r="K1147" s="245"/>
      <c r="L1147" s="246"/>
      <c r="M1147" s="245"/>
      <c r="N1147" s="245"/>
      <c r="O1147" s="245"/>
      <c r="P1147" s="245"/>
      <c r="Q1147" s="247"/>
      <c r="R1147" s="247"/>
      <c r="S1147" s="247"/>
      <c r="T1147" s="245"/>
      <c r="U1147" s="245"/>
      <c r="V1147" s="241"/>
      <c r="W1147" s="241"/>
      <c r="X1147" s="241"/>
    </row>
    <row r="1148" spans="1:24" ht="13.5" customHeight="1" x14ac:dyDescent="0.3">
      <c r="A1148" s="245"/>
      <c r="B1148" s="246"/>
      <c r="C1148" s="245"/>
      <c r="D1148" s="245"/>
      <c r="E1148" s="245"/>
      <c r="F1148" s="245"/>
      <c r="G1148" s="245"/>
      <c r="H1148" s="245"/>
      <c r="I1148" s="245"/>
      <c r="J1148" s="245"/>
      <c r="K1148" s="245"/>
      <c r="L1148" s="246"/>
      <c r="M1148" s="245"/>
      <c r="N1148" s="245"/>
      <c r="O1148" s="245"/>
      <c r="P1148" s="245"/>
      <c r="Q1148" s="247"/>
      <c r="R1148" s="247"/>
      <c r="S1148" s="247"/>
      <c r="T1148" s="245"/>
      <c r="U1148" s="245"/>
      <c r="V1148" s="241"/>
      <c r="W1148" s="241"/>
      <c r="X1148" s="241"/>
    </row>
    <row r="1149" spans="1:24" ht="13.5" customHeight="1" x14ac:dyDescent="0.3">
      <c r="A1149" s="245"/>
      <c r="B1149" s="246"/>
      <c r="C1149" s="245"/>
      <c r="D1149" s="245"/>
      <c r="E1149" s="245"/>
      <c r="F1149" s="245"/>
      <c r="G1149" s="245"/>
      <c r="H1149" s="245"/>
      <c r="I1149" s="245"/>
      <c r="J1149" s="245"/>
      <c r="K1149" s="245"/>
      <c r="L1149" s="246"/>
      <c r="M1149" s="245"/>
      <c r="N1149" s="245"/>
      <c r="O1149" s="245"/>
      <c r="P1149" s="245"/>
      <c r="Q1149" s="247"/>
      <c r="R1149" s="247"/>
      <c r="S1149" s="247"/>
      <c r="T1149" s="245"/>
      <c r="U1149" s="245"/>
      <c r="V1149" s="241"/>
      <c r="W1149" s="241"/>
      <c r="X1149" s="241"/>
    </row>
    <row r="1150" spans="1:24" ht="13.5" customHeight="1" x14ac:dyDescent="0.3">
      <c r="A1150" s="245"/>
      <c r="B1150" s="246"/>
      <c r="C1150" s="245"/>
      <c r="D1150" s="245"/>
      <c r="E1150" s="245"/>
      <c r="F1150" s="245"/>
      <c r="G1150" s="245"/>
      <c r="H1150" s="245"/>
      <c r="I1150" s="245"/>
      <c r="J1150" s="245"/>
      <c r="K1150" s="245"/>
      <c r="L1150" s="246"/>
      <c r="M1150" s="245"/>
      <c r="N1150" s="245"/>
      <c r="O1150" s="245"/>
      <c r="P1150" s="245"/>
      <c r="Q1150" s="247"/>
      <c r="R1150" s="247"/>
      <c r="S1150" s="247"/>
      <c r="T1150" s="245"/>
      <c r="U1150" s="245"/>
      <c r="V1150" s="241"/>
      <c r="W1150" s="241"/>
      <c r="X1150" s="241"/>
    </row>
    <row r="1151" spans="1:24" ht="13.5" customHeight="1" x14ac:dyDescent="0.3">
      <c r="A1151" s="245"/>
      <c r="B1151" s="246"/>
      <c r="C1151" s="245"/>
      <c r="D1151" s="245"/>
      <c r="E1151" s="245"/>
      <c r="F1151" s="245"/>
      <c r="G1151" s="245"/>
      <c r="H1151" s="245"/>
      <c r="I1151" s="245"/>
      <c r="J1151" s="245"/>
      <c r="K1151" s="245"/>
      <c r="L1151" s="246"/>
      <c r="M1151" s="245"/>
      <c r="N1151" s="245"/>
      <c r="O1151" s="245"/>
      <c r="P1151" s="245"/>
      <c r="Q1151" s="247"/>
      <c r="R1151" s="247"/>
      <c r="S1151" s="247"/>
      <c r="T1151" s="245"/>
      <c r="U1151" s="245"/>
      <c r="V1151" s="241"/>
      <c r="W1151" s="241"/>
      <c r="X1151" s="241"/>
    </row>
    <row r="1152" spans="1:24" ht="13.5" customHeight="1" x14ac:dyDescent="0.3">
      <c r="A1152" s="245"/>
      <c r="B1152" s="246"/>
      <c r="C1152" s="245"/>
      <c r="D1152" s="245"/>
      <c r="E1152" s="245"/>
      <c r="F1152" s="245"/>
      <c r="G1152" s="245"/>
      <c r="H1152" s="245"/>
      <c r="I1152" s="245"/>
      <c r="J1152" s="245"/>
      <c r="K1152" s="245"/>
      <c r="L1152" s="246"/>
      <c r="M1152" s="245"/>
      <c r="N1152" s="245"/>
      <c r="O1152" s="245"/>
      <c r="P1152" s="245"/>
      <c r="Q1152" s="247"/>
      <c r="R1152" s="247"/>
      <c r="S1152" s="247"/>
      <c r="T1152" s="245"/>
      <c r="U1152" s="245"/>
      <c r="V1152" s="241"/>
      <c r="W1152" s="241"/>
      <c r="X1152" s="241"/>
    </row>
    <row r="1153" spans="1:24" ht="13.5" customHeight="1" x14ac:dyDescent="0.3">
      <c r="A1153" s="245"/>
      <c r="B1153" s="246"/>
      <c r="C1153" s="245"/>
      <c r="D1153" s="245"/>
      <c r="E1153" s="245"/>
      <c r="F1153" s="245"/>
      <c r="G1153" s="245"/>
      <c r="H1153" s="245"/>
      <c r="I1153" s="245"/>
      <c r="J1153" s="245"/>
      <c r="K1153" s="245"/>
      <c r="L1153" s="246"/>
      <c r="M1153" s="245"/>
      <c r="N1153" s="245"/>
      <c r="O1153" s="245"/>
      <c r="P1153" s="245"/>
      <c r="Q1153" s="247"/>
      <c r="R1153" s="247"/>
      <c r="S1153" s="247"/>
      <c r="T1153" s="245"/>
      <c r="U1153" s="245"/>
      <c r="V1153" s="241"/>
      <c r="W1153" s="241"/>
      <c r="X1153" s="241"/>
    </row>
    <row r="1154" spans="1:24" ht="13.5" customHeight="1" x14ac:dyDescent="0.3">
      <c r="A1154" s="245"/>
      <c r="B1154" s="246"/>
      <c r="C1154" s="245"/>
      <c r="D1154" s="245"/>
      <c r="E1154" s="245"/>
      <c r="F1154" s="245"/>
      <c r="G1154" s="245"/>
      <c r="H1154" s="245"/>
      <c r="I1154" s="245"/>
      <c r="J1154" s="245"/>
      <c r="K1154" s="245"/>
      <c r="L1154" s="246"/>
      <c r="M1154" s="245"/>
      <c r="N1154" s="245"/>
      <c r="O1154" s="245"/>
      <c r="P1154" s="245"/>
      <c r="Q1154" s="247"/>
      <c r="R1154" s="247"/>
      <c r="S1154" s="247"/>
      <c r="T1154" s="245"/>
      <c r="U1154" s="245"/>
      <c r="V1154" s="241"/>
      <c r="W1154" s="241"/>
      <c r="X1154" s="241"/>
    </row>
    <row r="1155" spans="1:24" ht="13.5" customHeight="1" x14ac:dyDescent="0.3">
      <c r="A1155" s="245"/>
      <c r="B1155" s="246"/>
      <c r="C1155" s="245"/>
      <c r="D1155" s="245"/>
      <c r="E1155" s="245"/>
      <c r="F1155" s="245"/>
      <c r="G1155" s="245"/>
      <c r="H1155" s="245"/>
      <c r="I1155" s="245"/>
      <c r="J1155" s="245"/>
      <c r="K1155" s="245"/>
      <c r="L1155" s="246"/>
      <c r="M1155" s="245"/>
      <c r="N1155" s="245"/>
      <c r="O1155" s="245"/>
      <c r="P1155" s="245"/>
      <c r="Q1155" s="247"/>
      <c r="R1155" s="247"/>
      <c r="S1155" s="247"/>
      <c r="T1155" s="245"/>
      <c r="U1155" s="245"/>
      <c r="V1155" s="241"/>
      <c r="W1155" s="241"/>
      <c r="X1155" s="241"/>
    </row>
    <row r="1156" spans="1:24" ht="13.5" customHeight="1" x14ac:dyDescent="0.3">
      <c r="A1156" s="245"/>
      <c r="B1156" s="246"/>
      <c r="C1156" s="245"/>
      <c r="D1156" s="245"/>
      <c r="E1156" s="245"/>
      <c r="F1156" s="245"/>
      <c r="G1156" s="245"/>
      <c r="H1156" s="245"/>
      <c r="I1156" s="245"/>
      <c r="J1156" s="245"/>
      <c r="K1156" s="245"/>
      <c r="L1156" s="246"/>
      <c r="M1156" s="245"/>
      <c r="N1156" s="245"/>
      <c r="O1156" s="245"/>
      <c r="P1156" s="245"/>
      <c r="Q1156" s="247"/>
      <c r="R1156" s="247"/>
      <c r="S1156" s="247"/>
      <c r="T1156" s="245"/>
      <c r="U1156" s="245"/>
      <c r="V1156" s="241"/>
      <c r="W1156" s="241"/>
      <c r="X1156" s="241"/>
    </row>
    <row r="1157" spans="1:24" ht="13.5" customHeight="1" x14ac:dyDescent="0.3">
      <c r="A1157" s="245"/>
      <c r="B1157" s="246"/>
      <c r="C1157" s="245"/>
      <c r="D1157" s="245"/>
      <c r="E1157" s="245"/>
      <c r="F1157" s="245"/>
      <c r="G1157" s="245"/>
      <c r="H1157" s="245"/>
      <c r="I1157" s="245"/>
      <c r="J1157" s="245"/>
      <c r="K1157" s="245"/>
      <c r="L1157" s="246"/>
      <c r="M1157" s="245"/>
      <c r="N1157" s="245"/>
      <c r="O1157" s="245"/>
      <c r="P1157" s="245"/>
      <c r="Q1157" s="247"/>
      <c r="R1157" s="247"/>
      <c r="S1157" s="247"/>
      <c r="T1157" s="245"/>
      <c r="U1157" s="245"/>
      <c r="V1157" s="241"/>
      <c r="W1157" s="241"/>
      <c r="X1157" s="241"/>
    </row>
    <row r="1158" spans="1:24" ht="13.5" customHeight="1" x14ac:dyDescent="0.3">
      <c r="A1158" s="245"/>
      <c r="B1158" s="246"/>
      <c r="C1158" s="245"/>
      <c r="D1158" s="245"/>
      <c r="E1158" s="245"/>
      <c r="F1158" s="245"/>
      <c r="G1158" s="245"/>
      <c r="H1158" s="245"/>
      <c r="I1158" s="245"/>
      <c r="J1158" s="245"/>
      <c r="K1158" s="245"/>
      <c r="L1158" s="246"/>
      <c r="M1158" s="245"/>
      <c r="N1158" s="245"/>
      <c r="O1158" s="245"/>
      <c r="P1158" s="245"/>
      <c r="Q1158" s="247"/>
      <c r="R1158" s="247"/>
      <c r="S1158" s="247"/>
      <c r="T1158" s="245"/>
      <c r="U1158" s="245"/>
      <c r="V1158" s="241"/>
      <c r="W1158" s="241"/>
      <c r="X1158" s="241"/>
    </row>
    <row r="1159" spans="1:24" ht="13.5" customHeight="1" x14ac:dyDescent="0.3">
      <c r="A1159" s="245"/>
      <c r="B1159" s="246"/>
      <c r="C1159" s="245"/>
      <c r="D1159" s="245"/>
      <c r="E1159" s="245"/>
      <c r="F1159" s="245"/>
      <c r="G1159" s="245"/>
      <c r="H1159" s="245"/>
      <c r="I1159" s="245"/>
      <c r="J1159" s="245"/>
      <c r="K1159" s="245"/>
      <c r="L1159" s="246"/>
      <c r="M1159" s="245"/>
      <c r="N1159" s="245"/>
      <c r="O1159" s="245"/>
      <c r="P1159" s="245"/>
      <c r="Q1159" s="247"/>
      <c r="R1159" s="247"/>
      <c r="S1159" s="247"/>
      <c r="T1159" s="245"/>
      <c r="U1159" s="245"/>
      <c r="V1159" s="241"/>
      <c r="W1159" s="241"/>
      <c r="X1159" s="241"/>
    </row>
    <row r="1160" spans="1:24" ht="13.5" customHeight="1" x14ac:dyDescent="0.3">
      <c r="A1160" s="245"/>
      <c r="B1160" s="246"/>
      <c r="C1160" s="245"/>
      <c r="D1160" s="245"/>
      <c r="E1160" s="245"/>
      <c r="F1160" s="245"/>
      <c r="G1160" s="245"/>
      <c r="H1160" s="245"/>
      <c r="I1160" s="245"/>
      <c r="J1160" s="245"/>
      <c r="K1160" s="245"/>
      <c r="L1160" s="246"/>
      <c r="M1160" s="245"/>
      <c r="N1160" s="245"/>
      <c r="O1160" s="245"/>
      <c r="P1160" s="245"/>
      <c r="Q1160" s="247"/>
      <c r="R1160" s="247"/>
      <c r="S1160" s="247"/>
      <c r="T1160" s="245"/>
      <c r="U1160" s="245"/>
      <c r="V1160" s="241"/>
      <c r="W1160" s="241"/>
      <c r="X1160" s="241"/>
    </row>
    <row r="1161" spans="1:24" ht="13.5" customHeight="1" x14ac:dyDescent="0.3">
      <c r="A1161" s="245"/>
      <c r="B1161" s="246"/>
      <c r="C1161" s="245"/>
      <c r="D1161" s="245"/>
      <c r="E1161" s="245"/>
      <c r="F1161" s="245"/>
      <c r="G1161" s="245"/>
      <c r="H1161" s="245"/>
      <c r="I1161" s="245"/>
      <c r="J1161" s="245"/>
      <c r="K1161" s="245"/>
      <c r="L1161" s="246"/>
      <c r="M1161" s="245"/>
      <c r="N1161" s="245"/>
      <c r="O1161" s="245"/>
      <c r="P1161" s="245"/>
      <c r="Q1161" s="247"/>
      <c r="R1161" s="247"/>
      <c r="S1161" s="247"/>
      <c r="T1161" s="245"/>
      <c r="U1161" s="245"/>
      <c r="V1161" s="241"/>
      <c r="W1161" s="241"/>
      <c r="X1161" s="241"/>
    </row>
    <row r="1162" spans="1:24" ht="13.5" customHeight="1" x14ac:dyDescent="0.3">
      <c r="A1162" s="245"/>
      <c r="B1162" s="246"/>
      <c r="C1162" s="245"/>
      <c r="D1162" s="245"/>
      <c r="E1162" s="245"/>
      <c r="F1162" s="245"/>
      <c r="G1162" s="245"/>
      <c r="H1162" s="245"/>
      <c r="I1162" s="245"/>
      <c r="J1162" s="245"/>
      <c r="K1162" s="245"/>
      <c r="L1162" s="246"/>
      <c r="M1162" s="245"/>
      <c r="N1162" s="245"/>
      <c r="O1162" s="245"/>
      <c r="P1162" s="245"/>
      <c r="Q1162" s="247"/>
      <c r="R1162" s="247"/>
      <c r="S1162" s="247"/>
      <c r="T1162" s="245"/>
      <c r="U1162" s="245"/>
      <c r="V1162" s="241"/>
      <c r="W1162" s="241"/>
      <c r="X1162" s="241"/>
    </row>
    <row r="1163" spans="1:24" ht="13.5" customHeight="1" x14ac:dyDescent="0.3">
      <c r="A1163" s="245"/>
      <c r="B1163" s="246"/>
      <c r="C1163" s="245"/>
      <c r="D1163" s="245"/>
      <c r="E1163" s="245"/>
      <c r="F1163" s="245"/>
      <c r="G1163" s="245"/>
      <c r="H1163" s="245"/>
      <c r="I1163" s="245"/>
      <c r="J1163" s="245"/>
      <c r="K1163" s="245"/>
      <c r="L1163" s="246"/>
      <c r="M1163" s="245"/>
      <c r="N1163" s="245"/>
      <c r="O1163" s="245"/>
      <c r="P1163" s="245"/>
      <c r="Q1163" s="247"/>
      <c r="R1163" s="247"/>
      <c r="S1163" s="247"/>
      <c r="T1163" s="245"/>
      <c r="U1163" s="245"/>
      <c r="V1163" s="241"/>
      <c r="W1163" s="241"/>
      <c r="X1163" s="241"/>
    </row>
    <row r="1164" spans="1:24" ht="13.5" customHeight="1" x14ac:dyDescent="0.3">
      <c r="A1164" s="245"/>
      <c r="B1164" s="246"/>
      <c r="C1164" s="245"/>
      <c r="D1164" s="245"/>
      <c r="E1164" s="245"/>
      <c r="F1164" s="245"/>
      <c r="G1164" s="245"/>
      <c r="H1164" s="245"/>
      <c r="I1164" s="245"/>
      <c r="J1164" s="245"/>
      <c r="K1164" s="245"/>
      <c r="L1164" s="246"/>
      <c r="M1164" s="245"/>
      <c r="N1164" s="245"/>
      <c r="O1164" s="245"/>
      <c r="P1164" s="245"/>
      <c r="Q1164" s="247"/>
      <c r="R1164" s="247"/>
      <c r="S1164" s="247"/>
      <c r="T1164" s="245"/>
      <c r="U1164" s="245"/>
      <c r="V1164" s="241"/>
      <c r="W1164" s="241"/>
      <c r="X1164" s="241"/>
    </row>
    <row r="1165" spans="1:24" ht="13.5" customHeight="1" x14ac:dyDescent="0.3">
      <c r="A1165" s="245"/>
      <c r="B1165" s="246"/>
      <c r="C1165" s="245"/>
      <c r="D1165" s="245"/>
      <c r="E1165" s="245"/>
      <c r="F1165" s="245"/>
      <c r="G1165" s="245"/>
      <c r="H1165" s="245"/>
      <c r="I1165" s="245"/>
      <c r="J1165" s="245"/>
      <c r="K1165" s="245"/>
      <c r="L1165" s="246"/>
      <c r="M1165" s="245"/>
      <c r="N1165" s="245"/>
      <c r="O1165" s="245"/>
      <c r="P1165" s="245"/>
      <c r="Q1165" s="247"/>
      <c r="R1165" s="247"/>
      <c r="S1165" s="247"/>
      <c r="T1165" s="245"/>
      <c r="U1165" s="245"/>
      <c r="V1165" s="241"/>
      <c r="W1165" s="241"/>
      <c r="X1165" s="241"/>
    </row>
    <row r="1166" spans="1:24" ht="13.5" customHeight="1" x14ac:dyDescent="0.3">
      <c r="A1166" s="245"/>
      <c r="B1166" s="246"/>
      <c r="C1166" s="245"/>
      <c r="D1166" s="245"/>
      <c r="E1166" s="245"/>
      <c r="F1166" s="245"/>
      <c r="G1166" s="245"/>
      <c r="H1166" s="245"/>
      <c r="I1166" s="245"/>
      <c r="J1166" s="245"/>
      <c r="K1166" s="245"/>
      <c r="L1166" s="246"/>
      <c r="M1166" s="245"/>
      <c r="N1166" s="245"/>
      <c r="O1166" s="245"/>
      <c r="P1166" s="245"/>
      <c r="Q1166" s="247"/>
      <c r="R1166" s="247"/>
      <c r="S1166" s="247"/>
      <c r="T1166" s="245"/>
      <c r="U1166" s="245"/>
      <c r="V1166" s="241"/>
      <c r="W1166" s="241"/>
      <c r="X1166" s="241"/>
    </row>
    <row r="1167" spans="1:24" ht="13.5" customHeight="1" x14ac:dyDescent="0.3">
      <c r="A1167" s="245"/>
      <c r="B1167" s="246"/>
      <c r="C1167" s="245"/>
      <c r="D1167" s="245"/>
      <c r="E1167" s="245"/>
      <c r="F1167" s="245"/>
      <c r="G1167" s="245"/>
      <c r="H1167" s="245"/>
      <c r="I1167" s="245"/>
      <c r="J1167" s="245"/>
      <c r="K1167" s="245"/>
      <c r="L1167" s="246"/>
      <c r="M1167" s="245"/>
      <c r="N1167" s="245"/>
      <c r="O1167" s="245"/>
      <c r="P1167" s="245"/>
      <c r="Q1167" s="247"/>
      <c r="R1167" s="247"/>
      <c r="S1167" s="247"/>
      <c r="T1167" s="245"/>
      <c r="U1167" s="245"/>
      <c r="V1167" s="241"/>
      <c r="W1167" s="241"/>
      <c r="X1167" s="241"/>
    </row>
    <row r="1168" spans="1:24" ht="13.5" customHeight="1" x14ac:dyDescent="0.3">
      <c r="A1168" s="245"/>
      <c r="B1168" s="246"/>
      <c r="C1168" s="245"/>
      <c r="D1168" s="245"/>
      <c r="E1168" s="245"/>
      <c r="F1168" s="245"/>
      <c r="G1168" s="245"/>
      <c r="H1168" s="245"/>
      <c r="I1168" s="245"/>
      <c r="J1168" s="245"/>
      <c r="K1168" s="245"/>
      <c r="L1168" s="246"/>
      <c r="M1168" s="245"/>
      <c r="N1168" s="245"/>
      <c r="O1168" s="245"/>
      <c r="P1168" s="245"/>
      <c r="Q1168" s="247"/>
      <c r="R1168" s="247"/>
      <c r="S1168" s="247"/>
      <c r="T1168" s="245"/>
      <c r="U1168" s="245"/>
      <c r="V1168" s="241"/>
      <c r="W1168" s="241"/>
      <c r="X1168" s="241"/>
    </row>
    <row r="1169" spans="1:24" ht="13.5" customHeight="1" x14ac:dyDescent="0.3">
      <c r="A1169" s="245"/>
      <c r="B1169" s="246"/>
      <c r="C1169" s="245"/>
      <c r="D1169" s="245"/>
      <c r="E1169" s="245"/>
      <c r="F1169" s="245"/>
      <c r="G1169" s="245"/>
      <c r="H1169" s="245"/>
      <c r="I1169" s="245"/>
      <c r="J1169" s="245"/>
      <c r="K1169" s="245"/>
      <c r="L1169" s="246"/>
      <c r="M1169" s="245"/>
      <c r="N1169" s="245"/>
      <c r="O1169" s="245"/>
      <c r="P1169" s="245"/>
      <c r="Q1169" s="247"/>
      <c r="R1169" s="247"/>
      <c r="S1169" s="247"/>
      <c r="T1169" s="245"/>
      <c r="U1169" s="245"/>
      <c r="V1169" s="241"/>
      <c r="W1169" s="241"/>
      <c r="X1169" s="241"/>
    </row>
    <row r="1170" spans="1:24" ht="13.5" customHeight="1" x14ac:dyDescent="0.3">
      <c r="A1170" s="245"/>
      <c r="B1170" s="246"/>
      <c r="C1170" s="245"/>
      <c r="D1170" s="245"/>
      <c r="E1170" s="245"/>
      <c r="F1170" s="245"/>
      <c r="G1170" s="245"/>
      <c r="H1170" s="245"/>
      <c r="I1170" s="245"/>
      <c r="J1170" s="245"/>
      <c r="K1170" s="245"/>
      <c r="L1170" s="246"/>
      <c r="M1170" s="245"/>
      <c r="N1170" s="245"/>
      <c r="O1170" s="245"/>
      <c r="P1170" s="245"/>
      <c r="Q1170" s="247"/>
      <c r="R1170" s="247"/>
      <c r="S1170" s="247"/>
      <c r="T1170" s="245"/>
      <c r="U1170" s="245"/>
      <c r="V1170" s="241"/>
      <c r="W1170" s="241"/>
      <c r="X1170" s="241"/>
    </row>
    <row r="1171" spans="1:24" ht="13.5" customHeight="1" x14ac:dyDescent="0.3">
      <c r="A1171" s="245"/>
      <c r="B1171" s="246"/>
      <c r="C1171" s="245"/>
      <c r="D1171" s="245"/>
      <c r="E1171" s="245"/>
      <c r="F1171" s="245"/>
      <c r="G1171" s="245"/>
      <c r="H1171" s="245"/>
      <c r="I1171" s="245"/>
      <c r="J1171" s="245"/>
      <c r="K1171" s="245"/>
      <c r="L1171" s="246"/>
      <c r="M1171" s="245"/>
      <c r="N1171" s="245"/>
      <c r="O1171" s="245"/>
      <c r="P1171" s="245"/>
      <c r="Q1171" s="247"/>
      <c r="R1171" s="247"/>
      <c r="S1171" s="247"/>
      <c r="T1171" s="245"/>
      <c r="U1171" s="245"/>
      <c r="V1171" s="241"/>
      <c r="W1171" s="241"/>
      <c r="X1171" s="241"/>
    </row>
    <row r="1172" spans="1:24" ht="13.5" customHeight="1" x14ac:dyDescent="0.3">
      <c r="A1172" s="245"/>
      <c r="B1172" s="246"/>
      <c r="C1172" s="245"/>
      <c r="D1172" s="245"/>
      <c r="E1172" s="245"/>
      <c r="F1172" s="245"/>
      <c r="G1172" s="245"/>
      <c r="H1172" s="245"/>
      <c r="I1172" s="245"/>
      <c r="J1172" s="245"/>
      <c r="K1172" s="245"/>
      <c r="L1172" s="246"/>
      <c r="M1172" s="245"/>
      <c r="N1172" s="245"/>
      <c r="O1172" s="245"/>
      <c r="P1172" s="245"/>
      <c r="Q1172" s="247"/>
      <c r="R1172" s="247"/>
      <c r="S1172" s="247"/>
      <c r="T1172" s="245"/>
      <c r="U1172" s="245"/>
      <c r="V1172" s="241"/>
      <c r="W1172" s="241"/>
      <c r="X1172" s="241"/>
    </row>
    <row r="1173" spans="1:24" ht="13.5" customHeight="1" x14ac:dyDescent="0.3">
      <c r="A1173" s="245"/>
      <c r="B1173" s="246"/>
      <c r="C1173" s="245"/>
      <c r="D1173" s="245"/>
      <c r="E1173" s="245"/>
      <c r="F1173" s="245"/>
      <c r="G1173" s="245"/>
      <c r="H1173" s="245"/>
      <c r="I1173" s="245"/>
      <c r="J1173" s="245"/>
      <c r="K1173" s="245"/>
      <c r="L1173" s="246"/>
      <c r="M1173" s="245"/>
      <c r="N1173" s="245"/>
      <c r="O1173" s="245"/>
      <c r="P1173" s="245"/>
      <c r="Q1173" s="247"/>
      <c r="R1173" s="247"/>
      <c r="S1173" s="247"/>
      <c r="T1173" s="245"/>
      <c r="U1173" s="245"/>
      <c r="V1173" s="241"/>
      <c r="W1173" s="241"/>
      <c r="X1173" s="241"/>
    </row>
    <row r="1174" spans="1:24" ht="13.5" customHeight="1" x14ac:dyDescent="0.3">
      <c r="A1174" s="245"/>
      <c r="B1174" s="246"/>
      <c r="C1174" s="245"/>
      <c r="D1174" s="245"/>
      <c r="E1174" s="245"/>
      <c r="F1174" s="245"/>
      <c r="G1174" s="245"/>
      <c r="H1174" s="245"/>
      <c r="I1174" s="245"/>
      <c r="J1174" s="245"/>
      <c r="K1174" s="245"/>
      <c r="L1174" s="246"/>
      <c r="M1174" s="245"/>
      <c r="N1174" s="245"/>
      <c r="O1174" s="245"/>
      <c r="P1174" s="245"/>
      <c r="Q1174" s="247"/>
      <c r="R1174" s="247"/>
      <c r="S1174" s="247"/>
      <c r="T1174" s="245"/>
      <c r="U1174" s="245"/>
      <c r="V1174" s="241"/>
      <c r="W1174" s="241"/>
      <c r="X1174" s="241"/>
    </row>
    <row r="1175" spans="1:24" ht="13.5" customHeight="1" x14ac:dyDescent="0.3">
      <c r="A1175" s="245"/>
      <c r="B1175" s="246"/>
      <c r="C1175" s="245"/>
      <c r="D1175" s="245"/>
      <c r="E1175" s="245"/>
      <c r="F1175" s="245"/>
      <c r="G1175" s="245"/>
      <c r="H1175" s="245"/>
      <c r="I1175" s="245"/>
      <c r="J1175" s="245"/>
      <c r="K1175" s="245"/>
      <c r="L1175" s="246"/>
      <c r="M1175" s="245"/>
      <c r="N1175" s="245"/>
      <c r="O1175" s="245"/>
      <c r="P1175" s="245"/>
      <c r="Q1175" s="247"/>
      <c r="R1175" s="247"/>
      <c r="S1175" s="247"/>
      <c r="T1175" s="245"/>
      <c r="U1175" s="245"/>
      <c r="V1175" s="241"/>
      <c r="W1175" s="241"/>
      <c r="X1175" s="241"/>
    </row>
    <row r="1176" spans="1:24" ht="13.5" customHeight="1" x14ac:dyDescent="0.3">
      <c r="A1176" s="245"/>
      <c r="B1176" s="246"/>
      <c r="C1176" s="245"/>
      <c r="D1176" s="245"/>
      <c r="E1176" s="245"/>
      <c r="F1176" s="245"/>
      <c r="G1176" s="245"/>
      <c r="H1176" s="245"/>
      <c r="I1176" s="245"/>
      <c r="J1176" s="245"/>
      <c r="K1176" s="245"/>
      <c r="L1176" s="246"/>
      <c r="M1176" s="245"/>
      <c r="N1176" s="245"/>
      <c r="O1176" s="245"/>
      <c r="P1176" s="245"/>
      <c r="Q1176" s="247"/>
      <c r="R1176" s="247"/>
      <c r="S1176" s="247"/>
      <c r="T1176" s="245"/>
      <c r="U1176" s="245"/>
      <c r="V1176" s="241"/>
      <c r="W1176" s="241"/>
      <c r="X1176" s="241"/>
    </row>
    <row r="1177" spans="1:24" ht="13.5" customHeight="1" x14ac:dyDescent="0.3">
      <c r="A1177" s="245"/>
      <c r="B1177" s="246"/>
      <c r="C1177" s="245"/>
      <c r="D1177" s="245"/>
      <c r="E1177" s="245"/>
      <c r="F1177" s="245"/>
      <c r="G1177" s="245"/>
      <c r="H1177" s="245"/>
      <c r="I1177" s="245"/>
      <c r="J1177" s="245"/>
      <c r="K1177" s="245"/>
      <c r="L1177" s="246"/>
      <c r="M1177" s="245"/>
      <c r="N1177" s="245"/>
      <c r="O1177" s="245"/>
      <c r="P1177" s="245"/>
      <c r="Q1177" s="247"/>
      <c r="R1177" s="247"/>
      <c r="S1177" s="247"/>
      <c r="T1177" s="245"/>
      <c r="U1177" s="245"/>
      <c r="V1177" s="241"/>
      <c r="W1177" s="241"/>
      <c r="X1177" s="241"/>
    </row>
    <row r="1178" spans="1:24" ht="13.5" customHeight="1" x14ac:dyDescent="0.3">
      <c r="A1178" s="245"/>
      <c r="B1178" s="246"/>
      <c r="C1178" s="245"/>
      <c r="D1178" s="245"/>
      <c r="E1178" s="245"/>
      <c r="F1178" s="245"/>
      <c r="G1178" s="245"/>
      <c r="H1178" s="245"/>
      <c r="I1178" s="245"/>
      <c r="J1178" s="245"/>
      <c r="K1178" s="245"/>
      <c r="L1178" s="246"/>
      <c r="M1178" s="245"/>
      <c r="N1178" s="245"/>
      <c r="O1178" s="245"/>
      <c r="P1178" s="245"/>
      <c r="Q1178" s="247"/>
      <c r="R1178" s="247"/>
      <c r="S1178" s="247"/>
      <c r="T1178" s="245"/>
      <c r="U1178" s="245"/>
      <c r="V1178" s="241"/>
      <c r="W1178" s="241"/>
      <c r="X1178" s="241"/>
    </row>
    <row r="1179" spans="1:24" ht="13.5" customHeight="1" x14ac:dyDescent="0.3">
      <c r="A1179" s="245"/>
      <c r="B1179" s="246"/>
      <c r="C1179" s="245"/>
      <c r="D1179" s="245"/>
      <c r="E1179" s="245"/>
      <c r="F1179" s="245"/>
      <c r="G1179" s="245"/>
      <c r="H1179" s="245"/>
      <c r="I1179" s="245"/>
      <c r="J1179" s="245"/>
      <c r="K1179" s="245"/>
      <c r="L1179" s="246"/>
      <c r="M1179" s="245"/>
      <c r="N1179" s="245"/>
      <c r="O1179" s="245"/>
      <c r="P1179" s="245"/>
      <c r="Q1179" s="247"/>
      <c r="R1179" s="247"/>
      <c r="S1179" s="247"/>
      <c r="T1179" s="245"/>
      <c r="U1179" s="245"/>
      <c r="V1179" s="241"/>
      <c r="W1179" s="241"/>
      <c r="X1179" s="241"/>
    </row>
    <row r="1180" spans="1:24" ht="13.5" customHeight="1" x14ac:dyDescent="0.3">
      <c r="A1180" s="245"/>
      <c r="B1180" s="246"/>
      <c r="C1180" s="245"/>
      <c r="D1180" s="245"/>
      <c r="E1180" s="245"/>
      <c r="F1180" s="245"/>
      <c r="G1180" s="245"/>
      <c r="H1180" s="245"/>
      <c r="I1180" s="245"/>
      <c r="J1180" s="245"/>
      <c r="K1180" s="245"/>
      <c r="L1180" s="246"/>
      <c r="M1180" s="245"/>
      <c r="N1180" s="245"/>
      <c r="O1180" s="245"/>
      <c r="P1180" s="245"/>
      <c r="Q1180" s="247"/>
      <c r="R1180" s="247"/>
      <c r="S1180" s="247"/>
      <c r="T1180" s="245"/>
      <c r="U1180" s="245"/>
      <c r="V1180" s="241"/>
      <c r="W1180" s="241"/>
      <c r="X1180" s="241"/>
    </row>
    <row r="1181" spans="1:24" ht="13.5" customHeight="1" x14ac:dyDescent="0.3">
      <c r="A1181" s="245"/>
      <c r="B1181" s="246"/>
      <c r="C1181" s="245"/>
      <c r="D1181" s="245"/>
      <c r="E1181" s="245"/>
      <c r="F1181" s="245"/>
      <c r="G1181" s="245"/>
      <c r="H1181" s="245"/>
      <c r="I1181" s="245"/>
      <c r="J1181" s="245"/>
      <c r="K1181" s="245"/>
      <c r="L1181" s="246"/>
      <c r="M1181" s="245"/>
      <c r="N1181" s="245"/>
      <c r="O1181" s="245"/>
      <c r="P1181" s="245"/>
      <c r="Q1181" s="247"/>
      <c r="R1181" s="247"/>
      <c r="S1181" s="247"/>
      <c r="T1181" s="245"/>
      <c r="U1181" s="245"/>
      <c r="V1181" s="241"/>
      <c r="W1181" s="241"/>
      <c r="X1181" s="241"/>
    </row>
    <row r="1182" spans="1:24" ht="13.5" customHeight="1" x14ac:dyDescent="0.3">
      <c r="A1182" s="245"/>
      <c r="B1182" s="246"/>
      <c r="C1182" s="245"/>
      <c r="D1182" s="245"/>
      <c r="E1182" s="245"/>
      <c r="F1182" s="245"/>
      <c r="G1182" s="245"/>
      <c r="H1182" s="245"/>
      <c r="I1182" s="245"/>
      <c r="J1182" s="245"/>
      <c r="K1182" s="245"/>
      <c r="L1182" s="246"/>
      <c r="M1182" s="245"/>
      <c r="N1182" s="245"/>
      <c r="O1182" s="245"/>
      <c r="P1182" s="245"/>
      <c r="Q1182" s="247"/>
      <c r="R1182" s="247"/>
      <c r="S1182" s="247"/>
      <c r="T1182" s="245"/>
      <c r="U1182" s="245"/>
      <c r="V1182" s="241"/>
      <c r="W1182" s="241"/>
      <c r="X1182" s="241"/>
    </row>
    <row r="1183" spans="1:24" ht="13.5" customHeight="1" x14ac:dyDescent="0.3">
      <c r="A1183" s="245"/>
      <c r="B1183" s="246"/>
      <c r="C1183" s="245"/>
      <c r="D1183" s="245"/>
      <c r="E1183" s="245"/>
      <c r="F1183" s="245"/>
      <c r="G1183" s="245"/>
      <c r="H1183" s="245"/>
      <c r="I1183" s="245"/>
      <c r="J1183" s="245"/>
      <c r="K1183" s="245"/>
      <c r="L1183" s="246"/>
      <c r="M1183" s="245"/>
      <c r="N1183" s="245"/>
      <c r="O1183" s="245"/>
      <c r="P1183" s="245"/>
      <c r="Q1183" s="247"/>
      <c r="R1183" s="247"/>
      <c r="S1183" s="247"/>
      <c r="T1183" s="245"/>
      <c r="U1183" s="245"/>
      <c r="V1183" s="241"/>
      <c r="W1183" s="241"/>
      <c r="X1183" s="241"/>
    </row>
    <row r="1184" spans="1:24" ht="13.5" customHeight="1" x14ac:dyDescent="0.3">
      <c r="A1184" s="245"/>
      <c r="B1184" s="246"/>
      <c r="C1184" s="245"/>
      <c r="D1184" s="245"/>
      <c r="E1184" s="245"/>
      <c r="F1184" s="245"/>
      <c r="G1184" s="245"/>
      <c r="H1184" s="245"/>
      <c r="I1184" s="245"/>
      <c r="J1184" s="245"/>
      <c r="K1184" s="245"/>
      <c r="L1184" s="246"/>
      <c r="M1184" s="245"/>
      <c r="N1184" s="245"/>
      <c r="O1184" s="245"/>
      <c r="P1184" s="245"/>
      <c r="Q1184" s="247"/>
      <c r="R1184" s="247"/>
      <c r="S1184" s="247"/>
      <c r="T1184" s="245"/>
      <c r="U1184" s="245"/>
      <c r="V1184" s="241"/>
      <c r="W1184" s="241"/>
      <c r="X1184" s="241"/>
    </row>
    <row r="1185" spans="1:24" ht="13.5" customHeight="1" x14ac:dyDescent="0.3">
      <c r="A1185" s="245"/>
      <c r="B1185" s="246"/>
      <c r="C1185" s="245"/>
      <c r="D1185" s="245"/>
      <c r="E1185" s="245"/>
      <c r="F1185" s="245"/>
      <c r="G1185" s="245"/>
      <c r="H1185" s="245"/>
      <c r="I1185" s="245"/>
      <c r="J1185" s="245"/>
      <c r="K1185" s="245"/>
      <c r="L1185" s="246"/>
      <c r="M1185" s="245"/>
      <c r="N1185" s="245"/>
      <c r="O1185" s="245"/>
      <c r="P1185" s="245"/>
      <c r="Q1185" s="247"/>
      <c r="R1185" s="247"/>
      <c r="S1185" s="247"/>
      <c r="T1185" s="245"/>
      <c r="U1185" s="245"/>
      <c r="V1185" s="241"/>
      <c r="W1185" s="241"/>
      <c r="X1185" s="241"/>
    </row>
    <row r="1186" spans="1:24" ht="13.5" customHeight="1" x14ac:dyDescent="0.3">
      <c r="A1186" s="245"/>
      <c r="B1186" s="246"/>
      <c r="C1186" s="245"/>
      <c r="D1186" s="245"/>
      <c r="E1186" s="245"/>
      <c r="F1186" s="245"/>
      <c r="G1186" s="245"/>
      <c r="H1186" s="245"/>
      <c r="I1186" s="245"/>
      <c r="J1186" s="245"/>
      <c r="K1186" s="245"/>
      <c r="L1186" s="246"/>
      <c r="M1186" s="245"/>
      <c r="N1186" s="245"/>
      <c r="O1186" s="245"/>
      <c r="P1186" s="245"/>
      <c r="Q1186" s="247"/>
      <c r="R1186" s="247"/>
      <c r="S1186" s="247"/>
      <c r="T1186" s="245"/>
      <c r="U1186" s="245"/>
      <c r="V1186" s="241"/>
      <c r="W1186" s="241"/>
      <c r="X1186" s="241"/>
    </row>
    <row r="1187" spans="1:24" ht="13.5" customHeight="1" x14ac:dyDescent="0.3">
      <c r="A1187" s="245"/>
      <c r="B1187" s="246"/>
      <c r="C1187" s="245"/>
      <c r="D1187" s="245"/>
      <c r="E1187" s="245"/>
      <c r="F1187" s="245"/>
      <c r="G1187" s="245"/>
      <c r="H1187" s="245"/>
      <c r="I1187" s="245"/>
      <c r="J1187" s="245"/>
      <c r="K1187" s="245"/>
      <c r="L1187" s="246"/>
      <c r="M1187" s="245"/>
      <c r="N1187" s="245"/>
      <c r="O1187" s="245"/>
      <c r="P1187" s="245"/>
      <c r="Q1187" s="247"/>
      <c r="R1187" s="247"/>
      <c r="S1187" s="247"/>
      <c r="T1187" s="245"/>
      <c r="U1187" s="245"/>
      <c r="V1187" s="241"/>
      <c r="W1187" s="241"/>
      <c r="X1187" s="241"/>
    </row>
    <row r="1188" spans="1:24" ht="13.5" customHeight="1" x14ac:dyDescent="0.3">
      <c r="A1188" s="245"/>
      <c r="B1188" s="246"/>
      <c r="C1188" s="245"/>
      <c r="D1188" s="245"/>
      <c r="E1188" s="245"/>
      <c r="F1188" s="245"/>
      <c r="G1188" s="245"/>
      <c r="H1188" s="245"/>
      <c r="I1188" s="245"/>
      <c r="J1188" s="245"/>
      <c r="K1188" s="245"/>
      <c r="L1188" s="246"/>
      <c r="M1188" s="245"/>
      <c r="N1188" s="245"/>
      <c r="O1188" s="245"/>
      <c r="P1188" s="245"/>
      <c r="Q1188" s="247"/>
      <c r="R1188" s="247"/>
      <c r="S1188" s="247"/>
      <c r="T1188" s="245"/>
      <c r="U1188" s="245"/>
      <c r="V1188" s="241"/>
      <c r="W1188" s="241"/>
      <c r="X1188" s="241"/>
    </row>
    <row r="1189" spans="1:24" ht="13.5" customHeight="1" x14ac:dyDescent="0.3">
      <c r="A1189" s="245"/>
      <c r="B1189" s="246"/>
      <c r="C1189" s="245"/>
      <c r="D1189" s="245"/>
      <c r="E1189" s="245"/>
      <c r="F1189" s="245"/>
      <c r="G1189" s="245"/>
      <c r="H1189" s="245"/>
      <c r="I1189" s="245"/>
      <c r="J1189" s="245"/>
      <c r="K1189" s="245"/>
      <c r="L1189" s="246"/>
      <c r="M1189" s="245"/>
      <c r="N1189" s="245"/>
      <c r="O1189" s="245"/>
      <c r="P1189" s="245"/>
      <c r="Q1189" s="247"/>
      <c r="R1189" s="247"/>
      <c r="S1189" s="247"/>
      <c r="T1189" s="245"/>
      <c r="U1189" s="245"/>
      <c r="V1189" s="241"/>
      <c r="W1189" s="241"/>
      <c r="X1189" s="241"/>
    </row>
    <row r="1190" spans="1:24" ht="13.5" customHeight="1" x14ac:dyDescent="0.3">
      <c r="A1190" s="245"/>
      <c r="B1190" s="246"/>
      <c r="C1190" s="245"/>
      <c r="D1190" s="245"/>
      <c r="E1190" s="245"/>
      <c r="F1190" s="245"/>
      <c r="G1190" s="245"/>
      <c r="H1190" s="245"/>
      <c r="I1190" s="245"/>
      <c r="J1190" s="245"/>
      <c r="K1190" s="245"/>
      <c r="L1190" s="246"/>
      <c r="M1190" s="245"/>
      <c r="N1190" s="245"/>
      <c r="O1190" s="245"/>
      <c r="P1190" s="245"/>
      <c r="Q1190" s="247"/>
      <c r="R1190" s="247"/>
      <c r="S1190" s="247"/>
      <c r="T1190" s="245"/>
      <c r="U1190" s="245"/>
      <c r="V1190" s="241"/>
      <c r="W1190" s="241"/>
      <c r="X1190" s="241"/>
    </row>
    <row r="1191" spans="1:24" ht="13.5" customHeight="1" x14ac:dyDescent="0.3">
      <c r="A1191" s="245"/>
      <c r="B1191" s="246"/>
      <c r="C1191" s="245"/>
      <c r="D1191" s="245"/>
      <c r="E1191" s="245"/>
      <c r="F1191" s="245"/>
      <c r="G1191" s="245"/>
      <c r="H1191" s="245"/>
      <c r="I1191" s="245"/>
      <c r="J1191" s="245"/>
      <c r="K1191" s="245"/>
      <c r="L1191" s="246"/>
      <c r="M1191" s="245"/>
      <c r="N1191" s="245"/>
      <c r="O1191" s="245"/>
      <c r="P1191" s="245"/>
      <c r="Q1191" s="247"/>
      <c r="R1191" s="247"/>
      <c r="S1191" s="247"/>
      <c r="T1191" s="245"/>
      <c r="U1191" s="245"/>
      <c r="V1191" s="241"/>
      <c r="W1191" s="241"/>
      <c r="X1191" s="241"/>
    </row>
    <row r="1192" spans="1:24" ht="13.5" customHeight="1" x14ac:dyDescent="0.3">
      <c r="A1192" s="245"/>
      <c r="B1192" s="246"/>
      <c r="C1192" s="245"/>
      <c r="D1192" s="245"/>
      <c r="E1192" s="245"/>
      <c r="F1192" s="245"/>
      <c r="G1192" s="245"/>
      <c r="H1192" s="245"/>
      <c r="I1192" s="245"/>
      <c r="J1192" s="245"/>
      <c r="K1192" s="245"/>
      <c r="L1192" s="246"/>
      <c r="M1192" s="245"/>
      <c r="N1192" s="245"/>
      <c r="O1192" s="245"/>
      <c r="P1192" s="245"/>
      <c r="Q1192" s="247"/>
      <c r="R1192" s="247"/>
      <c r="S1192" s="247"/>
      <c r="T1192" s="245"/>
      <c r="U1192" s="245"/>
      <c r="V1192" s="241"/>
      <c r="W1192" s="241"/>
      <c r="X1192" s="241"/>
    </row>
    <row r="1193" spans="1:24" ht="13.5" customHeight="1" x14ac:dyDescent="0.3">
      <c r="A1193" s="245"/>
      <c r="B1193" s="246"/>
      <c r="C1193" s="245"/>
      <c r="D1193" s="245"/>
      <c r="E1193" s="245"/>
      <c r="F1193" s="245"/>
      <c r="G1193" s="245"/>
      <c r="H1193" s="245"/>
      <c r="I1193" s="245"/>
      <c r="J1193" s="245"/>
      <c r="K1193" s="245"/>
      <c r="L1193" s="246"/>
      <c r="M1193" s="245"/>
      <c r="N1193" s="245"/>
      <c r="O1193" s="245"/>
      <c r="P1193" s="245"/>
      <c r="Q1193" s="247"/>
      <c r="R1193" s="247"/>
      <c r="S1193" s="247"/>
      <c r="T1193" s="245"/>
      <c r="U1193" s="245"/>
      <c r="V1193" s="241"/>
      <c r="W1193" s="241"/>
      <c r="X1193" s="241"/>
    </row>
    <row r="1194" spans="1:24" ht="13.5" customHeight="1" x14ac:dyDescent="0.3">
      <c r="A1194" s="245"/>
      <c r="B1194" s="246"/>
      <c r="C1194" s="245"/>
      <c r="D1194" s="245"/>
      <c r="E1194" s="245"/>
      <c r="F1194" s="245"/>
      <c r="G1194" s="245"/>
      <c r="H1194" s="245"/>
      <c r="I1194" s="245"/>
      <c r="J1194" s="245"/>
      <c r="K1194" s="245"/>
      <c r="L1194" s="246"/>
      <c r="M1194" s="245"/>
      <c r="N1194" s="245"/>
      <c r="O1194" s="245"/>
      <c r="P1194" s="245"/>
      <c r="Q1194" s="247"/>
      <c r="R1194" s="247"/>
      <c r="S1194" s="247"/>
      <c r="T1194" s="245"/>
      <c r="U1194" s="245"/>
      <c r="V1194" s="241"/>
      <c r="W1194" s="241"/>
      <c r="X1194" s="241"/>
    </row>
    <row r="1195" spans="1:24" ht="13.5" customHeight="1" x14ac:dyDescent="0.3">
      <c r="A1195" s="245"/>
      <c r="B1195" s="246"/>
      <c r="C1195" s="245"/>
      <c r="D1195" s="245"/>
      <c r="E1195" s="245"/>
      <c r="F1195" s="245"/>
      <c r="G1195" s="245"/>
      <c r="H1195" s="245"/>
      <c r="I1195" s="245"/>
      <c r="J1195" s="245"/>
      <c r="K1195" s="245"/>
      <c r="L1195" s="246"/>
      <c r="M1195" s="245"/>
      <c r="N1195" s="245"/>
      <c r="O1195" s="245"/>
      <c r="P1195" s="245"/>
      <c r="Q1195" s="247"/>
      <c r="R1195" s="247"/>
      <c r="S1195" s="247"/>
      <c r="T1195" s="245"/>
      <c r="U1195" s="245"/>
      <c r="V1195" s="241"/>
      <c r="W1195" s="241"/>
      <c r="X1195" s="241"/>
    </row>
    <row r="1196" spans="1:24" ht="13.5" customHeight="1" x14ac:dyDescent="0.3">
      <c r="A1196" s="245"/>
      <c r="B1196" s="246"/>
      <c r="C1196" s="245"/>
      <c r="D1196" s="245"/>
      <c r="E1196" s="245"/>
      <c r="F1196" s="245"/>
      <c r="G1196" s="245"/>
      <c r="H1196" s="245"/>
      <c r="I1196" s="245"/>
      <c r="J1196" s="245"/>
      <c r="K1196" s="245"/>
      <c r="L1196" s="246"/>
      <c r="M1196" s="245"/>
      <c r="N1196" s="245"/>
      <c r="O1196" s="245"/>
      <c r="P1196" s="245"/>
      <c r="Q1196" s="247"/>
      <c r="R1196" s="247"/>
      <c r="S1196" s="247"/>
      <c r="T1196" s="245"/>
      <c r="U1196" s="245"/>
      <c r="V1196" s="241"/>
      <c r="W1196" s="241"/>
      <c r="X1196" s="241"/>
    </row>
    <row r="1197" spans="1:24" ht="13.5" customHeight="1" x14ac:dyDescent="0.3">
      <c r="A1197" s="245"/>
      <c r="B1197" s="246"/>
      <c r="C1197" s="245"/>
      <c r="D1197" s="245"/>
      <c r="E1197" s="245"/>
      <c r="F1197" s="245"/>
      <c r="G1197" s="245"/>
      <c r="H1197" s="245"/>
      <c r="I1197" s="245"/>
      <c r="J1197" s="245"/>
      <c r="K1197" s="245"/>
      <c r="L1197" s="246"/>
      <c r="M1197" s="245"/>
      <c r="N1197" s="245"/>
      <c r="O1197" s="245"/>
      <c r="P1197" s="245"/>
      <c r="Q1197" s="247"/>
      <c r="R1197" s="247"/>
      <c r="S1197" s="247"/>
      <c r="T1197" s="245"/>
      <c r="U1197" s="245"/>
      <c r="V1197" s="241"/>
      <c r="W1197" s="241"/>
      <c r="X1197" s="241"/>
    </row>
    <row r="1198" spans="1:24" ht="13.5" customHeight="1" x14ac:dyDescent="0.3">
      <c r="A1198" s="245"/>
      <c r="B1198" s="246"/>
      <c r="C1198" s="245"/>
      <c r="D1198" s="245"/>
      <c r="E1198" s="245"/>
      <c r="F1198" s="245"/>
      <c r="G1198" s="245"/>
      <c r="H1198" s="245"/>
      <c r="I1198" s="245"/>
      <c r="J1198" s="245"/>
      <c r="K1198" s="245"/>
      <c r="L1198" s="246"/>
      <c r="M1198" s="245"/>
      <c r="N1198" s="245"/>
      <c r="O1198" s="245"/>
      <c r="P1198" s="245"/>
      <c r="Q1198" s="247"/>
      <c r="R1198" s="247"/>
      <c r="S1198" s="247"/>
      <c r="T1198" s="245"/>
      <c r="U1198" s="245"/>
      <c r="V1198" s="241"/>
      <c r="W1198" s="241"/>
      <c r="X1198" s="241"/>
    </row>
    <row r="1199" spans="1:24" ht="13.5" customHeight="1" x14ac:dyDescent="0.3">
      <c r="A1199" s="245"/>
      <c r="B1199" s="246"/>
      <c r="C1199" s="245"/>
      <c r="D1199" s="245"/>
      <c r="E1199" s="245"/>
      <c r="F1199" s="245"/>
      <c r="G1199" s="245"/>
      <c r="H1199" s="245"/>
      <c r="I1199" s="245"/>
      <c r="J1199" s="245"/>
      <c r="K1199" s="245"/>
      <c r="L1199" s="246"/>
      <c r="M1199" s="245"/>
      <c r="N1199" s="245"/>
      <c r="O1199" s="245"/>
      <c r="P1199" s="245"/>
      <c r="Q1199" s="247"/>
      <c r="R1199" s="247"/>
      <c r="S1199" s="247"/>
      <c r="T1199" s="245"/>
      <c r="U1199" s="245"/>
      <c r="V1199" s="241"/>
      <c r="W1199" s="241"/>
      <c r="X1199" s="241"/>
    </row>
    <row r="1200" spans="1:24" ht="13.5" customHeight="1" x14ac:dyDescent="0.3">
      <c r="A1200" s="245"/>
      <c r="B1200" s="246"/>
      <c r="C1200" s="245"/>
      <c r="D1200" s="245"/>
      <c r="E1200" s="245"/>
      <c r="F1200" s="245"/>
      <c r="G1200" s="245"/>
      <c r="H1200" s="245"/>
      <c r="I1200" s="245"/>
      <c r="J1200" s="245"/>
      <c r="K1200" s="245"/>
      <c r="L1200" s="246"/>
      <c r="M1200" s="245"/>
      <c r="N1200" s="245"/>
      <c r="O1200" s="245"/>
      <c r="P1200" s="245"/>
      <c r="Q1200" s="247"/>
      <c r="R1200" s="247"/>
      <c r="S1200" s="247"/>
      <c r="T1200" s="245"/>
      <c r="U1200" s="245"/>
      <c r="V1200" s="241"/>
      <c r="W1200" s="241"/>
      <c r="X1200" s="241"/>
    </row>
    <row r="1201" spans="1:24" ht="13.5" customHeight="1" x14ac:dyDescent="0.3">
      <c r="A1201" s="245"/>
      <c r="B1201" s="246"/>
      <c r="C1201" s="245"/>
      <c r="D1201" s="245"/>
      <c r="E1201" s="245"/>
      <c r="F1201" s="245"/>
      <c r="G1201" s="245"/>
      <c r="H1201" s="245"/>
      <c r="I1201" s="245"/>
      <c r="J1201" s="245"/>
      <c r="K1201" s="245"/>
      <c r="L1201" s="246"/>
      <c r="M1201" s="245"/>
      <c r="N1201" s="245"/>
      <c r="O1201" s="245"/>
      <c r="P1201" s="245"/>
      <c r="Q1201" s="247"/>
      <c r="R1201" s="247"/>
      <c r="S1201" s="247"/>
      <c r="T1201" s="245"/>
      <c r="U1201" s="245"/>
      <c r="V1201" s="241"/>
      <c r="W1201" s="241"/>
      <c r="X1201" s="241"/>
    </row>
    <row r="1202" spans="1:24" ht="13.5" customHeight="1" x14ac:dyDescent="0.3">
      <c r="A1202" s="245"/>
      <c r="B1202" s="246"/>
      <c r="C1202" s="245"/>
      <c r="D1202" s="245"/>
      <c r="E1202" s="245"/>
      <c r="F1202" s="245"/>
      <c r="G1202" s="245"/>
      <c r="H1202" s="245"/>
      <c r="I1202" s="245"/>
      <c r="J1202" s="245"/>
      <c r="K1202" s="245"/>
      <c r="L1202" s="246"/>
      <c r="M1202" s="245"/>
      <c r="N1202" s="245"/>
      <c r="O1202" s="245"/>
      <c r="P1202" s="245"/>
      <c r="Q1202" s="247"/>
      <c r="R1202" s="247"/>
      <c r="S1202" s="247"/>
      <c r="T1202" s="245"/>
      <c r="U1202" s="245"/>
      <c r="V1202" s="241"/>
      <c r="W1202" s="241"/>
      <c r="X1202" s="241"/>
    </row>
    <row r="1203" spans="1:24" ht="13.5" customHeight="1" x14ac:dyDescent="0.3">
      <c r="A1203" s="245"/>
      <c r="B1203" s="246"/>
      <c r="C1203" s="245"/>
      <c r="D1203" s="245"/>
      <c r="E1203" s="245"/>
      <c r="F1203" s="245"/>
      <c r="G1203" s="245"/>
      <c r="H1203" s="245"/>
      <c r="I1203" s="245"/>
      <c r="J1203" s="245"/>
      <c r="K1203" s="245"/>
      <c r="L1203" s="246"/>
      <c r="M1203" s="245"/>
      <c r="N1203" s="245"/>
      <c r="O1203" s="245"/>
      <c r="P1203" s="245"/>
      <c r="Q1203" s="247"/>
      <c r="R1203" s="247"/>
      <c r="S1203" s="247"/>
      <c r="T1203" s="245"/>
      <c r="U1203" s="245"/>
      <c r="V1203" s="241"/>
      <c r="W1203" s="241"/>
      <c r="X1203" s="241"/>
    </row>
    <row r="1204" spans="1:24" ht="13.5" customHeight="1" x14ac:dyDescent="0.3">
      <c r="A1204" s="245"/>
      <c r="B1204" s="246"/>
      <c r="C1204" s="245"/>
      <c r="D1204" s="245"/>
      <c r="E1204" s="245"/>
      <c r="F1204" s="245"/>
      <c r="G1204" s="245"/>
      <c r="H1204" s="245"/>
      <c r="I1204" s="245"/>
      <c r="J1204" s="245"/>
      <c r="K1204" s="245"/>
      <c r="L1204" s="246"/>
      <c r="M1204" s="245"/>
      <c r="N1204" s="245"/>
      <c r="O1204" s="245"/>
      <c r="P1204" s="245"/>
      <c r="Q1204" s="247"/>
      <c r="R1204" s="247"/>
      <c r="S1204" s="247"/>
      <c r="T1204" s="245"/>
      <c r="U1204" s="245"/>
      <c r="V1204" s="241"/>
      <c r="W1204" s="241"/>
      <c r="X1204" s="241"/>
    </row>
    <row r="1205" spans="1:24" ht="13.5" customHeight="1" x14ac:dyDescent="0.3">
      <c r="A1205" s="245"/>
      <c r="B1205" s="246"/>
      <c r="C1205" s="245"/>
      <c r="D1205" s="245"/>
      <c r="E1205" s="245"/>
      <c r="F1205" s="245"/>
      <c r="G1205" s="245"/>
      <c r="H1205" s="245"/>
      <c r="I1205" s="245"/>
      <c r="J1205" s="245"/>
      <c r="K1205" s="245"/>
      <c r="L1205" s="246"/>
      <c r="M1205" s="245"/>
      <c r="N1205" s="245"/>
      <c r="O1205" s="245"/>
      <c r="P1205" s="245"/>
      <c r="Q1205" s="247"/>
      <c r="R1205" s="247"/>
      <c r="S1205" s="247"/>
      <c r="T1205" s="245"/>
      <c r="U1205" s="245"/>
      <c r="V1205" s="241"/>
      <c r="W1205" s="241"/>
      <c r="X1205" s="241"/>
    </row>
    <row r="1206" spans="1:24" ht="13.5" customHeight="1" x14ac:dyDescent="0.3">
      <c r="A1206" s="245"/>
      <c r="B1206" s="246"/>
      <c r="C1206" s="245"/>
      <c r="D1206" s="245"/>
      <c r="E1206" s="245"/>
      <c r="F1206" s="245"/>
      <c r="G1206" s="245"/>
      <c r="H1206" s="245"/>
      <c r="I1206" s="245"/>
      <c r="J1206" s="245"/>
      <c r="K1206" s="245"/>
      <c r="L1206" s="246"/>
      <c r="M1206" s="245"/>
      <c r="N1206" s="245"/>
      <c r="O1206" s="245"/>
      <c r="P1206" s="245"/>
      <c r="Q1206" s="247"/>
      <c r="R1206" s="247"/>
      <c r="S1206" s="247"/>
      <c r="T1206" s="245"/>
      <c r="U1206" s="245"/>
      <c r="V1206" s="241"/>
      <c r="W1206" s="241"/>
      <c r="X1206" s="241"/>
    </row>
    <row r="1207" spans="1:24" ht="13.5" customHeight="1" x14ac:dyDescent="0.3">
      <c r="A1207" s="245"/>
      <c r="B1207" s="246"/>
      <c r="C1207" s="245"/>
      <c r="D1207" s="245"/>
      <c r="E1207" s="245"/>
      <c r="F1207" s="245"/>
      <c r="G1207" s="245"/>
      <c r="H1207" s="245"/>
      <c r="I1207" s="245"/>
      <c r="J1207" s="245"/>
      <c r="K1207" s="245"/>
      <c r="L1207" s="246"/>
      <c r="M1207" s="245"/>
      <c r="N1207" s="245"/>
      <c r="O1207" s="245"/>
      <c r="P1207" s="245"/>
      <c r="Q1207" s="247"/>
      <c r="R1207" s="247"/>
      <c r="S1207" s="247"/>
      <c r="T1207" s="245"/>
      <c r="U1207" s="245"/>
      <c r="V1207" s="241"/>
      <c r="W1207" s="241"/>
      <c r="X1207" s="241"/>
    </row>
    <row r="1208" spans="1:24" ht="13.5" customHeight="1" x14ac:dyDescent="0.3">
      <c r="A1208" s="245"/>
      <c r="B1208" s="246"/>
      <c r="C1208" s="245"/>
      <c r="D1208" s="245"/>
      <c r="E1208" s="245"/>
      <c r="F1208" s="245"/>
      <c r="G1208" s="245"/>
      <c r="H1208" s="245"/>
      <c r="I1208" s="245"/>
      <c r="J1208" s="245"/>
      <c r="K1208" s="245"/>
      <c r="L1208" s="246"/>
      <c r="M1208" s="245"/>
      <c r="N1208" s="245"/>
      <c r="O1208" s="245"/>
      <c r="P1208" s="245"/>
      <c r="Q1208" s="247"/>
      <c r="R1208" s="247"/>
      <c r="S1208" s="247"/>
      <c r="T1208" s="245"/>
      <c r="U1208" s="245"/>
      <c r="V1208" s="241"/>
      <c r="W1208" s="241"/>
      <c r="X1208" s="241"/>
    </row>
    <row r="1209" spans="1:24" ht="13.5" customHeight="1" x14ac:dyDescent="0.3">
      <c r="A1209" s="245"/>
      <c r="B1209" s="246"/>
      <c r="C1209" s="245"/>
      <c r="D1209" s="245"/>
      <c r="E1209" s="245"/>
      <c r="F1209" s="245"/>
      <c r="G1209" s="245"/>
      <c r="H1209" s="245"/>
      <c r="I1209" s="245"/>
      <c r="J1209" s="245"/>
      <c r="K1209" s="245"/>
      <c r="L1209" s="246"/>
      <c r="M1209" s="245"/>
      <c r="N1209" s="245"/>
      <c r="O1209" s="245"/>
      <c r="P1209" s="245"/>
      <c r="Q1209" s="247"/>
      <c r="R1209" s="247"/>
      <c r="S1209" s="247"/>
      <c r="T1209" s="245"/>
      <c r="U1209" s="245"/>
      <c r="V1209" s="241"/>
      <c r="W1209" s="241"/>
      <c r="X1209" s="241"/>
    </row>
    <row r="1210" spans="1:24" ht="13.5" customHeight="1" x14ac:dyDescent="0.3">
      <c r="A1210" s="245"/>
      <c r="B1210" s="246"/>
      <c r="C1210" s="245"/>
      <c r="D1210" s="245"/>
      <c r="E1210" s="245"/>
      <c r="F1210" s="245"/>
      <c r="G1210" s="245"/>
      <c r="H1210" s="245"/>
      <c r="I1210" s="245"/>
      <c r="J1210" s="245"/>
      <c r="K1210" s="245"/>
      <c r="L1210" s="246"/>
      <c r="M1210" s="245"/>
      <c r="N1210" s="245"/>
      <c r="O1210" s="245"/>
      <c r="P1210" s="245"/>
      <c r="Q1210" s="247"/>
      <c r="R1210" s="247"/>
      <c r="S1210" s="247"/>
      <c r="T1210" s="245"/>
      <c r="U1210" s="245"/>
      <c r="V1210" s="241"/>
      <c r="W1210" s="241"/>
      <c r="X1210" s="241"/>
    </row>
    <row r="1211" spans="1:24" ht="13.5" customHeight="1" x14ac:dyDescent="0.3">
      <c r="A1211" s="245"/>
      <c r="B1211" s="246"/>
      <c r="C1211" s="245"/>
      <c r="D1211" s="245"/>
      <c r="E1211" s="245"/>
      <c r="F1211" s="245"/>
      <c r="G1211" s="245"/>
      <c r="H1211" s="245"/>
      <c r="I1211" s="245"/>
      <c r="J1211" s="245"/>
      <c r="K1211" s="245"/>
      <c r="L1211" s="246"/>
      <c r="M1211" s="245"/>
      <c r="N1211" s="245"/>
      <c r="O1211" s="245"/>
      <c r="P1211" s="245"/>
      <c r="Q1211" s="247"/>
      <c r="R1211" s="247"/>
      <c r="S1211" s="247"/>
      <c r="T1211" s="245"/>
      <c r="U1211" s="245"/>
      <c r="V1211" s="241"/>
      <c r="W1211" s="241"/>
      <c r="X1211" s="241"/>
    </row>
    <row r="1212" spans="1:24" ht="13.5" customHeight="1" x14ac:dyDescent="0.3">
      <c r="A1212" s="245"/>
      <c r="B1212" s="246"/>
      <c r="C1212" s="245"/>
      <c r="D1212" s="245"/>
      <c r="E1212" s="245"/>
      <c r="F1212" s="245"/>
      <c r="G1212" s="245"/>
      <c r="H1212" s="245"/>
      <c r="I1212" s="245"/>
      <c r="J1212" s="245"/>
      <c r="K1212" s="245"/>
      <c r="L1212" s="246"/>
      <c r="M1212" s="245"/>
      <c r="N1212" s="245"/>
      <c r="O1212" s="245"/>
      <c r="P1212" s="245"/>
      <c r="Q1212" s="247"/>
      <c r="R1212" s="247"/>
      <c r="S1212" s="247"/>
      <c r="T1212" s="245"/>
      <c r="U1212" s="245"/>
      <c r="V1212" s="241"/>
      <c r="W1212" s="241"/>
      <c r="X1212" s="241"/>
    </row>
    <row r="1213" spans="1:24" ht="13.5" customHeight="1" x14ac:dyDescent="0.3">
      <c r="A1213" s="245"/>
      <c r="B1213" s="246"/>
      <c r="C1213" s="245"/>
      <c r="D1213" s="245"/>
      <c r="E1213" s="245"/>
      <c r="F1213" s="245"/>
      <c r="G1213" s="245"/>
      <c r="H1213" s="245"/>
      <c r="I1213" s="245"/>
      <c r="J1213" s="245"/>
      <c r="K1213" s="245"/>
      <c r="L1213" s="246"/>
      <c r="M1213" s="245"/>
      <c r="N1213" s="245"/>
      <c r="O1213" s="245"/>
      <c r="P1213" s="245"/>
      <c r="Q1213" s="247"/>
      <c r="R1213" s="247"/>
      <c r="S1213" s="247"/>
      <c r="T1213" s="245"/>
      <c r="U1213" s="245"/>
      <c r="V1213" s="241"/>
      <c r="W1213" s="241"/>
      <c r="X1213" s="241"/>
    </row>
    <row r="1214" spans="1:24" ht="13.5" customHeight="1" x14ac:dyDescent="0.3">
      <c r="A1214" s="245"/>
      <c r="B1214" s="246"/>
      <c r="C1214" s="245"/>
      <c r="D1214" s="245"/>
      <c r="E1214" s="245"/>
      <c r="F1214" s="245"/>
      <c r="G1214" s="245"/>
      <c r="H1214" s="245"/>
      <c r="I1214" s="245"/>
      <c r="J1214" s="245"/>
      <c r="K1214" s="245"/>
      <c r="L1214" s="246"/>
      <c r="M1214" s="245"/>
      <c r="N1214" s="245"/>
      <c r="O1214" s="245"/>
      <c r="P1214" s="245"/>
      <c r="Q1214" s="247"/>
      <c r="R1214" s="247"/>
      <c r="S1214" s="247"/>
      <c r="T1214" s="245"/>
      <c r="U1214" s="245"/>
      <c r="V1214" s="241"/>
      <c r="W1214" s="241"/>
      <c r="X1214" s="241"/>
    </row>
    <row r="1215" spans="1:24" ht="13.5" customHeight="1" x14ac:dyDescent="0.3">
      <c r="A1215" s="245"/>
      <c r="B1215" s="246"/>
      <c r="C1215" s="245"/>
      <c r="D1215" s="245"/>
      <c r="E1215" s="245"/>
      <c r="F1215" s="245"/>
      <c r="G1215" s="245"/>
      <c r="H1215" s="245"/>
      <c r="I1215" s="245"/>
      <c r="J1215" s="245"/>
      <c r="K1215" s="245"/>
      <c r="L1215" s="246"/>
      <c r="M1215" s="245"/>
      <c r="N1215" s="245"/>
      <c r="O1215" s="245"/>
      <c r="P1215" s="245"/>
      <c r="Q1215" s="247"/>
      <c r="R1215" s="247"/>
      <c r="S1215" s="247"/>
      <c r="T1215" s="245"/>
      <c r="U1215" s="245"/>
      <c r="V1215" s="241"/>
      <c r="W1215" s="241"/>
      <c r="X1215" s="241"/>
    </row>
    <row r="1216" spans="1:24" ht="13.5" customHeight="1" x14ac:dyDescent="0.3">
      <c r="A1216" s="245"/>
      <c r="B1216" s="246"/>
      <c r="C1216" s="245"/>
      <c r="D1216" s="245"/>
      <c r="E1216" s="245"/>
      <c r="F1216" s="245"/>
      <c r="G1216" s="245"/>
      <c r="H1216" s="245"/>
      <c r="I1216" s="245"/>
      <c r="J1216" s="245"/>
      <c r="K1216" s="245"/>
      <c r="L1216" s="246"/>
      <c r="M1216" s="245"/>
      <c r="N1216" s="245"/>
      <c r="O1216" s="245"/>
      <c r="P1216" s="245"/>
      <c r="Q1216" s="247"/>
      <c r="R1216" s="247"/>
      <c r="S1216" s="247"/>
      <c r="T1216" s="245"/>
      <c r="U1216" s="245"/>
      <c r="V1216" s="241"/>
      <c r="W1216" s="241"/>
      <c r="X1216" s="241"/>
    </row>
    <row r="1217" spans="1:24" ht="13.5" customHeight="1" x14ac:dyDescent="0.3">
      <c r="A1217" s="245"/>
      <c r="B1217" s="246"/>
      <c r="C1217" s="245"/>
      <c r="D1217" s="245"/>
      <c r="E1217" s="245"/>
      <c r="F1217" s="245"/>
      <c r="G1217" s="245"/>
      <c r="H1217" s="245"/>
      <c r="I1217" s="245"/>
      <c r="J1217" s="245"/>
      <c r="K1217" s="245"/>
      <c r="L1217" s="246"/>
      <c r="M1217" s="245"/>
      <c r="N1217" s="245"/>
      <c r="O1217" s="245"/>
      <c r="P1217" s="245"/>
      <c r="Q1217" s="247"/>
      <c r="R1217" s="247"/>
      <c r="S1217" s="247"/>
      <c r="T1217" s="245"/>
      <c r="U1217" s="245"/>
      <c r="V1217" s="241"/>
      <c r="W1217" s="241"/>
      <c r="X1217" s="241"/>
    </row>
    <row r="1218" spans="1:24" ht="13.5" customHeight="1" x14ac:dyDescent="0.3">
      <c r="A1218" s="245"/>
      <c r="B1218" s="246"/>
      <c r="C1218" s="245"/>
      <c r="D1218" s="245"/>
      <c r="E1218" s="245"/>
      <c r="F1218" s="245"/>
      <c r="G1218" s="245"/>
      <c r="H1218" s="245"/>
      <c r="I1218" s="245"/>
      <c r="J1218" s="245"/>
      <c r="K1218" s="245"/>
      <c r="L1218" s="246"/>
      <c r="M1218" s="245"/>
      <c r="N1218" s="245"/>
      <c r="O1218" s="245"/>
      <c r="P1218" s="245"/>
      <c r="Q1218" s="247"/>
      <c r="R1218" s="247"/>
      <c r="S1218" s="247"/>
      <c r="T1218" s="245"/>
      <c r="U1218" s="245"/>
      <c r="V1218" s="241"/>
      <c r="W1218" s="241"/>
      <c r="X1218" s="241"/>
    </row>
    <row r="1219" spans="1:24" ht="13.5" customHeight="1" x14ac:dyDescent="0.3">
      <c r="A1219" s="245"/>
      <c r="B1219" s="246"/>
      <c r="C1219" s="245"/>
      <c r="D1219" s="245"/>
      <c r="E1219" s="245"/>
      <c r="F1219" s="245"/>
      <c r="G1219" s="245"/>
      <c r="H1219" s="245"/>
      <c r="I1219" s="245"/>
      <c r="J1219" s="245"/>
      <c r="K1219" s="245"/>
      <c r="L1219" s="246"/>
      <c r="M1219" s="245"/>
      <c r="N1219" s="245"/>
      <c r="O1219" s="245"/>
      <c r="P1219" s="245"/>
      <c r="Q1219" s="247"/>
      <c r="R1219" s="247"/>
      <c r="S1219" s="247"/>
      <c r="T1219" s="245"/>
      <c r="U1219" s="245"/>
      <c r="V1219" s="241"/>
      <c r="W1219" s="241"/>
      <c r="X1219" s="241"/>
    </row>
    <row r="1220" spans="1:24" ht="13.5" customHeight="1" x14ac:dyDescent="0.3">
      <c r="A1220" s="245"/>
      <c r="B1220" s="246"/>
      <c r="C1220" s="245"/>
      <c r="D1220" s="245"/>
      <c r="E1220" s="245"/>
      <c r="F1220" s="245"/>
      <c r="G1220" s="245"/>
      <c r="H1220" s="245"/>
      <c r="I1220" s="245"/>
      <c r="J1220" s="245"/>
      <c r="K1220" s="245"/>
      <c r="L1220" s="246"/>
      <c r="M1220" s="245"/>
      <c r="N1220" s="245"/>
      <c r="O1220" s="245"/>
      <c r="P1220" s="245"/>
      <c r="Q1220" s="247"/>
      <c r="R1220" s="247"/>
      <c r="S1220" s="247"/>
      <c r="T1220" s="245"/>
      <c r="U1220" s="245"/>
      <c r="V1220" s="241"/>
      <c r="W1220" s="241"/>
      <c r="X1220" s="241"/>
    </row>
    <row r="1221" spans="1:24" ht="13.5" customHeight="1" x14ac:dyDescent="0.3">
      <c r="A1221" s="245"/>
      <c r="B1221" s="246"/>
      <c r="C1221" s="245"/>
      <c r="D1221" s="245"/>
      <c r="E1221" s="245"/>
      <c r="F1221" s="245"/>
      <c r="G1221" s="245"/>
      <c r="H1221" s="245"/>
      <c r="I1221" s="245"/>
      <c r="J1221" s="245"/>
      <c r="K1221" s="245"/>
      <c r="L1221" s="246"/>
      <c r="M1221" s="245"/>
      <c r="N1221" s="245"/>
      <c r="O1221" s="245"/>
      <c r="P1221" s="245"/>
      <c r="Q1221" s="247"/>
      <c r="R1221" s="247"/>
      <c r="S1221" s="247"/>
      <c r="T1221" s="245"/>
      <c r="U1221" s="245"/>
      <c r="V1221" s="241"/>
      <c r="W1221" s="241"/>
      <c r="X1221" s="241"/>
    </row>
    <row r="1222" spans="1:24" ht="13.5" customHeight="1" x14ac:dyDescent="0.3">
      <c r="A1222" s="245"/>
      <c r="B1222" s="246"/>
      <c r="C1222" s="245"/>
      <c r="D1222" s="245"/>
      <c r="E1222" s="245"/>
      <c r="F1222" s="245"/>
      <c r="G1222" s="245"/>
      <c r="H1222" s="245"/>
      <c r="I1222" s="245"/>
      <c r="J1222" s="245"/>
      <c r="K1222" s="245"/>
      <c r="L1222" s="246"/>
      <c r="M1222" s="245"/>
      <c r="N1222" s="245"/>
      <c r="O1222" s="245"/>
      <c r="P1222" s="245"/>
      <c r="Q1222" s="247"/>
      <c r="R1222" s="247"/>
      <c r="S1222" s="247"/>
      <c r="T1222" s="245"/>
      <c r="U1222" s="245"/>
      <c r="V1222" s="241"/>
      <c r="W1222" s="241"/>
      <c r="X1222" s="241"/>
    </row>
    <row r="1223" spans="1:24" ht="13.5" customHeight="1" x14ac:dyDescent="0.3">
      <c r="A1223" s="245"/>
      <c r="B1223" s="246"/>
      <c r="C1223" s="245"/>
      <c r="D1223" s="245"/>
      <c r="E1223" s="245"/>
      <c r="F1223" s="245"/>
      <c r="G1223" s="245"/>
      <c r="H1223" s="245"/>
      <c r="I1223" s="245"/>
      <c r="J1223" s="245"/>
      <c r="K1223" s="245"/>
      <c r="L1223" s="246"/>
      <c r="M1223" s="245"/>
      <c r="N1223" s="245"/>
      <c r="O1223" s="245"/>
      <c r="P1223" s="245"/>
      <c r="Q1223" s="247"/>
      <c r="R1223" s="247"/>
      <c r="S1223" s="247"/>
      <c r="T1223" s="245"/>
      <c r="U1223" s="245"/>
      <c r="V1223" s="241"/>
      <c r="W1223" s="241"/>
      <c r="X1223" s="241"/>
    </row>
    <row r="1224" spans="1:24" ht="13.5" customHeight="1" x14ac:dyDescent="0.3">
      <c r="A1224" s="245"/>
      <c r="B1224" s="246"/>
      <c r="C1224" s="245"/>
      <c r="D1224" s="245"/>
      <c r="E1224" s="245"/>
      <c r="F1224" s="245"/>
      <c r="G1224" s="245"/>
      <c r="H1224" s="245"/>
      <c r="I1224" s="245"/>
      <c r="J1224" s="245"/>
      <c r="K1224" s="245"/>
      <c r="L1224" s="246"/>
      <c r="M1224" s="245"/>
      <c r="N1224" s="245"/>
      <c r="O1224" s="245"/>
      <c r="P1224" s="245"/>
      <c r="Q1224" s="247"/>
      <c r="R1224" s="247"/>
      <c r="S1224" s="247"/>
      <c r="T1224" s="245"/>
      <c r="U1224" s="245"/>
      <c r="V1224" s="241"/>
      <c r="W1224" s="241"/>
      <c r="X1224" s="241"/>
    </row>
    <row r="1225" spans="1:24" ht="13.5" customHeight="1" x14ac:dyDescent="0.3">
      <c r="A1225" s="245"/>
      <c r="B1225" s="246"/>
      <c r="C1225" s="245"/>
      <c r="D1225" s="245"/>
      <c r="E1225" s="245"/>
      <c r="F1225" s="245"/>
      <c r="G1225" s="245"/>
      <c r="H1225" s="245"/>
      <c r="I1225" s="245"/>
      <c r="J1225" s="245"/>
      <c r="K1225" s="245"/>
      <c r="L1225" s="246"/>
      <c r="M1225" s="245"/>
      <c r="N1225" s="245"/>
      <c r="O1225" s="245"/>
      <c r="P1225" s="245"/>
      <c r="Q1225" s="247"/>
      <c r="R1225" s="247"/>
      <c r="S1225" s="247"/>
      <c r="T1225" s="245"/>
      <c r="U1225" s="245"/>
      <c r="V1225" s="241"/>
      <c r="W1225" s="241"/>
      <c r="X1225" s="241"/>
    </row>
    <row r="1226" spans="1:24" ht="13.5" customHeight="1" x14ac:dyDescent="0.3">
      <c r="A1226" s="245"/>
      <c r="B1226" s="246"/>
      <c r="C1226" s="245"/>
      <c r="D1226" s="245"/>
      <c r="E1226" s="245"/>
      <c r="F1226" s="245"/>
      <c r="G1226" s="245"/>
      <c r="H1226" s="245"/>
      <c r="I1226" s="245"/>
      <c r="J1226" s="245"/>
      <c r="K1226" s="245"/>
      <c r="L1226" s="246"/>
      <c r="M1226" s="245"/>
      <c r="N1226" s="245"/>
      <c r="O1226" s="245"/>
      <c r="P1226" s="245"/>
      <c r="Q1226" s="247"/>
      <c r="R1226" s="247"/>
      <c r="S1226" s="247"/>
      <c r="T1226" s="245"/>
      <c r="U1226" s="245"/>
      <c r="V1226" s="241"/>
      <c r="W1226" s="241"/>
      <c r="X1226" s="241"/>
    </row>
    <row r="1227" spans="1:24" ht="13.5" customHeight="1" x14ac:dyDescent="0.3">
      <c r="A1227" s="245"/>
      <c r="B1227" s="246"/>
      <c r="C1227" s="245"/>
      <c r="D1227" s="245"/>
      <c r="E1227" s="245"/>
      <c r="F1227" s="245"/>
      <c r="G1227" s="245"/>
      <c r="H1227" s="245"/>
      <c r="I1227" s="245"/>
      <c r="J1227" s="245"/>
      <c r="K1227" s="245"/>
      <c r="L1227" s="246"/>
      <c r="M1227" s="245"/>
      <c r="N1227" s="245"/>
      <c r="O1227" s="245"/>
      <c r="P1227" s="245"/>
      <c r="Q1227" s="247"/>
      <c r="R1227" s="247"/>
      <c r="S1227" s="247"/>
      <c r="T1227" s="245"/>
      <c r="U1227" s="245"/>
      <c r="V1227" s="241"/>
      <c r="W1227" s="241"/>
      <c r="X1227" s="241"/>
    </row>
    <row r="1228" spans="1:24" ht="13.5" customHeight="1" x14ac:dyDescent="0.3">
      <c r="A1228" s="245"/>
      <c r="B1228" s="246"/>
      <c r="C1228" s="245"/>
      <c r="D1228" s="245"/>
      <c r="E1228" s="245"/>
      <c r="F1228" s="245"/>
      <c r="G1228" s="245"/>
      <c r="H1228" s="245"/>
      <c r="I1228" s="245"/>
      <c r="J1228" s="245"/>
      <c r="K1228" s="245"/>
      <c r="L1228" s="246"/>
      <c r="M1228" s="245"/>
      <c r="N1228" s="245"/>
      <c r="O1228" s="245"/>
      <c r="P1228" s="245"/>
      <c r="Q1228" s="247"/>
      <c r="R1228" s="247"/>
      <c r="S1228" s="247"/>
      <c r="T1228" s="245"/>
      <c r="U1228" s="245"/>
      <c r="V1228" s="241"/>
      <c r="W1228" s="241"/>
      <c r="X1228" s="241"/>
    </row>
    <row r="1229" spans="1:24" ht="13.5" customHeight="1" x14ac:dyDescent="0.3">
      <c r="A1229" s="245"/>
      <c r="B1229" s="246"/>
      <c r="C1229" s="245"/>
      <c r="D1229" s="245"/>
      <c r="E1229" s="245"/>
      <c r="F1229" s="245"/>
      <c r="G1229" s="245"/>
      <c r="H1229" s="245"/>
      <c r="I1229" s="245"/>
      <c r="J1229" s="245"/>
      <c r="K1229" s="245"/>
      <c r="L1229" s="246"/>
      <c r="M1229" s="245"/>
      <c r="N1229" s="245"/>
      <c r="O1229" s="245"/>
      <c r="P1229" s="245"/>
      <c r="Q1229" s="247"/>
      <c r="R1229" s="247"/>
      <c r="S1229" s="247"/>
      <c r="T1229" s="245"/>
      <c r="U1229" s="245"/>
      <c r="V1229" s="241"/>
      <c r="W1229" s="241"/>
      <c r="X1229" s="241"/>
    </row>
    <row r="1230" spans="1:24" ht="13.5" customHeight="1" x14ac:dyDescent="0.3">
      <c r="A1230" s="245"/>
      <c r="B1230" s="246"/>
      <c r="C1230" s="245"/>
      <c r="D1230" s="245"/>
      <c r="E1230" s="245"/>
      <c r="F1230" s="245"/>
      <c r="G1230" s="245"/>
      <c r="H1230" s="245"/>
      <c r="I1230" s="245"/>
      <c r="J1230" s="245"/>
      <c r="K1230" s="245"/>
      <c r="L1230" s="246"/>
      <c r="M1230" s="245"/>
      <c r="N1230" s="245"/>
      <c r="O1230" s="245"/>
      <c r="P1230" s="245"/>
      <c r="Q1230" s="247"/>
      <c r="R1230" s="247"/>
      <c r="S1230" s="247"/>
      <c r="T1230" s="245"/>
      <c r="U1230" s="245"/>
      <c r="V1230" s="241"/>
      <c r="W1230" s="241"/>
      <c r="X1230" s="241"/>
    </row>
    <row r="1231" spans="1:24" ht="13.5" customHeight="1" x14ac:dyDescent="0.3">
      <c r="A1231" s="245"/>
      <c r="B1231" s="246"/>
      <c r="C1231" s="245"/>
      <c r="D1231" s="245"/>
      <c r="E1231" s="245"/>
      <c r="F1231" s="245"/>
      <c r="G1231" s="245"/>
      <c r="H1231" s="245"/>
      <c r="I1231" s="245"/>
      <c r="J1231" s="245"/>
      <c r="K1231" s="245"/>
      <c r="L1231" s="246"/>
      <c r="M1231" s="245"/>
      <c r="N1231" s="245"/>
      <c r="O1231" s="245"/>
      <c r="P1231" s="245"/>
      <c r="Q1231" s="247"/>
      <c r="R1231" s="247"/>
      <c r="S1231" s="247"/>
      <c r="T1231" s="245"/>
      <c r="U1231" s="245"/>
      <c r="V1231" s="241"/>
      <c r="W1231" s="241"/>
      <c r="X1231" s="241"/>
    </row>
    <row r="1232" spans="1:24" ht="13.5" customHeight="1" x14ac:dyDescent="0.3">
      <c r="A1232" s="245"/>
      <c r="B1232" s="246"/>
      <c r="C1232" s="245"/>
      <c r="D1232" s="245"/>
      <c r="E1232" s="245"/>
      <c r="F1232" s="245"/>
      <c r="G1232" s="245"/>
      <c r="H1232" s="245"/>
      <c r="I1232" s="245"/>
      <c r="J1232" s="245"/>
      <c r="K1232" s="245"/>
      <c r="L1232" s="246"/>
      <c r="M1232" s="245"/>
      <c r="N1232" s="245"/>
      <c r="O1232" s="245"/>
      <c r="P1232" s="245"/>
      <c r="Q1232" s="247"/>
      <c r="R1232" s="247"/>
      <c r="S1232" s="247"/>
      <c r="T1232" s="245"/>
      <c r="U1232" s="245"/>
      <c r="V1232" s="241"/>
      <c r="W1232" s="241"/>
      <c r="X1232" s="241"/>
    </row>
    <row r="1233" spans="1:24" ht="13.5" customHeight="1" x14ac:dyDescent="0.3">
      <c r="A1233" s="245"/>
      <c r="B1233" s="246"/>
      <c r="C1233" s="245"/>
      <c r="D1233" s="245"/>
      <c r="E1233" s="245"/>
      <c r="F1233" s="245"/>
      <c r="G1233" s="245"/>
      <c r="H1233" s="245"/>
      <c r="I1233" s="245"/>
      <c r="J1233" s="245"/>
      <c r="K1233" s="245"/>
      <c r="L1233" s="246"/>
      <c r="M1233" s="245"/>
      <c r="N1233" s="245"/>
      <c r="O1233" s="245"/>
      <c r="P1233" s="245"/>
      <c r="Q1233" s="247"/>
      <c r="R1233" s="247"/>
      <c r="S1233" s="247"/>
      <c r="T1233" s="245"/>
      <c r="U1233" s="245"/>
      <c r="V1233" s="241"/>
      <c r="W1233" s="241"/>
      <c r="X1233" s="241"/>
    </row>
    <row r="1234" spans="1:24" ht="13.5" customHeight="1" x14ac:dyDescent="0.3">
      <c r="A1234" s="245"/>
      <c r="B1234" s="246"/>
      <c r="C1234" s="245"/>
      <c r="D1234" s="245"/>
      <c r="E1234" s="245"/>
      <c r="F1234" s="245"/>
      <c r="G1234" s="245"/>
      <c r="H1234" s="245"/>
      <c r="I1234" s="245"/>
      <c r="J1234" s="245"/>
      <c r="K1234" s="245"/>
      <c r="L1234" s="246"/>
      <c r="M1234" s="245"/>
      <c r="N1234" s="245"/>
      <c r="O1234" s="245"/>
      <c r="P1234" s="245"/>
      <c r="Q1234" s="247"/>
      <c r="R1234" s="247"/>
      <c r="S1234" s="247"/>
      <c r="T1234" s="245"/>
      <c r="U1234" s="245"/>
      <c r="V1234" s="241"/>
      <c r="W1234" s="241"/>
      <c r="X1234" s="241"/>
    </row>
    <row r="1235" spans="1:24" ht="13.5" customHeight="1" x14ac:dyDescent="0.3">
      <c r="A1235" s="245"/>
      <c r="B1235" s="246"/>
      <c r="C1235" s="245"/>
      <c r="D1235" s="245"/>
      <c r="E1235" s="245"/>
      <c r="F1235" s="245"/>
      <c r="G1235" s="245"/>
      <c r="H1235" s="245"/>
      <c r="I1235" s="245"/>
      <c r="J1235" s="245"/>
      <c r="K1235" s="245"/>
      <c r="L1235" s="246"/>
      <c r="M1235" s="245"/>
      <c r="N1235" s="245"/>
      <c r="O1235" s="245"/>
      <c r="P1235" s="245"/>
      <c r="Q1235" s="247"/>
      <c r="R1235" s="247"/>
      <c r="S1235" s="247"/>
      <c r="T1235" s="245"/>
      <c r="U1235" s="245"/>
      <c r="V1235" s="241"/>
      <c r="W1235" s="241"/>
      <c r="X1235" s="241"/>
    </row>
    <row r="1236" spans="1:24" ht="13.5" customHeight="1" x14ac:dyDescent="0.3">
      <c r="A1236" s="245"/>
      <c r="B1236" s="246"/>
      <c r="C1236" s="245"/>
      <c r="D1236" s="245"/>
      <c r="E1236" s="245"/>
      <c r="F1236" s="245"/>
      <c r="G1236" s="245"/>
      <c r="H1236" s="245"/>
      <c r="I1236" s="245"/>
      <c r="J1236" s="245"/>
      <c r="K1236" s="245"/>
      <c r="L1236" s="246"/>
      <c r="M1236" s="245"/>
      <c r="N1236" s="245"/>
      <c r="O1236" s="245"/>
      <c r="P1236" s="245"/>
      <c r="Q1236" s="247"/>
      <c r="R1236" s="247"/>
      <c r="S1236" s="247"/>
      <c r="T1236" s="245"/>
      <c r="U1236" s="245"/>
      <c r="V1236" s="241"/>
      <c r="W1236" s="241"/>
      <c r="X1236" s="241"/>
    </row>
    <row r="1237" spans="1:24" ht="13.5" customHeight="1" x14ac:dyDescent="0.3">
      <c r="A1237" s="245"/>
      <c r="B1237" s="246"/>
      <c r="C1237" s="245"/>
      <c r="D1237" s="245"/>
      <c r="E1237" s="245"/>
      <c r="F1237" s="245"/>
      <c r="G1237" s="245"/>
      <c r="H1237" s="245"/>
      <c r="I1237" s="245"/>
      <c r="J1237" s="245"/>
      <c r="K1237" s="245"/>
      <c r="L1237" s="246"/>
      <c r="M1237" s="245"/>
      <c r="N1237" s="245"/>
      <c r="O1237" s="245"/>
      <c r="P1237" s="245"/>
      <c r="Q1237" s="247"/>
      <c r="R1237" s="247"/>
      <c r="S1237" s="247"/>
      <c r="T1237" s="245"/>
      <c r="U1237" s="245"/>
      <c r="V1237" s="241"/>
      <c r="W1237" s="241"/>
      <c r="X1237" s="241"/>
    </row>
    <row r="1238" spans="1:24" ht="13.5" customHeight="1" x14ac:dyDescent="0.3">
      <c r="A1238" s="245"/>
      <c r="B1238" s="246"/>
      <c r="C1238" s="245"/>
      <c r="D1238" s="245"/>
      <c r="E1238" s="245"/>
      <c r="F1238" s="245"/>
      <c r="G1238" s="245"/>
      <c r="H1238" s="245"/>
      <c r="I1238" s="245"/>
      <c r="J1238" s="245"/>
      <c r="K1238" s="245"/>
      <c r="L1238" s="246"/>
      <c r="M1238" s="245"/>
      <c r="N1238" s="245"/>
      <c r="O1238" s="245"/>
      <c r="P1238" s="245"/>
      <c r="Q1238" s="247"/>
      <c r="R1238" s="247"/>
      <c r="S1238" s="247"/>
      <c r="T1238" s="245"/>
      <c r="U1238" s="245"/>
      <c r="V1238" s="241"/>
      <c r="W1238" s="241"/>
      <c r="X1238" s="241"/>
    </row>
    <row r="1239" spans="1:24" ht="13.5" customHeight="1" x14ac:dyDescent="0.3">
      <c r="A1239" s="245"/>
      <c r="B1239" s="246"/>
      <c r="C1239" s="245"/>
      <c r="D1239" s="245"/>
      <c r="E1239" s="245"/>
      <c r="F1239" s="245"/>
      <c r="G1239" s="245"/>
      <c r="H1239" s="245"/>
      <c r="I1239" s="245"/>
      <c r="J1239" s="245"/>
      <c r="K1239" s="245"/>
      <c r="L1239" s="246"/>
      <c r="M1239" s="245"/>
      <c r="N1239" s="245"/>
      <c r="O1239" s="245"/>
      <c r="P1239" s="245"/>
      <c r="Q1239" s="247"/>
      <c r="R1239" s="247"/>
      <c r="S1239" s="247"/>
      <c r="T1239" s="245"/>
      <c r="U1239" s="245"/>
      <c r="V1239" s="241"/>
      <c r="W1239" s="241"/>
      <c r="X1239" s="241"/>
    </row>
    <row r="1240" spans="1:24" ht="13.5" customHeight="1" x14ac:dyDescent="0.3">
      <c r="A1240" s="245"/>
      <c r="B1240" s="246"/>
      <c r="C1240" s="245"/>
      <c r="D1240" s="245"/>
      <c r="E1240" s="245"/>
      <c r="F1240" s="245"/>
      <c r="G1240" s="245"/>
      <c r="H1240" s="245"/>
      <c r="I1240" s="245"/>
      <c r="J1240" s="245"/>
      <c r="K1240" s="245"/>
      <c r="L1240" s="246"/>
      <c r="M1240" s="245"/>
      <c r="N1240" s="245"/>
      <c r="O1240" s="245"/>
      <c r="P1240" s="245"/>
      <c r="Q1240" s="247"/>
      <c r="R1240" s="247"/>
      <c r="S1240" s="247"/>
      <c r="T1240" s="245"/>
      <c r="U1240" s="245"/>
      <c r="V1240" s="241"/>
      <c r="W1240" s="241"/>
      <c r="X1240" s="241"/>
    </row>
    <row r="1241" spans="1:24" ht="13.5" customHeight="1" x14ac:dyDescent="0.3">
      <c r="A1241" s="245"/>
      <c r="B1241" s="246"/>
      <c r="C1241" s="245"/>
      <c r="D1241" s="245"/>
      <c r="E1241" s="245"/>
      <c r="F1241" s="245"/>
      <c r="G1241" s="245"/>
      <c r="H1241" s="245"/>
      <c r="I1241" s="245"/>
      <c r="J1241" s="245"/>
      <c r="K1241" s="245"/>
      <c r="L1241" s="246"/>
      <c r="M1241" s="245"/>
      <c r="N1241" s="245"/>
      <c r="O1241" s="245"/>
      <c r="P1241" s="245"/>
      <c r="Q1241" s="247"/>
      <c r="R1241" s="247"/>
      <c r="S1241" s="247"/>
      <c r="T1241" s="245"/>
      <c r="U1241" s="245"/>
      <c r="V1241" s="241"/>
      <c r="W1241" s="241"/>
      <c r="X1241" s="241"/>
    </row>
    <row r="1242" spans="1:24" ht="13.5" customHeight="1" x14ac:dyDescent="0.3">
      <c r="A1242" s="245"/>
      <c r="B1242" s="246"/>
      <c r="C1242" s="245"/>
      <c r="D1242" s="245"/>
      <c r="E1242" s="245"/>
      <c r="F1242" s="245"/>
      <c r="G1242" s="245"/>
      <c r="H1242" s="245"/>
      <c r="I1242" s="245"/>
      <c r="J1242" s="245"/>
      <c r="K1242" s="245"/>
      <c r="L1242" s="246"/>
      <c r="M1242" s="245"/>
      <c r="N1242" s="245"/>
      <c r="O1242" s="245"/>
      <c r="P1242" s="245"/>
      <c r="Q1242" s="247"/>
      <c r="R1242" s="247"/>
      <c r="S1242" s="247"/>
      <c r="T1242" s="245"/>
      <c r="U1242" s="245"/>
      <c r="V1242" s="241"/>
      <c r="W1242" s="241"/>
      <c r="X1242" s="241"/>
    </row>
    <row r="1243" spans="1:24" ht="13.5" customHeight="1" x14ac:dyDescent="0.3">
      <c r="A1243" s="245"/>
      <c r="B1243" s="246"/>
      <c r="C1243" s="245"/>
      <c r="D1243" s="245"/>
      <c r="E1243" s="245"/>
      <c r="F1243" s="245"/>
      <c r="G1243" s="245"/>
      <c r="H1243" s="245"/>
      <c r="I1243" s="245"/>
      <c r="J1243" s="245"/>
      <c r="K1243" s="245"/>
      <c r="L1243" s="246"/>
      <c r="M1243" s="245"/>
      <c r="N1243" s="245"/>
      <c r="O1243" s="245"/>
      <c r="P1243" s="245"/>
      <c r="Q1243" s="247"/>
      <c r="R1243" s="247"/>
      <c r="S1243" s="247"/>
      <c r="T1243" s="245"/>
      <c r="U1243" s="245"/>
      <c r="V1243" s="241"/>
      <c r="W1243" s="241"/>
      <c r="X1243" s="241"/>
    </row>
    <row r="1244" spans="1:24" ht="13.5" customHeight="1" x14ac:dyDescent="0.3">
      <c r="A1244" s="245"/>
      <c r="B1244" s="246"/>
      <c r="C1244" s="245"/>
      <c r="D1244" s="245"/>
      <c r="E1244" s="245"/>
      <c r="F1244" s="245"/>
      <c r="G1244" s="245"/>
      <c r="H1244" s="245"/>
      <c r="I1244" s="245"/>
      <c r="J1244" s="245"/>
      <c r="K1244" s="245"/>
      <c r="L1244" s="246"/>
      <c r="M1244" s="245"/>
      <c r="N1244" s="245"/>
      <c r="O1244" s="245"/>
      <c r="P1244" s="245"/>
      <c r="Q1244" s="247"/>
      <c r="R1244" s="247"/>
      <c r="S1244" s="247"/>
      <c r="T1244" s="245"/>
      <c r="U1244" s="245"/>
      <c r="V1244" s="241"/>
      <c r="W1244" s="241"/>
      <c r="X1244" s="241"/>
    </row>
    <row r="1245" spans="1:24" ht="13.5" customHeight="1" x14ac:dyDescent="0.3">
      <c r="A1245" s="245"/>
      <c r="B1245" s="246"/>
      <c r="C1245" s="245"/>
      <c r="D1245" s="245"/>
      <c r="E1245" s="245"/>
      <c r="F1245" s="245"/>
      <c r="G1245" s="245"/>
      <c r="H1245" s="245"/>
      <c r="I1245" s="245"/>
      <c r="J1245" s="245"/>
      <c r="K1245" s="245"/>
      <c r="L1245" s="246"/>
      <c r="M1245" s="245"/>
      <c r="N1245" s="245"/>
      <c r="O1245" s="245"/>
      <c r="P1245" s="245"/>
      <c r="Q1245" s="247"/>
      <c r="R1245" s="247"/>
      <c r="S1245" s="247"/>
      <c r="T1245" s="245"/>
      <c r="U1245" s="245"/>
      <c r="V1245" s="241"/>
      <c r="W1245" s="241"/>
      <c r="X1245" s="241"/>
    </row>
    <row r="1246" spans="1:24" ht="13.5" customHeight="1" x14ac:dyDescent="0.3">
      <c r="A1246" s="245"/>
      <c r="B1246" s="246"/>
      <c r="C1246" s="245"/>
      <c r="D1246" s="245"/>
      <c r="E1246" s="245"/>
      <c r="F1246" s="245"/>
      <c r="G1246" s="245"/>
      <c r="H1246" s="245"/>
      <c r="I1246" s="245"/>
      <c r="J1246" s="245"/>
      <c r="K1246" s="245"/>
      <c r="L1246" s="246"/>
      <c r="M1246" s="245"/>
      <c r="N1246" s="245"/>
      <c r="O1246" s="245"/>
      <c r="P1246" s="245"/>
      <c r="Q1246" s="247"/>
      <c r="R1246" s="247"/>
      <c r="S1246" s="247"/>
      <c r="T1246" s="245"/>
      <c r="U1246" s="245"/>
      <c r="V1246" s="241"/>
      <c r="W1246" s="241"/>
      <c r="X1246" s="241"/>
    </row>
    <row r="1247" spans="1:24" ht="13.5" customHeight="1" x14ac:dyDescent="0.3">
      <c r="A1247" s="245"/>
      <c r="B1247" s="246"/>
      <c r="C1247" s="245"/>
      <c r="D1247" s="245"/>
      <c r="E1247" s="245"/>
      <c r="F1247" s="245"/>
      <c r="G1247" s="245"/>
      <c r="H1247" s="245"/>
      <c r="I1247" s="245"/>
      <c r="J1247" s="245"/>
      <c r="K1247" s="245"/>
      <c r="L1247" s="246"/>
      <c r="M1247" s="245"/>
      <c r="N1247" s="245"/>
      <c r="O1247" s="245"/>
      <c r="P1247" s="245"/>
      <c r="Q1247" s="247"/>
      <c r="R1247" s="247"/>
      <c r="S1247" s="247"/>
      <c r="T1247" s="245"/>
      <c r="U1247" s="245"/>
      <c r="V1247" s="241"/>
      <c r="W1247" s="241"/>
      <c r="X1247" s="241"/>
    </row>
    <row r="1248" spans="1:24" ht="13.5" customHeight="1" x14ac:dyDescent="0.3">
      <c r="A1248" s="245"/>
      <c r="B1248" s="246"/>
      <c r="C1248" s="245"/>
      <c r="D1248" s="245"/>
      <c r="E1248" s="245"/>
      <c r="F1248" s="245"/>
      <c r="G1248" s="245"/>
      <c r="H1248" s="245"/>
      <c r="I1248" s="245"/>
      <c r="J1248" s="245"/>
      <c r="K1248" s="245"/>
      <c r="L1248" s="246"/>
      <c r="M1248" s="245"/>
      <c r="N1248" s="245"/>
      <c r="O1248" s="245"/>
      <c r="P1248" s="245"/>
      <c r="Q1248" s="247"/>
      <c r="R1248" s="247"/>
      <c r="S1248" s="247"/>
      <c r="T1248" s="245"/>
      <c r="U1248" s="245"/>
      <c r="V1248" s="241"/>
      <c r="W1248" s="241"/>
      <c r="X1248" s="241"/>
    </row>
    <row r="1249" spans="1:24" ht="13.5" customHeight="1" x14ac:dyDescent="0.3">
      <c r="A1249" s="245"/>
      <c r="B1249" s="246"/>
      <c r="C1249" s="245"/>
      <c r="D1249" s="245"/>
      <c r="E1249" s="245"/>
      <c r="F1249" s="245"/>
      <c r="G1249" s="245"/>
      <c r="H1249" s="245"/>
      <c r="I1249" s="245"/>
      <c r="J1249" s="245"/>
      <c r="K1249" s="245"/>
      <c r="L1249" s="246"/>
      <c r="M1249" s="245"/>
      <c r="N1249" s="245"/>
      <c r="O1249" s="245"/>
      <c r="P1249" s="245"/>
      <c r="Q1249" s="247"/>
      <c r="R1249" s="247"/>
      <c r="S1249" s="247"/>
      <c r="T1249" s="245"/>
      <c r="U1249" s="245"/>
      <c r="V1249" s="241"/>
      <c r="W1249" s="241"/>
      <c r="X1249" s="241"/>
    </row>
    <row r="1250" spans="1:24" ht="13.5" customHeight="1" x14ac:dyDescent="0.3">
      <c r="A1250" s="245"/>
      <c r="B1250" s="246"/>
      <c r="C1250" s="245"/>
      <c r="D1250" s="245"/>
      <c r="E1250" s="245"/>
      <c r="F1250" s="245"/>
      <c r="G1250" s="245"/>
      <c r="H1250" s="245"/>
      <c r="I1250" s="245"/>
      <c r="J1250" s="245"/>
      <c r="K1250" s="245"/>
      <c r="L1250" s="246"/>
      <c r="M1250" s="245"/>
      <c r="N1250" s="245"/>
      <c r="O1250" s="245"/>
      <c r="P1250" s="245"/>
      <c r="Q1250" s="247"/>
      <c r="R1250" s="247"/>
      <c r="S1250" s="247"/>
      <c r="T1250" s="245"/>
      <c r="U1250" s="245"/>
      <c r="V1250" s="241"/>
      <c r="W1250" s="241"/>
      <c r="X1250" s="241"/>
    </row>
    <row r="1251" spans="1:24" ht="13.5" customHeight="1" x14ac:dyDescent="0.3">
      <c r="A1251" s="245"/>
      <c r="B1251" s="246"/>
      <c r="C1251" s="245"/>
      <c r="D1251" s="245"/>
      <c r="E1251" s="245"/>
      <c r="F1251" s="245"/>
      <c r="G1251" s="245"/>
      <c r="H1251" s="245"/>
      <c r="I1251" s="245"/>
      <c r="J1251" s="245"/>
      <c r="K1251" s="245"/>
      <c r="L1251" s="246"/>
      <c r="M1251" s="245"/>
      <c r="N1251" s="245"/>
      <c r="O1251" s="245"/>
      <c r="P1251" s="245"/>
      <c r="Q1251" s="247"/>
      <c r="R1251" s="247"/>
      <c r="S1251" s="247"/>
      <c r="T1251" s="245"/>
      <c r="U1251" s="245"/>
      <c r="V1251" s="241"/>
      <c r="W1251" s="241"/>
      <c r="X1251" s="241"/>
    </row>
    <row r="1252" spans="1:24" ht="13.5" customHeight="1" x14ac:dyDescent="0.3">
      <c r="A1252" s="245"/>
      <c r="B1252" s="246"/>
      <c r="C1252" s="245"/>
      <c r="D1252" s="245"/>
      <c r="E1252" s="245"/>
      <c r="F1252" s="245"/>
      <c r="G1252" s="245"/>
      <c r="H1252" s="245"/>
      <c r="I1252" s="245"/>
      <c r="J1252" s="245"/>
      <c r="K1252" s="245"/>
      <c r="L1252" s="246"/>
      <c r="M1252" s="245"/>
      <c r="N1252" s="245"/>
      <c r="O1252" s="245"/>
      <c r="P1252" s="245"/>
      <c r="Q1252" s="247"/>
      <c r="R1252" s="247"/>
      <c r="S1252" s="247"/>
      <c r="T1252" s="245"/>
      <c r="U1252" s="245"/>
      <c r="V1252" s="241"/>
      <c r="W1252" s="241"/>
      <c r="X1252" s="241"/>
    </row>
    <row r="1253" spans="1:24" ht="13.5" customHeight="1" x14ac:dyDescent="0.3">
      <c r="A1253" s="245"/>
      <c r="B1253" s="246"/>
      <c r="C1253" s="245"/>
      <c r="D1253" s="245"/>
      <c r="E1253" s="245"/>
      <c r="F1253" s="245"/>
      <c r="G1253" s="245"/>
      <c r="H1253" s="245"/>
      <c r="I1253" s="245"/>
      <c r="J1253" s="245"/>
      <c r="K1253" s="245"/>
      <c r="L1253" s="246"/>
      <c r="M1253" s="245"/>
      <c r="N1253" s="245"/>
      <c r="O1253" s="245"/>
      <c r="P1253" s="245"/>
      <c r="Q1253" s="247"/>
      <c r="R1253" s="247"/>
      <c r="S1253" s="247"/>
      <c r="T1253" s="245"/>
      <c r="U1253" s="245"/>
      <c r="V1253" s="241"/>
      <c r="W1253" s="241"/>
      <c r="X1253" s="241"/>
    </row>
    <row r="1254" spans="1:24" ht="13.5" customHeight="1" x14ac:dyDescent="0.3">
      <c r="A1254" s="245"/>
      <c r="B1254" s="246"/>
      <c r="C1254" s="245"/>
      <c r="D1254" s="245"/>
      <c r="E1254" s="245"/>
      <c r="F1254" s="245"/>
      <c r="G1254" s="245"/>
      <c r="H1254" s="245"/>
      <c r="I1254" s="245"/>
      <c r="J1254" s="245"/>
      <c r="K1254" s="245"/>
      <c r="L1254" s="246"/>
      <c r="M1254" s="245"/>
      <c r="N1254" s="245"/>
      <c r="O1254" s="245"/>
      <c r="P1254" s="245"/>
      <c r="Q1254" s="247"/>
      <c r="R1254" s="247"/>
      <c r="S1254" s="247"/>
      <c r="T1254" s="245"/>
      <c r="U1254" s="245"/>
      <c r="V1254" s="241"/>
      <c r="W1254" s="241"/>
      <c r="X1254" s="241"/>
    </row>
    <row r="1255" spans="1:24" ht="13.5" customHeight="1" x14ac:dyDescent="0.3">
      <c r="A1255" s="245"/>
      <c r="B1255" s="246"/>
      <c r="C1255" s="245"/>
      <c r="D1255" s="245"/>
      <c r="E1255" s="245"/>
      <c r="F1255" s="245"/>
      <c r="G1255" s="245"/>
      <c r="H1255" s="245"/>
      <c r="I1255" s="245"/>
      <c r="J1255" s="245"/>
      <c r="K1255" s="245"/>
      <c r="L1255" s="246"/>
      <c r="M1255" s="245"/>
      <c r="N1255" s="245"/>
      <c r="O1255" s="245"/>
      <c r="P1255" s="245"/>
      <c r="Q1255" s="247"/>
      <c r="R1255" s="247"/>
      <c r="S1255" s="247"/>
      <c r="T1255" s="245"/>
      <c r="U1255" s="245"/>
      <c r="V1255" s="241"/>
      <c r="W1255" s="241"/>
      <c r="X1255" s="241"/>
    </row>
    <row r="1256" spans="1:24" ht="13.5" customHeight="1" x14ac:dyDescent="0.3">
      <c r="A1256" s="245"/>
      <c r="B1256" s="246"/>
      <c r="C1256" s="245"/>
      <c r="D1256" s="245"/>
      <c r="E1256" s="245"/>
      <c r="F1256" s="245"/>
      <c r="G1256" s="245"/>
      <c r="H1256" s="245"/>
      <c r="I1256" s="245"/>
      <c r="J1256" s="245"/>
      <c r="K1256" s="245"/>
      <c r="L1256" s="246"/>
      <c r="M1256" s="245"/>
      <c r="N1256" s="245"/>
      <c r="O1256" s="245"/>
      <c r="P1256" s="245"/>
      <c r="Q1256" s="247"/>
      <c r="R1256" s="247"/>
      <c r="S1256" s="247"/>
      <c r="T1256" s="245"/>
      <c r="U1256" s="245"/>
      <c r="V1256" s="241"/>
      <c r="W1256" s="241"/>
      <c r="X1256" s="241"/>
    </row>
    <row r="1257" spans="1:24" ht="13.5" customHeight="1" x14ac:dyDescent="0.3">
      <c r="A1257" s="245"/>
      <c r="B1257" s="246"/>
      <c r="C1257" s="245"/>
      <c r="D1257" s="245"/>
      <c r="E1257" s="245"/>
      <c r="F1257" s="245"/>
      <c r="G1257" s="245"/>
      <c r="H1257" s="245"/>
      <c r="I1257" s="245"/>
      <c r="J1257" s="245"/>
      <c r="K1257" s="245"/>
      <c r="L1257" s="246"/>
      <c r="M1257" s="245"/>
      <c r="N1257" s="245"/>
      <c r="O1257" s="245"/>
      <c r="P1257" s="245"/>
      <c r="Q1257" s="247"/>
      <c r="R1257" s="247"/>
      <c r="S1257" s="247"/>
      <c r="T1257" s="245"/>
      <c r="U1257" s="245"/>
      <c r="V1257" s="241"/>
      <c r="W1257" s="241"/>
      <c r="X1257" s="241"/>
    </row>
    <row r="1258" spans="1:24" ht="13.5" customHeight="1" x14ac:dyDescent="0.3">
      <c r="A1258" s="245"/>
      <c r="B1258" s="246"/>
      <c r="C1258" s="245"/>
      <c r="D1258" s="245"/>
      <c r="E1258" s="245"/>
      <c r="F1258" s="245"/>
      <c r="G1258" s="245"/>
      <c r="H1258" s="245"/>
      <c r="I1258" s="245"/>
      <c r="J1258" s="245"/>
      <c r="K1258" s="245"/>
      <c r="L1258" s="246"/>
      <c r="M1258" s="245"/>
      <c r="N1258" s="245"/>
      <c r="O1258" s="245"/>
      <c r="P1258" s="245"/>
      <c r="Q1258" s="247"/>
      <c r="R1258" s="247"/>
      <c r="S1258" s="247"/>
      <c r="T1258" s="245"/>
      <c r="U1258" s="245"/>
      <c r="V1258" s="241"/>
      <c r="W1258" s="241"/>
      <c r="X1258" s="241"/>
    </row>
    <row r="1259" spans="1:24" ht="13.5" customHeight="1" x14ac:dyDescent="0.3">
      <c r="A1259" s="245"/>
      <c r="B1259" s="246"/>
      <c r="C1259" s="245"/>
      <c r="D1259" s="245"/>
      <c r="E1259" s="245"/>
      <c r="F1259" s="245"/>
      <c r="G1259" s="245"/>
      <c r="H1259" s="245"/>
      <c r="I1259" s="245"/>
      <c r="J1259" s="245"/>
      <c r="K1259" s="245"/>
      <c r="L1259" s="246"/>
      <c r="M1259" s="245"/>
      <c r="N1259" s="245"/>
      <c r="O1259" s="245"/>
      <c r="P1259" s="245"/>
      <c r="Q1259" s="247"/>
      <c r="R1259" s="247"/>
      <c r="S1259" s="247"/>
      <c r="T1259" s="245"/>
      <c r="U1259" s="245"/>
      <c r="V1259" s="241"/>
      <c r="W1259" s="241"/>
      <c r="X1259" s="241"/>
    </row>
    <row r="1260" spans="1:24" ht="13.5" customHeight="1" x14ac:dyDescent="0.3">
      <c r="A1260" s="245"/>
      <c r="B1260" s="246"/>
      <c r="C1260" s="245"/>
      <c r="D1260" s="245"/>
      <c r="E1260" s="245"/>
      <c r="F1260" s="245"/>
      <c r="G1260" s="245"/>
      <c r="H1260" s="245"/>
      <c r="I1260" s="245"/>
      <c r="J1260" s="245"/>
      <c r="K1260" s="245"/>
      <c r="L1260" s="246"/>
      <c r="M1260" s="245"/>
      <c r="N1260" s="245"/>
      <c r="O1260" s="245"/>
      <c r="P1260" s="245"/>
      <c r="Q1260" s="247"/>
      <c r="R1260" s="247"/>
      <c r="S1260" s="247"/>
      <c r="T1260" s="245"/>
      <c r="U1260" s="245"/>
      <c r="V1260" s="241"/>
      <c r="W1260" s="241"/>
      <c r="X1260" s="241"/>
    </row>
    <row r="1261" spans="1:24" ht="13.5" customHeight="1" x14ac:dyDescent="0.3">
      <c r="A1261" s="245"/>
      <c r="B1261" s="246"/>
      <c r="C1261" s="245"/>
      <c r="D1261" s="245"/>
      <c r="E1261" s="245"/>
      <c r="F1261" s="245"/>
      <c r="G1261" s="245"/>
      <c r="H1261" s="245"/>
      <c r="I1261" s="245"/>
      <c r="J1261" s="245"/>
      <c r="K1261" s="245"/>
      <c r="L1261" s="246"/>
      <c r="M1261" s="245"/>
      <c r="N1261" s="245"/>
      <c r="O1261" s="245"/>
      <c r="P1261" s="245"/>
      <c r="Q1261" s="247"/>
      <c r="R1261" s="247"/>
      <c r="S1261" s="247"/>
      <c r="T1261" s="245"/>
      <c r="U1261" s="245"/>
      <c r="V1261" s="241"/>
      <c r="W1261" s="241"/>
      <c r="X1261" s="241"/>
    </row>
    <row r="1262" spans="1:24" ht="13.5" customHeight="1" x14ac:dyDescent="0.3">
      <c r="A1262" s="245"/>
      <c r="B1262" s="246"/>
      <c r="C1262" s="245"/>
      <c r="D1262" s="245"/>
      <c r="E1262" s="245"/>
      <c r="F1262" s="245"/>
      <c r="G1262" s="245"/>
      <c r="H1262" s="245"/>
      <c r="I1262" s="245"/>
      <c r="J1262" s="245"/>
      <c r="K1262" s="245"/>
      <c r="L1262" s="246"/>
      <c r="M1262" s="245"/>
      <c r="N1262" s="245"/>
      <c r="O1262" s="245"/>
      <c r="P1262" s="245"/>
      <c r="Q1262" s="247"/>
      <c r="R1262" s="247"/>
      <c r="S1262" s="247"/>
      <c r="T1262" s="245"/>
      <c r="U1262" s="245"/>
      <c r="V1262" s="241"/>
      <c r="W1262" s="241"/>
      <c r="X1262" s="241"/>
    </row>
    <row r="1263" spans="1:24" ht="13.5" customHeight="1" x14ac:dyDescent="0.3">
      <c r="A1263" s="245"/>
      <c r="B1263" s="246"/>
      <c r="C1263" s="245"/>
      <c r="D1263" s="245"/>
      <c r="E1263" s="245"/>
      <c r="F1263" s="245"/>
      <c r="G1263" s="245"/>
      <c r="H1263" s="245"/>
      <c r="I1263" s="245"/>
      <c r="J1263" s="245"/>
      <c r="K1263" s="245"/>
      <c r="L1263" s="246"/>
      <c r="M1263" s="245"/>
      <c r="N1263" s="245"/>
      <c r="O1263" s="245"/>
      <c r="P1263" s="245"/>
      <c r="Q1263" s="247"/>
      <c r="R1263" s="247"/>
      <c r="S1263" s="247"/>
      <c r="T1263" s="245"/>
      <c r="U1263" s="245"/>
      <c r="V1263" s="241"/>
      <c r="W1263" s="241"/>
      <c r="X1263" s="241"/>
    </row>
    <row r="1264" spans="1:24" ht="13.5" customHeight="1" x14ac:dyDescent="0.3">
      <c r="A1264" s="245"/>
      <c r="B1264" s="246"/>
      <c r="C1264" s="245"/>
      <c r="D1264" s="245"/>
      <c r="E1264" s="245"/>
      <c r="F1264" s="245"/>
      <c r="G1264" s="245"/>
      <c r="H1264" s="245"/>
      <c r="I1264" s="245"/>
      <c r="J1264" s="245"/>
      <c r="K1264" s="245"/>
      <c r="L1264" s="246"/>
      <c r="M1264" s="245"/>
      <c r="N1264" s="245"/>
      <c r="O1264" s="245"/>
      <c r="P1264" s="245"/>
      <c r="Q1264" s="247"/>
      <c r="R1264" s="247"/>
      <c r="S1264" s="247"/>
      <c r="T1264" s="245"/>
      <c r="U1264" s="245"/>
      <c r="V1264" s="241"/>
      <c r="W1264" s="241"/>
      <c r="X1264" s="241"/>
    </row>
    <row r="1265" spans="1:24" ht="13.5" customHeight="1" x14ac:dyDescent="0.3">
      <c r="A1265" s="245"/>
      <c r="B1265" s="246"/>
      <c r="C1265" s="245"/>
      <c r="D1265" s="245"/>
      <c r="E1265" s="245"/>
      <c r="F1265" s="245"/>
      <c r="G1265" s="245"/>
      <c r="H1265" s="245"/>
      <c r="I1265" s="245"/>
      <c r="J1265" s="245"/>
      <c r="K1265" s="245"/>
      <c r="L1265" s="246"/>
      <c r="M1265" s="245"/>
      <c r="N1265" s="245"/>
      <c r="O1265" s="245"/>
      <c r="P1265" s="245"/>
      <c r="Q1265" s="247"/>
      <c r="R1265" s="247"/>
      <c r="S1265" s="247"/>
      <c r="T1265" s="245"/>
      <c r="U1265" s="245"/>
      <c r="V1265" s="241"/>
      <c r="W1265" s="241"/>
      <c r="X1265" s="241"/>
    </row>
    <row r="1266" spans="1:24" ht="13.5" customHeight="1" x14ac:dyDescent="0.3">
      <c r="A1266" s="245"/>
      <c r="B1266" s="246"/>
      <c r="C1266" s="245"/>
      <c r="D1266" s="245"/>
      <c r="E1266" s="245"/>
      <c r="F1266" s="245"/>
      <c r="G1266" s="245"/>
      <c r="H1266" s="245"/>
      <c r="I1266" s="245"/>
      <c r="J1266" s="245"/>
      <c r="K1266" s="245"/>
      <c r="L1266" s="246"/>
      <c r="M1266" s="245"/>
      <c r="N1266" s="245"/>
      <c r="O1266" s="245"/>
      <c r="P1266" s="245"/>
      <c r="Q1266" s="247"/>
      <c r="R1266" s="247"/>
      <c r="S1266" s="247"/>
      <c r="T1266" s="245"/>
      <c r="U1266" s="245"/>
      <c r="V1266" s="241"/>
      <c r="W1266" s="241"/>
      <c r="X1266" s="241"/>
    </row>
    <row r="1267" spans="1:24" ht="13.5" customHeight="1" x14ac:dyDescent="0.3">
      <c r="A1267" s="245"/>
      <c r="B1267" s="246"/>
      <c r="C1267" s="245"/>
      <c r="D1267" s="245"/>
      <c r="E1267" s="245"/>
      <c r="F1267" s="245"/>
      <c r="G1267" s="245"/>
      <c r="H1267" s="245"/>
      <c r="I1267" s="245"/>
      <c r="J1267" s="245"/>
      <c r="K1267" s="245"/>
      <c r="L1267" s="246"/>
      <c r="M1267" s="245"/>
      <c r="N1267" s="245"/>
      <c r="O1267" s="245"/>
      <c r="P1267" s="245"/>
      <c r="Q1267" s="247"/>
      <c r="R1267" s="247"/>
      <c r="S1267" s="247"/>
      <c r="T1267" s="245"/>
      <c r="U1267" s="245"/>
      <c r="V1267" s="241"/>
      <c r="W1267" s="241"/>
      <c r="X1267" s="241"/>
    </row>
    <row r="1268" spans="1:24" ht="13.5" customHeight="1" x14ac:dyDescent="0.3">
      <c r="A1268" s="245"/>
      <c r="B1268" s="246"/>
      <c r="C1268" s="245"/>
      <c r="D1268" s="245"/>
      <c r="E1268" s="245"/>
      <c r="F1268" s="245"/>
      <c r="G1268" s="245"/>
      <c r="H1268" s="245"/>
      <c r="I1268" s="245"/>
      <c r="J1268" s="245"/>
      <c r="K1268" s="245"/>
      <c r="L1268" s="246"/>
      <c r="M1268" s="245"/>
      <c r="N1268" s="245"/>
      <c r="O1268" s="245"/>
      <c r="P1268" s="245"/>
      <c r="Q1268" s="247"/>
      <c r="R1268" s="247"/>
      <c r="S1268" s="247"/>
      <c r="T1268" s="245"/>
      <c r="U1268" s="245"/>
      <c r="V1268" s="241"/>
      <c r="W1268" s="241"/>
      <c r="X1268" s="241"/>
    </row>
    <row r="1269" spans="1:24" ht="13.5" customHeight="1" x14ac:dyDescent="0.3">
      <c r="A1269" s="245"/>
      <c r="B1269" s="246"/>
      <c r="C1269" s="245"/>
      <c r="D1269" s="245"/>
      <c r="E1269" s="245"/>
      <c r="F1269" s="245"/>
      <c r="G1269" s="245"/>
      <c r="H1269" s="245"/>
      <c r="I1269" s="245"/>
      <c r="J1269" s="245"/>
      <c r="K1269" s="245"/>
      <c r="L1269" s="246"/>
      <c r="M1269" s="245"/>
      <c r="N1269" s="245"/>
      <c r="O1269" s="245"/>
      <c r="P1269" s="245"/>
      <c r="Q1269" s="247"/>
      <c r="R1269" s="247"/>
      <c r="S1269" s="247"/>
      <c r="T1269" s="245"/>
      <c r="U1269" s="245"/>
      <c r="V1269" s="241"/>
      <c r="W1269" s="241"/>
      <c r="X1269" s="241"/>
    </row>
    <row r="1270" spans="1:24" ht="13.5" customHeight="1" x14ac:dyDescent="0.3">
      <c r="A1270" s="245"/>
      <c r="B1270" s="246"/>
      <c r="C1270" s="245"/>
      <c r="D1270" s="245"/>
      <c r="E1270" s="245"/>
      <c r="F1270" s="245"/>
      <c r="G1270" s="245"/>
      <c r="H1270" s="245"/>
      <c r="I1270" s="245"/>
      <c r="J1270" s="245"/>
      <c r="K1270" s="245"/>
      <c r="L1270" s="246"/>
      <c r="M1270" s="245"/>
      <c r="N1270" s="245"/>
      <c r="O1270" s="245"/>
      <c r="P1270" s="245"/>
      <c r="Q1270" s="247"/>
      <c r="R1270" s="247"/>
      <c r="S1270" s="247"/>
      <c r="T1270" s="245"/>
      <c r="U1270" s="245"/>
      <c r="V1270" s="241"/>
      <c r="W1270" s="241"/>
      <c r="X1270" s="241"/>
    </row>
    <row r="1271" spans="1:24" ht="13.5" customHeight="1" x14ac:dyDescent="0.3">
      <c r="A1271" s="245"/>
      <c r="B1271" s="246"/>
      <c r="C1271" s="245"/>
      <c r="D1271" s="245"/>
      <c r="E1271" s="245"/>
      <c r="F1271" s="245"/>
      <c r="G1271" s="245"/>
      <c r="H1271" s="245"/>
      <c r="I1271" s="245"/>
      <c r="J1271" s="245"/>
      <c r="K1271" s="245"/>
      <c r="L1271" s="246"/>
      <c r="M1271" s="245"/>
      <c r="N1271" s="245"/>
      <c r="O1271" s="245"/>
      <c r="P1271" s="245"/>
      <c r="Q1271" s="247"/>
      <c r="R1271" s="247"/>
      <c r="S1271" s="247"/>
      <c r="T1271" s="245"/>
      <c r="U1271" s="245"/>
      <c r="V1271" s="241"/>
      <c r="W1271" s="241"/>
      <c r="X1271" s="241"/>
    </row>
    <row r="1272" spans="1:24" ht="13.5" customHeight="1" x14ac:dyDescent="0.3">
      <c r="A1272" s="245"/>
      <c r="B1272" s="246"/>
      <c r="C1272" s="245"/>
      <c r="D1272" s="245"/>
      <c r="E1272" s="245"/>
      <c r="F1272" s="245"/>
      <c r="G1272" s="245"/>
      <c r="H1272" s="245"/>
      <c r="I1272" s="245"/>
      <c r="J1272" s="245"/>
      <c r="K1272" s="245"/>
      <c r="L1272" s="246"/>
      <c r="M1272" s="245"/>
      <c r="N1272" s="245"/>
      <c r="O1272" s="245"/>
      <c r="P1272" s="245"/>
      <c r="Q1272" s="247"/>
      <c r="R1272" s="247"/>
      <c r="S1272" s="247"/>
      <c r="T1272" s="245"/>
      <c r="U1272" s="245"/>
      <c r="V1272" s="241"/>
      <c r="W1272" s="241"/>
      <c r="X1272" s="241"/>
    </row>
    <row r="1273" spans="1:24" ht="13.5" customHeight="1" x14ac:dyDescent="0.3">
      <c r="A1273" s="245"/>
      <c r="B1273" s="246"/>
      <c r="C1273" s="245"/>
      <c r="D1273" s="245"/>
      <c r="E1273" s="245"/>
      <c r="F1273" s="245"/>
      <c r="G1273" s="245"/>
      <c r="H1273" s="245"/>
      <c r="I1273" s="245"/>
      <c r="J1273" s="245"/>
      <c r="K1273" s="245"/>
      <c r="L1273" s="246"/>
      <c r="M1273" s="245"/>
      <c r="N1273" s="245"/>
      <c r="O1273" s="245"/>
      <c r="P1273" s="245"/>
      <c r="Q1273" s="247"/>
      <c r="R1273" s="247"/>
      <c r="S1273" s="247"/>
      <c r="T1273" s="245"/>
      <c r="U1273" s="245"/>
      <c r="V1273" s="241"/>
      <c r="W1273" s="241"/>
      <c r="X1273" s="241"/>
    </row>
    <row r="1274" spans="1:24" ht="13.5" customHeight="1" x14ac:dyDescent="0.3">
      <c r="A1274" s="245"/>
      <c r="B1274" s="246"/>
      <c r="C1274" s="245"/>
      <c r="D1274" s="245"/>
      <c r="E1274" s="245"/>
      <c r="F1274" s="245"/>
      <c r="G1274" s="245"/>
      <c r="H1274" s="245"/>
      <c r="I1274" s="245"/>
      <c r="J1274" s="245"/>
      <c r="K1274" s="245"/>
      <c r="L1274" s="246"/>
      <c r="M1274" s="245"/>
      <c r="N1274" s="245"/>
      <c r="O1274" s="245"/>
      <c r="P1274" s="245"/>
      <c r="Q1274" s="247"/>
      <c r="R1274" s="247"/>
      <c r="S1274" s="247"/>
      <c r="T1274" s="245"/>
      <c r="U1274" s="245"/>
      <c r="V1274" s="241"/>
      <c r="W1274" s="241"/>
      <c r="X1274" s="241"/>
    </row>
    <row r="1275" spans="1:24" ht="13.5" customHeight="1" x14ac:dyDescent="0.3">
      <c r="A1275" s="245"/>
      <c r="B1275" s="246"/>
      <c r="C1275" s="245"/>
      <c r="D1275" s="245"/>
      <c r="E1275" s="245"/>
      <c r="F1275" s="245"/>
      <c r="G1275" s="245"/>
      <c r="H1275" s="245"/>
      <c r="I1275" s="245"/>
      <c r="J1275" s="245"/>
      <c r="K1275" s="245"/>
      <c r="L1275" s="246"/>
      <c r="M1275" s="245"/>
      <c r="N1275" s="245"/>
      <c r="O1275" s="245"/>
      <c r="P1275" s="245"/>
      <c r="Q1275" s="247"/>
      <c r="R1275" s="247"/>
      <c r="S1275" s="247"/>
      <c r="T1275" s="245"/>
      <c r="U1275" s="245"/>
      <c r="V1275" s="241"/>
      <c r="W1275" s="241"/>
      <c r="X1275" s="241"/>
    </row>
    <row r="1276" spans="1:24" ht="13.5" customHeight="1" x14ac:dyDescent="0.3">
      <c r="A1276" s="245"/>
      <c r="B1276" s="246"/>
      <c r="C1276" s="245"/>
      <c r="D1276" s="245"/>
      <c r="E1276" s="245"/>
      <c r="F1276" s="245"/>
      <c r="G1276" s="245"/>
      <c r="H1276" s="245"/>
      <c r="I1276" s="245"/>
      <c r="J1276" s="245"/>
      <c r="K1276" s="245"/>
      <c r="L1276" s="246"/>
      <c r="M1276" s="245"/>
      <c r="N1276" s="245"/>
      <c r="O1276" s="245"/>
      <c r="P1276" s="245"/>
      <c r="Q1276" s="247"/>
      <c r="R1276" s="247"/>
      <c r="S1276" s="247"/>
      <c r="T1276" s="245"/>
      <c r="U1276" s="245"/>
      <c r="V1276" s="241"/>
      <c r="W1276" s="241"/>
      <c r="X1276" s="241"/>
    </row>
    <row r="1277" spans="1:24" ht="13.5" customHeight="1" x14ac:dyDescent="0.3">
      <c r="A1277" s="245"/>
      <c r="B1277" s="246"/>
      <c r="C1277" s="245"/>
      <c r="D1277" s="245"/>
      <c r="E1277" s="245"/>
      <c r="F1277" s="245"/>
      <c r="G1277" s="245"/>
      <c r="H1277" s="245"/>
      <c r="I1277" s="245"/>
      <c r="J1277" s="245"/>
      <c r="K1277" s="245"/>
      <c r="L1277" s="246"/>
      <c r="M1277" s="245"/>
      <c r="N1277" s="245"/>
      <c r="O1277" s="245"/>
      <c r="P1277" s="245"/>
      <c r="Q1277" s="247"/>
      <c r="R1277" s="247"/>
      <c r="S1277" s="247"/>
      <c r="T1277" s="245"/>
      <c r="U1277" s="245"/>
      <c r="V1277" s="241"/>
      <c r="W1277" s="241"/>
      <c r="X1277" s="241"/>
    </row>
    <row r="1278" spans="1:24" ht="13.5" customHeight="1" x14ac:dyDescent="0.3">
      <c r="A1278" s="245"/>
      <c r="B1278" s="246"/>
      <c r="C1278" s="245"/>
      <c r="D1278" s="245"/>
      <c r="E1278" s="245"/>
      <c r="F1278" s="245"/>
      <c r="G1278" s="245"/>
      <c r="H1278" s="245"/>
      <c r="I1278" s="245"/>
      <c r="J1278" s="245"/>
      <c r="K1278" s="245"/>
      <c r="L1278" s="246"/>
      <c r="M1278" s="245"/>
      <c r="N1278" s="245"/>
      <c r="O1278" s="245"/>
      <c r="P1278" s="245"/>
      <c r="Q1278" s="247"/>
      <c r="R1278" s="247"/>
      <c r="S1278" s="247"/>
      <c r="T1278" s="245"/>
      <c r="U1278" s="245"/>
      <c r="V1278" s="241"/>
      <c r="W1278" s="241"/>
      <c r="X1278" s="241"/>
    </row>
    <row r="1279" spans="1:24" ht="13.5" customHeight="1" x14ac:dyDescent="0.3">
      <c r="A1279" s="245"/>
      <c r="B1279" s="246"/>
      <c r="C1279" s="245"/>
      <c r="D1279" s="245"/>
      <c r="E1279" s="245"/>
      <c r="F1279" s="245"/>
      <c r="G1279" s="245"/>
      <c r="H1279" s="245"/>
      <c r="I1279" s="245"/>
      <c r="J1279" s="245"/>
      <c r="K1279" s="245"/>
      <c r="L1279" s="246"/>
      <c r="M1279" s="245"/>
      <c r="N1279" s="245"/>
      <c r="O1279" s="245"/>
      <c r="P1279" s="245"/>
      <c r="Q1279" s="247"/>
      <c r="R1279" s="247"/>
      <c r="S1279" s="247"/>
      <c r="T1279" s="245"/>
      <c r="U1279" s="245"/>
      <c r="V1279" s="241"/>
      <c r="W1279" s="241"/>
      <c r="X1279" s="241"/>
    </row>
    <row r="1280" spans="1:24" ht="13.5" customHeight="1" x14ac:dyDescent="0.3">
      <c r="A1280" s="245"/>
      <c r="B1280" s="246"/>
      <c r="C1280" s="245"/>
      <c r="D1280" s="245"/>
      <c r="E1280" s="245"/>
      <c r="F1280" s="245"/>
      <c r="G1280" s="245"/>
      <c r="H1280" s="245"/>
      <c r="I1280" s="245"/>
      <c r="J1280" s="245"/>
      <c r="K1280" s="245"/>
      <c r="L1280" s="246"/>
      <c r="M1280" s="245"/>
      <c r="N1280" s="245"/>
      <c r="O1280" s="245"/>
      <c r="P1280" s="245"/>
      <c r="Q1280" s="247"/>
      <c r="R1280" s="247"/>
      <c r="S1280" s="247"/>
      <c r="T1280" s="245"/>
      <c r="U1280" s="245"/>
      <c r="V1280" s="241"/>
      <c r="W1280" s="241"/>
      <c r="X1280" s="241"/>
    </row>
    <row r="1281" spans="1:24" ht="13.5" customHeight="1" x14ac:dyDescent="0.3">
      <c r="A1281" s="245"/>
      <c r="B1281" s="246"/>
      <c r="C1281" s="245"/>
      <c r="D1281" s="245"/>
      <c r="E1281" s="245"/>
      <c r="F1281" s="245"/>
      <c r="G1281" s="245"/>
      <c r="H1281" s="245"/>
      <c r="I1281" s="245"/>
      <c r="J1281" s="245"/>
      <c r="K1281" s="245"/>
      <c r="L1281" s="246"/>
      <c r="M1281" s="245"/>
      <c r="N1281" s="245"/>
      <c r="O1281" s="245"/>
      <c r="P1281" s="245"/>
      <c r="Q1281" s="247"/>
      <c r="R1281" s="247"/>
      <c r="S1281" s="247"/>
      <c r="T1281" s="245"/>
      <c r="U1281" s="245"/>
      <c r="V1281" s="241"/>
      <c r="W1281" s="241"/>
      <c r="X1281" s="241"/>
    </row>
    <row r="1282" spans="1:24" ht="13.5" customHeight="1" x14ac:dyDescent="0.3">
      <c r="A1282" s="245"/>
      <c r="B1282" s="246"/>
      <c r="C1282" s="245"/>
      <c r="D1282" s="245"/>
      <c r="E1282" s="245"/>
      <c r="F1282" s="245"/>
      <c r="G1282" s="245"/>
      <c r="H1282" s="245"/>
      <c r="I1282" s="245"/>
      <c r="J1282" s="245"/>
      <c r="K1282" s="245"/>
      <c r="L1282" s="246"/>
      <c r="M1282" s="245"/>
      <c r="N1282" s="245"/>
      <c r="O1282" s="245"/>
      <c r="P1282" s="245"/>
      <c r="Q1282" s="247"/>
      <c r="R1282" s="247"/>
      <c r="S1282" s="247"/>
      <c r="T1282" s="245"/>
      <c r="U1282" s="245"/>
      <c r="V1282" s="241"/>
      <c r="W1282" s="241"/>
      <c r="X1282" s="241"/>
    </row>
    <row r="1283" spans="1:24" ht="13.5" customHeight="1" x14ac:dyDescent="0.3">
      <c r="A1283" s="245"/>
      <c r="B1283" s="246"/>
      <c r="C1283" s="245"/>
      <c r="D1283" s="245"/>
      <c r="E1283" s="245"/>
      <c r="F1283" s="245"/>
      <c r="G1283" s="245"/>
      <c r="H1283" s="245"/>
      <c r="I1283" s="245"/>
      <c r="J1283" s="245"/>
      <c r="K1283" s="245"/>
      <c r="L1283" s="246"/>
      <c r="M1283" s="245"/>
      <c r="N1283" s="245"/>
      <c r="O1283" s="245"/>
      <c r="P1283" s="245"/>
      <c r="Q1283" s="247"/>
      <c r="R1283" s="247"/>
      <c r="S1283" s="247"/>
      <c r="T1283" s="245"/>
      <c r="U1283" s="245"/>
      <c r="V1283" s="241"/>
      <c r="W1283" s="241"/>
      <c r="X1283" s="241"/>
    </row>
    <row r="1284" spans="1:24" ht="13.5" customHeight="1" x14ac:dyDescent="0.3">
      <c r="A1284" s="245"/>
      <c r="B1284" s="246"/>
      <c r="C1284" s="245"/>
      <c r="D1284" s="245"/>
      <c r="E1284" s="245"/>
      <c r="F1284" s="245"/>
      <c r="G1284" s="245"/>
      <c r="H1284" s="245"/>
      <c r="I1284" s="245"/>
      <c r="J1284" s="245"/>
      <c r="K1284" s="245"/>
      <c r="L1284" s="246"/>
      <c r="M1284" s="245"/>
      <c r="N1284" s="245"/>
      <c r="O1284" s="245"/>
      <c r="P1284" s="245"/>
      <c r="Q1284" s="247"/>
      <c r="R1284" s="247"/>
      <c r="S1284" s="247"/>
      <c r="T1284" s="245"/>
      <c r="U1284" s="245"/>
      <c r="V1284" s="241"/>
      <c r="W1284" s="241"/>
      <c r="X1284" s="241"/>
    </row>
    <row r="1285" spans="1:24" ht="13.5" customHeight="1" x14ac:dyDescent="0.3">
      <c r="A1285" s="245"/>
      <c r="B1285" s="246"/>
      <c r="C1285" s="245"/>
      <c r="D1285" s="245"/>
      <c r="E1285" s="245"/>
      <c r="F1285" s="245"/>
      <c r="G1285" s="245"/>
      <c r="H1285" s="245"/>
      <c r="I1285" s="245"/>
      <c r="J1285" s="245"/>
      <c r="K1285" s="245"/>
      <c r="L1285" s="246"/>
      <c r="M1285" s="245"/>
      <c r="N1285" s="245"/>
      <c r="O1285" s="245"/>
      <c r="P1285" s="245"/>
      <c r="Q1285" s="247"/>
      <c r="R1285" s="247"/>
      <c r="S1285" s="247"/>
      <c r="T1285" s="245"/>
      <c r="U1285" s="245"/>
      <c r="V1285" s="241"/>
      <c r="W1285" s="241"/>
      <c r="X1285" s="241"/>
    </row>
    <row r="1286" spans="1:24" ht="13.5" customHeight="1" x14ac:dyDescent="0.3">
      <c r="A1286" s="245"/>
      <c r="B1286" s="246"/>
      <c r="C1286" s="245"/>
      <c r="D1286" s="245"/>
      <c r="E1286" s="245"/>
      <c r="F1286" s="245"/>
      <c r="G1286" s="245"/>
      <c r="H1286" s="245"/>
      <c r="I1286" s="245"/>
      <c r="J1286" s="245"/>
      <c r="K1286" s="245"/>
      <c r="L1286" s="246"/>
      <c r="M1286" s="245"/>
      <c r="N1286" s="245"/>
      <c r="O1286" s="245"/>
      <c r="P1286" s="245"/>
      <c r="Q1286" s="247"/>
      <c r="R1286" s="247"/>
      <c r="S1286" s="247"/>
      <c r="T1286" s="245"/>
      <c r="U1286" s="245"/>
      <c r="V1286" s="241"/>
      <c r="W1286" s="241"/>
      <c r="X1286" s="241"/>
    </row>
    <row r="1287" spans="1:24" ht="13.5" customHeight="1" x14ac:dyDescent="0.3">
      <c r="A1287" s="245"/>
      <c r="B1287" s="246"/>
      <c r="C1287" s="245"/>
      <c r="D1287" s="245"/>
      <c r="E1287" s="245"/>
      <c r="F1287" s="245"/>
      <c r="G1287" s="245"/>
      <c r="H1287" s="245"/>
      <c r="I1287" s="245"/>
      <c r="J1287" s="245"/>
      <c r="K1287" s="245"/>
      <c r="L1287" s="246"/>
      <c r="M1287" s="245"/>
      <c r="N1287" s="245"/>
      <c r="O1287" s="245"/>
      <c r="P1287" s="245"/>
      <c r="Q1287" s="247"/>
      <c r="R1287" s="247"/>
      <c r="S1287" s="247"/>
      <c r="T1287" s="245"/>
      <c r="U1287" s="245"/>
      <c r="V1287" s="241"/>
      <c r="W1287" s="241"/>
      <c r="X1287" s="241"/>
    </row>
    <row r="1288" spans="1:24" ht="13.5" customHeight="1" x14ac:dyDescent="0.3">
      <c r="A1288" s="245"/>
      <c r="B1288" s="246"/>
      <c r="C1288" s="245"/>
      <c r="D1288" s="245"/>
      <c r="E1288" s="245"/>
      <c r="F1288" s="245"/>
      <c r="G1288" s="245"/>
      <c r="H1288" s="245"/>
      <c r="I1288" s="245"/>
      <c r="J1288" s="245"/>
      <c r="K1288" s="245"/>
      <c r="L1288" s="246"/>
      <c r="M1288" s="245"/>
      <c r="N1288" s="245"/>
      <c r="O1288" s="245"/>
      <c r="P1288" s="245"/>
      <c r="Q1288" s="247"/>
      <c r="R1288" s="247"/>
      <c r="S1288" s="247"/>
      <c r="T1288" s="245"/>
      <c r="U1288" s="245"/>
      <c r="V1288" s="241"/>
      <c r="W1288" s="241"/>
      <c r="X1288" s="241"/>
    </row>
    <row r="1289" spans="1:24" ht="13.5" customHeight="1" x14ac:dyDescent="0.3">
      <c r="A1289" s="245"/>
      <c r="B1289" s="246"/>
      <c r="C1289" s="245"/>
      <c r="D1289" s="245"/>
      <c r="E1289" s="245"/>
      <c r="F1289" s="245"/>
      <c r="G1289" s="245"/>
      <c r="H1289" s="245"/>
      <c r="I1289" s="245"/>
      <c r="J1289" s="245"/>
      <c r="K1289" s="245"/>
      <c r="L1289" s="246"/>
      <c r="M1289" s="245"/>
      <c r="N1289" s="245"/>
      <c r="O1289" s="245"/>
      <c r="P1289" s="245"/>
      <c r="Q1289" s="247"/>
      <c r="R1289" s="247"/>
      <c r="S1289" s="247"/>
      <c r="T1289" s="245"/>
      <c r="U1289" s="245"/>
      <c r="V1289" s="241"/>
      <c r="W1289" s="241"/>
      <c r="X1289" s="241"/>
    </row>
    <row r="1290" spans="1:24" ht="13.5" customHeight="1" x14ac:dyDescent="0.3">
      <c r="A1290" s="245"/>
      <c r="B1290" s="246"/>
      <c r="C1290" s="245"/>
      <c r="D1290" s="245"/>
      <c r="E1290" s="245"/>
      <c r="F1290" s="245"/>
      <c r="G1290" s="245"/>
      <c r="H1290" s="245"/>
      <c r="I1290" s="245"/>
      <c r="J1290" s="245"/>
      <c r="K1290" s="245"/>
      <c r="L1290" s="246"/>
      <c r="M1290" s="245"/>
      <c r="N1290" s="245"/>
      <c r="O1290" s="245"/>
      <c r="P1290" s="245"/>
      <c r="Q1290" s="247"/>
      <c r="R1290" s="247"/>
      <c r="S1290" s="247"/>
      <c r="T1290" s="245"/>
      <c r="U1290" s="245"/>
      <c r="V1290" s="241"/>
      <c r="W1290" s="241"/>
      <c r="X1290" s="241"/>
    </row>
    <row r="1291" spans="1:24" ht="13.5" customHeight="1" x14ac:dyDescent="0.3">
      <c r="A1291" s="245"/>
      <c r="B1291" s="246"/>
      <c r="C1291" s="245"/>
      <c r="D1291" s="245"/>
      <c r="E1291" s="245"/>
      <c r="F1291" s="245"/>
      <c r="G1291" s="245"/>
      <c r="H1291" s="245"/>
      <c r="I1291" s="245"/>
      <c r="J1291" s="245"/>
      <c r="K1291" s="245"/>
      <c r="L1291" s="246"/>
      <c r="M1291" s="245"/>
      <c r="N1291" s="245"/>
      <c r="O1291" s="245"/>
      <c r="P1291" s="245"/>
      <c r="Q1291" s="247"/>
      <c r="R1291" s="247"/>
      <c r="S1291" s="247"/>
      <c r="T1291" s="245"/>
      <c r="U1291" s="245"/>
      <c r="V1291" s="241"/>
      <c r="W1291" s="241"/>
      <c r="X1291" s="241"/>
    </row>
    <row r="1292" spans="1:24" ht="13.5" customHeight="1" x14ac:dyDescent="0.3">
      <c r="A1292" s="245"/>
      <c r="B1292" s="246"/>
      <c r="C1292" s="245"/>
      <c r="D1292" s="245"/>
      <c r="E1292" s="245"/>
      <c r="F1292" s="245"/>
      <c r="G1292" s="245"/>
      <c r="H1292" s="245"/>
      <c r="I1292" s="245"/>
      <c r="J1292" s="245"/>
      <c r="K1292" s="245"/>
      <c r="L1292" s="246"/>
      <c r="M1292" s="245"/>
      <c r="N1292" s="245"/>
      <c r="O1292" s="245"/>
      <c r="P1292" s="245"/>
      <c r="Q1292" s="247"/>
      <c r="R1292" s="247"/>
      <c r="S1292" s="247"/>
      <c r="T1292" s="245"/>
      <c r="U1292" s="245"/>
      <c r="V1292" s="241"/>
      <c r="W1292" s="241"/>
      <c r="X1292" s="241"/>
    </row>
    <row r="1293" spans="1:24" ht="13.5" customHeight="1" x14ac:dyDescent="0.3">
      <c r="A1293" s="245"/>
      <c r="B1293" s="246"/>
      <c r="C1293" s="245"/>
      <c r="D1293" s="245"/>
      <c r="E1293" s="245"/>
      <c r="F1293" s="245"/>
      <c r="G1293" s="245"/>
      <c r="H1293" s="245"/>
      <c r="I1293" s="245"/>
      <c r="J1293" s="245"/>
      <c r="K1293" s="245"/>
      <c r="L1293" s="246"/>
      <c r="M1293" s="245"/>
      <c r="N1293" s="245"/>
      <c r="O1293" s="245"/>
      <c r="P1293" s="245"/>
      <c r="Q1293" s="247"/>
      <c r="R1293" s="247"/>
      <c r="S1293" s="247"/>
      <c r="T1293" s="245"/>
      <c r="U1293" s="245"/>
      <c r="V1293" s="241"/>
      <c r="W1293" s="241"/>
      <c r="X1293" s="241"/>
    </row>
    <row r="1294" spans="1:24" ht="13.5" customHeight="1" x14ac:dyDescent="0.3">
      <c r="A1294" s="245"/>
      <c r="B1294" s="246"/>
      <c r="C1294" s="245"/>
      <c r="D1294" s="245"/>
      <c r="E1294" s="245"/>
      <c r="F1294" s="245"/>
      <c r="G1294" s="245"/>
      <c r="H1294" s="245"/>
      <c r="I1294" s="245"/>
      <c r="J1294" s="245"/>
      <c r="K1294" s="245"/>
      <c r="L1294" s="246"/>
      <c r="M1294" s="245"/>
      <c r="N1294" s="245"/>
      <c r="O1294" s="245"/>
      <c r="P1294" s="245"/>
      <c r="Q1294" s="247"/>
      <c r="R1294" s="247"/>
      <c r="S1294" s="247"/>
      <c r="T1294" s="245"/>
      <c r="U1294" s="245"/>
      <c r="V1294" s="241"/>
      <c r="W1294" s="241"/>
      <c r="X1294" s="241"/>
    </row>
    <row r="1295" spans="1:24" ht="13.5" customHeight="1" x14ac:dyDescent="0.3">
      <c r="A1295" s="245"/>
      <c r="B1295" s="246"/>
      <c r="C1295" s="245"/>
      <c r="D1295" s="245"/>
      <c r="E1295" s="245"/>
      <c r="F1295" s="245"/>
      <c r="G1295" s="245"/>
      <c r="H1295" s="245"/>
      <c r="I1295" s="245"/>
      <c r="J1295" s="245"/>
      <c r="K1295" s="245"/>
      <c r="L1295" s="246"/>
      <c r="M1295" s="245"/>
      <c r="N1295" s="245"/>
      <c r="O1295" s="245"/>
      <c r="P1295" s="245"/>
      <c r="Q1295" s="247"/>
      <c r="R1295" s="247"/>
      <c r="S1295" s="247"/>
      <c r="T1295" s="245"/>
      <c r="U1295" s="245"/>
      <c r="V1295" s="241"/>
      <c r="W1295" s="241"/>
      <c r="X1295" s="241"/>
    </row>
    <row r="1296" spans="1:24" ht="13.5" customHeight="1" x14ac:dyDescent="0.3">
      <c r="A1296" s="245"/>
      <c r="B1296" s="246"/>
      <c r="C1296" s="245"/>
      <c r="D1296" s="245"/>
      <c r="E1296" s="245"/>
      <c r="F1296" s="245"/>
      <c r="G1296" s="245"/>
      <c r="H1296" s="245"/>
      <c r="I1296" s="245"/>
      <c r="J1296" s="245"/>
      <c r="K1296" s="245"/>
      <c r="L1296" s="246"/>
      <c r="M1296" s="245"/>
      <c r="N1296" s="245"/>
      <c r="O1296" s="245"/>
      <c r="P1296" s="245"/>
      <c r="Q1296" s="247"/>
      <c r="R1296" s="247"/>
      <c r="S1296" s="247"/>
      <c r="T1296" s="245"/>
      <c r="U1296" s="245"/>
      <c r="V1296" s="241"/>
      <c r="W1296" s="241"/>
      <c r="X1296" s="241"/>
    </row>
    <row r="1297" spans="1:24" ht="13.5" customHeight="1" x14ac:dyDescent="0.3">
      <c r="A1297" s="245"/>
      <c r="B1297" s="246"/>
      <c r="C1297" s="245"/>
      <c r="D1297" s="245"/>
      <c r="E1297" s="245"/>
      <c r="F1297" s="245"/>
      <c r="G1297" s="245"/>
      <c r="H1297" s="245"/>
      <c r="I1297" s="245"/>
      <c r="J1297" s="245"/>
      <c r="K1297" s="245"/>
      <c r="L1297" s="246"/>
      <c r="M1297" s="245"/>
      <c r="N1297" s="245"/>
      <c r="O1297" s="245"/>
      <c r="P1297" s="245"/>
      <c r="Q1297" s="247"/>
      <c r="R1297" s="247"/>
      <c r="S1297" s="247"/>
      <c r="T1297" s="245"/>
      <c r="U1297" s="245"/>
      <c r="V1297" s="241"/>
      <c r="W1297" s="241"/>
      <c r="X1297" s="241"/>
    </row>
    <row r="1298" spans="1:24" ht="13.5" customHeight="1" x14ac:dyDescent="0.3">
      <c r="A1298" s="245"/>
      <c r="B1298" s="246"/>
      <c r="C1298" s="245"/>
      <c r="D1298" s="245"/>
      <c r="E1298" s="245"/>
      <c r="F1298" s="245"/>
      <c r="G1298" s="245"/>
      <c r="H1298" s="245"/>
      <c r="I1298" s="245"/>
      <c r="J1298" s="245"/>
      <c r="K1298" s="245"/>
      <c r="L1298" s="246"/>
      <c r="M1298" s="245"/>
      <c r="N1298" s="245"/>
      <c r="O1298" s="245"/>
      <c r="P1298" s="245"/>
      <c r="Q1298" s="247"/>
      <c r="R1298" s="247"/>
      <c r="S1298" s="247"/>
      <c r="T1298" s="245"/>
      <c r="U1298" s="245"/>
      <c r="V1298" s="241"/>
      <c r="W1298" s="241"/>
      <c r="X1298" s="241"/>
    </row>
    <row r="1299" spans="1:24" ht="13.5" customHeight="1" x14ac:dyDescent="0.3">
      <c r="A1299" s="245"/>
      <c r="B1299" s="246"/>
      <c r="C1299" s="245"/>
      <c r="D1299" s="245"/>
      <c r="E1299" s="245"/>
      <c r="F1299" s="245"/>
      <c r="G1299" s="245"/>
      <c r="H1299" s="245"/>
      <c r="I1299" s="245"/>
      <c r="J1299" s="245"/>
      <c r="K1299" s="245"/>
      <c r="L1299" s="246"/>
      <c r="M1299" s="245"/>
      <c r="N1299" s="245"/>
      <c r="O1299" s="245"/>
      <c r="P1299" s="245"/>
      <c r="Q1299" s="247"/>
      <c r="R1299" s="247"/>
      <c r="S1299" s="247"/>
      <c r="T1299" s="245"/>
      <c r="U1299" s="245"/>
      <c r="V1299" s="241"/>
      <c r="W1299" s="241"/>
      <c r="X1299" s="241"/>
    </row>
    <row r="1300" spans="1:24" ht="13.5" customHeight="1" x14ac:dyDescent="0.3">
      <c r="A1300" s="245"/>
      <c r="B1300" s="246"/>
      <c r="C1300" s="245"/>
      <c r="D1300" s="245"/>
      <c r="E1300" s="245"/>
      <c r="F1300" s="245"/>
      <c r="G1300" s="245"/>
      <c r="H1300" s="245"/>
      <c r="I1300" s="245"/>
      <c r="J1300" s="245"/>
      <c r="K1300" s="245"/>
      <c r="L1300" s="246"/>
      <c r="M1300" s="245"/>
      <c r="N1300" s="245"/>
      <c r="O1300" s="245"/>
      <c r="P1300" s="245"/>
      <c r="Q1300" s="247"/>
      <c r="R1300" s="247"/>
      <c r="S1300" s="247"/>
      <c r="T1300" s="245"/>
      <c r="U1300" s="245"/>
      <c r="V1300" s="241"/>
      <c r="W1300" s="241"/>
      <c r="X1300" s="241"/>
    </row>
    <row r="1301" spans="1:24" ht="13.5" customHeight="1" x14ac:dyDescent="0.3">
      <c r="A1301" s="245"/>
      <c r="B1301" s="246"/>
      <c r="C1301" s="245"/>
      <c r="D1301" s="245"/>
      <c r="E1301" s="245"/>
      <c r="F1301" s="245"/>
      <c r="G1301" s="245"/>
      <c r="H1301" s="245"/>
      <c r="I1301" s="245"/>
      <c r="J1301" s="245"/>
      <c r="K1301" s="245"/>
      <c r="L1301" s="246"/>
      <c r="M1301" s="245"/>
      <c r="N1301" s="245"/>
      <c r="O1301" s="245"/>
      <c r="P1301" s="245"/>
      <c r="Q1301" s="247"/>
      <c r="R1301" s="247"/>
      <c r="S1301" s="247"/>
      <c r="T1301" s="245"/>
      <c r="U1301" s="245"/>
      <c r="V1301" s="241"/>
      <c r="W1301" s="241"/>
      <c r="X1301" s="241"/>
    </row>
    <row r="1302" spans="1:24" ht="13.5" customHeight="1" x14ac:dyDescent="0.3">
      <c r="A1302" s="245"/>
      <c r="B1302" s="246"/>
      <c r="C1302" s="245"/>
      <c r="D1302" s="245"/>
      <c r="E1302" s="245"/>
      <c r="F1302" s="245"/>
      <c r="G1302" s="245"/>
      <c r="H1302" s="245"/>
      <c r="I1302" s="245"/>
      <c r="J1302" s="245"/>
      <c r="K1302" s="245"/>
      <c r="L1302" s="246"/>
      <c r="M1302" s="245"/>
      <c r="N1302" s="245"/>
      <c r="O1302" s="245"/>
      <c r="P1302" s="245"/>
      <c r="Q1302" s="247"/>
      <c r="R1302" s="247"/>
      <c r="S1302" s="247"/>
      <c r="T1302" s="245"/>
      <c r="U1302" s="245"/>
      <c r="V1302" s="241"/>
      <c r="W1302" s="241"/>
      <c r="X1302" s="241"/>
    </row>
    <row r="1303" spans="1:24" ht="13.5" customHeight="1" x14ac:dyDescent="0.3">
      <c r="A1303" s="245"/>
      <c r="B1303" s="246"/>
      <c r="C1303" s="245"/>
      <c r="D1303" s="245"/>
      <c r="E1303" s="245"/>
      <c r="F1303" s="245"/>
      <c r="G1303" s="245"/>
      <c r="H1303" s="245"/>
      <c r="I1303" s="245"/>
      <c r="J1303" s="245"/>
      <c r="K1303" s="245"/>
      <c r="L1303" s="246"/>
      <c r="M1303" s="245"/>
      <c r="N1303" s="245"/>
      <c r="O1303" s="245"/>
      <c r="P1303" s="245"/>
      <c r="Q1303" s="247"/>
      <c r="R1303" s="247"/>
      <c r="S1303" s="247"/>
      <c r="T1303" s="245"/>
      <c r="U1303" s="245"/>
      <c r="V1303" s="241"/>
      <c r="W1303" s="241"/>
      <c r="X1303" s="241"/>
    </row>
    <row r="1304" spans="1:24" ht="13.5" customHeight="1" x14ac:dyDescent="0.3">
      <c r="A1304" s="245"/>
      <c r="B1304" s="246"/>
      <c r="C1304" s="245"/>
      <c r="D1304" s="245"/>
      <c r="E1304" s="245"/>
      <c r="F1304" s="245"/>
      <c r="G1304" s="245"/>
      <c r="H1304" s="245"/>
      <c r="I1304" s="245"/>
      <c r="J1304" s="245"/>
      <c r="K1304" s="245"/>
      <c r="L1304" s="246"/>
      <c r="M1304" s="245"/>
      <c r="N1304" s="245"/>
      <c r="O1304" s="245"/>
      <c r="P1304" s="245"/>
      <c r="Q1304" s="247"/>
      <c r="R1304" s="247"/>
      <c r="S1304" s="247"/>
      <c r="T1304" s="245"/>
      <c r="U1304" s="245"/>
      <c r="V1304" s="241"/>
      <c r="W1304" s="241"/>
      <c r="X1304" s="241"/>
    </row>
    <row r="1305" spans="1:24" ht="13.5" customHeight="1" x14ac:dyDescent="0.3">
      <c r="A1305" s="245"/>
      <c r="B1305" s="246"/>
      <c r="C1305" s="245"/>
      <c r="D1305" s="245"/>
      <c r="E1305" s="245"/>
      <c r="F1305" s="245"/>
      <c r="G1305" s="245"/>
      <c r="H1305" s="245"/>
      <c r="I1305" s="245"/>
      <c r="J1305" s="245"/>
      <c r="K1305" s="245"/>
      <c r="L1305" s="246"/>
      <c r="M1305" s="245"/>
      <c r="N1305" s="245"/>
      <c r="O1305" s="245"/>
      <c r="P1305" s="245"/>
      <c r="Q1305" s="247"/>
      <c r="R1305" s="247"/>
      <c r="S1305" s="247"/>
      <c r="T1305" s="245"/>
      <c r="U1305" s="245"/>
      <c r="V1305" s="241"/>
      <c r="W1305" s="241"/>
      <c r="X1305" s="241"/>
    </row>
    <row r="1306" spans="1:24" ht="13.5" customHeight="1" x14ac:dyDescent="0.3">
      <c r="A1306" s="245"/>
      <c r="B1306" s="246"/>
      <c r="C1306" s="245"/>
      <c r="D1306" s="245"/>
      <c r="E1306" s="245"/>
      <c r="F1306" s="245"/>
      <c r="G1306" s="245"/>
      <c r="H1306" s="245"/>
      <c r="I1306" s="245"/>
      <c r="J1306" s="245"/>
      <c r="K1306" s="245"/>
      <c r="L1306" s="246"/>
      <c r="M1306" s="245"/>
      <c r="N1306" s="245"/>
      <c r="O1306" s="245"/>
      <c r="P1306" s="245"/>
      <c r="Q1306" s="247"/>
      <c r="R1306" s="247"/>
      <c r="S1306" s="247"/>
      <c r="T1306" s="245"/>
      <c r="U1306" s="245"/>
      <c r="V1306" s="241"/>
      <c r="W1306" s="241"/>
      <c r="X1306" s="241"/>
    </row>
    <row r="1307" spans="1:24" ht="13.5" customHeight="1" x14ac:dyDescent="0.3">
      <c r="A1307" s="245"/>
      <c r="B1307" s="246"/>
      <c r="C1307" s="245"/>
      <c r="D1307" s="245"/>
      <c r="E1307" s="245"/>
      <c r="F1307" s="245"/>
      <c r="G1307" s="245"/>
      <c r="H1307" s="245"/>
      <c r="I1307" s="245"/>
      <c r="J1307" s="245"/>
      <c r="K1307" s="245"/>
      <c r="L1307" s="246"/>
      <c r="M1307" s="245"/>
      <c r="N1307" s="245"/>
      <c r="O1307" s="245"/>
      <c r="P1307" s="245"/>
      <c r="Q1307" s="247"/>
      <c r="R1307" s="247"/>
      <c r="S1307" s="247"/>
      <c r="T1307" s="245"/>
      <c r="U1307" s="245"/>
      <c r="V1307" s="241"/>
      <c r="W1307" s="241"/>
      <c r="X1307" s="241"/>
    </row>
    <row r="1308" spans="1:24" ht="13.5" customHeight="1" x14ac:dyDescent="0.3">
      <c r="A1308" s="245"/>
      <c r="B1308" s="246"/>
      <c r="C1308" s="245"/>
      <c r="D1308" s="245"/>
      <c r="E1308" s="245"/>
      <c r="F1308" s="245"/>
      <c r="G1308" s="245"/>
      <c r="H1308" s="245"/>
      <c r="I1308" s="245"/>
      <c r="J1308" s="245"/>
      <c r="K1308" s="245"/>
      <c r="L1308" s="246"/>
      <c r="M1308" s="245"/>
      <c r="N1308" s="245"/>
      <c r="O1308" s="245"/>
      <c r="P1308" s="245"/>
      <c r="Q1308" s="247"/>
      <c r="R1308" s="247"/>
      <c r="S1308" s="247"/>
      <c r="T1308" s="245"/>
      <c r="U1308" s="245"/>
      <c r="V1308" s="241"/>
      <c r="W1308" s="241"/>
      <c r="X1308" s="241"/>
    </row>
    <row r="1309" spans="1:24" ht="13.5" customHeight="1" x14ac:dyDescent="0.3">
      <c r="A1309" s="245"/>
      <c r="B1309" s="246"/>
      <c r="C1309" s="245"/>
      <c r="D1309" s="245"/>
      <c r="E1309" s="245"/>
      <c r="F1309" s="245"/>
      <c r="G1309" s="245"/>
      <c r="H1309" s="245"/>
      <c r="I1309" s="245"/>
      <c r="J1309" s="245"/>
      <c r="K1309" s="245"/>
      <c r="L1309" s="246"/>
      <c r="M1309" s="245"/>
      <c r="N1309" s="245"/>
      <c r="O1309" s="245"/>
      <c r="P1309" s="245"/>
      <c r="Q1309" s="247"/>
      <c r="R1309" s="247"/>
      <c r="S1309" s="247"/>
      <c r="T1309" s="245"/>
      <c r="U1309" s="245"/>
      <c r="V1309" s="241"/>
      <c r="W1309" s="241"/>
      <c r="X1309" s="241"/>
    </row>
    <row r="1310" spans="1:24" ht="13.5" customHeight="1" x14ac:dyDescent="0.3">
      <c r="A1310" s="245"/>
      <c r="B1310" s="246"/>
      <c r="C1310" s="245"/>
      <c r="D1310" s="245"/>
      <c r="E1310" s="245"/>
      <c r="F1310" s="245"/>
      <c r="G1310" s="245"/>
      <c r="H1310" s="245"/>
      <c r="I1310" s="245"/>
      <c r="J1310" s="245"/>
      <c r="K1310" s="245"/>
      <c r="L1310" s="246"/>
      <c r="M1310" s="245"/>
      <c r="N1310" s="245"/>
      <c r="O1310" s="245"/>
      <c r="P1310" s="245"/>
      <c r="Q1310" s="247"/>
      <c r="R1310" s="247"/>
      <c r="S1310" s="247"/>
      <c r="T1310" s="245"/>
      <c r="U1310" s="245"/>
      <c r="V1310" s="241"/>
      <c r="W1310" s="241"/>
      <c r="X1310" s="241"/>
    </row>
    <row r="1311" spans="1:24" ht="13.5" customHeight="1" x14ac:dyDescent="0.3">
      <c r="A1311" s="245"/>
      <c r="B1311" s="246"/>
      <c r="C1311" s="245"/>
      <c r="D1311" s="245"/>
      <c r="E1311" s="245"/>
      <c r="F1311" s="245"/>
      <c r="G1311" s="245"/>
      <c r="H1311" s="245"/>
      <c r="I1311" s="245"/>
      <c r="J1311" s="245"/>
      <c r="K1311" s="245"/>
      <c r="L1311" s="246"/>
      <c r="M1311" s="245"/>
      <c r="N1311" s="245"/>
      <c r="O1311" s="245"/>
      <c r="P1311" s="245"/>
      <c r="Q1311" s="247"/>
      <c r="R1311" s="247"/>
      <c r="S1311" s="247"/>
      <c r="T1311" s="245"/>
      <c r="U1311" s="245"/>
      <c r="V1311" s="241"/>
      <c r="W1311" s="241"/>
      <c r="X1311" s="241"/>
    </row>
    <row r="1312" spans="1:24" ht="13.5" customHeight="1" x14ac:dyDescent="0.3">
      <c r="A1312" s="245"/>
      <c r="B1312" s="246"/>
      <c r="C1312" s="245"/>
      <c r="D1312" s="245"/>
      <c r="E1312" s="245"/>
      <c r="F1312" s="245"/>
      <c r="G1312" s="245"/>
      <c r="H1312" s="245"/>
      <c r="I1312" s="245"/>
      <c r="J1312" s="245"/>
      <c r="K1312" s="245"/>
      <c r="L1312" s="246"/>
      <c r="M1312" s="245"/>
      <c r="N1312" s="245"/>
      <c r="O1312" s="245"/>
      <c r="P1312" s="245"/>
      <c r="Q1312" s="247"/>
      <c r="R1312" s="247"/>
      <c r="S1312" s="247"/>
      <c r="T1312" s="245"/>
      <c r="U1312" s="245"/>
      <c r="V1312" s="241"/>
      <c r="W1312" s="241"/>
      <c r="X1312" s="241"/>
    </row>
    <row r="1313" spans="1:24" ht="13.5" customHeight="1" x14ac:dyDescent="0.3">
      <c r="A1313" s="245"/>
      <c r="B1313" s="246"/>
      <c r="C1313" s="245"/>
      <c r="D1313" s="245"/>
      <c r="E1313" s="245"/>
      <c r="F1313" s="245"/>
      <c r="G1313" s="245"/>
      <c r="H1313" s="245"/>
      <c r="I1313" s="245"/>
      <c r="J1313" s="245"/>
      <c r="K1313" s="245"/>
      <c r="L1313" s="246"/>
      <c r="M1313" s="245"/>
      <c r="N1313" s="245"/>
      <c r="O1313" s="245"/>
      <c r="P1313" s="245"/>
      <c r="Q1313" s="247"/>
      <c r="R1313" s="247"/>
      <c r="S1313" s="247"/>
      <c r="T1313" s="245"/>
      <c r="U1313" s="245"/>
      <c r="V1313" s="241"/>
      <c r="W1313" s="241"/>
      <c r="X1313" s="241"/>
    </row>
    <row r="1314" spans="1:24" ht="13.5" customHeight="1" x14ac:dyDescent="0.3">
      <c r="A1314" s="245"/>
      <c r="B1314" s="246"/>
      <c r="C1314" s="245"/>
      <c r="D1314" s="245"/>
      <c r="E1314" s="245"/>
      <c r="F1314" s="245"/>
      <c r="G1314" s="245"/>
      <c r="H1314" s="245"/>
      <c r="I1314" s="245"/>
      <c r="J1314" s="245"/>
      <c r="K1314" s="245"/>
      <c r="L1314" s="246"/>
      <c r="M1314" s="245"/>
      <c r="N1314" s="245"/>
      <c r="O1314" s="245"/>
      <c r="P1314" s="245"/>
      <c r="Q1314" s="247"/>
      <c r="R1314" s="247"/>
      <c r="S1314" s="247"/>
      <c r="T1314" s="245"/>
      <c r="U1314" s="245"/>
      <c r="V1314" s="241"/>
      <c r="W1314" s="241"/>
      <c r="X1314" s="241"/>
    </row>
    <row r="1315" spans="1:24" ht="13.5" customHeight="1" x14ac:dyDescent="0.3">
      <c r="A1315" s="245"/>
      <c r="B1315" s="246"/>
      <c r="C1315" s="245"/>
      <c r="D1315" s="245"/>
      <c r="E1315" s="245"/>
      <c r="F1315" s="245"/>
      <c r="G1315" s="245"/>
      <c r="H1315" s="245"/>
      <c r="I1315" s="245"/>
      <c r="J1315" s="245"/>
      <c r="K1315" s="245"/>
      <c r="L1315" s="246"/>
      <c r="M1315" s="245"/>
      <c r="N1315" s="245"/>
      <c r="O1315" s="245"/>
      <c r="P1315" s="245"/>
      <c r="Q1315" s="247"/>
      <c r="R1315" s="247"/>
      <c r="S1315" s="247"/>
      <c r="T1315" s="245"/>
      <c r="U1315" s="245"/>
      <c r="V1315" s="241"/>
      <c r="W1315" s="241"/>
      <c r="X1315" s="241"/>
    </row>
    <row r="1316" spans="1:24" ht="13.5" customHeight="1" x14ac:dyDescent="0.3">
      <c r="A1316" s="245"/>
      <c r="B1316" s="246"/>
      <c r="C1316" s="245"/>
      <c r="D1316" s="245"/>
      <c r="E1316" s="245"/>
      <c r="F1316" s="245"/>
      <c r="G1316" s="245"/>
      <c r="H1316" s="245"/>
      <c r="I1316" s="245"/>
      <c r="J1316" s="245"/>
      <c r="K1316" s="245"/>
      <c r="L1316" s="246"/>
      <c r="M1316" s="245"/>
      <c r="N1316" s="245"/>
      <c r="O1316" s="245"/>
      <c r="P1316" s="245"/>
      <c r="Q1316" s="247"/>
      <c r="R1316" s="247"/>
      <c r="S1316" s="247"/>
      <c r="T1316" s="245"/>
      <c r="U1316" s="245"/>
      <c r="V1316" s="241"/>
      <c r="W1316" s="241"/>
      <c r="X1316" s="241"/>
    </row>
    <row r="1317" spans="1:24" ht="13.5" customHeight="1" x14ac:dyDescent="0.3">
      <c r="A1317" s="245"/>
      <c r="B1317" s="246"/>
      <c r="C1317" s="245"/>
      <c r="D1317" s="245"/>
      <c r="E1317" s="245"/>
      <c r="F1317" s="245"/>
      <c r="G1317" s="245"/>
      <c r="H1317" s="245"/>
      <c r="I1317" s="245"/>
      <c r="J1317" s="245"/>
      <c r="K1317" s="245"/>
      <c r="L1317" s="246"/>
      <c r="M1317" s="245"/>
      <c r="N1317" s="245"/>
      <c r="O1317" s="245"/>
      <c r="P1317" s="245"/>
      <c r="Q1317" s="247"/>
      <c r="R1317" s="247"/>
      <c r="S1317" s="247"/>
      <c r="T1317" s="245"/>
      <c r="U1317" s="245"/>
      <c r="V1317" s="241"/>
      <c r="W1317" s="241"/>
      <c r="X1317" s="241"/>
    </row>
    <row r="1318" spans="1:24" ht="13.5" customHeight="1" x14ac:dyDescent="0.3">
      <c r="A1318" s="245"/>
      <c r="B1318" s="246"/>
      <c r="C1318" s="245"/>
      <c r="D1318" s="245"/>
      <c r="E1318" s="245"/>
      <c r="F1318" s="245"/>
      <c r="G1318" s="245"/>
      <c r="H1318" s="245"/>
      <c r="I1318" s="245"/>
      <c r="J1318" s="245"/>
      <c r="K1318" s="245"/>
      <c r="L1318" s="246"/>
      <c r="M1318" s="245"/>
      <c r="N1318" s="245"/>
      <c r="O1318" s="245"/>
      <c r="P1318" s="245"/>
      <c r="Q1318" s="247"/>
      <c r="R1318" s="247"/>
      <c r="S1318" s="247"/>
      <c r="T1318" s="245"/>
      <c r="U1318" s="245"/>
      <c r="V1318" s="241"/>
      <c r="W1318" s="241"/>
      <c r="X1318" s="241"/>
    </row>
    <row r="1319" spans="1:24" ht="13.5" customHeight="1" x14ac:dyDescent="0.3">
      <c r="A1319" s="245"/>
      <c r="B1319" s="246"/>
      <c r="C1319" s="245"/>
      <c r="D1319" s="245"/>
      <c r="E1319" s="245"/>
      <c r="F1319" s="245"/>
      <c r="G1319" s="245"/>
      <c r="H1319" s="245"/>
      <c r="I1319" s="245"/>
      <c r="J1319" s="245"/>
      <c r="K1319" s="245"/>
      <c r="L1319" s="246"/>
      <c r="M1319" s="245"/>
      <c r="N1319" s="245"/>
      <c r="O1319" s="245"/>
      <c r="P1319" s="245"/>
      <c r="Q1319" s="247"/>
      <c r="R1319" s="247"/>
      <c r="S1319" s="247"/>
      <c r="T1319" s="245"/>
      <c r="U1319" s="245"/>
      <c r="V1319" s="241"/>
      <c r="W1319" s="241"/>
      <c r="X1319" s="241"/>
    </row>
    <row r="1320" spans="1:24" ht="13.5" customHeight="1" x14ac:dyDescent="0.3">
      <c r="A1320" s="245"/>
      <c r="B1320" s="246"/>
      <c r="C1320" s="245"/>
      <c r="D1320" s="245"/>
      <c r="E1320" s="245"/>
      <c r="F1320" s="245"/>
      <c r="G1320" s="245"/>
      <c r="H1320" s="245"/>
      <c r="I1320" s="245"/>
      <c r="J1320" s="245"/>
      <c r="K1320" s="245"/>
      <c r="L1320" s="246"/>
      <c r="M1320" s="245"/>
      <c r="N1320" s="245"/>
      <c r="O1320" s="245"/>
      <c r="P1320" s="245"/>
      <c r="Q1320" s="247"/>
      <c r="R1320" s="247"/>
      <c r="S1320" s="247"/>
      <c r="T1320" s="245"/>
      <c r="U1320" s="245"/>
      <c r="V1320" s="241"/>
      <c r="W1320" s="241"/>
      <c r="X1320" s="241"/>
    </row>
    <row r="1321" spans="1:24" ht="13.5" customHeight="1" x14ac:dyDescent="0.3">
      <c r="A1321" s="245"/>
      <c r="B1321" s="246"/>
      <c r="C1321" s="245"/>
      <c r="D1321" s="245"/>
      <c r="E1321" s="245"/>
      <c r="F1321" s="245"/>
      <c r="G1321" s="245"/>
      <c r="H1321" s="245"/>
      <c r="I1321" s="245"/>
      <c r="J1321" s="245"/>
      <c r="K1321" s="245"/>
      <c r="L1321" s="246"/>
      <c r="M1321" s="245"/>
      <c r="N1321" s="245"/>
      <c r="O1321" s="245"/>
      <c r="P1321" s="245"/>
      <c r="Q1321" s="247"/>
      <c r="R1321" s="247"/>
      <c r="S1321" s="247"/>
      <c r="T1321" s="245"/>
      <c r="U1321" s="245"/>
      <c r="V1321" s="241"/>
      <c r="W1321" s="241"/>
      <c r="X1321" s="241"/>
    </row>
    <row r="1322" spans="1:24" ht="13.5" customHeight="1" x14ac:dyDescent="0.3">
      <c r="A1322" s="245"/>
      <c r="B1322" s="246"/>
      <c r="C1322" s="245"/>
      <c r="D1322" s="245"/>
      <c r="E1322" s="245"/>
      <c r="F1322" s="245"/>
      <c r="G1322" s="245"/>
      <c r="H1322" s="245"/>
      <c r="I1322" s="245"/>
      <c r="J1322" s="245"/>
      <c r="K1322" s="245"/>
      <c r="L1322" s="246"/>
      <c r="M1322" s="245"/>
      <c r="N1322" s="245"/>
      <c r="O1322" s="245"/>
      <c r="P1322" s="245"/>
      <c r="Q1322" s="247"/>
      <c r="R1322" s="247"/>
      <c r="S1322" s="247"/>
      <c r="T1322" s="245"/>
      <c r="U1322" s="245"/>
      <c r="V1322" s="241"/>
      <c r="W1322" s="241"/>
      <c r="X1322" s="241"/>
    </row>
    <row r="1323" spans="1:24" ht="13.5" customHeight="1" x14ac:dyDescent="0.3">
      <c r="A1323" s="245"/>
      <c r="B1323" s="246"/>
      <c r="C1323" s="245"/>
      <c r="D1323" s="245"/>
      <c r="E1323" s="245"/>
      <c r="F1323" s="245"/>
      <c r="G1323" s="245"/>
      <c r="H1323" s="245"/>
      <c r="I1323" s="245"/>
      <c r="J1323" s="245"/>
      <c r="K1323" s="245"/>
      <c r="L1323" s="246"/>
      <c r="M1323" s="245"/>
      <c r="N1323" s="245"/>
      <c r="O1323" s="245"/>
      <c r="P1323" s="245"/>
      <c r="Q1323" s="247"/>
      <c r="R1323" s="247"/>
      <c r="S1323" s="247"/>
      <c r="T1323" s="245"/>
      <c r="U1323" s="245"/>
      <c r="V1323" s="241"/>
      <c r="W1323" s="241"/>
      <c r="X1323" s="241"/>
    </row>
    <row r="1324" spans="1:24" ht="13.5" customHeight="1" x14ac:dyDescent="0.3">
      <c r="A1324" s="245"/>
      <c r="B1324" s="246"/>
      <c r="C1324" s="245"/>
      <c r="D1324" s="245"/>
      <c r="E1324" s="245"/>
      <c r="F1324" s="245"/>
      <c r="G1324" s="245"/>
      <c r="H1324" s="245"/>
      <c r="I1324" s="245"/>
      <c r="J1324" s="245"/>
      <c r="K1324" s="245"/>
      <c r="L1324" s="246"/>
      <c r="M1324" s="245"/>
      <c r="N1324" s="245"/>
      <c r="O1324" s="245"/>
      <c r="P1324" s="245"/>
      <c r="Q1324" s="247"/>
      <c r="R1324" s="247"/>
      <c r="S1324" s="247"/>
      <c r="T1324" s="245"/>
      <c r="U1324" s="245"/>
      <c r="V1324" s="241"/>
      <c r="W1324" s="241"/>
      <c r="X1324" s="241"/>
    </row>
    <row r="1325" spans="1:24" ht="13.5" customHeight="1" x14ac:dyDescent="0.3">
      <c r="A1325" s="245"/>
      <c r="B1325" s="246"/>
      <c r="C1325" s="245"/>
      <c r="D1325" s="245"/>
      <c r="E1325" s="245"/>
      <c r="F1325" s="245"/>
      <c r="G1325" s="245"/>
      <c r="H1325" s="245"/>
      <c r="I1325" s="245"/>
      <c r="J1325" s="245"/>
      <c r="K1325" s="245"/>
      <c r="L1325" s="246"/>
      <c r="M1325" s="245"/>
      <c r="N1325" s="245"/>
      <c r="O1325" s="245"/>
      <c r="P1325" s="245"/>
      <c r="Q1325" s="247"/>
      <c r="R1325" s="247"/>
      <c r="S1325" s="247"/>
      <c r="T1325" s="245"/>
      <c r="U1325" s="245"/>
      <c r="V1325" s="241"/>
      <c r="W1325" s="241"/>
      <c r="X1325" s="241"/>
    </row>
    <row r="1326" spans="1:24" ht="13.5" customHeight="1" x14ac:dyDescent="0.3">
      <c r="A1326" s="245"/>
      <c r="B1326" s="246"/>
      <c r="C1326" s="245"/>
      <c r="D1326" s="245"/>
      <c r="E1326" s="245"/>
      <c r="F1326" s="245"/>
      <c r="G1326" s="245"/>
      <c r="H1326" s="245"/>
      <c r="I1326" s="245"/>
      <c r="J1326" s="245"/>
      <c r="K1326" s="245"/>
      <c r="L1326" s="246"/>
      <c r="M1326" s="245"/>
      <c r="N1326" s="245"/>
      <c r="O1326" s="245"/>
      <c r="P1326" s="245"/>
      <c r="Q1326" s="247"/>
      <c r="R1326" s="247"/>
      <c r="S1326" s="247"/>
      <c r="T1326" s="245"/>
      <c r="U1326" s="245"/>
      <c r="V1326" s="241"/>
      <c r="W1326" s="241"/>
      <c r="X1326" s="241"/>
    </row>
    <row r="1327" spans="1:24" ht="13.5" customHeight="1" x14ac:dyDescent="0.3">
      <c r="A1327" s="245"/>
      <c r="B1327" s="246"/>
      <c r="C1327" s="245"/>
      <c r="D1327" s="245"/>
      <c r="E1327" s="245"/>
      <c r="F1327" s="245"/>
      <c r="G1327" s="245"/>
      <c r="H1327" s="245"/>
      <c r="I1327" s="245"/>
      <c r="J1327" s="245"/>
      <c r="K1327" s="245"/>
      <c r="L1327" s="246"/>
      <c r="M1327" s="245"/>
      <c r="N1327" s="245"/>
      <c r="O1327" s="245"/>
      <c r="P1327" s="245"/>
      <c r="Q1327" s="247"/>
      <c r="R1327" s="247"/>
      <c r="S1327" s="247"/>
      <c r="T1327" s="245"/>
      <c r="U1327" s="245"/>
      <c r="V1327" s="241"/>
      <c r="W1327" s="241"/>
      <c r="X1327" s="241"/>
    </row>
    <row r="1328" spans="1:24" ht="13.5" customHeight="1" x14ac:dyDescent="0.3">
      <c r="A1328" s="245"/>
      <c r="B1328" s="246"/>
      <c r="C1328" s="245"/>
      <c r="D1328" s="245"/>
      <c r="E1328" s="245"/>
      <c r="F1328" s="245"/>
      <c r="G1328" s="245"/>
      <c r="H1328" s="245"/>
      <c r="I1328" s="245"/>
      <c r="J1328" s="245"/>
      <c r="K1328" s="245"/>
      <c r="L1328" s="246"/>
      <c r="M1328" s="245"/>
      <c r="N1328" s="245"/>
      <c r="O1328" s="245"/>
      <c r="P1328" s="245"/>
      <c r="Q1328" s="247"/>
      <c r="R1328" s="247"/>
      <c r="S1328" s="247"/>
      <c r="T1328" s="245"/>
      <c r="U1328" s="245"/>
      <c r="V1328" s="241"/>
      <c r="W1328" s="241"/>
      <c r="X1328" s="241"/>
    </row>
    <row r="1329" spans="1:24" ht="13.5" customHeight="1" x14ac:dyDescent="0.3">
      <c r="A1329" s="245"/>
      <c r="B1329" s="246"/>
      <c r="C1329" s="245"/>
      <c r="D1329" s="245"/>
      <c r="E1329" s="245"/>
      <c r="F1329" s="245"/>
      <c r="G1329" s="245"/>
      <c r="H1329" s="245"/>
      <c r="I1329" s="245"/>
      <c r="J1329" s="245"/>
      <c r="K1329" s="245"/>
      <c r="L1329" s="246"/>
      <c r="M1329" s="245"/>
      <c r="N1329" s="245"/>
      <c r="O1329" s="245"/>
      <c r="P1329" s="245"/>
      <c r="Q1329" s="247"/>
      <c r="R1329" s="247"/>
      <c r="S1329" s="247"/>
      <c r="T1329" s="245"/>
      <c r="U1329" s="245"/>
      <c r="V1329" s="241"/>
      <c r="W1329" s="241"/>
      <c r="X1329" s="241"/>
    </row>
    <row r="1330" spans="1:24" ht="13.5" customHeight="1" x14ac:dyDescent="0.3">
      <c r="A1330" s="245"/>
      <c r="B1330" s="246"/>
      <c r="C1330" s="245"/>
      <c r="D1330" s="245"/>
      <c r="E1330" s="245"/>
      <c r="F1330" s="245"/>
      <c r="G1330" s="245"/>
      <c r="H1330" s="245"/>
      <c r="I1330" s="245"/>
      <c r="J1330" s="245"/>
      <c r="K1330" s="245"/>
      <c r="L1330" s="246"/>
      <c r="M1330" s="245"/>
      <c r="N1330" s="245"/>
      <c r="O1330" s="245"/>
      <c r="P1330" s="245"/>
      <c r="Q1330" s="247"/>
      <c r="R1330" s="247"/>
      <c r="S1330" s="247"/>
      <c r="T1330" s="245"/>
      <c r="U1330" s="245"/>
      <c r="V1330" s="241"/>
      <c r="W1330" s="241"/>
      <c r="X1330" s="241"/>
    </row>
    <row r="1331" spans="1:24" ht="13.5" customHeight="1" x14ac:dyDescent="0.3">
      <c r="A1331" s="245"/>
      <c r="B1331" s="246"/>
      <c r="C1331" s="245"/>
      <c r="D1331" s="245"/>
      <c r="E1331" s="245"/>
      <c r="F1331" s="245"/>
      <c r="G1331" s="245"/>
      <c r="H1331" s="245"/>
      <c r="I1331" s="245"/>
      <c r="J1331" s="245"/>
      <c r="K1331" s="245"/>
      <c r="L1331" s="246"/>
      <c r="M1331" s="245"/>
      <c r="N1331" s="245"/>
      <c r="O1331" s="245"/>
      <c r="P1331" s="245"/>
      <c r="Q1331" s="247"/>
      <c r="R1331" s="247"/>
      <c r="S1331" s="247"/>
      <c r="T1331" s="245"/>
      <c r="U1331" s="245"/>
      <c r="V1331" s="241"/>
      <c r="W1331" s="241"/>
      <c r="X1331" s="241"/>
    </row>
    <row r="1332" spans="1:24" ht="13.5" customHeight="1" x14ac:dyDescent="0.3">
      <c r="A1332" s="245"/>
      <c r="B1332" s="246"/>
      <c r="C1332" s="245"/>
      <c r="D1332" s="245"/>
      <c r="E1332" s="245"/>
      <c r="F1332" s="245"/>
      <c r="G1332" s="245"/>
      <c r="H1332" s="245"/>
      <c r="I1332" s="245"/>
      <c r="J1332" s="245"/>
      <c r="K1332" s="245"/>
      <c r="L1332" s="246"/>
      <c r="M1332" s="245"/>
      <c r="N1332" s="245"/>
      <c r="O1332" s="245"/>
      <c r="P1332" s="245"/>
      <c r="Q1332" s="247"/>
      <c r="R1332" s="247"/>
      <c r="S1332" s="247"/>
      <c r="T1332" s="245"/>
      <c r="U1332" s="245"/>
      <c r="V1332" s="241"/>
      <c r="W1332" s="241"/>
      <c r="X1332" s="241"/>
    </row>
    <row r="1333" spans="1:24" ht="13.5" customHeight="1" x14ac:dyDescent="0.3">
      <c r="A1333" s="245"/>
      <c r="B1333" s="246"/>
      <c r="C1333" s="245"/>
      <c r="D1333" s="245"/>
      <c r="E1333" s="245"/>
      <c r="F1333" s="245"/>
      <c r="G1333" s="245"/>
      <c r="H1333" s="245"/>
      <c r="I1333" s="245"/>
      <c r="J1333" s="245"/>
      <c r="K1333" s="245"/>
      <c r="L1333" s="246"/>
      <c r="M1333" s="245"/>
      <c r="N1333" s="245"/>
      <c r="O1333" s="245"/>
      <c r="P1333" s="245"/>
      <c r="Q1333" s="247"/>
      <c r="R1333" s="247"/>
      <c r="S1333" s="247"/>
      <c r="T1333" s="245"/>
      <c r="U1333" s="245"/>
      <c r="V1333" s="241"/>
      <c r="W1333" s="241"/>
      <c r="X1333" s="241"/>
    </row>
    <row r="1334" spans="1:24" ht="13.5" customHeight="1" x14ac:dyDescent="0.3">
      <c r="A1334" s="245"/>
      <c r="B1334" s="246"/>
      <c r="C1334" s="245"/>
      <c r="D1334" s="245"/>
      <c r="E1334" s="245"/>
      <c r="F1334" s="245"/>
      <c r="G1334" s="245"/>
      <c r="H1334" s="245"/>
      <c r="I1334" s="245"/>
      <c r="J1334" s="245"/>
      <c r="K1334" s="245"/>
      <c r="L1334" s="246"/>
      <c r="M1334" s="245"/>
      <c r="N1334" s="245"/>
      <c r="O1334" s="245"/>
      <c r="P1334" s="245"/>
      <c r="Q1334" s="247"/>
      <c r="R1334" s="247"/>
      <c r="S1334" s="247"/>
      <c r="T1334" s="245"/>
      <c r="U1334" s="245"/>
      <c r="V1334" s="241"/>
      <c r="W1334" s="241"/>
      <c r="X1334" s="241"/>
    </row>
    <row r="1335" spans="1:24" ht="13.5" customHeight="1" x14ac:dyDescent="0.3">
      <c r="A1335" s="245"/>
      <c r="B1335" s="246"/>
      <c r="C1335" s="245"/>
      <c r="D1335" s="245"/>
      <c r="E1335" s="245"/>
      <c r="F1335" s="245"/>
      <c r="G1335" s="245"/>
      <c r="H1335" s="245"/>
      <c r="I1335" s="245"/>
      <c r="J1335" s="245"/>
      <c r="K1335" s="245"/>
      <c r="L1335" s="246"/>
      <c r="M1335" s="245"/>
      <c r="N1335" s="245"/>
      <c r="O1335" s="245"/>
      <c r="P1335" s="245"/>
      <c r="Q1335" s="247"/>
      <c r="R1335" s="247"/>
      <c r="S1335" s="247"/>
      <c r="T1335" s="245"/>
      <c r="U1335" s="245"/>
      <c r="V1335" s="241"/>
      <c r="W1335" s="241"/>
      <c r="X1335" s="241"/>
    </row>
    <row r="1336" spans="1:24" ht="13.5" customHeight="1" x14ac:dyDescent="0.3">
      <c r="A1336" s="245"/>
      <c r="B1336" s="246"/>
      <c r="C1336" s="245"/>
      <c r="D1336" s="245"/>
      <c r="E1336" s="245"/>
      <c r="F1336" s="245"/>
      <c r="G1336" s="245"/>
      <c r="H1336" s="245"/>
      <c r="I1336" s="245"/>
      <c r="J1336" s="245"/>
      <c r="K1336" s="245"/>
      <c r="L1336" s="246"/>
      <c r="M1336" s="245"/>
      <c r="N1336" s="245"/>
      <c r="O1336" s="245"/>
      <c r="P1336" s="245"/>
      <c r="Q1336" s="247"/>
      <c r="R1336" s="247"/>
      <c r="S1336" s="247"/>
      <c r="T1336" s="245"/>
      <c r="U1336" s="245"/>
      <c r="V1336" s="241"/>
      <c r="W1336" s="241"/>
      <c r="X1336" s="241"/>
    </row>
    <row r="1337" spans="1:24" ht="13.5" customHeight="1" x14ac:dyDescent="0.3">
      <c r="A1337" s="245"/>
      <c r="B1337" s="246"/>
      <c r="C1337" s="245"/>
      <c r="D1337" s="245"/>
      <c r="E1337" s="245"/>
      <c r="F1337" s="245"/>
      <c r="G1337" s="245"/>
      <c r="H1337" s="245"/>
      <c r="I1337" s="245"/>
      <c r="J1337" s="245"/>
      <c r="K1337" s="245"/>
      <c r="L1337" s="246"/>
      <c r="M1337" s="245"/>
      <c r="N1337" s="245"/>
      <c r="O1337" s="245"/>
      <c r="P1337" s="245"/>
      <c r="Q1337" s="247"/>
      <c r="R1337" s="247"/>
      <c r="S1337" s="247"/>
      <c r="T1337" s="245"/>
      <c r="U1337" s="245"/>
      <c r="V1337" s="241"/>
      <c r="W1337" s="241"/>
      <c r="X1337" s="241"/>
    </row>
    <row r="1338" spans="1:24" ht="13.5" customHeight="1" x14ac:dyDescent="0.3">
      <c r="A1338" s="245"/>
      <c r="B1338" s="246"/>
      <c r="C1338" s="245"/>
      <c r="D1338" s="245"/>
      <c r="E1338" s="245"/>
      <c r="F1338" s="245"/>
      <c r="G1338" s="245"/>
      <c r="H1338" s="245"/>
      <c r="I1338" s="245"/>
      <c r="J1338" s="245"/>
      <c r="K1338" s="245"/>
      <c r="L1338" s="246"/>
      <c r="M1338" s="245"/>
      <c r="N1338" s="245"/>
      <c r="O1338" s="245"/>
      <c r="P1338" s="245"/>
      <c r="Q1338" s="247"/>
      <c r="R1338" s="247"/>
      <c r="S1338" s="247"/>
      <c r="T1338" s="245"/>
      <c r="U1338" s="245"/>
      <c r="V1338" s="241"/>
      <c r="W1338" s="241"/>
      <c r="X1338" s="241"/>
    </row>
    <row r="1339" spans="1:24" ht="13.5" customHeight="1" x14ac:dyDescent="0.3">
      <c r="A1339" s="245"/>
      <c r="B1339" s="246"/>
      <c r="C1339" s="245"/>
      <c r="D1339" s="245"/>
      <c r="E1339" s="245"/>
      <c r="F1339" s="245"/>
      <c r="G1339" s="245"/>
      <c r="H1339" s="245"/>
      <c r="I1339" s="245"/>
      <c r="J1339" s="245"/>
      <c r="K1339" s="245"/>
      <c r="L1339" s="246"/>
      <c r="M1339" s="245"/>
      <c r="N1339" s="245"/>
      <c r="O1339" s="245"/>
      <c r="P1339" s="245"/>
      <c r="Q1339" s="247"/>
      <c r="R1339" s="247"/>
      <c r="S1339" s="247"/>
      <c r="T1339" s="245"/>
      <c r="U1339" s="245"/>
      <c r="V1339" s="241"/>
      <c r="W1339" s="241"/>
      <c r="X1339" s="241"/>
    </row>
    <row r="1340" spans="1:24" ht="13.5" customHeight="1" x14ac:dyDescent="0.3">
      <c r="A1340" s="245"/>
      <c r="B1340" s="246"/>
      <c r="C1340" s="245"/>
      <c r="D1340" s="245"/>
      <c r="E1340" s="245"/>
      <c r="F1340" s="245"/>
      <c r="G1340" s="245"/>
      <c r="H1340" s="245"/>
      <c r="I1340" s="245"/>
      <c r="J1340" s="245"/>
      <c r="K1340" s="245"/>
      <c r="L1340" s="246"/>
      <c r="M1340" s="245"/>
      <c r="N1340" s="245"/>
      <c r="O1340" s="245"/>
      <c r="P1340" s="245"/>
      <c r="Q1340" s="247"/>
      <c r="R1340" s="247"/>
      <c r="S1340" s="247"/>
      <c r="T1340" s="245"/>
      <c r="U1340" s="245"/>
      <c r="V1340" s="241"/>
      <c r="W1340" s="241"/>
      <c r="X1340" s="241"/>
    </row>
    <row r="1341" spans="1:24" ht="13.5" customHeight="1" x14ac:dyDescent="0.3">
      <c r="A1341" s="245"/>
      <c r="B1341" s="246"/>
      <c r="C1341" s="245"/>
      <c r="D1341" s="245"/>
      <c r="E1341" s="245"/>
      <c r="F1341" s="245"/>
      <c r="G1341" s="245"/>
      <c r="H1341" s="245"/>
      <c r="I1341" s="245"/>
      <c r="J1341" s="245"/>
      <c r="K1341" s="245"/>
      <c r="L1341" s="246"/>
      <c r="M1341" s="245"/>
      <c r="N1341" s="245"/>
      <c r="O1341" s="245"/>
      <c r="P1341" s="245"/>
      <c r="Q1341" s="247"/>
      <c r="R1341" s="247"/>
      <c r="S1341" s="247"/>
      <c r="T1341" s="245"/>
      <c r="U1341" s="245"/>
      <c r="V1341" s="241"/>
      <c r="W1341" s="241"/>
      <c r="X1341" s="241"/>
    </row>
    <row r="1342" spans="1:24" ht="13.5" customHeight="1" x14ac:dyDescent="0.3">
      <c r="A1342" s="245"/>
      <c r="B1342" s="246"/>
      <c r="C1342" s="245"/>
      <c r="D1342" s="245"/>
      <c r="E1342" s="245"/>
      <c r="F1342" s="245"/>
      <c r="G1342" s="245"/>
      <c r="H1342" s="245"/>
      <c r="I1342" s="245"/>
      <c r="J1342" s="245"/>
      <c r="K1342" s="245"/>
      <c r="L1342" s="246"/>
      <c r="M1342" s="245"/>
      <c r="N1342" s="245"/>
      <c r="O1342" s="245"/>
      <c r="P1342" s="245"/>
      <c r="Q1342" s="247"/>
      <c r="R1342" s="247"/>
      <c r="S1342" s="247"/>
      <c r="T1342" s="245"/>
      <c r="U1342" s="245"/>
      <c r="V1342" s="241"/>
      <c r="W1342" s="241"/>
      <c r="X1342" s="241"/>
    </row>
    <row r="1343" spans="1:24" ht="13.5" customHeight="1" x14ac:dyDescent="0.3">
      <c r="A1343" s="245"/>
      <c r="B1343" s="246"/>
      <c r="C1343" s="245"/>
      <c r="D1343" s="245"/>
      <c r="E1343" s="245"/>
      <c r="F1343" s="245"/>
      <c r="G1343" s="245"/>
      <c r="H1343" s="245"/>
      <c r="I1343" s="245"/>
      <c r="J1343" s="245"/>
      <c r="K1343" s="245"/>
      <c r="L1343" s="246"/>
      <c r="M1343" s="245"/>
      <c r="N1343" s="245"/>
      <c r="O1343" s="245"/>
      <c r="P1343" s="245"/>
      <c r="Q1343" s="247"/>
      <c r="R1343" s="247"/>
      <c r="S1343" s="247"/>
      <c r="T1343" s="245"/>
      <c r="U1343" s="245"/>
      <c r="V1343" s="241"/>
      <c r="W1343" s="241"/>
      <c r="X1343" s="241"/>
    </row>
    <row r="1344" spans="1:24" ht="13.5" customHeight="1" x14ac:dyDescent="0.3">
      <c r="A1344" s="245"/>
      <c r="B1344" s="246"/>
      <c r="C1344" s="245"/>
      <c r="D1344" s="245"/>
      <c r="E1344" s="245"/>
      <c r="F1344" s="245"/>
      <c r="G1344" s="245"/>
      <c r="H1344" s="245"/>
      <c r="I1344" s="245"/>
      <c r="J1344" s="245"/>
      <c r="K1344" s="245"/>
      <c r="L1344" s="246"/>
      <c r="M1344" s="245"/>
      <c r="N1344" s="245"/>
      <c r="O1344" s="245"/>
      <c r="P1344" s="245"/>
      <c r="Q1344" s="247"/>
      <c r="R1344" s="247"/>
      <c r="S1344" s="247"/>
      <c r="T1344" s="245"/>
      <c r="U1344" s="245"/>
      <c r="V1344" s="241"/>
      <c r="W1344" s="241"/>
      <c r="X1344" s="241"/>
    </row>
    <row r="1345" spans="1:24" ht="13.5" customHeight="1" x14ac:dyDescent="0.3">
      <c r="A1345" s="245"/>
      <c r="B1345" s="246"/>
      <c r="C1345" s="245"/>
      <c r="D1345" s="245"/>
      <c r="E1345" s="245"/>
      <c r="F1345" s="245"/>
      <c r="G1345" s="245"/>
      <c r="H1345" s="245"/>
      <c r="I1345" s="245"/>
      <c r="J1345" s="245"/>
      <c r="K1345" s="245"/>
      <c r="L1345" s="246"/>
      <c r="M1345" s="245"/>
      <c r="N1345" s="245"/>
      <c r="O1345" s="245"/>
      <c r="P1345" s="245"/>
      <c r="Q1345" s="247"/>
      <c r="R1345" s="247"/>
      <c r="S1345" s="247"/>
      <c r="T1345" s="245"/>
      <c r="U1345" s="245"/>
      <c r="V1345" s="241"/>
      <c r="W1345" s="241"/>
      <c r="X1345" s="241"/>
    </row>
    <row r="1346" spans="1:24" ht="13.5" customHeight="1" x14ac:dyDescent="0.3">
      <c r="A1346" s="245"/>
      <c r="B1346" s="246"/>
      <c r="C1346" s="245"/>
      <c r="D1346" s="245"/>
      <c r="E1346" s="245"/>
      <c r="F1346" s="245"/>
      <c r="G1346" s="245"/>
      <c r="H1346" s="245"/>
      <c r="I1346" s="245"/>
      <c r="J1346" s="245"/>
      <c r="K1346" s="245"/>
      <c r="L1346" s="246"/>
      <c r="M1346" s="245"/>
      <c r="N1346" s="245"/>
      <c r="O1346" s="245"/>
      <c r="P1346" s="245"/>
      <c r="Q1346" s="247"/>
      <c r="R1346" s="247"/>
      <c r="S1346" s="247"/>
      <c r="T1346" s="245"/>
      <c r="U1346" s="245"/>
      <c r="V1346" s="241"/>
      <c r="W1346" s="241"/>
      <c r="X1346" s="241"/>
    </row>
    <row r="1347" spans="1:24" ht="13.5" customHeight="1" x14ac:dyDescent="0.3">
      <c r="A1347" s="245"/>
      <c r="B1347" s="246"/>
      <c r="C1347" s="245"/>
      <c r="D1347" s="245"/>
      <c r="E1347" s="245"/>
      <c r="F1347" s="245"/>
      <c r="G1347" s="245"/>
      <c r="H1347" s="245"/>
      <c r="I1347" s="245"/>
      <c r="J1347" s="245"/>
      <c r="K1347" s="245"/>
      <c r="L1347" s="246"/>
      <c r="M1347" s="245"/>
      <c r="N1347" s="245"/>
      <c r="O1347" s="245"/>
      <c r="P1347" s="245"/>
      <c r="Q1347" s="247"/>
      <c r="R1347" s="247"/>
      <c r="S1347" s="247"/>
      <c r="T1347" s="245"/>
      <c r="U1347" s="245"/>
      <c r="V1347" s="241"/>
      <c r="W1347" s="241"/>
      <c r="X1347" s="241"/>
    </row>
    <row r="1348" spans="1:24" ht="13.5" customHeight="1" x14ac:dyDescent="0.3">
      <c r="A1348" s="245"/>
      <c r="B1348" s="246"/>
      <c r="C1348" s="245"/>
      <c r="D1348" s="245"/>
      <c r="E1348" s="245"/>
      <c r="F1348" s="245"/>
      <c r="G1348" s="245"/>
      <c r="H1348" s="245"/>
      <c r="I1348" s="245"/>
      <c r="J1348" s="245"/>
      <c r="K1348" s="245"/>
      <c r="L1348" s="246"/>
      <c r="M1348" s="245"/>
      <c r="N1348" s="245"/>
      <c r="O1348" s="245"/>
      <c r="P1348" s="245"/>
      <c r="Q1348" s="247"/>
      <c r="R1348" s="247"/>
      <c r="S1348" s="247"/>
      <c r="T1348" s="245"/>
      <c r="U1348" s="245"/>
      <c r="V1348" s="241"/>
      <c r="W1348" s="241"/>
      <c r="X1348" s="241"/>
    </row>
    <row r="1349" spans="1:24" ht="13.5" customHeight="1" x14ac:dyDescent="0.3">
      <c r="A1349" s="245"/>
      <c r="B1349" s="246"/>
      <c r="C1349" s="245"/>
      <c r="D1349" s="245"/>
      <c r="E1349" s="245"/>
      <c r="F1349" s="245"/>
      <c r="G1349" s="245"/>
      <c r="H1349" s="245"/>
      <c r="I1349" s="245"/>
      <c r="J1349" s="245"/>
      <c r="K1349" s="245"/>
      <c r="L1349" s="246"/>
      <c r="M1349" s="245"/>
      <c r="N1349" s="245"/>
      <c r="O1349" s="245"/>
      <c r="P1349" s="245"/>
      <c r="Q1349" s="247"/>
      <c r="R1349" s="247"/>
      <c r="S1349" s="247"/>
      <c r="T1349" s="245"/>
      <c r="U1349" s="245"/>
      <c r="V1349" s="241"/>
      <c r="W1349" s="241"/>
      <c r="X1349" s="241"/>
    </row>
    <row r="1350" spans="1:24" ht="13.5" customHeight="1" x14ac:dyDescent="0.3">
      <c r="A1350" s="245"/>
      <c r="B1350" s="246"/>
      <c r="C1350" s="245"/>
      <c r="D1350" s="245"/>
      <c r="E1350" s="245"/>
      <c r="F1350" s="245"/>
      <c r="G1350" s="245"/>
      <c r="H1350" s="245"/>
      <c r="I1350" s="245"/>
      <c r="J1350" s="245"/>
      <c r="K1350" s="245"/>
      <c r="L1350" s="246"/>
      <c r="M1350" s="245"/>
      <c r="N1350" s="245"/>
      <c r="O1350" s="245"/>
      <c r="P1350" s="245"/>
      <c r="Q1350" s="247"/>
      <c r="R1350" s="247"/>
      <c r="S1350" s="247"/>
      <c r="T1350" s="245"/>
      <c r="U1350" s="245"/>
      <c r="V1350" s="241"/>
      <c r="W1350" s="241"/>
      <c r="X1350" s="241"/>
    </row>
    <row r="1351" spans="1:24" ht="13.5" customHeight="1" x14ac:dyDescent="0.3">
      <c r="A1351" s="245"/>
      <c r="B1351" s="246"/>
      <c r="C1351" s="245"/>
      <c r="D1351" s="245"/>
      <c r="E1351" s="245"/>
      <c r="F1351" s="245"/>
      <c r="G1351" s="245"/>
      <c r="H1351" s="245"/>
      <c r="I1351" s="245"/>
      <c r="J1351" s="245"/>
      <c r="K1351" s="245"/>
      <c r="L1351" s="246"/>
      <c r="M1351" s="245"/>
      <c r="N1351" s="245"/>
      <c r="O1351" s="245"/>
      <c r="P1351" s="245"/>
      <c r="Q1351" s="247"/>
      <c r="R1351" s="247"/>
      <c r="S1351" s="247"/>
      <c r="T1351" s="245"/>
      <c r="U1351" s="245"/>
      <c r="V1351" s="241"/>
      <c r="W1351" s="241"/>
      <c r="X1351" s="241"/>
    </row>
    <row r="1352" spans="1:24" ht="13.5" customHeight="1" x14ac:dyDescent="0.3">
      <c r="A1352" s="245"/>
      <c r="B1352" s="246"/>
      <c r="C1352" s="245"/>
      <c r="D1352" s="245"/>
      <c r="E1352" s="245"/>
      <c r="F1352" s="245"/>
      <c r="G1352" s="245"/>
      <c r="H1352" s="245"/>
      <c r="I1352" s="245"/>
      <c r="J1352" s="245"/>
      <c r="K1352" s="245"/>
      <c r="L1352" s="246"/>
      <c r="M1352" s="245"/>
      <c r="N1352" s="245"/>
      <c r="O1352" s="245"/>
      <c r="P1352" s="245"/>
      <c r="Q1352" s="247"/>
      <c r="R1352" s="247"/>
      <c r="S1352" s="247"/>
      <c r="T1352" s="245"/>
      <c r="U1352" s="245"/>
      <c r="V1352" s="241"/>
      <c r="W1352" s="241"/>
      <c r="X1352" s="241"/>
    </row>
    <row r="1353" spans="1:24" ht="13.5" customHeight="1" x14ac:dyDescent="0.3">
      <c r="A1353" s="245"/>
      <c r="B1353" s="246"/>
      <c r="C1353" s="245"/>
      <c r="D1353" s="245"/>
      <c r="E1353" s="245"/>
      <c r="F1353" s="245"/>
      <c r="G1353" s="245"/>
      <c r="H1353" s="245"/>
      <c r="I1353" s="245"/>
      <c r="J1353" s="245"/>
      <c r="K1353" s="245"/>
      <c r="L1353" s="246"/>
      <c r="M1353" s="245"/>
      <c r="N1353" s="245"/>
      <c r="O1353" s="245"/>
      <c r="P1353" s="245"/>
      <c r="Q1353" s="247"/>
      <c r="R1353" s="247"/>
      <c r="S1353" s="247"/>
      <c r="T1353" s="245"/>
      <c r="U1353" s="245"/>
      <c r="V1353" s="241"/>
      <c r="W1353" s="241"/>
      <c r="X1353" s="241"/>
    </row>
    <row r="1354" spans="1:24" ht="13.5" customHeight="1" x14ac:dyDescent="0.3">
      <c r="A1354" s="245"/>
      <c r="B1354" s="246"/>
      <c r="C1354" s="245"/>
      <c r="D1354" s="245"/>
      <c r="E1354" s="245"/>
      <c r="F1354" s="245"/>
      <c r="G1354" s="245"/>
      <c r="H1354" s="245"/>
      <c r="I1354" s="245"/>
      <c r="J1354" s="245"/>
      <c r="K1354" s="245"/>
      <c r="L1354" s="246"/>
      <c r="M1354" s="245"/>
      <c r="N1354" s="245"/>
      <c r="O1354" s="245"/>
      <c r="P1354" s="245"/>
      <c r="Q1354" s="247"/>
      <c r="R1354" s="247"/>
      <c r="S1354" s="247"/>
      <c r="T1354" s="245"/>
      <c r="U1354" s="245"/>
      <c r="V1354" s="241"/>
      <c r="W1354" s="241"/>
      <c r="X1354" s="241"/>
    </row>
    <row r="1355" spans="1:24" ht="13.5" customHeight="1" x14ac:dyDescent="0.3">
      <c r="A1355" s="245"/>
      <c r="B1355" s="246"/>
      <c r="C1355" s="245"/>
      <c r="D1355" s="245"/>
      <c r="E1355" s="245"/>
      <c r="F1355" s="245"/>
      <c r="G1355" s="245"/>
      <c r="H1355" s="245"/>
      <c r="I1355" s="245"/>
      <c r="J1355" s="245"/>
      <c r="K1355" s="245"/>
      <c r="L1355" s="246"/>
      <c r="M1355" s="245"/>
      <c r="N1355" s="245"/>
      <c r="O1355" s="245"/>
      <c r="P1355" s="245"/>
      <c r="Q1355" s="247"/>
      <c r="R1355" s="247"/>
      <c r="S1355" s="247"/>
      <c r="T1355" s="245"/>
      <c r="U1355" s="245"/>
      <c r="V1355" s="241"/>
      <c r="W1355" s="241"/>
      <c r="X1355" s="241"/>
    </row>
    <row r="1356" spans="1:24" ht="13.5" customHeight="1" x14ac:dyDescent="0.3">
      <c r="A1356" s="245"/>
      <c r="B1356" s="246"/>
      <c r="C1356" s="245"/>
      <c r="D1356" s="245"/>
      <c r="E1356" s="245"/>
      <c r="F1356" s="245"/>
      <c r="G1356" s="245"/>
      <c r="H1356" s="245"/>
      <c r="I1356" s="245"/>
      <c r="J1356" s="245"/>
      <c r="K1356" s="245"/>
      <c r="L1356" s="246"/>
      <c r="M1356" s="245"/>
      <c r="N1356" s="245"/>
      <c r="O1356" s="245"/>
      <c r="P1356" s="245"/>
      <c r="Q1356" s="247"/>
      <c r="R1356" s="247"/>
      <c r="S1356" s="247"/>
      <c r="T1356" s="245"/>
      <c r="U1356" s="245"/>
      <c r="V1356" s="241"/>
      <c r="W1356" s="241"/>
      <c r="X1356" s="241"/>
    </row>
    <row r="1357" spans="1:24" ht="13.5" customHeight="1" x14ac:dyDescent="0.3">
      <c r="A1357" s="245"/>
      <c r="B1357" s="246"/>
      <c r="C1357" s="245"/>
      <c r="D1357" s="245"/>
      <c r="E1357" s="245"/>
      <c r="F1357" s="245"/>
      <c r="G1357" s="245"/>
      <c r="H1357" s="245"/>
      <c r="I1357" s="245"/>
      <c r="J1357" s="245"/>
      <c r="K1357" s="245"/>
      <c r="L1357" s="246"/>
      <c r="M1357" s="245"/>
      <c r="N1357" s="245"/>
      <c r="O1357" s="245"/>
      <c r="P1357" s="245"/>
      <c r="Q1357" s="247"/>
      <c r="R1357" s="247"/>
      <c r="S1357" s="247"/>
      <c r="T1357" s="245"/>
      <c r="U1357" s="245"/>
      <c r="V1357" s="241"/>
      <c r="W1357" s="241"/>
      <c r="X1357" s="241"/>
    </row>
    <row r="1358" spans="1:24" ht="13.5" customHeight="1" x14ac:dyDescent="0.3">
      <c r="A1358" s="245"/>
      <c r="B1358" s="246"/>
      <c r="C1358" s="245"/>
      <c r="D1358" s="245"/>
      <c r="E1358" s="245"/>
      <c r="F1358" s="245"/>
      <c r="G1358" s="245"/>
      <c r="H1358" s="245"/>
      <c r="I1358" s="245"/>
      <c r="J1358" s="245"/>
      <c r="K1358" s="245"/>
      <c r="L1358" s="246"/>
      <c r="M1358" s="245"/>
      <c r="N1358" s="245"/>
      <c r="O1358" s="245"/>
      <c r="P1358" s="245"/>
      <c r="Q1358" s="247"/>
      <c r="R1358" s="247"/>
      <c r="S1358" s="247"/>
      <c r="T1358" s="245"/>
      <c r="U1358" s="245"/>
      <c r="V1358" s="241"/>
      <c r="W1358" s="241"/>
      <c r="X1358" s="241"/>
    </row>
    <row r="1359" spans="1:24" ht="13.5" customHeight="1" x14ac:dyDescent="0.3">
      <c r="A1359" s="245"/>
      <c r="B1359" s="246"/>
      <c r="C1359" s="245"/>
      <c r="D1359" s="245"/>
      <c r="E1359" s="245"/>
      <c r="F1359" s="245"/>
      <c r="G1359" s="245"/>
      <c r="H1359" s="245"/>
      <c r="I1359" s="245"/>
      <c r="J1359" s="245"/>
      <c r="K1359" s="245"/>
      <c r="L1359" s="246"/>
      <c r="M1359" s="245"/>
      <c r="N1359" s="245"/>
      <c r="O1359" s="245"/>
      <c r="P1359" s="245"/>
      <c r="Q1359" s="247"/>
      <c r="R1359" s="247"/>
      <c r="S1359" s="247"/>
      <c r="T1359" s="245"/>
      <c r="U1359" s="245"/>
      <c r="V1359" s="241"/>
      <c r="W1359" s="241"/>
      <c r="X1359" s="241"/>
    </row>
    <row r="1360" spans="1:24" ht="13.5" customHeight="1" x14ac:dyDescent="0.3">
      <c r="A1360" s="245"/>
      <c r="B1360" s="246"/>
      <c r="C1360" s="245"/>
      <c r="D1360" s="245"/>
      <c r="E1360" s="245"/>
      <c r="F1360" s="245"/>
      <c r="G1360" s="245"/>
      <c r="H1360" s="245"/>
      <c r="I1360" s="245"/>
      <c r="J1360" s="245"/>
      <c r="K1360" s="245"/>
      <c r="L1360" s="246"/>
      <c r="M1360" s="245"/>
      <c r="N1360" s="245"/>
      <c r="O1360" s="245"/>
      <c r="P1360" s="245"/>
      <c r="Q1360" s="247"/>
      <c r="R1360" s="247"/>
      <c r="S1360" s="247"/>
      <c r="T1360" s="245"/>
      <c r="U1360" s="245"/>
      <c r="V1360" s="241"/>
      <c r="W1360" s="241"/>
      <c r="X1360" s="241"/>
    </row>
    <row r="1361" spans="1:24" ht="13.5" customHeight="1" x14ac:dyDescent="0.3">
      <c r="A1361" s="245"/>
      <c r="B1361" s="246"/>
      <c r="C1361" s="245"/>
      <c r="D1361" s="245"/>
      <c r="E1361" s="245"/>
      <c r="F1361" s="245"/>
      <c r="G1361" s="245"/>
      <c r="H1361" s="245"/>
      <c r="I1361" s="245"/>
      <c r="J1361" s="245"/>
      <c r="K1361" s="245"/>
      <c r="L1361" s="246"/>
      <c r="M1361" s="245"/>
      <c r="N1361" s="245"/>
      <c r="O1361" s="245"/>
      <c r="P1361" s="245"/>
      <c r="Q1361" s="247"/>
      <c r="R1361" s="247"/>
      <c r="S1361" s="247"/>
      <c r="T1361" s="245"/>
      <c r="U1361" s="245"/>
      <c r="V1361" s="241"/>
      <c r="W1361" s="241"/>
      <c r="X1361" s="241"/>
    </row>
    <row r="1362" spans="1:24" ht="13.5" customHeight="1" x14ac:dyDescent="0.3">
      <c r="A1362" s="245"/>
      <c r="B1362" s="246"/>
      <c r="C1362" s="245"/>
      <c r="D1362" s="245"/>
      <c r="E1362" s="245"/>
      <c r="F1362" s="245"/>
      <c r="G1362" s="245"/>
      <c r="H1362" s="245"/>
      <c r="I1362" s="245"/>
      <c r="J1362" s="245"/>
      <c r="K1362" s="245"/>
      <c r="L1362" s="246"/>
      <c r="M1362" s="245"/>
      <c r="N1362" s="245"/>
      <c r="O1362" s="245"/>
      <c r="P1362" s="245"/>
      <c r="Q1362" s="247"/>
      <c r="R1362" s="247"/>
      <c r="S1362" s="247"/>
      <c r="T1362" s="245"/>
      <c r="U1362" s="245"/>
      <c r="V1362" s="241"/>
      <c r="W1362" s="241"/>
      <c r="X1362" s="241"/>
    </row>
    <row r="1363" spans="1:24" ht="13.5" customHeight="1" x14ac:dyDescent="0.3">
      <c r="A1363" s="245"/>
      <c r="B1363" s="246"/>
      <c r="C1363" s="245"/>
      <c r="D1363" s="245"/>
      <c r="E1363" s="245"/>
      <c r="F1363" s="245"/>
      <c r="G1363" s="245"/>
      <c r="H1363" s="245"/>
      <c r="I1363" s="245"/>
      <c r="J1363" s="245"/>
      <c r="K1363" s="245"/>
      <c r="L1363" s="246"/>
      <c r="M1363" s="245"/>
      <c r="N1363" s="245"/>
      <c r="O1363" s="245"/>
      <c r="P1363" s="245"/>
      <c r="Q1363" s="247"/>
      <c r="R1363" s="247"/>
      <c r="S1363" s="247"/>
      <c r="T1363" s="245"/>
      <c r="U1363" s="245"/>
      <c r="V1363" s="241"/>
      <c r="W1363" s="241"/>
      <c r="X1363" s="241"/>
    </row>
    <row r="1364" spans="1:24" ht="13.5" customHeight="1" x14ac:dyDescent="0.3">
      <c r="A1364" s="245"/>
      <c r="B1364" s="246"/>
      <c r="C1364" s="245"/>
      <c r="D1364" s="245"/>
      <c r="E1364" s="245"/>
      <c r="F1364" s="245"/>
      <c r="G1364" s="245"/>
      <c r="H1364" s="245"/>
      <c r="I1364" s="245"/>
      <c r="J1364" s="245"/>
      <c r="K1364" s="245"/>
      <c r="L1364" s="246"/>
      <c r="M1364" s="245"/>
      <c r="N1364" s="245"/>
      <c r="O1364" s="245"/>
      <c r="P1364" s="245"/>
      <c r="Q1364" s="247"/>
      <c r="R1364" s="247"/>
      <c r="S1364" s="247"/>
      <c r="T1364" s="245"/>
      <c r="U1364" s="245"/>
      <c r="V1364" s="241"/>
      <c r="W1364" s="241"/>
      <c r="X1364" s="241"/>
    </row>
    <row r="1365" spans="1:24" ht="13.5" customHeight="1" x14ac:dyDescent="0.3">
      <c r="A1365" s="245"/>
      <c r="B1365" s="246"/>
      <c r="C1365" s="245"/>
      <c r="D1365" s="245"/>
      <c r="E1365" s="245"/>
      <c r="F1365" s="245"/>
      <c r="G1365" s="245"/>
      <c r="H1365" s="245"/>
      <c r="I1365" s="245"/>
      <c r="J1365" s="245"/>
      <c r="K1365" s="245"/>
      <c r="L1365" s="246"/>
      <c r="M1365" s="245"/>
      <c r="N1365" s="245"/>
      <c r="O1365" s="245"/>
      <c r="P1365" s="245"/>
      <c r="Q1365" s="247"/>
      <c r="R1365" s="247"/>
      <c r="S1365" s="247"/>
      <c r="T1365" s="245"/>
      <c r="U1365" s="245"/>
      <c r="V1365" s="241"/>
      <c r="W1365" s="241"/>
      <c r="X1365" s="241"/>
    </row>
    <row r="1366" spans="1:24" ht="13.5" customHeight="1" x14ac:dyDescent="0.3">
      <c r="A1366" s="245"/>
      <c r="B1366" s="246"/>
      <c r="C1366" s="245"/>
      <c r="D1366" s="245"/>
      <c r="E1366" s="245"/>
      <c r="F1366" s="245"/>
      <c r="G1366" s="245"/>
      <c r="H1366" s="245"/>
      <c r="I1366" s="245"/>
      <c r="J1366" s="245"/>
      <c r="K1366" s="245"/>
      <c r="L1366" s="246"/>
      <c r="M1366" s="245"/>
      <c r="N1366" s="245"/>
      <c r="O1366" s="245"/>
      <c r="P1366" s="245"/>
      <c r="Q1366" s="247"/>
      <c r="R1366" s="247"/>
      <c r="S1366" s="247"/>
      <c r="T1366" s="245"/>
      <c r="U1366" s="245"/>
      <c r="V1366" s="241"/>
      <c r="W1366" s="241"/>
      <c r="X1366" s="241"/>
    </row>
    <row r="1367" spans="1:24" ht="13.5" customHeight="1" x14ac:dyDescent="0.3">
      <c r="A1367" s="245"/>
      <c r="B1367" s="246"/>
      <c r="C1367" s="245"/>
      <c r="D1367" s="245"/>
      <c r="E1367" s="245"/>
      <c r="F1367" s="245"/>
      <c r="G1367" s="245"/>
      <c r="H1367" s="245"/>
      <c r="I1367" s="245"/>
      <c r="J1367" s="245"/>
      <c r="K1367" s="245"/>
      <c r="L1367" s="246"/>
      <c r="M1367" s="245"/>
      <c r="N1367" s="245"/>
      <c r="O1367" s="245"/>
      <c r="P1367" s="245"/>
      <c r="Q1367" s="247"/>
      <c r="R1367" s="247"/>
      <c r="S1367" s="247"/>
      <c r="T1367" s="245"/>
      <c r="U1367" s="245"/>
      <c r="V1367" s="241"/>
      <c r="W1367" s="241"/>
      <c r="X1367" s="241"/>
    </row>
    <row r="1368" spans="1:24" ht="13.5" customHeight="1" x14ac:dyDescent="0.3">
      <c r="A1368" s="245"/>
      <c r="B1368" s="246"/>
      <c r="C1368" s="245"/>
      <c r="D1368" s="245"/>
      <c r="E1368" s="245"/>
      <c r="F1368" s="245"/>
      <c r="G1368" s="245"/>
      <c r="H1368" s="245"/>
      <c r="I1368" s="245"/>
      <c r="J1368" s="245"/>
      <c r="K1368" s="245"/>
      <c r="L1368" s="246"/>
      <c r="M1368" s="245"/>
      <c r="N1368" s="245"/>
      <c r="O1368" s="245"/>
      <c r="P1368" s="245"/>
      <c r="Q1368" s="247"/>
      <c r="R1368" s="247"/>
      <c r="S1368" s="247"/>
      <c r="T1368" s="245"/>
      <c r="U1368" s="245"/>
      <c r="V1368" s="241"/>
      <c r="W1368" s="241"/>
      <c r="X1368" s="241"/>
    </row>
    <row r="1369" spans="1:24" ht="13.5" customHeight="1" x14ac:dyDescent="0.3">
      <c r="A1369" s="245"/>
      <c r="B1369" s="246"/>
      <c r="C1369" s="245"/>
      <c r="D1369" s="245"/>
      <c r="E1369" s="245"/>
      <c r="F1369" s="245"/>
      <c r="G1369" s="245"/>
      <c r="H1369" s="245"/>
      <c r="I1369" s="245"/>
      <c r="J1369" s="245"/>
      <c r="K1369" s="245"/>
      <c r="L1369" s="246"/>
      <c r="M1369" s="245"/>
      <c r="N1369" s="245"/>
      <c r="O1369" s="245"/>
      <c r="P1369" s="245"/>
      <c r="Q1369" s="247"/>
      <c r="R1369" s="247"/>
      <c r="S1369" s="247"/>
      <c r="T1369" s="245"/>
      <c r="U1369" s="245"/>
      <c r="V1369" s="241"/>
      <c r="W1369" s="241"/>
      <c r="X1369" s="241"/>
    </row>
    <row r="1370" spans="1:24" ht="13.5" customHeight="1" x14ac:dyDescent="0.3">
      <c r="A1370" s="245"/>
      <c r="B1370" s="246"/>
      <c r="C1370" s="245"/>
      <c r="D1370" s="245"/>
      <c r="E1370" s="245"/>
      <c r="F1370" s="245"/>
      <c r="G1370" s="245"/>
      <c r="H1370" s="245"/>
      <c r="I1370" s="245"/>
      <c r="J1370" s="245"/>
      <c r="K1370" s="245"/>
      <c r="L1370" s="246"/>
      <c r="M1370" s="245"/>
      <c r="N1370" s="245"/>
      <c r="O1370" s="245"/>
      <c r="P1370" s="245"/>
      <c r="Q1370" s="247"/>
      <c r="R1370" s="247"/>
      <c r="S1370" s="247"/>
      <c r="T1370" s="245"/>
      <c r="U1370" s="245"/>
      <c r="V1370" s="241"/>
      <c r="W1370" s="241"/>
      <c r="X1370" s="241"/>
    </row>
    <row r="1371" spans="1:24" ht="13.5" customHeight="1" x14ac:dyDescent="0.3">
      <c r="A1371" s="245"/>
      <c r="B1371" s="246"/>
      <c r="C1371" s="245"/>
      <c r="D1371" s="245"/>
      <c r="E1371" s="245"/>
      <c r="F1371" s="245"/>
      <c r="G1371" s="245"/>
      <c r="H1371" s="245"/>
      <c r="I1371" s="245"/>
      <c r="J1371" s="245"/>
      <c r="K1371" s="245"/>
      <c r="L1371" s="246"/>
      <c r="M1371" s="245"/>
      <c r="N1371" s="245"/>
      <c r="O1371" s="245"/>
      <c r="P1371" s="245"/>
      <c r="Q1371" s="247"/>
      <c r="R1371" s="247"/>
      <c r="S1371" s="247"/>
      <c r="T1371" s="245"/>
      <c r="U1371" s="245"/>
      <c r="V1371" s="241"/>
      <c r="W1371" s="241"/>
      <c r="X1371" s="241"/>
    </row>
    <row r="1372" spans="1:24" ht="13.5" customHeight="1" x14ac:dyDescent="0.3">
      <c r="A1372" s="245"/>
      <c r="B1372" s="246"/>
      <c r="C1372" s="245"/>
      <c r="D1372" s="245"/>
      <c r="E1372" s="245"/>
      <c r="F1372" s="245"/>
      <c r="G1372" s="245"/>
      <c r="H1372" s="245"/>
      <c r="I1372" s="245"/>
      <c r="J1372" s="245"/>
      <c r="K1372" s="245"/>
      <c r="L1372" s="246"/>
      <c r="M1372" s="245"/>
      <c r="N1372" s="245"/>
      <c r="O1372" s="245"/>
      <c r="P1372" s="245"/>
      <c r="Q1372" s="247"/>
      <c r="R1372" s="247"/>
      <c r="S1372" s="247"/>
      <c r="T1372" s="245"/>
      <c r="U1372" s="245"/>
      <c r="V1372" s="241"/>
      <c r="W1372" s="241"/>
      <c r="X1372" s="241"/>
    </row>
    <row r="1373" spans="1:24" ht="13.5" customHeight="1" x14ac:dyDescent="0.3">
      <c r="A1373" s="245"/>
      <c r="B1373" s="246"/>
      <c r="C1373" s="245"/>
      <c r="D1373" s="245"/>
      <c r="E1373" s="245"/>
      <c r="F1373" s="245"/>
      <c r="G1373" s="245"/>
      <c r="H1373" s="245"/>
      <c r="I1373" s="245"/>
      <c r="J1373" s="245"/>
      <c r="K1373" s="245"/>
      <c r="L1373" s="246"/>
      <c r="M1373" s="245"/>
      <c r="N1373" s="245"/>
      <c r="O1373" s="245"/>
      <c r="P1373" s="245"/>
      <c r="Q1373" s="247"/>
      <c r="R1373" s="247"/>
      <c r="S1373" s="247"/>
      <c r="T1373" s="245"/>
      <c r="U1373" s="245"/>
      <c r="V1373" s="241"/>
      <c r="W1373" s="241"/>
      <c r="X1373" s="241"/>
    </row>
    <row r="1374" spans="1:24" ht="13.5" customHeight="1" x14ac:dyDescent="0.3">
      <c r="A1374" s="245"/>
      <c r="B1374" s="246"/>
      <c r="C1374" s="245"/>
      <c r="D1374" s="245"/>
      <c r="E1374" s="245"/>
      <c r="F1374" s="245"/>
      <c r="G1374" s="245"/>
      <c r="H1374" s="245"/>
      <c r="I1374" s="245"/>
      <c r="J1374" s="245"/>
      <c r="K1374" s="245"/>
      <c r="L1374" s="246"/>
      <c r="M1374" s="245"/>
      <c r="N1374" s="245"/>
      <c r="O1374" s="245"/>
      <c r="P1374" s="245"/>
      <c r="Q1374" s="247"/>
      <c r="R1374" s="247"/>
      <c r="S1374" s="247"/>
      <c r="T1374" s="245"/>
      <c r="U1374" s="245"/>
      <c r="V1374" s="241"/>
      <c r="W1374" s="241"/>
      <c r="X1374" s="241"/>
    </row>
    <row r="1375" spans="1:24" ht="13.5" customHeight="1" x14ac:dyDescent="0.3">
      <c r="A1375" s="245"/>
      <c r="B1375" s="246"/>
      <c r="C1375" s="245"/>
      <c r="D1375" s="245"/>
      <c r="E1375" s="245"/>
      <c r="F1375" s="245"/>
      <c r="G1375" s="245"/>
      <c r="H1375" s="245"/>
      <c r="I1375" s="245"/>
      <c r="J1375" s="245"/>
      <c r="K1375" s="245"/>
      <c r="L1375" s="246"/>
      <c r="M1375" s="245"/>
      <c r="N1375" s="245"/>
      <c r="O1375" s="245"/>
      <c r="P1375" s="245"/>
      <c r="Q1375" s="247"/>
      <c r="R1375" s="247"/>
      <c r="S1375" s="247"/>
      <c r="T1375" s="245"/>
      <c r="U1375" s="245"/>
      <c r="V1375" s="241"/>
      <c r="W1375" s="241"/>
      <c r="X1375" s="241"/>
    </row>
    <row r="1376" spans="1:24" ht="13.5" customHeight="1" x14ac:dyDescent="0.3">
      <c r="A1376" s="245"/>
      <c r="B1376" s="246"/>
      <c r="C1376" s="245"/>
      <c r="D1376" s="245"/>
      <c r="E1376" s="245"/>
      <c r="F1376" s="245"/>
      <c r="G1376" s="245"/>
      <c r="H1376" s="245"/>
      <c r="I1376" s="245"/>
      <c r="J1376" s="245"/>
      <c r="K1376" s="245"/>
      <c r="L1376" s="246"/>
      <c r="M1376" s="245"/>
      <c r="N1376" s="245"/>
      <c r="O1376" s="245"/>
      <c r="P1376" s="245"/>
      <c r="Q1376" s="247"/>
      <c r="R1376" s="247"/>
      <c r="S1376" s="247"/>
      <c r="T1376" s="245"/>
      <c r="U1376" s="245"/>
      <c r="V1376" s="241"/>
      <c r="W1376" s="241"/>
      <c r="X1376" s="241"/>
    </row>
    <row r="1377" spans="1:24" ht="13.5" customHeight="1" x14ac:dyDescent="0.3">
      <c r="A1377" s="245"/>
      <c r="B1377" s="246"/>
      <c r="C1377" s="245"/>
      <c r="D1377" s="245"/>
      <c r="E1377" s="245"/>
      <c r="F1377" s="245"/>
      <c r="G1377" s="245"/>
      <c r="H1377" s="245"/>
      <c r="I1377" s="245"/>
      <c r="J1377" s="245"/>
      <c r="K1377" s="245"/>
      <c r="L1377" s="246"/>
      <c r="M1377" s="245"/>
      <c r="N1377" s="245"/>
      <c r="O1377" s="245"/>
      <c r="P1377" s="245"/>
      <c r="Q1377" s="247"/>
      <c r="R1377" s="247"/>
      <c r="S1377" s="247"/>
      <c r="T1377" s="245"/>
      <c r="U1377" s="245"/>
      <c r="V1377" s="241"/>
      <c r="W1377" s="241"/>
      <c r="X1377" s="241"/>
    </row>
    <row r="1378" spans="1:24" ht="13.5" customHeight="1" x14ac:dyDescent="0.3">
      <c r="A1378" s="245"/>
      <c r="B1378" s="246"/>
      <c r="C1378" s="245"/>
      <c r="D1378" s="245"/>
      <c r="E1378" s="245"/>
      <c r="F1378" s="245"/>
      <c r="G1378" s="245"/>
      <c r="H1378" s="245"/>
      <c r="I1378" s="245"/>
      <c r="J1378" s="245"/>
      <c r="K1378" s="245"/>
      <c r="L1378" s="246"/>
      <c r="M1378" s="245"/>
      <c r="N1378" s="245"/>
      <c r="O1378" s="245"/>
      <c r="P1378" s="245"/>
      <c r="Q1378" s="247"/>
      <c r="R1378" s="247"/>
      <c r="S1378" s="247"/>
      <c r="T1378" s="245"/>
      <c r="U1378" s="245"/>
      <c r="V1378" s="241"/>
      <c r="W1378" s="241"/>
      <c r="X1378" s="241"/>
    </row>
    <row r="1379" spans="1:24" ht="13.5" customHeight="1" x14ac:dyDescent="0.3">
      <c r="A1379" s="245"/>
      <c r="B1379" s="246"/>
      <c r="C1379" s="245"/>
      <c r="D1379" s="245"/>
      <c r="E1379" s="245"/>
      <c r="F1379" s="245"/>
      <c r="G1379" s="245"/>
      <c r="H1379" s="245"/>
      <c r="I1379" s="245"/>
      <c r="J1379" s="245"/>
      <c r="K1379" s="245"/>
      <c r="L1379" s="246"/>
      <c r="M1379" s="245"/>
      <c r="N1379" s="245"/>
      <c r="O1379" s="245"/>
      <c r="P1379" s="245"/>
      <c r="Q1379" s="247"/>
      <c r="R1379" s="247"/>
      <c r="S1379" s="247"/>
      <c r="T1379" s="245"/>
      <c r="U1379" s="245"/>
      <c r="V1379" s="241"/>
      <c r="W1379" s="241"/>
      <c r="X1379" s="241"/>
    </row>
    <row r="1380" spans="1:24" ht="13.5" customHeight="1" x14ac:dyDescent="0.3">
      <c r="A1380" s="245"/>
      <c r="B1380" s="246"/>
      <c r="C1380" s="245"/>
      <c r="D1380" s="245"/>
      <c r="E1380" s="245"/>
      <c r="F1380" s="245"/>
      <c r="G1380" s="245"/>
      <c r="H1380" s="245"/>
      <c r="I1380" s="245"/>
      <c r="J1380" s="245"/>
      <c r="K1380" s="245"/>
      <c r="L1380" s="246"/>
      <c r="M1380" s="245"/>
      <c r="N1380" s="245"/>
      <c r="O1380" s="245"/>
      <c r="P1380" s="245"/>
      <c r="Q1380" s="247"/>
      <c r="R1380" s="247"/>
      <c r="S1380" s="247"/>
      <c r="T1380" s="245"/>
      <c r="U1380" s="245"/>
      <c r="V1380" s="241"/>
      <c r="W1380" s="241"/>
      <c r="X1380" s="241"/>
    </row>
    <row r="1381" spans="1:24" ht="13.5" customHeight="1" x14ac:dyDescent="0.3">
      <c r="A1381" s="245"/>
      <c r="B1381" s="246"/>
      <c r="C1381" s="245"/>
      <c r="D1381" s="245"/>
      <c r="E1381" s="245"/>
      <c r="F1381" s="245"/>
      <c r="G1381" s="245"/>
      <c r="H1381" s="245"/>
      <c r="I1381" s="245"/>
      <c r="J1381" s="245"/>
      <c r="K1381" s="245"/>
      <c r="L1381" s="246"/>
      <c r="M1381" s="245"/>
      <c r="N1381" s="245"/>
      <c r="O1381" s="245"/>
      <c r="P1381" s="245"/>
      <c r="Q1381" s="247"/>
      <c r="R1381" s="247"/>
      <c r="S1381" s="247"/>
      <c r="T1381" s="245"/>
      <c r="U1381" s="245"/>
      <c r="V1381" s="241"/>
      <c r="W1381" s="241"/>
      <c r="X1381" s="241"/>
    </row>
    <row r="1382" spans="1:24" ht="13.5" customHeight="1" x14ac:dyDescent="0.3">
      <c r="A1382" s="245"/>
      <c r="B1382" s="246"/>
      <c r="C1382" s="245"/>
      <c r="D1382" s="245"/>
      <c r="E1382" s="245"/>
      <c r="F1382" s="245"/>
      <c r="G1382" s="245"/>
      <c r="H1382" s="245"/>
      <c r="I1382" s="245"/>
      <c r="J1382" s="245"/>
      <c r="K1382" s="245"/>
      <c r="L1382" s="246"/>
      <c r="M1382" s="245"/>
      <c r="N1382" s="245"/>
      <c r="O1382" s="245"/>
      <c r="P1382" s="245"/>
      <c r="Q1382" s="247"/>
      <c r="R1382" s="247"/>
      <c r="S1382" s="247"/>
      <c r="T1382" s="245"/>
      <c r="U1382" s="245"/>
      <c r="V1382" s="241"/>
      <c r="W1382" s="241"/>
      <c r="X1382" s="241"/>
    </row>
    <row r="1383" spans="1:24" ht="13.5" customHeight="1" x14ac:dyDescent="0.3">
      <c r="A1383" s="245"/>
      <c r="B1383" s="246"/>
      <c r="C1383" s="245"/>
      <c r="D1383" s="245"/>
      <c r="E1383" s="245"/>
      <c r="F1383" s="245"/>
      <c r="G1383" s="245"/>
      <c r="H1383" s="245"/>
      <c r="I1383" s="245"/>
      <c r="J1383" s="245"/>
      <c r="K1383" s="245"/>
      <c r="L1383" s="246"/>
      <c r="M1383" s="245"/>
      <c r="N1383" s="245"/>
      <c r="O1383" s="245"/>
      <c r="P1383" s="245"/>
      <c r="Q1383" s="247"/>
      <c r="R1383" s="247"/>
      <c r="S1383" s="247"/>
      <c r="T1383" s="245"/>
      <c r="U1383" s="245"/>
      <c r="V1383" s="241"/>
      <c r="W1383" s="241"/>
      <c r="X1383" s="241"/>
    </row>
    <row r="1384" spans="1:24" ht="13.5" customHeight="1" x14ac:dyDescent="0.3">
      <c r="A1384" s="245"/>
      <c r="B1384" s="246"/>
      <c r="C1384" s="245"/>
      <c r="D1384" s="245"/>
      <c r="E1384" s="245"/>
      <c r="F1384" s="245"/>
      <c r="G1384" s="245"/>
      <c r="H1384" s="245"/>
      <c r="I1384" s="245"/>
      <c r="J1384" s="245"/>
      <c r="K1384" s="245"/>
      <c r="L1384" s="246"/>
      <c r="M1384" s="245"/>
      <c r="N1384" s="245"/>
      <c r="O1384" s="245"/>
      <c r="P1384" s="245"/>
      <c r="Q1384" s="247"/>
      <c r="R1384" s="247"/>
      <c r="S1384" s="247"/>
      <c r="T1384" s="245"/>
      <c r="U1384" s="245"/>
      <c r="V1384" s="241"/>
      <c r="W1384" s="241"/>
      <c r="X1384" s="241"/>
    </row>
    <row r="1385" spans="1:24" ht="13.5" customHeight="1" x14ac:dyDescent="0.3">
      <c r="A1385" s="245"/>
      <c r="B1385" s="246"/>
      <c r="C1385" s="245"/>
      <c r="D1385" s="245"/>
      <c r="E1385" s="245"/>
      <c r="F1385" s="245"/>
      <c r="G1385" s="245"/>
      <c r="H1385" s="245"/>
      <c r="I1385" s="245"/>
      <c r="J1385" s="245"/>
      <c r="K1385" s="245"/>
      <c r="L1385" s="246"/>
      <c r="M1385" s="245"/>
      <c r="N1385" s="245"/>
      <c r="O1385" s="245"/>
      <c r="P1385" s="245"/>
      <c r="Q1385" s="247"/>
      <c r="R1385" s="247"/>
      <c r="S1385" s="247"/>
      <c r="T1385" s="245"/>
      <c r="U1385" s="245"/>
      <c r="V1385" s="241"/>
      <c r="W1385" s="241"/>
      <c r="X1385" s="241"/>
    </row>
    <row r="1386" spans="1:24" ht="13.5" customHeight="1" x14ac:dyDescent="0.3">
      <c r="A1386" s="245"/>
      <c r="B1386" s="246"/>
      <c r="C1386" s="245"/>
      <c r="D1386" s="245"/>
      <c r="E1386" s="245"/>
      <c r="F1386" s="245"/>
      <c r="G1386" s="245"/>
      <c r="H1386" s="245"/>
      <c r="I1386" s="245"/>
      <c r="J1386" s="245"/>
      <c r="K1386" s="245"/>
      <c r="L1386" s="246"/>
      <c r="M1386" s="245"/>
      <c r="N1386" s="245"/>
      <c r="O1386" s="245"/>
      <c r="P1386" s="245"/>
      <c r="Q1386" s="247"/>
      <c r="R1386" s="247"/>
      <c r="S1386" s="247"/>
      <c r="T1386" s="245"/>
      <c r="U1386" s="245"/>
      <c r="V1386" s="241"/>
      <c r="W1386" s="241"/>
      <c r="X1386" s="241"/>
    </row>
    <row r="1387" spans="1:24" ht="13.5" customHeight="1" x14ac:dyDescent="0.3">
      <c r="A1387" s="245"/>
      <c r="B1387" s="246"/>
      <c r="C1387" s="245"/>
      <c r="D1387" s="245"/>
      <c r="E1387" s="245"/>
      <c r="F1387" s="245"/>
      <c r="G1387" s="245"/>
      <c r="H1387" s="245"/>
      <c r="I1387" s="245"/>
      <c r="J1387" s="245"/>
      <c r="K1387" s="245"/>
      <c r="L1387" s="246"/>
      <c r="M1387" s="245"/>
      <c r="N1387" s="245"/>
      <c r="O1387" s="245"/>
      <c r="P1387" s="245"/>
      <c r="Q1387" s="247"/>
      <c r="R1387" s="247"/>
      <c r="S1387" s="247"/>
      <c r="T1387" s="245"/>
      <c r="U1387" s="245"/>
      <c r="V1387" s="241"/>
      <c r="W1387" s="241"/>
      <c r="X1387" s="241"/>
    </row>
    <row r="1388" spans="1:24" ht="13.5" customHeight="1" x14ac:dyDescent="0.3">
      <c r="A1388" s="245"/>
      <c r="B1388" s="246"/>
      <c r="C1388" s="245"/>
      <c r="D1388" s="245"/>
      <c r="E1388" s="245"/>
      <c r="F1388" s="245"/>
      <c r="G1388" s="245"/>
      <c r="H1388" s="245"/>
      <c r="I1388" s="245"/>
      <c r="J1388" s="245"/>
      <c r="K1388" s="245"/>
      <c r="L1388" s="246"/>
      <c r="M1388" s="245"/>
      <c r="N1388" s="245"/>
      <c r="O1388" s="245"/>
      <c r="P1388" s="245"/>
      <c r="Q1388" s="247"/>
      <c r="R1388" s="247"/>
      <c r="S1388" s="247"/>
      <c r="T1388" s="245"/>
      <c r="U1388" s="245"/>
      <c r="V1388" s="241"/>
      <c r="W1388" s="241"/>
      <c r="X1388" s="241"/>
    </row>
    <row r="1389" spans="1:24" ht="13.5" customHeight="1" x14ac:dyDescent="0.3">
      <c r="A1389" s="245"/>
      <c r="B1389" s="246"/>
      <c r="C1389" s="245"/>
      <c r="D1389" s="245"/>
      <c r="E1389" s="245"/>
      <c r="F1389" s="245"/>
      <c r="G1389" s="245"/>
      <c r="H1389" s="245"/>
      <c r="I1389" s="245"/>
      <c r="J1389" s="245"/>
      <c r="K1389" s="245"/>
      <c r="L1389" s="246"/>
      <c r="M1389" s="245"/>
      <c r="N1389" s="245"/>
      <c r="O1389" s="245"/>
      <c r="P1389" s="245"/>
      <c r="Q1389" s="247"/>
      <c r="R1389" s="247"/>
      <c r="S1389" s="247"/>
      <c r="T1389" s="245"/>
      <c r="U1389" s="245"/>
      <c r="V1389" s="241"/>
      <c r="W1389" s="241"/>
      <c r="X1389" s="241"/>
    </row>
    <row r="1390" spans="1:24" ht="13.5" customHeight="1" x14ac:dyDescent="0.3">
      <c r="A1390" s="245"/>
      <c r="B1390" s="246"/>
      <c r="C1390" s="245"/>
      <c r="D1390" s="245"/>
      <c r="E1390" s="245"/>
      <c r="F1390" s="245"/>
      <c r="G1390" s="245"/>
      <c r="H1390" s="245"/>
      <c r="I1390" s="245"/>
      <c r="J1390" s="245"/>
      <c r="K1390" s="245"/>
      <c r="L1390" s="246"/>
      <c r="M1390" s="245"/>
      <c r="N1390" s="245"/>
      <c r="O1390" s="245"/>
      <c r="P1390" s="245"/>
      <c r="Q1390" s="247"/>
      <c r="R1390" s="247"/>
      <c r="S1390" s="247"/>
      <c r="T1390" s="245"/>
      <c r="U1390" s="245"/>
      <c r="V1390" s="241"/>
      <c r="W1390" s="241"/>
      <c r="X1390" s="241"/>
    </row>
    <row r="1391" spans="1:24" ht="13.5" customHeight="1" x14ac:dyDescent="0.3">
      <c r="A1391" s="245"/>
      <c r="B1391" s="246"/>
      <c r="C1391" s="245"/>
      <c r="D1391" s="245"/>
      <c r="E1391" s="245"/>
      <c r="F1391" s="245"/>
      <c r="G1391" s="245"/>
      <c r="H1391" s="245"/>
      <c r="I1391" s="245"/>
      <c r="J1391" s="245"/>
      <c r="K1391" s="245"/>
      <c r="L1391" s="246"/>
      <c r="M1391" s="245"/>
      <c r="N1391" s="245"/>
      <c r="O1391" s="245"/>
      <c r="P1391" s="245"/>
      <c r="Q1391" s="247"/>
      <c r="R1391" s="247"/>
      <c r="S1391" s="247"/>
      <c r="T1391" s="245"/>
      <c r="U1391" s="245"/>
      <c r="V1391" s="241"/>
      <c r="W1391" s="241"/>
      <c r="X1391" s="241"/>
    </row>
    <row r="1392" spans="1:24" ht="13.5" customHeight="1" x14ac:dyDescent="0.3">
      <c r="A1392" s="245"/>
      <c r="B1392" s="246"/>
      <c r="C1392" s="245"/>
      <c r="D1392" s="245"/>
      <c r="E1392" s="245"/>
      <c r="F1392" s="245"/>
      <c r="G1392" s="245"/>
      <c r="H1392" s="245"/>
      <c r="I1392" s="245"/>
      <c r="J1392" s="245"/>
      <c r="K1392" s="245"/>
      <c r="L1392" s="246"/>
      <c r="M1392" s="245"/>
      <c r="N1392" s="245"/>
      <c r="O1392" s="245"/>
      <c r="P1392" s="245"/>
      <c r="Q1392" s="247"/>
      <c r="R1392" s="247"/>
      <c r="S1392" s="247"/>
      <c r="T1392" s="245"/>
      <c r="U1392" s="245"/>
      <c r="V1392" s="241"/>
      <c r="W1392" s="241"/>
      <c r="X1392" s="241"/>
    </row>
    <row r="1393" spans="1:24" ht="13.5" customHeight="1" x14ac:dyDescent="0.3">
      <c r="A1393" s="245"/>
      <c r="B1393" s="246"/>
      <c r="C1393" s="245"/>
      <c r="D1393" s="245"/>
      <c r="E1393" s="245"/>
      <c r="F1393" s="245"/>
      <c r="G1393" s="245"/>
      <c r="H1393" s="245"/>
      <c r="I1393" s="245"/>
      <c r="J1393" s="245"/>
      <c r="K1393" s="245"/>
      <c r="L1393" s="246"/>
      <c r="M1393" s="245"/>
      <c r="N1393" s="245"/>
      <c r="O1393" s="245"/>
      <c r="P1393" s="245"/>
      <c r="Q1393" s="247"/>
      <c r="R1393" s="247"/>
      <c r="S1393" s="247"/>
      <c r="T1393" s="245"/>
      <c r="U1393" s="245"/>
      <c r="V1393" s="241"/>
      <c r="W1393" s="241"/>
      <c r="X1393" s="241"/>
    </row>
    <row r="1394" spans="1:24" ht="13.5" customHeight="1" x14ac:dyDescent="0.3">
      <c r="A1394" s="245"/>
      <c r="B1394" s="246"/>
      <c r="C1394" s="245"/>
      <c r="D1394" s="245"/>
      <c r="E1394" s="245"/>
      <c r="F1394" s="245"/>
      <c r="G1394" s="245"/>
      <c r="H1394" s="245"/>
      <c r="I1394" s="245"/>
      <c r="J1394" s="245"/>
      <c r="K1394" s="245"/>
      <c r="L1394" s="246"/>
      <c r="M1394" s="245"/>
      <c r="N1394" s="245"/>
      <c r="O1394" s="245"/>
      <c r="P1394" s="245"/>
      <c r="Q1394" s="247"/>
      <c r="R1394" s="247"/>
      <c r="S1394" s="247"/>
      <c r="T1394" s="245"/>
      <c r="U1394" s="245"/>
      <c r="V1394" s="241"/>
      <c r="W1394" s="241"/>
      <c r="X1394" s="241"/>
    </row>
    <row r="1395" spans="1:24" ht="13.5" customHeight="1" x14ac:dyDescent="0.3">
      <c r="A1395" s="245"/>
      <c r="B1395" s="246"/>
      <c r="C1395" s="245"/>
      <c r="D1395" s="245"/>
      <c r="E1395" s="245"/>
      <c r="F1395" s="245"/>
      <c r="G1395" s="245"/>
      <c r="H1395" s="245"/>
      <c r="I1395" s="245"/>
      <c r="J1395" s="245"/>
      <c r="K1395" s="245"/>
      <c r="L1395" s="246"/>
      <c r="M1395" s="245"/>
      <c r="N1395" s="245"/>
      <c r="O1395" s="245"/>
      <c r="P1395" s="245"/>
      <c r="Q1395" s="247"/>
      <c r="R1395" s="247"/>
      <c r="S1395" s="247"/>
      <c r="T1395" s="245"/>
      <c r="U1395" s="245"/>
      <c r="V1395" s="241"/>
      <c r="W1395" s="241"/>
      <c r="X1395" s="241"/>
    </row>
    <row r="1396" spans="1:24" ht="13.5" customHeight="1" x14ac:dyDescent="0.3">
      <c r="A1396" s="245"/>
      <c r="B1396" s="246"/>
      <c r="C1396" s="245"/>
      <c r="D1396" s="245"/>
      <c r="E1396" s="245"/>
      <c r="F1396" s="245"/>
      <c r="G1396" s="245"/>
      <c r="H1396" s="245"/>
      <c r="I1396" s="245"/>
      <c r="J1396" s="245"/>
      <c r="K1396" s="245"/>
      <c r="L1396" s="246"/>
      <c r="M1396" s="245"/>
      <c r="N1396" s="245"/>
      <c r="O1396" s="245"/>
      <c r="P1396" s="245"/>
      <c r="Q1396" s="247"/>
      <c r="R1396" s="247"/>
      <c r="S1396" s="247"/>
      <c r="T1396" s="245"/>
      <c r="U1396" s="245"/>
      <c r="V1396" s="241"/>
      <c r="W1396" s="241"/>
      <c r="X1396" s="241"/>
    </row>
    <row r="1397" spans="1:24" ht="13.5" customHeight="1" x14ac:dyDescent="0.3">
      <c r="A1397" s="245"/>
      <c r="B1397" s="246"/>
      <c r="C1397" s="245"/>
      <c r="D1397" s="245"/>
      <c r="E1397" s="245"/>
      <c r="F1397" s="245"/>
      <c r="G1397" s="245"/>
      <c r="H1397" s="245"/>
      <c r="I1397" s="245"/>
      <c r="J1397" s="245"/>
      <c r="K1397" s="245"/>
      <c r="L1397" s="246"/>
      <c r="M1397" s="245"/>
      <c r="N1397" s="245"/>
      <c r="O1397" s="245"/>
      <c r="P1397" s="245"/>
      <c r="Q1397" s="247"/>
      <c r="R1397" s="247"/>
      <c r="S1397" s="247"/>
      <c r="T1397" s="245"/>
      <c r="U1397" s="245"/>
      <c r="V1397" s="241"/>
      <c r="W1397" s="241"/>
      <c r="X1397" s="241"/>
    </row>
    <row r="1398" spans="1:24" ht="13.5" customHeight="1" x14ac:dyDescent="0.3">
      <c r="A1398" s="245"/>
      <c r="B1398" s="246"/>
      <c r="C1398" s="245"/>
      <c r="D1398" s="245"/>
      <c r="E1398" s="245"/>
      <c r="F1398" s="245"/>
      <c r="G1398" s="245"/>
      <c r="H1398" s="245"/>
      <c r="I1398" s="245"/>
      <c r="J1398" s="245"/>
      <c r="K1398" s="245"/>
      <c r="L1398" s="246"/>
      <c r="M1398" s="245"/>
      <c r="N1398" s="245"/>
      <c r="O1398" s="245"/>
      <c r="P1398" s="245"/>
      <c r="Q1398" s="247"/>
      <c r="R1398" s="247"/>
      <c r="S1398" s="247"/>
      <c r="T1398" s="245"/>
      <c r="U1398" s="245"/>
      <c r="V1398" s="241"/>
      <c r="W1398" s="241"/>
      <c r="X1398" s="241"/>
    </row>
    <row r="1399" spans="1:24" ht="13.5" customHeight="1" x14ac:dyDescent="0.3">
      <c r="A1399" s="245"/>
      <c r="B1399" s="246"/>
      <c r="C1399" s="245"/>
      <c r="D1399" s="245"/>
      <c r="E1399" s="245"/>
      <c r="F1399" s="245"/>
      <c r="G1399" s="245"/>
      <c r="H1399" s="245"/>
      <c r="I1399" s="245"/>
      <c r="J1399" s="245"/>
      <c r="K1399" s="245"/>
      <c r="L1399" s="246"/>
      <c r="M1399" s="245"/>
      <c r="N1399" s="245"/>
      <c r="O1399" s="245"/>
      <c r="P1399" s="245"/>
      <c r="Q1399" s="247"/>
      <c r="R1399" s="247"/>
      <c r="S1399" s="247"/>
      <c r="T1399" s="245"/>
      <c r="U1399" s="245"/>
      <c r="V1399" s="241"/>
      <c r="W1399" s="241"/>
      <c r="X1399" s="241"/>
    </row>
    <row r="1400" spans="1:24" ht="13.5" customHeight="1" x14ac:dyDescent="0.3">
      <c r="A1400" s="245"/>
      <c r="B1400" s="246"/>
      <c r="C1400" s="245"/>
      <c r="D1400" s="245"/>
      <c r="E1400" s="245"/>
      <c r="F1400" s="245"/>
      <c r="G1400" s="245"/>
      <c r="H1400" s="245"/>
      <c r="I1400" s="245"/>
      <c r="J1400" s="245"/>
      <c r="K1400" s="245"/>
      <c r="L1400" s="246"/>
      <c r="M1400" s="245"/>
      <c r="N1400" s="245"/>
      <c r="O1400" s="245"/>
      <c r="P1400" s="245"/>
      <c r="Q1400" s="247"/>
      <c r="R1400" s="247"/>
      <c r="S1400" s="247"/>
      <c r="T1400" s="245"/>
      <c r="U1400" s="245"/>
      <c r="V1400" s="241"/>
      <c r="W1400" s="241"/>
      <c r="X1400" s="241"/>
    </row>
    <row r="1401" spans="1:24" ht="13.5" customHeight="1" x14ac:dyDescent="0.3">
      <c r="A1401" s="245"/>
      <c r="B1401" s="246"/>
      <c r="C1401" s="245"/>
      <c r="D1401" s="245"/>
      <c r="E1401" s="245"/>
      <c r="F1401" s="245"/>
      <c r="G1401" s="245"/>
      <c r="H1401" s="245"/>
      <c r="I1401" s="245"/>
      <c r="J1401" s="245"/>
      <c r="K1401" s="245"/>
      <c r="L1401" s="246"/>
      <c r="M1401" s="245"/>
      <c r="N1401" s="245"/>
      <c r="O1401" s="245"/>
      <c r="P1401" s="245"/>
      <c r="Q1401" s="247"/>
      <c r="R1401" s="247"/>
      <c r="S1401" s="247"/>
      <c r="T1401" s="245"/>
      <c r="U1401" s="245"/>
      <c r="V1401" s="241"/>
      <c r="W1401" s="241"/>
      <c r="X1401" s="241"/>
    </row>
    <row r="1402" spans="1:24" ht="13.5" customHeight="1" x14ac:dyDescent="0.3">
      <c r="A1402" s="245"/>
      <c r="B1402" s="246"/>
      <c r="C1402" s="245"/>
      <c r="D1402" s="245"/>
      <c r="E1402" s="245"/>
      <c r="F1402" s="245"/>
      <c r="G1402" s="245"/>
      <c r="H1402" s="245"/>
      <c r="I1402" s="245"/>
      <c r="J1402" s="245"/>
      <c r="K1402" s="245"/>
      <c r="L1402" s="246"/>
      <c r="M1402" s="245"/>
      <c r="N1402" s="245"/>
      <c r="O1402" s="245"/>
      <c r="P1402" s="245"/>
      <c r="Q1402" s="247"/>
      <c r="R1402" s="247"/>
      <c r="S1402" s="247"/>
      <c r="T1402" s="245"/>
      <c r="U1402" s="245"/>
      <c r="V1402" s="241"/>
      <c r="W1402" s="241"/>
      <c r="X1402" s="241"/>
    </row>
    <row r="1403" spans="1:24" ht="13.5" customHeight="1" x14ac:dyDescent="0.3">
      <c r="A1403" s="245"/>
      <c r="B1403" s="246"/>
      <c r="C1403" s="245"/>
      <c r="D1403" s="245"/>
      <c r="E1403" s="245"/>
      <c r="F1403" s="245"/>
      <c r="G1403" s="245"/>
      <c r="H1403" s="245"/>
      <c r="I1403" s="245"/>
      <c r="J1403" s="245"/>
      <c r="K1403" s="245"/>
      <c r="L1403" s="246"/>
      <c r="M1403" s="245"/>
      <c r="N1403" s="245"/>
      <c r="O1403" s="245"/>
      <c r="P1403" s="245"/>
      <c r="Q1403" s="247"/>
      <c r="R1403" s="247"/>
      <c r="S1403" s="247"/>
      <c r="T1403" s="245"/>
      <c r="U1403" s="245"/>
      <c r="V1403" s="241"/>
      <c r="W1403" s="241"/>
      <c r="X1403" s="241"/>
    </row>
    <row r="1404" spans="1:24" ht="13.5" customHeight="1" x14ac:dyDescent="0.3">
      <c r="A1404" s="245"/>
      <c r="B1404" s="246"/>
      <c r="C1404" s="245"/>
      <c r="D1404" s="245"/>
      <c r="E1404" s="245"/>
      <c r="F1404" s="245"/>
      <c r="G1404" s="245"/>
      <c r="H1404" s="245"/>
      <c r="I1404" s="245"/>
      <c r="J1404" s="245"/>
      <c r="K1404" s="245"/>
      <c r="L1404" s="246"/>
      <c r="M1404" s="245"/>
      <c r="N1404" s="245"/>
      <c r="O1404" s="245"/>
      <c r="P1404" s="245"/>
      <c r="Q1404" s="247"/>
      <c r="R1404" s="247"/>
      <c r="S1404" s="247"/>
      <c r="T1404" s="245"/>
      <c r="U1404" s="245"/>
      <c r="V1404" s="241"/>
      <c r="W1404" s="241"/>
      <c r="X1404" s="241"/>
    </row>
    <row r="1405" spans="1:24" ht="13.5" customHeight="1" x14ac:dyDescent="0.3">
      <c r="A1405" s="245"/>
      <c r="B1405" s="246"/>
      <c r="C1405" s="245"/>
      <c r="D1405" s="245"/>
      <c r="E1405" s="245"/>
      <c r="F1405" s="245"/>
      <c r="G1405" s="245"/>
      <c r="H1405" s="245"/>
      <c r="I1405" s="245"/>
      <c r="J1405" s="245"/>
      <c r="K1405" s="245"/>
      <c r="L1405" s="246"/>
      <c r="M1405" s="245"/>
      <c r="N1405" s="245"/>
      <c r="O1405" s="245"/>
      <c r="P1405" s="245"/>
      <c r="Q1405" s="247"/>
      <c r="R1405" s="247"/>
      <c r="S1405" s="247"/>
      <c r="T1405" s="245"/>
      <c r="U1405" s="245"/>
      <c r="V1405" s="241"/>
      <c r="W1405" s="241"/>
      <c r="X1405" s="241"/>
    </row>
    <row r="1406" spans="1:24" ht="13.5" customHeight="1" x14ac:dyDescent="0.3">
      <c r="A1406" s="245"/>
      <c r="B1406" s="246"/>
      <c r="C1406" s="245"/>
      <c r="D1406" s="245"/>
      <c r="E1406" s="245"/>
      <c r="F1406" s="245"/>
      <c r="G1406" s="245"/>
      <c r="H1406" s="245"/>
      <c r="I1406" s="245"/>
      <c r="J1406" s="245"/>
      <c r="K1406" s="245"/>
      <c r="L1406" s="246"/>
      <c r="M1406" s="245"/>
      <c r="N1406" s="245"/>
      <c r="O1406" s="245"/>
      <c r="P1406" s="245"/>
      <c r="Q1406" s="247"/>
      <c r="R1406" s="247"/>
      <c r="S1406" s="247"/>
      <c r="T1406" s="245"/>
      <c r="U1406" s="245"/>
      <c r="V1406" s="241"/>
      <c r="W1406" s="241"/>
      <c r="X1406" s="241"/>
    </row>
    <row r="1407" spans="1:24" ht="13.5" customHeight="1" x14ac:dyDescent="0.3">
      <c r="A1407" s="245"/>
      <c r="B1407" s="246"/>
      <c r="C1407" s="245"/>
      <c r="D1407" s="245"/>
      <c r="E1407" s="245"/>
      <c r="F1407" s="245"/>
      <c r="G1407" s="245"/>
      <c r="H1407" s="245"/>
      <c r="I1407" s="245"/>
      <c r="J1407" s="245"/>
      <c r="K1407" s="245"/>
      <c r="L1407" s="246"/>
      <c r="M1407" s="245"/>
      <c r="N1407" s="245"/>
      <c r="O1407" s="245"/>
      <c r="P1407" s="245"/>
      <c r="Q1407" s="247"/>
      <c r="R1407" s="247"/>
      <c r="S1407" s="247"/>
      <c r="T1407" s="245"/>
      <c r="U1407" s="245"/>
      <c r="V1407" s="241"/>
      <c r="W1407" s="241"/>
      <c r="X1407" s="241"/>
    </row>
    <row r="1408" spans="1:24" ht="13.5" customHeight="1" x14ac:dyDescent="0.3">
      <c r="A1408" s="245"/>
      <c r="B1408" s="246"/>
      <c r="C1408" s="245"/>
      <c r="D1408" s="245"/>
      <c r="E1408" s="245"/>
      <c r="F1408" s="245"/>
      <c r="G1408" s="245"/>
      <c r="H1408" s="245"/>
      <c r="I1408" s="245"/>
      <c r="J1408" s="245"/>
      <c r="K1408" s="245"/>
      <c r="L1408" s="246"/>
      <c r="M1408" s="245"/>
      <c r="N1408" s="245"/>
      <c r="O1408" s="245"/>
      <c r="P1408" s="245"/>
      <c r="Q1408" s="247"/>
      <c r="R1408" s="247"/>
      <c r="S1408" s="247"/>
      <c r="T1408" s="245"/>
      <c r="U1408" s="245"/>
      <c r="V1408" s="241"/>
      <c r="W1408" s="241"/>
      <c r="X1408" s="241"/>
    </row>
    <row r="1409" spans="1:24" ht="13.5" customHeight="1" x14ac:dyDescent="0.3">
      <c r="A1409" s="245"/>
      <c r="B1409" s="246"/>
      <c r="C1409" s="245"/>
      <c r="D1409" s="245"/>
      <c r="E1409" s="245"/>
      <c r="F1409" s="245"/>
      <c r="G1409" s="245"/>
      <c r="H1409" s="245"/>
      <c r="I1409" s="245"/>
      <c r="J1409" s="245"/>
      <c r="K1409" s="245"/>
      <c r="L1409" s="246"/>
      <c r="M1409" s="245"/>
      <c r="N1409" s="245"/>
      <c r="O1409" s="245"/>
      <c r="P1409" s="245"/>
      <c r="Q1409" s="247"/>
      <c r="R1409" s="247"/>
      <c r="S1409" s="247"/>
      <c r="T1409" s="245"/>
      <c r="U1409" s="245"/>
      <c r="V1409" s="241"/>
      <c r="W1409" s="241"/>
      <c r="X1409" s="241"/>
    </row>
    <row r="1410" spans="1:24" ht="13.5" customHeight="1" x14ac:dyDescent="0.3">
      <c r="A1410" s="245"/>
      <c r="B1410" s="246"/>
      <c r="C1410" s="245"/>
      <c r="D1410" s="245"/>
      <c r="E1410" s="245"/>
      <c r="F1410" s="245"/>
      <c r="G1410" s="245"/>
      <c r="H1410" s="245"/>
      <c r="I1410" s="245"/>
      <c r="J1410" s="245"/>
      <c r="K1410" s="245"/>
      <c r="L1410" s="246"/>
      <c r="M1410" s="245"/>
      <c r="N1410" s="245"/>
      <c r="O1410" s="245"/>
      <c r="P1410" s="245"/>
      <c r="Q1410" s="247"/>
      <c r="R1410" s="247"/>
      <c r="S1410" s="247"/>
      <c r="T1410" s="245"/>
      <c r="U1410" s="245"/>
      <c r="V1410" s="241"/>
      <c r="W1410" s="241"/>
      <c r="X1410" s="241"/>
    </row>
    <row r="1411" spans="1:24" ht="13.5" customHeight="1" x14ac:dyDescent="0.3">
      <c r="A1411" s="245"/>
      <c r="B1411" s="246"/>
      <c r="C1411" s="245"/>
      <c r="D1411" s="245"/>
      <c r="E1411" s="245"/>
      <c r="F1411" s="245"/>
      <c r="G1411" s="245"/>
      <c r="H1411" s="245"/>
      <c r="I1411" s="245"/>
      <c r="J1411" s="245"/>
      <c r="K1411" s="245"/>
      <c r="L1411" s="246"/>
      <c r="M1411" s="245"/>
      <c r="N1411" s="245"/>
      <c r="O1411" s="245"/>
      <c r="P1411" s="245"/>
      <c r="Q1411" s="247"/>
      <c r="R1411" s="247"/>
      <c r="S1411" s="247"/>
      <c r="T1411" s="245"/>
      <c r="U1411" s="245"/>
      <c r="V1411" s="241"/>
      <c r="W1411" s="241"/>
      <c r="X1411" s="241"/>
    </row>
    <row r="1412" spans="1:24" ht="13.5" customHeight="1" x14ac:dyDescent="0.3">
      <c r="A1412" s="245"/>
      <c r="B1412" s="246"/>
      <c r="C1412" s="245"/>
      <c r="D1412" s="245"/>
      <c r="E1412" s="245"/>
      <c r="F1412" s="245"/>
      <c r="G1412" s="245"/>
      <c r="H1412" s="245"/>
      <c r="I1412" s="245"/>
      <c r="J1412" s="245"/>
      <c r="K1412" s="245"/>
      <c r="L1412" s="246"/>
      <c r="M1412" s="245"/>
      <c r="N1412" s="245"/>
      <c r="O1412" s="245"/>
      <c r="P1412" s="245"/>
      <c r="Q1412" s="247"/>
      <c r="R1412" s="247"/>
      <c r="S1412" s="247"/>
      <c r="T1412" s="245"/>
      <c r="U1412" s="245"/>
      <c r="V1412" s="241"/>
      <c r="W1412" s="241"/>
      <c r="X1412" s="241"/>
    </row>
    <row r="1413" spans="1:24" ht="13.5" customHeight="1" x14ac:dyDescent="0.3">
      <c r="A1413" s="245"/>
      <c r="B1413" s="246"/>
      <c r="C1413" s="245"/>
      <c r="D1413" s="245"/>
      <c r="E1413" s="245"/>
      <c r="F1413" s="245"/>
      <c r="G1413" s="245"/>
      <c r="H1413" s="245"/>
      <c r="I1413" s="245"/>
      <c r="J1413" s="245"/>
      <c r="K1413" s="245"/>
      <c r="L1413" s="246"/>
      <c r="M1413" s="245"/>
      <c r="N1413" s="245"/>
      <c r="O1413" s="245"/>
      <c r="P1413" s="245"/>
      <c r="Q1413" s="247"/>
      <c r="R1413" s="247"/>
      <c r="S1413" s="247"/>
      <c r="T1413" s="245"/>
      <c r="U1413" s="245"/>
      <c r="V1413" s="241"/>
      <c r="W1413" s="241"/>
      <c r="X1413" s="241"/>
    </row>
    <row r="1414" spans="1:24" ht="13.5" customHeight="1" x14ac:dyDescent="0.3">
      <c r="A1414" s="245"/>
      <c r="B1414" s="246"/>
      <c r="C1414" s="245"/>
      <c r="D1414" s="245"/>
      <c r="E1414" s="245"/>
      <c r="F1414" s="245"/>
      <c r="G1414" s="245"/>
      <c r="H1414" s="245"/>
      <c r="I1414" s="245"/>
      <c r="J1414" s="245"/>
      <c r="K1414" s="245"/>
      <c r="L1414" s="246"/>
      <c r="M1414" s="245"/>
      <c r="N1414" s="245"/>
      <c r="O1414" s="245"/>
      <c r="P1414" s="245"/>
      <c r="Q1414" s="247"/>
      <c r="R1414" s="247"/>
      <c r="S1414" s="247"/>
      <c r="T1414" s="245"/>
      <c r="U1414" s="245"/>
      <c r="V1414" s="241"/>
      <c r="W1414" s="241"/>
      <c r="X1414" s="241"/>
    </row>
    <row r="1415" spans="1:24" ht="13.5" customHeight="1" x14ac:dyDescent="0.3">
      <c r="A1415" s="245"/>
      <c r="B1415" s="246"/>
      <c r="C1415" s="245"/>
      <c r="D1415" s="245"/>
      <c r="E1415" s="245"/>
      <c r="F1415" s="245"/>
      <c r="G1415" s="245"/>
      <c r="H1415" s="245"/>
      <c r="I1415" s="245"/>
      <c r="J1415" s="245"/>
      <c r="K1415" s="245"/>
      <c r="L1415" s="246"/>
      <c r="M1415" s="245"/>
      <c r="N1415" s="245"/>
      <c r="O1415" s="245"/>
      <c r="P1415" s="245"/>
      <c r="Q1415" s="247"/>
      <c r="R1415" s="247"/>
      <c r="S1415" s="247"/>
      <c r="T1415" s="245"/>
      <c r="U1415" s="245"/>
      <c r="V1415" s="241"/>
      <c r="W1415" s="241"/>
      <c r="X1415" s="241"/>
    </row>
    <row r="1416" spans="1:24" ht="13.5" customHeight="1" x14ac:dyDescent="0.3">
      <c r="A1416" s="245"/>
      <c r="B1416" s="246"/>
      <c r="C1416" s="245"/>
      <c r="D1416" s="245"/>
      <c r="E1416" s="245"/>
      <c r="F1416" s="245"/>
      <c r="G1416" s="245"/>
      <c r="H1416" s="245"/>
      <c r="I1416" s="245"/>
      <c r="J1416" s="245"/>
      <c r="K1416" s="245"/>
      <c r="L1416" s="246"/>
      <c r="M1416" s="245"/>
      <c r="N1416" s="245"/>
      <c r="O1416" s="245"/>
      <c r="P1416" s="245"/>
      <c r="Q1416" s="247"/>
      <c r="R1416" s="247"/>
      <c r="S1416" s="247"/>
      <c r="T1416" s="245"/>
      <c r="U1416" s="245"/>
      <c r="V1416" s="241"/>
      <c r="W1416" s="241"/>
      <c r="X1416" s="241"/>
    </row>
    <row r="1417" spans="1:24" ht="13.5" customHeight="1" x14ac:dyDescent="0.3">
      <c r="A1417" s="245"/>
      <c r="B1417" s="246"/>
      <c r="C1417" s="245"/>
      <c r="D1417" s="245"/>
      <c r="E1417" s="245"/>
      <c r="F1417" s="245"/>
      <c r="G1417" s="245"/>
      <c r="H1417" s="245"/>
      <c r="I1417" s="245"/>
      <c r="J1417" s="245"/>
      <c r="K1417" s="245"/>
      <c r="L1417" s="246"/>
      <c r="M1417" s="245"/>
      <c r="N1417" s="245"/>
      <c r="O1417" s="245"/>
      <c r="P1417" s="245"/>
      <c r="Q1417" s="247"/>
      <c r="R1417" s="247"/>
      <c r="S1417" s="247"/>
      <c r="T1417" s="245"/>
      <c r="U1417" s="245"/>
      <c r="V1417" s="241"/>
      <c r="W1417" s="241"/>
      <c r="X1417" s="241"/>
    </row>
    <row r="1418" spans="1:24" ht="13.5" customHeight="1" x14ac:dyDescent="0.3">
      <c r="A1418" s="245"/>
      <c r="B1418" s="246"/>
      <c r="C1418" s="245"/>
      <c r="D1418" s="245"/>
      <c r="E1418" s="245"/>
      <c r="F1418" s="245"/>
      <c r="G1418" s="245"/>
      <c r="H1418" s="245"/>
      <c r="I1418" s="245"/>
      <c r="J1418" s="245"/>
      <c r="K1418" s="245"/>
      <c r="L1418" s="246"/>
      <c r="M1418" s="245"/>
      <c r="N1418" s="245"/>
      <c r="O1418" s="245"/>
      <c r="P1418" s="245"/>
      <c r="Q1418" s="247"/>
      <c r="R1418" s="247"/>
      <c r="S1418" s="247"/>
      <c r="T1418" s="245"/>
      <c r="U1418" s="245"/>
      <c r="V1418" s="241"/>
      <c r="W1418" s="241"/>
      <c r="X1418" s="241"/>
    </row>
    <row r="1419" spans="1:24" ht="13.5" customHeight="1" x14ac:dyDescent="0.3">
      <c r="A1419" s="245"/>
      <c r="B1419" s="246"/>
      <c r="C1419" s="245"/>
      <c r="D1419" s="245"/>
      <c r="E1419" s="245"/>
      <c r="F1419" s="245"/>
      <c r="G1419" s="245"/>
      <c r="H1419" s="245"/>
      <c r="I1419" s="245"/>
      <c r="J1419" s="245"/>
      <c r="K1419" s="245"/>
      <c r="L1419" s="246"/>
      <c r="M1419" s="245"/>
      <c r="N1419" s="245"/>
      <c r="O1419" s="245"/>
      <c r="P1419" s="245"/>
      <c r="Q1419" s="247"/>
      <c r="R1419" s="247"/>
      <c r="S1419" s="247"/>
      <c r="T1419" s="245"/>
      <c r="U1419" s="245"/>
      <c r="V1419" s="241"/>
      <c r="W1419" s="241"/>
      <c r="X1419" s="241"/>
    </row>
    <row r="1420" spans="1:24" ht="13.5" customHeight="1" x14ac:dyDescent="0.3">
      <c r="A1420" s="245"/>
      <c r="B1420" s="246"/>
      <c r="C1420" s="245"/>
      <c r="D1420" s="245"/>
      <c r="E1420" s="245"/>
      <c r="F1420" s="245"/>
      <c r="G1420" s="245"/>
      <c r="H1420" s="245"/>
      <c r="I1420" s="245"/>
      <c r="J1420" s="245"/>
      <c r="K1420" s="245"/>
      <c r="L1420" s="246"/>
      <c r="M1420" s="245"/>
      <c r="N1420" s="245"/>
      <c r="O1420" s="245"/>
      <c r="P1420" s="245"/>
      <c r="Q1420" s="247"/>
      <c r="R1420" s="247"/>
      <c r="S1420" s="247"/>
      <c r="T1420" s="245"/>
      <c r="U1420" s="245"/>
      <c r="V1420" s="241"/>
      <c r="W1420" s="241"/>
      <c r="X1420" s="241"/>
    </row>
    <row r="1421" spans="1:24" ht="13.5" customHeight="1" x14ac:dyDescent="0.3">
      <c r="A1421" s="245"/>
      <c r="B1421" s="246"/>
      <c r="C1421" s="245"/>
      <c r="D1421" s="245"/>
      <c r="E1421" s="245"/>
      <c r="F1421" s="245"/>
      <c r="G1421" s="245"/>
      <c r="H1421" s="245"/>
      <c r="I1421" s="245"/>
      <c r="J1421" s="245"/>
      <c r="K1421" s="245"/>
      <c r="L1421" s="246"/>
      <c r="M1421" s="245"/>
      <c r="N1421" s="245"/>
      <c r="O1421" s="245"/>
      <c r="P1421" s="245"/>
      <c r="Q1421" s="247"/>
      <c r="R1421" s="247"/>
      <c r="S1421" s="247"/>
      <c r="T1421" s="245"/>
      <c r="U1421" s="245"/>
      <c r="V1421" s="241"/>
      <c r="W1421" s="241"/>
      <c r="X1421" s="241"/>
    </row>
    <row r="1422" spans="1:24" ht="13.5" customHeight="1" x14ac:dyDescent="0.3">
      <c r="A1422" s="245"/>
      <c r="B1422" s="246"/>
      <c r="C1422" s="245"/>
      <c r="D1422" s="245"/>
      <c r="E1422" s="245"/>
      <c r="F1422" s="245"/>
      <c r="G1422" s="245"/>
      <c r="H1422" s="245"/>
      <c r="I1422" s="245"/>
      <c r="J1422" s="245"/>
      <c r="K1422" s="245"/>
      <c r="L1422" s="246"/>
      <c r="M1422" s="245"/>
      <c r="N1422" s="245"/>
      <c r="O1422" s="245"/>
      <c r="P1422" s="245"/>
      <c r="Q1422" s="247"/>
      <c r="R1422" s="247"/>
      <c r="S1422" s="247"/>
      <c r="T1422" s="245"/>
      <c r="U1422" s="245"/>
      <c r="V1422" s="241"/>
      <c r="W1422" s="241"/>
      <c r="X1422" s="241"/>
    </row>
    <row r="1423" spans="1:24" ht="13.5" customHeight="1" x14ac:dyDescent="0.3">
      <c r="A1423" s="245"/>
      <c r="B1423" s="246"/>
      <c r="C1423" s="245"/>
      <c r="D1423" s="245"/>
      <c r="E1423" s="245"/>
      <c r="F1423" s="245"/>
      <c r="G1423" s="245"/>
      <c r="H1423" s="245"/>
      <c r="I1423" s="245"/>
      <c r="J1423" s="245"/>
      <c r="K1423" s="245"/>
      <c r="L1423" s="246"/>
      <c r="M1423" s="245"/>
      <c r="N1423" s="245"/>
      <c r="O1423" s="245"/>
      <c r="P1423" s="245"/>
      <c r="Q1423" s="247"/>
      <c r="R1423" s="247"/>
      <c r="S1423" s="247"/>
      <c r="T1423" s="245"/>
      <c r="U1423" s="245"/>
      <c r="V1423" s="241"/>
      <c r="W1423" s="241"/>
      <c r="X1423" s="241"/>
    </row>
    <row r="1424" spans="1:24" ht="13.5" customHeight="1" x14ac:dyDescent="0.3">
      <c r="A1424" s="245"/>
      <c r="B1424" s="246"/>
      <c r="C1424" s="245"/>
      <c r="D1424" s="245"/>
      <c r="E1424" s="245"/>
      <c r="F1424" s="245"/>
      <c r="G1424" s="245"/>
      <c r="H1424" s="245"/>
      <c r="I1424" s="245"/>
      <c r="J1424" s="245"/>
      <c r="K1424" s="245"/>
      <c r="L1424" s="246"/>
      <c r="M1424" s="245"/>
      <c r="N1424" s="245"/>
      <c r="O1424" s="245"/>
      <c r="P1424" s="245"/>
      <c r="Q1424" s="247"/>
      <c r="R1424" s="247"/>
      <c r="S1424" s="247"/>
      <c r="T1424" s="245"/>
      <c r="U1424" s="245"/>
      <c r="V1424" s="241"/>
      <c r="W1424" s="241"/>
      <c r="X1424" s="241"/>
    </row>
    <row r="1425" spans="1:24" ht="13.5" customHeight="1" x14ac:dyDescent="0.3">
      <c r="A1425" s="245"/>
      <c r="B1425" s="246"/>
      <c r="C1425" s="245"/>
      <c r="D1425" s="245"/>
      <c r="E1425" s="245"/>
      <c r="F1425" s="245"/>
      <c r="G1425" s="245"/>
      <c r="H1425" s="245"/>
      <c r="I1425" s="245"/>
      <c r="J1425" s="245"/>
      <c r="K1425" s="245"/>
      <c r="L1425" s="246"/>
      <c r="M1425" s="245"/>
      <c r="N1425" s="245"/>
      <c r="O1425" s="245"/>
      <c r="P1425" s="245"/>
      <c r="Q1425" s="247"/>
      <c r="R1425" s="247"/>
      <c r="S1425" s="247"/>
      <c r="T1425" s="245"/>
      <c r="U1425" s="245"/>
      <c r="V1425" s="241"/>
      <c r="W1425" s="241"/>
      <c r="X1425" s="241"/>
    </row>
    <row r="1426" spans="1:24" ht="13.5" customHeight="1" x14ac:dyDescent="0.3">
      <c r="A1426" s="245"/>
      <c r="B1426" s="246"/>
      <c r="C1426" s="245"/>
      <c r="D1426" s="245"/>
      <c r="E1426" s="245"/>
      <c r="F1426" s="245"/>
      <c r="G1426" s="245"/>
      <c r="H1426" s="245"/>
      <c r="I1426" s="245"/>
      <c r="J1426" s="245"/>
      <c r="K1426" s="245"/>
      <c r="L1426" s="246"/>
      <c r="M1426" s="245"/>
      <c r="N1426" s="245"/>
      <c r="O1426" s="245"/>
      <c r="P1426" s="245"/>
      <c r="Q1426" s="247"/>
      <c r="R1426" s="247"/>
      <c r="S1426" s="247"/>
      <c r="T1426" s="245"/>
      <c r="U1426" s="245"/>
      <c r="V1426" s="241"/>
      <c r="W1426" s="241"/>
      <c r="X1426" s="241"/>
    </row>
    <row r="1427" spans="1:24" ht="13.5" customHeight="1" x14ac:dyDescent="0.3">
      <c r="A1427" s="245"/>
      <c r="B1427" s="246"/>
      <c r="C1427" s="245"/>
      <c r="D1427" s="245"/>
      <c r="E1427" s="245"/>
      <c r="F1427" s="245"/>
      <c r="G1427" s="245"/>
      <c r="H1427" s="245"/>
      <c r="I1427" s="245"/>
      <c r="J1427" s="245"/>
      <c r="K1427" s="245"/>
      <c r="L1427" s="246"/>
      <c r="M1427" s="245"/>
      <c r="N1427" s="245"/>
      <c r="O1427" s="245"/>
      <c r="P1427" s="245"/>
      <c r="Q1427" s="247"/>
      <c r="R1427" s="247"/>
      <c r="S1427" s="247"/>
      <c r="T1427" s="245"/>
      <c r="U1427" s="245"/>
      <c r="V1427" s="241"/>
      <c r="W1427" s="241"/>
      <c r="X1427" s="241"/>
    </row>
    <row r="1428" spans="1:24" ht="13.5" customHeight="1" x14ac:dyDescent="0.3">
      <c r="A1428" s="245"/>
      <c r="B1428" s="246"/>
      <c r="C1428" s="245"/>
      <c r="D1428" s="245"/>
      <c r="E1428" s="245"/>
      <c r="F1428" s="245"/>
      <c r="G1428" s="245"/>
      <c r="H1428" s="245"/>
      <c r="I1428" s="245"/>
      <c r="J1428" s="245"/>
      <c r="K1428" s="245"/>
      <c r="L1428" s="246"/>
      <c r="M1428" s="245"/>
      <c r="N1428" s="245"/>
      <c r="O1428" s="245"/>
      <c r="P1428" s="245"/>
      <c r="Q1428" s="247"/>
      <c r="R1428" s="247"/>
      <c r="S1428" s="247"/>
      <c r="T1428" s="245"/>
      <c r="U1428" s="245"/>
      <c r="V1428" s="241"/>
      <c r="W1428" s="241"/>
      <c r="X1428" s="241"/>
    </row>
    <row r="1429" spans="1:24" ht="13.5" customHeight="1" x14ac:dyDescent="0.3">
      <c r="A1429" s="245"/>
      <c r="B1429" s="246"/>
      <c r="C1429" s="245"/>
      <c r="D1429" s="245"/>
      <c r="E1429" s="245"/>
      <c r="F1429" s="245"/>
      <c r="G1429" s="245"/>
      <c r="H1429" s="245"/>
      <c r="I1429" s="245"/>
      <c r="J1429" s="245"/>
      <c r="K1429" s="245"/>
      <c r="L1429" s="246"/>
      <c r="M1429" s="245"/>
      <c r="N1429" s="245"/>
      <c r="O1429" s="245"/>
      <c r="P1429" s="245"/>
      <c r="Q1429" s="247"/>
      <c r="R1429" s="247"/>
      <c r="S1429" s="247"/>
      <c r="T1429" s="245"/>
      <c r="U1429" s="245"/>
      <c r="V1429" s="241"/>
      <c r="W1429" s="241"/>
      <c r="X1429" s="241"/>
    </row>
    <row r="1430" spans="1:24" ht="13.5" customHeight="1" x14ac:dyDescent="0.3">
      <c r="A1430" s="245"/>
      <c r="B1430" s="246"/>
      <c r="C1430" s="245"/>
      <c r="D1430" s="245"/>
      <c r="E1430" s="245"/>
      <c r="F1430" s="245"/>
      <c r="G1430" s="245"/>
      <c r="H1430" s="245"/>
      <c r="I1430" s="245"/>
      <c r="J1430" s="245"/>
      <c r="K1430" s="245"/>
      <c r="L1430" s="246"/>
      <c r="M1430" s="245"/>
      <c r="N1430" s="245"/>
      <c r="O1430" s="245"/>
      <c r="P1430" s="245"/>
      <c r="Q1430" s="247"/>
      <c r="R1430" s="247"/>
      <c r="S1430" s="247"/>
      <c r="T1430" s="245"/>
      <c r="U1430" s="245"/>
      <c r="V1430" s="241"/>
      <c r="W1430" s="241"/>
      <c r="X1430" s="241"/>
    </row>
    <row r="1431" spans="1:24" ht="13.5" customHeight="1" x14ac:dyDescent="0.3">
      <c r="A1431" s="245"/>
      <c r="B1431" s="246"/>
      <c r="C1431" s="245"/>
      <c r="D1431" s="245"/>
      <c r="E1431" s="245"/>
      <c r="F1431" s="245"/>
      <c r="G1431" s="245"/>
      <c r="H1431" s="245"/>
      <c r="I1431" s="245"/>
      <c r="J1431" s="245"/>
      <c r="K1431" s="245"/>
      <c r="L1431" s="246"/>
      <c r="M1431" s="245"/>
      <c r="N1431" s="245"/>
      <c r="O1431" s="245"/>
      <c r="P1431" s="245"/>
      <c r="Q1431" s="247"/>
      <c r="R1431" s="247"/>
      <c r="S1431" s="247"/>
      <c r="T1431" s="245"/>
      <c r="U1431" s="245"/>
      <c r="V1431" s="241"/>
      <c r="W1431" s="241"/>
      <c r="X1431" s="241"/>
    </row>
    <row r="1432" spans="1:24" ht="13.5" customHeight="1" x14ac:dyDescent="0.3">
      <c r="A1432" s="245"/>
      <c r="B1432" s="246"/>
      <c r="C1432" s="245"/>
      <c r="D1432" s="245"/>
      <c r="E1432" s="245"/>
      <c r="F1432" s="245"/>
      <c r="G1432" s="245"/>
      <c r="H1432" s="245"/>
      <c r="I1432" s="245"/>
      <c r="J1432" s="245"/>
      <c r="K1432" s="245"/>
      <c r="L1432" s="246"/>
      <c r="M1432" s="245"/>
      <c r="N1432" s="245"/>
      <c r="O1432" s="245"/>
      <c r="P1432" s="245"/>
      <c r="Q1432" s="247"/>
      <c r="R1432" s="247"/>
      <c r="S1432" s="247"/>
      <c r="T1432" s="245"/>
      <c r="U1432" s="245"/>
      <c r="V1432" s="241"/>
      <c r="W1432" s="241"/>
      <c r="X1432" s="241"/>
    </row>
    <row r="1433" spans="1:24" ht="13.5" customHeight="1" x14ac:dyDescent="0.3">
      <c r="A1433" s="245"/>
      <c r="B1433" s="246"/>
      <c r="C1433" s="245"/>
      <c r="D1433" s="245"/>
      <c r="E1433" s="245"/>
      <c r="F1433" s="245"/>
      <c r="G1433" s="245"/>
      <c r="H1433" s="245"/>
      <c r="I1433" s="245"/>
      <c r="J1433" s="245"/>
      <c r="K1433" s="245"/>
      <c r="L1433" s="246"/>
      <c r="M1433" s="245"/>
      <c r="N1433" s="245"/>
      <c r="O1433" s="245"/>
      <c r="P1433" s="245"/>
      <c r="Q1433" s="247"/>
      <c r="R1433" s="247"/>
      <c r="S1433" s="247"/>
      <c r="T1433" s="245"/>
      <c r="U1433" s="245"/>
      <c r="V1433" s="241"/>
      <c r="W1433" s="241"/>
      <c r="X1433" s="241"/>
    </row>
    <row r="1434" spans="1:24" ht="13.5" customHeight="1" x14ac:dyDescent="0.3">
      <c r="A1434" s="245"/>
      <c r="B1434" s="246"/>
      <c r="C1434" s="245"/>
      <c r="D1434" s="245"/>
      <c r="E1434" s="245"/>
      <c r="F1434" s="245"/>
      <c r="G1434" s="245"/>
      <c r="H1434" s="245"/>
      <c r="I1434" s="245"/>
      <c r="J1434" s="245"/>
      <c r="K1434" s="245"/>
      <c r="L1434" s="246"/>
      <c r="M1434" s="245"/>
      <c r="N1434" s="245"/>
      <c r="O1434" s="245"/>
      <c r="P1434" s="245"/>
      <c r="Q1434" s="247"/>
      <c r="R1434" s="247"/>
      <c r="S1434" s="247"/>
      <c r="T1434" s="245"/>
      <c r="U1434" s="245"/>
      <c r="V1434" s="241"/>
      <c r="W1434" s="241"/>
      <c r="X1434" s="241"/>
    </row>
    <row r="1435" spans="1:24" ht="13.5" customHeight="1" x14ac:dyDescent="0.3">
      <c r="A1435" s="245"/>
      <c r="B1435" s="246"/>
      <c r="C1435" s="245"/>
      <c r="D1435" s="245"/>
      <c r="E1435" s="245"/>
      <c r="F1435" s="245"/>
      <c r="G1435" s="245"/>
      <c r="H1435" s="245"/>
      <c r="I1435" s="245"/>
      <c r="J1435" s="245"/>
      <c r="K1435" s="245"/>
      <c r="L1435" s="246"/>
      <c r="M1435" s="245"/>
      <c r="N1435" s="245"/>
      <c r="O1435" s="245"/>
      <c r="P1435" s="245"/>
      <c r="Q1435" s="247"/>
      <c r="R1435" s="247"/>
      <c r="S1435" s="247"/>
      <c r="T1435" s="245"/>
      <c r="U1435" s="245"/>
      <c r="V1435" s="241"/>
      <c r="W1435" s="241"/>
      <c r="X1435" s="241"/>
    </row>
    <row r="1436" spans="1:24" ht="13.5" customHeight="1" x14ac:dyDescent="0.3">
      <c r="A1436" s="245"/>
      <c r="B1436" s="246"/>
      <c r="C1436" s="245"/>
      <c r="D1436" s="245"/>
      <c r="E1436" s="245"/>
      <c r="F1436" s="245"/>
      <c r="G1436" s="245"/>
      <c r="H1436" s="245"/>
      <c r="I1436" s="245"/>
      <c r="J1436" s="245"/>
      <c r="K1436" s="245"/>
      <c r="L1436" s="246"/>
      <c r="M1436" s="245"/>
      <c r="N1436" s="245"/>
      <c r="O1436" s="245"/>
      <c r="P1436" s="245"/>
      <c r="Q1436" s="247"/>
      <c r="R1436" s="247"/>
      <c r="S1436" s="247"/>
      <c r="T1436" s="245"/>
      <c r="U1436" s="245"/>
      <c r="V1436" s="241"/>
      <c r="W1436" s="241"/>
      <c r="X1436" s="241"/>
    </row>
    <row r="1437" spans="1:24" ht="13.5" customHeight="1" x14ac:dyDescent="0.3">
      <c r="A1437" s="245"/>
      <c r="B1437" s="246"/>
      <c r="C1437" s="245"/>
      <c r="D1437" s="245"/>
      <c r="E1437" s="245"/>
      <c r="F1437" s="245"/>
      <c r="G1437" s="245"/>
      <c r="H1437" s="245"/>
      <c r="I1437" s="245"/>
      <c r="J1437" s="245"/>
      <c r="K1437" s="245"/>
      <c r="L1437" s="246"/>
      <c r="M1437" s="245"/>
      <c r="N1437" s="245"/>
      <c r="O1437" s="245"/>
      <c r="P1437" s="245"/>
      <c r="Q1437" s="247"/>
      <c r="R1437" s="247"/>
      <c r="S1437" s="247"/>
      <c r="T1437" s="245"/>
      <c r="U1437" s="245"/>
      <c r="V1437" s="241"/>
      <c r="W1437" s="241"/>
      <c r="X1437" s="241"/>
    </row>
    <row r="1438" spans="1:24" ht="13.5" customHeight="1" x14ac:dyDescent="0.3">
      <c r="A1438" s="245"/>
      <c r="B1438" s="246"/>
      <c r="C1438" s="245"/>
      <c r="D1438" s="245"/>
      <c r="E1438" s="245"/>
      <c r="F1438" s="245"/>
      <c r="G1438" s="245"/>
      <c r="H1438" s="245"/>
      <c r="I1438" s="245"/>
      <c r="J1438" s="245"/>
      <c r="K1438" s="245"/>
      <c r="L1438" s="246"/>
      <c r="M1438" s="245"/>
      <c r="N1438" s="245"/>
      <c r="O1438" s="245"/>
      <c r="P1438" s="245"/>
      <c r="Q1438" s="247"/>
      <c r="R1438" s="247"/>
      <c r="S1438" s="247"/>
      <c r="T1438" s="245"/>
      <c r="U1438" s="245"/>
      <c r="V1438" s="241"/>
      <c r="W1438" s="241"/>
      <c r="X1438" s="241"/>
    </row>
    <row r="1439" spans="1:24" ht="13.5" customHeight="1" x14ac:dyDescent="0.3">
      <c r="A1439" s="245"/>
      <c r="B1439" s="246"/>
      <c r="C1439" s="245"/>
      <c r="D1439" s="245"/>
      <c r="E1439" s="245"/>
      <c r="F1439" s="245"/>
      <c r="G1439" s="245"/>
      <c r="H1439" s="245"/>
      <c r="I1439" s="245"/>
      <c r="J1439" s="245"/>
      <c r="K1439" s="245"/>
      <c r="L1439" s="246"/>
      <c r="M1439" s="245"/>
      <c r="N1439" s="245"/>
      <c r="O1439" s="245"/>
      <c r="P1439" s="245"/>
      <c r="Q1439" s="247"/>
      <c r="R1439" s="247"/>
      <c r="S1439" s="247"/>
      <c r="T1439" s="245"/>
      <c r="U1439" s="245"/>
      <c r="V1439" s="241"/>
      <c r="W1439" s="241"/>
      <c r="X1439" s="241"/>
    </row>
    <row r="1440" spans="1:24" ht="13.5" customHeight="1" x14ac:dyDescent="0.3">
      <c r="A1440" s="245"/>
      <c r="B1440" s="246"/>
      <c r="C1440" s="245"/>
      <c r="D1440" s="245"/>
      <c r="E1440" s="245"/>
      <c r="F1440" s="245"/>
      <c r="G1440" s="245"/>
      <c r="H1440" s="245"/>
      <c r="I1440" s="245"/>
      <c r="J1440" s="245"/>
      <c r="K1440" s="245"/>
      <c r="L1440" s="246"/>
      <c r="M1440" s="245"/>
      <c r="N1440" s="245"/>
      <c r="O1440" s="245"/>
      <c r="P1440" s="245"/>
      <c r="Q1440" s="247"/>
      <c r="R1440" s="247"/>
      <c r="S1440" s="247"/>
      <c r="T1440" s="245"/>
      <c r="U1440" s="245"/>
      <c r="V1440" s="241"/>
      <c r="W1440" s="241"/>
      <c r="X1440" s="241"/>
    </row>
    <row r="1441" spans="1:24" ht="13.5" customHeight="1" x14ac:dyDescent="0.3">
      <c r="A1441" s="245"/>
      <c r="B1441" s="246"/>
      <c r="C1441" s="245"/>
      <c r="D1441" s="245"/>
      <c r="E1441" s="245"/>
      <c r="F1441" s="245"/>
      <c r="G1441" s="245"/>
      <c r="H1441" s="245"/>
      <c r="I1441" s="245"/>
      <c r="J1441" s="245"/>
      <c r="K1441" s="245"/>
      <c r="L1441" s="246"/>
      <c r="M1441" s="245"/>
      <c r="N1441" s="245"/>
      <c r="O1441" s="245"/>
      <c r="P1441" s="245"/>
      <c r="Q1441" s="247"/>
      <c r="R1441" s="247"/>
      <c r="S1441" s="247"/>
      <c r="T1441" s="245"/>
      <c r="U1441" s="245"/>
      <c r="V1441" s="241"/>
      <c r="W1441" s="241"/>
      <c r="X1441" s="241"/>
    </row>
    <row r="1442" spans="1:24" ht="13.5" customHeight="1" x14ac:dyDescent="0.3">
      <c r="A1442" s="245"/>
      <c r="B1442" s="246"/>
      <c r="C1442" s="245"/>
      <c r="D1442" s="245"/>
      <c r="E1442" s="245"/>
      <c r="F1442" s="245"/>
      <c r="G1442" s="245"/>
      <c r="H1442" s="245"/>
      <c r="I1442" s="245"/>
      <c r="J1442" s="245"/>
      <c r="K1442" s="245"/>
      <c r="L1442" s="246"/>
      <c r="M1442" s="245"/>
      <c r="N1442" s="245"/>
      <c r="O1442" s="245"/>
      <c r="P1442" s="245"/>
      <c r="Q1442" s="247"/>
      <c r="R1442" s="247"/>
      <c r="S1442" s="247"/>
      <c r="T1442" s="245"/>
      <c r="U1442" s="245"/>
      <c r="V1442" s="241"/>
      <c r="W1442" s="241"/>
      <c r="X1442" s="241"/>
    </row>
    <row r="1443" spans="1:24" ht="13.5" customHeight="1" x14ac:dyDescent="0.3">
      <c r="A1443" s="245"/>
      <c r="B1443" s="246"/>
      <c r="C1443" s="245"/>
      <c r="D1443" s="245"/>
      <c r="E1443" s="245"/>
      <c r="F1443" s="245"/>
      <c r="G1443" s="245"/>
      <c r="H1443" s="245"/>
      <c r="I1443" s="245"/>
      <c r="J1443" s="245"/>
      <c r="K1443" s="245"/>
      <c r="L1443" s="246"/>
      <c r="M1443" s="245"/>
      <c r="N1443" s="245"/>
      <c r="O1443" s="245"/>
      <c r="P1443" s="245"/>
      <c r="Q1443" s="247"/>
      <c r="R1443" s="247"/>
      <c r="S1443" s="247"/>
      <c r="T1443" s="245"/>
      <c r="U1443" s="245"/>
      <c r="V1443" s="241"/>
      <c r="W1443" s="241"/>
      <c r="X1443" s="241"/>
    </row>
    <row r="1444" spans="1:24" ht="13.5" customHeight="1" x14ac:dyDescent="0.3">
      <c r="A1444" s="245"/>
      <c r="B1444" s="246"/>
      <c r="C1444" s="245"/>
      <c r="D1444" s="245"/>
      <c r="E1444" s="245"/>
      <c r="F1444" s="245"/>
      <c r="G1444" s="245"/>
      <c r="H1444" s="245"/>
      <c r="I1444" s="245"/>
      <c r="J1444" s="245"/>
      <c r="K1444" s="245"/>
      <c r="L1444" s="246"/>
      <c r="M1444" s="245"/>
      <c r="N1444" s="245"/>
      <c r="O1444" s="245"/>
      <c r="P1444" s="245"/>
      <c r="Q1444" s="247"/>
      <c r="R1444" s="247"/>
      <c r="S1444" s="247"/>
      <c r="T1444" s="245"/>
      <c r="U1444" s="245"/>
      <c r="V1444" s="241"/>
      <c r="W1444" s="241"/>
      <c r="X1444" s="241"/>
    </row>
    <row r="1445" spans="1:24" ht="13.5" customHeight="1" x14ac:dyDescent="0.3">
      <c r="A1445" s="245"/>
      <c r="B1445" s="246"/>
      <c r="C1445" s="245"/>
      <c r="D1445" s="245"/>
      <c r="E1445" s="245"/>
      <c r="F1445" s="245"/>
      <c r="G1445" s="245"/>
      <c r="H1445" s="245"/>
      <c r="I1445" s="245"/>
      <c r="J1445" s="245"/>
      <c r="K1445" s="245"/>
      <c r="L1445" s="246"/>
      <c r="M1445" s="245"/>
      <c r="N1445" s="245"/>
      <c r="O1445" s="245"/>
      <c r="P1445" s="245"/>
      <c r="Q1445" s="247"/>
      <c r="R1445" s="247"/>
      <c r="S1445" s="247"/>
      <c r="T1445" s="245"/>
      <c r="U1445" s="245"/>
      <c r="V1445" s="241"/>
      <c r="W1445" s="241"/>
      <c r="X1445" s="241"/>
    </row>
    <row r="1446" spans="1:24" ht="13.5" customHeight="1" x14ac:dyDescent="0.3">
      <c r="A1446" s="245"/>
      <c r="B1446" s="246"/>
      <c r="C1446" s="245"/>
      <c r="D1446" s="245"/>
      <c r="E1446" s="245"/>
      <c r="F1446" s="245"/>
      <c r="G1446" s="245"/>
      <c r="H1446" s="245"/>
      <c r="I1446" s="245"/>
      <c r="J1446" s="245"/>
      <c r="K1446" s="245"/>
      <c r="L1446" s="246"/>
      <c r="M1446" s="245"/>
      <c r="N1446" s="245"/>
      <c r="O1446" s="245"/>
      <c r="P1446" s="245"/>
      <c r="Q1446" s="247"/>
      <c r="R1446" s="247"/>
      <c r="S1446" s="247"/>
      <c r="T1446" s="245"/>
      <c r="U1446" s="245"/>
      <c r="V1446" s="241"/>
      <c r="W1446" s="241"/>
      <c r="X1446" s="241"/>
    </row>
    <row r="1447" spans="1:24" ht="13.5" customHeight="1" x14ac:dyDescent="0.3">
      <c r="A1447" s="245"/>
      <c r="B1447" s="246"/>
      <c r="C1447" s="245"/>
      <c r="D1447" s="245"/>
      <c r="E1447" s="245"/>
      <c r="F1447" s="245"/>
      <c r="G1447" s="245"/>
      <c r="H1447" s="245"/>
      <c r="I1447" s="245"/>
      <c r="J1447" s="245"/>
      <c r="K1447" s="245"/>
      <c r="L1447" s="246"/>
      <c r="M1447" s="245"/>
      <c r="N1447" s="245"/>
      <c r="O1447" s="245"/>
      <c r="P1447" s="245"/>
      <c r="Q1447" s="247"/>
      <c r="R1447" s="247"/>
      <c r="S1447" s="247"/>
      <c r="T1447" s="245"/>
      <c r="U1447" s="245"/>
      <c r="V1447" s="241"/>
      <c r="W1447" s="241"/>
      <c r="X1447" s="241"/>
    </row>
    <row r="1448" spans="1:24" ht="13.5" customHeight="1" x14ac:dyDescent="0.3">
      <c r="A1448" s="245"/>
      <c r="B1448" s="246"/>
      <c r="C1448" s="245"/>
      <c r="D1448" s="245"/>
      <c r="E1448" s="245"/>
      <c r="F1448" s="245"/>
      <c r="G1448" s="245"/>
      <c r="H1448" s="245"/>
      <c r="I1448" s="245"/>
      <c r="J1448" s="245"/>
      <c r="K1448" s="245"/>
      <c r="L1448" s="246"/>
      <c r="M1448" s="245"/>
      <c r="N1448" s="245"/>
      <c r="O1448" s="245"/>
      <c r="P1448" s="245"/>
      <c r="Q1448" s="247"/>
      <c r="R1448" s="247"/>
      <c r="S1448" s="247"/>
      <c r="T1448" s="245"/>
      <c r="U1448" s="245"/>
      <c r="V1448" s="241"/>
      <c r="W1448" s="241"/>
      <c r="X1448" s="241"/>
    </row>
    <row r="1449" spans="1:24" ht="13.5" customHeight="1" x14ac:dyDescent="0.3">
      <c r="A1449" s="245"/>
      <c r="B1449" s="246"/>
      <c r="C1449" s="245"/>
      <c r="D1449" s="245"/>
      <c r="E1449" s="245"/>
      <c r="F1449" s="245"/>
      <c r="G1449" s="245"/>
      <c r="H1449" s="245"/>
      <c r="I1449" s="245"/>
      <c r="J1449" s="245"/>
      <c r="K1449" s="245"/>
      <c r="L1449" s="246"/>
      <c r="M1449" s="245"/>
      <c r="N1449" s="245"/>
      <c r="O1449" s="245"/>
      <c r="P1449" s="245"/>
      <c r="Q1449" s="247"/>
      <c r="R1449" s="247"/>
      <c r="S1449" s="247"/>
      <c r="T1449" s="245"/>
      <c r="U1449" s="245"/>
      <c r="V1449" s="241"/>
      <c r="W1449" s="241"/>
      <c r="X1449" s="241"/>
    </row>
    <row r="1450" spans="1:24" ht="13.5" customHeight="1" x14ac:dyDescent="0.3">
      <c r="A1450" s="245"/>
      <c r="B1450" s="246"/>
      <c r="C1450" s="245"/>
      <c r="D1450" s="245"/>
      <c r="E1450" s="245"/>
      <c r="F1450" s="245"/>
      <c r="G1450" s="245"/>
      <c r="H1450" s="245"/>
      <c r="I1450" s="245"/>
      <c r="J1450" s="245"/>
      <c r="K1450" s="245"/>
      <c r="L1450" s="246"/>
      <c r="M1450" s="245"/>
      <c r="N1450" s="245"/>
      <c r="O1450" s="245"/>
      <c r="P1450" s="245"/>
      <c r="Q1450" s="247"/>
      <c r="R1450" s="247"/>
      <c r="S1450" s="247"/>
      <c r="T1450" s="245"/>
      <c r="U1450" s="245"/>
      <c r="V1450" s="241"/>
      <c r="W1450" s="241"/>
      <c r="X1450" s="241"/>
    </row>
    <row r="1451" spans="1:24" ht="13.5" customHeight="1" x14ac:dyDescent="0.3">
      <c r="A1451" s="245"/>
      <c r="B1451" s="246"/>
      <c r="C1451" s="245"/>
      <c r="D1451" s="245"/>
      <c r="E1451" s="245"/>
      <c r="F1451" s="245"/>
      <c r="G1451" s="245"/>
      <c r="H1451" s="245"/>
      <c r="I1451" s="245"/>
      <c r="J1451" s="245"/>
      <c r="K1451" s="245"/>
      <c r="L1451" s="246"/>
      <c r="M1451" s="245"/>
      <c r="N1451" s="245"/>
      <c r="O1451" s="245"/>
      <c r="P1451" s="245"/>
      <c r="Q1451" s="247"/>
      <c r="R1451" s="247"/>
      <c r="S1451" s="247"/>
      <c r="T1451" s="245"/>
      <c r="U1451" s="245"/>
      <c r="V1451" s="241"/>
      <c r="W1451" s="241"/>
      <c r="X1451" s="241"/>
    </row>
    <row r="1452" spans="1:24" ht="13.5" customHeight="1" x14ac:dyDescent="0.3">
      <c r="A1452" s="245"/>
      <c r="B1452" s="246"/>
      <c r="C1452" s="245"/>
      <c r="D1452" s="245"/>
      <c r="E1452" s="245"/>
      <c r="F1452" s="245"/>
      <c r="G1452" s="245"/>
      <c r="H1452" s="245"/>
      <c r="I1452" s="245"/>
      <c r="J1452" s="245"/>
      <c r="K1452" s="245"/>
      <c r="L1452" s="246"/>
      <c r="M1452" s="245"/>
      <c r="N1452" s="245"/>
      <c r="O1452" s="245"/>
      <c r="P1452" s="245"/>
      <c r="Q1452" s="247"/>
      <c r="R1452" s="247"/>
      <c r="S1452" s="247"/>
      <c r="T1452" s="245"/>
      <c r="U1452" s="245"/>
      <c r="V1452" s="241"/>
      <c r="W1452" s="241"/>
      <c r="X1452" s="241"/>
    </row>
    <row r="1453" spans="1:24" ht="13.5" customHeight="1" x14ac:dyDescent="0.3">
      <c r="A1453" s="245"/>
      <c r="B1453" s="246"/>
      <c r="C1453" s="245"/>
      <c r="D1453" s="245"/>
      <c r="E1453" s="245"/>
      <c r="F1453" s="245"/>
      <c r="G1453" s="245"/>
      <c r="H1453" s="245"/>
      <c r="I1453" s="245"/>
      <c r="J1453" s="245"/>
      <c r="K1453" s="245"/>
      <c r="L1453" s="246"/>
      <c r="M1453" s="245"/>
      <c r="N1453" s="245"/>
      <c r="O1453" s="245"/>
      <c r="P1453" s="245"/>
      <c r="Q1453" s="247"/>
      <c r="R1453" s="247"/>
      <c r="S1453" s="247"/>
      <c r="T1453" s="245"/>
      <c r="U1453" s="245"/>
      <c r="V1453" s="241"/>
      <c r="W1453" s="241"/>
      <c r="X1453" s="241"/>
    </row>
    <row r="1454" spans="1:24" ht="13.5" customHeight="1" x14ac:dyDescent="0.3">
      <c r="A1454" s="245"/>
      <c r="B1454" s="246"/>
      <c r="C1454" s="245"/>
      <c r="D1454" s="245"/>
      <c r="E1454" s="245"/>
      <c r="F1454" s="245"/>
      <c r="G1454" s="245"/>
      <c r="H1454" s="245"/>
      <c r="I1454" s="245"/>
      <c r="J1454" s="245"/>
      <c r="K1454" s="245"/>
      <c r="L1454" s="246"/>
      <c r="M1454" s="245"/>
      <c r="N1454" s="245"/>
      <c r="O1454" s="245"/>
      <c r="P1454" s="245"/>
      <c r="Q1454" s="247"/>
      <c r="R1454" s="247"/>
      <c r="S1454" s="247"/>
      <c r="T1454" s="245"/>
      <c r="U1454" s="245"/>
      <c r="V1454" s="241"/>
      <c r="W1454" s="241"/>
      <c r="X1454" s="241"/>
    </row>
    <row r="1455" spans="1:24" ht="13.5" customHeight="1" x14ac:dyDescent="0.3">
      <c r="A1455" s="245"/>
      <c r="B1455" s="246"/>
      <c r="C1455" s="245"/>
      <c r="D1455" s="245"/>
      <c r="E1455" s="245"/>
      <c r="F1455" s="245"/>
      <c r="G1455" s="245"/>
      <c r="H1455" s="245"/>
      <c r="I1455" s="245"/>
      <c r="J1455" s="245"/>
      <c r="K1455" s="245"/>
      <c r="L1455" s="246"/>
      <c r="M1455" s="245"/>
      <c r="N1455" s="245"/>
      <c r="O1455" s="245"/>
      <c r="P1455" s="245"/>
      <c r="Q1455" s="247"/>
      <c r="R1455" s="247"/>
      <c r="S1455" s="247"/>
      <c r="T1455" s="245"/>
      <c r="U1455" s="245"/>
      <c r="V1455" s="241"/>
      <c r="W1455" s="241"/>
      <c r="X1455" s="241"/>
    </row>
    <row r="1456" spans="1:24" ht="13.5" customHeight="1" x14ac:dyDescent="0.3">
      <c r="A1456" s="245"/>
      <c r="B1456" s="246"/>
      <c r="C1456" s="245"/>
      <c r="D1456" s="245"/>
      <c r="E1456" s="245"/>
      <c r="F1456" s="245"/>
      <c r="G1456" s="245"/>
      <c r="H1456" s="245"/>
      <c r="I1456" s="245"/>
      <c r="J1456" s="245"/>
      <c r="K1456" s="245"/>
      <c r="L1456" s="246"/>
      <c r="M1456" s="245"/>
      <c r="N1456" s="245"/>
      <c r="O1456" s="245"/>
      <c r="P1456" s="245"/>
      <c r="Q1456" s="247"/>
      <c r="R1456" s="247"/>
      <c r="S1456" s="247"/>
      <c r="T1456" s="245"/>
      <c r="U1456" s="245"/>
      <c r="V1456" s="241"/>
      <c r="W1456" s="241"/>
      <c r="X1456" s="241"/>
    </row>
    <row r="1457" spans="1:24" ht="13.5" customHeight="1" x14ac:dyDescent="0.3">
      <c r="A1457" s="245"/>
      <c r="B1457" s="246"/>
      <c r="C1457" s="245"/>
      <c r="D1457" s="245"/>
      <c r="E1457" s="245"/>
      <c r="F1457" s="245"/>
      <c r="G1457" s="245"/>
      <c r="H1457" s="245"/>
      <c r="I1457" s="245"/>
      <c r="J1457" s="245"/>
      <c r="K1457" s="245"/>
      <c r="L1457" s="246"/>
      <c r="M1457" s="245"/>
      <c r="N1457" s="245"/>
      <c r="O1457" s="245"/>
      <c r="P1457" s="245"/>
      <c r="Q1457" s="247"/>
      <c r="R1457" s="247"/>
      <c r="S1457" s="247"/>
      <c r="T1457" s="245"/>
      <c r="U1457" s="245"/>
      <c r="V1457" s="241"/>
      <c r="W1457" s="241"/>
      <c r="X1457" s="241"/>
    </row>
    <row r="1458" spans="1:24" ht="13.5" customHeight="1" x14ac:dyDescent="0.3">
      <c r="A1458" s="245"/>
      <c r="B1458" s="246"/>
      <c r="C1458" s="245"/>
      <c r="D1458" s="245"/>
      <c r="E1458" s="245"/>
      <c r="F1458" s="245"/>
      <c r="G1458" s="245"/>
      <c r="H1458" s="245"/>
      <c r="I1458" s="245"/>
      <c r="J1458" s="245"/>
      <c r="K1458" s="245"/>
      <c r="L1458" s="246"/>
      <c r="M1458" s="245"/>
      <c r="N1458" s="245"/>
      <c r="O1458" s="245"/>
      <c r="P1458" s="245"/>
      <c r="Q1458" s="247"/>
      <c r="R1458" s="247"/>
      <c r="S1458" s="247"/>
      <c r="T1458" s="245"/>
      <c r="U1458" s="245"/>
      <c r="V1458" s="241"/>
      <c r="W1458" s="241"/>
      <c r="X1458" s="241"/>
    </row>
    <row r="1459" spans="1:24" ht="13.5" customHeight="1" x14ac:dyDescent="0.3">
      <c r="A1459" s="245"/>
      <c r="B1459" s="246"/>
      <c r="C1459" s="245"/>
      <c r="D1459" s="245"/>
      <c r="E1459" s="245"/>
      <c r="F1459" s="245"/>
      <c r="G1459" s="245"/>
      <c r="H1459" s="245"/>
      <c r="I1459" s="245"/>
      <c r="J1459" s="245"/>
      <c r="K1459" s="245"/>
      <c r="L1459" s="246"/>
      <c r="M1459" s="245"/>
      <c r="N1459" s="245"/>
      <c r="O1459" s="245"/>
      <c r="P1459" s="245"/>
      <c r="Q1459" s="247"/>
      <c r="R1459" s="247"/>
      <c r="S1459" s="247"/>
      <c r="T1459" s="245"/>
      <c r="U1459" s="245"/>
      <c r="V1459" s="241"/>
      <c r="W1459" s="241"/>
      <c r="X1459" s="241"/>
    </row>
    <row r="1460" spans="1:24" ht="13.5" customHeight="1" x14ac:dyDescent="0.3">
      <c r="A1460" s="245"/>
      <c r="B1460" s="246"/>
      <c r="C1460" s="245"/>
      <c r="D1460" s="245"/>
      <c r="E1460" s="245"/>
      <c r="F1460" s="245"/>
      <c r="G1460" s="245"/>
      <c r="H1460" s="245"/>
      <c r="I1460" s="245"/>
      <c r="J1460" s="245"/>
      <c r="K1460" s="245"/>
      <c r="L1460" s="246"/>
      <c r="M1460" s="245"/>
      <c r="N1460" s="245"/>
      <c r="O1460" s="245"/>
      <c r="P1460" s="245"/>
      <c r="Q1460" s="247"/>
      <c r="R1460" s="247"/>
      <c r="S1460" s="247"/>
      <c r="T1460" s="245"/>
      <c r="U1460" s="245"/>
      <c r="V1460" s="241"/>
      <c r="W1460" s="241"/>
      <c r="X1460" s="241"/>
    </row>
    <row r="1461" spans="1:24" ht="13.5" customHeight="1" x14ac:dyDescent="0.3">
      <c r="A1461" s="245"/>
      <c r="B1461" s="246"/>
      <c r="C1461" s="245"/>
      <c r="D1461" s="245"/>
      <c r="E1461" s="245"/>
      <c r="F1461" s="245"/>
      <c r="G1461" s="245"/>
      <c r="H1461" s="245"/>
      <c r="I1461" s="245"/>
      <c r="J1461" s="245"/>
      <c r="K1461" s="245"/>
      <c r="L1461" s="246"/>
      <c r="M1461" s="245"/>
      <c r="N1461" s="245"/>
      <c r="O1461" s="245"/>
      <c r="P1461" s="245"/>
      <c r="Q1461" s="247"/>
      <c r="R1461" s="247"/>
      <c r="S1461" s="247"/>
      <c r="T1461" s="245"/>
      <c r="U1461" s="245"/>
      <c r="V1461" s="241"/>
      <c r="W1461" s="241"/>
      <c r="X1461" s="241"/>
    </row>
    <row r="1462" spans="1:24" ht="13.5" customHeight="1" x14ac:dyDescent="0.3">
      <c r="A1462" s="245"/>
      <c r="B1462" s="246"/>
      <c r="C1462" s="245"/>
      <c r="D1462" s="245"/>
      <c r="E1462" s="245"/>
      <c r="F1462" s="245"/>
      <c r="G1462" s="245"/>
      <c r="H1462" s="245"/>
      <c r="I1462" s="245"/>
      <c r="J1462" s="245"/>
      <c r="K1462" s="245"/>
      <c r="L1462" s="246"/>
      <c r="M1462" s="245"/>
      <c r="N1462" s="245"/>
      <c r="O1462" s="245"/>
      <c r="P1462" s="245"/>
      <c r="Q1462" s="247"/>
      <c r="R1462" s="247"/>
      <c r="S1462" s="247"/>
      <c r="T1462" s="245"/>
      <c r="U1462" s="245"/>
      <c r="V1462" s="241"/>
      <c r="W1462" s="241"/>
      <c r="X1462" s="241"/>
    </row>
    <row r="1463" spans="1:24" ht="13.5" customHeight="1" x14ac:dyDescent="0.3">
      <c r="A1463" s="245"/>
      <c r="B1463" s="246"/>
      <c r="C1463" s="245"/>
      <c r="D1463" s="245"/>
      <c r="E1463" s="245"/>
      <c r="F1463" s="245"/>
      <c r="G1463" s="245"/>
      <c r="H1463" s="245"/>
      <c r="I1463" s="245"/>
      <c r="J1463" s="245"/>
      <c r="K1463" s="245"/>
      <c r="L1463" s="246"/>
      <c r="M1463" s="245"/>
      <c r="N1463" s="245"/>
      <c r="O1463" s="245"/>
      <c r="P1463" s="245"/>
      <c r="Q1463" s="247"/>
      <c r="R1463" s="247"/>
      <c r="S1463" s="247"/>
      <c r="T1463" s="245"/>
      <c r="U1463" s="245"/>
      <c r="V1463" s="241"/>
      <c r="W1463" s="241"/>
      <c r="X1463" s="241"/>
    </row>
    <row r="1464" spans="1:24" ht="13.5" customHeight="1" x14ac:dyDescent="0.3">
      <c r="A1464" s="245"/>
      <c r="B1464" s="246"/>
      <c r="C1464" s="245"/>
      <c r="D1464" s="245"/>
      <c r="E1464" s="245"/>
      <c r="F1464" s="245"/>
      <c r="G1464" s="245"/>
      <c r="H1464" s="245"/>
      <c r="I1464" s="245"/>
      <c r="J1464" s="245"/>
      <c r="K1464" s="245"/>
      <c r="L1464" s="246"/>
      <c r="M1464" s="245"/>
      <c r="N1464" s="245"/>
      <c r="O1464" s="245"/>
      <c r="P1464" s="245"/>
      <c r="Q1464" s="247"/>
      <c r="R1464" s="247"/>
      <c r="S1464" s="247"/>
      <c r="T1464" s="245"/>
      <c r="U1464" s="245"/>
      <c r="V1464" s="241"/>
      <c r="W1464" s="241"/>
      <c r="X1464" s="241"/>
    </row>
    <row r="1465" spans="1:24" ht="13.5" customHeight="1" x14ac:dyDescent="0.3">
      <c r="A1465" s="245"/>
      <c r="B1465" s="246"/>
      <c r="C1465" s="245"/>
      <c r="D1465" s="245"/>
      <c r="E1465" s="245"/>
      <c r="F1465" s="245"/>
      <c r="G1465" s="245"/>
      <c r="H1465" s="245"/>
      <c r="I1465" s="245"/>
      <c r="J1465" s="245"/>
      <c r="K1465" s="245"/>
      <c r="L1465" s="246"/>
      <c r="M1465" s="245"/>
      <c r="N1465" s="245"/>
      <c r="O1465" s="245"/>
      <c r="P1465" s="245"/>
      <c r="Q1465" s="247"/>
      <c r="R1465" s="247"/>
      <c r="S1465" s="247"/>
      <c r="T1465" s="245"/>
      <c r="U1465" s="245"/>
      <c r="V1465" s="241"/>
      <c r="W1465" s="241"/>
      <c r="X1465" s="241"/>
    </row>
    <row r="1466" spans="1:24" ht="13.5" customHeight="1" x14ac:dyDescent="0.3">
      <c r="A1466" s="245"/>
      <c r="B1466" s="246"/>
      <c r="C1466" s="245"/>
      <c r="D1466" s="245"/>
      <c r="E1466" s="245"/>
      <c r="F1466" s="245"/>
      <c r="G1466" s="245"/>
      <c r="H1466" s="245"/>
      <c r="I1466" s="245"/>
      <c r="J1466" s="245"/>
      <c r="K1466" s="245"/>
      <c r="L1466" s="246"/>
      <c r="M1466" s="245"/>
      <c r="N1466" s="245"/>
      <c r="O1466" s="245"/>
      <c r="P1466" s="245"/>
      <c r="Q1466" s="247"/>
      <c r="R1466" s="247"/>
      <c r="S1466" s="247"/>
      <c r="T1466" s="245"/>
      <c r="U1466" s="245"/>
      <c r="V1466" s="241"/>
      <c r="W1466" s="241"/>
      <c r="X1466" s="241"/>
    </row>
    <row r="1467" spans="1:24" ht="13.5" customHeight="1" x14ac:dyDescent="0.3">
      <c r="A1467" s="245"/>
      <c r="B1467" s="246"/>
      <c r="C1467" s="245"/>
      <c r="D1467" s="245"/>
      <c r="E1467" s="245"/>
      <c r="F1467" s="245"/>
      <c r="G1467" s="245"/>
      <c r="H1467" s="245"/>
      <c r="I1467" s="245"/>
      <c r="J1467" s="245"/>
      <c r="K1467" s="245"/>
      <c r="L1467" s="246"/>
      <c r="M1467" s="245"/>
      <c r="N1467" s="245"/>
      <c r="O1467" s="245"/>
      <c r="P1467" s="245"/>
      <c r="Q1467" s="247"/>
      <c r="R1467" s="247"/>
      <c r="S1467" s="247"/>
      <c r="T1467" s="245"/>
      <c r="U1467" s="245"/>
      <c r="V1467" s="241"/>
      <c r="W1467" s="241"/>
      <c r="X1467" s="241"/>
    </row>
    <row r="1468" spans="1:24" ht="13.5" customHeight="1" x14ac:dyDescent="0.3">
      <c r="A1468" s="245"/>
      <c r="B1468" s="246"/>
      <c r="C1468" s="245"/>
      <c r="D1468" s="245"/>
      <c r="E1468" s="245"/>
      <c r="F1468" s="245"/>
      <c r="G1468" s="245"/>
      <c r="H1468" s="245"/>
      <c r="I1468" s="245"/>
      <c r="J1468" s="245"/>
      <c r="K1468" s="245"/>
      <c r="L1468" s="246"/>
      <c r="M1468" s="245"/>
      <c r="N1468" s="245"/>
      <c r="O1468" s="245"/>
      <c r="P1468" s="245"/>
      <c r="Q1468" s="247"/>
      <c r="R1468" s="247"/>
      <c r="S1468" s="247"/>
      <c r="T1468" s="245"/>
      <c r="U1468" s="245"/>
      <c r="V1468" s="241"/>
      <c r="W1468" s="241"/>
      <c r="X1468" s="241"/>
    </row>
    <row r="1469" spans="1:24" ht="13.5" customHeight="1" x14ac:dyDescent="0.3">
      <c r="A1469" s="245"/>
      <c r="B1469" s="246"/>
      <c r="C1469" s="245"/>
      <c r="D1469" s="245"/>
      <c r="E1469" s="245"/>
      <c r="F1469" s="245"/>
      <c r="G1469" s="245"/>
      <c r="H1469" s="245"/>
      <c r="I1469" s="245"/>
      <c r="J1469" s="245"/>
      <c r="K1469" s="245"/>
      <c r="L1469" s="246"/>
      <c r="M1469" s="245"/>
      <c r="N1469" s="245"/>
      <c r="O1469" s="245"/>
      <c r="P1469" s="245"/>
      <c r="Q1469" s="247"/>
      <c r="R1469" s="247"/>
      <c r="S1469" s="247"/>
      <c r="T1469" s="245"/>
      <c r="U1469" s="245"/>
      <c r="V1469" s="241"/>
      <c r="W1469" s="241"/>
      <c r="X1469" s="241"/>
    </row>
    <row r="1470" spans="1:24" ht="13.5" customHeight="1" x14ac:dyDescent="0.3">
      <c r="A1470" s="245"/>
      <c r="B1470" s="246"/>
      <c r="C1470" s="245"/>
      <c r="D1470" s="245"/>
      <c r="E1470" s="245"/>
      <c r="F1470" s="245"/>
      <c r="G1470" s="245"/>
      <c r="H1470" s="245"/>
      <c r="I1470" s="245"/>
      <c r="J1470" s="245"/>
      <c r="K1470" s="245"/>
      <c r="L1470" s="246"/>
      <c r="M1470" s="245"/>
      <c r="N1470" s="245"/>
      <c r="O1470" s="245"/>
      <c r="P1470" s="245"/>
      <c r="Q1470" s="247"/>
      <c r="R1470" s="247"/>
      <c r="S1470" s="247"/>
      <c r="T1470" s="245"/>
      <c r="U1470" s="245"/>
      <c r="V1470" s="241"/>
      <c r="W1470" s="241"/>
      <c r="X1470" s="241"/>
    </row>
    <row r="1471" spans="1:24" ht="13.5" customHeight="1" x14ac:dyDescent="0.3">
      <c r="A1471" s="245"/>
      <c r="B1471" s="246"/>
      <c r="C1471" s="245"/>
      <c r="D1471" s="245"/>
      <c r="E1471" s="245"/>
      <c r="F1471" s="245"/>
      <c r="G1471" s="245"/>
      <c r="H1471" s="245"/>
      <c r="I1471" s="245"/>
      <c r="J1471" s="245"/>
      <c r="K1471" s="245"/>
      <c r="L1471" s="246"/>
      <c r="M1471" s="245"/>
      <c r="N1471" s="245"/>
      <c r="O1471" s="245"/>
      <c r="P1471" s="245"/>
      <c r="Q1471" s="247"/>
      <c r="R1471" s="247"/>
      <c r="S1471" s="247"/>
      <c r="T1471" s="245"/>
      <c r="U1471" s="245"/>
      <c r="V1471" s="241"/>
      <c r="W1471" s="241"/>
      <c r="X1471" s="241"/>
    </row>
    <row r="1472" spans="1:24" ht="13.5" customHeight="1" x14ac:dyDescent="0.3">
      <c r="A1472" s="245"/>
      <c r="B1472" s="246"/>
      <c r="C1472" s="245"/>
      <c r="D1472" s="245"/>
      <c r="E1472" s="245"/>
      <c r="F1472" s="245"/>
      <c r="G1472" s="245"/>
      <c r="H1472" s="245"/>
      <c r="I1472" s="245"/>
      <c r="J1472" s="245"/>
      <c r="K1472" s="245"/>
      <c r="L1472" s="246"/>
      <c r="M1472" s="245"/>
      <c r="N1472" s="245"/>
      <c r="O1472" s="245"/>
      <c r="P1472" s="245"/>
      <c r="Q1472" s="247"/>
      <c r="R1472" s="247"/>
      <c r="S1472" s="247"/>
      <c r="T1472" s="245"/>
      <c r="U1472" s="245"/>
      <c r="V1472" s="241"/>
      <c r="W1472" s="241"/>
      <c r="X1472" s="241"/>
    </row>
    <row r="1473" spans="1:24" ht="13.5" customHeight="1" x14ac:dyDescent="0.3">
      <c r="A1473" s="245"/>
      <c r="B1473" s="246"/>
      <c r="C1473" s="245"/>
      <c r="D1473" s="245"/>
      <c r="E1473" s="245"/>
      <c r="F1473" s="245"/>
      <c r="G1473" s="245"/>
      <c r="H1473" s="245"/>
      <c r="I1473" s="245"/>
      <c r="J1473" s="245"/>
      <c r="K1473" s="245"/>
      <c r="L1473" s="246"/>
      <c r="M1473" s="245"/>
      <c r="N1473" s="245"/>
      <c r="O1473" s="245"/>
      <c r="P1473" s="245"/>
      <c r="Q1473" s="247"/>
      <c r="R1473" s="247"/>
      <c r="S1473" s="247"/>
      <c r="T1473" s="245"/>
      <c r="U1473" s="245"/>
      <c r="V1473" s="241"/>
      <c r="W1473" s="241"/>
      <c r="X1473" s="241"/>
    </row>
    <row r="1474" spans="1:24" ht="13.5" customHeight="1" x14ac:dyDescent="0.3">
      <c r="A1474" s="245"/>
      <c r="B1474" s="246"/>
      <c r="C1474" s="245"/>
      <c r="D1474" s="245"/>
      <c r="E1474" s="245"/>
      <c r="F1474" s="245"/>
      <c r="G1474" s="245"/>
      <c r="H1474" s="245"/>
      <c r="I1474" s="245"/>
      <c r="J1474" s="245"/>
      <c r="K1474" s="245"/>
      <c r="L1474" s="246"/>
      <c r="M1474" s="245"/>
      <c r="N1474" s="245"/>
      <c r="O1474" s="245"/>
      <c r="P1474" s="245"/>
      <c r="Q1474" s="247"/>
      <c r="R1474" s="247"/>
      <c r="S1474" s="247"/>
      <c r="T1474" s="245"/>
      <c r="U1474" s="245"/>
      <c r="V1474" s="241"/>
      <c r="W1474" s="241"/>
      <c r="X1474" s="241"/>
    </row>
    <row r="1475" spans="1:24" ht="13.5" customHeight="1" x14ac:dyDescent="0.3">
      <c r="A1475" s="245"/>
      <c r="B1475" s="246"/>
      <c r="C1475" s="245"/>
      <c r="D1475" s="245"/>
      <c r="E1475" s="245"/>
      <c r="F1475" s="245"/>
      <c r="G1475" s="245"/>
      <c r="H1475" s="245"/>
      <c r="I1475" s="245"/>
      <c r="J1475" s="245"/>
      <c r="K1475" s="245"/>
      <c r="L1475" s="246"/>
      <c r="M1475" s="245"/>
      <c r="N1475" s="245"/>
      <c r="O1475" s="245"/>
      <c r="P1475" s="245"/>
      <c r="Q1475" s="247"/>
      <c r="R1475" s="247"/>
      <c r="S1475" s="247"/>
      <c r="T1475" s="245"/>
      <c r="U1475" s="245"/>
      <c r="V1475" s="241"/>
      <c r="W1475" s="241"/>
      <c r="X1475" s="241"/>
    </row>
    <row r="1476" spans="1:24" ht="13.5" customHeight="1" x14ac:dyDescent="0.3">
      <c r="A1476" s="245"/>
      <c r="B1476" s="246"/>
      <c r="C1476" s="245"/>
      <c r="D1476" s="245"/>
      <c r="E1476" s="245"/>
      <c r="F1476" s="245"/>
      <c r="G1476" s="245"/>
      <c r="H1476" s="245"/>
      <c r="I1476" s="245"/>
      <c r="J1476" s="245"/>
      <c r="K1476" s="245"/>
      <c r="L1476" s="246"/>
      <c r="M1476" s="245"/>
      <c r="N1476" s="245"/>
      <c r="O1476" s="245"/>
      <c r="P1476" s="245"/>
      <c r="Q1476" s="247"/>
      <c r="R1476" s="247"/>
      <c r="S1476" s="247"/>
      <c r="T1476" s="245"/>
      <c r="U1476" s="245"/>
      <c r="V1476" s="241"/>
      <c r="W1476" s="241"/>
      <c r="X1476" s="241"/>
    </row>
    <row r="1477" spans="1:24" ht="13.5" customHeight="1" x14ac:dyDescent="0.3">
      <c r="A1477" s="245"/>
      <c r="B1477" s="246"/>
      <c r="C1477" s="245"/>
      <c r="D1477" s="245"/>
      <c r="E1477" s="245"/>
      <c r="F1477" s="245"/>
      <c r="G1477" s="245"/>
      <c r="H1477" s="245"/>
      <c r="I1477" s="245"/>
      <c r="J1477" s="245"/>
      <c r="K1477" s="245"/>
      <c r="L1477" s="246"/>
      <c r="M1477" s="245"/>
      <c r="N1477" s="245"/>
      <c r="O1477" s="245"/>
      <c r="P1477" s="245"/>
      <c r="Q1477" s="247"/>
      <c r="R1477" s="247"/>
      <c r="S1477" s="247"/>
      <c r="T1477" s="245"/>
      <c r="U1477" s="245"/>
      <c r="V1477" s="241"/>
      <c r="W1477" s="241"/>
      <c r="X1477" s="241"/>
    </row>
    <row r="1478" spans="1:24" ht="13.5" customHeight="1" x14ac:dyDescent="0.3">
      <c r="A1478" s="245"/>
      <c r="B1478" s="246"/>
      <c r="C1478" s="245"/>
      <c r="D1478" s="245"/>
      <c r="E1478" s="245"/>
      <c r="F1478" s="245"/>
      <c r="G1478" s="245"/>
      <c r="H1478" s="245"/>
      <c r="I1478" s="245"/>
      <c r="J1478" s="245"/>
      <c r="K1478" s="245"/>
      <c r="L1478" s="246"/>
      <c r="M1478" s="245"/>
      <c r="N1478" s="245"/>
      <c r="O1478" s="245"/>
      <c r="P1478" s="245"/>
      <c r="Q1478" s="247"/>
      <c r="R1478" s="247"/>
      <c r="S1478" s="247"/>
      <c r="T1478" s="245"/>
      <c r="U1478" s="245"/>
      <c r="V1478" s="241"/>
      <c r="W1478" s="241"/>
      <c r="X1478" s="241"/>
    </row>
    <row r="1479" spans="1:24" ht="13.5" customHeight="1" x14ac:dyDescent="0.3">
      <c r="A1479" s="245"/>
      <c r="B1479" s="246"/>
      <c r="C1479" s="245"/>
      <c r="D1479" s="245"/>
      <c r="E1479" s="245"/>
      <c r="F1479" s="245"/>
      <c r="G1479" s="245"/>
      <c r="H1479" s="245"/>
      <c r="I1479" s="245"/>
      <c r="J1479" s="245"/>
      <c r="K1479" s="245"/>
      <c r="L1479" s="246"/>
      <c r="M1479" s="245"/>
      <c r="N1479" s="245"/>
      <c r="O1479" s="245"/>
      <c r="P1479" s="245"/>
      <c r="Q1479" s="247"/>
      <c r="R1479" s="247"/>
      <c r="S1479" s="247"/>
      <c r="T1479" s="245"/>
      <c r="U1479" s="245"/>
      <c r="V1479" s="241"/>
      <c r="W1479" s="241"/>
      <c r="X1479" s="241"/>
    </row>
    <row r="1480" spans="1:24" ht="13.5" customHeight="1" x14ac:dyDescent="0.3">
      <c r="A1480" s="245"/>
      <c r="B1480" s="246"/>
      <c r="C1480" s="245"/>
      <c r="D1480" s="245"/>
      <c r="E1480" s="245"/>
      <c r="F1480" s="245"/>
      <c r="G1480" s="245"/>
      <c r="H1480" s="245"/>
      <c r="I1480" s="245"/>
      <c r="J1480" s="245"/>
      <c r="K1480" s="245"/>
      <c r="L1480" s="246"/>
      <c r="M1480" s="245"/>
      <c r="N1480" s="245"/>
      <c r="O1480" s="245"/>
      <c r="P1480" s="245"/>
      <c r="Q1480" s="247"/>
      <c r="R1480" s="247"/>
      <c r="S1480" s="247"/>
      <c r="T1480" s="245"/>
      <c r="U1480" s="245"/>
      <c r="V1480" s="241"/>
      <c r="W1480" s="241"/>
      <c r="X1480" s="241"/>
    </row>
    <row r="1481" spans="1:24" ht="13.5" customHeight="1" x14ac:dyDescent="0.3">
      <c r="A1481" s="245"/>
      <c r="B1481" s="246"/>
      <c r="C1481" s="245"/>
      <c r="D1481" s="245"/>
      <c r="E1481" s="245"/>
      <c r="F1481" s="245"/>
      <c r="G1481" s="245"/>
      <c r="H1481" s="245"/>
      <c r="I1481" s="245"/>
      <c r="J1481" s="245"/>
      <c r="K1481" s="245"/>
      <c r="L1481" s="246"/>
      <c r="M1481" s="245"/>
      <c r="N1481" s="245"/>
      <c r="O1481" s="245"/>
      <c r="P1481" s="245"/>
      <c r="Q1481" s="247"/>
      <c r="R1481" s="247"/>
      <c r="S1481" s="247"/>
      <c r="T1481" s="245"/>
      <c r="U1481" s="245"/>
      <c r="V1481" s="241"/>
      <c r="W1481" s="241"/>
      <c r="X1481" s="241"/>
    </row>
    <row r="1482" spans="1:24" ht="13.5" customHeight="1" x14ac:dyDescent="0.3">
      <c r="A1482" s="245"/>
      <c r="B1482" s="246"/>
      <c r="C1482" s="245"/>
      <c r="D1482" s="245"/>
      <c r="E1482" s="245"/>
      <c r="F1482" s="245"/>
      <c r="G1482" s="245"/>
      <c r="H1482" s="245"/>
      <c r="I1482" s="245"/>
      <c r="J1482" s="245"/>
      <c r="K1482" s="245"/>
      <c r="L1482" s="246"/>
      <c r="M1482" s="245"/>
      <c r="N1482" s="245"/>
      <c r="O1482" s="245"/>
      <c r="P1482" s="245"/>
      <c r="Q1482" s="247"/>
      <c r="R1482" s="247"/>
      <c r="S1482" s="247"/>
      <c r="T1482" s="245"/>
      <c r="U1482" s="245"/>
      <c r="V1482" s="241"/>
      <c r="W1482" s="241"/>
      <c r="X1482" s="241"/>
    </row>
    <row r="1483" spans="1:24" ht="13.5" customHeight="1" x14ac:dyDescent="0.3">
      <c r="A1483" s="245"/>
      <c r="B1483" s="246"/>
      <c r="C1483" s="245"/>
      <c r="D1483" s="245"/>
      <c r="E1483" s="245"/>
      <c r="F1483" s="245"/>
      <c r="G1483" s="245"/>
      <c r="H1483" s="245"/>
      <c r="I1483" s="245"/>
      <c r="J1483" s="245"/>
      <c r="K1483" s="245"/>
      <c r="L1483" s="246"/>
      <c r="M1483" s="245"/>
      <c r="N1483" s="245"/>
      <c r="O1483" s="245"/>
      <c r="P1483" s="245"/>
      <c r="Q1483" s="247"/>
      <c r="R1483" s="247"/>
      <c r="S1483" s="247"/>
      <c r="T1483" s="245"/>
      <c r="U1483" s="245"/>
      <c r="V1483" s="241"/>
      <c r="W1483" s="241"/>
      <c r="X1483" s="241"/>
    </row>
    <row r="1484" spans="1:24" ht="13.5" customHeight="1" x14ac:dyDescent="0.3">
      <c r="A1484" s="245"/>
      <c r="B1484" s="246"/>
      <c r="C1484" s="245"/>
      <c r="D1484" s="245"/>
      <c r="E1484" s="245"/>
      <c r="F1484" s="245"/>
      <c r="G1484" s="245"/>
      <c r="H1484" s="245"/>
      <c r="I1484" s="245"/>
      <c r="J1484" s="245"/>
      <c r="K1484" s="245"/>
      <c r="L1484" s="246"/>
      <c r="M1484" s="245"/>
      <c r="N1484" s="245"/>
      <c r="O1484" s="245"/>
      <c r="P1484" s="245"/>
      <c r="Q1484" s="247"/>
      <c r="R1484" s="247"/>
      <c r="S1484" s="247"/>
      <c r="T1484" s="245"/>
      <c r="U1484" s="245"/>
      <c r="V1484" s="241"/>
      <c r="W1484" s="241"/>
      <c r="X1484" s="241"/>
    </row>
    <row r="1485" spans="1:24" ht="13.5" customHeight="1" x14ac:dyDescent="0.3">
      <c r="A1485" s="245"/>
      <c r="B1485" s="246"/>
      <c r="C1485" s="245"/>
      <c r="D1485" s="245"/>
      <c r="E1485" s="245"/>
      <c r="F1485" s="245"/>
      <c r="G1485" s="245"/>
      <c r="H1485" s="245"/>
      <c r="I1485" s="245"/>
      <c r="J1485" s="245"/>
      <c r="K1485" s="245"/>
      <c r="L1485" s="246"/>
      <c r="M1485" s="245"/>
      <c r="N1485" s="245"/>
      <c r="O1485" s="245"/>
      <c r="P1485" s="245"/>
      <c r="Q1485" s="247"/>
      <c r="R1485" s="247"/>
      <c r="S1485" s="247"/>
      <c r="T1485" s="245"/>
      <c r="U1485" s="245"/>
      <c r="V1485" s="241"/>
      <c r="W1485" s="241"/>
      <c r="X1485" s="241"/>
    </row>
    <row r="1486" spans="1:24" ht="13.5" customHeight="1" x14ac:dyDescent="0.3">
      <c r="A1486" s="245"/>
      <c r="B1486" s="246"/>
      <c r="C1486" s="245"/>
      <c r="D1486" s="245"/>
      <c r="E1486" s="245"/>
      <c r="F1486" s="245"/>
      <c r="G1486" s="245"/>
      <c r="H1486" s="245"/>
      <c r="I1486" s="245"/>
      <c r="J1486" s="245"/>
      <c r="K1486" s="245"/>
      <c r="L1486" s="246"/>
      <c r="M1486" s="245"/>
      <c r="N1486" s="245"/>
      <c r="O1486" s="245"/>
      <c r="P1486" s="245"/>
      <c r="Q1486" s="247"/>
      <c r="R1486" s="247"/>
      <c r="S1486" s="247"/>
      <c r="T1486" s="245"/>
      <c r="U1486" s="245"/>
      <c r="V1486" s="241"/>
      <c r="W1486" s="241"/>
      <c r="X1486" s="241"/>
    </row>
    <row r="1487" spans="1:24" ht="13.5" customHeight="1" x14ac:dyDescent="0.3">
      <c r="A1487" s="245"/>
      <c r="B1487" s="246"/>
      <c r="C1487" s="245"/>
      <c r="D1487" s="245"/>
      <c r="E1487" s="245"/>
      <c r="F1487" s="245"/>
      <c r="G1487" s="245"/>
      <c r="H1487" s="245"/>
      <c r="I1487" s="245"/>
      <c r="J1487" s="245"/>
      <c r="K1487" s="245"/>
      <c r="L1487" s="246"/>
      <c r="M1487" s="245"/>
      <c r="N1487" s="245"/>
      <c r="O1487" s="245"/>
      <c r="P1487" s="245"/>
      <c r="Q1487" s="247"/>
      <c r="R1487" s="247"/>
      <c r="S1487" s="247"/>
      <c r="T1487" s="245"/>
      <c r="U1487" s="245"/>
      <c r="V1487" s="241"/>
      <c r="W1487" s="241"/>
      <c r="X1487" s="241"/>
    </row>
    <row r="1488" spans="1:24" ht="13.5" customHeight="1" x14ac:dyDescent="0.3">
      <c r="A1488" s="245"/>
      <c r="B1488" s="246"/>
      <c r="C1488" s="245"/>
      <c r="D1488" s="245"/>
      <c r="E1488" s="245"/>
      <c r="F1488" s="245"/>
      <c r="G1488" s="245"/>
      <c r="H1488" s="245"/>
      <c r="I1488" s="245"/>
      <c r="J1488" s="245"/>
      <c r="K1488" s="245"/>
      <c r="L1488" s="246"/>
      <c r="M1488" s="245"/>
      <c r="N1488" s="245"/>
      <c r="O1488" s="245"/>
      <c r="P1488" s="245"/>
      <c r="Q1488" s="247"/>
      <c r="R1488" s="247"/>
      <c r="S1488" s="247"/>
      <c r="T1488" s="245"/>
      <c r="U1488" s="245"/>
      <c r="V1488" s="241"/>
      <c r="W1488" s="241"/>
      <c r="X1488" s="241"/>
    </row>
    <row r="1489" spans="1:24" ht="13.5" customHeight="1" x14ac:dyDescent="0.3">
      <c r="A1489" s="245"/>
      <c r="B1489" s="246"/>
      <c r="C1489" s="245"/>
      <c r="D1489" s="245"/>
      <c r="E1489" s="245"/>
      <c r="F1489" s="245"/>
      <c r="G1489" s="245"/>
      <c r="H1489" s="245"/>
      <c r="I1489" s="245"/>
      <c r="J1489" s="245"/>
      <c r="K1489" s="245"/>
      <c r="L1489" s="246"/>
      <c r="M1489" s="245"/>
      <c r="N1489" s="245"/>
      <c r="O1489" s="245"/>
      <c r="P1489" s="245"/>
      <c r="Q1489" s="247"/>
      <c r="R1489" s="247"/>
      <c r="S1489" s="247"/>
      <c r="T1489" s="245"/>
      <c r="U1489" s="245"/>
      <c r="V1489" s="241"/>
      <c r="W1489" s="241"/>
      <c r="X1489" s="241"/>
    </row>
    <row r="1490" spans="1:24" ht="13.5" customHeight="1" x14ac:dyDescent="0.3">
      <c r="A1490" s="245"/>
      <c r="B1490" s="246"/>
      <c r="C1490" s="245"/>
      <c r="D1490" s="245"/>
      <c r="E1490" s="245"/>
      <c r="F1490" s="245"/>
      <c r="G1490" s="245"/>
      <c r="H1490" s="245"/>
      <c r="I1490" s="245"/>
      <c r="J1490" s="245"/>
      <c r="K1490" s="245"/>
      <c r="L1490" s="246"/>
      <c r="M1490" s="245"/>
      <c r="N1490" s="245"/>
      <c r="O1490" s="245"/>
      <c r="P1490" s="245"/>
      <c r="Q1490" s="247"/>
      <c r="R1490" s="247"/>
      <c r="S1490" s="247"/>
      <c r="T1490" s="245"/>
      <c r="U1490" s="245"/>
      <c r="V1490" s="241"/>
      <c r="W1490" s="241"/>
      <c r="X1490" s="241"/>
    </row>
    <row r="1491" spans="1:24" ht="13.5" customHeight="1" x14ac:dyDescent="0.3">
      <c r="A1491" s="245"/>
      <c r="B1491" s="246"/>
      <c r="C1491" s="245"/>
      <c r="D1491" s="245"/>
      <c r="E1491" s="245"/>
      <c r="F1491" s="245"/>
      <c r="G1491" s="245"/>
      <c r="H1491" s="245"/>
      <c r="I1491" s="245"/>
      <c r="J1491" s="245"/>
      <c r="K1491" s="245"/>
      <c r="L1491" s="246"/>
      <c r="M1491" s="245"/>
      <c r="N1491" s="245"/>
      <c r="O1491" s="245"/>
      <c r="P1491" s="245"/>
      <c r="Q1491" s="247"/>
      <c r="R1491" s="247"/>
      <c r="S1491" s="247"/>
      <c r="T1491" s="245"/>
      <c r="U1491" s="245"/>
      <c r="V1491" s="241"/>
      <c r="W1491" s="241"/>
      <c r="X1491" s="241"/>
    </row>
    <row r="1492" spans="1:24" ht="13.5" customHeight="1" x14ac:dyDescent="0.3">
      <c r="A1492" s="245"/>
      <c r="B1492" s="246"/>
      <c r="C1492" s="245"/>
      <c r="D1492" s="245"/>
      <c r="E1492" s="245"/>
      <c r="F1492" s="245"/>
      <c r="G1492" s="245"/>
      <c r="H1492" s="245"/>
      <c r="I1492" s="245"/>
      <c r="J1492" s="245"/>
      <c r="K1492" s="245"/>
      <c r="L1492" s="246"/>
      <c r="M1492" s="245"/>
      <c r="N1492" s="245"/>
      <c r="O1492" s="245"/>
      <c r="P1492" s="245"/>
      <c r="Q1492" s="247"/>
      <c r="R1492" s="247"/>
      <c r="S1492" s="247"/>
      <c r="T1492" s="245"/>
      <c r="U1492" s="245"/>
      <c r="V1492" s="241"/>
      <c r="W1492" s="241"/>
      <c r="X1492" s="241"/>
    </row>
    <row r="1493" spans="1:24" ht="13.5" customHeight="1" x14ac:dyDescent="0.3">
      <c r="A1493" s="245"/>
      <c r="B1493" s="246"/>
      <c r="C1493" s="245"/>
      <c r="D1493" s="245"/>
      <c r="E1493" s="245"/>
      <c r="F1493" s="245"/>
      <c r="G1493" s="245"/>
      <c r="H1493" s="245"/>
      <c r="I1493" s="245"/>
      <c r="J1493" s="245"/>
      <c r="K1493" s="245"/>
      <c r="L1493" s="246"/>
      <c r="M1493" s="245"/>
      <c r="N1493" s="245"/>
      <c r="O1493" s="245"/>
      <c r="P1493" s="245"/>
      <c r="Q1493" s="247"/>
      <c r="R1493" s="247"/>
      <c r="S1493" s="247"/>
      <c r="T1493" s="245"/>
      <c r="U1493" s="245"/>
      <c r="V1493" s="241"/>
      <c r="W1493" s="241"/>
      <c r="X1493" s="241"/>
    </row>
    <row r="1494" spans="1:24" ht="13.5" customHeight="1" x14ac:dyDescent="0.3">
      <c r="A1494" s="245"/>
      <c r="B1494" s="246"/>
      <c r="C1494" s="245"/>
      <c r="D1494" s="245"/>
      <c r="E1494" s="245"/>
      <c r="F1494" s="245"/>
      <c r="G1494" s="245"/>
      <c r="H1494" s="245"/>
      <c r="I1494" s="245"/>
      <c r="J1494" s="245"/>
      <c r="K1494" s="245"/>
      <c r="L1494" s="246"/>
      <c r="M1494" s="245"/>
      <c r="N1494" s="245"/>
      <c r="O1494" s="245"/>
      <c r="P1494" s="245"/>
      <c r="Q1494" s="247"/>
      <c r="R1494" s="247"/>
      <c r="S1494" s="247"/>
      <c r="T1494" s="245"/>
      <c r="U1494" s="245"/>
      <c r="V1494" s="241"/>
      <c r="W1494" s="241"/>
      <c r="X1494" s="241"/>
    </row>
    <row r="1495" spans="1:24" ht="13.5" customHeight="1" x14ac:dyDescent="0.3">
      <c r="A1495" s="245"/>
      <c r="B1495" s="246"/>
      <c r="C1495" s="245"/>
      <c r="D1495" s="245"/>
      <c r="E1495" s="245"/>
      <c r="F1495" s="245"/>
      <c r="G1495" s="245"/>
      <c r="H1495" s="245"/>
      <c r="I1495" s="245"/>
      <c r="J1495" s="245"/>
      <c r="K1495" s="245"/>
      <c r="L1495" s="246"/>
      <c r="M1495" s="245"/>
      <c r="N1495" s="245"/>
      <c r="O1495" s="245"/>
      <c r="P1495" s="245"/>
      <c r="Q1495" s="247"/>
      <c r="R1495" s="247"/>
      <c r="S1495" s="247"/>
      <c r="T1495" s="245"/>
      <c r="U1495" s="245"/>
      <c r="V1495" s="241"/>
      <c r="W1495" s="241"/>
      <c r="X1495" s="241"/>
    </row>
    <row r="1496" spans="1:24" ht="13.5" customHeight="1" x14ac:dyDescent="0.3">
      <c r="A1496" s="245"/>
      <c r="B1496" s="246"/>
      <c r="C1496" s="245"/>
      <c r="D1496" s="245"/>
      <c r="E1496" s="245"/>
      <c r="F1496" s="245"/>
      <c r="G1496" s="245"/>
      <c r="H1496" s="245"/>
      <c r="I1496" s="245"/>
      <c r="J1496" s="245"/>
      <c r="K1496" s="245"/>
      <c r="L1496" s="246"/>
      <c r="M1496" s="245"/>
      <c r="N1496" s="245"/>
      <c r="O1496" s="245"/>
      <c r="P1496" s="245"/>
      <c r="Q1496" s="247"/>
      <c r="R1496" s="247"/>
      <c r="S1496" s="247"/>
      <c r="T1496" s="245"/>
      <c r="U1496" s="245"/>
      <c r="V1496" s="241"/>
      <c r="W1496" s="241"/>
      <c r="X1496" s="241"/>
    </row>
    <row r="1497" spans="1:24" ht="13.5" customHeight="1" x14ac:dyDescent="0.3">
      <c r="A1497" s="245"/>
      <c r="B1497" s="246"/>
      <c r="C1497" s="245"/>
      <c r="D1497" s="245"/>
      <c r="E1497" s="245"/>
      <c r="F1497" s="245"/>
      <c r="G1497" s="245"/>
      <c r="H1497" s="245"/>
      <c r="I1497" s="245"/>
      <c r="J1497" s="245"/>
      <c r="K1497" s="245"/>
      <c r="L1497" s="246"/>
      <c r="M1497" s="245"/>
      <c r="N1497" s="245"/>
      <c r="O1497" s="245"/>
      <c r="P1497" s="245"/>
      <c r="Q1497" s="247"/>
      <c r="R1497" s="247"/>
      <c r="S1497" s="247"/>
      <c r="T1497" s="245"/>
      <c r="U1497" s="245"/>
      <c r="V1497" s="241"/>
      <c r="W1497" s="241"/>
      <c r="X1497" s="241"/>
    </row>
    <row r="1498" spans="1:24" ht="13.5" customHeight="1" x14ac:dyDescent="0.3">
      <c r="A1498" s="245"/>
      <c r="B1498" s="246"/>
      <c r="C1498" s="245"/>
      <c r="D1498" s="245"/>
      <c r="E1498" s="245"/>
      <c r="F1498" s="245"/>
      <c r="G1498" s="245"/>
      <c r="H1498" s="245"/>
      <c r="I1498" s="245"/>
      <c r="J1498" s="245"/>
      <c r="K1498" s="245"/>
      <c r="L1498" s="246"/>
      <c r="M1498" s="245"/>
      <c r="N1498" s="245"/>
      <c r="O1498" s="245"/>
      <c r="P1498" s="245"/>
      <c r="Q1498" s="247"/>
      <c r="R1498" s="247"/>
      <c r="S1498" s="247"/>
      <c r="T1498" s="245"/>
      <c r="U1498" s="245"/>
      <c r="V1498" s="241"/>
      <c r="W1498" s="241"/>
      <c r="X1498" s="241"/>
    </row>
    <row r="1499" spans="1:24" ht="13.5" customHeight="1" x14ac:dyDescent="0.3">
      <c r="A1499" s="245"/>
      <c r="B1499" s="246"/>
      <c r="C1499" s="245"/>
      <c r="D1499" s="245"/>
      <c r="E1499" s="245"/>
      <c r="F1499" s="245"/>
      <c r="G1499" s="245"/>
      <c r="H1499" s="245"/>
      <c r="I1499" s="245"/>
      <c r="J1499" s="245"/>
      <c r="K1499" s="245"/>
      <c r="L1499" s="246"/>
      <c r="M1499" s="245"/>
      <c r="N1499" s="245"/>
      <c r="O1499" s="245"/>
      <c r="P1499" s="245"/>
      <c r="Q1499" s="247"/>
      <c r="R1499" s="247"/>
      <c r="S1499" s="247"/>
      <c r="T1499" s="245"/>
      <c r="U1499" s="245"/>
      <c r="V1499" s="241"/>
      <c r="W1499" s="241"/>
      <c r="X1499" s="241"/>
    </row>
    <row r="1500" spans="1:24" ht="13.5" customHeight="1" x14ac:dyDescent="0.3">
      <c r="A1500" s="245"/>
      <c r="B1500" s="246"/>
      <c r="C1500" s="245"/>
      <c r="D1500" s="245"/>
      <c r="E1500" s="245"/>
      <c r="F1500" s="245"/>
      <c r="G1500" s="245"/>
      <c r="H1500" s="245"/>
      <c r="I1500" s="245"/>
      <c r="J1500" s="245"/>
      <c r="K1500" s="245"/>
      <c r="L1500" s="246"/>
      <c r="M1500" s="245"/>
      <c r="N1500" s="245"/>
      <c r="O1500" s="245"/>
      <c r="P1500" s="245"/>
      <c r="Q1500" s="247"/>
      <c r="R1500" s="247"/>
      <c r="S1500" s="247"/>
      <c r="T1500" s="245"/>
      <c r="U1500" s="245"/>
      <c r="V1500" s="241"/>
      <c r="W1500" s="241"/>
      <c r="X1500" s="241"/>
    </row>
    <row r="1501" spans="1:24" ht="13.5" customHeight="1" x14ac:dyDescent="0.3">
      <c r="A1501" s="245"/>
      <c r="B1501" s="246"/>
      <c r="C1501" s="245"/>
      <c r="D1501" s="245"/>
      <c r="E1501" s="245"/>
      <c r="F1501" s="245"/>
      <c r="G1501" s="245"/>
      <c r="H1501" s="245"/>
      <c r="I1501" s="245"/>
      <c r="J1501" s="245"/>
      <c r="K1501" s="245"/>
      <c r="L1501" s="246"/>
      <c r="M1501" s="245"/>
      <c r="N1501" s="245"/>
      <c r="O1501" s="245"/>
      <c r="P1501" s="245"/>
      <c r="Q1501" s="247"/>
      <c r="R1501" s="247"/>
      <c r="S1501" s="247"/>
      <c r="T1501" s="245"/>
      <c r="U1501" s="245"/>
      <c r="V1501" s="241"/>
      <c r="W1501" s="241"/>
      <c r="X1501" s="241"/>
    </row>
    <row r="1502" spans="1:24" ht="13.5" customHeight="1" x14ac:dyDescent="0.3">
      <c r="A1502" s="245"/>
      <c r="B1502" s="246"/>
      <c r="C1502" s="245"/>
      <c r="D1502" s="245"/>
      <c r="E1502" s="245"/>
      <c r="F1502" s="245"/>
      <c r="G1502" s="245"/>
      <c r="H1502" s="245"/>
      <c r="I1502" s="245"/>
      <c r="J1502" s="245"/>
      <c r="K1502" s="245"/>
      <c r="L1502" s="246"/>
      <c r="M1502" s="245"/>
      <c r="N1502" s="245"/>
      <c r="O1502" s="245"/>
      <c r="P1502" s="245"/>
      <c r="Q1502" s="247"/>
      <c r="R1502" s="247"/>
      <c r="S1502" s="247"/>
      <c r="T1502" s="245"/>
      <c r="U1502" s="245"/>
      <c r="V1502" s="241"/>
      <c r="W1502" s="241"/>
      <c r="X1502" s="241"/>
    </row>
    <row r="1503" spans="1:24" ht="13.5" customHeight="1" x14ac:dyDescent="0.3">
      <c r="A1503" s="245"/>
      <c r="B1503" s="246"/>
      <c r="C1503" s="245"/>
      <c r="D1503" s="245"/>
      <c r="E1503" s="245"/>
      <c r="F1503" s="245"/>
      <c r="G1503" s="245"/>
      <c r="H1503" s="245"/>
      <c r="I1503" s="245"/>
      <c r="J1503" s="245"/>
      <c r="K1503" s="245"/>
      <c r="L1503" s="246"/>
      <c r="M1503" s="245"/>
      <c r="N1503" s="245"/>
      <c r="O1503" s="245"/>
      <c r="P1503" s="245"/>
      <c r="Q1503" s="247"/>
      <c r="R1503" s="247"/>
      <c r="S1503" s="247"/>
      <c r="T1503" s="245"/>
      <c r="U1503" s="245"/>
      <c r="V1503" s="241"/>
      <c r="W1503" s="241"/>
      <c r="X1503" s="241"/>
    </row>
    <row r="1504" spans="1:24" ht="13.5" customHeight="1" x14ac:dyDescent="0.3">
      <c r="A1504" s="245"/>
      <c r="B1504" s="246"/>
      <c r="C1504" s="245"/>
      <c r="D1504" s="245"/>
      <c r="E1504" s="245"/>
      <c r="F1504" s="245"/>
      <c r="G1504" s="245"/>
      <c r="H1504" s="245"/>
      <c r="I1504" s="245"/>
      <c r="J1504" s="245"/>
      <c r="K1504" s="245"/>
      <c r="L1504" s="246"/>
      <c r="M1504" s="245"/>
      <c r="N1504" s="245"/>
      <c r="O1504" s="245"/>
      <c r="P1504" s="245"/>
      <c r="Q1504" s="247"/>
      <c r="R1504" s="247"/>
      <c r="S1504" s="247"/>
      <c r="T1504" s="245"/>
      <c r="U1504" s="245"/>
      <c r="V1504" s="241"/>
      <c r="W1504" s="241"/>
      <c r="X1504" s="241"/>
    </row>
    <row r="1505" spans="1:24" ht="13.5" customHeight="1" x14ac:dyDescent="0.3">
      <c r="A1505" s="245"/>
      <c r="B1505" s="246"/>
      <c r="C1505" s="245"/>
      <c r="D1505" s="245"/>
      <c r="E1505" s="245"/>
      <c r="F1505" s="245"/>
      <c r="G1505" s="245"/>
      <c r="H1505" s="245"/>
      <c r="I1505" s="245"/>
      <c r="J1505" s="245"/>
      <c r="K1505" s="245"/>
      <c r="L1505" s="246"/>
      <c r="M1505" s="245"/>
      <c r="N1505" s="245"/>
      <c r="O1505" s="245"/>
      <c r="P1505" s="245"/>
      <c r="Q1505" s="247"/>
      <c r="R1505" s="247"/>
      <c r="S1505" s="247"/>
      <c r="T1505" s="245"/>
      <c r="U1505" s="245"/>
      <c r="V1505" s="241"/>
      <c r="W1505" s="241"/>
      <c r="X1505" s="241"/>
    </row>
    <row r="1506" spans="1:24" ht="13.5" customHeight="1" x14ac:dyDescent="0.3">
      <c r="A1506" s="245"/>
      <c r="B1506" s="246"/>
      <c r="C1506" s="245"/>
      <c r="D1506" s="245"/>
      <c r="E1506" s="245"/>
      <c r="F1506" s="245"/>
      <c r="G1506" s="245"/>
      <c r="H1506" s="245"/>
      <c r="I1506" s="245"/>
      <c r="J1506" s="245"/>
      <c r="K1506" s="245"/>
      <c r="L1506" s="246"/>
      <c r="M1506" s="245"/>
      <c r="N1506" s="245"/>
      <c r="O1506" s="245"/>
      <c r="P1506" s="245"/>
      <c r="Q1506" s="247"/>
      <c r="R1506" s="247"/>
      <c r="S1506" s="247"/>
      <c r="T1506" s="245"/>
      <c r="U1506" s="245"/>
      <c r="V1506" s="241"/>
      <c r="W1506" s="241"/>
      <c r="X1506" s="241"/>
    </row>
    <row r="1507" spans="1:24" ht="13.5" customHeight="1" x14ac:dyDescent="0.3">
      <c r="A1507" s="245"/>
      <c r="B1507" s="246"/>
      <c r="C1507" s="245"/>
      <c r="D1507" s="245"/>
      <c r="E1507" s="245"/>
      <c r="F1507" s="245"/>
      <c r="G1507" s="245"/>
      <c r="H1507" s="245"/>
      <c r="I1507" s="245"/>
      <c r="J1507" s="245"/>
      <c r="K1507" s="245"/>
      <c r="L1507" s="246"/>
      <c r="M1507" s="245"/>
      <c r="N1507" s="245"/>
      <c r="O1507" s="245"/>
      <c r="P1507" s="245"/>
      <c r="Q1507" s="247"/>
      <c r="R1507" s="247"/>
      <c r="S1507" s="247"/>
      <c r="T1507" s="245"/>
      <c r="U1507" s="245"/>
      <c r="V1507" s="241"/>
      <c r="W1507" s="241"/>
      <c r="X1507" s="241"/>
    </row>
    <row r="1508" spans="1:24" ht="13.5" customHeight="1" x14ac:dyDescent="0.3">
      <c r="A1508" s="245"/>
      <c r="B1508" s="246"/>
      <c r="C1508" s="245"/>
      <c r="D1508" s="245"/>
      <c r="E1508" s="245"/>
      <c r="F1508" s="245"/>
      <c r="G1508" s="245"/>
      <c r="H1508" s="245"/>
      <c r="I1508" s="245"/>
      <c r="J1508" s="245"/>
      <c r="K1508" s="245"/>
      <c r="L1508" s="246"/>
      <c r="M1508" s="245"/>
      <c r="N1508" s="245"/>
      <c r="O1508" s="245"/>
      <c r="P1508" s="245"/>
      <c r="Q1508" s="247"/>
      <c r="R1508" s="247"/>
      <c r="S1508" s="247"/>
      <c r="T1508" s="245"/>
      <c r="U1508" s="245"/>
      <c r="V1508" s="241"/>
      <c r="W1508" s="241"/>
      <c r="X1508" s="241"/>
    </row>
    <row r="1509" spans="1:24" ht="13.5" customHeight="1" x14ac:dyDescent="0.3">
      <c r="A1509" s="245"/>
      <c r="B1509" s="246"/>
      <c r="C1509" s="245"/>
      <c r="D1509" s="245"/>
      <c r="E1509" s="245"/>
      <c r="F1509" s="245"/>
      <c r="G1509" s="245"/>
      <c r="H1509" s="245"/>
      <c r="I1509" s="245"/>
      <c r="J1509" s="245"/>
      <c r="K1509" s="245"/>
      <c r="L1509" s="246"/>
      <c r="M1509" s="245"/>
      <c r="N1509" s="245"/>
      <c r="O1509" s="245"/>
      <c r="P1509" s="245"/>
      <c r="Q1509" s="247"/>
      <c r="R1509" s="247"/>
      <c r="S1509" s="247"/>
      <c r="T1509" s="245"/>
      <c r="U1509" s="245"/>
      <c r="V1509" s="241"/>
      <c r="W1509" s="241"/>
      <c r="X1509" s="241"/>
    </row>
    <row r="1510" spans="1:24" ht="13.5" customHeight="1" x14ac:dyDescent="0.3">
      <c r="A1510" s="245"/>
      <c r="B1510" s="246"/>
      <c r="C1510" s="245"/>
      <c r="D1510" s="245"/>
      <c r="E1510" s="245"/>
      <c r="F1510" s="245"/>
      <c r="G1510" s="245"/>
      <c r="H1510" s="245"/>
      <c r="I1510" s="245"/>
      <c r="J1510" s="245"/>
      <c r="K1510" s="245"/>
      <c r="L1510" s="246"/>
      <c r="M1510" s="245"/>
      <c r="N1510" s="245"/>
      <c r="O1510" s="245"/>
      <c r="P1510" s="245"/>
      <c r="Q1510" s="247"/>
      <c r="R1510" s="247"/>
      <c r="S1510" s="247"/>
      <c r="T1510" s="245"/>
      <c r="U1510" s="245"/>
      <c r="V1510" s="241"/>
      <c r="W1510" s="241"/>
      <c r="X1510" s="241"/>
    </row>
    <row r="1511" spans="1:24" ht="13.5" customHeight="1" x14ac:dyDescent="0.3">
      <c r="A1511" s="245"/>
      <c r="B1511" s="246"/>
      <c r="C1511" s="245"/>
      <c r="D1511" s="245"/>
      <c r="E1511" s="245"/>
      <c r="F1511" s="245"/>
      <c r="G1511" s="245"/>
      <c r="H1511" s="245"/>
      <c r="I1511" s="245"/>
      <c r="J1511" s="245"/>
      <c r="K1511" s="245"/>
      <c r="L1511" s="246"/>
      <c r="M1511" s="245"/>
      <c r="N1511" s="245"/>
      <c r="O1511" s="245"/>
      <c r="P1511" s="245"/>
      <c r="Q1511" s="247"/>
      <c r="R1511" s="247"/>
      <c r="S1511" s="247"/>
      <c r="T1511" s="245"/>
      <c r="U1511" s="245"/>
      <c r="V1511" s="241"/>
      <c r="W1511" s="241"/>
      <c r="X1511" s="241"/>
    </row>
    <row r="1512" spans="1:24" ht="13.5" customHeight="1" x14ac:dyDescent="0.3">
      <c r="A1512" s="245"/>
      <c r="B1512" s="246"/>
      <c r="C1512" s="245"/>
      <c r="D1512" s="245"/>
      <c r="E1512" s="245"/>
      <c r="F1512" s="245"/>
      <c r="G1512" s="245"/>
      <c r="H1512" s="245"/>
      <c r="I1512" s="245"/>
      <c r="J1512" s="245"/>
      <c r="K1512" s="245"/>
      <c r="L1512" s="246"/>
      <c r="M1512" s="245"/>
      <c r="N1512" s="245"/>
      <c r="O1512" s="245"/>
      <c r="P1512" s="245"/>
      <c r="Q1512" s="247"/>
      <c r="R1512" s="247"/>
      <c r="S1512" s="247"/>
      <c r="T1512" s="245"/>
      <c r="U1512" s="245"/>
      <c r="V1512" s="241"/>
      <c r="W1512" s="241"/>
      <c r="X1512" s="241"/>
    </row>
    <row r="1513" spans="1:24" ht="13.5" customHeight="1" x14ac:dyDescent="0.3">
      <c r="A1513" s="245"/>
      <c r="B1513" s="246"/>
      <c r="C1513" s="245"/>
      <c r="D1513" s="245"/>
      <c r="E1513" s="245"/>
      <c r="F1513" s="245"/>
      <c r="G1513" s="245"/>
      <c r="H1513" s="245"/>
      <c r="I1513" s="245"/>
      <c r="J1513" s="245"/>
      <c r="K1513" s="245"/>
      <c r="L1513" s="246"/>
      <c r="M1513" s="245"/>
      <c r="N1513" s="245"/>
      <c r="O1513" s="245"/>
      <c r="P1513" s="245"/>
      <c r="Q1513" s="247"/>
      <c r="R1513" s="247"/>
      <c r="S1513" s="247"/>
      <c r="T1513" s="245"/>
      <c r="U1513" s="245"/>
      <c r="V1513" s="241"/>
      <c r="W1513" s="241"/>
      <c r="X1513" s="241"/>
    </row>
    <row r="1514" spans="1:24" ht="13.5" customHeight="1" x14ac:dyDescent="0.3">
      <c r="A1514" s="245"/>
      <c r="B1514" s="246"/>
      <c r="C1514" s="245"/>
      <c r="D1514" s="245"/>
      <c r="E1514" s="245"/>
      <c r="F1514" s="245"/>
      <c r="G1514" s="245"/>
      <c r="H1514" s="245"/>
      <c r="I1514" s="245"/>
      <c r="J1514" s="245"/>
      <c r="K1514" s="245"/>
      <c r="L1514" s="246"/>
      <c r="M1514" s="245"/>
      <c r="N1514" s="245"/>
      <c r="O1514" s="245"/>
      <c r="P1514" s="245"/>
      <c r="Q1514" s="247"/>
      <c r="R1514" s="247"/>
      <c r="S1514" s="247"/>
      <c r="T1514" s="245"/>
      <c r="U1514" s="245"/>
      <c r="V1514" s="241"/>
      <c r="W1514" s="241"/>
      <c r="X1514" s="241"/>
    </row>
    <row r="1515" spans="1:24" ht="13.5" customHeight="1" x14ac:dyDescent="0.3">
      <c r="A1515" s="245"/>
      <c r="B1515" s="246"/>
      <c r="C1515" s="245"/>
      <c r="D1515" s="245"/>
      <c r="E1515" s="245"/>
      <c r="F1515" s="245"/>
      <c r="G1515" s="245"/>
      <c r="H1515" s="245"/>
      <c r="I1515" s="245"/>
      <c r="J1515" s="245"/>
      <c r="K1515" s="245"/>
      <c r="L1515" s="246"/>
      <c r="M1515" s="245"/>
      <c r="N1515" s="245"/>
      <c r="O1515" s="245"/>
      <c r="P1515" s="245"/>
      <c r="Q1515" s="247"/>
      <c r="R1515" s="247"/>
      <c r="S1515" s="247"/>
      <c r="T1515" s="245"/>
      <c r="U1515" s="245"/>
      <c r="V1515" s="241"/>
      <c r="W1515" s="241"/>
      <c r="X1515" s="241"/>
    </row>
    <row r="1516" spans="1:24" ht="13.5" customHeight="1" x14ac:dyDescent="0.3">
      <c r="A1516" s="245"/>
      <c r="B1516" s="246"/>
      <c r="C1516" s="245"/>
      <c r="D1516" s="245"/>
      <c r="E1516" s="245"/>
      <c r="F1516" s="245"/>
      <c r="G1516" s="245"/>
      <c r="H1516" s="245"/>
      <c r="I1516" s="245"/>
      <c r="J1516" s="245"/>
      <c r="K1516" s="245"/>
      <c r="L1516" s="246"/>
      <c r="M1516" s="245"/>
      <c r="N1516" s="245"/>
      <c r="O1516" s="245"/>
      <c r="P1516" s="245"/>
      <c r="Q1516" s="247"/>
      <c r="R1516" s="247"/>
      <c r="S1516" s="247"/>
      <c r="T1516" s="245"/>
      <c r="U1516" s="245"/>
      <c r="V1516" s="241"/>
      <c r="W1516" s="241"/>
      <c r="X1516" s="241"/>
    </row>
    <row r="1517" spans="1:24" ht="13.5" customHeight="1" x14ac:dyDescent="0.3">
      <c r="A1517" s="245"/>
      <c r="B1517" s="246"/>
      <c r="C1517" s="245"/>
      <c r="D1517" s="245"/>
      <c r="E1517" s="245"/>
      <c r="F1517" s="245"/>
      <c r="G1517" s="245"/>
      <c r="H1517" s="245"/>
      <c r="I1517" s="245"/>
      <c r="J1517" s="245"/>
      <c r="K1517" s="245"/>
      <c r="L1517" s="246"/>
      <c r="M1517" s="245"/>
      <c r="N1517" s="245"/>
      <c r="O1517" s="245"/>
      <c r="P1517" s="245"/>
      <c r="Q1517" s="247"/>
      <c r="R1517" s="247"/>
      <c r="S1517" s="247"/>
      <c r="T1517" s="245"/>
      <c r="U1517" s="245"/>
      <c r="V1517" s="241"/>
      <c r="W1517" s="241"/>
      <c r="X1517" s="241"/>
    </row>
    <row r="1518" spans="1:24" ht="13.5" customHeight="1" x14ac:dyDescent="0.3">
      <c r="A1518" s="245"/>
      <c r="B1518" s="246"/>
      <c r="C1518" s="245"/>
      <c r="D1518" s="245"/>
      <c r="E1518" s="245"/>
      <c r="F1518" s="245"/>
      <c r="G1518" s="245"/>
      <c r="H1518" s="245"/>
      <c r="I1518" s="245"/>
      <c r="J1518" s="245"/>
      <c r="K1518" s="245"/>
      <c r="L1518" s="246"/>
      <c r="M1518" s="245"/>
      <c r="N1518" s="245"/>
      <c r="O1518" s="245"/>
      <c r="P1518" s="245"/>
      <c r="Q1518" s="247"/>
      <c r="R1518" s="247"/>
      <c r="S1518" s="247"/>
      <c r="T1518" s="245"/>
      <c r="U1518" s="245"/>
      <c r="V1518" s="241"/>
      <c r="W1518" s="241"/>
      <c r="X1518" s="241"/>
    </row>
    <row r="1519" spans="1:24" ht="13.5" customHeight="1" x14ac:dyDescent="0.3">
      <c r="A1519" s="245"/>
      <c r="B1519" s="246"/>
      <c r="C1519" s="245"/>
      <c r="D1519" s="245"/>
      <c r="E1519" s="245"/>
      <c r="F1519" s="245"/>
      <c r="G1519" s="245"/>
      <c r="H1519" s="245"/>
      <c r="I1519" s="245"/>
      <c r="J1519" s="245"/>
      <c r="K1519" s="245"/>
      <c r="L1519" s="246"/>
      <c r="M1519" s="245"/>
      <c r="N1519" s="245"/>
      <c r="O1519" s="245"/>
      <c r="P1519" s="245"/>
      <c r="Q1519" s="247"/>
      <c r="R1519" s="247"/>
      <c r="S1519" s="247"/>
      <c r="T1519" s="245"/>
      <c r="U1519" s="245"/>
      <c r="V1519" s="241"/>
      <c r="W1519" s="241"/>
      <c r="X1519" s="241"/>
    </row>
    <row r="1520" spans="1:24" ht="13.5" customHeight="1" x14ac:dyDescent="0.3">
      <c r="A1520" s="245"/>
      <c r="B1520" s="246"/>
      <c r="C1520" s="245"/>
      <c r="D1520" s="245"/>
      <c r="E1520" s="245"/>
      <c r="F1520" s="245"/>
      <c r="G1520" s="245"/>
      <c r="H1520" s="245"/>
      <c r="I1520" s="245"/>
      <c r="J1520" s="245"/>
      <c r="K1520" s="245"/>
      <c r="L1520" s="246"/>
      <c r="M1520" s="245"/>
      <c r="N1520" s="245"/>
      <c r="O1520" s="245"/>
      <c r="P1520" s="245"/>
      <c r="Q1520" s="247"/>
      <c r="R1520" s="247"/>
      <c r="S1520" s="247"/>
      <c r="T1520" s="245"/>
      <c r="U1520" s="245"/>
      <c r="V1520" s="241"/>
      <c r="W1520" s="241"/>
      <c r="X1520" s="241"/>
    </row>
    <row r="1521" spans="1:24" ht="13.5" customHeight="1" x14ac:dyDescent="0.3">
      <c r="A1521" s="245"/>
      <c r="B1521" s="246"/>
      <c r="C1521" s="245"/>
      <c r="D1521" s="245"/>
      <c r="E1521" s="245"/>
      <c r="F1521" s="245"/>
      <c r="G1521" s="245"/>
      <c r="H1521" s="245"/>
      <c r="I1521" s="245"/>
      <c r="J1521" s="245"/>
      <c r="K1521" s="245"/>
      <c r="L1521" s="246"/>
      <c r="M1521" s="245"/>
      <c r="N1521" s="245"/>
      <c r="O1521" s="245"/>
      <c r="P1521" s="245"/>
      <c r="Q1521" s="247"/>
      <c r="R1521" s="247"/>
      <c r="S1521" s="247"/>
      <c r="T1521" s="245"/>
      <c r="U1521" s="245"/>
      <c r="V1521" s="241"/>
      <c r="W1521" s="241"/>
      <c r="X1521" s="241"/>
    </row>
    <row r="1522" spans="1:24" ht="13.5" customHeight="1" x14ac:dyDescent="0.3">
      <c r="A1522" s="245"/>
      <c r="B1522" s="246"/>
      <c r="C1522" s="245"/>
      <c r="D1522" s="245"/>
      <c r="E1522" s="245"/>
      <c r="F1522" s="245"/>
      <c r="G1522" s="245"/>
      <c r="H1522" s="245"/>
      <c r="I1522" s="245"/>
      <c r="J1522" s="245"/>
      <c r="K1522" s="245"/>
      <c r="L1522" s="246"/>
      <c r="M1522" s="245"/>
      <c r="N1522" s="245"/>
      <c r="O1522" s="245"/>
      <c r="P1522" s="245"/>
      <c r="Q1522" s="247"/>
      <c r="R1522" s="247"/>
      <c r="S1522" s="247"/>
      <c r="T1522" s="245"/>
      <c r="U1522" s="245"/>
      <c r="V1522" s="241"/>
      <c r="W1522" s="241"/>
      <c r="X1522" s="241"/>
    </row>
    <row r="1523" spans="1:24" ht="13.5" customHeight="1" x14ac:dyDescent="0.3">
      <c r="A1523" s="245"/>
      <c r="B1523" s="246"/>
      <c r="C1523" s="245"/>
      <c r="D1523" s="245"/>
      <c r="E1523" s="245"/>
      <c r="F1523" s="245"/>
      <c r="G1523" s="245"/>
      <c r="H1523" s="245"/>
      <c r="I1523" s="245"/>
      <c r="J1523" s="245"/>
      <c r="K1523" s="245"/>
      <c r="L1523" s="246"/>
      <c r="M1523" s="245"/>
      <c r="N1523" s="245"/>
      <c r="O1523" s="245"/>
      <c r="P1523" s="245"/>
      <c r="Q1523" s="247"/>
      <c r="R1523" s="247"/>
      <c r="S1523" s="247"/>
      <c r="T1523" s="245"/>
      <c r="U1523" s="245"/>
      <c r="V1523" s="241"/>
      <c r="W1523" s="241"/>
      <c r="X1523" s="241"/>
    </row>
    <row r="1524" spans="1:24" ht="13.5" customHeight="1" x14ac:dyDescent="0.3">
      <c r="A1524" s="245"/>
      <c r="B1524" s="246"/>
      <c r="C1524" s="245"/>
      <c r="D1524" s="245"/>
      <c r="E1524" s="245"/>
      <c r="F1524" s="245"/>
      <c r="G1524" s="245"/>
      <c r="H1524" s="245"/>
      <c r="I1524" s="245"/>
      <c r="J1524" s="245"/>
      <c r="K1524" s="245"/>
      <c r="L1524" s="246"/>
      <c r="M1524" s="245"/>
      <c r="N1524" s="245"/>
      <c r="O1524" s="245"/>
      <c r="P1524" s="245"/>
      <c r="Q1524" s="247"/>
      <c r="R1524" s="247"/>
      <c r="S1524" s="247"/>
      <c r="T1524" s="245"/>
      <c r="U1524" s="245"/>
      <c r="V1524" s="241"/>
      <c r="W1524" s="241"/>
      <c r="X1524" s="241"/>
    </row>
    <row r="1525" spans="1:24" ht="13.5" customHeight="1" x14ac:dyDescent="0.3">
      <c r="A1525" s="245"/>
      <c r="B1525" s="246"/>
      <c r="C1525" s="245"/>
      <c r="D1525" s="245"/>
      <c r="E1525" s="245"/>
      <c r="F1525" s="245"/>
      <c r="G1525" s="245"/>
      <c r="H1525" s="245"/>
      <c r="I1525" s="245"/>
      <c r="J1525" s="245"/>
      <c r="K1525" s="245"/>
      <c r="L1525" s="246"/>
      <c r="M1525" s="245"/>
      <c r="N1525" s="245"/>
      <c r="O1525" s="245"/>
      <c r="P1525" s="245"/>
      <c r="Q1525" s="247"/>
      <c r="R1525" s="247"/>
      <c r="S1525" s="247"/>
      <c r="T1525" s="245"/>
      <c r="U1525" s="245"/>
      <c r="V1525" s="241"/>
      <c r="W1525" s="241"/>
      <c r="X1525" s="241"/>
    </row>
    <row r="1526" spans="1:24" ht="13.5" customHeight="1" x14ac:dyDescent="0.3">
      <c r="A1526" s="245"/>
      <c r="B1526" s="246"/>
      <c r="C1526" s="245"/>
      <c r="D1526" s="245"/>
      <c r="E1526" s="245"/>
      <c r="F1526" s="245"/>
      <c r="G1526" s="245"/>
      <c r="H1526" s="245"/>
      <c r="I1526" s="245"/>
      <c r="J1526" s="245"/>
      <c r="K1526" s="245"/>
      <c r="L1526" s="246"/>
      <c r="M1526" s="245"/>
      <c r="N1526" s="245"/>
      <c r="O1526" s="245"/>
      <c r="P1526" s="245"/>
      <c r="Q1526" s="247"/>
      <c r="R1526" s="247"/>
      <c r="S1526" s="247"/>
      <c r="T1526" s="245"/>
      <c r="U1526" s="245"/>
      <c r="V1526" s="241"/>
      <c r="W1526" s="241"/>
      <c r="X1526" s="241"/>
    </row>
    <row r="1527" spans="1:24" ht="13.5" customHeight="1" x14ac:dyDescent="0.3">
      <c r="A1527" s="245"/>
      <c r="B1527" s="246"/>
      <c r="C1527" s="245"/>
      <c r="D1527" s="245"/>
      <c r="E1527" s="245"/>
      <c r="F1527" s="245"/>
      <c r="G1527" s="245"/>
      <c r="H1527" s="245"/>
      <c r="I1527" s="245"/>
      <c r="J1527" s="245"/>
      <c r="K1527" s="245"/>
      <c r="L1527" s="246"/>
      <c r="M1527" s="245"/>
      <c r="N1527" s="245"/>
      <c r="O1527" s="245"/>
      <c r="P1527" s="245"/>
      <c r="Q1527" s="247"/>
      <c r="R1527" s="247"/>
      <c r="S1527" s="247"/>
      <c r="T1527" s="245"/>
      <c r="U1527" s="245"/>
      <c r="V1527" s="241"/>
      <c r="W1527" s="241"/>
      <c r="X1527" s="241"/>
    </row>
    <row r="1528" spans="1:24" ht="13.5" customHeight="1" x14ac:dyDescent="0.3">
      <c r="A1528" s="245"/>
      <c r="B1528" s="246"/>
      <c r="C1528" s="245"/>
      <c r="D1528" s="245"/>
      <c r="E1528" s="245"/>
      <c r="F1528" s="245"/>
      <c r="G1528" s="245"/>
      <c r="H1528" s="245"/>
      <c r="I1528" s="245"/>
      <c r="J1528" s="245"/>
      <c r="K1528" s="245"/>
      <c r="L1528" s="246"/>
      <c r="M1528" s="245"/>
      <c r="N1528" s="245"/>
      <c r="O1528" s="245"/>
      <c r="P1528" s="245"/>
      <c r="Q1528" s="247"/>
      <c r="R1528" s="247"/>
      <c r="S1528" s="247"/>
      <c r="T1528" s="245"/>
      <c r="U1528" s="245"/>
      <c r="V1528" s="241"/>
      <c r="W1528" s="241"/>
      <c r="X1528" s="241"/>
    </row>
    <row r="1529" spans="1:24" ht="13.5" customHeight="1" x14ac:dyDescent="0.3">
      <c r="A1529" s="245"/>
      <c r="B1529" s="246"/>
      <c r="C1529" s="245"/>
      <c r="D1529" s="245"/>
      <c r="E1529" s="245"/>
      <c r="F1529" s="245"/>
      <c r="G1529" s="245"/>
      <c r="H1529" s="245"/>
      <c r="I1529" s="245"/>
      <c r="J1529" s="245"/>
      <c r="K1529" s="245"/>
      <c r="L1529" s="246"/>
      <c r="M1529" s="245"/>
      <c r="N1529" s="245"/>
      <c r="O1529" s="245"/>
      <c r="P1529" s="245"/>
      <c r="Q1529" s="247"/>
      <c r="R1529" s="247"/>
      <c r="S1529" s="247"/>
      <c r="T1529" s="245"/>
      <c r="U1529" s="245"/>
      <c r="V1529" s="241"/>
      <c r="W1529" s="241"/>
      <c r="X1529" s="241"/>
    </row>
    <row r="1530" spans="1:24" ht="13.5" customHeight="1" x14ac:dyDescent="0.3">
      <c r="A1530" s="245"/>
      <c r="B1530" s="246"/>
      <c r="C1530" s="245"/>
      <c r="D1530" s="245"/>
      <c r="E1530" s="245"/>
      <c r="F1530" s="245"/>
      <c r="G1530" s="245"/>
      <c r="H1530" s="245"/>
      <c r="I1530" s="245"/>
      <c r="J1530" s="245"/>
      <c r="K1530" s="245"/>
      <c r="L1530" s="246"/>
      <c r="M1530" s="245"/>
      <c r="N1530" s="245"/>
      <c r="O1530" s="245"/>
      <c r="P1530" s="245"/>
      <c r="Q1530" s="247"/>
      <c r="R1530" s="247"/>
      <c r="S1530" s="247"/>
      <c r="T1530" s="245"/>
      <c r="U1530" s="245"/>
      <c r="V1530" s="241"/>
      <c r="W1530" s="241"/>
      <c r="X1530" s="241"/>
    </row>
    <row r="1531" spans="1:24" ht="13.5" customHeight="1" x14ac:dyDescent="0.3">
      <c r="A1531" s="245"/>
      <c r="B1531" s="246"/>
      <c r="C1531" s="245"/>
      <c r="D1531" s="245"/>
      <c r="E1531" s="245"/>
      <c r="F1531" s="245"/>
      <c r="G1531" s="245"/>
      <c r="H1531" s="245"/>
      <c r="I1531" s="245"/>
      <c r="J1531" s="245"/>
      <c r="K1531" s="245"/>
      <c r="L1531" s="246"/>
      <c r="M1531" s="245"/>
      <c r="N1531" s="245"/>
      <c r="O1531" s="245"/>
      <c r="P1531" s="245"/>
      <c r="Q1531" s="247"/>
      <c r="R1531" s="247"/>
      <c r="S1531" s="247"/>
      <c r="T1531" s="245"/>
      <c r="U1531" s="245"/>
      <c r="V1531" s="241"/>
      <c r="W1531" s="241"/>
      <c r="X1531" s="241"/>
    </row>
    <row r="1532" spans="1:24" ht="13.5" customHeight="1" x14ac:dyDescent="0.3">
      <c r="A1532" s="245"/>
      <c r="B1532" s="246"/>
      <c r="C1532" s="245"/>
      <c r="D1532" s="245"/>
      <c r="E1532" s="245"/>
      <c r="F1532" s="245"/>
      <c r="G1532" s="245"/>
      <c r="H1532" s="245"/>
      <c r="I1532" s="245"/>
      <c r="J1532" s="245"/>
      <c r="K1532" s="245"/>
      <c r="L1532" s="246"/>
      <c r="M1532" s="245"/>
      <c r="N1532" s="245"/>
      <c r="O1532" s="245"/>
      <c r="P1532" s="245"/>
      <c r="Q1532" s="247"/>
      <c r="R1532" s="247"/>
      <c r="S1532" s="247"/>
      <c r="T1532" s="245"/>
      <c r="U1532" s="245"/>
      <c r="V1532" s="241"/>
      <c r="W1532" s="241"/>
      <c r="X1532" s="241"/>
    </row>
    <row r="1533" spans="1:24" ht="13.5" customHeight="1" x14ac:dyDescent="0.3">
      <c r="A1533" s="245"/>
      <c r="B1533" s="246"/>
      <c r="C1533" s="245"/>
      <c r="D1533" s="245"/>
      <c r="E1533" s="245"/>
      <c r="F1533" s="245"/>
      <c r="G1533" s="245"/>
      <c r="H1533" s="245"/>
      <c r="I1533" s="245"/>
      <c r="J1533" s="245"/>
      <c r="K1533" s="245"/>
      <c r="L1533" s="246"/>
      <c r="M1533" s="245"/>
      <c r="N1533" s="245"/>
      <c r="O1533" s="245"/>
      <c r="P1533" s="245"/>
      <c r="Q1533" s="247"/>
      <c r="R1533" s="247"/>
      <c r="S1533" s="247"/>
      <c r="T1533" s="245"/>
      <c r="U1533" s="245"/>
      <c r="V1533" s="241"/>
      <c r="W1533" s="241"/>
      <c r="X1533" s="241"/>
    </row>
    <row r="1534" spans="1:24" ht="13.5" customHeight="1" x14ac:dyDescent="0.3">
      <c r="A1534" s="245"/>
      <c r="B1534" s="246"/>
      <c r="C1534" s="245"/>
      <c r="D1534" s="245"/>
      <c r="E1534" s="245"/>
      <c r="F1534" s="245"/>
      <c r="G1534" s="245"/>
      <c r="H1534" s="245"/>
      <c r="I1534" s="245"/>
      <c r="J1534" s="245"/>
      <c r="K1534" s="245"/>
      <c r="L1534" s="246"/>
      <c r="M1534" s="245"/>
      <c r="N1534" s="245"/>
      <c r="O1534" s="245"/>
      <c r="P1534" s="245"/>
      <c r="Q1534" s="247"/>
      <c r="R1534" s="247"/>
      <c r="S1534" s="247"/>
      <c r="T1534" s="245"/>
      <c r="U1534" s="245"/>
      <c r="V1534" s="241"/>
      <c r="W1534" s="241"/>
      <c r="X1534" s="241"/>
    </row>
    <row r="1535" spans="1:24" ht="13.5" customHeight="1" x14ac:dyDescent="0.3">
      <c r="A1535" s="245"/>
      <c r="B1535" s="246"/>
      <c r="C1535" s="245"/>
      <c r="D1535" s="245"/>
      <c r="E1535" s="245"/>
      <c r="F1535" s="245"/>
      <c r="G1535" s="245"/>
      <c r="H1535" s="245"/>
      <c r="I1535" s="245"/>
      <c r="J1535" s="245"/>
      <c r="K1535" s="245"/>
      <c r="L1535" s="246"/>
      <c r="M1535" s="245"/>
      <c r="N1535" s="245"/>
      <c r="O1535" s="245"/>
      <c r="P1535" s="245"/>
      <c r="Q1535" s="247"/>
      <c r="R1535" s="247"/>
      <c r="S1535" s="247"/>
      <c r="T1535" s="245"/>
      <c r="U1535" s="245"/>
      <c r="V1535" s="241"/>
      <c r="W1535" s="241"/>
      <c r="X1535" s="241"/>
    </row>
    <row r="1536" spans="1:24" ht="13.5" customHeight="1" x14ac:dyDescent="0.3">
      <c r="A1536" s="245"/>
      <c r="B1536" s="246"/>
      <c r="C1536" s="245"/>
      <c r="D1536" s="245"/>
      <c r="E1536" s="245"/>
      <c r="F1536" s="245"/>
      <c r="G1536" s="245"/>
      <c r="H1536" s="245"/>
      <c r="I1536" s="245"/>
      <c r="J1536" s="245"/>
      <c r="K1536" s="245"/>
      <c r="L1536" s="246"/>
      <c r="M1536" s="245"/>
      <c r="N1536" s="245"/>
      <c r="O1536" s="245"/>
      <c r="P1536" s="245"/>
      <c r="Q1536" s="247"/>
      <c r="R1536" s="247"/>
      <c r="S1536" s="247"/>
      <c r="T1536" s="245"/>
      <c r="U1536" s="245"/>
      <c r="V1536" s="241"/>
      <c r="W1536" s="241"/>
      <c r="X1536" s="241"/>
    </row>
    <row r="1537" spans="1:24" ht="13.5" customHeight="1" x14ac:dyDescent="0.3">
      <c r="A1537" s="245"/>
      <c r="B1537" s="246"/>
      <c r="C1537" s="245"/>
      <c r="D1537" s="245"/>
      <c r="E1537" s="245"/>
      <c r="F1537" s="245"/>
      <c r="G1537" s="245"/>
      <c r="H1537" s="245"/>
      <c r="I1537" s="245"/>
      <c r="J1537" s="245"/>
      <c r="K1537" s="245"/>
      <c r="L1537" s="246"/>
      <c r="M1537" s="245"/>
      <c r="N1537" s="245"/>
      <c r="O1537" s="245"/>
      <c r="P1537" s="245"/>
      <c r="Q1537" s="247"/>
      <c r="R1537" s="247"/>
      <c r="S1537" s="247"/>
      <c r="T1537" s="245"/>
      <c r="U1537" s="245"/>
      <c r="V1537" s="241"/>
      <c r="W1537" s="241"/>
      <c r="X1537" s="241"/>
    </row>
    <row r="1538" spans="1:24" ht="13.5" customHeight="1" x14ac:dyDescent="0.3">
      <c r="A1538" s="245"/>
      <c r="B1538" s="246"/>
      <c r="C1538" s="245"/>
      <c r="D1538" s="245"/>
      <c r="E1538" s="245"/>
      <c r="F1538" s="245"/>
      <c r="G1538" s="245"/>
      <c r="H1538" s="245"/>
      <c r="I1538" s="245"/>
      <c r="J1538" s="245"/>
      <c r="K1538" s="245"/>
      <c r="L1538" s="246"/>
      <c r="M1538" s="245"/>
      <c r="N1538" s="245"/>
      <c r="O1538" s="245"/>
      <c r="P1538" s="245"/>
      <c r="Q1538" s="247"/>
      <c r="R1538" s="247"/>
      <c r="S1538" s="247"/>
      <c r="T1538" s="245"/>
      <c r="U1538" s="245"/>
      <c r="V1538" s="241"/>
      <c r="W1538" s="241"/>
      <c r="X1538" s="241"/>
    </row>
    <row r="1539" spans="1:24" ht="13.5" customHeight="1" x14ac:dyDescent="0.3">
      <c r="A1539" s="245"/>
      <c r="B1539" s="246"/>
      <c r="C1539" s="245"/>
      <c r="D1539" s="245"/>
      <c r="E1539" s="245"/>
      <c r="F1539" s="245"/>
      <c r="G1539" s="245"/>
      <c r="H1539" s="245"/>
      <c r="I1539" s="245"/>
      <c r="J1539" s="245"/>
      <c r="K1539" s="245"/>
      <c r="L1539" s="246"/>
      <c r="M1539" s="245"/>
      <c r="N1539" s="245"/>
      <c r="O1539" s="245"/>
      <c r="P1539" s="245"/>
      <c r="Q1539" s="247"/>
      <c r="R1539" s="247"/>
      <c r="S1539" s="247"/>
      <c r="T1539" s="245"/>
      <c r="U1539" s="245"/>
      <c r="V1539" s="241"/>
      <c r="W1539" s="241"/>
      <c r="X1539" s="241"/>
    </row>
    <row r="1540" spans="1:24" ht="13.5" customHeight="1" x14ac:dyDescent="0.3">
      <c r="A1540" s="245"/>
      <c r="B1540" s="246"/>
      <c r="C1540" s="245"/>
      <c r="D1540" s="245"/>
      <c r="E1540" s="245"/>
      <c r="F1540" s="245"/>
      <c r="G1540" s="245"/>
      <c r="H1540" s="245"/>
      <c r="I1540" s="245"/>
      <c r="J1540" s="245"/>
      <c r="K1540" s="245"/>
      <c r="L1540" s="246"/>
      <c r="M1540" s="245"/>
      <c r="N1540" s="245"/>
      <c r="O1540" s="245"/>
      <c r="P1540" s="245"/>
      <c r="Q1540" s="247"/>
      <c r="R1540" s="247"/>
      <c r="S1540" s="247"/>
      <c r="T1540" s="245"/>
      <c r="U1540" s="245"/>
      <c r="V1540" s="241"/>
      <c r="W1540" s="241"/>
      <c r="X1540" s="241"/>
    </row>
    <row r="1541" spans="1:24" ht="13.5" customHeight="1" x14ac:dyDescent="0.3">
      <c r="A1541" s="245"/>
      <c r="B1541" s="246"/>
      <c r="C1541" s="245"/>
      <c r="D1541" s="245"/>
      <c r="E1541" s="245"/>
      <c r="F1541" s="245"/>
      <c r="G1541" s="245"/>
      <c r="H1541" s="245"/>
      <c r="I1541" s="245"/>
      <c r="J1541" s="245"/>
      <c r="K1541" s="245"/>
      <c r="L1541" s="246"/>
      <c r="M1541" s="245"/>
      <c r="N1541" s="245"/>
      <c r="O1541" s="245"/>
      <c r="P1541" s="245"/>
      <c r="Q1541" s="247"/>
      <c r="R1541" s="247"/>
      <c r="S1541" s="247"/>
      <c r="T1541" s="245"/>
      <c r="U1541" s="245"/>
      <c r="V1541" s="241"/>
      <c r="W1541" s="241"/>
      <c r="X1541" s="241"/>
    </row>
    <row r="1542" spans="1:24" ht="13.5" customHeight="1" x14ac:dyDescent="0.3">
      <c r="A1542" s="245"/>
      <c r="B1542" s="246"/>
      <c r="C1542" s="245"/>
      <c r="D1542" s="245"/>
      <c r="E1542" s="245"/>
      <c r="F1542" s="245"/>
      <c r="G1542" s="245"/>
      <c r="H1542" s="245"/>
      <c r="I1542" s="245"/>
      <c r="J1542" s="245"/>
      <c r="K1542" s="245"/>
      <c r="L1542" s="246"/>
      <c r="M1542" s="245"/>
      <c r="N1542" s="245"/>
      <c r="O1542" s="245"/>
      <c r="P1542" s="245"/>
      <c r="Q1542" s="247"/>
      <c r="R1542" s="247"/>
      <c r="S1542" s="247"/>
      <c r="T1542" s="245"/>
      <c r="U1542" s="245"/>
      <c r="V1542" s="241"/>
      <c r="W1542" s="241"/>
      <c r="X1542" s="241"/>
    </row>
    <row r="1543" spans="1:24" ht="13.5" customHeight="1" x14ac:dyDescent="0.3">
      <c r="A1543" s="245"/>
      <c r="B1543" s="246"/>
      <c r="C1543" s="245"/>
      <c r="D1543" s="245"/>
      <c r="E1543" s="245"/>
      <c r="F1543" s="245"/>
      <c r="G1543" s="245"/>
      <c r="H1543" s="245"/>
      <c r="I1543" s="245"/>
      <c r="J1543" s="245"/>
      <c r="K1543" s="245"/>
      <c r="L1543" s="246"/>
      <c r="M1543" s="245"/>
      <c r="N1543" s="245"/>
      <c r="O1543" s="245"/>
      <c r="P1543" s="245"/>
      <c r="Q1543" s="247"/>
      <c r="R1543" s="247"/>
      <c r="S1543" s="247"/>
      <c r="T1543" s="245"/>
      <c r="U1543" s="245"/>
      <c r="V1543" s="241"/>
      <c r="W1543" s="241"/>
      <c r="X1543" s="241"/>
    </row>
    <row r="1544" spans="1:24" ht="13.5" customHeight="1" x14ac:dyDescent="0.3">
      <c r="A1544" s="245"/>
      <c r="B1544" s="246"/>
      <c r="C1544" s="245"/>
      <c r="D1544" s="245"/>
      <c r="E1544" s="245"/>
      <c r="F1544" s="245"/>
      <c r="G1544" s="245"/>
      <c r="H1544" s="245"/>
      <c r="I1544" s="245"/>
      <c r="J1544" s="245"/>
      <c r="K1544" s="245"/>
      <c r="L1544" s="246"/>
      <c r="M1544" s="245"/>
      <c r="N1544" s="245"/>
      <c r="O1544" s="245"/>
      <c r="P1544" s="245"/>
      <c r="Q1544" s="247"/>
      <c r="R1544" s="247"/>
      <c r="S1544" s="247"/>
      <c r="T1544" s="245"/>
      <c r="U1544" s="245"/>
      <c r="V1544" s="241"/>
      <c r="W1544" s="241"/>
      <c r="X1544" s="241"/>
    </row>
    <row r="1545" spans="1:24" ht="13.5" customHeight="1" x14ac:dyDescent="0.3">
      <c r="A1545" s="245"/>
      <c r="B1545" s="246"/>
      <c r="C1545" s="245"/>
      <c r="D1545" s="245"/>
      <c r="E1545" s="245"/>
      <c r="F1545" s="245"/>
      <c r="G1545" s="245"/>
      <c r="H1545" s="245"/>
      <c r="I1545" s="245"/>
      <c r="J1545" s="245"/>
      <c r="K1545" s="245"/>
      <c r="L1545" s="246"/>
      <c r="M1545" s="245"/>
      <c r="N1545" s="245"/>
      <c r="O1545" s="245"/>
      <c r="P1545" s="245"/>
      <c r="Q1545" s="247"/>
      <c r="R1545" s="247"/>
      <c r="S1545" s="247"/>
      <c r="T1545" s="245"/>
      <c r="U1545" s="245"/>
      <c r="V1545" s="241"/>
      <c r="W1545" s="241"/>
      <c r="X1545" s="241"/>
    </row>
    <row r="1546" spans="1:24" ht="13.5" customHeight="1" x14ac:dyDescent="0.3">
      <c r="A1546" s="245"/>
      <c r="B1546" s="246"/>
      <c r="C1546" s="245"/>
      <c r="D1546" s="245"/>
      <c r="E1546" s="245"/>
      <c r="F1546" s="245"/>
      <c r="G1546" s="245"/>
      <c r="H1546" s="245"/>
      <c r="I1546" s="245"/>
      <c r="J1546" s="245"/>
      <c r="K1546" s="245"/>
      <c r="L1546" s="246"/>
      <c r="M1546" s="245"/>
      <c r="N1546" s="245"/>
      <c r="O1546" s="245"/>
      <c r="P1546" s="245"/>
      <c r="Q1546" s="247"/>
      <c r="R1546" s="247"/>
      <c r="S1546" s="247"/>
      <c r="T1546" s="245"/>
      <c r="U1546" s="245"/>
      <c r="V1546" s="241"/>
      <c r="W1546" s="241"/>
      <c r="X1546" s="241"/>
    </row>
    <row r="1547" spans="1:24" ht="13.5" customHeight="1" x14ac:dyDescent="0.3">
      <c r="A1547" s="245"/>
      <c r="B1547" s="246"/>
      <c r="C1547" s="245"/>
      <c r="D1547" s="245"/>
      <c r="E1547" s="245"/>
      <c r="F1547" s="245"/>
      <c r="G1547" s="245"/>
      <c r="H1547" s="245"/>
      <c r="I1547" s="245"/>
      <c r="J1547" s="245"/>
      <c r="K1547" s="245"/>
      <c r="L1547" s="246"/>
      <c r="M1547" s="245"/>
      <c r="N1547" s="245"/>
      <c r="O1547" s="245"/>
      <c r="P1547" s="245"/>
      <c r="Q1547" s="247"/>
      <c r="R1547" s="247"/>
      <c r="S1547" s="247"/>
      <c r="T1547" s="245"/>
      <c r="U1547" s="245"/>
      <c r="V1547" s="241"/>
      <c r="W1547" s="241"/>
      <c r="X1547" s="241"/>
    </row>
    <row r="1548" spans="1:24" ht="13.5" customHeight="1" x14ac:dyDescent="0.3">
      <c r="A1548" s="245"/>
      <c r="B1548" s="246"/>
      <c r="C1548" s="245"/>
      <c r="D1548" s="245"/>
      <c r="E1548" s="245"/>
      <c r="F1548" s="245"/>
      <c r="G1548" s="245"/>
      <c r="H1548" s="245"/>
      <c r="I1548" s="245"/>
      <c r="J1548" s="245"/>
      <c r="K1548" s="245"/>
      <c r="L1548" s="246"/>
      <c r="M1548" s="245"/>
      <c r="N1548" s="245"/>
      <c r="O1548" s="245"/>
      <c r="P1548" s="245"/>
      <c r="Q1548" s="247"/>
      <c r="R1548" s="247"/>
      <c r="S1548" s="247"/>
      <c r="T1548" s="245"/>
      <c r="U1548" s="245"/>
      <c r="V1548" s="241"/>
      <c r="W1548" s="241"/>
      <c r="X1548" s="241"/>
    </row>
    <row r="1549" spans="1:24" ht="13.5" customHeight="1" x14ac:dyDescent="0.3">
      <c r="A1549" s="245"/>
      <c r="B1549" s="246"/>
      <c r="C1549" s="245"/>
      <c r="D1549" s="245"/>
      <c r="E1549" s="245"/>
      <c r="F1549" s="245"/>
      <c r="G1549" s="245"/>
      <c r="H1549" s="245"/>
      <c r="I1549" s="245"/>
      <c r="J1549" s="245"/>
      <c r="K1549" s="245"/>
      <c r="L1549" s="246"/>
      <c r="M1549" s="245"/>
      <c r="N1549" s="245"/>
      <c r="O1549" s="245"/>
      <c r="P1549" s="245"/>
      <c r="Q1549" s="247"/>
      <c r="R1549" s="247"/>
      <c r="S1549" s="247"/>
      <c r="T1549" s="245"/>
      <c r="U1549" s="245"/>
      <c r="V1549" s="241"/>
      <c r="W1549" s="241"/>
      <c r="X1549" s="241"/>
    </row>
    <row r="1550" spans="1:24" ht="13.5" customHeight="1" x14ac:dyDescent="0.3">
      <c r="A1550" s="245"/>
      <c r="B1550" s="246"/>
      <c r="C1550" s="245"/>
      <c r="D1550" s="245"/>
      <c r="E1550" s="245"/>
      <c r="F1550" s="245"/>
      <c r="G1550" s="245"/>
      <c r="H1550" s="245"/>
      <c r="I1550" s="245"/>
      <c r="J1550" s="245"/>
      <c r="K1550" s="245"/>
      <c r="L1550" s="246"/>
      <c r="M1550" s="245"/>
      <c r="N1550" s="245"/>
      <c r="O1550" s="245"/>
      <c r="P1550" s="245"/>
      <c r="Q1550" s="247"/>
      <c r="R1550" s="247"/>
      <c r="S1550" s="247"/>
      <c r="T1550" s="245"/>
      <c r="U1550" s="245"/>
      <c r="V1550" s="241"/>
      <c r="W1550" s="241"/>
      <c r="X1550" s="241"/>
    </row>
    <row r="1551" spans="1:24" ht="13.5" customHeight="1" x14ac:dyDescent="0.3">
      <c r="A1551" s="245"/>
      <c r="B1551" s="246"/>
      <c r="C1551" s="245"/>
      <c r="D1551" s="245"/>
      <c r="E1551" s="245"/>
      <c r="F1551" s="245"/>
      <c r="G1551" s="245"/>
      <c r="H1551" s="245"/>
      <c r="I1551" s="245"/>
      <c r="J1551" s="245"/>
      <c r="K1551" s="245"/>
      <c r="L1551" s="246"/>
      <c r="M1551" s="245"/>
      <c r="N1551" s="245"/>
      <c r="O1551" s="245"/>
      <c r="P1551" s="245"/>
      <c r="Q1551" s="247"/>
      <c r="R1551" s="247"/>
      <c r="S1551" s="247"/>
      <c r="T1551" s="245"/>
      <c r="U1551" s="245"/>
      <c r="V1551" s="241"/>
      <c r="W1551" s="241"/>
      <c r="X1551" s="241"/>
    </row>
    <row r="1552" spans="1:24" ht="13.5" customHeight="1" x14ac:dyDescent="0.3">
      <c r="A1552" s="245"/>
      <c r="B1552" s="246"/>
      <c r="C1552" s="245"/>
      <c r="D1552" s="245"/>
      <c r="E1552" s="245"/>
      <c r="F1552" s="245"/>
      <c r="G1552" s="245"/>
      <c r="H1552" s="245"/>
      <c r="I1552" s="245"/>
      <c r="J1552" s="245"/>
      <c r="K1552" s="245"/>
      <c r="L1552" s="246"/>
      <c r="M1552" s="245"/>
      <c r="N1552" s="245"/>
      <c r="O1552" s="245"/>
      <c r="P1552" s="245"/>
      <c r="Q1552" s="247"/>
      <c r="R1552" s="247"/>
      <c r="S1552" s="247"/>
      <c r="T1552" s="245"/>
      <c r="U1552" s="245"/>
      <c r="V1552" s="241"/>
      <c r="W1552" s="241"/>
      <c r="X1552" s="241"/>
    </row>
    <row r="1553" spans="1:24" ht="13.5" customHeight="1" x14ac:dyDescent="0.3">
      <c r="A1553" s="245"/>
      <c r="B1553" s="246"/>
      <c r="C1553" s="245"/>
      <c r="D1553" s="245"/>
      <c r="E1553" s="245"/>
      <c r="F1553" s="245"/>
      <c r="G1553" s="245"/>
      <c r="H1553" s="245"/>
      <c r="I1553" s="245"/>
      <c r="J1553" s="245"/>
      <c r="K1553" s="245"/>
      <c r="L1553" s="246"/>
      <c r="M1553" s="245"/>
      <c r="N1553" s="245"/>
      <c r="O1553" s="245"/>
      <c r="P1553" s="245"/>
      <c r="Q1553" s="247"/>
      <c r="R1553" s="247"/>
      <c r="S1553" s="247"/>
      <c r="T1553" s="245"/>
      <c r="U1553" s="245"/>
      <c r="V1553" s="241"/>
      <c r="W1553" s="241"/>
      <c r="X1553" s="241"/>
    </row>
    <row r="1554" spans="1:24" ht="13.5" customHeight="1" x14ac:dyDescent="0.3">
      <c r="A1554" s="245"/>
      <c r="B1554" s="246"/>
      <c r="C1554" s="245"/>
      <c r="D1554" s="245"/>
      <c r="E1554" s="245"/>
      <c r="F1554" s="245"/>
      <c r="G1554" s="245"/>
      <c r="H1554" s="245"/>
      <c r="I1554" s="245"/>
      <c r="J1554" s="245"/>
      <c r="K1554" s="245"/>
      <c r="L1554" s="246"/>
      <c r="M1554" s="245"/>
      <c r="N1554" s="245"/>
      <c r="O1554" s="245"/>
      <c r="P1554" s="245"/>
      <c r="Q1554" s="247"/>
      <c r="R1554" s="247"/>
      <c r="S1554" s="247"/>
      <c r="T1554" s="245"/>
      <c r="U1554" s="245"/>
      <c r="V1554" s="241"/>
      <c r="W1554" s="241"/>
      <c r="X1554" s="241"/>
    </row>
    <row r="1555" spans="1:24" ht="13.5" customHeight="1" x14ac:dyDescent="0.3">
      <c r="A1555" s="245"/>
      <c r="B1555" s="246"/>
      <c r="C1555" s="245"/>
      <c r="D1555" s="245"/>
      <c r="E1555" s="245"/>
      <c r="F1555" s="245"/>
      <c r="G1555" s="245"/>
      <c r="H1555" s="245"/>
      <c r="I1555" s="245"/>
      <c r="J1555" s="245"/>
      <c r="K1555" s="245"/>
      <c r="L1555" s="246"/>
      <c r="M1555" s="245"/>
      <c r="N1555" s="245"/>
      <c r="O1555" s="245"/>
      <c r="P1555" s="245"/>
      <c r="Q1555" s="247"/>
      <c r="R1555" s="247"/>
      <c r="S1555" s="247"/>
      <c r="T1555" s="245"/>
      <c r="U1555" s="245"/>
      <c r="V1555" s="241"/>
      <c r="W1555" s="241"/>
      <c r="X1555" s="241"/>
    </row>
    <row r="1556" spans="1:24" ht="13.5" customHeight="1" x14ac:dyDescent="0.3">
      <c r="A1556" s="245"/>
      <c r="B1556" s="246"/>
      <c r="C1556" s="245"/>
      <c r="D1556" s="245"/>
      <c r="E1556" s="245"/>
      <c r="F1556" s="245"/>
      <c r="G1556" s="245"/>
      <c r="H1556" s="245"/>
      <c r="I1556" s="245"/>
      <c r="J1556" s="245"/>
      <c r="K1556" s="245"/>
      <c r="L1556" s="246"/>
      <c r="M1556" s="245"/>
      <c r="N1556" s="245"/>
      <c r="O1556" s="245"/>
      <c r="P1556" s="245"/>
      <c r="Q1556" s="247"/>
      <c r="R1556" s="247"/>
      <c r="S1556" s="247"/>
      <c r="T1556" s="245"/>
      <c r="U1556" s="245"/>
      <c r="V1556" s="241"/>
      <c r="W1556" s="241"/>
      <c r="X1556" s="241"/>
    </row>
    <row r="1557" spans="1:24" ht="13.5" customHeight="1" x14ac:dyDescent="0.3">
      <c r="A1557" s="245"/>
      <c r="B1557" s="246"/>
      <c r="C1557" s="245"/>
      <c r="D1557" s="245"/>
      <c r="E1557" s="245"/>
      <c r="F1557" s="245"/>
      <c r="G1557" s="245"/>
      <c r="H1557" s="245"/>
      <c r="I1557" s="245"/>
      <c r="J1557" s="245"/>
      <c r="K1557" s="245"/>
      <c r="L1557" s="246"/>
      <c r="M1557" s="245"/>
      <c r="N1557" s="245"/>
      <c r="O1557" s="245"/>
      <c r="P1557" s="245"/>
      <c r="Q1557" s="247"/>
      <c r="R1557" s="247"/>
      <c r="S1557" s="247"/>
      <c r="T1557" s="245"/>
      <c r="U1557" s="245"/>
      <c r="V1557" s="241"/>
      <c r="W1557" s="241"/>
      <c r="X1557" s="241"/>
    </row>
    <row r="1558" spans="1:24" ht="13.5" customHeight="1" x14ac:dyDescent="0.3">
      <c r="A1558" s="245"/>
      <c r="B1558" s="246"/>
      <c r="C1558" s="245"/>
      <c r="D1558" s="245"/>
      <c r="E1558" s="245"/>
      <c r="F1558" s="245"/>
      <c r="G1558" s="245"/>
      <c r="H1558" s="245"/>
      <c r="I1558" s="245"/>
      <c r="J1558" s="245"/>
      <c r="K1558" s="245"/>
      <c r="L1558" s="246"/>
      <c r="M1558" s="245"/>
      <c r="N1558" s="245"/>
      <c r="O1558" s="245"/>
      <c r="P1558" s="245"/>
      <c r="Q1558" s="247"/>
      <c r="R1558" s="247"/>
      <c r="S1558" s="247"/>
      <c r="T1558" s="245"/>
      <c r="U1558" s="245"/>
      <c r="V1558" s="241"/>
      <c r="W1558" s="241"/>
      <c r="X1558" s="241"/>
    </row>
    <row r="1559" spans="1:24" ht="13.5" customHeight="1" x14ac:dyDescent="0.3">
      <c r="A1559" s="245"/>
      <c r="B1559" s="246"/>
      <c r="C1559" s="245"/>
      <c r="D1559" s="245"/>
      <c r="E1559" s="245"/>
      <c r="F1559" s="245"/>
      <c r="G1559" s="245"/>
      <c r="H1559" s="245"/>
      <c r="I1559" s="245"/>
      <c r="J1559" s="245"/>
      <c r="K1559" s="245"/>
      <c r="L1559" s="246"/>
      <c r="M1559" s="245"/>
      <c r="N1559" s="245"/>
      <c r="O1559" s="245"/>
      <c r="P1559" s="245"/>
      <c r="Q1559" s="247"/>
      <c r="R1559" s="247"/>
      <c r="S1559" s="247"/>
      <c r="T1559" s="245"/>
      <c r="U1559" s="245"/>
      <c r="V1559" s="241"/>
      <c r="W1559" s="241"/>
      <c r="X1559" s="241"/>
    </row>
    <row r="1560" spans="1:24" ht="13.5" customHeight="1" x14ac:dyDescent="0.3">
      <c r="A1560" s="245"/>
      <c r="B1560" s="246"/>
      <c r="C1560" s="245"/>
      <c r="D1560" s="245"/>
      <c r="E1560" s="245"/>
      <c r="F1560" s="245"/>
      <c r="G1560" s="245"/>
      <c r="H1560" s="245"/>
      <c r="I1560" s="245"/>
      <c r="J1560" s="245"/>
      <c r="K1560" s="245"/>
      <c r="L1560" s="246"/>
      <c r="M1560" s="245"/>
      <c r="N1560" s="245"/>
      <c r="O1560" s="245"/>
      <c r="P1560" s="245"/>
      <c r="Q1560" s="247"/>
      <c r="R1560" s="247"/>
      <c r="S1560" s="247"/>
      <c r="T1560" s="245"/>
      <c r="U1560" s="245"/>
      <c r="V1560" s="241"/>
      <c r="W1560" s="241"/>
      <c r="X1560" s="241"/>
    </row>
    <row r="1561" spans="1:24" ht="13.5" customHeight="1" x14ac:dyDescent="0.3">
      <c r="A1561" s="245"/>
      <c r="B1561" s="246"/>
      <c r="C1561" s="245"/>
      <c r="D1561" s="245"/>
      <c r="E1561" s="245"/>
      <c r="F1561" s="245"/>
      <c r="G1561" s="245"/>
      <c r="H1561" s="245"/>
      <c r="I1561" s="245"/>
      <c r="J1561" s="245"/>
      <c r="K1561" s="245"/>
      <c r="L1561" s="246"/>
      <c r="M1561" s="245"/>
      <c r="N1561" s="245"/>
      <c r="O1561" s="245"/>
      <c r="P1561" s="245"/>
      <c r="Q1561" s="247"/>
      <c r="R1561" s="247"/>
      <c r="S1561" s="247"/>
      <c r="T1561" s="245"/>
      <c r="U1561" s="245"/>
      <c r="V1561" s="241"/>
      <c r="W1561" s="241"/>
      <c r="X1561" s="241"/>
    </row>
    <row r="1562" spans="1:24" ht="13.5" customHeight="1" x14ac:dyDescent="0.3">
      <c r="A1562" s="245"/>
      <c r="B1562" s="246"/>
      <c r="C1562" s="245"/>
      <c r="D1562" s="245"/>
      <c r="E1562" s="245"/>
      <c r="F1562" s="245"/>
      <c r="G1562" s="245"/>
      <c r="H1562" s="245"/>
      <c r="I1562" s="245"/>
      <c r="J1562" s="245"/>
      <c r="K1562" s="245"/>
      <c r="L1562" s="246"/>
      <c r="M1562" s="245"/>
      <c r="N1562" s="245"/>
      <c r="O1562" s="245"/>
      <c r="P1562" s="245"/>
      <c r="Q1562" s="247"/>
      <c r="R1562" s="247"/>
      <c r="S1562" s="247"/>
      <c r="T1562" s="245"/>
      <c r="U1562" s="245"/>
      <c r="V1562" s="241"/>
      <c r="W1562" s="241"/>
      <c r="X1562" s="241"/>
    </row>
    <row r="1563" spans="1:24" ht="13.5" customHeight="1" x14ac:dyDescent="0.3">
      <c r="A1563" s="245"/>
      <c r="B1563" s="246"/>
      <c r="C1563" s="245"/>
      <c r="D1563" s="245"/>
      <c r="E1563" s="245"/>
      <c r="F1563" s="245"/>
      <c r="G1563" s="245"/>
      <c r="H1563" s="245"/>
      <c r="I1563" s="245"/>
      <c r="J1563" s="245"/>
      <c r="K1563" s="245"/>
      <c r="L1563" s="246"/>
      <c r="M1563" s="245"/>
      <c r="N1563" s="245"/>
      <c r="O1563" s="245"/>
      <c r="P1563" s="245"/>
      <c r="Q1563" s="247"/>
      <c r="R1563" s="247"/>
      <c r="S1563" s="247"/>
      <c r="T1563" s="245"/>
      <c r="U1563" s="245"/>
      <c r="V1563" s="241"/>
      <c r="W1563" s="241"/>
      <c r="X1563" s="241"/>
    </row>
    <row r="1564" spans="1:24" ht="13.5" customHeight="1" x14ac:dyDescent="0.3">
      <c r="A1564" s="245"/>
      <c r="B1564" s="246"/>
      <c r="C1564" s="245"/>
      <c r="D1564" s="245"/>
      <c r="E1564" s="245"/>
      <c r="F1564" s="245"/>
      <c r="G1564" s="245"/>
      <c r="H1564" s="245"/>
      <c r="I1564" s="245"/>
      <c r="J1564" s="245"/>
      <c r="K1564" s="245"/>
      <c r="L1564" s="246"/>
      <c r="M1564" s="245"/>
      <c r="N1564" s="245"/>
      <c r="O1564" s="245"/>
      <c r="P1564" s="245"/>
      <c r="Q1564" s="247"/>
      <c r="R1564" s="247"/>
      <c r="S1564" s="247"/>
      <c r="T1564" s="245"/>
      <c r="U1564" s="245"/>
      <c r="V1564" s="241"/>
      <c r="W1564" s="241"/>
      <c r="X1564" s="241"/>
    </row>
    <row r="1565" spans="1:24" ht="13.5" customHeight="1" x14ac:dyDescent="0.3">
      <c r="A1565" s="245"/>
      <c r="B1565" s="246"/>
      <c r="C1565" s="245"/>
      <c r="D1565" s="245"/>
      <c r="E1565" s="245"/>
      <c r="F1565" s="245"/>
      <c r="G1565" s="245"/>
      <c r="H1565" s="245"/>
      <c r="I1565" s="245"/>
      <c r="J1565" s="245"/>
      <c r="K1565" s="245"/>
      <c r="L1565" s="246"/>
      <c r="M1565" s="245"/>
      <c r="N1565" s="245"/>
      <c r="O1565" s="245"/>
      <c r="P1565" s="245"/>
      <c r="Q1565" s="247"/>
      <c r="R1565" s="247"/>
      <c r="S1565" s="247"/>
      <c r="T1565" s="245"/>
      <c r="U1565" s="245"/>
      <c r="V1565" s="241"/>
      <c r="W1565" s="241"/>
      <c r="X1565" s="241"/>
    </row>
    <row r="1566" spans="1:24" ht="13.5" customHeight="1" x14ac:dyDescent="0.3">
      <c r="A1566" s="245"/>
      <c r="B1566" s="246"/>
      <c r="C1566" s="245"/>
      <c r="D1566" s="245"/>
      <c r="E1566" s="245"/>
      <c r="F1566" s="245"/>
      <c r="G1566" s="245"/>
      <c r="H1566" s="245"/>
      <c r="I1566" s="245"/>
      <c r="J1566" s="245"/>
      <c r="K1566" s="245"/>
      <c r="L1566" s="246"/>
      <c r="M1566" s="245"/>
      <c r="N1566" s="245"/>
      <c r="O1566" s="245"/>
      <c r="P1566" s="245"/>
      <c r="Q1566" s="247"/>
      <c r="R1566" s="247"/>
      <c r="S1566" s="247"/>
      <c r="T1566" s="245"/>
      <c r="U1566" s="245"/>
      <c r="V1566" s="241"/>
      <c r="W1566" s="241"/>
      <c r="X1566" s="241"/>
    </row>
    <row r="1567" spans="1:24" ht="13.5" customHeight="1" x14ac:dyDescent="0.3">
      <c r="A1567" s="245"/>
      <c r="B1567" s="246"/>
      <c r="C1567" s="245"/>
      <c r="D1567" s="245"/>
      <c r="E1567" s="245"/>
      <c r="F1567" s="245"/>
      <c r="G1567" s="245"/>
      <c r="H1567" s="245"/>
      <c r="I1567" s="245"/>
      <c r="J1567" s="245"/>
      <c r="K1567" s="245"/>
      <c r="L1567" s="246"/>
      <c r="M1567" s="245"/>
      <c r="N1567" s="245"/>
      <c r="O1567" s="245"/>
      <c r="P1567" s="245"/>
      <c r="Q1567" s="247"/>
      <c r="R1567" s="247"/>
      <c r="S1567" s="247"/>
      <c r="T1567" s="245"/>
      <c r="U1567" s="245"/>
      <c r="V1567" s="241"/>
      <c r="W1567" s="241"/>
      <c r="X1567" s="241"/>
    </row>
    <row r="1568" spans="1:24" ht="13.5" customHeight="1" x14ac:dyDescent="0.3">
      <c r="A1568" s="245"/>
      <c r="B1568" s="246"/>
      <c r="C1568" s="245"/>
      <c r="D1568" s="245"/>
      <c r="E1568" s="245"/>
      <c r="F1568" s="245"/>
      <c r="G1568" s="245"/>
      <c r="H1568" s="245"/>
      <c r="I1568" s="245"/>
      <c r="J1568" s="245"/>
      <c r="K1568" s="245"/>
      <c r="L1568" s="246"/>
      <c r="M1568" s="245"/>
      <c r="N1568" s="245"/>
      <c r="O1568" s="245"/>
      <c r="P1568" s="245"/>
      <c r="Q1568" s="247"/>
      <c r="R1568" s="247"/>
      <c r="S1568" s="247"/>
      <c r="T1568" s="245"/>
      <c r="U1568" s="245"/>
      <c r="V1568" s="241"/>
      <c r="W1568" s="241"/>
      <c r="X1568" s="241"/>
    </row>
    <row r="1569" spans="1:24" ht="13.5" customHeight="1" x14ac:dyDescent="0.3">
      <c r="A1569" s="245"/>
      <c r="B1569" s="246"/>
      <c r="C1569" s="245"/>
      <c r="D1569" s="245"/>
      <c r="E1569" s="245"/>
      <c r="F1569" s="245"/>
      <c r="G1569" s="245"/>
      <c r="H1569" s="245"/>
      <c r="I1569" s="245"/>
      <c r="J1569" s="245"/>
      <c r="K1569" s="245"/>
      <c r="L1569" s="246"/>
      <c r="M1569" s="245"/>
      <c r="N1569" s="245"/>
      <c r="O1569" s="245"/>
      <c r="P1569" s="245"/>
      <c r="Q1569" s="247"/>
      <c r="R1569" s="247"/>
      <c r="S1569" s="247"/>
      <c r="T1569" s="245"/>
      <c r="U1569" s="245"/>
      <c r="V1569" s="241"/>
      <c r="W1569" s="241"/>
      <c r="X1569" s="241"/>
    </row>
    <row r="1570" spans="1:24" ht="13.5" customHeight="1" x14ac:dyDescent="0.3">
      <c r="A1570" s="245"/>
      <c r="B1570" s="246"/>
      <c r="C1570" s="245"/>
      <c r="D1570" s="245"/>
      <c r="E1570" s="245"/>
      <c r="F1570" s="245"/>
      <c r="G1570" s="245"/>
      <c r="H1570" s="245"/>
      <c r="I1570" s="245"/>
      <c r="J1570" s="245"/>
      <c r="K1570" s="245"/>
      <c r="L1570" s="246"/>
      <c r="M1570" s="245"/>
      <c r="N1570" s="245"/>
      <c r="O1570" s="245"/>
      <c r="P1570" s="245"/>
      <c r="Q1570" s="247"/>
      <c r="R1570" s="247"/>
      <c r="S1570" s="247"/>
      <c r="T1570" s="245"/>
      <c r="U1570" s="245"/>
      <c r="V1570" s="241"/>
      <c r="W1570" s="241"/>
      <c r="X1570" s="241"/>
    </row>
    <row r="1571" spans="1:24" ht="13.5" customHeight="1" x14ac:dyDescent="0.3">
      <c r="A1571" s="245"/>
      <c r="B1571" s="246"/>
      <c r="C1571" s="245"/>
      <c r="D1571" s="245"/>
      <c r="E1571" s="245"/>
      <c r="F1571" s="245"/>
      <c r="G1571" s="245"/>
      <c r="H1571" s="245"/>
      <c r="I1571" s="245"/>
      <c r="J1571" s="245"/>
      <c r="K1571" s="245"/>
      <c r="L1571" s="246"/>
      <c r="M1571" s="245"/>
      <c r="N1571" s="245"/>
      <c r="O1571" s="245"/>
      <c r="P1571" s="245"/>
      <c r="Q1571" s="247"/>
      <c r="R1571" s="247"/>
      <c r="S1571" s="247"/>
      <c r="T1571" s="245"/>
      <c r="U1571" s="245"/>
      <c r="V1571" s="241"/>
      <c r="W1571" s="241"/>
      <c r="X1571" s="241"/>
    </row>
    <row r="1572" spans="1:24" ht="13.5" customHeight="1" x14ac:dyDescent="0.3">
      <c r="A1572" s="245"/>
      <c r="B1572" s="246"/>
      <c r="C1572" s="245"/>
      <c r="D1572" s="245"/>
      <c r="E1572" s="245"/>
      <c r="F1572" s="245"/>
      <c r="G1572" s="245"/>
      <c r="H1572" s="245"/>
      <c r="I1572" s="245"/>
      <c r="J1572" s="245"/>
      <c r="K1572" s="245"/>
      <c r="L1572" s="246"/>
      <c r="M1572" s="245"/>
      <c r="N1572" s="245"/>
      <c r="O1572" s="245"/>
      <c r="P1572" s="245"/>
      <c r="Q1572" s="247"/>
      <c r="R1572" s="247"/>
      <c r="S1572" s="247"/>
      <c r="T1572" s="245"/>
      <c r="U1572" s="245"/>
      <c r="V1572" s="241"/>
      <c r="W1572" s="241"/>
      <c r="X1572" s="241"/>
    </row>
    <row r="1573" spans="1:24" ht="13.5" customHeight="1" x14ac:dyDescent="0.3">
      <c r="A1573" s="245"/>
      <c r="B1573" s="246"/>
      <c r="C1573" s="245"/>
      <c r="D1573" s="245"/>
      <c r="E1573" s="245"/>
      <c r="F1573" s="245"/>
      <c r="G1573" s="245"/>
      <c r="H1573" s="245"/>
      <c r="I1573" s="245"/>
      <c r="J1573" s="245"/>
      <c r="K1573" s="245"/>
      <c r="L1573" s="246"/>
      <c r="M1573" s="245"/>
      <c r="N1573" s="245"/>
      <c r="O1573" s="245"/>
      <c r="P1573" s="245"/>
      <c r="Q1573" s="247"/>
      <c r="R1573" s="247"/>
      <c r="S1573" s="247"/>
      <c r="T1573" s="245"/>
      <c r="U1573" s="245"/>
      <c r="V1573" s="241"/>
      <c r="W1573" s="241"/>
      <c r="X1573" s="241"/>
    </row>
    <row r="1574" spans="1:24" ht="13.5" customHeight="1" x14ac:dyDescent="0.3">
      <c r="A1574" s="245"/>
      <c r="B1574" s="246"/>
      <c r="C1574" s="245"/>
      <c r="D1574" s="245"/>
      <c r="E1574" s="245"/>
      <c r="F1574" s="245"/>
      <c r="G1574" s="245"/>
      <c r="H1574" s="245"/>
      <c r="I1574" s="245"/>
      <c r="J1574" s="245"/>
      <c r="K1574" s="245"/>
      <c r="L1574" s="246"/>
      <c r="M1574" s="245"/>
      <c r="N1574" s="245"/>
      <c r="O1574" s="245"/>
      <c r="P1574" s="245"/>
      <c r="Q1574" s="247"/>
      <c r="R1574" s="247"/>
      <c r="S1574" s="247"/>
      <c r="T1574" s="245"/>
      <c r="U1574" s="245"/>
      <c r="V1574" s="241"/>
      <c r="W1574" s="241"/>
      <c r="X1574" s="241"/>
    </row>
    <row r="1575" spans="1:24" ht="13.5" customHeight="1" x14ac:dyDescent="0.3">
      <c r="A1575" s="245"/>
      <c r="B1575" s="246"/>
      <c r="C1575" s="245"/>
      <c r="D1575" s="245"/>
      <c r="E1575" s="245"/>
      <c r="F1575" s="245"/>
      <c r="G1575" s="245"/>
      <c r="H1575" s="245"/>
      <c r="I1575" s="245"/>
      <c r="J1575" s="245"/>
      <c r="K1575" s="245"/>
      <c r="L1575" s="246"/>
      <c r="M1575" s="245"/>
      <c r="N1575" s="245"/>
      <c r="O1575" s="245"/>
      <c r="P1575" s="245"/>
      <c r="Q1575" s="247"/>
      <c r="R1575" s="247"/>
      <c r="S1575" s="247"/>
      <c r="T1575" s="245"/>
      <c r="U1575" s="245"/>
      <c r="V1575" s="241"/>
      <c r="W1575" s="241"/>
      <c r="X1575" s="241"/>
    </row>
    <row r="1576" spans="1:24" ht="13.5" customHeight="1" x14ac:dyDescent="0.3">
      <c r="A1576" s="245"/>
      <c r="B1576" s="246"/>
      <c r="C1576" s="245"/>
      <c r="D1576" s="245"/>
      <c r="E1576" s="245"/>
      <c r="F1576" s="245"/>
      <c r="G1576" s="245"/>
      <c r="H1576" s="245"/>
      <c r="I1576" s="245"/>
      <c r="J1576" s="245"/>
      <c r="K1576" s="245"/>
      <c r="L1576" s="246"/>
      <c r="M1576" s="245"/>
      <c r="N1576" s="245"/>
      <c r="O1576" s="245"/>
      <c r="P1576" s="245"/>
      <c r="Q1576" s="247"/>
      <c r="R1576" s="247"/>
      <c r="S1576" s="247"/>
      <c r="T1576" s="245"/>
      <c r="U1576" s="245"/>
      <c r="V1576" s="241"/>
      <c r="W1576" s="241"/>
      <c r="X1576" s="241"/>
    </row>
    <row r="1577" spans="1:24" ht="13.5" customHeight="1" x14ac:dyDescent="0.3">
      <c r="A1577" s="245"/>
      <c r="B1577" s="246"/>
      <c r="C1577" s="245"/>
      <c r="D1577" s="245"/>
      <c r="E1577" s="245"/>
      <c r="F1577" s="245"/>
      <c r="G1577" s="245"/>
      <c r="H1577" s="245"/>
      <c r="I1577" s="245"/>
      <c r="J1577" s="245"/>
      <c r="K1577" s="245"/>
      <c r="L1577" s="246"/>
      <c r="M1577" s="245"/>
      <c r="N1577" s="245"/>
      <c r="O1577" s="245"/>
      <c r="P1577" s="245"/>
      <c r="Q1577" s="247"/>
      <c r="R1577" s="247"/>
      <c r="S1577" s="247"/>
      <c r="T1577" s="245"/>
      <c r="U1577" s="245"/>
      <c r="V1577" s="241"/>
      <c r="W1577" s="241"/>
      <c r="X1577" s="241"/>
    </row>
    <row r="1578" spans="1:24" ht="13.5" customHeight="1" x14ac:dyDescent="0.3">
      <c r="A1578" s="245"/>
      <c r="B1578" s="246"/>
      <c r="C1578" s="245"/>
      <c r="D1578" s="245"/>
      <c r="E1578" s="245"/>
      <c r="F1578" s="245"/>
      <c r="G1578" s="245"/>
      <c r="H1578" s="245"/>
      <c r="I1578" s="245"/>
      <c r="J1578" s="245"/>
      <c r="K1578" s="245"/>
      <c r="L1578" s="246"/>
      <c r="M1578" s="245"/>
      <c r="N1578" s="245"/>
      <c r="O1578" s="245"/>
      <c r="P1578" s="245"/>
      <c r="Q1578" s="247"/>
      <c r="R1578" s="247"/>
      <c r="S1578" s="247"/>
      <c r="T1578" s="245"/>
      <c r="U1578" s="245"/>
      <c r="V1578" s="241"/>
      <c r="W1578" s="241"/>
      <c r="X1578" s="241"/>
    </row>
    <row r="1579" spans="1:24" ht="13.5" customHeight="1" x14ac:dyDescent="0.3">
      <c r="A1579" s="245"/>
      <c r="B1579" s="246"/>
      <c r="C1579" s="245"/>
      <c r="D1579" s="245"/>
      <c r="E1579" s="245"/>
      <c r="F1579" s="245"/>
      <c r="G1579" s="245"/>
      <c r="H1579" s="245"/>
      <c r="I1579" s="245"/>
      <c r="J1579" s="245"/>
      <c r="K1579" s="245"/>
      <c r="L1579" s="246"/>
      <c r="M1579" s="245"/>
      <c r="N1579" s="245"/>
      <c r="O1579" s="245"/>
      <c r="P1579" s="245"/>
      <c r="Q1579" s="247"/>
      <c r="R1579" s="247"/>
      <c r="S1579" s="247"/>
      <c r="T1579" s="245"/>
      <c r="U1579" s="245"/>
      <c r="V1579" s="241"/>
      <c r="W1579" s="241"/>
      <c r="X1579" s="241"/>
    </row>
    <row r="1580" spans="1:24" ht="13.5" customHeight="1" x14ac:dyDescent="0.3">
      <c r="A1580" s="245"/>
      <c r="B1580" s="246"/>
      <c r="C1580" s="245"/>
      <c r="D1580" s="245"/>
      <c r="E1580" s="245"/>
      <c r="F1580" s="245"/>
      <c r="G1580" s="245"/>
      <c r="H1580" s="245"/>
      <c r="I1580" s="245"/>
      <c r="J1580" s="245"/>
      <c r="K1580" s="245"/>
      <c r="L1580" s="246"/>
      <c r="M1580" s="245"/>
      <c r="N1580" s="245"/>
      <c r="O1580" s="245"/>
      <c r="P1580" s="245"/>
      <c r="Q1580" s="247"/>
      <c r="R1580" s="247"/>
      <c r="S1580" s="247"/>
      <c r="T1580" s="245"/>
      <c r="U1580" s="245"/>
      <c r="V1580" s="241"/>
      <c r="W1580" s="241"/>
      <c r="X1580" s="241"/>
    </row>
    <row r="1581" spans="1:24" ht="13.5" customHeight="1" x14ac:dyDescent="0.3">
      <c r="A1581" s="245"/>
      <c r="B1581" s="246"/>
      <c r="C1581" s="245"/>
      <c r="D1581" s="245"/>
      <c r="E1581" s="245"/>
      <c r="F1581" s="245"/>
      <c r="G1581" s="245"/>
      <c r="H1581" s="245"/>
      <c r="I1581" s="245"/>
      <c r="J1581" s="245"/>
      <c r="K1581" s="245"/>
      <c r="L1581" s="246"/>
      <c r="M1581" s="245"/>
      <c r="N1581" s="245"/>
      <c r="O1581" s="245"/>
      <c r="P1581" s="245"/>
      <c r="Q1581" s="247"/>
      <c r="R1581" s="247"/>
      <c r="S1581" s="247"/>
      <c r="T1581" s="245"/>
      <c r="U1581" s="245"/>
      <c r="V1581" s="241"/>
      <c r="W1581" s="241"/>
      <c r="X1581" s="241"/>
    </row>
    <row r="1582" spans="1:24" ht="13.5" customHeight="1" x14ac:dyDescent="0.3">
      <c r="A1582" s="245"/>
      <c r="B1582" s="246"/>
      <c r="C1582" s="245"/>
      <c r="D1582" s="245"/>
      <c r="E1582" s="245"/>
      <c r="F1582" s="245"/>
      <c r="G1582" s="245"/>
      <c r="H1582" s="245"/>
      <c r="I1582" s="245"/>
      <c r="J1582" s="245"/>
      <c r="K1582" s="245"/>
      <c r="L1582" s="246"/>
      <c r="M1582" s="245"/>
      <c r="N1582" s="245"/>
      <c r="O1582" s="245"/>
      <c r="P1582" s="245"/>
      <c r="Q1582" s="247"/>
      <c r="R1582" s="247"/>
      <c r="S1582" s="247"/>
      <c r="T1582" s="245"/>
      <c r="U1582" s="245"/>
      <c r="V1582" s="241"/>
      <c r="W1582" s="241"/>
      <c r="X1582" s="241"/>
    </row>
    <row r="1583" spans="1:24" ht="13.5" customHeight="1" x14ac:dyDescent="0.3">
      <c r="A1583" s="245"/>
      <c r="B1583" s="246"/>
      <c r="C1583" s="245"/>
      <c r="D1583" s="245"/>
      <c r="E1583" s="245"/>
      <c r="F1583" s="245"/>
      <c r="G1583" s="245"/>
      <c r="H1583" s="245"/>
      <c r="I1583" s="245"/>
      <c r="J1583" s="245"/>
      <c r="K1583" s="245"/>
      <c r="L1583" s="246"/>
      <c r="M1583" s="245"/>
      <c r="N1583" s="245"/>
      <c r="O1583" s="245"/>
      <c r="P1583" s="245"/>
      <c r="Q1583" s="247"/>
      <c r="R1583" s="247"/>
      <c r="S1583" s="247"/>
      <c r="T1583" s="245"/>
      <c r="U1583" s="245"/>
      <c r="V1583" s="241"/>
      <c r="W1583" s="241"/>
      <c r="X1583" s="241"/>
    </row>
    <row r="1584" spans="1:24" ht="13.5" customHeight="1" x14ac:dyDescent="0.3">
      <c r="A1584" s="245"/>
      <c r="B1584" s="246"/>
      <c r="C1584" s="245"/>
      <c r="D1584" s="245"/>
      <c r="E1584" s="245"/>
      <c r="F1584" s="245"/>
      <c r="G1584" s="245"/>
      <c r="H1584" s="245"/>
      <c r="I1584" s="245"/>
      <c r="J1584" s="245"/>
      <c r="K1584" s="245"/>
      <c r="L1584" s="246"/>
      <c r="M1584" s="245"/>
      <c r="N1584" s="245"/>
      <c r="O1584" s="245"/>
      <c r="P1584" s="245"/>
      <c r="Q1584" s="247"/>
      <c r="R1584" s="247"/>
      <c r="S1584" s="247"/>
      <c r="T1584" s="245"/>
      <c r="U1584" s="245"/>
      <c r="V1584" s="241"/>
      <c r="W1584" s="241"/>
      <c r="X1584" s="241"/>
    </row>
    <row r="1585" spans="1:24" ht="13.5" customHeight="1" x14ac:dyDescent="0.3">
      <c r="A1585" s="245"/>
      <c r="B1585" s="246"/>
      <c r="C1585" s="245"/>
      <c r="D1585" s="245"/>
      <c r="E1585" s="245"/>
      <c r="F1585" s="245"/>
      <c r="G1585" s="245"/>
      <c r="H1585" s="245"/>
      <c r="I1585" s="245"/>
      <c r="J1585" s="245"/>
      <c r="K1585" s="245"/>
      <c r="L1585" s="246"/>
      <c r="M1585" s="245"/>
      <c r="N1585" s="245"/>
      <c r="O1585" s="245"/>
      <c r="P1585" s="245"/>
      <c r="Q1585" s="247"/>
      <c r="R1585" s="247"/>
      <c r="S1585" s="247"/>
      <c r="T1585" s="245"/>
      <c r="U1585" s="245"/>
      <c r="V1585" s="241"/>
      <c r="W1585" s="241"/>
      <c r="X1585" s="241"/>
    </row>
    <row r="1586" spans="1:24" ht="13.5" customHeight="1" x14ac:dyDescent="0.3">
      <c r="A1586" s="245"/>
      <c r="B1586" s="246"/>
      <c r="C1586" s="245"/>
      <c r="D1586" s="245"/>
      <c r="E1586" s="245"/>
      <c r="F1586" s="245"/>
      <c r="G1586" s="245"/>
      <c r="H1586" s="245"/>
      <c r="I1586" s="245"/>
      <c r="J1586" s="245"/>
      <c r="K1586" s="245"/>
      <c r="L1586" s="246"/>
      <c r="M1586" s="245"/>
      <c r="N1586" s="245"/>
      <c r="O1586" s="245"/>
      <c r="P1586" s="245"/>
      <c r="Q1586" s="247"/>
      <c r="R1586" s="247"/>
      <c r="S1586" s="247"/>
      <c r="T1586" s="245"/>
      <c r="U1586" s="245"/>
      <c r="V1586" s="241"/>
      <c r="W1586" s="241"/>
      <c r="X1586" s="241"/>
    </row>
    <row r="1587" spans="1:24" ht="13.5" customHeight="1" x14ac:dyDescent="0.3">
      <c r="A1587" s="245"/>
      <c r="B1587" s="246"/>
      <c r="C1587" s="245"/>
      <c r="D1587" s="245"/>
      <c r="E1587" s="245"/>
      <c r="F1587" s="245"/>
      <c r="G1587" s="245"/>
      <c r="H1587" s="245"/>
      <c r="I1587" s="245"/>
      <c r="J1587" s="245"/>
      <c r="K1587" s="245"/>
      <c r="L1587" s="246"/>
      <c r="M1587" s="245"/>
      <c r="N1587" s="245"/>
      <c r="O1587" s="245"/>
      <c r="P1587" s="245"/>
      <c r="Q1587" s="247"/>
      <c r="R1587" s="247"/>
      <c r="S1587" s="247"/>
      <c r="T1587" s="245"/>
      <c r="U1587" s="245"/>
      <c r="V1587" s="241"/>
      <c r="W1587" s="241"/>
      <c r="X1587" s="241"/>
    </row>
    <row r="1588" spans="1:24" ht="13.5" customHeight="1" x14ac:dyDescent="0.3">
      <c r="A1588" s="245"/>
      <c r="B1588" s="246"/>
      <c r="C1588" s="245"/>
      <c r="D1588" s="245"/>
      <c r="E1588" s="245"/>
      <c r="F1588" s="245"/>
      <c r="G1588" s="245"/>
      <c r="H1588" s="245"/>
      <c r="I1588" s="245"/>
      <c r="J1588" s="245"/>
      <c r="K1588" s="245"/>
      <c r="L1588" s="246"/>
      <c r="M1588" s="245"/>
      <c r="N1588" s="245"/>
      <c r="O1588" s="245"/>
      <c r="P1588" s="245"/>
      <c r="Q1588" s="247"/>
      <c r="R1588" s="247"/>
      <c r="S1588" s="247"/>
      <c r="T1588" s="245"/>
      <c r="U1588" s="245"/>
      <c r="V1588" s="241"/>
      <c r="W1588" s="241"/>
      <c r="X1588" s="241"/>
    </row>
    <row r="1589" spans="1:24" ht="13.5" customHeight="1" x14ac:dyDescent="0.3">
      <c r="A1589" s="245"/>
      <c r="B1589" s="246"/>
      <c r="C1589" s="245"/>
      <c r="D1589" s="245"/>
      <c r="E1589" s="245"/>
      <c r="F1589" s="245"/>
      <c r="G1589" s="245"/>
      <c r="H1589" s="245"/>
      <c r="I1589" s="245"/>
      <c r="J1589" s="245"/>
      <c r="K1589" s="245"/>
      <c r="L1589" s="246"/>
      <c r="M1589" s="245"/>
      <c r="N1589" s="245"/>
      <c r="O1589" s="245"/>
      <c r="P1589" s="245"/>
      <c r="Q1589" s="247"/>
      <c r="R1589" s="247"/>
      <c r="S1589" s="247"/>
      <c r="T1589" s="245"/>
      <c r="U1589" s="245"/>
      <c r="V1589" s="241"/>
      <c r="W1589" s="241"/>
      <c r="X1589" s="241"/>
    </row>
    <row r="1590" spans="1:24" ht="13.5" customHeight="1" x14ac:dyDescent="0.3">
      <c r="A1590" s="245"/>
      <c r="B1590" s="246"/>
      <c r="C1590" s="245"/>
      <c r="D1590" s="245"/>
      <c r="E1590" s="245"/>
      <c r="F1590" s="245"/>
      <c r="G1590" s="245"/>
      <c r="H1590" s="245"/>
      <c r="I1590" s="245"/>
      <c r="J1590" s="245"/>
      <c r="K1590" s="245"/>
      <c r="L1590" s="246"/>
      <c r="M1590" s="245"/>
      <c r="N1590" s="245"/>
      <c r="O1590" s="245"/>
      <c r="P1590" s="245"/>
      <c r="Q1590" s="247"/>
      <c r="R1590" s="247"/>
      <c r="S1590" s="247"/>
      <c r="T1590" s="245"/>
      <c r="U1590" s="245"/>
      <c r="V1590" s="241"/>
      <c r="W1590" s="241"/>
      <c r="X1590" s="241"/>
    </row>
    <row r="1591" spans="1:24" ht="13.5" customHeight="1" x14ac:dyDescent="0.3">
      <c r="A1591" s="245"/>
      <c r="B1591" s="246"/>
      <c r="C1591" s="245"/>
      <c r="D1591" s="245"/>
      <c r="E1591" s="245"/>
      <c r="F1591" s="245"/>
      <c r="G1591" s="245"/>
      <c r="H1591" s="245"/>
      <c r="I1591" s="245"/>
      <c r="J1591" s="245"/>
      <c r="K1591" s="245"/>
      <c r="L1591" s="246"/>
      <c r="M1591" s="245"/>
      <c r="N1591" s="245"/>
      <c r="O1591" s="245"/>
      <c r="P1591" s="245"/>
      <c r="Q1591" s="247"/>
      <c r="R1591" s="247"/>
      <c r="S1591" s="247"/>
      <c r="T1591" s="245"/>
      <c r="U1591" s="245"/>
      <c r="V1591" s="241"/>
      <c r="W1591" s="241"/>
      <c r="X1591" s="241"/>
    </row>
    <row r="1592" spans="1:24" ht="13.5" customHeight="1" x14ac:dyDescent="0.3">
      <c r="A1592" s="245"/>
      <c r="B1592" s="246"/>
      <c r="C1592" s="245"/>
      <c r="D1592" s="245"/>
      <c r="E1592" s="245"/>
      <c r="F1592" s="245"/>
      <c r="G1592" s="245"/>
      <c r="H1592" s="245"/>
      <c r="I1592" s="245"/>
      <c r="J1592" s="245"/>
      <c r="K1592" s="245"/>
      <c r="L1592" s="246"/>
      <c r="M1592" s="245"/>
      <c r="N1592" s="245"/>
      <c r="O1592" s="245"/>
      <c r="P1592" s="245"/>
      <c r="Q1592" s="247"/>
      <c r="R1592" s="247"/>
      <c r="S1592" s="247"/>
      <c r="T1592" s="245"/>
      <c r="U1592" s="245"/>
      <c r="V1592" s="241"/>
      <c r="W1592" s="241"/>
      <c r="X1592" s="241"/>
    </row>
    <row r="1593" spans="1:24" ht="13.5" customHeight="1" x14ac:dyDescent="0.3">
      <c r="A1593" s="245"/>
      <c r="B1593" s="246"/>
      <c r="C1593" s="245"/>
      <c r="D1593" s="245"/>
      <c r="E1593" s="245"/>
      <c r="F1593" s="245"/>
      <c r="G1593" s="245"/>
      <c r="H1593" s="245"/>
      <c r="I1593" s="245"/>
      <c r="J1593" s="245"/>
      <c r="K1593" s="245"/>
      <c r="L1593" s="246"/>
      <c r="M1593" s="245"/>
      <c r="N1593" s="245"/>
      <c r="O1593" s="245"/>
      <c r="P1593" s="245"/>
      <c r="Q1593" s="247"/>
      <c r="R1593" s="247"/>
      <c r="S1593" s="247"/>
      <c r="T1593" s="245"/>
      <c r="U1593" s="245"/>
      <c r="V1593" s="241"/>
      <c r="W1593" s="241"/>
      <c r="X1593" s="241"/>
    </row>
    <row r="1594" spans="1:24" ht="13.5" customHeight="1" x14ac:dyDescent="0.3">
      <c r="A1594" s="245"/>
      <c r="B1594" s="246"/>
      <c r="C1594" s="245"/>
      <c r="D1594" s="245"/>
      <c r="E1594" s="245"/>
      <c r="F1594" s="245"/>
      <c r="G1594" s="245"/>
      <c r="H1594" s="245"/>
      <c r="I1594" s="245"/>
      <c r="J1594" s="245"/>
      <c r="K1594" s="245"/>
      <c r="L1594" s="246"/>
      <c r="M1594" s="245"/>
      <c r="N1594" s="245"/>
      <c r="O1594" s="245"/>
      <c r="P1594" s="245"/>
      <c r="Q1594" s="247"/>
      <c r="R1594" s="247"/>
      <c r="S1594" s="247"/>
      <c r="T1594" s="245"/>
      <c r="U1594" s="245"/>
      <c r="V1594" s="241"/>
      <c r="W1594" s="241"/>
      <c r="X1594" s="241"/>
    </row>
    <row r="1595" spans="1:24" ht="13.5" customHeight="1" x14ac:dyDescent="0.3">
      <c r="A1595" s="245"/>
      <c r="B1595" s="246"/>
      <c r="C1595" s="245"/>
      <c r="D1595" s="245"/>
      <c r="E1595" s="245"/>
      <c r="F1595" s="245"/>
      <c r="G1595" s="245"/>
      <c r="H1595" s="245"/>
      <c r="I1595" s="245"/>
      <c r="J1595" s="245"/>
      <c r="K1595" s="245"/>
      <c r="L1595" s="246"/>
      <c r="M1595" s="245"/>
      <c r="N1595" s="245"/>
      <c r="O1595" s="245"/>
      <c r="P1595" s="245"/>
      <c r="Q1595" s="247"/>
      <c r="R1595" s="247"/>
      <c r="S1595" s="247"/>
      <c r="T1595" s="245"/>
      <c r="U1595" s="245"/>
      <c r="V1595" s="241"/>
      <c r="W1595" s="241"/>
      <c r="X1595" s="241"/>
    </row>
    <row r="1596" spans="1:24" ht="13.5" customHeight="1" x14ac:dyDescent="0.3">
      <c r="A1596" s="245"/>
      <c r="B1596" s="246"/>
      <c r="C1596" s="245"/>
      <c r="D1596" s="245"/>
      <c r="E1596" s="245"/>
      <c r="F1596" s="245"/>
      <c r="G1596" s="245"/>
      <c r="H1596" s="245"/>
      <c r="I1596" s="245"/>
      <c r="J1596" s="245"/>
      <c r="K1596" s="245"/>
      <c r="L1596" s="246"/>
      <c r="M1596" s="245"/>
      <c r="N1596" s="245"/>
      <c r="O1596" s="245"/>
      <c r="P1596" s="245"/>
      <c r="Q1596" s="247"/>
      <c r="R1596" s="247"/>
      <c r="S1596" s="247"/>
      <c r="T1596" s="245"/>
      <c r="U1596" s="245"/>
      <c r="V1596" s="241"/>
      <c r="W1596" s="241"/>
      <c r="X1596" s="241"/>
    </row>
    <row r="1597" spans="1:24" ht="13.5" customHeight="1" x14ac:dyDescent="0.3">
      <c r="A1597" s="245"/>
      <c r="B1597" s="246"/>
      <c r="C1597" s="245"/>
      <c r="D1597" s="245"/>
      <c r="E1597" s="245"/>
      <c r="F1597" s="245"/>
      <c r="G1597" s="245"/>
      <c r="H1597" s="245"/>
      <c r="I1597" s="245"/>
      <c r="J1597" s="245"/>
      <c r="K1597" s="245"/>
      <c r="L1597" s="246"/>
      <c r="M1597" s="245"/>
      <c r="N1597" s="245"/>
      <c r="O1597" s="245"/>
      <c r="P1597" s="245"/>
      <c r="Q1597" s="247"/>
      <c r="R1597" s="247"/>
      <c r="S1597" s="247"/>
      <c r="T1597" s="245"/>
      <c r="U1597" s="245"/>
      <c r="V1597" s="241"/>
      <c r="W1597" s="241"/>
      <c r="X1597" s="241"/>
    </row>
    <row r="1598" spans="1:24" ht="13.5" customHeight="1" x14ac:dyDescent="0.3">
      <c r="A1598" s="245"/>
      <c r="B1598" s="246"/>
      <c r="C1598" s="245"/>
      <c r="D1598" s="245"/>
      <c r="E1598" s="245"/>
      <c r="F1598" s="245"/>
      <c r="G1598" s="245"/>
      <c r="H1598" s="245"/>
      <c r="I1598" s="245"/>
      <c r="J1598" s="245"/>
      <c r="K1598" s="245"/>
      <c r="L1598" s="246"/>
      <c r="M1598" s="245"/>
      <c r="N1598" s="245"/>
      <c r="O1598" s="245"/>
      <c r="P1598" s="245"/>
      <c r="Q1598" s="247"/>
      <c r="R1598" s="247"/>
      <c r="S1598" s="247"/>
      <c r="T1598" s="245"/>
      <c r="U1598" s="245"/>
      <c r="V1598" s="241"/>
      <c r="W1598" s="241"/>
      <c r="X1598" s="241"/>
    </row>
    <row r="1599" spans="1:24" ht="13.5" customHeight="1" x14ac:dyDescent="0.3">
      <c r="A1599" s="245"/>
      <c r="B1599" s="246"/>
      <c r="C1599" s="245"/>
      <c r="D1599" s="245"/>
      <c r="E1599" s="245"/>
      <c r="F1599" s="245"/>
      <c r="G1599" s="245"/>
      <c r="H1599" s="245"/>
      <c r="I1599" s="245"/>
      <c r="J1599" s="245"/>
      <c r="K1599" s="245"/>
      <c r="L1599" s="246"/>
      <c r="M1599" s="245"/>
      <c r="N1599" s="245"/>
      <c r="O1599" s="245"/>
      <c r="P1599" s="245"/>
      <c r="Q1599" s="247"/>
      <c r="R1599" s="247"/>
      <c r="S1599" s="247"/>
      <c r="T1599" s="245"/>
      <c r="U1599" s="245"/>
      <c r="V1599" s="241"/>
      <c r="W1599" s="241"/>
      <c r="X1599" s="241"/>
    </row>
    <row r="1600" spans="1:24" ht="13.5" customHeight="1" x14ac:dyDescent="0.3">
      <c r="A1600" s="245"/>
      <c r="B1600" s="246"/>
      <c r="C1600" s="245"/>
      <c r="D1600" s="245"/>
      <c r="E1600" s="245"/>
      <c r="F1600" s="245"/>
      <c r="G1600" s="245"/>
      <c r="H1600" s="245"/>
      <c r="I1600" s="245"/>
      <c r="J1600" s="245"/>
      <c r="K1600" s="245"/>
      <c r="L1600" s="246"/>
      <c r="M1600" s="245"/>
      <c r="N1600" s="245"/>
      <c r="O1600" s="245"/>
      <c r="P1600" s="245"/>
      <c r="Q1600" s="247"/>
      <c r="R1600" s="247"/>
      <c r="S1600" s="247"/>
      <c r="T1600" s="245"/>
      <c r="U1600" s="245"/>
      <c r="V1600" s="241"/>
      <c r="W1600" s="241"/>
      <c r="X1600" s="241"/>
    </row>
    <row r="1601" spans="1:24" ht="13.5" customHeight="1" x14ac:dyDescent="0.3">
      <c r="A1601" s="245"/>
      <c r="B1601" s="246"/>
      <c r="C1601" s="245"/>
      <c r="D1601" s="245"/>
      <c r="E1601" s="245"/>
      <c r="F1601" s="245"/>
      <c r="G1601" s="245"/>
      <c r="H1601" s="245"/>
      <c r="I1601" s="245"/>
      <c r="J1601" s="245"/>
      <c r="K1601" s="245"/>
      <c r="L1601" s="246"/>
      <c r="M1601" s="245"/>
      <c r="N1601" s="245"/>
      <c r="O1601" s="245"/>
      <c r="P1601" s="245"/>
      <c r="Q1601" s="247"/>
      <c r="R1601" s="247"/>
      <c r="S1601" s="247"/>
      <c r="T1601" s="245"/>
      <c r="U1601" s="245"/>
      <c r="V1601" s="241"/>
      <c r="W1601" s="241"/>
      <c r="X1601" s="241"/>
    </row>
    <row r="1602" spans="1:24" ht="13.5" customHeight="1" x14ac:dyDescent="0.3">
      <c r="A1602" s="245"/>
      <c r="B1602" s="246"/>
      <c r="C1602" s="245"/>
      <c r="D1602" s="245"/>
      <c r="E1602" s="245"/>
      <c r="F1602" s="245"/>
      <c r="G1602" s="245"/>
      <c r="H1602" s="245"/>
      <c r="I1602" s="245"/>
      <c r="J1602" s="245"/>
      <c r="K1602" s="245"/>
      <c r="L1602" s="246"/>
      <c r="M1602" s="245"/>
      <c r="N1602" s="245"/>
      <c r="O1602" s="245"/>
      <c r="P1602" s="245"/>
      <c r="Q1602" s="247"/>
      <c r="R1602" s="247"/>
      <c r="S1602" s="247"/>
      <c r="T1602" s="245"/>
      <c r="U1602" s="245"/>
      <c r="V1602" s="241"/>
      <c r="W1602" s="241"/>
      <c r="X1602" s="241"/>
    </row>
    <row r="1603" spans="1:24" ht="13.5" customHeight="1" x14ac:dyDescent="0.3">
      <c r="A1603" s="245"/>
      <c r="B1603" s="246"/>
      <c r="C1603" s="245"/>
      <c r="D1603" s="245"/>
      <c r="E1603" s="245"/>
      <c r="F1603" s="245"/>
      <c r="G1603" s="245"/>
      <c r="H1603" s="245"/>
      <c r="I1603" s="245"/>
      <c r="J1603" s="245"/>
      <c r="K1603" s="245"/>
      <c r="L1603" s="246"/>
      <c r="M1603" s="245"/>
      <c r="N1603" s="245"/>
      <c r="O1603" s="245"/>
      <c r="P1603" s="245"/>
      <c r="Q1603" s="247"/>
      <c r="R1603" s="247"/>
      <c r="S1603" s="247"/>
      <c r="T1603" s="245"/>
      <c r="U1603" s="245"/>
      <c r="V1603" s="241"/>
      <c r="W1603" s="241"/>
      <c r="X1603" s="241"/>
    </row>
    <row r="1604" spans="1:24" ht="13.5" customHeight="1" x14ac:dyDescent="0.3">
      <c r="A1604" s="245"/>
      <c r="B1604" s="246"/>
      <c r="C1604" s="245"/>
      <c r="D1604" s="245"/>
      <c r="E1604" s="245"/>
      <c r="F1604" s="245"/>
      <c r="G1604" s="245"/>
      <c r="H1604" s="245"/>
      <c r="I1604" s="245"/>
      <c r="J1604" s="245"/>
      <c r="K1604" s="245"/>
      <c r="L1604" s="246"/>
      <c r="M1604" s="245"/>
      <c r="N1604" s="245"/>
      <c r="O1604" s="245"/>
      <c r="P1604" s="245"/>
      <c r="Q1604" s="247"/>
      <c r="R1604" s="247"/>
      <c r="S1604" s="247"/>
      <c r="T1604" s="245"/>
      <c r="U1604" s="245"/>
      <c r="V1604" s="241"/>
      <c r="W1604" s="241"/>
      <c r="X1604" s="241"/>
    </row>
    <row r="1605" spans="1:24" ht="13.5" customHeight="1" x14ac:dyDescent="0.3">
      <c r="A1605" s="245"/>
      <c r="B1605" s="246"/>
      <c r="C1605" s="245"/>
      <c r="D1605" s="245"/>
      <c r="E1605" s="245"/>
      <c r="F1605" s="245"/>
      <c r="G1605" s="245"/>
      <c r="H1605" s="245"/>
      <c r="I1605" s="245"/>
      <c r="J1605" s="245"/>
      <c r="K1605" s="245"/>
      <c r="L1605" s="246"/>
      <c r="M1605" s="245"/>
      <c r="N1605" s="245"/>
      <c r="O1605" s="245"/>
      <c r="P1605" s="245"/>
      <c r="Q1605" s="247"/>
      <c r="R1605" s="247"/>
      <c r="S1605" s="247"/>
      <c r="T1605" s="245"/>
      <c r="U1605" s="245"/>
      <c r="V1605" s="241"/>
      <c r="W1605" s="241"/>
      <c r="X1605" s="241"/>
    </row>
    <row r="1606" spans="1:24" ht="13.5" customHeight="1" x14ac:dyDescent="0.3">
      <c r="A1606" s="245"/>
      <c r="B1606" s="246"/>
      <c r="C1606" s="245"/>
      <c r="D1606" s="245"/>
      <c r="E1606" s="245"/>
      <c r="F1606" s="245"/>
      <c r="G1606" s="245"/>
      <c r="H1606" s="245"/>
      <c r="I1606" s="245"/>
      <c r="J1606" s="245"/>
      <c r="K1606" s="245"/>
      <c r="L1606" s="246"/>
      <c r="M1606" s="245"/>
      <c r="N1606" s="245"/>
      <c r="O1606" s="245"/>
      <c r="P1606" s="245"/>
      <c r="Q1606" s="247"/>
      <c r="R1606" s="247"/>
      <c r="S1606" s="247"/>
      <c r="T1606" s="245"/>
      <c r="U1606" s="245"/>
      <c r="V1606" s="241"/>
      <c r="W1606" s="241"/>
      <c r="X1606" s="241"/>
    </row>
    <row r="1607" spans="1:24" ht="13.5" customHeight="1" x14ac:dyDescent="0.3">
      <c r="A1607" s="245"/>
      <c r="B1607" s="246"/>
      <c r="C1607" s="245"/>
      <c r="D1607" s="245"/>
      <c r="E1607" s="245"/>
      <c r="F1607" s="245"/>
      <c r="G1607" s="245"/>
      <c r="H1607" s="245"/>
      <c r="I1607" s="245"/>
      <c r="J1607" s="245"/>
      <c r="K1607" s="245"/>
      <c r="L1607" s="246"/>
      <c r="M1607" s="245"/>
      <c r="N1607" s="245"/>
      <c r="O1607" s="245"/>
      <c r="P1607" s="245"/>
      <c r="Q1607" s="247"/>
      <c r="R1607" s="247"/>
      <c r="S1607" s="247"/>
      <c r="T1607" s="245"/>
      <c r="U1607" s="245"/>
      <c r="V1607" s="241"/>
      <c r="W1607" s="241"/>
      <c r="X1607" s="241"/>
    </row>
    <row r="1608" spans="1:24" ht="13.5" customHeight="1" x14ac:dyDescent="0.3">
      <c r="A1608" s="245"/>
      <c r="B1608" s="246"/>
      <c r="C1608" s="245"/>
      <c r="D1608" s="245"/>
      <c r="E1608" s="245"/>
      <c r="F1608" s="245"/>
      <c r="G1608" s="245"/>
      <c r="H1608" s="245"/>
      <c r="I1608" s="245"/>
      <c r="J1608" s="245"/>
      <c r="K1608" s="245"/>
      <c r="L1608" s="246"/>
      <c r="M1608" s="245"/>
      <c r="N1608" s="245"/>
      <c r="O1608" s="245"/>
      <c r="P1608" s="245"/>
      <c r="Q1608" s="247"/>
      <c r="R1608" s="247"/>
      <c r="S1608" s="247"/>
      <c r="T1608" s="245"/>
      <c r="U1608" s="245"/>
      <c r="V1608" s="241"/>
      <c r="W1608" s="241"/>
      <c r="X1608" s="241"/>
    </row>
    <row r="1609" spans="1:24" ht="13.5" customHeight="1" x14ac:dyDescent="0.3">
      <c r="A1609" s="245"/>
      <c r="B1609" s="246"/>
      <c r="C1609" s="245"/>
      <c r="D1609" s="245"/>
      <c r="E1609" s="245"/>
      <c r="F1609" s="245"/>
      <c r="G1609" s="245"/>
      <c r="H1609" s="245"/>
      <c r="I1609" s="245"/>
      <c r="J1609" s="245"/>
      <c r="K1609" s="245"/>
      <c r="L1609" s="246"/>
      <c r="M1609" s="245"/>
      <c r="N1609" s="245"/>
      <c r="O1609" s="245"/>
      <c r="P1609" s="245"/>
      <c r="Q1609" s="247"/>
      <c r="R1609" s="247"/>
      <c r="S1609" s="247"/>
      <c r="T1609" s="245"/>
      <c r="U1609" s="245"/>
      <c r="V1609" s="241"/>
      <c r="W1609" s="241"/>
      <c r="X1609" s="241"/>
    </row>
    <row r="1610" spans="1:24" ht="13.5" customHeight="1" x14ac:dyDescent="0.3">
      <c r="A1610" s="245"/>
      <c r="B1610" s="246"/>
      <c r="C1610" s="245"/>
      <c r="D1610" s="245"/>
      <c r="E1610" s="245"/>
      <c r="F1610" s="245"/>
      <c r="G1610" s="245"/>
      <c r="H1610" s="245"/>
      <c r="I1610" s="245"/>
      <c r="J1610" s="245"/>
      <c r="K1610" s="245"/>
      <c r="L1610" s="246"/>
      <c r="M1610" s="245"/>
      <c r="N1610" s="245"/>
      <c r="O1610" s="245"/>
      <c r="P1610" s="245"/>
      <c r="Q1610" s="247"/>
      <c r="R1610" s="247"/>
      <c r="S1610" s="247"/>
      <c r="T1610" s="245"/>
      <c r="U1610" s="245"/>
      <c r="V1610" s="241"/>
      <c r="W1610" s="241"/>
      <c r="X1610" s="241"/>
    </row>
    <row r="1611" spans="1:24" ht="13.5" customHeight="1" x14ac:dyDescent="0.3">
      <c r="A1611" s="245"/>
      <c r="B1611" s="246"/>
      <c r="C1611" s="245"/>
      <c r="D1611" s="245"/>
      <c r="E1611" s="245"/>
      <c r="F1611" s="245"/>
      <c r="G1611" s="245"/>
      <c r="H1611" s="245"/>
      <c r="I1611" s="245"/>
      <c r="J1611" s="245"/>
      <c r="K1611" s="245"/>
      <c r="L1611" s="246"/>
      <c r="M1611" s="245"/>
      <c r="N1611" s="245"/>
      <c r="O1611" s="245"/>
      <c r="P1611" s="245"/>
      <c r="Q1611" s="247"/>
      <c r="R1611" s="247"/>
      <c r="S1611" s="247"/>
      <c r="T1611" s="245"/>
      <c r="U1611" s="245"/>
      <c r="V1611" s="241"/>
      <c r="W1611" s="241"/>
      <c r="X1611" s="241"/>
    </row>
    <row r="1612" spans="1:24" ht="13.5" customHeight="1" x14ac:dyDescent="0.3">
      <c r="A1612" s="245"/>
      <c r="B1612" s="246"/>
      <c r="C1612" s="245"/>
      <c r="D1612" s="245"/>
      <c r="E1612" s="245"/>
      <c r="F1612" s="245"/>
      <c r="G1612" s="245"/>
      <c r="H1612" s="245"/>
      <c r="I1612" s="245"/>
      <c r="J1612" s="245"/>
      <c r="K1612" s="245"/>
      <c r="L1612" s="246"/>
      <c r="M1612" s="245"/>
      <c r="N1612" s="245"/>
      <c r="O1612" s="245"/>
      <c r="P1612" s="245"/>
      <c r="Q1612" s="247"/>
      <c r="R1612" s="247"/>
      <c r="S1612" s="247"/>
      <c r="T1612" s="245"/>
      <c r="U1612" s="245"/>
      <c r="V1612" s="241"/>
      <c r="W1612" s="241"/>
      <c r="X1612" s="241"/>
    </row>
    <row r="1613" spans="1:24" ht="13.5" customHeight="1" x14ac:dyDescent="0.3">
      <c r="A1613" s="245"/>
      <c r="B1613" s="246"/>
      <c r="C1613" s="245"/>
      <c r="D1613" s="245"/>
      <c r="E1613" s="245"/>
      <c r="F1613" s="245"/>
      <c r="G1613" s="245"/>
      <c r="H1613" s="245"/>
      <c r="I1613" s="245"/>
      <c r="J1613" s="245"/>
      <c r="K1613" s="245"/>
      <c r="L1613" s="246"/>
      <c r="M1613" s="245"/>
      <c r="N1613" s="245"/>
      <c r="O1613" s="245"/>
      <c r="P1613" s="245"/>
      <c r="Q1613" s="247"/>
      <c r="R1613" s="247"/>
      <c r="S1613" s="247"/>
      <c r="T1613" s="245"/>
      <c r="U1613" s="245"/>
      <c r="V1613" s="241"/>
      <c r="W1613" s="241"/>
      <c r="X1613" s="241"/>
    </row>
    <row r="1614" spans="1:24" ht="13.5" customHeight="1" x14ac:dyDescent="0.3">
      <c r="A1614" s="245"/>
      <c r="B1614" s="246"/>
      <c r="C1614" s="245"/>
      <c r="D1614" s="245"/>
      <c r="E1614" s="245"/>
      <c r="F1614" s="245"/>
      <c r="G1614" s="245"/>
      <c r="H1614" s="245"/>
      <c r="I1614" s="245"/>
      <c r="J1614" s="245"/>
      <c r="K1614" s="245"/>
      <c r="L1614" s="246"/>
      <c r="M1614" s="245"/>
      <c r="N1614" s="245"/>
      <c r="O1614" s="245"/>
      <c r="P1614" s="245"/>
      <c r="Q1614" s="247"/>
      <c r="R1614" s="247"/>
      <c r="S1614" s="247"/>
      <c r="T1614" s="245"/>
      <c r="U1614" s="245"/>
      <c r="V1614" s="241"/>
      <c r="W1614" s="241"/>
      <c r="X1614" s="241"/>
    </row>
    <row r="1615" spans="1:24" ht="13.5" customHeight="1" x14ac:dyDescent="0.3">
      <c r="A1615" s="245"/>
      <c r="B1615" s="246"/>
      <c r="C1615" s="245"/>
      <c r="D1615" s="245"/>
      <c r="E1615" s="245"/>
      <c r="F1615" s="245"/>
      <c r="G1615" s="245"/>
      <c r="H1615" s="245"/>
      <c r="I1615" s="245"/>
      <c r="J1615" s="245"/>
      <c r="K1615" s="245"/>
      <c r="L1615" s="246"/>
      <c r="M1615" s="245"/>
      <c r="N1615" s="245"/>
      <c r="O1615" s="245"/>
      <c r="P1615" s="245"/>
      <c r="Q1615" s="247"/>
      <c r="R1615" s="247"/>
      <c r="S1615" s="247"/>
      <c r="T1615" s="245"/>
      <c r="U1615" s="245"/>
      <c r="V1615" s="241"/>
      <c r="W1615" s="241"/>
      <c r="X1615" s="241"/>
    </row>
    <row r="1616" spans="1:24" ht="13.5" customHeight="1" x14ac:dyDescent="0.3">
      <c r="A1616" s="245"/>
      <c r="B1616" s="246"/>
      <c r="C1616" s="245"/>
      <c r="D1616" s="245"/>
      <c r="E1616" s="245"/>
      <c r="F1616" s="245"/>
      <c r="G1616" s="245"/>
      <c r="H1616" s="245"/>
      <c r="I1616" s="245"/>
      <c r="J1616" s="245"/>
      <c r="K1616" s="245"/>
      <c r="L1616" s="246"/>
      <c r="M1616" s="245"/>
      <c r="N1616" s="245"/>
      <c r="O1616" s="245"/>
      <c r="P1616" s="245"/>
      <c r="Q1616" s="247"/>
      <c r="R1616" s="247"/>
      <c r="S1616" s="247"/>
      <c r="T1616" s="245"/>
      <c r="U1616" s="245"/>
      <c r="V1616" s="241"/>
      <c r="W1616" s="241"/>
      <c r="X1616" s="241"/>
    </row>
    <row r="1617" spans="1:24" ht="13.5" customHeight="1" x14ac:dyDescent="0.3">
      <c r="A1617" s="245"/>
      <c r="B1617" s="246"/>
      <c r="C1617" s="245"/>
      <c r="D1617" s="245"/>
      <c r="E1617" s="245"/>
      <c r="F1617" s="245"/>
      <c r="G1617" s="245"/>
      <c r="H1617" s="245"/>
      <c r="I1617" s="245"/>
      <c r="J1617" s="245"/>
      <c r="K1617" s="245"/>
      <c r="L1617" s="246"/>
      <c r="M1617" s="245"/>
      <c r="N1617" s="245"/>
      <c r="O1617" s="245"/>
      <c r="P1617" s="245"/>
      <c r="Q1617" s="247"/>
      <c r="R1617" s="247"/>
      <c r="S1617" s="247"/>
      <c r="T1617" s="245"/>
      <c r="U1617" s="245"/>
      <c r="V1617" s="241"/>
      <c r="W1617" s="241"/>
      <c r="X1617" s="241"/>
    </row>
    <row r="1618" spans="1:24" ht="13.5" customHeight="1" x14ac:dyDescent="0.3">
      <c r="A1618" s="245"/>
      <c r="B1618" s="246"/>
      <c r="C1618" s="245"/>
      <c r="D1618" s="245"/>
      <c r="E1618" s="245"/>
      <c r="F1618" s="245"/>
      <c r="G1618" s="245"/>
      <c r="H1618" s="245"/>
      <c r="I1618" s="245"/>
      <c r="J1618" s="245"/>
      <c r="K1618" s="245"/>
      <c r="L1618" s="246"/>
      <c r="M1618" s="245"/>
      <c r="N1618" s="245"/>
      <c r="O1618" s="245"/>
      <c r="P1618" s="245"/>
      <c r="Q1618" s="247"/>
      <c r="R1618" s="247"/>
      <c r="S1618" s="247"/>
      <c r="T1618" s="245"/>
      <c r="U1618" s="245"/>
      <c r="V1618" s="241"/>
      <c r="W1618" s="241"/>
      <c r="X1618" s="241"/>
    </row>
    <row r="1619" spans="1:24" ht="13.5" customHeight="1" x14ac:dyDescent="0.3">
      <c r="A1619" s="245"/>
      <c r="B1619" s="246"/>
      <c r="C1619" s="245"/>
      <c r="D1619" s="245"/>
      <c r="E1619" s="245"/>
      <c r="F1619" s="245"/>
      <c r="G1619" s="245"/>
      <c r="H1619" s="245"/>
      <c r="I1619" s="245"/>
      <c r="J1619" s="245"/>
      <c r="K1619" s="245"/>
      <c r="L1619" s="246"/>
      <c r="M1619" s="245"/>
      <c r="N1619" s="245"/>
      <c r="O1619" s="245"/>
      <c r="P1619" s="245"/>
      <c r="Q1619" s="247"/>
      <c r="R1619" s="247"/>
      <c r="S1619" s="247"/>
      <c r="T1619" s="245"/>
      <c r="U1619" s="245"/>
      <c r="V1619" s="241"/>
      <c r="W1619" s="241"/>
      <c r="X1619" s="241"/>
    </row>
    <row r="1620" spans="1:24" ht="13.5" customHeight="1" x14ac:dyDescent="0.3">
      <c r="A1620" s="245"/>
      <c r="B1620" s="246"/>
      <c r="C1620" s="245"/>
      <c r="D1620" s="245"/>
      <c r="E1620" s="245"/>
      <c r="F1620" s="245"/>
      <c r="G1620" s="245"/>
      <c r="H1620" s="245"/>
      <c r="I1620" s="245"/>
      <c r="J1620" s="245"/>
      <c r="K1620" s="245"/>
      <c r="L1620" s="246"/>
      <c r="M1620" s="245"/>
      <c r="N1620" s="245"/>
      <c r="O1620" s="245"/>
      <c r="P1620" s="245"/>
      <c r="Q1620" s="247"/>
      <c r="R1620" s="247"/>
      <c r="S1620" s="247"/>
      <c r="T1620" s="245"/>
      <c r="U1620" s="245"/>
      <c r="V1620" s="241"/>
      <c r="W1620" s="241"/>
      <c r="X1620" s="241"/>
    </row>
    <row r="1621" spans="1:24" ht="13.5" customHeight="1" x14ac:dyDescent="0.3">
      <c r="A1621" s="245"/>
      <c r="B1621" s="246"/>
      <c r="C1621" s="245"/>
      <c r="D1621" s="245"/>
      <c r="E1621" s="245"/>
      <c r="F1621" s="245"/>
      <c r="G1621" s="245"/>
      <c r="H1621" s="245"/>
      <c r="I1621" s="245"/>
      <c r="J1621" s="245"/>
      <c r="K1621" s="245"/>
      <c r="L1621" s="246"/>
      <c r="M1621" s="245"/>
      <c r="N1621" s="245"/>
      <c r="O1621" s="245"/>
      <c r="P1621" s="245"/>
      <c r="Q1621" s="247"/>
      <c r="R1621" s="247"/>
      <c r="S1621" s="247"/>
      <c r="T1621" s="245"/>
      <c r="U1621" s="245"/>
      <c r="V1621" s="241"/>
      <c r="W1621" s="241"/>
      <c r="X1621" s="241"/>
    </row>
    <row r="1622" spans="1:24" ht="13.5" customHeight="1" x14ac:dyDescent="0.3">
      <c r="A1622" s="245"/>
      <c r="B1622" s="246"/>
      <c r="C1622" s="245"/>
      <c r="D1622" s="245"/>
      <c r="E1622" s="245"/>
      <c r="F1622" s="245"/>
      <c r="G1622" s="245"/>
      <c r="H1622" s="245"/>
      <c r="I1622" s="245"/>
      <c r="J1622" s="245"/>
      <c r="K1622" s="245"/>
      <c r="L1622" s="246"/>
      <c r="M1622" s="245"/>
      <c r="N1622" s="245"/>
      <c r="O1622" s="245"/>
      <c r="P1622" s="245"/>
      <c r="Q1622" s="247"/>
      <c r="R1622" s="247"/>
      <c r="S1622" s="247"/>
      <c r="T1622" s="245"/>
      <c r="U1622" s="245"/>
      <c r="V1622" s="241"/>
      <c r="W1622" s="241"/>
      <c r="X1622" s="241"/>
    </row>
    <row r="1623" spans="1:24" ht="13.5" customHeight="1" x14ac:dyDescent="0.3">
      <c r="A1623" s="245"/>
      <c r="B1623" s="246"/>
      <c r="C1623" s="245"/>
      <c r="D1623" s="245"/>
      <c r="E1623" s="245"/>
      <c r="F1623" s="245"/>
      <c r="G1623" s="245"/>
      <c r="H1623" s="245"/>
      <c r="I1623" s="245"/>
      <c r="J1623" s="245"/>
      <c r="K1623" s="245"/>
      <c r="L1623" s="246"/>
      <c r="M1623" s="245"/>
      <c r="N1623" s="245"/>
      <c r="O1623" s="245"/>
      <c r="P1623" s="245"/>
      <c r="Q1623" s="247"/>
      <c r="R1623" s="247"/>
      <c r="S1623" s="247"/>
      <c r="T1623" s="245"/>
      <c r="U1623" s="245"/>
      <c r="V1623" s="241"/>
      <c r="W1623" s="241"/>
      <c r="X1623" s="241"/>
    </row>
    <row r="1624" spans="1:24" ht="13.5" customHeight="1" x14ac:dyDescent="0.3">
      <c r="A1624" s="245"/>
      <c r="B1624" s="246"/>
      <c r="C1624" s="245"/>
      <c r="D1624" s="245"/>
      <c r="E1624" s="245"/>
      <c r="F1624" s="245"/>
      <c r="G1624" s="245"/>
      <c r="H1624" s="245"/>
      <c r="I1624" s="245"/>
      <c r="J1624" s="245"/>
      <c r="K1624" s="245"/>
      <c r="L1624" s="246"/>
      <c r="M1624" s="245"/>
      <c r="N1624" s="245"/>
      <c r="O1624" s="245"/>
      <c r="P1624" s="245"/>
      <c r="Q1624" s="247"/>
      <c r="R1624" s="247"/>
      <c r="S1624" s="247"/>
      <c r="T1624" s="245"/>
      <c r="U1624" s="245"/>
      <c r="V1624" s="241"/>
      <c r="W1624" s="241"/>
      <c r="X1624" s="241"/>
    </row>
    <row r="1625" spans="1:24" ht="13.5" customHeight="1" x14ac:dyDescent="0.3">
      <c r="A1625" s="245"/>
      <c r="B1625" s="246"/>
      <c r="C1625" s="245"/>
      <c r="D1625" s="245"/>
      <c r="E1625" s="245"/>
      <c r="F1625" s="245"/>
      <c r="G1625" s="245"/>
      <c r="H1625" s="245"/>
      <c r="I1625" s="245"/>
      <c r="J1625" s="245"/>
      <c r="K1625" s="245"/>
      <c r="L1625" s="246"/>
      <c r="M1625" s="245"/>
      <c r="N1625" s="245"/>
      <c r="O1625" s="245"/>
      <c r="P1625" s="245"/>
      <c r="Q1625" s="247"/>
      <c r="R1625" s="247"/>
      <c r="S1625" s="247"/>
      <c r="T1625" s="245"/>
      <c r="U1625" s="245"/>
      <c r="V1625" s="241"/>
      <c r="W1625" s="241"/>
      <c r="X1625" s="241"/>
    </row>
    <row r="1626" spans="1:24" ht="13.5" customHeight="1" x14ac:dyDescent="0.3">
      <c r="A1626" s="245"/>
      <c r="B1626" s="246"/>
      <c r="C1626" s="245"/>
      <c r="D1626" s="245"/>
      <c r="E1626" s="245"/>
      <c r="F1626" s="245"/>
      <c r="G1626" s="245"/>
      <c r="H1626" s="245"/>
      <c r="I1626" s="245"/>
      <c r="J1626" s="245"/>
      <c r="K1626" s="245"/>
      <c r="L1626" s="246"/>
      <c r="M1626" s="245"/>
      <c r="N1626" s="245"/>
      <c r="O1626" s="245"/>
      <c r="P1626" s="245"/>
      <c r="Q1626" s="247"/>
      <c r="R1626" s="247"/>
      <c r="S1626" s="247"/>
      <c r="T1626" s="245"/>
      <c r="U1626" s="245"/>
      <c r="V1626" s="241"/>
      <c r="W1626" s="241"/>
      <c r="X1626" s="241"/>
    </row>
    <row r="1627" spans="1:24" ht="13.5" customHeight="1" x14ac:dyDescent="0.3">
      <c r="A1627" s="245"/>
      <c r="B1627" s="246"/>
      <c r="C1627" s="245"/>
      <c r="D1627" s="245"/>
      <c r="E1627" s="245"/>
      <c r="F1627" s="245"/>
      <c r="G1627" s="245"/>
      <c r="H1627" s="245"/>
      <c r="I1627" s="245"/>
      <c r="J1627" s="245"/>
      <c r="K1627" s="245"/>
      <c r="L1627" s="246"/>
      <c r="M1627" s="245"/>
      <c r="N1627" s="245"/>
      <c r="O1627" s="245"/>
      <c r="P1627" s="245"/>
      <c r="Q1627" s="247"/>
      <c r="R1627" s="247"/>
      <c r="S1627" s="247"/>
      <c r="T1627" s="245"/>
      <c r="U1627" s="245"/>
      <c r="V1627" s="241"/>
      <c r="W1627" s="241"/>
      <c r="X1627" s="241"/>
    </row>
    <row r="1628" spans="1:24" ht="13.5" customHeight="1" x14ac:dyDescent="0.3">
      <c r="A1628" s="245"/>
      <c r="B1628" s="246"/>
      <c r="C1628" s="245"/>
      <c r="D1628" s="245"/>
      <c r="E1628" s="245"/>
      <c r="F1628" s="245"/>
      <c r="G1628" s="245"/>
      <c r="H1628" s="245"/>
      <c r="I1628" s="245"/>
      <c r="J1628" s="245"/>
      <c r="K1628" s="245"/>
      <c r="L1628" s="246"/>
      <c r="M1628" s="245"/>
      <c r="N1628" s="245"/>
      <c r="O1628" s="245"/>
      <c r="P1628" s="245"/>
      <c r="Q1628" s="247"/>
      <c r="R1628" s="247"/>
      <c r="S1628" s="247"/>
      <c r="T1628" s="245"/>
      <c r="U1628" s="245"/>
      <c r="V1628" s="241"/>
      <c r="W1628" s="241"/>
      <c r="X1628" s="241"/>
    </row>
    <row r="1629" spans="1:24" ht="13.5" customHeight="1" x14ac:dyDescent="0.3">
      <c r="A1629" s="245"/>
      <c r="B1629" s="246"/>
      <c r="C1629" s="245"/>
      <c r="D1629" s="245"/>
      <c r="E1629" s="245"/>
      <c r="F1629" s="245"/>
      <c r="G1629" s="245"/>
      <c r="H1629" s="245"/>
      <c r="I1629" s="245"/>
      <c r="J1629" s="245"/>
      <c r="K1629" s="245"/>
      <c r="L1629" s="246"/>
      <c r="M1629" s="245"/>
      <c r="N1629" s="245"/>
      <c r="O1629" s="245"/>
      <c r="P1629" s="245"/>
      <c r="Q1629" s="247"/>
      <c r="R1629" s="247"/>
      <c r="S1629" s="247"/>
      <c r="T1629" s="245"/>
      <c r="U1629" s="245"/>
      <c r="V1629" s="241"/>
      <c r="W1629" s="241"/>
      <c r="X1629" s="241"/>
    </row>
    <row r="1630" spans="1:24" ht="13.5" customHeight="1" x14ac:dyDescent="0.3">
      <c r="A1630" s="245"/>
      <c r="B1630" s="246"/>
      <c r="C1630" s="245"/>
      <c r="D1630" s="245"/>
      <c r="E1630" s="245"/>
      <c r="F1630" s="245"/>
      <c r="G1630" s="245"/>
      <c r="H1630" s="245"/>
      <c r="I1630" s="245"/>
      <c r="J1630" s="245"/>
      <c r="K1630" s="245"/>
      <c r="L1630" s="246"/>
      <c r="M1630" s="245"/>
      <c r="N1630" s="245"/>
      <c r="O1630" s="245"/>
      <c r="P1630" s="245"/>
      <c r="Q1630" s="247"/>
      <c r="R1630" s="247"/>
      <c r="S1630" s="247"/>
      <c r="T1630" s="245"/>
      <c r="U1630" s="245"/>
      <c r="V1630" s="241"/>
      <c r="W1630" s="241"/>
      <c r="X1630" s="241"/>
    </row>
    <row r="1631" spans="1:24" ht="13.5" customHeight="1" x14ac:dyDescent="0.3">
      <c r="A1631" s="245"/>
      <c r="B1631" s="246"/>
      <c r="C1631" s="245"/>
      <c r="D1631" s="245"/>
      <c r="E1631" s="245"/>
      <c r="F1631" s="245"/>
      <c r="G1631" s="245"/>
      <c r="H1631" s="245"/>
      <c r="I1631" s="245"/>
      <c r="J1631" s="245"/>
      <c r="K1631" s="245"/>
      <c r="L1631" s="246"/>
      <c r="M1631" s="245"/>
      <c r="N1631" s="245"/>
      <c r="O1631" s="245"/>
      <c r="P1631" s="245"/>
      <c r="Q1631" s="247"/>
      <c r="R1631" s="247"/>
      <c r="S1631" s="247"/>
      <c r="T1631" s="245"/>
      <c r="U1631" s="245"/>
      <c r="V1631" s="241"/>
      <c r="W1631" s="241"/>
      <c r="X1631" s="241"/>
    </row>
    <row r="1632" spans="1:24" ht="13.5" customHeight="1" x14ac:dyDescent="0.3">
      <c r="A1632" s="245"/>
      <c r="B1632" s="246"/>
      <c r="C1632" s="245"/>
      <c r="D1632" s="245"/>
      <c r="E1632" s="245"/>
      <c r="F1632" s="245"/>
      <c r="G1632" s="245"/>
      <c r="H1632" s="245"/>
      <c r="I1632" s="245"/>
      <c r="J1632" s="245"/>
      <c r="K1632" s="245"/>
      <c r="L1632" s="246"/>
      <c r="M1632" s="245"/>
      <c r="N1632" s="245"/>
      <c r="O1632" s="245"/>
      <c r="P1632" s="245"/>
      <c r="Q1632" s="247"/>
      <c r="R1632" s="247"/>
      <c r="S1632" s="247"/>
      <c r="T1632" s="245"/>
      <c r="U1632" s="245"/>
      <c r="V1632" s="241"/>
      <c r="W1632" s="241"/>
      <c r="X1632" s="241"/>
    </row>
    <row r="1633" spans="1:24" ht="13.5" customHeight="1" x14ac:dyDescent="0.3">
      <c r="A1633" s="245"/>
      <c r="B1633" s="246"/>
      <c r="C1633" s="245"/>
      <c r="D1633" s="245"/>
      <c r="E1633" s="245"/>
      <c r="F1633" s="245"/>
      <c r="G1633" s="245"/>
      <c r="H1633" s="245"/>
      <c r="I1633" s="245"/>
      <c r="J1633" s="245"/>
      <c r="K1633" s="245"/>
      <c r="L1633" s="246"/>
      <c r="M1633" s="245"/>
      <c r="N1633" s="245"/>
      <c r="O1633" s="245"/>
      <c r="P1633" s="245"/>
      <c r="Q1633" s="247"/>
      <c r="R1633" s="247"/>
      <c r="S1633" s="247"/>
      <c r="T1633" s="245"/>
      <c r="U1633" s="245"/>
      <c r="V1633" s="241"/>
      <c r="W1633" s="241"/>
      <c r="X1633" s="241"/>
    </row>
    <row r="1634" spans="1:24" ht="13.5" customHeight="1" x14ac:dyDescent="0.3">
      <c r="A1634" s="245"/>
      <c r="B1634" s="246"/>
      <c r="C1634" s="245"/>
      <c r="D1634" s="245"/>
      <c r="E1634" s="245"/>
      <c r="F1634" s="245"/>
      <c r="G1634" s="245"/>
      <c r="H1634" s="245"/>
      <c r="I1634" s="245"/>
      <c r="J1634" s="245"/>
      <c r="K1634" s="245"/>
      <c r="L1634" s="246"/>
      <c r="M1634" s="245"/>
      <c r="N1634" s="245"/>
      <c r="O1634" s="245"/>
      <c r="P1634" s="245"/>
      <c r="Q1634" s="247"/>
      <c r="R1634" s="247"/>
      <c r="S1634" s="247"/>
      <c r="T1634" s="245"/>
      <c r="U1634" s="245"/>
      <c r="V1634" s="241"/>
      <c r="W1634" s="241"/>
      <c r="X1634" s="241"/>
    </row>
    <row r="1635" spans="1:24" ht="13.5" customHeight="1" x14ac:dyDescent="0.3">
      <c r="A1635" s="245"/>
      <c r="B1635" s="246"/>
      <c r="C1635" s="245"/>
      <c r="D1635" s="245"/>
      <c r="E1635" s="245"/>
      <c r="F1635" s="245"/>
      <c r="G1635" s="245"/>
      <c r="H1635" s="245"/>
      <c r="I1635" s="245"/>
      <c r="J1635" s="245"/>
      <c r="K1635" s="245"/>
      <c r="L1635" s="246"/>
      <c r="M1635" s="245"/>
      <c r="N1635" s="245"/>
      <c r="O1635" s="245"/>
      <c r="P1635" s="245"/>
      <c r="Q1635" s="247"/>
      <c r="R1635" s="247"/>
      <c r="S1635" s="247"/>
      <c r="T1635" s="245"/>
      <c r="U1635" s="245"/>
      <c r="V1635" s="241"/>
      <c r="W1635" s="241"/>
      <c r="X1635" s="241"/>
    </row>
    <row r="1636" spans="1:24" ht="13.5" customHeight="1" x14ac:dyDescent="0.3">
      <c r="A1636" s="245"/>
      <c r="B1636" s="246"/>
      <c r="C1636" s="245"/>
      <c r="D1636" s="245"/>
      <c r="E1636" s="245"/>
      <c r="F1636" s="245"/>
      <c r="G1636" s="245"/>
      <c r="H1636" s="245"/>
      <c r="I1636" s="245"/>
      <c r="J1636" s="245"/>
      <c r="K1636" s="245"/>
      <c r="L1636" s="246"/>
      <c r="M1636" s="245"/>
      <c r="N1636" s="245"/>
      <c r="O1636" s="245"/>
      <c r="P1636" s="245"/>
      <c r="Q1636" s="247"/>
      <c r="R1636" s="247"/>
      <c r="S1636" s="247"/>
      <c r="T1636" s="245"/>
      <c r="U1636" s="245"/>
      <c r="V1636" s="241"/>
      <c r="W1636" s="241"/>
      <c r="X1636" s="241"/>
    </row>
    <row r="1637" spans="1:24" ht="13.5" customHeight="1" x14ac:dyDescent="0.3">
      <c r="A1637" s="245"/>
      <c r="B1637" s="246"/>
      <c r="C1637" s="245"/>
      <c r="D1637" s="245"/>
      <c r="E1637" s="245"/>
      <c r="F1637" s="245"/>
      <c r="G1637" s="245"/>
      <c r="H1637" s="245"/>
      <c r="I1637" s="245"/>
      <c r="J1637" s="245"/>
      <c r="K1637" s="245"/>
      <c r="L1637" s="246"/>
      <c r="M1637" s="245"/>
      <c r="N1637" s="245"/>
      <c r="O1637" s="245"/>
      <c r="P1637" s="245"/>
      <c r="Q1637" s="247"/>
      <c r="R1637" s="247"/>
      <c r="S1637" s="247"/>
      <c r="T1637" s="245"/>
      <c r="U1637" s="245"/>
      <c r="V1637" s="241"/>
      <c r="W1637" s="241"/>
      <c r="X1637" s="241"/>
    </row>
    <row r="1638" spans="1:24" ht="13.5" customHeight="1" x14ac:dyDescent="0.3">
      <c r="A1638" s="245"/>
      <c r="B1638" s="246"/>
      <c r="C1638" s="245"/>
      <c r="D1638" s="245"/>
      <c r="E1638" s="245"/>
      <c r="F1638" s="245"/>
      <c r="G1638" s="245"/>
      <c r="H1638" s="245"/>
      <c r="I1638" s="245"/>
      <c r="J1638" s="245"/>
      <c r="K1638" s="245"/>
      <c r="L1638" s="246"/>
      <c r="M1638" s="245"/>
      <c r="N1638" s="245"/>
      <c r="O1638" s="245"/>
      <c r="P1638" s="245"/>
      <c r="Q1638" s="247"/>
      <c r="R1638" s="247"/>
      <c r="S1638" s="247"/>
      <c r="T1638" s="245"/>
      <c r="U1638" s="245"/>
      <c r="V1638" s="241"/>
      <c r="W1638" s="241"/>
      <c r="X1638" s="241"/>
    </row>
    <row r="1639" spans="1:24" ht="13.5" customHeight="1" x14ac:dyDescent="0.3">
      <c r="A1639" s="245"/>
      <c r="B1639" s="246"/>
      <c r="C1639" s="245"/>
      <c r="D1639" s="245"/>
      <c r="E1639" s="245"/>
      <c r="F1639" s="245"/>
      <c r="G1639" s="245"/>
      <c r="H1639" s="245"/>
      <c r="I1639" s="245"/>
      <c r="J1639" s="245"/>
      <c r="K1639" s="245"/>
      <c r="L1639" s="246"/>
      <c r="M1639" s="245"/>
      <c r="N1639" s="245"/>
      <c r="O1639" s="245"/>
      <c r="P1639" s="245"/>
      <c r="Q1639" s="247"/>
      <c r="R1639" s="247"/>
      <c r="S1639" s="247"/>
      <c r="T1639" s="245"/>
      <c r="U1639" s="245"/>
      <c r="V1639" s="241"/>
      <c r="W1639" s="241"/>
      <c r="X1639" s="241"/>
    </row>
    <row r="1640" spans="1:24" ht="13.5" customHeight="1" x14ac:dyDescent="0.3">
      <c r="A1640" s="245"/>
      <c r="B1640" s="246"/>
      <c r="C1640" s="245"/>
      <c r="D1640" s="245"/>
      <c r="E1640" s="245"/>
      <c r="F1640" s="245"/>
      <c r="G1640" s="245"/>
      <c r="H1640" s="245"/>
      <c r="I1640" s="245"/>
      <c r="J1640" s="245"/>
      <c r="K1640" s="245"/>
      <c r="L1640" s="246"/>
      <c r="M1640" s="245"/>
      <c r="N1640" s="245"/>
      <c r="O1640" s="245"/>
      <c r="P1640" s="245"/>
      <c r="Q1640" s="247"/>
      <c r="R1640" s="247"/>
      <c r="S1640" s="247"/>
      <c r="T1640" s="245"/>
      <c r="U1640" s="245"/>
      <c r="V1640" s="241"/>
      <c r="W1640" s="241"/>
      <c r="X1640" s="241"/>
    </row>
    <row r="1641" spans="1:24" ht="13.5" customHeight="1" x14ac:dyDescent="0.3">
      <c r="A1641" s="245"/>
      <c r="B1641" s="246"/>
      <c r="C1641" s="245"/>
      <c r="D1641" s="245"/>
      <c r="E1641" s="245"/>
      <c r="F1641" s="245"/>
      <c r="G1641" s="245"/>
      <c r="H1641" s="245"/>
      <c r="I1641" s="245"/>
      <c r="J1641" s="245"/>
      <c r="K1641" s="245"/>
      <c r="L1641" s="246"/>
      <c r="M1641" s="245"/>
      <c r="N1641" s="245"/>
      <c r="O1641" s="245"/>
      <c r="P1641" s="245"/>
      <c r="Q1641" s="247"/>
      <c r="R1641" s="247"/>
      <c r="S1641" s="247"/>
      <c r="T1641" s="245"/>
      <c r="U1641" s="245"/>
      <c r="V1641" s="241"/>
      <c r="W1641" s="241"/>
      <c r="X1641" s="241"/>
    </row>
    <row r="1642" spans="1:24" ht="13.5" customHeight="1" x14ac:dyDescent="0.3">
      <c r="A1642" s="245"/>
      <c r="B1642" s="246"/>
      <c r="C1642" s="245"/>
      <c r="D1642" s="245"/>
      <c r="E1642" s="245"/>
      <c r="F1642" s="245"/>
      <c r="G1642" s="245"/>
      <c r="H1642" s="245"/>
      <c r="I1642" s="245"/>
      <c r="J1642" s="245"/>
      <c r="K1642" s="245"/>
      <c r="L1642" s="246"/>
      <c r="M1642" s="245"/>
      <c r="N1642" s="245"/>
      <c r="O1642" s="245"/>
      <c r="P1642" s="245"/>
      <c r="Q1642" s="247"/>
      <c r="R1642" s="247"/>
      <c r="S1642" s="247"/>
      <c r="T1642" s="245"/>
      <c r="U1642" s="245"/>
      <c r="V1642" s="241"/>
      <c r="W1642" s="241"/>
      <c r="X1642" s="241"/>
    </row>
    <row r="1643" spans="1:24" ht="13.5" customHeight="1" x14ac:dyDescent="0.3">
      <c r="A1643" s="245"/>
      <c r="B1643" s="246"/>
      <c r="C1643" s="245"/>
      <c r="D1643" s="245"/>
      <c r="E1643" s="245"/>
      <c r="F1643" s="245"/>
      <c r="G1643" s="245"/>
      <c r="H1643" s="245"/>
      <c r="I1643" s="245"/>
      <c r="J1643" s="245"/>
      <c r="K1643" s="245"/>
      <c r="L1643" s="246"/>
      <c r="M1643" s="245"/>
      <c r="N1643" s="245"/>
      <c r="O1643" s="245"/>
      <c r="P1643" s="245"/>
      <c r="Q1643" s="247"/>
      <c r="R1643" s="247"/>
      <c r="S1643" s="247"/>
      <c r="T1643" s="245"/>
      <c r="U1643" s="245"/>
      <c r="V1643" s="241"/>
      <c r="W1643" s="241"/>
      <c r="X1643" s="241"/>
    </row>
    <row r="1644" spans="1:24" ht="13.5" customHeight="1" x14ac:dyDescent="0.3">
      <c r="A1644" s="245"/>
      <c r="B1644" s="246"/>
      <c r="C1644" s="245"/>
      <c r="D1644" s="245"/>
      <c r="E1644" s="245"/>
      <c r="F1644" s="245"/>
      <c r="G1644" s="245"/>
      <c r="H1644" s="245"/>
      <c r="I1644" s="245"/>
      <c r="J1644" s="245"/>
      <c r="K1644" s="245"/>
      <c r="L1644" s="246"/>
      <c r="M1644" s="245"/>
      <c r="N1644" s="245"/>
      <c r="O1644" s="245"/>
      <c r="P1644" s="245"/>
      <c r="Q1644" s="247"/>
      <c r="R1644" s="247"/>
      <c r="S1644" s="247"/>
      <c r="T1644" s="245"/>
      <c r="U1644" s="245"/>
      <c r="V1644" s="241"/>
      <c r="W1644" s="241"/>
      <c r="X1644" s="241"/>
    </row>
    <row r="1645" spans="1:24" ht="13.5" customHeight="1" x14ac:dyDescent="0.3">
      <c r="A1645" s="245"/>
      <c r="B1645" s="246"/>
      <c r="C1645" s="245"/>
      <c r="D1645" s="245"/>
      <c r="E1645" s="245"/>
      <c r="F1645" s="245"/>
      <c r="G1645" s="245"/>
      <c r="H1645" s="245"/>
      <c r="I1645" s="245"/>
      <c r="J1645" s="245"/>
      <c r="K1645" s="245"/>
      <c r="L1645" s="246"/>
      <c r="M1645" s="245"/>
      <c r="N1645" s="245"/>
      <c r="O1645" s="245"/>
      <c r="P1645" s="245"/>
      <c r="Q1645" s="247"/>
      <c r="R1645" s="247"/>
      <c r="S1645" s="247"/>
      <c r="T1645" s="245"/>
      <c r="U1645" s="245"/>
      <c r="V1645" s="241"/>
      <c r="W1645" s="241"/>
      <c r="X1645" s="241"/>
    </row>
    <row r="1646" spans="1:24" ht="13.5" customHeight="1" x14ac:dyDescent="0.3">
      <c r="A1646" s="245"/>
      <c r="B1646" s="246"/>
      <c r="C1646" s="245"/>
      <c r="D1646" s="245"/>
      <c r="E1646" s="245"/>
      <c r="F1646" s="245"/>
      <c r="G1646" s="245"/>
      <c r="H1646" s="245"/>
      <c r="I1646" s="245"/>
      <c r="J1646" s="245"/>
      <c r="K1646" s="245"/>
      <c r="L1646" s="246"/>
      <c r="M1646" s="245"/>
      <c r="N1646" s="245"/>
      <c r="O1646" s="245"/>
      <c r="P1646" s="245"/>
      <c r="Q1646" s="247"/>
      <c r="R1646" s="247"/>
      <c r="S1646" s="247"/>
      <c r="T1646" s="245"/>
      <c r="U1646" s="245"/>
      <c r="V1646" s="241"/>
      <c r="W1646" s="241"/>
      <c r="X1646" s="241"/>
    </row>
    <row r="1647" spans="1:24" ht="13.5" customHeight="1" x14ac:dyDescent="0.3">
      <c r="A1647" s="245"/>
      <c r="B1647" s="246"/>
      <c r="C1647" s="245"/>
      <c r="D1647" s="245"/>
      <c r="E1647" s="245"/>
      <c r="F1647" s="245"/>
      <c r="G1647" s="245"/>
      <c r="H1647" s="245"/>
      <c r="I1647" s="245"/>
      <c r="J1647" s="245"/>
      <c r="K1647" s="245"/>
      <c r="L1647" s="246"/>
      <c r="M1647" s="245"/>
      <c r="N1647" s="245"/>
      <c r="O1647" s="245"/>
      <c r="P1647" s="245"/>
      <c r="Q1647" s="247"/>
      <c r="R1647" s="247"/>
      <c r="S1647" s="247"/>
      <c r="T1647" s="245"/>
      <c r="U1647" s="245"/>
      <c r="V1647" s="241"/>
      <c r="W1647" s="241"/>
      <c r="X1647" s="241"/>
    </row>
    <row r="1648" spans="1:24" ht="13.5" customHeight="1" x14ac:dyDescent="0.3">
      <c r="A1648" s="245"/>
      <c r="B1648" s="246"/>
      <c r="C1648" s="245"/>
      <c r="D1648" s="245"/>
      <c r="E1648" s="245"/>
      <c r="F1648" s="245"/>
      <c r="G1648" s="245"/>
      <c r="H1648" s="245"/>
      <c r="I1648" s="245"/>
      <c r="J1648" s="245"/>
      <c r="K1648" s="245"/>
      <c r="L1648" s="246"/>
      <c r="M1648" s="245"/>
      <c r="N1648" s="245"/>
      <c r="O1648" s="245"/>
      <c r="P1648" s="245"/>
      <c r="Q1648" s="247"/>
      <c r="R1648" s="247"/>
      <c r="S1648" s="247"/>
      <c r="T1648" s="245"/>
      <c r="U1648" s="245"/>
      <c r="V1648" s="241"/>
      <c r="W1648" s="241"/>
      <c r="X1648" s="241"/>
    </row>
    <row r="1649" spans="1:24" ht="13.5" customHeight="1" x14ac:dyDescent="0.3">
      <c r="A1649" s="245"/>
      <c r="B1649" s="246"/>
      <c r="C1649" s="245"/>
      <c r="D1649" s="245"/>
      <c r="E1649" s="245"/>
      <c r="F1649" s="245"/>
      <c r="G1649" s="245"/>
      <c r="H1649" s="245"/>
      <c r="I1649" s="245"/>
      <c r="J1649" s="245"/>
      <c r="K1649" s="245"/>
      <c r="L1649" s="246"/>
      <c r="M1649" s="245"/>
      <c r="N1649" s="245"/>
      <c r="O1649" s="245"/>
      <c r="P1649" s="245"/>
      <c r="Q1649" s="247"/>
      <c r="R1649" s="247"/>
      <c r="S1649" s="247"/>
      <c r="T1649" s="245"/>
      <c r="U1649" s="245"/>
      <c r="V1649" s="241"/>
      <c r="W1649" s="241"/>
      <c r="X1649" s="241"/>
    </row>
    <row r="1650" spans="1:24" ht="13.5" customHeight="1" x14ac:dyDescent="0.3">
      <c r="A1650" s="245"/>
      <c r="B1650" s="246"/>
      <c r="C1650" s="245"/>
      <c r="D1650" s="245"/>
      <c r="E1650" s="245"/>
      <c r="F1650" s="245"/>
      <c r="G1650" s="245"/>
      <c r="H1650" s="245"/>
      <c r="I1650" s="245"/>
      <c r="J1650" s="245"/>
      <c r="K1650" s="245"/>
      <c r="L1650" s="246"/>
      <c r="M1650" s="245"/>
      <c r="N1650" s="245"/>
      <c r="O1650" s="245"/>
      <c r="P1650" s="245"/>
      <c r="Q1650" s="247"/>
      <c r="R1650" s="247"/>
      <c r="S1650" s="247"/>
      <c r="T1650" s="245"/>
      <c r="U1650" s="245"/>
      <c r="V1650" s="241"/>
      <c r="W1650" s="241"/>
      <c r="X1650" s="241"/>
    </row>
    <row r="1651" spans="1:24" ht="13.5" customHeight="1" x14ac:dyDescent="0.3">
      <c r="A1651" s="245"/>
      <c r="B1651" s="246"/>
      <c r="C1651" s="245"/>
      <c r="D1651" s="245"/>
      <c r="E1651" s="245"/>
      <c r="F1651" s="245"/>
      <c r="G1651" s="245"/>
      <c r="H1651" s="245"/>
      <c r="I1651" s="245"/>
      <c r="J1651" s="245"/>
      <c r="K1651" s="245"/>
      <c r="L1651" s="246"/>
      <c r="M1651" s="245"/>
      <c r="N1651" s="245"/>
      <c r="O1651" s="245"/>
      <c r="P1651" s="245"/>
      <c r="Q1651" s="247"/>
      <c r="R1651" s="247"/>
      <c r="S1651" s="247"/>
      <c r="T1651" s="245"/>
      <c r="U1651" s="245"/>
      <c r="V1651" s="241"/>
      <c r="W1651" s="241"/>
      <c r="X1651" s="241"/>
    </row>
    <row r="1652" spans="1:24" ht="13.5" customHeight="1" x14ac:dyDescent="0.3">
      <c r="A1652" s="245"/>
      <c r="B1652" s="246"/>
      <c r="C1652" s="245"/>
      <c r="D1652" s="245"/>
      <c r="E1652" s="245"/>
      <c r="F1652" s="245"/>
      <c r="G1652" s="245"/>
      <c r="H1652" s="245"/>
      <c r="I1652" s="245"/>
      <c r="J1652" s="245"/>
      <c r="K1652" s="245"/>
      <c r="L1652" s="246"/>
      <c r="M1652" s="245"/>
      <c r="N1652" s="245"/>
      <c r="O1652" s="245"/>
      <c r="P1652" s="245"/>
      <c r="Q1652" s="247"/>
      <c r="R1652" s="247"/>
      <c r="S1652" s="247"/>
      <c r="T1652" s="245"/>
      <c r="U1652" s="245"/>
      <c r="V1652" s="241"/>
      <c r="W1652" s="241"/>
      <c r="X1652" s="241"/>
    </row>
    <row r="1653" spans="1:24" ht="13.5" customHeight="1" x14ac:dyDescent="0.3">
      <c r="A1653" s="245"/>
      <c r="B1653" s="246"/>
      <c r="C1653" s="245"/>
      <c r="D1653" s="245"/>
      <c r="E1653" s="245"/>
      <c r="F1653" s="245"/>
      <c r="G1653" s="245"/>
      <c r="H1653" s="245"/>
      <c r="I1653" s="245"/>
      <c r="J1653" s="245"/>
      <c r="K1653" s="245"/>
      <c r="L1653" s="246"/>
      <c r="M1653" s="245"/>
      <c r="N1653" s="245"/>
      <c r="O1653" s="245"/>
      <c r="P1653" s="245"/>
      <c r="Q1653" s="247"/>
      <c r="R1653" s="247"/>
      <c r="S1653" s="247"/>
      <c r="T1653" s="245"/>
      <c r="U1653" s="245"/>
      <c r="V1653" s="241"/>
      <c r="W1653" s="241"/>
      <c r="X1653" s="241"/>
    </row>
    <row r="1654" spans="1:24" ht="13.5" customHeight="1" x14ac:dyDescent="0.3">
      <c r="A1654" s="245"/>
      <c r="B1654" s="246"/>
      <c r="C1654" s="245"/>
      <c r="D1654" s="245"/>
      <c r="E1654" s="245"/>
      <c r="F1654" s="245"/>
      <c r="G1654" s="245"/>
      <c r="H1654" s="245"/>
      <c r="I1654" s="245"/>
      <c r="J1654" s="245"/>
      <c r="K1654" s="245"/>
      <c r="L1654" s="246"/>
      <c r="M1654" s="245"/>
      <c r="N1654" s="245"/>
      <c r="O1654" s="245"/>
      <c r="P1654" s="245"/>
      <c r="Q1654" s="247"/>
      <c r="R1654" s="247"/>
      <c r="S1654" s="247"/>
      <c r="T1654" s="245"/>
      <c r="U1654" s="245"/>
      <c r="V1654" s="241"/>
      <c r="W1654" s="241"/>
      <c r="X1654" s="241"/>
    </row>
    <row r="1655" spans="1:24" ht="13.5" customHeight="1" x14ac:dyDescent="0.3">
      <c r="A1655" s="245"/>
      <c r="B1655" s="246"/>
      <c r="C1655" s="245"/>
      <c r="D1655" s="245"/>
      <c r="E1655" s="245"/>
      <c r="F1655" s="245"/>
      <c r="G1655" s="245"/>
      <c r="H1655" s="245"/>
      <c r="I1655" s="245"/>
      <c r="J1655" s="245"/>
      <c r="K1655" s="245"/>
      <c r="L1655" s="246"/>
      <c r="M1655" s="245"/>
      <c r="N1655" s="245"/>
      <c r="O1655" s="245"/>
      <c r="P1655" s="245"/>
      <c r="Q1655" s="247"/>
      <c r="R1655" s="247"/>
      <c r="S1655" s="247"/>
      <c r="T1655" s="245"/>
      <c r="U1655" s="245"/>
      <c r="V1655" s="241"/>
      <c r="W1655" s="241"/>
      <c r="X1655" s="241"/>
    </row>
    <row r="1656" spans="1:24" ht="13.5" customHeight="1" x14ac:dyDescent="0.3">
      <c r="A1656" s="245"/>
      <c r="B1656" s="246"/>
      <c r="C1656" s="245"/>
      <c r="D1656" s="245"/>
      <c r="E1656" s="245"/>
      <c r="F1656" s="245"/>
      <c r="G1656" s="245"/>
      <c r="H1656" s="245"/>
      <c r="I1656" s="245"/>
      <c r="J1656" s="245"/>
      <c r="K1656" s="245"/>
      <c r="L1656" s="246"/>
      <c r="M1656" s="245"/>
      <c r="N1656" s="245"/>
      <c r="O1656" s="245"/>
      <c r="P1656" s="245"/>
      <c r="Q1656" s="247"/>
      <c r="R1656" s="247"/>
      <c r="S1656" s="247"/>
      <c r="T1656" s="245"/>
      <c r="U1656" s="245"/>
      <c r="V1656" s="241"/>
      <c r="W1656" s="241"/>
      <c r="X1656" s="241"/>
    </row>
    <row r="1657" spans="1:24" ht="13.5" customHeight="1" x14ac:dyDescent="0.3">
      <c r="A1657" s="245"/>
      <c r="B1657" s="246"/>
      <c r="C1657" s="245"/>
      <c r="D1657" s="245"/>
      <c r="E1657" s="245"/>
      <c r="F1657" s="245"/>
      <c r="G1657" s="245"/>
      <c r="H1657" s="245"/>
      <c r="I1657" s="245"/>
      <c r="J1657" s="245"/>
      <c r="K1657" s="245"/>
      <c r="L1657" s="246"/>
      <c r="M1657" s="245"/>
      <c r="N1657" s="245"/>
      <c r="O1657" s="245"/>
      <c r="P1657" s="245"/>
      <c r="Q1657" s="247"/>
      <c r="R1657" s="247"/>
      <c r="S1657" s="247"/>
      <c r="T1657" s="245"/>
      <c r="U1657" s="245"/>
      <c r="V1657" s="241"/>
      <c r="W1657" s="241"/>
      <c r="X1657" s="241"/>
    </row>
    <row r="1658" spans="1:24" ht="13.5" customHeight="1" x14ac:dyDescent="0.3">
      <c r="A1658" s="245"/>
      <c r="B1658" s="246"/>
      <c r="C1658" s="245"/>
      <c r="D1658" s="245"/>
      <c r="E1658" s="245"/>
      <c r="F1658" s="245"/>
      <c r="G1658" s="245"/>
      <c r="H1658" s="245"/>
      <c r="I1658" s="245"/>
      <c r="J1658" s="245"/>
      <c r="K1658" s="245"/>
      <c r="L1658" s="246"/>
      <c r="M1658" s="245"/>
      <c r="N1658" s="245"/>
      <c r="O1658" s="245"/>
      <c r="P1658" s="245"/>
      <c r="Q1658" s="247"/>
      <c r="R1658" s="247"/>
      <c r="S1658" s="247"/>
      <c r="T1658" s="245"/>
      <c r="U1658" s="245"/>
      <c r="V1658" s="241"/>
      <c r="W1658" s="241"/>
      <c r="X1658" s="241"/>
    </row>
    <row r="1659" spans="1:24" ht="13.5" customHeight="1" x14ac:dyDescent="0.3">
      <c r="A1659" s="245"/>
      <c r="B1659" s="246"/>
      <c r="C1659" s="245"/>
      <c r="D1659" s="245"/>
      <c r="E1659" s="245"/>
      <c r="F1659" s="245"/>
      <c r="G1659" s="245"/>
      <c r="H1659" s="245"/>
      <c r="I1659" s="245"/>
      <c r="J1659" s="245"/>
      <c r="K1659" s="245"/>
      <c r="L1659" s="246"/>
      <c r="M1659" s="245"/>
      <c r="N1659" s="245"/>
      <c r="O1659" s="245"/>
      <c r="P1659" s="245"/>
      <c r="Q1659" s="247"/>
      <c r="R1659" s="247"/>
      <c r="S1659" s="247"/>
      <c r="T1659" s="245"/>
      <c r="U1659" s="245"/>
      <c r="V1659" s="241"/>
      <c r="W1659" s="241"/>
      <c r="X1659" s="241"/>
    </row>
    <row r="1660" spans="1:24" ht="13.5" customHeight="1" x14ac:dyDescent="0.3">
      <c r="A1660" s="245"/>
      <c r="B1660" s="246"/>
      <c r="C1660" s="245"/>
      <c r="D1660" s="245"/>
      <c r="E1660" s="245"/>
      <c r="F1660" s="245"/>
      <c r="G1660" s="245"/>
      <c r="H1660" s="245"/>
      <c r="I1660" s="245"/>
      <c r="J1660" s="245"/>
      <c r="K1660" s="245"/>
      <c r="L1660" s="246"/>
      <c r="M1660" s="245"/>
      <c r="N1660" s="245"/>
      <c r="O1660" s="245"/>
      <c r="P1660" s="245"/>
      <c r="Q1660" s="247"/>
      <c r="R1660" s="247"/>
      <c r="S1660" s="247"/>
      <c r="T1660" s="245"/>
      <c r="U1660" s="245"/>
      <c r="V1660" s="241"/>
      <c r="W1660" s="241"/>
      <c r="X1660" s="241"/>
    </row>
    <row r="1661" spans="1:24" ht="13.5" customHeight="1" x14ac:dyDescent="0.3">
      <c r="A1661" s="245"/>
      <c r="B1661" s="246"/>
      <c r="C1661" s="245"/>
      <c r="D1661" s="245"/>
      <c r="E1661" s="245"/>
      <c r="F1661" s="245"/>
      <c r="G1661" s="245"/>
      <c r="H1661" s="245"/>
      <c r="I1661" s="245"/>
      <c r="J1661" s="245"/>
      <c r="K1661" s="245"/>
      <c r="L1661" s="246"/>
      <c r="M1661" s="245"/>
      <c r="N1661" s="245"/>
      <c r="O1661" s="245"/>
      <c r="P1661" s="245"/>
      <c r="Q1661" s="247"/>
      <c r="R1661" s="247"/>
      <c r="S1661" s="247"/>
      <c r="T1661" s="245"/>
      <c r="U1661" s="245"/>
      <c r="V1661" s="241"/>
      <c r="W1661" s="241"/>
      <c r="X1661" s="241"/>
    </row>
    <row r="1662" spans="1:24" ht="13.5" customHeight="1" x14ac:dyDescent="0.3">
      <c r="A1662" s="245"/>
      <c r="B1662" s="246"/>
      <c r="C1662" s="245"/>
      <c r="D1662" s="245"/>
      <c r="E1662" s="245"/>
      <c r="F1662" s="245"/>
      <c r="G1662" s="245"/>
      <c r="H1662" s="245"/>
      <c r="I1662" s="245"/>
      <c r="J1662" s="245"/>
      <c r="K1662" s="245"/>
      <c r="L1662" s="246"/>
      <c r="M1662" s="245"/>
      <c r="N1662" s="245"/>
      <c r="O1662" s="245"/>
      <c r="P1662" s="245"/>
      <c r="Q1662" s="247"/>
      <c r="R1662" s="247"/>
      <c r="S1662" s="247"/>
      <c r="T1662" s="245"/>
      <c r="U1662" s="245"/>
      <c r="V1662" s="241"/>
      <c r="W1662" s="241"/>
      <c r="X1662" s="241"/>
    </row>
    <row r="1663" spans="1:24" ht="13.5" customHeight="1" x14ac:dyDescent="0.3">
      <c r="A1663" s="245"/>
      <c r="B1663" s="246"/>
      <c r="C1663" s="245"/>
      <c r="D1663" s="245"/>
      <c r="E1663" s="245"/>
      <c r="F1663" s="245"/>
      <c r="G1663" s="245"/>
      <c r="H1663" s="245"/>
      <c r="I1663" s="245"/>
      <c r="J1663" s="245"/>
      <c r="K1663" s="245"/>
      <c r="L1663" s="246"/>
      <c r="M1663" s="245"/>
      <c r="N1663" s="245"/>
      <c r="O1663" s="245"/>
      <c r="P1663" s="245"/>
      <c r="Q1663" s="247"/>
      <c r="R1663" s="247"/>
      <c r="S1663" s="247"/>
      <c r="T1663" s="245"/>
      <c r="U1663" s="245"/>
      <c r="V1663" s="241"/>
      <c r="W1663" s="241"/>
      <c r="X1663" s="241"/>
    </row>
    <row r="1664" spans="1:24" ht="13.5" customHeight="1" x14ac:dyDescent="0.3">
      <c r="A1664" s="245"/>
      <c r="B1664" s="246"/>
      <c r="C1664" s="245"/>
      <c r="D1664" s="245"/>
      <c r="E1664" s="245"/>
      <c r="F1664" s="245"/>
      <c r="G1664" s="245"/>
      <c r="H1664" s="245"/>
      <c r="I1664" s="245"/>
      <c r="J1664" s="245"/>
      <c r="K1664" s="245"/>
      <c r="L1664" s="246"/>
      <c r="M1664" s="245"/>
      <c r="N1664" s="245"/>
      <c r="O1664" s="245"/>
      <c r="P1664" s="245"/>
      <c r="Q1664" s="247"/>
      <c r="R1664" s="247"/>
      <c r="S1664" s="247"/>
      <c r="T1664" s="245"/>
      <c r="U1664" s="245"/>
      <c r="V1664" s="241"/>
      <c r="W1664" s="241"/>
      <c r="X1664" s="241"/>
    </row>
    <row r="1665" spans="1:24" ht="13.5" customHeight="1" x14ac:dyDescent="0.3">
      <c r="A1665" s="245"/>
      <c r="B1665" s="246"/>
      <c r="C1665" s="245"/>
      <c r="D1665" s="245"/>
      <c r="E1665" s="245"/>
      <c r="F1665" s="245"/>
      <c r="G1665" s="245"/>
      <c r="H1665" s="245"/>
      <c r="I1665" s="245"/>
      <c r="J1665" s="245"/>
      <c r="K1665" s="245"/>
      <c r="L1665" s="246"/>
      <c r="M1665" s="245"/>
      <c r="N1665" s="245"/>
      <c r="O1665" s="245"/>
      <c r="P1665" s="245"/>
      <c r="Q1665" s="247"/>
      <c r="R1665" s="247"/>
      <c r="S1665" s="247"/>
      <c r="T1665" s="245"/>
      <c r="U1665" s="245"/>
      <c r="V1665" s="241"/>
      <c r="W1665" s="241"/>
      <c r="X1665" s="241"/>
    </row>
    <row r="1666" spans="1:24" ht="13.5" customHeight="1" x14ac:dyDescent="0.3">
      <c r="A1666" s="245"/>
      <c r="B1666" s="246"/>
      <c r="C1666" s="245"/>
      <c r="D1666" s="245"/>
      <c r="E1666" s="245"/>
      <c r="F1666" s="245"/>
      <c r="G1666" s="245"/>
      <c r="H1666" s="245"/>
      <c r="I1666" s="245"/>
      <c r="J1666" s="245"/>
      <c r="K1666" s="245"/>
      <c r="L1666" s="246"/>
      <c r="M1666" s="245"/>
      <c r="N1666" s="245"/>
      <c r="O1666" s="245"/>
      <c r="P1666" s="245"/>
      <c r="Q1666" s="247"/>
      <c r="R1666" s="247"/>
      <c r="S1666" s="247"/>
      <c r="T1666" s="245"/>
      <c r="U1666" s="245"/>
      <c r="V1666" s="241"/>
      <c r="W1666" s="241"/>
      <c r="X1666" s="241"/>
    </row>
    <row r="1667" spans="1:24" ht="13.5" customHeight="1" x14ac:dyDescent="0.3">
      <c r="A1667" s="245"/>
      <c r="B1667" s="246"/>
      <c r="C1667" s="245"/>
      <c r="D1667" s="245"/>
      <c r="E1667" s="245"/>
      <c r="F1667" s="245"/>
      <c r="G1667" s="245"/>
      <c r="H1667" s="245"/>
      <c r="I1667" s="245"/>
      <c r="J1667" s="245"/>
      <c r="K1667" s="245"/>
      <c r="L1667" s="246"/>
      <c r="M1667" s="245"/>
      <c r="N1667" s="245"/>
      <c r="O1667" s="245"/>
      <c r="P1667" s="245"/>
      <c r="Q1667" s="247"/>
      <c r="R1667" s="247"/>
      <c r="S1667" s="247"/>
      <c r="T1667" s="245"/>
      <c r="U1667" s="245"/>
      <c r="V1667" s="241"/>
      <c r="W1667" s="241"/>
      <c r="X1667" s="241"/>
    </row>
    <row r="1668" spans="1:24" ht="13.5" customHeight="1" x14ac:dyDescent="0.3">
      <c r="A1668" s="245"/>
      <c r="B1668" s="246"/>
      <c r="C1668" s="245"/>
      <c r="D1668" s="245"/>
      <c r="E1668" s="245"/>
      <c r="F1668" s="245"/>
      <c r="G1668" s="245"/>
      <c r="H1668" s="245"/>
      <c r="I1668" s="245"/>
      <c r="J1668" s="245"/>
      <c r="K1668" s="245"/>
      <c r="L1668" s="246"/>
      <c r="M1668" s="245"/>
      <c r="N1668" s="245"/>
      <c r="O1668" s="245"/>
      <c r="P1668" s="245"/>
      <c r="Q1668" s="247"/>
      <c r="R1668" s="247"/>
      <c r="S1668" s="247"/>
      <c r="T1668" s="245"/>
      <c r="U1668" s="245"/>
      <c r="V1668" s="241"/>
      <c r="W1668" s="241"/>
      <c r="X1668" s="241"/>
    </row>
    <row r="1669" spans="1:24" ht="13.5" customHeight="1" x14ac:dyDescent="0.3">
      <c r="A1669" s="245"/>
      <c r="B1669" s="246"/>
      <c r="C1669" s="245"/>
      <c r="D1669" s="245"/>
      <c r="E1669" s="245"/>
      <c r="F1669" s="245"/>
      <c r="G1669" s="245"/>
      <c r="H1669" s="245"/>
      <c r="I1669" s="245"/>
      <c r="J1669" s="245"/>
      <c r="K1669" s="245"/>
      <c r="L1669" s="246"/>
      <c r="M1669" s="245"/>
      <c r="N1669" s="245"/>
      <c r="O1669" s="245"/>
      <c r="P1669" s="245"/>
      <c r="Q1669" s="247"/>
      <c r="R1669" s="247"/>
      <c r="S1669" s="247"/>
      <c r="T1669" s="245"/>
      <c r="U1669" s="245"/>
      <c r="V1669" s="241"/>
      <c r="W1669" s="241"/>
      <c r="X1669" s="241"/>
    </row>
    <row r="1670" spans="1:24" ht="13.5" customHeight="1" x14ac:dyDescent="0.3">
      <c r="A1670" s="245"/>
      <c r="B1670" s="246"/>
      <c r="C1670" s="245"/>
      <c r="D1670" s="245"/>
      <c r="E1670" s="245"/>
      <c r="F1670" s="245"/>
      <c r="G1670" s="245"/>
      <c r="H1670" s="245"/>
      <c r="I1670" s="245"/>
      <c r="J1670" s="245"/>
      <c r="K1670" s="245"/>
      <c r="L1670" s="246"/>
      <c r="M1670" s="245"/>
      <c r="N1670" s="245"/>
      <c r="O1670" s="245"/>
      <c r="P1670" s="245"/>
      <c r="Q1670" s="247"/>
      <c r="R1670" s="247"/>
      <c r="S1670" s="247"/>
      <c r="T1670" s="245"/>
      <c r="U1670" s="245"/>
      <c r="V1670" s="241"/>
      <c r="W1670" s="241"/>
      <c r="X1670" s="241"/>
    </row>
    <row r="1671" spans="1:24" ht="13.5" customHeight="1" x14ac:dyDescent="0.3">
      <c r="A1671" s="245"/>
      <c r="B1671" s="246"/>
      <c r="C1671" s="245"/>
      <c r="D1671" s="245"/>
      <c r="E1671" s="245"/>
      <c r="F1671" s="245"/>
      <c r="G1671" s="245"/>
      <c r="H1671" s="245"/>
      <c r="I1671" s="245"/>
      <c r="J1671" s="245"/>
      <c r="K1671" s="245"/>
      <c r="L1671" s="246"/>
      <c r="M1671" s="245"/>
      <c r="N1671" s="245"/>
      <c r="O1671" s="245"/>
      <c r="P1671" s="245"/>
      <c r="Q1671" s="247"/>
      <c r="R1671" s="247"/>
      <c r="S1671" s="247"/>
      <c r="T1671" s="245"/>
      <c r="U1671" s="245"/>
      <c r="V1671" s="241"/>
      <c r="W1671" s="241"/>
      <c r="X1671" s="241"/>
    </row>
    <row r="1672" spans="1:24" ht="13.5" customHeight="1" x14ac:dyDescent="0.3">
      <c r="A1672" s="245"/>
      <c r="B1672" s="246"/>
      <c r="C1672" s="245"/>
      <c r="D1672" s="245"/>
      <c r="E1672" s="245"/>
      <c r="F1672" s="245"/>
      <c r="G1672" s="245"/>
      <c r="H1672" s="245"/>
      <c r="I1672" s="245"/>
      <c r="J1672" s="245"/>
      <c r="K1672" s="245"/>
      <c r="L1672" s="246"/>
      <c r="M1672" s="245"/>
      <c r="N1672" s="245"/>
      <c r="O1672" s="245"/>
      <c r="P1672" s="245"/>
      <c r="Q1672" s="247"/>
      <c r="R1672" s="247"/>
      <c r="S1672" s="247"/>
      <c r="T1672" s="245"/>
      <c r="U1672" s="245"/>
      <c r="V1672" s="241"/>
      <c r="W1672" s="241"/>
      <c r="X1672" s="241"/>
    </row>
    <row r="1673" spans="1:24" ht="13.5" customHeight="1" x14ac:dyDescent="0.3">
      <c r="A1673" s="245"/>
      <c r="B1673" s="246"/>
      <c r="C1673" s="245"/>
      <c r="D1673" s="245"/>
      <c r="E1673" s="245"/>
      <c r="F1673" s="245"/>
      <c r="G1673" s="245"/>
      <c r="H1673" s="245"/>
      <c r="I1673" s="245"/>
      <c r="J1673" s="245"/>
      <c r="K1673" s="245"/>
      <c r="L1673" s="246"/>
      <c r="M1673" s="245"/>
      <c r="N1673" s="245"/>
      <c r="O1673" s="245"/>
      <c r="P1673" s="245"/>
      <c r="Q1673" s="247"/>
      <c r="R1673" s="247"/>
      <c r="S1673" s="247"/>
      <c r="T1673" s="245"/>
      <c r="U1673" s="245"/>
      <c r="V1673" s="241"/>
      <c r="W1673" s="241"/>
      <c r="X1673" s="241"/>
    </row>
    <row r="1674" spans="1:24" ht="13.5" customHeight="1" x14ac:dyDescent="0.3">
      <c r="A1674" s="245"/>
      <c r="B1674" s="246"/>
      <c r="C1674" s="245"/>
      <c r="D1674" s="245"/>
      <c r="E1674" s="245"/>
      <c r="F1674" s="245"/>
      <c r="G1674" s="245"/>
      <c r="H1674" s="245"/>
      <c r="I1674" s="245"/>
      <c r="J1674" s="245"/>
      <c r="K1674" s="245"/>
      <c r="L1674" s="246"/>
      <c r="M1674" s="245"/>
      <c r="N1674" s="245"/>
      <c r="O1674" s="245"/>
      <c r="P1674" s="245"/>
      <c r="Q1674" s="247"/>
      <c r="R1674" s="247"/>
      <c r="S1674" s="247"/>
      <c r="T1674" s="245"/>
      <c r="U1674" s="245"/>
      <c r="V1674" s="241"/>
      <c r="W1674" s="241"/>
      <c r="X1674" s="241"/>
    </row>
    <row r="1675" spans="1:24" ht="13.5" customHeight="1" x14ac:dyDescent="0.3">
      <c r="A1675" s="245"/>
      <c r="B1675" s="246"/>
      <c r="C1675" s="245"/>
      <c r="D1675" s="245"/>
      <c r="E1675" s="245"/>
      <c r="F1675" s="245"/>
      <c r="G1675" s="245"/>
      <c r="H1675" s="245"/>
      <c r="I1675" s="245"/>
      <c r="J1675" s="245"/>
      <c r="K1675" s="245"/>
      <c r="L1675" s="246"/>
      <c r="M1675" s="245"/>
      <c r="N1675" s="245"/>
      <c r="O1675" s="245"/>
      <c r="P1675" s="245"/>
      <c r="Q1675" s="247"/>
      <c r="R1675" s="247"/>
      <c r="S1675" s="247"/>
      <c r="T1675" s="245"/>
      <c r="U1675" s="245"/>
      <c r="V1675" s="241"/>
      <c r="W1675" s="241"/>
      <c r="X1675" s="241"/>
    </row>
    <row r="1676" spans="1:24" ht="13.5" customHeight="1" x14ac:dyDescent="0.3">
      <c r="A1676" s="245"/>
      <c r="B1676" s="246"/>
      <c r="C1676" s="245"/>
      <c r="D1676" s="245"/>
      <c r="E1676" s="245"/>
      <c r="F1676" s="245"/>
      <c r="G1676" s="245"/>
      <c r="H1676" s="245"/>
      <c r="I1676" s="245"/>
      <c r="J1676" s="245"/>
      <c r="K1676" s="245"/>
      <c r="L1676" s="246"/>
      <c r="M1676" s="245"/>
      <c r="N1676" s="245"/>
      <c r="O1676" s="245"/>
      <c r="P1676" s="245"/>
      <c r="Q1676" s="247"/>
      <c r="R1676" s="247"/>
      <c r="S1676" s="247"/>
      <c r="T1676" s="245"/>
      <c r="U1676" s="245"/>
      <c r="V1676" s="241"/>
      <c r="W1676" s="241"/>
      <c r="X1676" s="241"/>
    </row>
    <row r="1677" spans="1:24" ht="13.5" customHeight="1" x14ac:dyDescent="0.3">
      <c r="A1677" s="245"/>
      <c r="B1677" s="246"/>
      <c r="C1677" s="245"/>
      <c r="D1677" s="245"/>
      <c r="E1677" s="245"/>
      <c r="F1677" s="245"/>
      <c r="G1677" s="245"/>
      <c r="H1677" s="245"/>
      <c r="I1677" s="245"/>
      <c r="J1677" s="245"/>
      <c r="K1677" s="245"/>
      <c r="L1677" s="246"/>
      <c r="M1677" s="245"/>
      <c r="N1677" s="245"/>
      <c r="O1677" s="245"/>
      <c r="P1677" s="245"/>
      <c r="Q1677" s="247"/>
      <c r="R1677" s="247"/>
      <c r="S1677" s="247"/>
      <c r="T1677" s="245"/>
      <c r="U1677" s="245"/>
      <c r="V1677" s="241"/>
      <c r="W1677" s="241"/>
      <c r="X1677" s="241"/>
    </row>
    <row r="1678" spans="1:24" ht="13.5" customHeight="1" x14ac:dyDescent="0.3">
      <c r="A1678" s="245"/>
      <c r="B1678" s="246"/>
      <c r="C1678" s="245"/>
      <c r="D1678" s="245"/>
      <c r="E1678" s="245"/>
      <c r="F1678" s="245"/>
      <c r="G1678" s="245"/>
      <c r="H1678" s="245"/>
      <c r="I1678" s="245"/>
      <c r="J1678" s="245"/>
      <c r="K1678" s="245"/>
      <c r="L1678" s="246"/>
      <c r="M1678" s="245"/>
      <c r="N1678" s="245"/>
      <c r="O1678" s="245"/>
      <c r="P1678" s="245"/>
      <c r="Q1678" s="247"/>
      <c r="R1678" s="247"/>
      <c r="S1678" s="247"/>
      <c r="T1678" s="245"/>
      <c r="U1678" s="245"/>
      <c r="V1678" s="241"/>
      <c r="W1678" s="241"/>
      <c r="X1678" s="241"/>
    </row>
    <row r="1679" spans="1:24" ht="13.5" customHeight="1" x14ac:dyDescent="0.3">
      <c r="A1679" s="245"/>
      <c r="B1679" s="246"/>
      <c r="C1679" s="245"/>
      <c r="D1679" s="245"/>
      <c r="E1679" s="245"/>
      <c r="F1679" s="245"/>
      <c r="G1679" s="245"/>
      <c r="H1679" s="245"/>
      <c r="I1679" s="245"/>
      <c r="J1679" s="245"/>
      <c r="K1679" s="245"/>
      <c r="L1679" s="246"/>
      <c r="M1679" s="245"/>
      <c r="N1679" s="245"/>
      <c r="O1679" s="245"/>
      <c r="P1679" s="245"/>
      <c r="Q1679" s="247"/>
      <c r="R1679" s="247"/>
      <c r="S1679" s="247"/>
      <c r="T1679" s="245"/>
      <c r="U1679" s="245"/>
      <c r="V1679" s="241"/>
      <c r="W1679" s="241"/>
      <c r="X1679" s="241"/>
    </row>
    <row r="1680" spans="1:24" ht="13.5" customHeight="1" x14ac:dyDescent="0.3">
      <c r="A1680" s="245"/>
      <c r="B1680" s="246"/>
      <c r="C1680" s="245"/>
      <c r="D1680" s="245"/>
      <c r="E1680" s="245"/>
      <c r="F1680" s="245"/>
      <c r="G1680" s="245"/>
      <c r="H1680" s="245"/>
      <c r="I1680" s="245"/>
      <c r="J1680" s="245"/>
      <c r="K1680" s="245"/>
      <c r="L1680" s="246"/>
      <c r="M1680" s="245"/>
      <c r="N1680" s="245"/>
      <c r="O1680" s="245"/>
      <c r="P1680" s="245"/>
      <c r="Q1680" s="247"/>
      <c r="R1680" s="247"/>
      <c r="S1680" s="247"/>
      <c r="T1680" s="245"/>
      <c r="U1680" s="245"/>
      <c r="V1680" s="241"/>
      <c r="W1680" s="241"/>
      <c r="X1680" s="241"/>
    </row>
    <row r="1681" spans="1:24" ht="13.5" customHeight="1" x14ac:dyDescent="0.3">
      <c r="A1681" s="245"/>
      <c r="B1681" s="246"/>
      <c r="C1681" s="245"/>
      <c r="D1681" s="245"/>
      <c r="E1681" s="245"/>
      <c r="F1681" s="245"/>
      <c r="G1681" s="245"/>
      <c r="H1681" s="245"/>
      <c r="I1681" s="245"/>
      <c r="J1681" s="245"/>
      <c r="K1681" s="245"/>
      <c r="L1681" s="246"/>
      <c r="M1681" s="245"/>
      <c r="N1681" s="245"/>
      <c r="O1681" s="245"/>
      <c r="P1681" s="245"/>
      <c r="Q1681" s="247"/>
      <c r="R1681" s="247"/>
      <c r="S1681" s="247"/>
      <c r="T1681" s="245"/>
      <c r="U1681" s="245"/>
      <c r="V1681" s="241"/>
      <c r="W1681" s="241"/>
      <c r="X1681" s="241"/>
    </row>
    <row r="1682" spans="1:24" ht="13.5" customHeight="1" x14ac:dyDescent="0.3">
      <c r="A1682" s="245"/>
      <c r="B1682" s="246"/>
      <c r="C1682" s="245"/>
      <c r="D1682" s="245"/>
      <c r="E1682" s="245"/>
      <c r="F1682" s="245"/>
      <c r="G1682" s="245"/>
      <c r="H1682" s="245"/>
      <c r="I1682" s="245"/>
      <c r="J1682" s="245"/>
      <c r="K1682" s="245"/>
      <c r="L1682" s="246"/>
      <c r="M1682" s="245"/>
      <c r="N1682" s="245"/>
      <c r="O1682" s="245"/>
      <c r="P1682" s="245"/>
      <c r="Q1682" s="247"/>
      <c r="R1682" s="247"/>
      <c r="S1682" s="247"/>
      <c r="T1682" s="245"/>
      <c r="U1682" s="245"/>
      <c r="V1682" s="241"/>
      <c r="W1682" s="241"/>
      <c r="X1682" s="241"/>
    </row>
    <row r="1683" spans="1:24" ht="13.5" customHeight="1" x14ac:dyDescent="0.3">
      <c r="A1683" s="245"/>
      <c r="B1683" s="246"/>
      <c r="C1683" s="245"/>
      <c r="D1683" s="245"/>
      <c r="E1683" s="245"/>
      <c r="F1683" s="245"/>
      <c r="G1683" s="245"/>
      <c r="H1683" s="245"/>
      <c r="I1683" s="245"/>
      <c r="J1683" s="245"/>
      <c r="K1683" s="245"/>
      <c r="L1683" s="246"/>
      <c r="M1683" s="245"/>
      <c r="N1683" s="245"/>
      <c r="O1683" s="245"/>
      <c r="P1683" s="245"/>
      <c r="Q1683" s="247"/>
      <c r="R1683" s="247"/>
      <c r="S1683" s="247"/>
      <c r="T1683" s="245"/>
      <c r="U1683" s="245"/>
      <c r="V1683" s="241"/>
      <c r="W1683" s="241"/>
      <c r="X1683" s="241"/>
    </row>
    <row r="1684" spans="1:24" ht="13.5" customHeight="1" x14ac:dyDescent="0.3">
      <c r="A1684" s="245"/>
      <c r="B1684" s="246"/>
      <c r="C1684" s="245"/>
      <c r="D1684" s="245"/>
      <c r="E1684" s="245"/>
      <c r="F1684" s="245"/>
      <c r="G1684" s="245"/>
      <c r="H1684" s="245"/>
      <c r="I1684" s="245"/>
      <c r="J1684" s="245"/>
      <c r="K1684" s="245"/>
      <c r="L1684" s="246"/>
      <c r="M1684" s="245"/>
      <c r="N1684" s="245"/>
      <c r="O1684" s="245"/>
      <c r="P1684" s="245"/>
      <c r="Q1684" s="247"/>
      <c r="R1684" s="247"/>
      <c r="S1684" s="247"/>
      <c r="T1684" s="245"/>
      <c r="U1684" s="245"/>
      <c r="V1684" s="241"/>
      <c r="W1684" s="241"/>
      <c r="X1684" s="241"/>
    </row>
    <row r="1685" spans="1:24" ht="13.5" customHeight="1" x14ac:dyDescent="0.3">
      <c r="A1685" s="245"/>
      <c r="B1685" s="246"/>
      <c r="C1685" s="245"/>
      <c r="D1685" s="245"/>
      <c r="E1685" s="245"/>
      <c r="F1685" s="245"/>
      <c r="G1685" s="245"/>
      <c r="H1685" s="245"/>
      <c r="I1685" s="245"/>
      <c r="J1685" s="245"/>
      <c r="K1685" s="245"/>
      <c r="L1685" s="246"/>
      <c r="M1685" s="245"/>
      <c r="N1685" s="245"/>
      <c r="O1685" s="245"/>
      <c r="P1685" s="245"/>
      <c r="Q1685" s="247"/>
      <c r="R1685" s="247"/>
      <c r="S1685" s="247"/>
      <c r="T1685" s="245"/>
      <c r="U1685" s="245"/>
      <c r="V1685" s="241"/>
      <c r="W1685" s="241"/>
      <c r="X1685" s="241"/>
    </row>
    <row r="1686" spans="1:24" ht="13.5" customHeight="1" x14ac:dyDescent="0.3">
      <c r="A1686" s="245"/>
      <c r="B1686" s="246"/>
      <c r="C1686" s="245"/>
      <c r="D1686" s="245"/>
      <c r="E1686" s="245"/>
      <c r="F1686" s="245"/>
      <c r="G1686" s="245"/>
      <c r="H1686" s="245"/>
      <c r="I1686" s="245"/>
      <c r="J1686" s="245"/>
      <c r="K1686" s="245"/>
      <c r="L1686" s="246"/>
      <c r="M1686" s="245"/>
      <c r="N1686" s="245"/>
      <c r="O1686" s="245"/>
      <c r="P1686" s="245"/>
      <c r="Q1686" s="247"/>
      <c r="R1686" s="247"/>
      <c r="S1686" s="247"/>
      <c r="T1686" s="245"/>
      <c r="U1686" s="245"/>
      <c r="V1686" s="241"/>
      <c r="W1686" s="241"/>
      <c r="X1686" s="241"/>
    </row>
    <row r="1687" spans="1:24" ht="13.5" customHeight="1" x14ac:dyDescent="0.3">
      <c r="A1687" s="245"/>
      <c r="B1687" s="246"/>
      <c r="C1687" s="245"/>
      <c r="D1687" s="245"/>
      <c r="E1687" s="245"/>
      <c r="F1687" s="245"/>
      <c r="G1687" s="245"/>
      <c r="H1687" s="245"/>
      <c r="I1687" s="245"/>
      <c r="J1687" s="245"/>
      <c r="K1687" s="245"/>
      <c r="L1687" s="246"/>
      <c r="M1687" s="245"/>
      <c r="N1687" s="245"/>
      <c r="O1687" s="245"/>
      <c r="P1687" s="245"/>
      <c r="Q1687" s="247"/>
      <c r="R1687" s="247"/>
      <c r="S1687" s="247"/>
      <c r="T1687" s="245"/>
      <c r="U1687" s="245"/>
      <c r="V1687" s="241"/>
      <c r="W1687" s="241"/>
      <c r="X1687" s="241"/>
    </row>
    <row r="1688" spans="1:24" ht="13.5" customHeight="1" x14ac:dyDescent="0.3">
      <c r="A1688" s="245"/>
      <c r="B1688" s="246"/>
      <c r="C1688" s="245"/>
      <c r="D1688" s="245"/>
      <c r="E1688" s="245"/>
      <c r="F1688" s="245"/>
      <c r="G1688" s="245"/>
      <c r="H1688" s="245"/>
      <c r="I1688" s="245"/>
      <c r="J1688" s="245"/>
      <c r="K1688" s="245"/>
      <c r="L1688" s="246"/>
      <c r="M1688" s="245"/>
      <c r="N1688" s="245"/>
      <c r="O1688" s="245"/>
      <c r="P1688" s="245"/>
      <c r="Q1688" s="247"/>
      <c r="R1688" s="247"/>
      <c r="S1688" s="247"/>
      <c r="T1688" s="245"/>
      <c r="U1688" s="245"/>
      <c r="V1688" s="241"/>
      <c r="W1688" s="241"/>
      <c r="X1688" s="241"/>
    </row>
    <row r="1689" spans="1:24" ht="13.5" customHeight="1" x14ac:dyDescent="0.3">
      <c r="A1689" s="245"/>
      <c r="B1689" s="246"/>
      <c r="C1689" s="245"/>
      <c r="D1689" s="245"/>
      <c r="E1689" s="245"/>
      <c r="F1689" s="245"/>
      <c r="G1689" s="245"/>
      <c r="H1689" s="245"/>
      <c r="I1689" s="245"/>
      <c r="J1689" s="245"/>
      <c r="K1689" s="245"/>
      <c r="L1689" s="246"/>
      <c r="M1689" s="245"/>
      <c r="N1689" s="245"/>
      <c r="O1689" s="245"/>
      <c r="P1689" s="245"/>
      <c r="Q1689" s="247"/>
      <c r="R1689" s="247"/>
      <c r="S1689" s="247"/>
      <c r="T1689" s="245"/>
      <c r="U1689" s="245"/>
      <c r="V1689" s="241"/>
      <c r="W1689" s="241"/>
      <c r="X1689" s="241"/>
    </row>
    <row r="1690" spans="1:24" ht="13.5" customHeight="1" x14ac:dyDescent="0.3">
      <c r="A1690" s="245"/>
      <c r="B1690" s="246"/>
      <c r="C1690" s="245"/>
      <c r="D1690" s="245"/>
      <c r="E1690" s="245"/>
      <c r="F1690" s="245"/>
      <c r="G1690" s="245"/>
      <c r="H1690" s="245"/>
      <c r="I1690" s="245"/>
      <c r="J1690" s="245"/>
      <c r="K1690" s="245"/>
      <c r="L1690" s="246"/>
      <c r="M1690" s="245"/>
      <c r="N1690" s="245"/>
      <c r="O1690" s="245"/>
      <c r="P1690" s="245"/>
      <c r="Q1690" s="247"/>
      <c r="R1690" s="247"/>
      <c r="S1690" s="247"/>
      <c r="T1690" s="245"/>
      <c r="U1690" s="245"/>
      <c r="V1690" s="241"/>
      <c r="W1690" s="241"/>
      <c r="X1690" s="241"/>
    </row>
    <row r="1691" spans="1:24" ht="13.5" customHeight="1" x14ac:dyDescent="0.3">
      <c r="A1691" s="245"/>
      <c r="B1691" s="246"/>
      <c r="C1691" s="245"/>
      <c r="D1691" s="245"/>
      <c r="E1691" s="245"/>
      <c r="F1691" s="245"/>
      <c r="G1691" s="245"/>
      <c r="H1691" s="245"/>
      <c r="I1691" s="245"/>
      <c r="J1691" s="245"/>
      <c r="K1691" s="245"/>
      <c r="L1691" s="246"/>
      <c r="M1691" s="245"/>
      <c r="N1691" s="245"/>
      <c r="O1691" s="245"/>
      <c r="P1691" s="245"/>
      <c r="Q1691" s="247"/>
      <c r="R1691" s="247"/>
      <c r="S1691" s="247"/>
      <c r="T1691" s="245"/>
      <c r="U1691" s="245"/>
      <c r="V1691" s="241"/>
      <c r="W1691" s="241"/>
      <c r="X1691" s="241"/>
    </row>
    <row r="1692" spans="1:24" ht="13.5" customHeight="1" x14ac:dyDescent="0.3">
      <c r="A1692" s="245"/>
      <c r="B1692" s="246"/>
      <c r="C1692" s="245"/>
      <c r="D1692" s="245"/>
      <c r="E1692" s="245"/>
      <c r="F1692" s="245"/>
      <c r="G1692" s="245"/>
      <c r="H1692" s="245"/>
      <c r="I1692" s="245"/>
      <c r="J1692" s="245"/>
      <c r="K1692" s="245"/>
      <c r="L1692" s="246"/>
      <c r="M1692" s="245"/>
      <c r="N1692" s="245"/>
      <c r="O1692" s="245"/>
      <c r="P1692" s="245"/>
      <c r="Q1692" s="247"/>
      <c r="R1692" s="247"/>
      <c r="S1692" s="247"/>
      <c r="T1692" s="245"/>
      <c r="U1692" s="245"/>
      <c r="V1692" s="241"/>
      <c r="W1692" s="241"/>
      <c r="X1692" s="241"/>
    </row>
    <row r="1693" spans="1:24" ht="13.5" customHeight="1" x14ac:dyDescent="0.3">
      <c r="A1693" s="245"/>
      <c r="B1693" s="246"/>
      <c r="C1693" s="245"/>
      <c r="D1693" s="245"/>
      <c r="E1693" s="245"/>
      <c r="F1693" s="245"/>
      <c r="G1693" s="245"/>
      <c r="H1693" s="245"/>
      <c r="I1693" s="245"/>
      <c r="J1693" s="245"/>
      <c r="K1693" s="245"/>
      <c r="L1693" s="246"/>
      <c r="M1693" s="245"/>
      <c r="N1693" s="245"/>
      <c r="O1693" s="245"/>
      <c r="P1693" s="245"/>
      <c r="Q1693" s="247"/>
      <c r="R1693" s="247"/>
      <c r="S1693" s="247"/>
      <c r="T1693" s="245"/>
      <c r="U1693" s="245"/>
      <c r="V1693" s="241"/>
      <c r="W1693" s="241"/>
      <c r="X1693" s="241"/>
    </row>
    <row r="1694" spans="1:24" ht="13.5" customHeight="1" x14ac:dyDescent="0.3">
      <c r="A1694" s="245"/>
      <c r="B1694" s="246"/>
      <c r="C1694" s="245"/>
      <c r="D1694" s="245"/>
      <c r="E1694" s="245"/>
      <c r="F1694" s="245"/>
      <c r="G1694" s="245"/>
      <c r="H1694" s="245"/>
      <c r="I1694" s="245"/>
      <c r="J1694" s="245"/>
      <c r="K1694" s="245"/>
      <c r="L1694" s="246"/>
      <c r="M1694" s="245"/>
      <c r="N1694" s="245"/>
      <c r="O1694" s="245"/>
      <c r="P1694" s="245"/>
      <c r="Q1694" s="247"/>
      <c r="R1694" s="247"/>
      <c r="S1694" s="247"/>
      <c r="T1694" s="245"/>
      <c r="U1694" s="245"/>
      <c r="V1694" s="241"/>
      <c r="W1694" s="241"/>
      <c r="X1694" s="241"/>
    </row>
    <row r="1695" spans="1:24" ht="13.5" customHeight="1" x14ac:dyDescent="0.3">
      <c r="A1695" s="245"/>
      <c r="B1695" s="246"/>
      <c r="C1695" s="245"/>
      <c r="D1695" s="245"/>
      <c r="E1695" s="245"/>
      <c r="F1695" s="245"/>
      <c r="G1695" s="245"/>
      <c r="H1695" s="245"/>
      <c r="I1695" s="245"/>
      <c r="J1695" s="245"/>
      <c r="K1695" s="245"/>
      <c r="L1695" s="246"/>
      <c r="M1695" s="245"/>
      <c r="N1695" s="245"/>
      <c r="O1695" s="245"/>
      <c r="P1695" s="245"/>
      <c r="Q1695" s="247"/>
      <c r="R1695" s="247"/>
      <c r="S1695" s="247"/>
      <c r="T1695" s="245"/>
      <c r="U1695" s="245"/>
      <c r="V1695" s="241"/>
      <c r="W1695" s="241"/>
      <c r="X1695" s="241"/>
    </row>
    <row r="1696" spans="1:24" ht="13.5" customHeight="1" x14ac:dyDescent="0.3">
      <c r="A1696" s="245"/>
      <c r="B1696" s="246"/>
      <c r="C1696" s="245"/>
      <c r="D1696" s="245"/>
      <c r="E1696" s="245"/>
      <c r="F1696" s="245"/>
      <c r="G1696" s="245"/>
      <c r="H1696" s="245"/>
      <c r="I1696" s="245"/>
      <c r="J1696" s="245"/>
      <c r="K1696" s="245"/>
      <c r="L1696" s="246"/>
      <c r="M1696" s="245"/>
      <c r="N1696" s="245"/>
      <c r="O1696" s="245"/>
      <c r="P1696" s="245"/>
      <c r="Q1696" s="247"/>
      <c r="R1696" s="247"/>
      <c r="S1696" s="247"/>
      <c r="T1696" s="245"/>
      <c r="U1696" s="245"/>
      <c r="V1696" s="241"/>
      <c r="W1696" s="241"/>
      <c r="X1696" s="241"/>
    </row>
    <row r="1697" spans="1:24" ht="13.5" customHeight="1" x14ac:dyDescent="0.3">
      <c r="A1697" s="245"/>
      <c r="B1697" s="246"/>
      <c r="C1697" s="245"/>
      <c r="D1697" s="245"/>
      <c r="E1697" s="245"/>
      <c r="F1697" s="245"/>
      <c r="G1697" s="245"/>
      <c r="H1697" s="245"/>
      <c r="I1697" s="245"/>
      <c r="J1697" s="245"/>
      <c r="K1697" s="245"/>
      <c r="L1697" s="246"/>
      <c r="M1697" s="245"/>
      <c r="N1697" s="245"/>
      <c r="O1697" s="245"/>
      <c r="P1697" s="245"/>
      <c r="Q1697" s="247"/>
      <c r="R1697" s="247"/>
      <c r="S1697" s="247"/>
      <c r="T1697" s="245"/>
      <c r="U1697" s="245"/>
      <c r="V1697" s="241"/>
      <c r="W1697" s="241"/>
      <c r="X1697" s="241"/>
    </row>
    <row r="1698" spans="1:24" ht="13.5" customHeight="1" x14ac:dyDescent="0.3">
      <c r="A1698" s="245"/>
      <c r="B1698" s="246"/>
      <c r="C1698" s="245"/>
      <c r="D1698" s="245"/>
      <c r="E1698" s="245"/>
      <c r="F1698" s="245"/>
      <c r="G1698" s="245"/>
      <c r="H1698" s="245"/>
      <c r="I1698" s="245"/>
      <c r="J1698" s="245"/>
      <c r="K1698" s="245"/>
      <c r="L1698" s="246"/>
      <c r="M1698" s="245"/>
      <c r="N1698" s="245"/>
      <c r="O1698" s="245"/>
      <c r="P1698" s="245"/>
      <c r="Q1698" s="247"/>
      <c r="R1698" s="247"/>
      <c r="S1698" s="247"/>
      <c r="T1698" s="245"/>
      <c r="U1698" s="245"/>
      <c r="V1698" s="241"/>
      <c r="W1698" s="241"/>
      <c r="X1698" s="241"/>
    </row>
    <row r="1699" spans="1:24" ht="13.5" customHeight="1" x14ac:dyDescent="0.3">
      <c r="A1699" s="245"/>
      <c r="B1699" s="246"/>
      <c r="C1699" s="245"/>
      <c r="D1699" s="245"/>
      <c r="E1699" s="245"/>
      <c r="F1699" s="245"/>
      <c r="G1699" s="245"/>
      <c r="H1699" s="245"/>
      <c r="I1699" s="245"/>
      <c r="J1699" s="245"/>
      <c r="K1699" s="245"/>
      <c r="L1699" s="246"/>
      <c r="M1699" s="245"/>
      <c r="N1699" s="245"/>
      <c r="O1699" s="245"/>
      <c r="P1699" s="245"/>
      <c r="Q1699" s="247"/>
      <c r="R1699" s="247"/>
      <c r="S1699" s="247"/>
      <c r="T1699" s="245"/>
      <c r="U1699" s="245"/>
      <c r="V1699" s="241"/>
      <c r="W1699" s="241"/>
      <c r="X1699" s="241"/>
    </row>
    <row r="1700" spans="1:24" ht="13.5" customHeight="1" x14ac:dyDescent="0.3">
      <c r="A1700" s="245"/>
      <c r="B1700" s="246"/>
      <c r="C1700" s="245"/>
      <c r="D1700" s="245"/>
      <c r="E1700" s="245"/>
      <c r="F1700" s="245"/>
      <c r="G1700" s="245"/>
      <c r="H1700" s="245"/>
      <c r="I1700" s="245"/>
      <c r="J1700" s="245"/>
      <c r="K1700" s="245"/>
      <c r="L1700" s="246"/>
      <c r="M1700" s="245"/>
      <c r="N1700" s="245"/>
      <c r="O1700" s="245"/>
      <c r="P1700" s="245"/>
      <c r="Q1700" s="247"/>
      <c r="R1700" s="247"/>
      <c r="S1700" s="247"/>
      <c r="T1700" s="245"/>
      <c r="U1700" s="245"/>
      <c r="V1700" s="241"/>
      <c r="W1700" s="241"/>
      <c r="X1700" s="241"/>
    </row>
    <row r="1701" spans="1:24" ht="13.5" customHeight="1" x14ac:dyDescent="0.3">
      <c r="A1701" s="245"/>
      <c r="B1701" s="246"/>
      <c r="C1701" s="245"/>
      <c r="D1701" s="245"/>
      <c r="E1701" s="245"/>
      <c r="F1701" s="245"/>
      <c r="G1701" s="245"/>
      <c r="H1701" s="245"/>
      <c r="I1701" s="245"/>
      <c r="J1701" s="245"/>
      <c r="K1701" s="245"/>
      <c r="L1701" s="246"/>
      <c r="M1701" s="245"/>
      <c r="N1701" s="245"/>
      <c r="O1701" s="245"/>
      <c r="P1701" s="245"/>
      <c r="Q1701" s="247"/>
      <c r="R1701" s="247"/>
      <c r="S1701" s="247"/>
      <c r="T1701" s="245"/>
      <c r="U1701" s="245"/>
      <c r="V1701" s="241"/>
      <c r="W1701" s="241"/>
      <c r="X1701" s="241"/>
    </row>
    <row r="1702" spans="1:24" ht="13.5" customHeight="1" x14ac:dyDescent="0.3">
      <c r="A1702" s="245"/>
      <c r="B1702" s="246"/>
      <c r="C1702" s="245"/>
      <c r="D1702" s="245"/>
      <c r="E1702" s="245"/>
      <c r="F1702" s="245"/>
      <c r="G1702" s="245"/>
      <c r="H1702" s="245"/>
      <c r="I1702" s="245"/>
      <c r="J1702" s="245"/>
      <c r="K1702" s="245"/>
      <c r="L1702" s="246"/>
      <c r="M1702" s="245"/>
      <c r="N1702" s="245"/>
      <c r="O1702" s="245"/>
      <c r="P1702" s="245"/>
      <c r="Q1702" s="247"/>
      <c r="R1702" s="247"/>
      <c r="S1702" s="247"/>
      <c r="T1702" s="245"/>
      <c r="U1702" s="245"/>
      <c r="V1702" s="241"/>
      <c r="W1702" s="241"/>
      <c r="X1702" s="241"/>
    </row>
    <row r="1703" spans="1:24" ht="13.5" customHeight="1" x14ac:dyDescent="0.3">
      <c r="A1703" s="245"/>
      <c r="B1703" s="246"/>
      <c r="C1703" s="245"/>
      <c r="D1703" s="245"/>
      <c r="E1703" s="245"/>
      <c r="F1703" s="245"/>
      <c r="G1703" s="245"/>
      <c r="H1703" s="245"/>
      <c r="I1703" s="245"/>
      <c r="J1703" s="245"/>
      <c r="K1703" s="245"/>
      <c r="L1703" s="246"/>
      <c r="M1703" s="245"/>
      <c r="N1703" s="245"/>
      <c r="O1703" s="245"/>
      <c r="P1703" s="245"/>
      <c r="Q1703" s="247"/>
      <c r="R1703" s="247"/>
      <c r="S1703" s="247"/>
      <c r="T1703" s="245"/>
      <c r="U1703" s="245"/>
      <c r="V1703" s="241"/>
      <c r="W1703" s="241"/>
      <c r="X1703" s="241"/>
    </row>
    <row r="1704" spans="1:24" ht="13.5" customHeight="1" x14ac:dyDescent="0.3">
      <c r="A1704" s="245"/>
      <c r="B1704" s="246"/>
      <c r="C1704" s="245"/>
      <c r="D1704" s="245"/>
      <c r="E1704" s="245"/>
      <c r="F1704" s="245"/>
      <c r="G1704" s="245"/>
      <c r="H1704" s="245"/>
      <c r="I1704" s="245"/>
      <c r="J1704" s="245"/>
      <c r="K1704" s="245"/>
      <c r="L1704" s="246"/>
      <c r="M1704" s="245"/>
      <c r="N1704" s="245"/>
      <c r="O1704" s="245"/>
      <c r="P1704" s="245"/>
      <c r="Q1704" s="247"/>
      <c r="R1704" s="247"/>
      <c r="S1704" s="247"/>
      <c r="T1704" s="245"/>
      <c r="U1704" s="245"/>
      <c r="V1704" s="241"/>
      <c r="W1704" s="241"/>
      <c r="X1704" s="241"/>
    </row>
    <row r="1705" spans="1:24" ht="13.5" customHeight="1" x14ac:dyDescent="0.3">
      <c r="A1705" s="245"/>
      <c r="B1705" s="246"/>
      <c r="C1705" s="245"/>
      <c r="D1705" s="245"/>
      <c r="E1705" s="245"/>
      <c r="F1705" s="245"/>
      <c r="G1705" s="245"/>
      <c r="H1705" s="245"/>
      <c r="I1705" s="245"/>
      <c r="J1705" s="245"/>
      <c r="K1705" s="245"/>
      <c r="L1705" s="246"/>
      <c r="M1705" s="245"/>
      <c r="N1705" s="245"/>
      <c r="O1705" s="245"/>
      <c r="P1705" s="245"/>
      <c r="Q1705" s="247"/>
      <c r="R1705" s="247"/>
      <c r="S1705" s="247"/>
      <c r="T1705" s="245"/>
      <c r="U1705" s="245"/>
      <c r="V1705" s="241"/>
      <c r="W1705" s="241"/>
      <c r="X1705" s="241"/>
    </row>
    <row r="1706" spans="1:24" ht="13.5" customHeight="1" x14ac:dyDescent="0.3">
      <c r="A1706" s="245"/>
      <c r="B1706" s="246"/>
      <c r="C1706" s="245"/>
      <c r="D1706" s="245"/>
      <c r="E1706" s="245"/>
      <c r="F1706" s="245"/>
      <c r="G1706" s="245"/>
      <c r="H1706" s="245"/>
      <c r="I1706" s="245"/>
      <c r="J1706" s="245"/>
      <c r="K1706" s="245"/>
      <c r="L1706" s="246"/>
      <c r="M1706" s="245"/>
      <c r="N1706" s="245"/>
      <c r="O1706" s="245"/>
      <c r="P1706" s="245"/>
      <c r="Q1706" s="247"/>
      <c r="R1706" s="247"/>
      <c r="S1706" s="247"/>
      <c r="T1706" s="245"/>
      <c r="U1706" s="245"/>
      <c r="V1706" s="241"/>
      <c r="W1706" s="241"/>
      <c r="X1706" s="241"/>
    </row>
    <row r="1707" spans="1:24" ht="13.5" customHeight="1" x14ac:dyDescent="0.3">
      <c r="A1707" s="245"/>
      <c r="B1707" s="246"/>
      <c r="C1707" s="245"/>
      <c r="D1707" s="245"/>
      <c r="E1707" s="245"/>
      <c r="F1707" s="245"/>
      <c r="G1707" s="245"/>
      <c r="H1707" s="245"/>
      <c r="I1707" s="245"/>
      <c r="J1707" s="245"/>
      <c r="K1707" s="245"/>
      <c r="L1707" s="246"/>
      <c r="M1707" s="245"/>
      <c r="N1707" s="245"/>
      <c r="O1707" s="245"/>
      <c r="P1707" s="245"/>
      <c r="Q1707" s="247"/>
      <c r="R1707" s="247"/>
      <c r="S1707" s="247"/>
      <c r="T1707" s="245"/>
      <c r="U1707" s="245"/>
      <c r="V1707" s="241"/>
      <c r="W1707" s="241"/>
      <c r="X1707" s="241"/>
    </row>
    <row r="1708" spans="1:24" ht="13.5" customHeight="1" x14ac:dyDescent="0.3">
      <c r="A1708" s="245"/>
      <c r="B1708" s="246"/>
      <c r="C1708" s="245"/>
      <c r="D1708" s="245"/>
      <c r="E1708" s="245"/>
      <c r="F1708" s="245"/>
      <c r="G1708" s="245"/>
      <c r="H1708" s="245"/>
      <c r="I1708" s="245"/>
      <c r="J1708" s="245"/>
      <c r="K1708" s="245"/>
      <c r="L1708" s="246"/>
      <c r="M1708" s="245"/>
      <c r="N1708" s="245"/>
      <c r="O1708" s="245"/>
      <c r="P1708" s="245"/>
      <c r="Q1708" s="247"/>
      <c r="R1708" s="247"/>
      <c r="S1708" s="247"/>
      <c r="T1708" s="245"/>
      <c r="U1708" s="245"/>
      <c r="V1708" s="241"/>
      <c r="W1708" s="241"/>
      <c r="X1708" s="241"/>
    </row>
    <row r="1709" spans="1:24" ht="13.5" customHeight="1" x14ac:dyDescent="0.3">
      <c r="A1709" s="245"/>
      <c r="B1709" s="246"/>
      <c r="C1709" s="245"/>
      <c r="D1709" s="245"/>
      <c r="E1709" s="245"/>
      <c r="F1709" s="245"/>
      <c r="G1709" s="245"/>
      <c r="H1709" s="245"/>
      <c r="I1709" s="245"/>
      <c r="J1709" s="245"/>
      <c r="K1709" s="245"/>
      <c r="L1709" s="246"/>
      <c r="M1709" s="245"/>
      <c r="N1709" s="245"/>
      <c r="O1709" s="245"/>
      <c r="P1709" s="245"/>
      <c r="Q1709" s="247"/>
      <c r="R1709" s="247"/>
      <c r="S1709" s="247"/>
      <c r="T1709" s="245"/>
      <c r="U1709" s="245"/>
      <c r="V1709" s="241"/>
      <c r="W1709" s="241"/>
      <c r="X1709" s="241"/>
    </row>
    <row r="1710" spans="1:24" ht="13.5" customHeight="1" x14ac:dyDescent="0.3">
      <c r="A1710" s="245"/>
      <c r="B1710" s="246"/>
      <c r="C1710" s="245"/>
      <c r="D1710" s="245"/>
      <c r="E1710" s="245"/>
      <c r="F1710" s="245"/>
      <c r="G1710" s="245"/>
      <c r="H1710" s="245"/>
      <c r="I1710" s="245"/>
      <c r="J1710" s="245"/>
      <c r="K1710" s="245"/>
      <c r="L1710" s="246"/>
      <c r="M1710" s="245"/>
      <c r="N1710" s="245"/>
      <c r="O1710" s="245"/>
      <c r="P1710" s="245"/>
      <c r="Q1710" s="247"/>
      <c r="R1710" s="247"/>
      <c r="S1710" s="247"/>
      <c r="T1710" s="245"/>
      <c r="U1710" s="245"/>
      <c r="V1710" s="241"/>
      <c r="W1710" s="241"/>
      <c r="X1710" s="241"/>
    </row>
    <row r="1711" spans="1:24" ht="13.5" customHeight="1" x14ac:dyDescent="0.3">
      <c r="A1711" s="245"/>
      <c r="B1711" s="246"/>
      <c r="C1711" s="245"/>
      <c r="D1711" s="245"/>
      <c r="E1711" s="245"/>
      <c r="F1711" s="245"/>
      <c r="G1711" s="245"/>
      <c r="H1711" s="245"/>
      <c r="I1711" s="245"/>
      <c r="J1711" s="245"/>
      <c r="K1711" s="245"/>
      <c r="L1711" s="246"/>
      <c r="M1711" s="245"/>
      <c r="N1711" s="245"/>
      <c r="O1711" s="245"/>
      <c r="P1711" s="245"/>
      <c r="Q1711" s="247"/>
      <c r="R1711" s="247"/>
      <c r="S1711" s="247"/>
      <c r="T1711" s="245"/>
      <c r="U1711" s="245"/>
      <c r="V1711" s="241"/>
      <c r="W1711" s="241"/>
      <c r="X1711" s="241"/>
    </row>
    <row r="1712" spans="1:24" ht="13.5" customHeight="1" x14ac:dyDescent="0.3">
      <c r="A1712" s="245"/>
      <c r="B1712" s="246"/>
      <c r="C1712" s="245"/>
      <c r="D1712" s="245"/>
      <c r="E1712" s="245"/>
      <c r="F1712" s="245"/>
      <c r="G1712" s="245"/>
      <c r="H1712" s="245"/>
      <c r="I1712" s="245"/>
      <c r="J1712" s="245"/>
      <c r="K1712" s="245"/>
      <c r="L1712" s="246"/>
      <c r="M1712" s="245"/>
      <c r="N1712" s="245"/>
      <c r="O1712" s="245"/>
      <c r="P1712" s="245"/>
      <c r="Q1712" s="247"/>
      <c r="R1712" s="247"/>
      <c r="S1712" s="247"/>
      <c r="T1712" s="245"/>
      <c r="U1712" s="245"/>
      <c r="V1712" s="241"/>
      <c r="W1712" s="241"/>
      <c r="X1712" s="241"/>
    </row>
    <row r="1713" spans="1:24" ht="13.5" customHeight="1" x14ac:dyDescent="0.3">
      <c r="A1713" s="245"/>
      <c r="B1713" s="246"/>
      <c r="C1713" s="245"/>
      <c r="D1713" s="245"/>
      <c r="E1713" s="245"/>
      <c r="F1713" s="245"/>
      <c r="G1713" s="245"/>
      <c r="H1713" s="245"/>
      <c r="I1713" s="245"/>
      <c r="J1713" s="245"/>
      <c r="K1713" s="245"/>
      <c r="L1713" s="246"/>
      <c r="M1713" s="245"/>
      <c r="N1713" s="245"/>
      <c r="O1713" s="245"/>
      <c r="P1713" s="245"/>
      <c r="Q1713" s="247"/>
      <c r="R1713" s="247"/>
      <c r="S1713" s="247"/>
      <c r="T1713" s="245"/>
      <c r="U1713" s="245"/>
      <c r="V1713" s="241"/>
      <c r="W1713" s="241"/>
      <c r="X1713" s="241"/>
    </row>
    <row r="1714" spans="1:24" ht="13.5" customHeight="1" x14ac:dyDescent="0.3">
      <c r="A1714" s="245"/>
      <c r="B1714" s="246"/>
      <c r="C1714" s="245"/>
      <c r="D1714" s="245"/>
      <c r="E1714" s="245"/>
      <c r="F1714" s="245"/>
      <c r="G1714" s="245"/>
      <c r="H1714" s="245"/>
      <c r="I1714" s="245"/>
      <c r="J1714" s="245"/>
      <c r="K1714" s="245"/>
      <c r="L1714" s="246"/>
      <c r="M1714" s="245"/>
      <c r="N1714" s="245"/>
      <c r="O1714" s="245"/>
      <c r="P1714" s="245"/>
      <c r="Q1714" s="247"/>
      <c r="R1714" s="247"/>
      <c r="S1714" s="247"/>
      <c r="T1714" s="245"/>
      <c r="U1714" s="245"/>
      <c r="V1714" s="241"/>
      <c r="W1714" s="241"/>
      <c r="X1714" s="241"/>
    </row>
    <row r="1715" spans="1:24" ht="13.5" customHeight="1" x14ac:dyDescent="0.3">
      <c r="A1715" s="245"/>
      <c r="B1715" s="246"/>
      <c r="C1715" s="245"/>
      <c r="D1715" s="245"/>
      <c r="E1715" s="245"/>
      <c r="F1715" s="245"/>
      <c r="G1715" s="245"/>
      <c r="H1715" s="245"/>
      <c r="I1715" s="245"/>
      <c r="J1715" s="245"/>
      <c r="K1715" s="245"/>
      <c r="L1715" s="246"/>
      <c r="M1715" s="245"/>
      <c r="N1715" s="245"/>
      <c r="O1715" s="245"/>
      <c r="P1715" s="245"/>
      <c r="Q1715" s="247"/>
      <c r="R1715" s="247"/>
      <c r="S1715" s="247"/>
      <c r="T1715" s="245"/>
      <c r="U1715" s="245"/>
      <c r="V1715" s="241"/>
      <c r="W1715" s="241"/>
      <c r="X1715" s="241"/>
    </row>
    <row r="1716" spans="1:24" ht="13.5" customHeight="1" x14ac:dyDescent="0.3">
      <c r="A1716" s="245"/>
      <c r="B1716" s="246"/>
      <c r="C1716" s="245"/>
      <c r="D1716" s="245"/>
      <c r="E1716" s="245"/>
      <c r="F1716" s="245"/>
      <c r="G1716" s="245"/>
      <c r="H1716" s="245"/>
      <c r="I1716" s="245"/>
      <c r="J1716" s="245"/>
      <c r="K1716" s="245"/>
      <c r="L1716" s="246"/>
      <c r="M1716" s="245"/>
      <c r="N1716" s="245"/>
      <c r="O1716" s="245"/>
      <c r="P1716" s="245"/>
      <c r="Q1716" s="247"/>
      <c r="R1716" s="247"/>
      <c r="S1716" s="247"/>
      <c r="T1716" s="245"/>
      <c r="U1716" s="245"/>
      <c r="V1716" s="241"/>
      <c r="W1716" s="241"/>
      <c r="X1716" s="241"/>
    </row>
    <row r="1717" spans="1:24" ht="13.5" customHeight="1" x14ac:dyDescent="0.3">
      <c r="A1717" s="245"/>
      <c r="B1717" s="246"/>
      <c r="C1717" s="245"/>
      <c r="D1717" s="245"/>
      <c r="E1717" s="245"/>
      <c r="F1717" s="245"/>
      <c r="G1717" s="245"/>
      <c r="H1717" s="245"/>
      <c r="I1717" s="245"/>
      <c r="J1717" s="245"/>
      <c r="K1717" s="245"/>
      <c r="L1717" s="246"/>
      <c r="M1717" s="245"/>
      <c r="N1717" s="245"/>
      <c r="O1717" s="245"/>
      <c r="P1717" s="245"/>
      <c r="Q1717" s="247"/>
      <c r="R1717" s="247"/>
      <c r="S1717" s="247"/>
      <c r="T1717" s="245"/>
      <c r="U1717" s="245"/>
      <c r="V1717" s="241"/>
      <c r="W1717" s="241"/>
      <c r="X1717" s="241"/>
    </row>
    <row r="1718" spans="1:24" ht="13.5" customHeight="1" x14ac:dyDescent="0.3">
      <c r="A1718" s="245"/>
      <c r="B1718" s="246"/>
      <c r="C1718" s="245"/>
      <c r="D1718" s="245"/>
      <c r="E1718" s="245"/>
      <c r="F1718" s="245"/>
      <c r="G1718" s="245"/>
      <c r="H1718" s="245"/>
      <c r="I1718" s="245"/>
      <c r="J1718" s="245"/>
      <c r="K1718" s="245"/>
      <c r="L1718" s="246"/>
      <c r="M1718" s="245"/>
      <c r="N1718" s="245"/>
      <c r="O1718" s="245"/>
      <c r="P1718" s="245"/>
      <c r="Q1718" s="247"/>
      <c r="R1718" s="247"/>
      <c r="S1718" s="247"/>
      <c r="T1718" s="245"/>
      <c r="U1718" s="245"/>
      <c r="V1718" s="241"/>
      <c r="W1718" s="241"/>
      <c r="X1718" s="241"/>
    </row>
    <row r="1719" spans="1:24" ht="13.5" customHeight="1" x14ac:dyDescent="0.3">
      <c r="A1719" s="245"/>
      <c r="B1719" s="246"/>
      <c r="C1719" s="245"/>
      <c r="D1719" s="245"/>
      <c r="E1719" s="245"/>
      <c r="F1719" s="245"/>
      <c r="G1719" s="245"/>
      <c r="H1719" s="245"/>
      <c r="I1719" s="245"/>
      <c r="J1719" s="245"/>
      <c r="K1719" s="245"/>
      <c r="L1719" s="246"/>
      <c r="M1719" s="245"/>
      <c r="N1719" s="245"/>
      <c r="O1719" s="245"/>
      <c r="P1719" s="245"/>
      <c r="Q1719" s="247"/>
      <c r="R1719" s="247"/>
      <c r="S1719" s="247"/>
      <c r="T1719" s="245"/>
      <c r="U1719" s="245"/>
      <c r="V1719" s="241"/>
      <c r="W1719" s="241"/>
      <c r="X1719" s="241"/>
    </row>
    <row r="1720" spans="1:24" ht="13.5" customHeight="1" x14ac:dyDescent="0.3">
      <c r="A1720" s="245"/>
      <c r="B1720" s="246"/>
      <c r="C1720" s="245"/>
      <c r="D1720" s="245"/>
      <c r="E1720" s="245"/>
      <c r="F1720" s="245"/>
      <c r="G1720" s="245"/>
      <c r="H1720" s="245"/>
      <c r="I1720" s="245"/>
      <c r="J1720" s="245"/>
      <c r="K1720" s="245"/>
      <c r="L1720" s="246"/>
      <c r="M1720" s="245"/>
      <c r="N1720" s="245"/>
      <c r="O1720" s="245"/>
      <c r="P1720" s="245"/>
      <c r="Q1720" s="247"/>
      <c r="R1720" s="247"/>
      <c r="S1720" s="247"/>
      <c r="T1720" s="245"/>
      <c r="U1720" s="245"/>
      <c r="V1720" s="241"/>
      <c r="W1720" s="241"/>
      <c r="X1720" s="241"/>
    </row>
    <row r="1721" spans="1:24" ht="13.5" customHeight="1" x14ac:dyDescent="0.3">
      <c r="A1721" s="245"/>
      <c r="B1721" s="246"/>
      <c r="C1721" s="245"/>
      <c r="D1721" s="245"/>
      <c r="E1721" s="245"/>
      <c r="F1721" s="245"/>
      <c r="G1721" s="245"/>
      <c r="H1721" s="245"/>
      <c r="I1721" s="245"/>
      <c r="J1721" s="245"/>
      <c r="K1721" s="245"/>
      <c r="L1721" s="246"/>
      <c r="M1721" s="245"/>
      <c r="N1721" s="245"/>
      <c r="O1721" s="245"/>
      <c r="P1721" s="245"/>
      <c r="Q1721" s="247"/>
      <c r="R1721" s="247"/>
      <c r="S1721" s="247"/>
      <c r="T1721" s="245"/>
      <c r="U1721" s="245"/>
      <c r="V1721" s="241"/>
      <c r="W1721" s="241"/>
      <c r="X1721" s="241"/>
    </row>
    <row r="1722" spans="1:24" ht="13.5" customHeight="1" x14ac:dyDescent="0.3">
      <c r="A1722" s="245"/>
      <c r="B1722" s="246"/>
      <c r="C1722" s="245"/>
      <c r="D1722" s="245"/>
      <c r="E1722" s="245"/>
      <c r="F1722" s="245"/>
      <c r="G1722" s="245"/>
      <c r="H1722" s="245"/>
      <c r="I1722" s="245"/>
      <c r="J1722" s="245"/>
      <c r="K1722" s="245"/>
      <c r="L1722" s="246"/>
      <c r="M1722" s="245"/>
      <c r="N1722" s="245"/>
      <c r="O1722" s="245"/>
      <c r="P1722" s="245"/>
      <c r="Q1722" s="247"/>
      <c r="R1722" s="247"/>
      <c r="S1722" s="247"/>
      <c r="T1722" s="245"/>
      <c r="U1722" s="245"/>
      <c r="V1722" s="241"/>
      <c r="W1722" s="241"/>
      <c r="X1722" s="241"/>
    </row>
    <row r="1723" spans="1:24" ht="13.5" customHeight="1" x14ac:dyDescent="0.3">
      <c r="A1723" s="245"/>
      <c r="B1723" s="246"/>
      <c r="C1723" s="245"/>
      <c r="D1723" s="245"/>
      <c r="E1723" s="245"/>
      <c r="F1723" s="245"/>
      <c r="G1723" s="245"/>
      <c r="H1723" s="245"/>
      <c r="I1723" s="245"/>
      <c r="J1723" s="245"/>
      <c r="K1723" s="245"/>
      <c r="L1723" s="246"/>
      <c r="M1723" s="245"/>
      <c r="N1723" s="245"/>
      <c r="O1723" s="245"/>
      <c r="P1723" s="245"/>
      <c r="Q1723" s="247"/>
      <c r="R1723" s="247"/>
      <c r="S1723" s="247"/>
      <c r="T1723" s="245"/>
      <c r="U1723" s="245"/>
      <c r="V1723" s="241"/>
      <c r="W1723" s="241"/>
      <c r="X1723" s="241"/>
    </row>
    <row r="1724" spans="1:24" ht="13.5" customHeight="1" x14ac:dyDescent="0.3">
      <c r="A1724" s="245"/>
      <c r="B1724" s="246"/>
      <c r="C1724" s="245"/>
      <c r="D1724" s="245"/>
      <c r="E1724" s="245"/>
      <c r="F1724" s="245"/>
      <c r="G1724" s="245"/>
      <c r="H1724" s="245"/>
      <c r="I1724" s="245"/>
      <c r="J1724" s="245"/>
      <c r="K1724" s="245"/>
      <c r="L1724" s="246"/>
      <c r="M1724" s="245"/>
      <c r="N1724" s="245"/>
      <c r="O1724" s="245"/>
      <c r="P1724" s="245"/>
      <c r="Q1724" s="247"/>
      <c r="R1724" s="247"/>
      <c r="S1724" s="247"/>
      <c r="T1724" s="245"/>
      <c r="U1724" s="245"/>
      <c r="V1724" s="241"/>
      <c r="W1724" s="241"/>
      <c r="X1724" s="241"/>
    </row>
    <row r="1725" spans="1:24" ht="13.5" customHeight="1" x14ac:dyDescent="0.3">
      <c r="A1725" s="245"/>
      <c r="B1725" s="246"/>
      <c r="C1725" s="245"/>
      <c r="D1725" s="245"/>
      <c r="E1725" s="245"/>
      <c r="F1725" s="245"/>
      <c r="G1725" s="245"/>
      <c r="H1725" s="245"/>
      <c r="I1725" s="245"/>
      <c r="J1725" s="245"/>
      <c r="K1725" s="245"/>
      <c r="L1725" s="246"/>
      <c r="M1725" s="245"/>
      <c r="N1725" s="245"/>
      <c r="O1725" s="245"/>
      <c r="P1725" s="245"/>
      <c r="Q1725" s="247"/>
      <c r="R1725" s="247"/>
      <c r="S1725" s="247"/>
      <c r="T1725" s="245"/>
      <c r="U1725" s="245"/>
      <c r="V1725" s="241"/>
      <c r="W1725" s="241"/>
      <c r="X1725" s="241"/>
    </row>
    <row r="1726" spans="1:24" ht="13.5" customHeight="1" x14ac:dyDescent="0.3">
      <c r="A1726" s="245"/>
      <c r="B1726" s="246"/>
      <c r="C1726" s="245"/>
      <c r="D1726" s="245"/>
      <c r="E1726" s="245"/>
      <c r="F1726" s="245"/>
      <c r="G1726" s="245"/>
      <c r="H1726" s="245"/>
      <c r="I1726" s="245"/>
      <c r="J1726" s="245"/>
      <c r="K1726" s="245"/>
      <c r="L1726" s="246"/>
      <c r="M1726" s="245"/>
      <c r="N1726" s="245"/>
      <c r="O1726" s="245"/>
      <c r="P1726" s="245"/>
      <c r="Q1726" s="247"/>
      <c r="R1726" s="247"/>
      <c r="S1726" s="247"/>
      <c r="T1726" s="245"/>
      <c r="U1726" s="245"/>
      <c r="V1726" s="241"/>
      <c r="W1726" s="241"/>
      <c r="X1726" s="241"/>
    </row>
    <row r="1727" spans="1:24" ht="13.5" customHeight="1" x14ac:dyDescent="0.3">
      <c r="A1727" s="245"/>
      <c r="B1727" s="246"/>
      <c r="C1727" s="245"/>
      <c r="D1727" s="245"/>
      <c r="E1727" s="245"/>
      <c r="F1727" s="245"/>
      <c r="G1727" s="245"/>
      <c r="H1727" s="245"/>
      <c r="I1727" s="245"/>
      <c r="J1727" s="245"/>
      <c r="K1727" s="245"/>
      <c r="L1727" s="246"/>
      <c r="M1727" s="245"/>
      <c r="N1727" s="245"/>
      <c r="O1727" s="245"/>
      <c r="P1727" s="245"/>
      <c r="Q1727" s="247"/>
      <c r="R1727" s="247"/>
      <c r="S1727" s="247"/>
      <c r="T1727" s="245"/>
      <c r="U1727" s="245"/>
      <c r="V1727" s="241"/>
      <c r="W1727" s="241"/>
      <c r="X1727" s="241"/>
    </row>
    <row r="1728" spans="1:24" ht="13.5" customHeight="1" x14ac:dyDescent="0.3">
      <c r="A1728" s="245"/>
      <c r="B1728" s="246"/>
      <c r="C1728" s="245"/>
      <c r="D1728" s="245"/>
      <c r="E1728" s="245"/>
      <c r="F1728" s="245"/>
      <c r="G1728" s="245"/>
      <c r="H1728" s="245"/>
      <c r="I1728" s="245"/>
      <c r="J1728" s="245"/>
      <c r="K1728" s="245"/>
      <c r="L1728" s="246"/>
      <c r="M1728" s="245"/>
      <c r="N1728" s="245"/>
      <c r="O1728" s="245"/>
      <c r="P1728" s="245"/>
      <c r="Q1728" s="247"/>
      <c r="R1728" s="247"/>
      <c r="S1728" s="247"/>
      <c r="T1728" s="245"/>
      <c r="U1728" s="245"/>
      <c r="V1728" s="241"/>
      <c r="W1728" s="241"/>
      <c r="X1728" s="241"/>
    </row>
    <row r="1729" spans="1:24" ht="13.5" customHeight="1" x14ac:dyDescent="0.3">
      <c r="A1729" s="245"/>
      <c r="B1729" s="246"/>
      <c r="C1729" s="245"/>
      <c r="D1729" s="245"/>
      <c r="E1729" s="245"/>
      <c r="F1729" s="245"/>
      <c r="G1729" s="245"/>
      <c r="H1729" s="245"/>
      <c r="I1729" s="245"/>
      <c r="J1729" s="245"/>
      <c r="K1729" s="245"/>
      <c r="L1729" s="246"/>
      <c r="M1729" s="245"/>
      <c r="N1729" s="245"/>
      <c r="O1729" s="245"/>
      <c r="P1729" s="245"/>
      <c r="Q1729" s="247"/>
      <c r="R1729" s="247"/>
      <c r="S1729" s="247"/>
      <c r="T1729" s="245"/>
      <c r="U1729" s="245"/>
      <c r="V1729" s="241"/>
      <c r="W1729" s="241"/>
      <c r="X1729" s="241"/>
    </row>
    <row r="1730" spans="1:24" ht="13.5" customHeight="1" x14ac:dyDescent="0.3">
      <c r="A1730" s="245"/>
      <c r="B1730" s="246"/>
      <c r="C1730" s="245"/>
      <c r="D1730" s="245"/>
      <c r="E1730" s="245"/>
      <c r="F1730" s="245"/>
      <c r="G1730" s="245"/>
      <c r="H1730" s="245"/>
      <c r="I1730" s="245"/>
      <c r="J1730" s="245"/>
      <c r="K1730" s="245"/>
      <c r="L1730" s="246"/>
      <c r="M1730" s="245"/>
      <c r="N1730" s="245"/>
      <c r="O1730" s="245"/>
      <c r="P1730" s="245"/>
      <c r="Q1730" s="247"/>
      <c r="R1730" s="247"/>
      <c r="S1730" s="247"/>
      <c r="T1730" s="245"/>
      <c r="U1730" s="245"/>
      <c r="V1730" s="241"/>
      <c r="W1730" s="241"/>
      <c r="X1730" s="241"/>
    </row>
    <row r="1731" spans="1:24" ht="13.5" customHeight="1" x14ac:dyDescent="0.3">
      <c r="A1731" s="245"/>
      <c r="B1731" s="246"/>
      <c r="C1731" s="245"/>
      <c r="D1731" s="245"/>
      <c r="E1731" s="245"/>
      <c r="F1731" s="245"/>
      <c r="G1731" s="245"/>
      <c r="H1731" s="245"/>
      <c r="I1731" s="245"/>
      <c r="J1731" s="245"/>
      <c r="K1731" s="245"/>
      <c r="L1731" s="246"/>
      <c r="M1731" s="245"/>
      <c r="N1731" s="245"/>
      <c r="O1731" s="245"/>
      <c r="P1731" s="245"/>
      <c r="Q1731" s="247"/>
      <c r="R1731" s="247"/>
      <c r="S1731" s="247"/>
      <c r="T1731" s="245"/>
      <c r="U1731" s="245"/>
      <c r="V1731" s="241"/>
      <c r="W1731" s="241"/>
      <c r="X1731" s="241"/>
    </row>
    <row r="1732" spans="1:24" ht="13.5" customHeight="1" x14ac:dyDescent="0.3">
      <c r="A1732" s="245"/>
      <c r="B1732" s="246"/>
      <c r="C1732" s="245"/>
      <c r="D1732" s="245"/>
      <c r="E1732" s="245"/>
      <c r="F1732" s="245"/>
      <c r="G1732" s="245"/>
      <c r="H1732" s="245"/>
      <c r="I1732" s="245"/>
      <c r="J1732" s="245"/>
      <c r="K1732" s="245"/>
      <c r="L1732" s="246"/>
      <c r="M1732" s="245"/>
      <c r="N1732" s="245"/>
      <c r="O1732" s="245"/>
      <c r="P1732" s="245"/>
      <c r="Q1732" s="247"/>
      <c r="R1732" s="247"/>
      <c r="S1732" s="247"/>
      <c r="T1732" s="245"/>
      <c r="U1732" s="245"/>
      <c r="V1732" s="241"/>
      <c r="W1732" s="241"/>
      <c r="X1732" s="241"/>
    </row>
    <row r="1733" spans="1:24" ht="13.5" customHeight="1" x14ac:dyDescent="0.3">
      <c r="A1733" s="245"/>
      <c r="B1733" s="246"/>
      <c r="C1733" s="245"/>
      <c r="D1733" s="245"/>
      <c r="E1733" s="245"/>
      <c r="F1733" s="245"/>
      <c r="G1733" s="245"/>
      <c r="H1733" s="245"/>
      <c r="I1733" s="245"/>
      <c r="J1733" s="245"/>
      <c r="K1733" s="245"/>
      <c r="L1733" s="246"/>
      <c r="M1733" s="245"/>
      <c r="N1733" s="245"/>
      <c r="O1733" s="245"/>
      <c r="P1733" s="245"/>
      <c r="Q1733" s="247"/>
      <c r="R1733" s="247"/>
      <c r="S1733" s="247"/>
      <c r="T1733" s="245"/>
      <c r="U1733" s="245"/>
      <c r="V1733" s="241"/>
      <c r="W1733" s="241"/>
      <c r="X1733" s="241"/>
    </row>
    <row r="1734" spans="1:24" ht="13.5" customHeight="1" x14ac:dyDescent="0.3">
      <c r="A1734" s="245"/>
      <c r="B1734" s="246"/>
      <c r="C1734" s="245"/>
      <c r="D1734" s="245"/>
      <c r="E1734" s="245"/>
      <c r="F1734" s="245"/>
      <c r="G1734" s="245"/>
      <c r="H1734" s="245"/>
      <c r="I1734" s="245"/>
      <c r="J1734" s="245"/>
      <c r="K1734" s="245"/>
      <c r="L1734" s="246"/>
      <c r="M1734" s="245"/>
      <c r="N1734" s="245"/>
      <c r="O1734" s="245"/>
      <c r="P1734" s="245"/>
      <c r="Q1734" s="247"/>
      <c r="R1734" s="247"/>
      <c r="S1734" s="247"/>
      <c r="T1734" s="245"/>
      <c r="U1734" s="245"/>
      <c r="V1734" s="241"/>
      <c r="W1734" s="241"/>
      <c r="X1734" s="241"/>
    </row>
    <row r="1735" spans="1:24" ht="13.5" customHeight="1" x14ac:dyDescent="0.3">
      <c r="A1735" s="245"/>
      <c r="B1735" s="246"/>
      <c r="C1735" s="245"/>
      <c r="D1735" s="245"/>
      <c r="E1735" s="245"/>
      <c r="F1735" s="245"/>
      <c r="G1735" s="245"/>
      <c r="H1735" s="245"/>
      <c r="I1735" s="245"/>
      <c r="J1735" s="245"/>
      <c r="K1735" s="245"/>
      <c r="L1735" s="246"/>
      <c r="M1735" s="245"/>
      <c r="N1735" s="245"/>
      <c r="O1735" s="245"/>
      <c r="P1735" s="245"/>
      <c r="Q1735" s="247"/>
      <c r="R1735" s="247"/>
      <c r="S1735" s="247"/>
      <c r="T1735" s="245"/>
      <c r="U1735" s="245"/>
      <c r="V1735" s="241"/>
      <c r="W1735" s="241"/>
      <c r="X1735" s="241"/>
    </row>
    <row r="1736" spans="1:24" ht="13.5" customHeight="1" x14ac:dyDescent="0.3">
      <c r="A1736" s="245"/>
      <c r="B1736" s="246"/>
      <c r="C1736" s="245"/>
      <c r="D1736" s="245"/>
      <c r="E1736" s="245"/>
      <c r="F1736" s="245"/>
      <c r="G1736" s="245"/>
      <c r="H1736" s="245"/>
      <c r="I1736" s="245"/>
      <c r="J1736" s="245"/>
      <c r="K1736" s="245"/>
      <c r="L1736" s="246"/>
      <c r="M1736" s="245"/>
      <c r="N1736" s="245"/>
      <c r="O1736" s="245"/>
      <c r="P1736" s="245"/>
      <c r="Q1736" s="247"/>
      <c r="R1736" s="247"/>
      <c r="S1736" s="247"/>
      <c r="T1736" s="245"/>
      <c r="U1736" s="245"/>
      <c r="V1736" s="241"/>
      <c r="W1736" s="241"/>
      <c r="X1736" s="241"/>
    </row>
    <row r="1737" spans="1:24" ht="13.5" customHeight="1" x14ac:dyDescent="0.3">
      <c r="A1737" s="245"/>
      <c r="B1737" s="246"/>
      <c r="C1737" s="245"/>
      <c r="D1737" s="245"/>
      <c r="E1737" s="245"/>
      <c r="F1737" s="245"/>
      <c r="G1737" s="245"/>
      <c r="H1737" s="245"/>
      <c r="I1737" s="245"/>
      <c r="J1737" s="245"/>
      <c r="K1737" s="245"/>
      <c r="L1737" s="246"/>
      <c r="M1737" s="245"/>
      <c r="N1737" s="245"/>
      <c r="O1737" s="245"/>
      <c r="P1737" s="245"/>
      <c r="Q1737" s="247"/>
      <c r="R1737" s="247"/>
      <c r="S1737" s="247"/>
      <c r="T1737" s="245"/>
      <c r="U1737" s="245"/>
      <c r="V1737" s="241"/>
      <c r="W1737" s="241"/>
      <c r="X1737" s="241"/>
    </row>
    <row r="1738" spans="1:24" ht="13.5" customHeight="1" x14ac:dyDescent="0.3">
      <c r="A1738" s="245"/>
      <c r="B1738" s="246"/>
      <c r="C1738" s="245"/>
      <c r="D1738" s="245"/>
      <c r="E1738" s="245"/>
      <c r="F1738" s="245"/>
      <c r="G1738" s="245"/>
      <c r="H1738" s="245"/>
      <c r="I1738" s="245"/>
      <c r="J1738" s="245"/>
      <c r="K1738" s="245"/>
      <c r="L1738" s="246"/>
      <c r="M1738" s="245"/>
      <c r="N1738" s="245"/>
      <c r="O1738" s="245"/>
      <c r="P1738" s="245"/>
      <c r="Q1738" s="247"/>
      <c r="R1738" s="247"/>
      <c r="S1738" s="247"/>
      <c r="T1738" s="245"/>
      <c r="U1738" s="245"/>
      <c r="V1738" s="241"/>
      <c r="W1738" s="241"/>
      <c r="X1738" s="241"/>
    </row>
    <row r="1739" spans="1:24" ht="13.5" customHeight="1" x14ac:dyDescent="0.3">
      <c r="A1739" s="245"/>
      <c r="B1739" s="246"/>
      <c r="C1739" s="245"/>
      <c r="D1739" s="245"/>
      <c r="E1739" s="245"/>
      <c r="F1739" s="245"/>
      <c r="G1739" s="245"/>
      <c r="H1739" s="245"/>
      <c r="I1739" s="245"/>
      <c r="J1739" s="245"/>
      <c r="K1739" s="245"/>
      <c r="L1739" s="246"/>
      <c r="M1739" s="245"/>
      <c r="N1739" s="245"/>
      <c r="O1739" s="245"/>
      <c r="P1739" s="245"/>
      <c r="Q1739" s="247"/>
      <c r="R1739" s="247"/>
      <c r="S1739" s="247"/>
      <c r="T1739" s="245"/>
      <c r="U1739" s="245"/>
      <c r="V1739" s="241"/>
      <c r="W1739" s="241"/>
      <c r="X1739" s="241"/>
    </row>
    <row r="1740" spans="1:24" ht="13.5" customHeight="1" x14ac:dyDescent="0.3">
      <c r="A1740" s="245"/>
      <c r="B1740" s="246"/>
      <c r="C1740" s="245"/>
      <c r="D1740" s="245"/>
      <c r="E1740" s="245"/>
      <c r="F1740" s="245"/>
      <c r="G1740" s="245"/>
      <c r="H1740" s="245"/>
      <c r="I1740" s="245"/>
      <c r="J1740" s="245"/>
      <c r="K1740" s="245"/>
      <c r="L1740" s="246"/>
      <c r="M1740" s="245"/>
      <c r="N1740" s="245"/>
      <c r="O1740" s="245"/>
      <c r="P1740" s="245"/>
      <c r="Q1740" s="247"/>
      <c r="R1740" s="247"/>
      <c r="S1740" s="247"/>
      <c r="T1740" s="245"/>
      <c r="U1740" s="245"/>
      <c r="V1740" s="241"/>
      <c r="W1740" s="241"/>
      <c r="X1740" s="241"/>
    </row>
    <row r="1741" spans="1:24" ht="13.5" customHeight="1" x14ac:dyDescent="0.3">
      <c r="A1741" s="245"/>
      <c r="B1741" s="246"/>
      <c r="C1741" s="245"/>
      <c r="D1741" s="245"/>
      <c r="E1741" s="245"/>
      <c r="F1741" s="245"/>
      <c r="G1741" s="245"/>
      <c r="H1741" s="245"/>
      <c r="I1741" s="245"/>
      <c r="J1741" s="245"/>
      <c r="K1741" s="245"/>
      <c r="L1741" s="246"/>
      <c r="M1741" s="245"/>
      <c r="N1741" s="245"/>
      <c r="O1741" s="245"/>
      <c r="P1741" s="245"/>
      <c r="Q1741" s="247"/>
      <c r="R1741" s="247"/>
      <c r="S1741" s="247"/>
      <c r="T1741" s="245"/>
      <c r="U1741" s="245"/>
      <c r="V1741" s="241"/>
      <c r="W1741" s="241"/>
      <c r="X1741" s="241"/>
    </row>
    <row r="1742" spans="1:24" ht="13.5" customHeight="1" x14ac:dyDescent="0.3">
      <c r="A1742" s="245"/>
      <c r="B1742" s="246"/>
      <c r="C1742" s="245"/>
      <c r="D1742" s="245"/>
      <c r="E1742" s="245"/>
      <c r="F1742" s="245"/>
      <c r="G1742" s="245"/>
      <c r="H1742" s="245"/>
      <c r="I1742" s="245"/>
      <c r="J1742" s="245"/>
      <c r="K1742" s="245"/>
      <c r="L1742" s="246"/>
      <c r="M1742" s="245"/>
      <c r="N1742" s="245"/>
      <c r="O1742" s="245"/>
      <c r="P1742" s="245"/>
      <c r="Q1742" s="247"/>
      <c r="R1742" s="247"/>
      <c r="S1742" s="247"/>
      <c r="T1742" s="245"/>
      <c r="U1742" s="245"/>
      <c r="V1742" s="241"/>
      <c r="W1742" s="241"/>
      <c r="X1742" s="241"/>
    </row>
    <row r="1743" spans="1:24" ht="13.5" customHeight="1" x14ac:dyDescent="0.3">
      <c r="A1743" s="245"/>
      <c r="B1743" s="246"/>
      <c r="C1743" s="245"/>
      <c r="D1743" s="245"/>
      <c r="E1743" s="245"/>
      <c r="F1743" s="245"/>
      <c r="G1743" s="245"/>
      <c r="H1743" s="245"/>
      <c r="I1743" s="245"/>
      <c r="J1743" s="245"/>
      <c r="K1743" s="245"/>
      <c r="L1743" s="246"/>
      <c r="M1743" s="245"/>
      <c r="N1743" s="245"/>
      <c r="O1743" s="245"/>
      <c r="P1743" s="245"/>
      <c r="Q1743" s="247"/>
      <c r="R1743" s="247"/>
      <c r="S1743" s="247"/>
      <c r="T1743" s="245"/>
      <c r="U1743" s="245"/>
      <c r="V1743" s="241"/>
      <c r="W1743" s="241"/>
      <c r="X1743" s="241"/>
    </row>
    <row r="1744" spans="1:24" ht="13.5" customHeight="1" x14ac:dyDescent="0.3">
      <c r="A1744" s="245"/>
      <c r="B1744" s="246"/>
      <c r="C1744" s="245"/>
      <c r="D1744" s="245"/>
      <c r="E1744" s="245"/>
      <c r="F1744" s="245"/>
      <c r="G1744" s="245"/>
      <c r="H1744" s="245"/>
      <c r="I1744" s="245"/>
      <c r="J1744" s="245"/>
      <c r="K1744" s="245"/>
      <c r="L1744" s="246"/>
      <c r="M1744" s="245"/>
      <c r="N1744" s="245"/>
      <c r="O1744" s="245"/>
      <c r="P1744" s="245"/>
      <c r="Q1744" s="247"/>
      <c r="R1744" s="247"/>
      <c r="S1744" s="247"/>
      <c r="T1744" s="245"/>
      <c r="U1744" s="245"/>
      <c r="V1744" s="241"/>
      <c r="W1744" s="241"/>
      <c r="X1744" s="241"/>
    </row>
    <row r="1745" spans="1:24" ht="13.5" customHeight="1" x14ac:dyDescent="0.3">
      <c r="A1745" s="245"/>
      <c r="B1745" s="246"/>
      <c r="C1745" s="245"/>
      <c r="D1745" s="245"/>
      <c r="E1745" s="245"/>
      <c r="F1745" s="245"/>
      <c r="G1745" s="245"/>
      <c r="H1745" s="245"/>
      <c r="I1745" s="245"/>
      <c r="J1745" s="245"/>
      <c r="K1745" s="245"/>
      <c r="L1745" s="246"/>
      <c r="M1745" s="245"/>
      <c r="N1745" s="245"/>
      <c r="O1745" s="245"/>
      <c r="P1745" s="245"/>
      <c r="Q1745" s="247"/>
      <c r="R1745" s="247"/>
      <c r="S1745" s="247"/>
      <c r="T1745" s="245"/>
      <c r="U1745" s="245"/>
      <c r="V1745" s="241"/>
      <c r="W1745" s="241"/>
      <c r="X1745" s="241"/>
    </row>
    <row r="1746" spans="1:24" ht="13.5" customHeight="1" x14ac:dyDescent="0.3">
      <c r="A1746" s="245"/>
      <c r="B1746" s="246"/>
      <c r="C1746" s="245"/>
      <c r="D1746" s="245"/>
      <c r="E1746" s="245"/>
      <c r="F1746" s="245"/>
      <c r="G1746" s="245"/>
      <c r="H1746" s="245"/>
      <c r="I1746" s="245"/>
      <c r="J1746" s="245"/>
      <c r="K1746" s="245"/>
      <c r="L1746" s="246"/>
      <c r="M1746" s="245"/>
      <c r="N1746" s="245"/>
      <c r="O1746" s="245"/>
      <c r="P1746" s="245"/>
      <c r="Q1746" s="247"/>
      <c r="R1746" s="247"/>
      <c r="S1746" s="247"/>
      <c r="T1746" s="245"/>
      <c r="U1746" s="245"/>
      <c r="V1746" s="241"/>
      <c r="W1746" s="241"/>
      <c r="X1746" s="241"/>
    </row>
    <row r="1747" spans="1:24" ht="13.5" customHeight="1" x14ac:dyDescent="0.3">
      <c r="A1747" s="245"/>
      <c r="B1747" s="246"/>
      <c r="C1747" s="245"/>
      <c r="D1747" s="245"/>
      <c r="E1747" s="245"/>
      <c r="F1747" s="245"/>
      <c r="G1747" s="245"/>
      <c r="H1747" s="245"/>
      <c r="I1747" s="245"/>
      <c r="J1747" s="245"/>
      <c r="K1747" s="245"/>
      <c r="L1747" s="246"/>
      <c r="M1747" s="245"/>
      <c r="N1747" s="245"/>
      <c r="O1747" s="245"/>
      <c r="P1747" s="245"/>
      <c r="Q1747" s="247"/>
      <c r="R1747" s="247"/>
      <c r="S1747" s="247"/>
      <c r="T1747" s="245"/>
      <c r="U1747" s="245"/>
      <c r="V1747" s="241"/>
      <c r="W1747" s="241"/>
      <c r="X1747" s="241"/>
    </row>
    <row r="1748" spans="1:24" ht="13.5" customHeight="1" x14ac:dyDescent="0.3">
      <c r="A1748" s="245"/>
      <c r="B1748" s="246"/>
      <c r="C1748" s="245"/>
      <c r="D1748" s="245"/>
      <c r="E1748" s="245"/>
      <c r="F1748" s="245"/>
      <c r="G1748" s="245"/>
      <c r="H1748" s="245"/>
      <c r="I1748" s="245"/>
      <c r="J1748" s="245"/>
      <c r="K1748" s="245"/>
      <c r="L1748" s="246"/>
      <c r="M1748" s="245"/>
      <c r="N1748" s="245"/>
      <c r="O1748" s="245"/>
      <c r="P1748" s="245"/>
      <c r="Q1748" s="247"/>
      <c r="R1748" s="247"/>
      <c r="S1748" s="247"/>
      <c r="T1748" s="245"/>
      <c r="U1748" s="245"/>
      <c r="V1748" s="241"/>
      <c r="W1748" s="241"/>
      <c r="X1748" s="241"/>
    </row>
    <row r="1749" spans="1:24" ht="13.5" customHeight="1" x14ac:dyDescent="0.3">
      <c r="A1749" s="245"/>
      <c r="B1749" s="246"/>
      <c r="C1749" s="245"/>
      <c r="D1749" s="245"/>
      <c r="E1749" s="245"/>
      <c r="F1749" s="245"/>
      <c r="G1749" s="245"/>
      <c r="H1749" s="245"/>
      <c r="I1749" s="245"/>
      <c r="J1749" s="245"/>
      <c r="K1749" s="245"/>
      <c r="L1749" s="246"/>
      <c r="M1749" s="245"/>
      <c r="N1749" s="245"/>
      <c r="O1749" s="245"/>
      <c r="P1749" s="245"/>
      <c r="Q1749" s="247"/>
      <c r="R1749" s="247"/>
      <c r="S1749" s="247"/>
      <c r="T1749" s="245"/>
      <c r="U1749" s="245"/>
      <c r="V1749" s="241"/>
      <c r="W1749" s="241"/>
      <c r="X1749" s="241"/>
    </row>
    <row r="1750" spans="1:24" ht="13.5" customHeight="1" x14ac:dyDescent="0.3">
      <c r="A1750" s="245"/>
      <c r="B1750" s="246"/>
      <c r="C1750" s="245"/>
      <c r="D1750" s="245"/>
      <c r="E1750" s="245"/>
      <c r="F1750" s="245"/>
      <c r="G1750" s="245"/>
      <c r="H1750" s="245"/>
      <c r="I1750" s="245"/>
      <c r="J1750" s="245"/>
      <c r="K1750" s="245"/>
      <c r="L1750" s="246"/>
      <c r="M1750" s="245"/>
      <c r="N1750" s="245"/>
      <c r="O1750" s="245"/>
      <c r="P1750" s="245"/>
      <c r="Q1750" s="247"/>
      <c r="R1750" s="247"/>
      <c r="S1750" s="247"/>
      <c r="T1750" s="245"/>
      <c r="U1750" s="245"/>
      <c r="V1750" s="241"/>
      <c r="W1750" s="241"/>
      <c r="X1750" s="241"/>
    </row>
    <row r="1751" spans="1:24" ht="13.5" customHeight="1" x14ac:dyDescent="0.3">
      <c r="A1751" s="245"/>
      <c r="B1751" s="246"/>
      <c r="C1751" s="245"/>
      <c r="D1751" s="245"/>
      <c r="E1751" s="245"/>
      <c r="F1751" s="245"/>
      <c r="G1751" s="245"/>
      <c r="H1751" s="245"/>
      <c r="I1751" s="245"/>
      <c r="J1751" s="245"/>
      <c r="K1751" s="245"/>
      <c r="L1751" s="246"/>
      <c r="M1751" s="245"/>
      <c r="N1751" s="245"/>
      <c r="O1751" s="245"/>
      <c r="P1751" s="245"/>
      <c r="Q1751" s="247"/>
      <c r="R1751" s="247"/>
      <c r="S1751" s="247"/>
      <c r="T1751" s="245"/>
      <c r="U1751" s="245"/>
      <c r="V1751" s="241"/>
      <c r="W1751" s="241"/>
      <c r="X1751" s="241"/>
    </row>
    <row r="1752" spans="1:24" ht="13.5" customHeight="1" x14ac:dyDescent="0.3">
      <c r="A1752" s="245"/>
      <c r="B1752" s="246"/>
      <c r="C1752" s="245"/>
      <c r="D1752" s="245"/>
      <c r="E1752" s="245"/>
      <c r="F1752" s="245"/>
      <c r="G1752" s="245"/>
      <c r="H1752" s="245"/>
      <c r="I1752" s="245"/>
      <c r="J1752" s="245"/>
      <c r="K1752" s="245"/>
      <c r="L1752" s="246"/>
      <c r="M1752" s="245"/>
      <c r="N1752" s="245"/>
      <c r="O1752" s="245"/>
      <c r="P1752" s="245"/>
      <c r="Q1752" s="247"/>
      <c r="R1752" s="247"/>
      <c r="S1752" s="247"/>
      <c r="T1752" s="245"/>
      <c r="U1752" s="245"/>
      <c r="V1752" s="241"/>
      <c r="W1752" s="241"/>
      <c r="X1752" s="241"/>
    </row>
    <row r="1753" spans="1:24" ht="13.5" customHeight="1" x14ac:dyDescent="0.3">
      <c r="A1753" s="245"/>
      <c r="B1753" s="246"/>
      <c r="C1753" s="245"/>
      <c r="D1753" s="245"/>
      <c r="E1753" s="245"/>
      <c r="F1753" s="245"/>
      <c r="G1753" s="245"/>
      <c r="H1753" s="245"/>
      <c r="I1753" s="245"/>
      <c r="J1753" s="245"/>
      <c r="K1753" s="245"/>
      <c r="L1753" s="246"/>
      <c r="M1753" s="245"/>
      <c r="N1753" s="245"/>
      <c r="O1753" s="245"/>
      <c r="P1753" s="245"/>
      <c r="Q1753" s="247"/>
      <c r="R1753" s="247"/>
      <c r="S1753" s="247"/>
      <c r="T1753" s="245"/>
      <c r="U1753" s="245"/>
      <c r="V1753" s="241"/>
      <c r="W1753" s="241"/>
      <c r="X1753" s="241"/>
    </row>
    <row r="1754" spans="1:24" ht="13.5" customHeight="1" x14ac:dyDescent="0.3">
      <c r="A1754" s="245"/>
      <c r="B1754" s="246"/>
      <c r="C1754" s="245"/>
      <c r="D1754" s="245"/>
      <c r="E1754" s="245"/>
      <c r="F1754" s="245"/>
      <c r="G1754" s="245"/>
      <c r="H1754" s="245"/>
      <c r="I1754" s="245"/>
      <c r="J1754" s="245"/>
      <c r="K1754" s="245"/>
      <c r="L1754" s="246"/>
      <c r="M1754" s="245"/>
      <c r="N1754" s="245"/>
      <c r="O1754" s="245"/>
      <c r="P1754" s="245"/>
      <c r="Q1754" s="247"/>
      <c r="R1754" s="247"/>
      <c r="S1754" s="247"/>
      <c r="T1754" s="245"/>
      <c r="U1754" s="245"/>
      <c r="V1754" s="241"/>
      <c r="W1754" s="241"/>
      <c r="X1754" s="241"/>
    </row>
    <row r="1755" spans="1:24" ht="13.5" customHeight="1" x14ac:dyDescent="0.3">
      <c r="A1755" s="245"/>
      <c r="B1755" s="246"/>
      <c r="C1755" s="245"/>
      <c r="D1755" s="245"/>
      <c r="E1755" s="245"/>
      <c r="F1755" s="245"/>
      <c r="G1755" s="245"/>
      <c r="H1755" s="245"/>
      <c r="I1755" s="245"/>
      <c r="J1755" s="245"/>
      <c r="K1755" s="245"/>
      <c r="L1755" s="246"/>
      <c r="M1755" s="245"/>
      <c r="N1755" s="245"/>
      <c r="O1755" s="245"/>
      <c r="P1755" s="245"/>
      <c r="Q1755" s="247"/>
      <c r="R1755" s="247"/>
      <c r="S1755" s="247"/>
      <c r="T1755" s="245"/>
      <c r="U1755" s="245"/>
      <c r="V1755" s="241"/>
      <c r="W1755" s="241"/>
      <c r="X1755" s="241"/>
    </row>
    <row r="1756" spans="1:24" ht="13.5" customHeight="1" x14ac:dyDescent="0.3">
      <c r="A1756" s="245"/>
      <c r="B1756" s="246"/>
      <c r="C1756" s="245"/>
      <c r="D1756" s="245"/>
      <c r="E1756" s="245"/>
      <c r="F1756" s="245"/>
      <c r="G1756" s="245"/>
      <c r="H1756" s="245"/>
      <c r="I1756" s="245"/>
      <c r="J1756" s="245"/>
      <c r="K1756" s="245"/>
      <c r="L1756" s="246"/>
      <c r="M1756" s="245"/>
      <c r="N1756" s="245"/>
      <c r="O1756" s="245"/>
      <c r="P1756" s="245"/>
      <c r="Q1756" s="247"/>
      <c r="R1756" s="247"/>
      <c r="S1756" s="247"/>
      <c r="T1756" s="245"/>
      <c r="U1756" s="245"/>
      <c r="V1756" s="241"/>
      <c r="W1756" s="241"/>
      <c r="X1756" s="241"/>
    </row>
    <row r="1757" spans="1:24" ht="13.5" customHeight="1" x14ac:dyDescent="0.3">
      <c r="A1757" s="245"/>
      <c r="B1757" s="246"/>
      <c r="C1757" s="245"/>
      <c r="D1757" s="245"/>
      <c r="E1757" s="245"/>
      <c r="F1757" s="245"/>
      <c r="G1757" s="245"/>
      <c r="H1757" s="245"/>
      <c r="I1757" s="245"/>
      <c r="J1757" s="245"/>
      <c r="K1757" s="245"/>
      <c r="L1757" s="246"/>
      <c r="M1757" s="245"/>
      <c r="N1757" s="245"/>
      <c r="O1757" s="245"/>
      <c r="P1757" s="245"/>
      <c r="Q1757" s="247"/>
      <c r="R1757" s="247"/>
      <c r="S1757" s="247"/>
      <c r="T1757" s="245"/>
      <c r="U1757" s="245"/>
      <c r="V1757" s="241"/>
      <c r="W1757" s="241"/>
      <c r="X1757" s="241"/>
    </row>
    <row r="1758" spans="1:24" ht="13.5" customHeight="1" x14ac:dyDescent="0.3">
      <c r="A1758" s="245"/>
      <c r="B1758" s="246"/>
      <c r="C1758" s="245"/>
      <c r="D1758" s="245"/>
      <c r="E1758" s="245"/>
      <c r="F1758" s="245"/>
      <c r="G1758" s="245"/>
      <c r="H1758" s="245"/>
      <c r="I1758" s="245"/>
      <c r="J1758" s="245"/>
      <c r="K1758" s="245"/>
      <c r="L1758" s="246"/>
      <c r="M1758" s="245"/>
      <c r="N1758" s="245"/>
      <c r="O1758" s="245"/>
      <c r="P1758" s="245"/>
      <c r="Q1758" s="247"/>
      <c r="R1758" s="247"/>
      <c r="S1758" s="247"/>
      <c r="T1758" s="245"/>
      <c r="U1758" s="245"/>
      <c r="V1758" s="241"/>
      <c r="W1758" s="241"/>
      <c r="X1758" s="241"/>
    </row>
    <row r="1759" spans="1:24" ht="13.5" customHeight="1" x14ac:dyDescent="0.3">
      <c r="A1759" s="245"/>
      <c r="B1759" s="246"/>
      <c r="C1759" s="245"/>
      <c r="D1759" s="245"/>
      <c r="E1759" s="245"/>
      <c r="F1759" s="245"/>
      <c r="G1759" s="245"/>
      <c r="H1759" s="245"/>
      <c r="I1759" s="245"/>
      <c r="J1759" s="245"/>
      <c r="K1759" s="245"/>
      <c r="L1759" s="246"/>
      <c r="M1759" s="245"/>
      <c r="N1759" s="245"/>
      <c r="O1759" s="245"/>
      <c r="P1759" s="245"/>
      <c r="Q1759" s="247"/>
      <c r="R1759" s="247"/>
      <c r="S1759" s="247"/>
      <c r="T1759" s="245"/>
      <c r="U1759" s="245"/>
      <c r="V1759" s="241"/>
      <c r="W1759" s="241"/>
      <c r="X1759" s="241"/>
    </row>
    <row r="1760" spans="1:24" ht="13.5" customHeight="1" x14ac:dyDescent="0.3">
      <c r="A1760" s="245"/>
      <c r="B1760" s="246"/>
      <c r="C1760" s="245"/>
      <c r="D1760" s="245"/>
      <c r="E1760" s="245"/>
      <c r="F1760" s="245"/>
      <c r="G1760" s="245"/>
      <c r="H1760" s="245"/>
      <c r="I1760" s="245"/>
      <c r="J1760" s="245"/>
      <c r="K1760" s="245"/>
      <c r="L1760" s="246"/>
      <c r="M1760" s="245"/>
      <c r="N1760" s="245"/>
      <c r="O1760" s="245"/>
      <c r="P1760" s="245"/>
      <c r="Q1760" s="247"/>
      <c r="R1760" s="247"/>
      <c r="S1760" s="247"/>
      <c r="T1760" s="245"/>
      <c r="U1760" s="245"/>
      <c r="V1760" s="241"/>
      <c r="W1760" s="241"/>
      <c r="X1760" s="241"/>
    </row>
    <row r="1761" spans="1:24" ht="13.5" customHeight="1" x14ac:dyDescent="0.3">
      <c r="A1761" s="245"/>
      <c r="B1761" s="246"/>
      <c r="C1761" s="245"/>
      <c r="D1761" s="245"/>
      <c r="E1761" s="245"/>
      <c r="F1761" s="245"/>
      <c r="G1761" s="245"/>
      <c r="H1761" s="245"/>
      <c r="I1761" s="245"/>
      <c r="J1761" s="245"/>
      <c r="K1761" s="245"/>
      <c r="L1761" s="246"/>
      <c r="M1761" s="245"/>
      <c r="N1761" s="245"/>
      <c r="O1761" s="245"/>
      <c r="P1761" s="245"/>
      <c r="Q1761" s="247"/>
      <c r="R1761" s="247"/>
      <c r="S1761" s="247"/>
      <c r="T1761" s="245"/>
      <c r="U1761" s="245"/>
      <c r="V1761" s="241"/>
      <c r="W1761" s="241"/>
      <c r="X1761" s="241"/>
    </row>
    <row r="1762" spans="1:24" ht="13.5" customHeight="1" x14ac:dyDescent="0.3">
      <c r="A1762" s="245"/>
      <c r="B1762" s="246"/>
      <c r="C1762" s="245"/>
      <c r="D1762" s="245"/>
      <c r="E1762" s="245"/>
      <c r="F1762" s="245"/>
      <c r="G1762" s="245"/>
      <c r="H1762" s="245"/>
      <c r="I1762" s="245"/>
      <c r="J1762" s="245"/>
      <c r="K1762" s="245"/>
      <c r="L1762" s="246"/>
      <c r="M1762" s="245"/>
      <c r="N1762" s="245"/>
      <c r="O1762" s="245"/>
      <c r="P1762" s="245"/>
      <c r="Q1762" s="247"/>
      <c r="R1762" s="247"/>
      <c r="S1762" s="247"/>
      <c r="T1762" s="245"/>
      <c r="U1762" s="245"/>
      <c r="V1762" s="241"/>
      <c r="W1762" s="241"/>
      <c r="X1762" s="241"/>
    </row>
    <row r="1763" spans="1:24" ht="13.5" customHeight="1" x14ac:dyDescent="0.3">
      <c r="A1763" s="245"/>
      <c r="B1763" s="246"/>
      <c r="C1763" s="245"/>
      <c r="D1763" s="245"/>
      <c r="E1763" s="245"/>
      <c r="F1763" s="245"/>
      <c r="G1763" s="245"/>
      <c r="H1763" s="245"/>
      <c r="I1763" s="245"/>
      <c r="J1763" s="245"/>
      <c r="K1763" s="245"/>
      <c r="L1763" s="246"/>
      <c r="M1763" s="245"/>
      <c r="N1763" s="245"/>
      <c r="O1763" s="245"/>
      <c r="P1763" s="245"/>
      <c r="Q1763" s="247"/>
      <c r="R1763" s="247"/>
      <c r="S1763" s="247"/>
      <c r="T1763" s="245"/>
      <c r="U1763" s="245"/>
      <c r="V1763" s="241"/>
      <c r="W1763" s="241"/>
      <c r="X1763" s="241"/>
    </row>
    <row r="1764" spans="1:24" ht="13.5" customHeight="1" x14ac:dyDescent="0.3">
      <c r="A1764" s="245"/>
      <c r="B1764" s="246"/>
      <c r="C1764" s="245"/>
      <c r="D1764" s="245"/>
      <c r="E1764" s="245"/>
      <c r="F1764" s="245"/>
      <c r="G1764" s="245"/>
      <c r="H1764" s="245"/>
      <c r="I1764" s="245"/>
      <c r="J1764" s="245"/>
      <c r="K1764" s="245"/>
      <c r="L1764" s="246"/>
      <c r="M1764" s="245"/>
      <c r="N1764" s="245"/>
      <c r="O1764" s="245"/>
      <c r="P1764" s="245"/>
      <c r="Q1764" s="247"/>
      <c r="R1764" s="247"/>
      <c r="S1764" s="247"/>
      <c r="T1764" s="245"/>
      <c r="U1764" s="245"/>
      <c r="V1764" s="241"/>
      <c r="W1764" s="241"/>
      <c r="X1764" s="241"/>
    </row>
    <row r="1765" spans="1:24" ht="13.5" customHeight="1" x14ac:dyDescent="0.3">
      <c r="A1765" s="245"/>
      <c r="B1765" s="246"/>
      <c r="C1765" s="245"/>
      <c r="D1765" s="245"/>
      <c r="E1765" s="245"/>
      <c r="F1765" s="245"/>
      <c r="G1765" s="245"/>
      <c r="H1765" s="245"/>
      <c r="I1765" s="245"/>
      <c r="J1765" s="245"/>
      <c r="K1765" s="245"/>
      <c r="L1765" s="246"/>
      <c r="M1765" s="245"/>
      <c r="N1765" s="245"/>
      <c r="O1765" s="245"/>
      <c r="P1765" s="245"/>
      <c r="Q1765" s="247"/>
      <c r="R1765" s="247"/>
      <c r="S1765" s="247"/>
      <c r="T1765" s="245"/>
      <c r="U1765" s="245"/>
      <c r="V1765" s="241"/>
      <c r="W1765" s="241"/>
      <c r="X1765" s="241"/>
    </row>
    <row r="1766" spans="1:24" ht="13.5" customHeight="1" x14ac:dyDescent="0.3">
      <c r="A1766" s="245"/>
      <c r="B1766" s="246"/>
      <c r="C1766" s="245"/>
      <c r="D1766" s="245"/>
      <c r="E1766" s="245"/>
      <c r="F1766" s="245"/>
      <c r="G1766" s="245"/>
      <c r="H1766" s="245"/>
      <c r="I1766" s="245"/>
      <c r="J1766" s="245"/>
      <c r="K1766" s="245"/>
      <c r="L1766" s="246"/>
      <c r="M1766" s="245"/>
      <c r="N1766" s="245"/>
      <c r="O1766" s="245"/>
      <c r="P1766" s="245"/>
      <c r="Q1766" s="247"/>
      <c r="R1766" s="247"/>
      <c r="S1766" s="247"/>
      <c r="T1766" s="245"/>
      <c r="U1766" s="245"/>
      <c r="V1766" s="241"/>
      <c r="W1766" s="241"/>
      <c r="X1766" s="241"/>
    </row>
    <row r="1767" spans="1:24" ht="13.5" customHeight="1" x14ac:dyDescent="0.3">
      <c r="A1767" s="245"/>
      <c r="B1767" s="246"/>
      <c r="C1767" s="245"/>
      <c r="D1767" s="245"/>
      <c r="E1767" s="245"/>
      <c r="F1767" s="245"/>
      <c r="G1767" s="245"/>
      <c r="H1767" s="245"/>
      <c r="I1767" s="245"/>
      <c r="J1767" s="245"/>
      <c r="K1767" s="245"/>
      <c r="L1767" s="246"/>
      <c r="M1767" s="245"/>
      <c r="N1767" s="245"/>
      <c r="O1767" s="245"/>
      <c r="P1767" s="245"/>
      <c r="Q1767" s="247"/>
      <c r="R1767" s="247"/>
      <c r="S1767" s="247"/>
      <c r="T1767" s="245"/>
      <c r="U1767" s="245"/>
      <c r="V1767" s="241"/>
      <c r="W1767" s="241"/>
      <c r="X1767" s="241"/>
    </row>
    <row r="1768" spans="1:24" ht="13.5" customHeight="1" x14ac:dyDescent="0.3">
      <c r="A1768" s="245"/>
      <c r="B1768" s="246"/>
      <c r="C1768" s="245"/>
      <c r="D1768" s="245"/>
      <c r="E1768" s="245"/>
      <c r="F1768" s="245"/>
      <c r="G1768" s="245"/>
      <c r="H1768" s="245"/>
      <c r="I1768" s="245"/>
      <c r="J1768" s="245"/>
      <c r="K1768" s="245"/>
      <c r="L1768" s="246"/>
      <c r="M1768" s="245"/>
      <c r="N1768" s="245"/>
      <c r="O1768" s="245"/>
      <c r="P1768" s="245"/>
      <c r="Q1768" s="247"/>
      <c r="R1768" s="247"/>
      <c r="S1768" s="247"/>
      <c r="T1768" s="245"/>
      <c r="U1768" s="245"/>
      <c r="V1768" s="241"/>
      <c r="W1768" s="241"/>
      <c r="X1768" s="241"/>
    </row>
    <row r="1769" spans="1:24" ht="13.5" customHeight="1" x14ac:dyDescent="0.3">
      <c r="A1769" s="245"/>
      <c r="B1769" s="246"/>
      <c r="C1769" s="245"/>
      <c r="D1769" s="245"/>
      <c r="E1769" s="245"/>
      <c r="F1769" s="245"/>
      <c r="G1769" s="245"/>
      <c r="H1769" s="245"/>
      <c r="I1769" s="245"/>
      <c r="J1769" s="245"/>
      <c r="K1769" s="245"/>
      <c r="L1769" s="246"/>
      <c r="M1769" s="245"/>
      <c r="N1769" s="245"/>
      <c r="O1769" s="245"/>
      <c r="P1769" s="245"/>
      <c r="Q1769" s="247"/>
      <c r="R1769" s="247"/>
      <c r="S1769" s="247"/>
      <c r="T1769" s="245"/>
      <c r="U1769" s="245"/>
      <c r="V1769" s="241"/>
      <c r="W1769" s="241"/>
      <c r="X1769" s="241"/>
    </row>
    <row r="1770" spans="1:24" ht="13.5" customHeight="1" x14ac:dyDescent="0.3">
      <c r="A1770" s="245"/>
      <c r="B1770" s="246"/>
      <c r="C1770" s="245"/>
      <c r="D1770" s="245"/>
      <c r="E1770" s="245"/>
      <c r="F1770" s="245"/>
      <c r="G1770" s="245"/>
      <c r="H1770" s="245"/>
      <c r="I1770" s="245"/>
      <c r="J1770" s="245"/>
      <c r="K1770" s="245"/>
      <c r="L1770" s="246"/>
      <c r="M1770" s="245"/>
      <c r="N1770" s="245"/>
      <c r="O1770" s="245"/>
      <c r="P1770" s="245"/>
      <c r="Q1770" s="247"/>
      <c r="R1770" s="247"/>
      <c r="S1770" s="247"/>
      <c r="T1770" s="245"/>
      <c r="U1770" s="245"/>
      <c r="V1770" s="241"/>
      <c r="W1770" s="241"/>
      <c r="X1770" s="241"/>
    </row>
    <row r="1771" spans="1:24" ht="13.5" customHeight="1" x14ac:dyDescent="0.3">
      <c r="A1771" s="245"/>
      <c r="B1771" s="246"/>
      <c r="C1771" s="245"/>
      <c r="D1771" s="245"/>
      <c r="E1771" s="245"/>
      <c r="F1771" s="245"/>
      <c r="G1771" s="245"/>
      <c r="H1771" s="245"/>
      <c r="I1771" s="245"/>
      <c r="J1771" s="245"/>
      <c r="K1771" s="245"/>
      <c r="L1771" s="246"/>
      <c r="M1771" s="245"/>
      <c r="N1771" s="245"/>
      <c r="O1771" s="245"/>
      <c r="P1771" s="245"/>
      <c r="Q1771" s="247"/>
      <c r="R1771" s="247"/>
      <c r="S1771" s="247"/>
      <c r="T1771" s="245"/>
      <c r="U1771" s="245"/>
      <c r="V1771" s="241"/>
      <c r="W1771" s="241"/>
      <c r="X1771" s="241"/>
    </row>
    <row r="1772" spans="1:24" ht="13.5" customHeight="1" x14ac:dyDescent="0.3">
      <c r="A1772" s="245"/>
      <c r="B1772" s="246"/>
      <c r="C1772" s="245"/>
      <c r="D1772" s="245"/>
      <c r="E1772" s="245"/>
      <c r="F1772" s="245"/>
      <c r="G1772" s="245"/>
      <c r="H1772" s="245"/>
      <c r="I1772" s="245"/>
      <c r="J1772" s="245"/>
      <c r="K1772" s="245"/>
      <c r="L1772" s="246"/>
      <c r="M1772" s="245"/>
      <c r="N1772" s="245"/>
      <c r="O1772" s="245"/>
      <c r="P1772" s="245"/>
      <c r="Q1772" s="247"/>
      <c r="R1772" s="247"/>
      <c r="S1772" s="247"/>
      <c r="T1772" s="245"/>
      <c r="U1772" s="245"/>
      <c r="V1772" s="241"/>
      <c r="W1772" s="241"/>
      <c r="X1772" s="241"/>
    </row>
    <row r="1773" spans="1:24" ht="13.5" customHeight="1" x14ac:dyDescent="0.3">
      <c r="A1773" s="245"/>
      <c r="B1773" s="246"/>
      <c r="C1773" s="245"/>
      <c r="D1773" s="245"/>
      <c r="E1773" s="245"/>
      <c r="F1773" s="245"/>
      <c r="G1773" s="245"/>
      <c r="H1773" s="245"/>
      <c r="I1773" s="245"/>
      <c r="J1773" s="245"/>
      <c r="K1773" s="245"/>
      <c r="L1773" s="246"/>
      <c r="M1773" s="245"/>
      <c r="N1773" s="245"/>
      <c r="O1773" s="245"/>
      <c r="P1773" s="245"/>
      <c r="Q1773" s="247"/>
      <c r="R1773" s="247"/>
      <c r="S1773" s="247"/>
      <c r="T1773" s="245"/>
      <c r="U1773" s="245"/>
      <c r="V1773" s="241"/>
      <c r="W1773" s="241"/>
      <c r="X1773" s="241"/>
    </row>
    <row r="1774" spans="1:24" ht="13.5" customHeight="1" x14ac:dyDescent="0.3">
      <c r="A1774" s="245"/>
      <c r="B1774" s="246"/>
      <c r="C1774" s="245"/>
      <c r="D1774" s="245"/>
      <c r="E1774" s="245"/>
      <c r="F1774" s="245"/>
      <c r="G1774" s="245"/>
      <c r="H1774" s="245"/>
      <c r="I1774" s="245"/>
      <c r="J1774" s="245"/>
      <c r="K1774" s="245"/>
      <c r="L1774" s="246"/>
      <c r="M1774" s="245"/>
      <c r="N1774" s="245"/>
      <c r="O1774" s="245"/>
      <c r="P1774" s="245"/>
      <c r="Q1774" s="247"/>
      <c r="R1774" s="247"/>
      <c r="S1774" s="247"/>
      <c r="T1774" s="245"/>
      <c r="U1774" s="245"/>
      <c r="V1774" s="241"/>
      <c r="W1774" s="241"/>
      <c r="X1774" s="241"/>
    </row>
    <row r="1775" spans="1:24" ht="13.5" customHeight="1" x14ac:dyDescent="0.3">
      <c r="A1775" s="245"/>
      <c r="B1775" s="246"/>
      <c r="C1775" s="245"/>
      <c r="D1775" s="245"/>
      <c r="E1775" s="245"/>
      <c r="F1775" s="245"/>
      <c r="G1775" s="245"/>
      <c r="H1775" s="245"/>
      <c r="I1775" s="245"/>
      <c r="J1775" s="245"/>
      <c r="K1775" s="245"/>
      <c r="L1775" s="246"/>
      <c r="M1775" s="245"/>
      <c r="N1775" s="245"/>
      <c r="O1775" s="245"/>
      <c r="P1775" s="245"/>
      <c r="Q1775" s="247"/>
      <c r="R1775" s="247"/>
      <c r="S1775" s="247"/>
      <c r="T1775" s="245"/>
      <c r="U1775" s="245"/>
      <c r="V1775" s="241"/>
      <c r="W1775" s="241"/>
      <c r="X1775" s="241"/>
    </row>
    <row r="1776" spans="1:24" ht="13.5" customHeight="1" x14ac:dyDescent="0.3">
      <c r="A1776" s="245"/>
      <c r="B1776" s="246"/>
      <c r="C1776" s="245"/>
      <c r="D1776" s="245"/>
      <c r="E1776" s="245"/>
      <c r="F1776" s="245"/>
      <c r="G1776" s="245"/>
      <c r="H1776" s="245"/>
      <c r="I1776" s="245"/>
      <c r="J1776" s="245"/>
      <c r="K1776" s="245"/>
      <c r="L1776" s="246"/>
      <c r="M1776" s="245"/>
      <c r="N1776" s="245"/>
      <c r="O1776" s="245"/>
      <c r="P1776" s="245"/>
      <c r="Q1776" s="247"/>
      <c r="R1776" s="247"/>
      <c r="S1776" s="247"/>
      <c r="T1776" s="245"/>
      <c r="U1776" s="245"/>
      <c r="V1776" s="241"/>
      <c r="W1776" s="241"/>
      <c r="X1776" s="241"/>
    </row>
    <row r="1777" spans="1:24" ht="13.5" customHeight="1" x14ac:dyDescent="0.3">
      <c r="A1777" s="245"/>
      <c r="B1777" s="246"/>
      <c r="C1777" s="245"/>
      <c r="D1777" s="245"/>
      <c r="E1777" s="245"/>
      <c r="F1777" s="245"/>
      <c r="G1777" s="245"/>
      <c r="H1777" s="245"/>
      <c r="I1777" s="245"/>
      <c r="J1777" s="245"/>
      <c r="K1777" s="245"/>
      <c r="L1777" s="246"/>
      <c r="M1777" s="245"/>
      <c r="N1777" s="245"/>
      <c r="O1777" s="245"/>
      <c r="P1777" s="245"/>
      <c r="Q1777" s="247"/>
      <c r="R1777" s="247"/>
      <c r="S1777" s="247"/>
      <c r="T1777" s="245"/>
      <c r="U1777" s="245"/>
      <c r="V1777" s="241"/>
      <c r="W1777" s="241"/>
      <c r="X1777" s="241"/>
    </row>
    <row r="1778" spans="1:24" ht="13.5" customHeight="1" x14ac:dyDescent="0.3">
      <c r="A1778" s="245"/>
      <c r="B1778" s="246"/>
      <c r="C1778" s="245"/>
      <c r="D1778" s="245"/>
      <c r="E1778" s="245"/>
      <c r="F1778" s="245"/>
      <c r="G1778" s="245"/>
      <c r="H1778" s="245"/>
      <c r="I1778" s="245"/>
      <c r="J1778" s="245"/>
      <c r="K1778" s="245"/>
      <c r="L1778" s="246"/>
      <c r="M1778" s="245"/>
      <c r="N1778" s="245"/>
      <c r="O1778" s="245"/>
      <c r="P1778" s="245"/>
      <c r="Q1778" s="247"/>
      <c r="R1778" s="247"/>
      <c r="S1778" s="247"/>
      <c r="T1778" s="245"/>
      <c r="U1778" s="245"/>
      <c r="V1778" s="241"/>
      <c r="W1778" s="241"/>
      <c r="X1778" s="241"/>
    </row>
    <row r="1779" spans="1:24" ht="13.5" customHeight="1" x14ac:dyDescent="0.3">
      <c r="A1779" s="245"/>
      <c r="B1779" s="246"/>
      <c r="C1779" s="245"/>
      <c r="D1779" s="245"/>
      <c r="E1779" s="245"/>
      <c r="F1779" s="245"/>
      <c r="G1779" s="245"/>
      <c r="H1779" s="245"/>
      <c r="I1779" s="245"/>
      <c r="J1779" s="245"/>
      <c r="K1779" s="245"/>
      <c r="L1779" s="246"/>
      <c r="M1779" s="245"/>
      <c r="N1779" s="245"/>
      <c r="O1779" s="245"/>
      <c r="P1779" s="245"/>
      <c r="Q1779" s="247"/>
      <c r="R1779" s="247"/>
      <c r="S1779" s="247"/>
      <c r="T1779" s="245"/>
      <c r="U1779" s="245"/>
      <c r="V1779" s="241"/>
      <c r="W1779" s="241"/>
      <c r="X1779" s="241"/>
    </row>
    <row r="1780" spans="1:24" ht="13.5" customHeight="1" x14ac:dyDescent="0.3">
      <c r="A1780" s="245"/>
      <c r="B1780" s="246"/>
      <c r="C1780" s="245"/>
      <c r="D1780" s="245"/>
      <c r="E1780" s="245"/>
      <c r="F1780" s="245"/>
      <c r="G1780" s="245"/>
      <c r="H1780" s="245"/>
      <c r="I1780" s="245"/>
      <c r="J1780" s="245"/>
      <c r="K1780" s="245"/>
      <c r="L1780" s="246"/>
      <c r="M1780" s="245"/>
      <c r="N1780" s="245"/>
      <c r="O1780" s="245"/>
      <c r="P1780" s="245"/>
      <c r="Q1780" s="247"/>
      <c r="R1780" s="247"/>
      <c r="S1780" s="247"/>
      <c r="T1780" s="245"/>
      <c r="U1780" s="245"/>
      <c r="V1780" s="241"/>
      <c r="W1780" s="241"/>
      <c r="X1780" s="241"/>
    </row>
    <row r="1781" spans="1:24" ht="13.5" customHeight="1" x14ac:dyDescent="0.3">
      <c r="A1781" s="245"/>
      <c r="B1781" s="246"/>
      <c r="C1781" s="245"/>
      <c r="D1781" s="245"/>
      <c r="E1781" s="245"/>
      <c r="F1781" s="245"/>
      <c r="G1781" s="245"/>
      <c r="H1781" s="245"/>
      <c r="I1781" s="245"/>
      <c r="J1781" s="245"/>
      <c r="K1781" s="245"/>
      <c r="L1781" s="246"/>
      <c r="M1781" s="245"/>
      <c r="N1781" s="245"/>
      <c r="O1781" s="245"/>
      <c r="P1781" s="245"/>
      <c r="Q1781" s="247"/>
      <c r="R1781" s="247"/>
      <c r="S1781" s="247"/>
      <c r="T1781" s="245"/>
      <c r="U1781" s="245"/>
      <c r="V1781" s="241"/>
      <c r="W1781" s="241"/>
      <c r="X1781" s="241"/>
    </row>
    <row r="1782" spans="1:24" ht="13.5" customHeight="1" x14ac:dyDescent="0.3">
      <c r="A1782" s="245"/>
      <c r="B1782" s="246"/>
      <c r="C1782" s="245"/>
      <c r="D1782" s="245"/>
      <c r="E1782" s="245"/>
      <c r="F1782" s="245"/>
      <c r="G1782" s="245"/>
      <c r="H1782" s="245"/>
      <c r="I1782" s="245"/>
      <c r="J1782" s="245"/>
      <c r="K1782" s="245"/>
      <c r="L1782" s="246"/>
      <c r="M1782" s="245"/>
      <c r="N1782" s="245"/>
      <c r="O1782" s="245"/>
      <c r="P1782" s="245"/>
      <c r="Q1782" s="247"/>
      <c r="R1782" s="247"/>
      <c r="S1782" s="247"/>
      <c r="T1782" s="245"/>
      <c r="U1782" s="245"/>
      <c r="V1782" s="241"/>
      <c r="W1782" s="241"/>
      <c r="X1782" s="241"/>
    </row>
    <row r="1783" spans="1:24" ht="13.5" customHeight="1" x14ac:dyDescent="0.3">
      <c r="A1783" s="245"/>
      <c r="B1783" s="246"/>
      <c r="C1783" s="245"/>
      <c r="D1783" s="245"/>
      <c r="E1783" s="245"/>
      <c r="F1783" s="245"/>
      <c r="G1783" s="245"/>
      <c r="H1783" s="245"/>
      <c r="I1783" s="245"/>
      <c r="J1783" s="245"/>
      <c r="K1783" s="245"/>
      <c r="L1783" s="246"/>
      <c r="M1783" s="245"/>
      <c r="N1783" s="245"/>
      <c r="O1783" s="245"/>
      <c r="P1783" s="245"/>
      <c r="Q1783" s="247"/>
      <c r="R1783" s="247"/>
      <c r="S1783" s="247"/>
      <c r="T1783" s="245"/>
      <c r="U1783" s="245"/>
      <c r="V1783" s="241"/>
      <c r="W1783" s="241"/>
      <c r="X1783" s="241"/>
    </row>
    <row r="1784" spans="1:24" ht="13.5" customHeight="1" x14ac:dyDescent="0.3">
      <c r="A1784" s="245"/>
      <c r="B1784" s="246"/>
      <c r="C1784" s="245"/>
      <c r="D1784" s="245"/>
      <c r="E1784" s="245"/>
      <c r="F1784" s="245"/>
      <c r="G1784" s="245"/>
      <c r="H1784" s="245"/>
      <c r="I1784" s="245"/>
      <c r="J1784" s="245"/>
      <c r="K1784" s="245"/>
      <c r="L1784" s="246"/>
      <c r="M1784" s="245"/>
      <c r="N1784" s="245"/>
      <c r="O1784" s="245"/>
      <c r="P1784" s="245"/>
      <c r="Q1784" s="247"/>
      <c r="R1784" s="247"/>
      <c r="S1784" s="247"/>
      <c r="T1784" s="245"/>
      <c r="U1784" s="245"/>
      <c r="V1784" s="241"/>
      <c r="W1784" s="241"/>
      <c r="X1784" s="241"/>
    </row>
    <row r="1785" spans="1:24" ht="13.5" customHeight="1" x14ac:dyDescent="0.3">
      <c r="A1785" s="245"/>
      <c r="B1785" s="246"/>
      <c r="C1785" s="245"/>
      <c r="D1785" s="245"/>
      <c r="E1785" s="245"/>
      <c r="F1785" s="245"/>
      <c r="G1785" s="245"/>
      <c r="H1785" s="245"/>
      <c r="I1785" s="245"/>
      <c r="J1785" s="245"/>
      <c r="K1785" s="245"/>
      <c r="L1785" s="246"/>
      <c r="M1785" s="245"/>
      <c r="N1785" s="245"/>
      <c r="O1785" s="245"/>
      <c r="P1785" s="245"/>
      <c r="Q1785" s="247"/>
      <c r="R1785" s="247"/>
      <c r="S1785" s="247"/>
      <c r="T1785" s="245"/>
      <c r="U1785" s="245"/>
      <c r="V1785" s="241"/>
      <c r="W1785" s="241"/>
      <c r="X1785" s="241"/>
    </row>
    <row r="1786" spans="1:24" ht="13.5" customHeight="1" x14ac:dyDescent="0.3">
      <c r="A1786" s="245"/>
      <c r="B1786" s="246"/>
      <c r="C1786" s="245"/>
      <c r="D1786" s="245"/>
      <c r="E1786" s="245"/>
      <c r="F1786" s="245"/>
      <c r="G1786" s="245"/>
      <c r="H1786" s="245"/>
      <c r="I1786" s="245"/>
      <c r="J1786" s="245"/>
      <c r="K1786" s="245"/>
      <c r="L1786" s="246"/>
      <c r="M1786" s="245"/>
      <c r="N1786" s="245"/>
      <c r="O1786" s="245"/>
      <c r="P1786" s="245"/>
      <c r="Q1786" s="247"/>
      <c r="R1786" s="247"/>
      <c r="S1786" s="247"/>
      <c r="T1786" s="245"/>
      <c r="U1786" s="245"/>
      <c r="V1786" s="241"/>
      <c r="W1786" s="241"/>
      <c r="X1786" s="241"/>
    </row>
    <row r="1787" spans="1:24" ht="13.5" customHeight="1" x14ac:dyDescent="0.3">
      <c r="A1787" s="245"/>
      <c r="B1787" s="246"/>
      <c r="C1787" s="245"/>
      <c r="D1787" s="245"/>
      <c r="E1787" s="245"/>
      <c r="F1787" s="245"/>
      <c r="G1787" s="245"/>
      <c r="H1787" s="245"/>
      <c r="I1787" s="245"/>
      <c r="J1787" s="245"/>
      <c r="K1787" s="245"/>
      <c r="L1787" s="246"/>
      <c r="M1787" s="245"/>
      <c r="N1787" s="245"/>
      <c r="O1787" s="245"/>
      <c r="P1787" s="245"/>
      <c r="Q1787" s="247"/>
      <c r="R1787" s="247"/>
      <c r="S1787" s="247"/>
      <c r="T1787" s="245"/>
      <c r="U1787" s="245"/>
      <c r="V1787" s="241"/>
      <c r="W1787" s="241"/>
      <c r="X1787" s="241"/>
    </row>
    <row r="1788" spans="1:24" ht="13.5" customHeight="1" x14ac:dyDescent="0.3">
      <c r="A1788" s="245"/>
      <c r="B1788" s="246"/>
      <c r="C1788" s="245"/>
      <c r="D1788" s="245"/>
      <c r="E1788" s="245"/>
      <c r="F1788" s="245"/>
      <c r="G1788" s="245"/>
      <c r="H1788" s="245"/>
      <c r="I1788" s="245"/>
      <c r="J1788" s="245"/>
      <c r="K1788" s="245"/>
      <c r="L1788" s="246"/>
      <c r="M1788" s="245"/>
      <c r="N1788" s="245"/>
      <c r="O1788" s="245"/>
      <c r="P1788" s="245"/>
      <c r="Q1788" s="247"/>
      <c r="R1788" s="247"/>
      <c r="S1788" s="247"/>
      <c r="T1788" s="245"/>
      <c r="U1788" s="245"/>
      <c r="V1788" s="241"/>
      <c r="W1788" s="241"/>
      <c r="X1788" s="241"/>
    </row>
    <row r="1789" spans="1:24" ht="13.5" customHeight="1" x14ac:dyDescent="0.3">
      <c r="A1789" s="245"/>
      <c r="B1789" s="246"/>
      <c r="C1789" s="245"/>
      <c r="D1789" s="245"/>
      <c r="E1789" s="245"/>
      <c r="F1789" s="245"/>
      <c r="G1789" s="245"/>
      <c r="H1789" s="245"/>
      <c r="I1789" s="245"/>
      <c r="J1789" s="245"/>
      <c r="K1789" s="245"/>
      <c r="L1789" s="246"/>
      <c r="M1789" s="245"/>
      <c r="N1789" s="245"/>
      <c r="O1789" s="245"/>
      <c r="P1789" s="245"/>
      <c r="Q1789" s="247"/>
      <c r="R1789" s="247"/>
      <c r="S1789" s="247"/>
      <c r="T1789" s="245"/>
      <c r="U1789" s="245"/>
      <c r="V1789" s="241"/>
      <c r="W1789" s="241"/>
      <c r="X1789" s="241"/>
    </row>
    <row r="1790" spans="1:24" ht="13.5" customHeight="1" x14ac:dyDescent="0.3">
      <c r="A1790" s="245"/>
      <c r="B1790" s="246"/>
      <c r="C1790" s="245"/>
      <c r="D1790" s="245"/>
      <c r="E1790" s="245"/>
      <c r="F1790" s="245"/>
      <c r="G1790" s="245"/>
      <c r="H1790" s="245"/>
      <c r="I1790" s="245"/>
      <c r="J1790" s="245"/>
      <c r="K1790" s="245"/>
      <c r="L1790" s="246"/>
      <c r="M1790" s="245"/>
      <c r="N1790" s="245"/>
      <c r="O1790" s="245"/>
      <c r="P1790" s="245"/>
      <c r="Q1790" s="247"/>
      <c r="R1790" s="247"/>
      <c r="S1790" s="247"/>
      <c r="T1790" s="245"/>
      <c r="U1790" s="245"/>
      <c r="V1790" s="241"/>
      <c r="W1790" s="241"/>
      <c r="X1790" s="241"/>
    </row>
    <row r="1791" spans="1:24" ht="13.5" customHeight="1" x14ac:dyDescent="0.3">
      <c r="A1791" s="245"/>
      <c r="B1791" s="246"/>
      <c r="C1791" s="245"/>
      <c r="D1791" s="245"/>
      <c r="E1791" s="245"/>
      <c r="F1791" s="245"/>
      <c r="G1791" s="245"/>
      <c r="H1791" s="245"/>
      <c r="I1791" s="245"/>
      <c r="J1791" s="245"/>
      <c r="K1791" s="245"/>
      <c r="L1791" s="246"/>
      <c r="M1791" s="245"/>
      <c r="N1791" s="245"/>
      <c r="O1791" s="245"/>
      <c r="P1791" s="245"/>
      <c r="Q1791" s="247"/>
      <c r="R1791" s="247"/>
      <c r="S1791" s="247"/>
      <c r="T1791" s="245"/>
      <c r="U1791" s="245"/>
      <c r="V1791" s="241"/>
      <c r="W1791" s="241"/>
      <c r="X1791" s="241"/>
    </row>
    <row r="1792" spans="1:24" ht="13.5" customHeight="1" x14ac:dyDescent="0.3">
      <c r="A1792" s="245"/>
      <c r="B1792" s="246"/>
      <c r="C1792" s="245"/>
      <c r="D1792" s="245"/>
      <c r="E1792" s="245"/>
      <c r="F1792" s="245"/>
      <c r="G1792" s="245"/>
      <c r="H1792" s="245"/>
      <c r="I1792" s="245"/>
      <c r="J1792" s="245"/>
      <c r="K1792" s="245"/>
      <c r="L1792" s="246"/>
      <c r="M1792" s="245"/>
      <c r="N1792" s="245"/>
      <c r="O1792" s="245"/>
      <c r="P1792" s="245"/>
      <c r="Q1792" s="247"/>
      <c r="R1792" s="247"/>
      <c r="S1792" s="247"/>
      <c r="T1792" s="245"/>
      <c r="U1792" s="245"/>
      <c r="V1792" s="241"/>
      <c r="W1792" s="241"/>
      <c r="X1792" s="241"/>
    </row>
    <row r="1793" spans="1:24" ht="13.5" customHeight="1" x14ac:dyDescent="0.3">
      <c r="A1793" s="245"/>
      <c r="B1793" s="246"/>
      <c r="C1793" s="245"/>
      <c r="D1793" s="245"/>
      <c r="E1793" s="245"/>
      <c r="F1793" s="245"/>
      <c r="G1793" s="245"/>
      <c r="H1793" s="245"/>
      <c r="I1793" s="245"/>
      <c r="J1793" s="245"/>
      <c r="K1793" s="245"/>
      <c r="L1793" s="246"/>
      <c r="M1793" s="245"/>
      <c r="N1793" s="245"/>
      <c r="O1793" s="245"/>
      <c r="P1793" s="245"/>
      <c r="Q1793" s="247"/>
      <c r="R1793" s="247"/>
      <c r="S1793" s="247"/>
      <c r="T1793" s="245"/>
      <c r="U1793" s="245"/>
      <c r="V1793" s="241"/>
      <c r="W1793" s="241"/>
      <c r="X1793" s="241"/>
    </row>
    <row r="1794" spans="1:24" ht="13.5" customHeight="1" x14ac:dyDescent="0.3">
      <c r="A1794" s="245"/>
      <c r="B1794" s="246"/>
      <c r="C1794" s="245"/>
      <c r="D1794" s="245"/>
      <c r="E1794" s="245"/>
      <c r="F1794" s="245"/>
      <c r="G1794" s="245"/>
      <c r="H1794" s="245"/>
      <c r="I1794" s="245"/>
      <c r="J1794" s="245"/>
      <c r="K1794" s="245"/>
      <c r="L1794" s="246"/>
      <c r="M1794" s="245"/>
      <c r="N1794" s="245"/>
      <c r="O1794" s="245"/>
      <c r="P1794" s="245"/>
      <c r="Q1794" s="247"/>
      <c r="R1794" s="247"/>
      <c r="S1794" s="247"/>
      <c r="T1794" s="245"/>
      <c r="U1794" s="245"/>
      <c r="V1794" s="241"/>
      <c r="W1794" s="241"/>
      <c r="X1794" s="241"/>
    </row>
    <row r="1795" spans="1:24" ht="13.5" customHeight="1" x14ac:dyDescent="0.3">
      <c r="A1795" s="245"/>
      <c r="B1795" s="246"/>
      <c r="C1795" s="245"/>
      <c r="D1795" s="245"/>
      <c r="E1795" s="245"/>
      <c r="F1795" s="245"/>
      <c r="G1795" s="245"/>
      <c r="H1795" s="245"/>
      <c r="I1795" s="245"/>
      <c r="J1795" s="245"/>
      <c r="K1795" s="245"/>
      <c r="L1795" s="246"/>
      <c r="M1795" s="245"/>
      <c r="N1795" s="245"/>
      <c r="O1795" s="245"/>
      <c r="P1795" s="245"/>
      <c r="Q1795" s="247"/>
      <c r="R1795" s="247"/>
      <c r="S1795" s="247"/>
      <c r="T1795" s="245"/>
      <c r="U1795" s="245"/>
      <c r="V1795" s="241"/>
      <c r="W1795" s="241"/>
      <c r="X1795" s="241"/>
    </row>
    <row r="1796" spans="1:24" ht="13.5" customHeight="1" x14ac:dyDescent="0.3">
      <c r="A1796" s="245"/>
      <c r="B1796" s="246"/>
      <c r="C1796" s="245"/>
      <c r="D1796" s="245"/>
      <c r="E1796" s="245"/>
      <c r="F1796" s="245"/>
      <c r="G1796" s="245"/>
      <c r="H1796" s="245"/>
      <c r="I1796" s="245"/>
      <c r="J1796" s="245"/>
      <c r="K1796" s="245"/>
      <c r="L1796" s="246"/>
      <c r="M1796" s="245"/>
      <c r="N1796" s="245"/>
      <c r="O1796" s="245"/>
      <c r="P1796" s="245"/>
      <c r="Q1796" s="247"/>
      <c r="R1796" s="247"/>
      <c r="S1796" s="247"/>
      <c r="T1796" s="245"/>
      <c r="U1796" s="245"/>
      <c r="V1796" s="241"/>
      <c r="W1796" s="241"/>
      <c r="X1796" s="241"/>
    </row>
    <row r="1797" spans="1:24" ht="13.5" customHeight="1" x14ac:dyDescent="0.3">
      <c r="A1797" s="245"/>
      <c r="B1797" s="246"/>
      <c r="C1797" s="245"/>
      <c r="D1797" s="245"/>
      <c r="E1797" s="245"/>
      <c r="F1797" s="245"/>
      <c r="G1797" s="245"/>
      <c r="H1797" s="245"/>
      <c r="I1797" s="245"/>
      <c r="J1797" s="245"/>
      <c r="K1797" s="245"/>
      <c r="L1797" s="246"/>
      <c r="M1797" s="245"/>
      <c r="N1797" s="245"/>
      <c r="O1797" s="245"/>
      <c r="P1797" s="245"/>
      <c r="Q1797" s="247"/>
      <c r="R1797" s="247"/>
      <c r="S1797" s="247"/>
      <c r="T1797" s="245"/>
      <c r="U1797" s="245"/>
      <c r="V1797" s="241"/>
      <c r="W1797" s="241"/>
      <c r="X1797" s="241"/>
    </row>
    <row r="1798" spans="1:24" ht="13.5" customHeight="1" x14ac:dyDescent="0.3">
      <c r="A1798" s="245"/>
      <c r="B1798" s="246"/>
      <c r="C1798" s="245"/>
      <c r="D1798" s="245"/>
      <c r="E1798" s="245"/>
      <c r="F1798" s="245"/>
      <c r="G1798" s="245"/>
      <c r="H1798" s="245"/>
      <c r="I1798" s="245"/>
      <c r="J1798" s="245"/>
      <c r="K1798" s="245"/>
      <c r="L1798" s="246"/>
      <c r="M1798" s="245"/>
      <c r="N1798" s="245"/>
      <c r="O1798" s="245"/>
      <c r="P1798" s="245"/>
      <c r="Q1798" s="247"/>
      <c r="R1798" s="247"/>
      <c r="S1798" s="247"/>
      <c r="T1798" s="245"/>
      <c r="U1798" s="245"/>
      <c r="V1798" s="241"/>
      <c r="W1798" s="241"/>
      <c r="X1798" s="241"/>
    </row>
    <row r="1799" spans="1:24" ht="13.5" customHeight="1" x14ac:dyDescent="0.3">
      <c r="A1799" s="245"/>
      <c r="B1799" s="246"/>
      <c r="C1799" s="245"/>
      <c r="D1799" s="245"/>
      <c r="E1799" s="245"/>
      <c r="F1799" s="245"/>
      <c r="G1799" s="245"/>
      <c r="H1799" s="245"/>
      <c r="I1799" s="245"/>
      <c r="J1799" s="245"/>
      <c r="K1799" s="245"/>
      <c r="L1799" s="246"/>
      <c r="M1799" s="245"/>
      <c r="N1799" s="245"/>
      <c r="O1799" s="245"/>
      <c r="P1799" s="245"/>
      <c r="Q1799" s="247"/>
      <c r="R1799" s="247"/>
      <c r="S1799" s="247"/>
      <c r="T1799" s="245"/>
      <c r="U1799" s="245"/>
      <c r="V1799" s="241"/>
      <c r="W1799" s="241"/>
      <c r="X1799" s="241"/>
    </row>
    <row r="1800" spans="1:24" ht="13.5" customHeight="1" x14ac:dyDescent="0.3">
      <c r="A1800" s="245"/>
      <c r="B1800" s="246"/>
      <c r="C1800" s="245"/>
      <c r="D1800" s="245"/>
      <c r="E1800" s="245"/>
      <c r="F1800" s="245"/>
      <c r="G1800" s="245"/>
      <c r="H1800" s="245"/>
      <c r="I1800" s="245"/>
      <c r="J1800" s="245"/>
      <c r="K1800" s="245"/>
      <c r="L1800" s="246"/>
      <c r="M1800" s="245"/>
      <c r="N1800" s="245"/>
      <c r="O1800" s="245"/>
      <c r="P1800" s="245"/>
      <c r="Q1800" s="247"/>
      <c r="R1800" s="247"/>
      <c r="S1800" s="247"/>
      <c r="T1800" s="245"/>
      <c r="U1800" s="245"/>
      <c r="V1800" s="241"/>
      <c r="W1800" s="241"/>
      <c r="X1800" s="241"/>
    </row>
    <row r="1801" spans="1:24" ht="13.5" customHeight="1" x14ac:dyDescent="0.3">
      <c r="A1801" s="245"/>
      <c r="B1801" s="246"/>
      <c r="C1801" s="245"/>
      <c r="D1801" s="245"/>
      <c r="E1801" s="245"/>
      <c r="F1801" s="245"/>
      <c r="G1801" s="245"/>
      <c r="H1801" s="245"/>
      <c r="I1801" s="245"/>
      <c r="J1801" s="245"/>
      <c r="K1801" s="245"/>
      <c r="L1801" s="246"/>
      <c r="M1801" s="245"/>
      <c r="N1801" s="245"/>
      <c r="O1801" s="245"/>
      <c r="P1801" s="245"/>
      <c r="Q1801" s="247"/>
      <c r="R1801" s="247"/>
      <c r="S1801" s="247"/>
      <c r="T1801" s="245"/>
      <c r="U1801" s="245"/>
      <c r="V1801" s="241"/>
      <c r="W1801" s="241"/>
      <c r="X1801" s="241"/>
    </row>
    <row r="1802" spans="1:24" ht="13.5" customHeight="1" x14ac:dyDescent="0.3">
      <c r="A1802" s="245"/>
      <c r="B1802" s="246"/>
      <c r="C1802" s="245"/>
      <c r="D1802" s="245"/>
      <c r="E1802" s="245"/>
      <c r="F1802" s="245"/>
      <c r="G1802" s="245"/>
      <c r="H1802" s="245"/>
      <c r="I1802" s="245"/>
      <c r="J1802" s="245"/>
      <c r="K1802" s="245"/>
      <c r="L1802" s="246"/>
      <c r="M1802" s="245"/>
      <c r="N1802" s="245"/>
      <c r="O1802" s="245"/>
      <c r="P1802" s="245"/>
      <c r="Q1802" s="247"/>
      <c r="R1802" s="247"/>
      <c r="S1802" s="247"/>
      <c r="T1802" s="245"/>
      <c r="U1802" s="245"/>
      <c r="V1802" s="241"/>
      <c r="W1802" s="241"/>
      <c r="X1802" s="241"/>
    </row>
    <row r="1803" spans="1:24" ht="13.5" customHeight="1" x14ac:dyDescent="0.3">
      <c r="A1803" s="245"/>
      <c r="B1803" s="246"/>
      <c r="C1803" s="245"/>
      <c r="D1803" s="245"/>
      <c r="E1803" s="245"/>
      <c r="F1803" s="245"/>
      <c r="G1803" s="245"/>
      <c r="H1803" s="245"/>
      <c r="I1803" s="245"/>
      <c r="J1803" s="245"/>
      <c r="K1803" s="245"/>
      <c r="L1803" s="246"/>
      <c r="M1803" s="245"/>
      <c r="N1803" s="245"/>
      <c r="O1803" s="245"/>
      <c r="P1803" s="245"/>
      <c r="Q1803" s="247"/>
      <c r="R1803" s="247"/>
      <c r="S1803" s="247"/>
      <c r="T1803" s="245"/>
      <c r="U1803" s="245"/>
      <c r="V1803" s="241"/>
      <c r="W1803" s="241"/>
      <c r="X1803" s="241"/>
    </row>
    <row r="1804" spans="1:24" ht="13.5" customHeight="1" x14ac:dyDescent="0.3">
      <c r="A1804" s="245"/>
      <c r="B1804" s="246"/>
      <c r="C1804" s="245"/>
      <c r="D1804" s="245"/>
      <c r="E1804" s="245"/>
      <c r="F1804" s="245"/>
      <c r="G1804" s="245"/>
      <c r="H1804" s="245"/>
      <c r="I1804" s="245"/>
      <c r="J1804" s="245"/>
      <c r="K1804" s="245"/>
      <c r="L1804" s="246"/>
      <c r="M1804" s="245"/>
      <c r="N1804" s="245"/>
      <c r="O1804" s="245"/>
      <c r="P1804" s="245"/>
      <c r="Q1804" s="247"/>
      <c r="R1804" s="247"/>
      <c r="S1804" s="247"/>
      <c r="T1804" s="245"/>
      <c r="U1804" s="245"/>
      <c r="V1804" s="241"/>
      <c r="W1804" s="241"/>
      <c r="X1804" s="241"/>
    </row>
    <row r="1805" spans="1:24" ht="13.5" customHeight="1" x14ac:dyDescent="0.3">
      <c r="A1805" s="245"/>
      <c r="B1805" s="246"/>
      <c r="C1805" s="245"/>
      <c r="D1805" s="245"/>
      <c r="E1805" s="245"/>
      <c r="F1805" s="245"/>
      <c r="G1805" s="245"/>
      <c r="H1805" s="245"/>
      <c r="I1805" s="245"/>
      <c r="J1805" s="245"/>
      <c r="K1805" s="245"/>
      <c r="L1805" s="246"/>
      <c r="M1805" s="245"/>
      <c r="N1805" s="245"/>
      <c r="O1805" s="245"/>
      <c r="P1805" s="245"/>
      <c r="Q1805" s="247"/>
      <c r="R1805" s="247"/>
      <c r="S1805" s="247"/>
      <c r="T1805" s="245"/>
      <c r="U1805" s="245"/>
      <c r="V1805" s="241"/>
      <c r="W1805" s="241"/>
      <c r="X1805" s="241"/>
    </row>
    <row r="1806" spans="1:24" ht="13.5" customHeight="1" x14ac:dyDescent="0.3">
      <c r="A1806" s="245"/>
      <c r="B1806" s="246"/>
      <c r="C1806" s="245"/>
      <c r="D1806" s="245"/>
      <c r="E1806" s="245"/>
      <c r="F1806" s="245"/>
      <c r="G1806" s="245"/>
      <c r="H1806" s="245"/>
      <c r="I1806" s="245"/>
      <c r="J1806" s="245"/>
      <c r="K1806" s="245"/>
      <c r="L1806" s="246"/>
      <c r="M1806" s="245"/>
      <c r="N1806" s="245"/>
      <c r="O1806" s="245"/>
      <c r="P1806" s="245"/>
      <c r="Q1806" s="247"/>
      <c r="R1806" s="247"/>
      <c r="S1806" s="247"/>
      <c r="T1806" s="245"/>
      <c r="U1806" s="245"/>
      <c r="V1806" s="241"/>
      <c r="W1806" s="241"/>
      <c r="X1806" s="241"/>
    </row>
    <row r="1807" spans="1:24" ht="13.5" customHeight="1" x14ac:dyDescent="0.3">
      <c r="A1807" s="245"/>
      <c r="B1807" s="246"/>
      <c r="C1807" s="245"/>
      <c r="D1807" s="245"/>
      <c r="E1807" s="245"/>
      <c r="F1807" s="245"/>
      <c r="G1807" s="245"/>
      <c r="H1807" s="245"/>
      <c r="I1807" s="245"/>
      <c r="J1807" s="245"/>
      <c r="K1807" s="245"/>
      <c r="L1807" s="246"/>
      <c r="M1807" s="245"/>
      <c r="N1807" s="245"/>
      <c r="O1807" s="245"/>
      <c r="P1807" s="245"/>
      <c r="Q1807" s="247"/>
      <c r="R1807" s="247"/>
      <c r="S1807" s="247"/>
      <c r="T1807" s="245"/>
      <c r="U1807" s="245"/>
      <c r="V1807" s="241"/>
      <c r="W1807" s="241"/>
      <c r="X1807" s="241"/>
    </row>
    <row r="1808" spans="1:24" ht="13.5" customHeight="1" x14ac:dyDescent="0.3">
      <c r="A1808" s="245"/>
      <c r="B1808" s="246"/>
      <c r="C1808" s="245"/>
      <c r="D1808" s="245"/>
      <c r="E1808" s="245"/>
      <c r="F1808" s="245"/>
      <c r="G1808" s="245"/>
      <c r="H1808" s="245"/>
      <c r="I1808" s="245"/>
      <c r="J1808" s="245"/>
      <c r="K1808" s="245"/>
      <c r="L1808" s="246"/>
      <c r="M1808" s="245"/>
      <c r="N1808" s="245"/>
      <c r="O1808" s="245"/>
      <c r="P1808" s="245"/>
      <c r="Q1808" s="247"/>
      <c r="R1808" s="247"/>
      <c r="S1808" s="247"/>
      <c r="T1808" s="245"/>
      <c r="U1808" s="245"/>
      <c r="V1808" s="241"/>
      <c r="W1808" s="241"/>
      <c r="X1808" s="241"/>
    </row>
    <row r="1809" spans="1:24" ht="13.5" customHeight="1" x14ac:dyDescent="0.3">
      <c r="A1809" s="245"/>
      <c r="B1809" s="246"/>
      <c r="C1809" s="245"/>
      <c r="D1809" s="245"/>
      <c r="E1809" s="245"/>
      <c r="F1809" s="245"/>
      <c r="G1809" s="245"/>
      <c r="H1809" s="245"/>
      <c r="I1809" s="245"/>
      <c r="J1809" s="245"/>
      <c r="K1809" s="245"/>
      <c r="L1809" s="246"/>
      <c r="M1809" s="245"/>
      <c r="N1809" s="245"/>
      <c r="O1809" s="245"/>
      <c r="P1809" s="245"/>
      <c r="Q1809" s="247"/>
      <c r="R1809" s="247"/>
      <c r="S1809" s="247"/>
      <c r="T1809" s="245"/>
      <c r="U1809" s="245"/>
      <c r="V1809" s="241"/>
      <c r="W1809" s="241"/>
      <c r="X1809" s="241"/>
    </row>
    <row r="1810" spans="1:24" ht="13.5" customHeight="1" x14ac:dyDescent="0.3">
      <c r="A1810" s="245"/>
      <c r="B1810" s="246"/>
      <c r="C1810" s="245"/>
      <c r="D1810" s="245"/>
      <c r="E1810" s="245"/>
      <c r="F1810" s="245"/>
      <c r="G1810" s="245"/>
      <c r="H1810" s="245"/>
      <c r="I1810" s="245"/>
      <c r="J1810" s="245"/>
      <c r="K1810" s="245"/>
      <c r="L1810" s="246"/>
      <c r="M1810" s="245"/>
      <c r="N1810" s="245"/>
      <c r="O1810" s="245"/>
      <c r="P1810" s="245"/>
      <c r="Q1810" s="247"/>
      <c r="R1810" s="247"/>
      <c r="S1810" s="247"/>
      <c r="T1810" s="245"/>
      <c r="U1810" s="245"/>
      <c r="V1810" s="241"/>
      <c r="W1810" s="241"/>
      <c r="X1810" s="241"/>
    </row>
    <row r="1811" spans="1:24" ht="13.5" customHeight="1" x14ac:dyDescent="0.3">
      <c r="A1811" s="245"/>
      <c r="B1811" s="246"/>
      <c r="C1811" s="245"/>
      <c r="D1811" s="245"/>
      <c r="E1811" s="245"/>
      <c r="F1811" s="245"/>
      <c r="G1811" s="245"/>
      <c r="H1811" s="245"/>
      <c r="I1811" s="245"/>
      <c r="J1811" s="245"/>
      <c r="K1811" s="245"/>
      <c r="L1811" s="246"/>
      <c r="M1811" s="245"/>
      <c r="N1811" s="245"/>
      <c r="O1811" s="245"/>
      <c r="P1811" s="245"/>
      <c r="Q1811" s="247"/>
      <c r="R1811" s="247"/>
      <c r="S1811" s="247"/>
      <c r="T1811" s="245"/>
      <c r="U1811" s="245"/>
      <c r="V1811" s="241"/>
      <c r="W1811" s="241"/>
      <c r="X1811" s="241"/>
    </row>
    <row r="1812" spans="1:24" ht="13.5" customHeight="1" x14ac:dyDescent="0.3">
      <c r="A1812" s="245"/>
      <c r="B1812" s="246"/>
      <c r="C1812" s="245"/>
      <c r="D1812" s="245"/>
      <c r="E1812" s="245"/>
      <c r="F1812" s="245"/>
      <c r="G1812" s="245"/>
      <c r="H1812" s="245"/>
      <c r="I1812" s="245"/>
      <c r="J1812" s="245"/>
      <c r="K1812" s="245"/>
      <c r="L1812" s="246"/>
      <c r="M1812" s="245"/>
      <c r="N1812" s="245"/>
      <c r="O1812" s="245"/>
      <c r="P1812" s="245"/>
      <c r="Q1812" s="247"/>
      <c r="R1812" s="247"/>
      <c r="S1812" s="247"/>
      <c r="T1812" s="245"/>
      <c r="U1812" s="245"/>
      <c r="V1812" s="241"/>
      <c r="W1812" s="241"/>
      <c r="X1812" s="241"/>
    </row>
    <row r="1813" spans="1:24" ht="13.5" customHeight="1" x14ac:dyDescent="0.3">
      <c r="A1813" s="245"/>
      <c r="B1813" s="246"/>
      <c r="C1813" s="245"/>
      <c r="D1813" s="245"/>
      <c r="E1813" s="245"/>
      <c r="F1813" s="245"/>
      <c r="G1813" s="245"/>
      <c r="H1813" s="245"/>
      <c r="I1813" s="245"/>
      <c r="J1813" s="245"/>
      <c r="K1813" s="245"/>
      <c r="L1813" s="246"/>
      <c r="M1813" s="245"/>
      <c r="N1813" s="245"/>
      <c r="O1813" s="245"/>
      <c r="P1813" s="245"/>
      <c r="Q1813" s="247"/>
      <c r="R1813" s="247"/>
      <c r="S1813" s="247"/>
      <c r="T1813" s="245"/>
      <c r="U1813" s="245"/>
      <c r="V1813" s="241"/>
      <c r="W1813" s="241"/>
      <c r="X1813" s="241"/>
    </row>
    <row r="1814" spans="1:24" ht="13.5" customHeight="1" x14ac:dyDescent="0.3">
      <c r="A1814" s="245"/>
      <c r="B1814" s="246"/>
      <c r="C1814" s="245"/>
      <c r="D1814" s="245"/>
      <c r="E1814" s="245"/>
      <c r="F1814" s="245"/>
      <c r="G1814" s="245"/>
      <c r="H1814" s="245"/>
      <c r="I1814" s="245"/>
      <c r="J1814" s="245"/>
      <c r="K1814" s="245"/>
      <c r="L1814" s="246"/>
      <c r="M1814" s="245"/>
      <c r="N1814" s="245"/>
      <c r="O1814" s="245"/>
      <c r="P1814" s="245"/>
      <c r="Q1814" s="247"/>
      <c r="R1814" s="247"/>
      <c r="S1814" s="247"/>
      <c r="T1814" s="245"/>
      <c r="U1814" s="245"/>
      <c r="V1814" s="241"/>
      <c r="W1814" s="241"/>
      <c r="X1814" s="241"/>
    </row>
    <row r="1815" spans="1:24" ht="13.5" customHeight="1" x14ac:dyDescent="0.3">
      <c r="A1815" s="245"/>
      <c r="B1815" s="246"/>
      <c r="C1815" s="245"/>
      <c r="D1815" s="245"/>
      <c r="E1815" s="245"/>
      <c r="F1815" s="245"/>
      <c r="G1815" s="245"/>
      <c r="H1815" s="245"/>
      <c r="I1815" s="245"/>
      <c r="J1815" s="245"/>
      <c r="K1815" s="245"/>
      <c r="L1815" s="246"/>
      <c r="M1815" s="245"/>
      <c r="N1815" s="245"/>
      <c r="O1815" s="245"/>
      <c r="P1815" s="245"/>
      <c r="Q1815" s="247"/>
      <c r="R1815" s="247"/>
      <c r="S1815" s="247"/>
      <c r="T1815" s="245"/>
      <c r="U1815" s="245"/>
      <c r="V1815" s="241"/>
      <c r="W1815" s="241"/>
      <c r="X1815" s="241"/>
    </row>
    <row r="1816" spans="1:24" ht="13.5" customHeight="1" x14ac:dyDescent="0.3">
      <c r="A1816" s="245"/>
      <c r="B1816" s="246"/>
      <c r="C1816" s="245"/>
      <c r="D1816" s="245"/>
      <c r="E1816" s="245"/>
      <c r="F1816" s="245"/>
      <c r="G1816" s="245"/>
      <c r="H1816" s="245"/>
      <c r="I1816" s="245"/>
      <c r="J1816" s="245"/>
      <c r="K1816" s="245"/>
      <c r="L1816" s="246"/>
      <c r="M1816" s="245"/>
      <c r="N1816" s="245"/>
      <c r="O1816" s="245"/>
      <c r="P1816" s="245"/>
      <c r="Q1816" s="247"/>
      <c r="R1816" s="247"/>
      <c r="S1816" s="247"/>
      <c r="T1816" s="245"/>
      <c r="U1816" s="245"/>
      <c r="V1816" s="241"/>
      <c r="W1816" s="241"/>
      <c r="X1816" s="241"/>
    </row>
    <row r="1817" spans="1:24" ht="13.5" customHeight="1" x14ac:dyDescent="0.3">
      <c r="A1817" s="245"/>
      <c r="B1817" s="246"/>
      <c r="C1817" s="245"/>
      <c r="D1817" s="245"/>
      <c r="E1817" s="245"/>
      <c r="F1817" s="245"/>
      <c r="G1817" s="245"/>
      <c r="H1817" s="245"/>
      <c r="I1817" s="245"/>
      <c r="J1817" s="245"/>
      <c r="K1817" s="245"/>
      <c r="L1817" s="246"/>
      <c r="M1817" s="245"/>
      <c r="N1817" s="245"/>
      <c r="O1817" s="245"/>
      <c r="P1817" s="245"/>
      <c r="Q1817" s="247"/>
      <c r="R1817" s="247"/>
      <c r="S1817" s="247"/>
      <c r="T1817" s="245"/>
      <c r="U1817" s="245"/>
      <c r="V1817" s="241"/>
      <c r="W1817" s="241"/>
      <c r="X1817" s="241"/>
    </row>
    <row r="1818" spans="1:24" ht="13.5" customHeight="1" x14ac:dyDescent="0.3">
      <c r="A1818" s="245"/>
      <c r="B1818" s="246"/>
      <c r="C1818" s="245"/>
      <c r="D1818" s="245"/>
      <c r="E1818" s="245"/>
      <c r="F1818" s="245"/>
      <c r="G1818" s="245"/>
      <c r="H1818" s="245"/>
      <c r="I1818" s="245"/>
      <c r="J1818" s="245"/>
      <c r="K1818" s="245"/>
      <c r="L1818" s="246"/>
      <c r="M1818" s="245"/>
      <c r="N1818" s="245"/>
      <c r="O1818" s="245"/>
      <c r="P1818" s="245"/>
      <c r="Q1818" s="247"/>
      <c r="R1818" s="247"/>
      <c r="S1818" s="247"/>
      <c r="T1818" s="245"/>
      <c r="U1818" s="245"/>
      <c r="V1818" s="241"/>
      <c r="W1818" s="241"/>
      <c r="X1818" s="241"/>
    </row>
    <row r="1819" spans="1:24" ht="13.5" customHeight="1" x14ac:dyDescent="0.3">
      <c r="A1819" s="245"/>
      <c r="B1819" s="246"/>
      <c r="C1819" s="245"/>
      <c r="D1819" s="245"/>
      <c r="E1819" s="245"/>
      <c r="F1819" s="245"/>
      <c r="G1819" s="245"/>
      <c r="H1819" s="245"/>
      <c r="I1819" s="245"/>
      <c r="J1819" s="245"/>
      <c r="K1819" s="245"/>
      <c r="L1819" s="246"/>
      <c r="M1819" s="245"/>
      <c r="N1819" s="245"/>
      <c r="O1819" s="245"/>
      <c r="P1819" s="245"/>
      <c r="Q1819" s="247"/>
      <c r="R1819" s="247"/>
      <c r="S1819" s="247"/>
      <c r="T1819" s="245"/>
      <c r="U1819" s="245"/>
      <c r="V1819" s="241"/>
      <c r="W1819" s="241"/>
      <c r="X1819" s="241"/>
    </row>
    <row r="1820" spans="1:24" ht="13.5" customHeight="1" x14ac:dyDescent="0.3">
      <c r="A1820" s="245"/>
      <c r="B1820" s="246"/>
      <c r="C1820" s="245"/>
      <c r="D1820" s="245"/>
      <c r="E1820" s="245"/>
      <c r="F1820" s="245"/>
      <c r="G1820" s="245"/>
      <c r="H1820" s="245"/>
      <c r="I1820" s="245"/>
      <c r="J1820" s="245"/>
      <c r="K1820" s="245"/>
      <c r="L1820" s="246"/>
      <c r="M1820" s="245"/>
      <c r="N1820" s="245"/>
      <c r="O1820" s="245"/>
      <c r="P1820" s="245"/>
      <c r="Q1820" s="247"/>
      <c r="R1820" s="247"/>
      <c r="S1820" s="247"/>
      <c r="T1820" s="245"/>
      <c r="U1820" s="245"/>
      <c r="V1820" s="241"/>
      <c r="W1820" s="241"/>
      <c r="X1820" s="241"/>
    </row>
    <row r="1821" spans="1:24" ht="13.5" customHeight="1" x14ac:dyDescent="0.3">
      <c r="A1821" s="245"/>
      <c r="B1821" s="246"/>
      <c r="C1821" s="245"/>
      <c r="D1821" s="245"/>
      <c r="E1821" s="245"/>
      <c r="F1821" s="245"/>
      <c r="G1821" s="245"/>
      <c r="H1821" s="245"/>
      <c r="I1821" s="245"/>
      <c r="J1821" s="245"/>
      <c r="K1821" s="245"/>
      <c r="L1821" s="246"/>
      <c r="M1821" s="245"/>
      <c r="N1821" s="245"/>
      <c r="O1821" s="245"/>
      <c r="P1821" s="245"/>
      <c r="Q1821" s="247"/>
      <c r="R1821" s="247"/>
      <c r="S1821" s="247"/>
      <c r="T1821" s="245"/>
      <c r="U1821" s="245"/>
      <c r="V1821" s="241"/>
      <c r="W1821" s="241"/>
      <c r="X1821" s="241"/>
    </row>
    <row r="1822" spans="1:24" ht="13.5" customHeight="1" x14ac:dyDescent="0.3">
      <c r="A1822" s="245"/>
      <c r="B1822" s="246"/>
      <c r="C1822" s="245"/>
      <c r="D1822" s="245"/>
      <c r="E1822" s="245"/>
      <c r="F1822" s="245"/>
      <c r="G1822" s="245"/>
      <c r="H1822" s="245"/>
      <c r="I1822" s="245"/>
      <c r="J1822" s="245"/>
      <c r="K1822" s="245"/>
      <c r="L1822" s="246"/>
      <c r="M1822" s="245"/>
      <c r="N1822" s="245"/>
      <c r="O1822" s="245"/>
      <c r="P1822" s="245"/>
      <c r="Q1822" s="247"/>
      <c r="R1822" s="247"/>
      <c r="S1822" s="247"/>
      <c r="T1822" s="245"/>
      <c r="U1822" s="245"/>
      <c r="V1822" s="241"/>
      <c r="W1822" s="241"/>
      <c r="X1822" s="241"/>
    </row>
    <row r="1823" spans="1:24" ht="13.5" customHeight="1" x14ac:dyDescent="0.3">
      <c r="A1823" s="245"/>
      <c r="B1823" s="246"/>
      <c r="C1823" s="245"/>
      <c r="D1823" s="245"/>
      <c r="E1823" s="245"/>
      <c r="F1823" s="245"/>
      <c r="G1823" s="245"/>
      <c r="H1823" s="245"/>
      <c r="I1823" s="245"/>
      <c r="J1823" s="245"/>
      <c r="K1823" s="245"/>
      <c r="L1823" s="246"/>
      <c r="M1823" s="245"/>
      <c r="N1823" s="245"/>
      <c r="O1823" s="245"/>
      <c r="P1823" s="245"/>
      <c r="Q1823" s="247"/>
      <c r="R1823" s="247"/>
      <c r="S1823" s="247"/>
      <c r="T1823" s="245"/>
      <c r="U1823" s="245"/>
      <c r="V1823" s="241"/>
      <c r="W1823" s="241"/>
      <c r="X1823" s="241"/>
    </row>
    <row r="1824" spans="1:24" ht="13.5" customHeight="1" x14ac:dyDescent="0.3">
      <c r="A1824" s="245"/>
      <c r="B1824" s="246"/>
      <c r="C1824" s="245"/>
      <c r="D1824" s="245"/>
      <c r="E1824" s="245"/>
      <c r="F1824" s="245"/>
      <c r="G1824" s="245"/>
      <c r="H1824" s="245"/>
      <c r="I1824" s="245"/>
      <c r="J1824" s="245"/>
      <c r="K1824" s="245"/>
      <c r="L1824" s="246"/>
      <c r="M1824" s="245"/>
      <c r="N1824" s="245"/>
      <c r="O1824" s="245"/>
      <c r="P1824" s="245"/>
      <c r="Q1824" s="247"/>
      <c r="R1824" s="247"/>
      <c r="S1824" s="247"/>
      <c r="T1824" s="245"/>
      <c r="U1824" s="245"/>
      <c r="V1824" s="241"/>
      <c r="W1824" s="241"/>
      <c r="X1824" s="241"/>
    </row>
    <row r="1825" spans="1:24" ht="13.5" customHeight="1" x14ac:dyDescent="0.3">
      <c r="A1825" s="245"/>
      <c r="B1825" s="246"/>
      <c r="C1825" s="245"/>
      <c r="D1825" s="245"/>
      <c r="E1825" s="245"/>
      <c r="F1825" s="245"/>
      <c r="G1825" s="245"/>
      <c r="H1825" s="245"/>
      <c r="I1825" s="245"/>
      <c r="J1825" s="245"/>
      <c r="K1825" s="245"/>
      <c r="L1825" s="246"/>
      <c r="M1825" s="245"/>
      <c r="N1825" s="245"/>
      <c r="O1825" s="245"/>
      <c r="P1825" s="245"/>
      <c r="Q1825" s="247"/>
      <c r="R1825" s="247"/>
      <c r="S1825" s="247"/>
      <c r="T1825" s="245"/>
      <c r="U1825" s="245"/>
      <c r="V1825" s="241"/>
      <c r="W1825" s="241"/>
      <c r="X1825" s="241"/>
    </row>
    <row r="1826" spans="1:24" ht="13.5" customHeight="1" x14ac:dyDescent="0.3">
      <c r="A1826" s="245"/>
      <c r="B1826" s="246"/>
      <c r="C1826" s="245"/>
      <c r="D1826" s="245"/>
      <c r="E1826" s="245"/>
      <c r="F1826" s="245"/>
      <c r="G1826" s="245"/>
      <c r="H1826" s="245"/>
      <c r="I1826" s="245"/>
      <c r="J1826" s="245"/>
      <c r="K1826" s="245"/>
      <c r="L1826" s="246"/>
      <c r="M1826" s="245"/>
      <c r="N1826" s="245"/>
      <c r="O1826" s="245"/>
      <c r="P1826" s="245"/>
      <c r="Q1826" s="247"/>
      <c r="R1826" s="247"/>
      <c r="S1826" s="247"/>
      <c r="T1826" s="245"/>
      <c r="U1826" s="245"/>
      <c r="V1826" s="241"/>
      <c r="W1826" s="241"/>
      <c r="X1826" s="241"/>
    </row>
    <row r="1827" spans="1:24" ht="13.5" customHeight="1" x14ac:dyDescent="0.3">
      <c r="A1827" s="245"/>
      <c r="B1827" s="246"/>
      <c r="C1827" s="245"/>
      <c r="D1827" s="245"/>
      <c r="E1827" s="245"/>
      <c r="F1827" s="245"/>
      <c r="G1827" s="245"/>
      <c r="H1827" s="245"/>
      <c r="I1827" s="245"/>
      <c r="J1827" s="245"/>
      <c r="K1827" s="245"/>
      <c r="L1827" s="246"/>
      <c r="M1827" s="245"/>
      <c r="N1827" s="245"/>
      <c r="O1827" s="245"/>
      <c r="P1827" s="245"/>
      <c r="Q1827" s="247"/>
      <c r="R1827" s="247"/>
      <c r="S1827" s="247"/>
      <c r="T1827" s="245"/>
      <c r="U1827" s="245"/>
      <c r="V1827" s="241"/>
      <c r="W1827" s="241"/>
      <c r="X1827" s="241"/>
    </row>
    <row r="1828" spans="1:24" ht="13.5" customHeight="1" x14ac:dyDescent="0.3">
      <c r="A1828" s="245"/>
      <c r="B1828" s="246"/>
      <c r="C1828" s="245"/>
      <c r="D1828" s="245"/>
      <c r="E1828" s="245"/>
      <c r="F1828" s="245"/>
      <c r="G1828" s="245"/>
      <c r="H1828" s="245"/>
      <c r="I1828" s="245"/>
      <c r="J1828" s="245"/>
      <c r="K1828" s="245"/>
      <c r="L1828" s="246"/>
      <c r="M1828" s="245"/>
      <c r="N1828" s="245"/>
      <c r="O1828" s="245"/>
      <c r="P1828" s="245"/>
      <c r="Q1828" s="247"/>
      <c r="R1828" s="247"/>
      <c r="S1828" s="247"/>
      <c r="T1828" s="245"/>
      <c r="U1828" s="245"/>
      <c r="V1828" s="241"/>
      <c r="W1828" s="241"/>
      <c r="X1828" s="241"/>
    </row>
    <row r="1829" spans="1:24" ht="13.5" customHeight="1" x14ac:dyDescent="0.3">
      <c r="A1829" s="245"/>
      <c r="B1829" s="246"/>
      <c r="C1829" s="245"/>
      <c r="D1829" s="245"/>
      <c r="E1829" s="245"/>
      <c r="F1829" s="245"/>
      <c r="G1829" s="245"/>
      <c r="H1829" s="245"/>
      <c r="I1829" s="245"/>
      <c r="J1829" s="245"/>
      <c r="K1829" s="245"/>
      <c r="L1829" s="246"/>
      <c r="M1829" s="245"/>
      <c r="N1829" s="245"/>
      <c r="O1829" s="245"/>
      <c r="P1829" s="245"/>
      <c r="Q1829" s="247"/>
      <c r="R1829" s="247"/>
      <c r="S1829" s="247"/>
      <c r="T1829" s="245"/>
      <c r="U1829" s="245"/>
      <c r="V1829" s="241"/>
      <c r="W1829" s="241"/>
      <c r="X1829" s="241"/>
    </row>
    <row r="1830" spans="1:24" ht="13.5" customHeight="1" x14ac:dyDescent="0.3">
      <c r="A1830" s="245"/>
      <c r="B1830" s="246"/>
      <c r="C1830" s="245"/>
      <c r="D1830" s="245"/>
      <c r="E1830" s="245"/>
      <c r="F1830" s="245"/>
      <c r="G1830" s="245"/>
      <c r="H1830" s="245"/>
      <c r="I1830" s="245"/>
      <c r="J1830" s="245"/>
      <c r="K1830" s="245"/>
      <c r="L1830" s="246"/>
      <c r="M1830" s="245"/>
      <c r="N1830" s="245"/>
      <c r="O1830" s="245"/>
      <c r="P1830" s="245"/>
      <c r="Q1830" s="247"/>
      <c r="R1830" s="247"/>
      <c r="S1830" s="247"/>
      <c r="T1830" s="245"/>
      <c r="U1830" s="245"/>
      <c r="V1830" s="241"/>
      <c r="W1830" s="241"/>
      <c r="X1830" s="241"/>
    </row>
    <row r="1831" spans="1:24" ht="13.5" customHeight="1" x14ac:dyDescent="0.3">
      <c r="A1831" s="245"/>
      <c r="B1831" s="246"/>
      <c r="C1831" s="245"/>
      <c r="D1831" s="245"/>
      <c r="E1831" s="245"/>
      <c r="F1831" s="245"/>
      <c r="G1831" s="245"/>
      <c r="H1831" s="245"/>
      <c r="I1831" s="245"/>
      <c r="J1831" s="245"/>
      <c r="K1831" s="245"/>
      <c r="L1831" s="246"/>
      <c r="M1831" s="245"/>
      <c r="N1831" s="245"/>
      <c r="O1831" s="245"/>
      <c r="P1831" s="245"/>
      <c r="Q1831" s="247"/>
      <c r="R1831" s="247"/>
      <c r="S1831" s="247"/>
      <c r="T1831" s="245"/>
      <c r="U1831" s="245"/>
      <c r="V1831" s="241"/>
      <c r="W1831" s="241"/>
      <c r="X1831" s="241"/>
    </row>
    <row r="1832" spans="1:24" ht="13.5" customHeight="1" x14ac:dyDescent="0.3">
      <c r="A1832" s="245"/>
      <c r="B1832" s="246"/>
      <c r="C1832" s="245"/>
      <c r="D1832" s="245"/>
      <c r="E1832" s="245"/>
      <c r="F1832" s="245"/>
      <c r="G1832" s="245"/>
      <c r="H1832" s="245"/>
      <c r="I1832" s="245"/>
      <c r="J1832" s="245"/>
      <c r="K1832" s="245"/>
      <c r="L1832" s="246"/>
      <c r="M1832" s="245"/>
      <c r="N1832" s="245"/>
      <c r="O1832" s="245"/>
      <c r="P1832" s="245"/>
      <c r="Q1832" s="247"/>
      <c r="R1832" s="247"/>
      <c r="S1832" s="247"/>
      <c r="T1832" s="245"/>
      <c r="U1832" s="245"/>
      <c r="V1832" s="241"/>
      <c r="W1832" s="241"/>
      <c r="X1832" s="241"/>
    </row>
    <row r="1833" spans="1:24" ht="13.5" customHeight="1" x14ac:dyDescent="0.3">
      <c r="A1833" s="245"/>
      <c r="B1833" s="246"/>
      <c r="C1833" s="245"/>
      <c r="D1833" s="245"/>
      <c r="E1833" s="245"/>
      <c r="F1833" s="245"/>
      <c r="G1833" s="245"/>
      <c r="H1833" s="245"/>
      <c r="I1833" s="245"/>
      <c r="J1833" s="245"/>
      <c r="K1833" s="245"/>
      <c r="L1833" s="246"/>
      <c r="M1833" s="245"/>
      <c r="N1833" s="245"/>
      <c r="O1833" s="245"/>
      <c r="P1833" s="245"/>
      <c r="Q1833" s="247"/>
      <c r="R1833" s="247"/>
      <c r="S1833" s="247"/>
      <c r="T1833" s="245"/>
      <c r="U1833" s="245"/>
      <c r="V1833" s="241"/>
      <c r="W1833" s="241"/>
      <c r="X1833" s="241"/>
    </row>
    <row r="1834" spans="1:24" ht="13.5" customHeight="1" x14ac:dyDescent="0.3">
      <c r="A1834" s="245"/>
      <c r="B1834" s="246"/>
      <c r="C1834" s="245"/>
      <c r="D1834" s="245"/>
      <c r="E1834" s="245"/>
      <c r="F1834" s="245"/>
      <c r="G1834" s="245"/>
      <c r="H1834" s="245"/>
      <c r="I1834" s="245"/>
      <c r="J1834" s="245"/>
      <c r="K1834" s="245"/>
      <c r="L1834" s="246"/>
      <c r="M1834" s="245"/>
      <c r="N1834" s="245"/>
      <c r="O1834" s="245"/>
      <c r="P1834" s="245"/>
      <c r="Q1834" s="247"/>
      <c r="R1834" s="247"/>
      <c r="S1834" s="247"/>
      <c r="T1834" s="245"/>
      <c r="U1834" s="245"/>
      <c r="V1834" s="241"/>
      <c r="W1834" s="241"/>
      <c r="X1834" s="241"/>
    </row>
    <row r="1835" spans="1:24" ht="13.5" customHeight="1" x14ac:dyDescent="0.3">
      <c r="A1835" s="245"/>
      <c r="B1835" s="246"/>
      <c r="C1835" s="245"/>
      <c r="D1835" s="245"/>
      <c r="E1835" s="245"/>
      <c r="F1835" s="245"/>
      <c r="G1835" s="245"/>
      <c r="H1835" s="245"/>
      <c r="I1835" s="245"/>
      <c r="J1835" s="245"/>
      <c r="K1835" s="245"/>
      <c r="L1835" s="246"/>
      <c r="M1835" s="245"/>
      <c r="N1835" s="245"/>
      <c r="O1835" s="245"/>
      <c r="P1835" s="245"/>
      <c r="Q1835" s="247"/>
      <c r="R1835" s="247"/>
      <c r="S1835" s="247"/>
      <c r="T1835" s="245"/>
      <c r="U1835" s="245"/>
      <c r="V1835" s="241"/>
      <c r="W1835" s="241"/>
      <c r="X1835" s="241"/>
    </row>
    <row r="1836" spans="1:24" ht="13.5" customHeight="1" x14ac:dyDescent="0.3">
      <c r="A1836" s="245"/>
      <c r="B1836" s="246"/>
      <c r="C1836" s="245"/>
      <c r="D1836" s="245"/>
      <c r="E1836" s="245"/>
      <c r="F1836" s="245"/>
      <c r="G1836" s="245"/>
      <c r="H1836" s="245"/>
      <c r="I1836" s="245"/>
      <c r="J1836" s="245"/>
      <c r="K1836" s="245"/>
      <c r="L1836" s="246"/>
      <c r="M1836" s="245"/>
      <c r="N1836" s="245"/>
      <c r="O1836" s="245"/>
      <c r="P1836" s="245"/>
      <c r="Q1836" s="247"/>
      <c r="R1836" s="247"/>
      <c r="S1836" s="247"/>
      <c r="T1836" s="245"/>
      <c r="U1836" s="245"/>
      <c r="V1836" s="241"/>
      <c r="W1836" s="241"/>
      <c r="X1836" s="241"/>
    </row>
    <row r="1837" spans="1:24" ht="13.5" customHeight="1" x14ac:dyDescent="0.3">
      <c r="A1837" s="245"/>
      <c r="B1837" s="246"/>
      <c r="C1837" s="245"/>
      <c r="D1837" s="245"/>
      <c r="E1837" s="245"/>
      <c r="F1837" s="245"/>
      <c r="G1837" s="245"/>
      <c r="H1837" s="245"/>
      <c r="I1837" s="245"/>
      <c r="J1837" s="245"/>
      <c r="K1837" s="245"/>
      <c r="L1837" s="246"/>
      <c r="M1837" s="245"/>
      <c r="N1837" s="245"/>
      <c r="O1837" s="245"/>
      <c r="P1837" s="245"/>
      <c r="Q1837" s="247"/>
      <c r="R1837" s="247"/>
      <c r="S1837" s="247"/>
      <c r="T1837" s="245"/>
      <c r="U1837" s="245"/>
      <c r="V1837" s="241"/>
      <c r="W1837" s="241"/>
      <c r="X1837" s="241"/>
    </row>
    <row r="1838" spans="1:24" ht="13.5" customHeight="1" x14ac:dyDescent="0.3">
      <c r="A1838" s="245"/>
      <c r="B1838" s="246"/>
      <c r="C1838" s="245"/>
      <c r="D1838" s="245"/>
      <c r="E1838" s="245"/>
      <c r="F1838" s="245"/>
      <c r="G1838" s="245"/>
      <c r="H1838" s="245"/>
      <c r="I1838" s="245"/>
      <c r="J1838" s="245"/>
      <c r="K1838" s="245"/>
      <c r="L1838" s="246"/>
      <c r="M1838" s="245"/>
      <c r="N1838" s="245"/>
      <c r="O1838" s="245"/>
      <c r="P1838" s="245"/>
      <c r="Q1838" s="247"/>
      <c r="R1838" s="247"/>
      <c r="S1838" s="247"/>
      <c r="T1838" s="245"/>
      <c r="U1838" s="245"/>
      <c r="V1838" s="241"/>
      <c r="W1838" s="241"/>
      <c r="X1838" s="241"/>
    </row>
    <row r="1839" spans="1:24" ht="13.5" customHeight="1" x14ac:dyDescent="0.3">
      <c r="A1839" s="245"/>
      <c r="B1839" s="246"/>
      <c r="C1839" s="245"/>
      <c r="D1839" s="245"/>
      <c r="E1839" s="245"/>
      <c r="F1839" s="245"/>
      <c r="G1839" s="245"/>
      <c r="H1839" s="245"/>
      <c r="I1839" s="245"/>
      <c r="J1839" s="245"/>
      <c r="K1839" s="245"/>
      <c r="L1839" s="246"/>
      <c r="M1839" s="245"/>
      <c r="N1839" s="245"/>
      <c r="O1839" s="245"/>
      <c r="P1839" s="245"/>
      <c r="Q1839" s="247"/>
      <c r="R1839" s="247"/>
      <c r="S1839" s="247"/>
      <c r="T1839" s="245"/>
      <c r="U1839" s="245"/>
      <c r="V1839" s="241"/>
      <c r="W1839" s="241"/>
      <c r="X1839" s="241"/>
    </row>
    <row r="1840" spans="1:24" ht="13.5" customHeight="1" x14ac:dyDescent="0.3">
      <c r="A1840" s="245"/>
      <c r="B1840" s="246"/>
      <c r="C1840" s="245"/>
      <c r="D1840" s="245"/>
      <c r="E1840" s="245"/>
      <c r="F1840" s="245"/>
      <c r="G1840" s="245"/>
      <c r="H1840" s="245"/>
      <c r="I1840" s="245"/>
      <c r="J1840" s="245"/>
      <c r="K1840" s="245"/>
      <c r="L1840" s="246"/>
      <c r="M1840" s="245"/>
      <c r="N1840" s="245"/>
      <c r="O1840" s="245"/>
      <c r="P1840" s="245"/>
      <c r="Q1840" s="247"/>
      <c r="R1840" s="247"/>
      <c r="S1840" s="247"/>
      <c r="T1840" s="245"/>
      <c r="U1840" s="245"/>
      <c r="V1840" s="241"/>
      <c r="W1840" s="241"/>
      <c r="X1840" s="241"/>
    </row>
    <row r="1841" spans="1:24" ht="13.5" customHeight="1" x14ac:dyDescent="0.3">
      <c r="A1841" s="245"/>
      <c r="B1841" s="246"/>
      <c r="C1841" s="245"/>
      <c r="D1841" s="245"/>
      <c r="E1841" s="245"/>
      <c r="F1841" s="245"/>
      <c r="G1841" s="245"/>
      <c r="H1841" s="245"/>
      <c r="I1841" s="245"/>
      <c r="J1841" s="245"/>
      <c r="K1841" s="245"/>
      <c r="L1841" s="246"/>
      <c r="M1841" s="245"/>
      <c r="N1841" s="245"/>
      <c r="O1841" s="245"/>
      <c r="P1841" s="245"/>
      <c r="Q1841" s="247"/>
      <c r="R1841" s="247"/>
      <c r="S1841" s="247"/>
      <c r="T1841" s="245"/>
      <c r="U1841" s="245"/>
      <c r="V1841" s="241"/>
      <c r="W1841" s="241"/>
      <c r="X1841" s="241"/>
    </row>
    <row r="1842" spans="1:24" ht="13.5" customHeight="1" x14ac:dyDescent="0.3">
      <c r="A1842" s="245"/>
      <c r="B1842" s="246"/>
      <c r="C1842" s="245"/>
      <c r="D1842" s="245"/>
      <c r="E1842" s="245"/>
      <c r="F1842" s="245"/>
      <c r="G1842" s="245"/>
      <c r="H1842" s="245"/>
      <c r="I1842" s="245"/>
      <c r="J1842" s="245"/>
      <c r="K1842" s="245"/>
      <c r="L1842" s="246"/>
      <c r="M1842" s="245"/>
      <c r="N1842" s="245"/>
      <c r="O1842" s="245"/>
      <c r="P1842" s="245"/>
      <c r="Q1842" s="247"/>
      <c r="R1842" s="247"/>
      <c r="S1842" s="247"/>
      <c r="T1842" s="245"/>
      <c r="U1842" s="245"/>
      <c r="V1842" s="241"/>
      <c r="W1842" s="241"/>
      <c r="X1842" s="241"/>
    </row>
    <row r="1843" spans="1:24" ht="13.5" customHeight="1" x14ac:dyDescent="0.3">
      <c r="A1843" s="245"/>
      <c r="B1843" s="246"/>
      <c r="C1843" s="245"/>
      <c r="D1843" s="245"/>
      <c r="E1843" s="245"/>
      <c r="F1843" s="245"/>
      <c r="G1843" s="245"/>
      <c r="H1843" s="245"/>
      <c r="I1843" s="245"/>
      <c r="J1843" s="245"/>
      <c r="K1843" s="245"/>
      <c r="L1843" s="246"/>
      <c r="M1843" s="245"/>
      <c r="N1843" s="245"/>
      <c r="O1843" s="245"/>
      <c r="P1843" s="245"/>
      <c r="Q1843" s="247"/>
      <c r="R1843" s="247"/>
      <c r="S1843" s="247"/>
      <c r="T1843" s="245"/>
      <c r="U1843" s="245"/>
      <c r="V1843" s="241"/>
      <c r="W1843" s="241"/>
      <c r="X1843" s="241"/>
    </row>
    <row r="1844" spans="1:24" ht="13.5" customHeight="1" x14ac:dyDescent="0.3">
      <c r="A1844" s="245"/>
      <c r="B1844" s="246"/>
      <c r="C1844" s="245"/>
      <c r="D1844" s="245"/>
      <c r="E1844" s="245"/>
      <c r="F1844" s="245"/>
      <c r="G1844" s="245"/>
      <c r="H1844" s="245"/>
      <c r="I1844" s="245"/>
      <c r="J1844" s="245"/>
      <c r="K1844" s="245"/>
      <c r="L1844" s="246"/>
      <c r="M1844" s="245"/>
      <c r="N1844" s="245"/>
      <c r="O1844" s="245"/>
      <c r="P1844" s="245"/>
      <c r="Q1844" s="247"/>
      <c r="R1844" s="247"/>
      <c r="S1844" s="247"/>
      <c r="T1844" s="245"/>
      <c r="U1844" s="245"/>
      <c r="V1844" s="241"/>
      <c r="W1844" s="241"/>
      <c r="X1844" s="241"/>
    </row>
    <row r="1845" spans="1:24" ht="13.5" customHeight="1" x14ac:dyDescent="0.3">
      <c r="A1845" s="245"/>
      <c r="B1845" s="246"/>
      <c r="C1845" s="245"/>
      <c r="D1845" s="245"/>
      <c r="E1845" s="245"/>
      <c r="F1845" s="245"/>
      <c r="G1845" s="245"/>
      <c r="H1845" s="245"/>
      <c r="I1845" s="245"/>
      <c r="J1845" s="245"/>
      <c r="K1845" s="245"/>
      <c r="L1845" s="246"/>
      <c r="M1845" s="245"/>
      <c r="N1845" s="245"/>
      <c r="O1845" s="245"/>
      <c r="P1845" s="245"/>
      <c r="Q1845" s="247"/>
      <c r="R1845" s="247"/>
      <c r="S1845" s="247"/>
      <c r="T1845" s="245"/>
      <c r="U1845" s="245"/>
      <c r="V1845" s="241"/>
      <c r="W1845" s="241"/>
      <c r="X1845" s="241"/>
    </row>
    <row r="1846" spans="1:24" ht="13.5" customHeight="1" x14ac:dyDescent="0.3">
      <c r="A1846" s="245"/>
      <c r="B1846" s="246"/>
      <c r="C1846" s="245"/>
      <c r="D1846" s="245"/>
      <c r="E1846" s="245"/>
      <c r="F1846" s="245"/>
      <c r="G1846" s="245"/>
      <c r="H1846" s="245"/>
      <c r="I1846" s="245"/>
      <c r="J1846" s="245"/>
      <c r="K1846" s="245"/>
      <c r="L1846" s="246"/>
      <c r="M1846" s="245"/>
      <c r="N1846" s="245"/>
      <c r="O1846" s="245"/>
      <c r="P1846" s="245"/>
      <c r="Q1846" s="247"/>
      <c r="R1846" s="247"/>
      <c r="S1846" s="247"/>
      <c r="T1846" s="245"/>
      <c r="U1846" s="245"/>
      <c r="V1846" s="241"/>
      <c r="W1846" s="241"/>
      <c r="X1846" s="241"/>
    </row>
    <row r="1847" spans="1:24" ht="13.5" customHeight="1" x14ac:dyDescent="0.3">
      <c r="A1847" s="245"/>
      <c r="B1847" s="246"/>
      <c r="C1847" s="245"/>
      <c r="D1847" s="245"/>
      <c r="E1847" s="245"/>
      <c r="F1847" s="245"/>
      <c r="G1847" s="245"/>
      <c r="H1847" s="245"/>
      <c r="I1847" s="245"/>
      <c r="J1847" s="245"/>
      <c r="K1847" s="245"/>
      <c r="L1847" s="246"/>
      <c r="M1847" s="245"/>
      <c r="N1847" s="245"/>
      <c r="O1847" s="245"/>
      <c r="P1847" s="245"/>
      <c r="Q1847" s="247"/>
      <c r="R1847" s="247"/>
      <c r="S1847" s="247"/>
      <c r="T1847" s="245"/>
      <c r="U1847" s="245"/>
      <c r="V1847" s="241"/>
      <c r="W1847" s="241"/>
      <c r="X1847" s="241"/>
    </row>
    <row r="1848" spans="1:24" ht="13.5" customHeight="1" x14ac:dyDescent="0.3">
      <c r="A1848" s="245"/>
      <c r="B1848" s="246"/>
      <c r="C1848" s="245"/>
      <c r="D1848" s="245"/>
      <c r="E1848" s="245"/>
      <c r="F1848" s="245"/>
      <c r="G1848" s="245"/>
      <c r="H1848" s="245"/>
      <c r="I1848" s="245"/>
      <c r="J1848" s="245"/>
      <c r="K1848" s="245"/>
      <c r="L1848" s="246"/>
      <c r="M1848" s="245"/>
      <c r="N1848" s="245"/>
      <c r="O1848" s="245"/>
      <c r="P1848" s="245"/>
      <c r="Q1848" s="247"/>
      <c r="R1848" s="247"/>
      <c r="S1848" s="247"/>
      <c r="T1848" s="245"/>
      <c r="U1848" s="245"/>
      <c r="V1848" s="241"/>
      <c r="W1848" s="241"/>
      <c r="X1848" s="241"/>
    </row>
    <row r="1849" spans="1:24" ht="13.5" customHeight="1" x14ac:dyDescent="0.3">
      <c r="A1849" s="245"/>
      <c r="B1849" s="246"/>
      <c r="C1849" s="245"/>
      <c r="D1849" s="245"/>
      <c r="E1849" s="245"/>
      <c r="F1849" s="245"/>
      <c r="G1849" s="245"/>
      <c r="H1849" s="245"/>
      <c r="I1849" s="245"/>
      <c r="J1849" s="245"/>
      <c r="K1849" s="245"/>
      <c r="L1849" s="246"/>
      <c r="M1849" s="245"/>
      <c r="N1849" s="245"/>
      <c r="O1849" s="245"/>
      <c r="P1849" s="245"/>
      <c r="Q1849" s="247"/>
      <c r="R1849" s="247"/>
      <c r="S1849" s="247"/>
      <c r="T1849" s="245"/>
      <c r="U1849" s="245"/>
      <c r="V1849" s="241"/>
      <c r="W1849" s="241"/>
      <c r="X1849" s="241"/>
    </row>
    <row r="1850" spans="1:24" ht="13.5" customHeight="1" x14ac:dyDescent="0.3">
      <c r="A1850" s="245"/>
      <c r="B1850" s="246"/>
      <c r="C1850" s="245"/>
      <c r="D1850" s="245"/>
      <c r="E1850" s="245"/>
      <c r="F1850" s="245"/>
      <c r="G1850" s="245"/>
      <c r="H1850" s="245"/>
      <c r="I1850" s="245"/>
      <c r="J1850" s="245"/>
      <c r="K1850" s="245"/>
      <c r="L1850" s="246"/>
      <c r="M1850" s="245"/>
      <c r="N1850" s="245"/>
      <c r="O1850" s="245"/>
      <c r="P1850" s="245"/>
      <c r="Q1850" s="247"/>
      <c r="R1850" s="247"/>
      <c r="S1850" s="247"/>
      <c r="T1850" s="245"/>
      <c r="U1850" s="245"/>
      <c r="V1850" s="241"/>
      <c r="W1850" s="241"/>
      <c r="X1850" s="241"/>
    </row>
    <row r="1851" spans="1:24" ht="13.5" customHeight="1" x14ac:dyDescent="0.3">
      <c r="A1851" s="245"/>
      <c r="B1851" s="246"/>
      <c r="C1851" s="245"/>
      <c r="D1851" s="245"/>
      <c r="E1851" s="245"/>
      <c r="F1851" s="245"/>
      <c r="G1851" s="245"/>
      <c r="H1851" s="245"/>
      <c r="I1851" s="245"/>
      <c r="J1851" s="245"/>
      <c r="K1851" s="245"/>
      <c r="L1851" s="246"/>
      <c r="M1851" s="245"/>
      <c r="N1851" s="245"/>
      <c r="O1851" s="245"/>
      <c r="P1851" s="245"/>
      <c r="Q1851" s="247"/>
      <c r="R1851" s="247"/>
      <c r="S1851" s="247"/>
      <c r="T1851" s="245"/>
      <c r="U1851" s="245"/>
      <c r="V1851" s="241"/>
      <c r="W1851" s="241"/>
      <c r="X1851" s="241"/>
    </row>
    <row r="1852" spans="1:24" ht="13.5" customHeight="1" x14ac:dyDescent="0.3">
      <c r="A1852" s="245"/>
      <c r="B1852" s="246"/>
      <c r="C1852" s="245"/>
      <c r="D1852" s="245"/>
      <c r="E1852" s="245"/>
      <c r="F1852" s="245"/>
      <c r="G1852" s="245"/>
      <c r="H1852" s="245"/>
      <c r="I1852" s="245"/>
      <c r="J1852" s="245"/>
      <c r="K1852" s="245"/>
      <c r="L1852" s="246"/>
      <c r="M1852" s="245"/>
      <c r="N1852" s="245"/>
      <c r="O1852" s="245"/>
      <c r="P1852" s="245"/>
      <c r="Q1852" s="247"/>
      <c r="R1852" s="247"/>
      <c r="S1852" s="247"/>
      <c r="T1852" s="245"/>
      <c r="U1852" s="245"/>
      <c r="V1852" s="241"/>
      <c r="W1852" s="241"/>
      <c r="X1852" s="241"/>
    </row>
    <row r="1853" spans="1:24" ht="13.5" customHeight="1" x14ac:dyDescent="0.3">
      <c r="A1853" s="245"/>
      <c r="B1853" s="246"/>
      <c r="C1853" s="245"/>
      <c r="D1853" s="245"/>
      <c r="E1853" s="245"/>
      <c r="F1853" s="245"/>
      <c r="G1853" s="245"/>
      <c r="H1853" s="245"/>
      <c r="I1853" s="245"/>
      <c r="J1853" s="245"/>
      <c r="K1853" s="245"/>
      <c r="L1853" s="246"/>
      <c r="M1853" s="245"/>
      <c r="N1853" s="245"/>
      <c r="O1853" s="245"/>
      <c r="P1853" s="245"/>
      <c r="Q1853" s="247"/>
      <c r="R1853" s="247"/>
      <c r="S1853" s="247"/>
      <c r="T1853" s="245"/>
      <c r="U1853" s="245"/>
      <c r="V1853" s="241"/>
      <c r="W1853" s="241"/>
      <c r="X1853" s="241"/>
    </row>
    <row r="1854" spans="1:24" ht="13.5" customHeight="1" x14ac:dyDescent="0.3">
      <c r="A1854" s="245"/>
      <c r="B1854" s="246"/>
      <c r="C1854" s="245"/>
      <c r="D1854" s="245"/>
      <c r="E1854" s="245"/>
      <c r="F1854" s="245"/>
      <c r="G1854" s="245"/>
      <c r="H1854" s="245"/>
      <c r="I1854" s="245"/>
      <c r="J1854" s="245"/>
      <c r="K1854" s="245"/>
      <c r="L1854" s="246"/>
      <c r="M1854" s="245"/>
      <c r="N1854" s="245"/>
      <c r="O1854" s="245"/>
      <c r="P1854" s="245"/>
      <c r="Q1854" s="247"/>
      <c r="R1854" s="247"/>
      <c r="S1854" s="247"/>
      <c r="T1854" s="245"/>
      <c r="U1854" s="245"/>
      <c r="V1854" s="241"/>
      <c r="W1854" s="241"/>
      <c r="X1854" s="241"/>
    </row>
    <row r="1855" spans="1:24" ht="13.5" customHeight="1" x14ac:dyDescent="0.3">
      <c r="A1855" s="245"/>
      <c r="B1855" s="246"/>
      <c r="C1855" s="245"/>
      <c r="D1855" s="245"/>
      <c r="E1855" s="245"/>
      <c r="F1855" s="245"/>
      <c r="G1855" s="245"/>
      <c r="H1855" s="245"/>
      <c r="I1855" s="245"/>
      <c r="J1855" s="245"/>
      <c r="K1855" s="245"/>
      <c r="L1855" s="246"/>
      <c r="M1855" s="245"/>
      <c r="N1855" s="245"/>
      <c r="O1855" s="245"/>
      <c r="P1855" s="245"/>
      <c r="Q1855" s="247"/>
      <c r="R1855" s="247"/>
      <c r="S1855" s="247"/>
      <c r="T1855" s="245"/>
      <c r="U1855" s="245"/>
      <c r="V1855" s="241"/>
      <c r="W1855" s="241"/>
      <c r="X1855" s="241"/>
    </row>
    <row r="1856" spans="1:24" ht="13.5" customHeight="1" x14ac:dyDescent="0.3">
      <c r="A1856" s="245"/>
      <c r="B1856" s="246"/>
      <c r="C1856" s="245"/>
      <c r="D1856" s="245"/>
      <c r="E1856" s="245"/>
      <c r="F1856" s="245"/>
      <c r="G1856" s="245"/>
      <c r="H1856" s="245"/>
      <c r="I1856" s="245"/>
      <c r="J1856" s="245"/>
      <c r="K1856" s="245"/>
      <c r="L1856" s="246"/>
      <c r="M1856" s="245"/>
      <c r="N1856" s="245"/>
      <c r="O1856" s="245"/>
      <c r="P1856" s="245"/>
      <c r="Q1856" s="247"/>
      <c r="R1856" s="247"/>
      <c r="S1856" s="247"/>
      <c r="T1856" s="245"/>
      <c r="U1856" s="245"/>
      <c r="V1856" s="241"/>
      <c r="W1856" s="241"/>
      <c r="X1856" s="241"/>
    </row>
    <row r="1857" spans="1:24" ht="13.5" customHeight="1" x14ac:dyDescent="0.3">
      <c r="A1857" s="245"/>
      <c r="B1857" s="246"/>
      <c r="C1857" s="245"/>
      <c r="D1857" s="245"/>
      <c r="E1857" s="245"/>
      <c r="F1857" s="245"/>
      <c r="G1857" s="245"/>
      <c r="H1857" s="245"/>
      <c r="I1857" s="245"/>
      <c r="J1857" s="245"/>
      <c r="K1857" s="245"/>
      <c r="L1857" s="246"/>
      <c r="M1857" s="245"/>
      <c r="N1857" s="245"/>
      <c r="O1857" s="245"/>
      <c r="P1857" s="245"/>
      <c r="Q1857" s="247"/>
      <c r="R1857" s="247"/>
      <c r="S1857" s="247"/>
      <c r="T1857" s="245"/>
      <c r="U1857" s="245"/>
      <c r="V1857" s="241"/>
      <c r="W1857" s="241"/>
      <c r="X1857" s="241"/>
    </row>
    <row r="1858" spans="1:24" ht="13.5" customHeight="1" x14ac:dyDescent="0.3">
      <c r="A1858" s="245"/>
      <c r="B1858" s="246"/>
      <c r="C1858" s="245"/>
      <c r="D1858" s="245"/>
      <c r="E1858" s="245"/>
      <c r="F1858" s="245"/>
      <c r="G1858" s="245"/>
      <c r="H1858" s="245"/>
      <c r="I1858" s="245"/>
      <c r="J1858" s="245"/>
      <c r="K1858" s="245"/>
      <c r="L1858" s="246"/>
      <c r="M1858" s="245"/>
      <c r="N1858" s="245"/>
      <c r="O1858" s="245"/>
      <c r="P1858" s="245"/>
      <c r="Q1858" s="247"/>
      <c r="R1858" s="247"/>
      <c r="S1858" s="247"/>
      <c r="T1858" s="245"/>
      <c r="U1858" s="245"/>
      <c r="V1858" s="241"/>
      <c r="W1858" s="241"/>
      <c r="X1858" s="241"/>
    </row>
    <row r="1859" spans="1:24" ht="13.5" customHeight="1" x14ac:dyDescent="0.3">
      <c r="A1859" s="245"/>
      <c r="B1859" s="246"/>
      <c r="C1859" s="245"/>
      <c r="D1859" s="245"/>
      <c r="E1859" s="245"/>
      <c r="F1859" s="245"/>
      <c r="G1859" s="245"/>
      <c r="H1859" s="245"/>
      <c r="I1859" s="245"/>
      <c r="J1859" s="245"/>
      <c r="K1859" s="245"/>
      <c r="L1859" s="246"/>
      <c r="M1859" s="245"/>
      <c r="N1859" s="245"/>
      <c r="O1859" s="245"/>
      <c r="P1859" s="245"/>
      <c r="Q1859" s="247"/>
      <c r="R1859" s="247"/>
      <c r="S1859" s="247"/>
      <c r="T1859" s="245"/>
      <c r="U1859" s="245"/>
      <c r="V1859" s="241"/>
      <c r="W1859" s="241"/>
      <c r="X1859" s="241"/>
    </row>
    <row r="1860" spans="1:24" ht="13.5" customHeight="1" x14ac:dyDescent="0.3">
      <c r="A1860" s="245"/>
      <c r="B1860" s="246"/>
      <c r="C1860" s="245"/>
      <c r="D1860" s="245"/>
      <c r="E1860" s="245"/>
      <c r="F1860" s="245"/>
      <c r="G1860" s="245"/>
      <c r="H1860" s="245"/>
      <c r="I1860" s="245"/>
      <c r="J1860" s="245"/>
      <c r="K1860" s="245"/>
      <c r="L1860" s="246"/>
      <c r="M1860" s="245"/>
      <c r="N1860" s="245"/>
      <c r="O1860" s="245"/>
      <c r="P1860" s="245"/>
      <c r="Q1860" s="247"/>
      <c r="R1860" s="247"/>
      <c r="S1860" s="247"/>
      <c r="T1860" s="245"/>
      <c r="U1860" s="245"/>
      <c r="V1860" s="241"/>
      <c r="W1860" s="241"/>
      <c r="X1860" s="241"/>
    </row>
    <row r="1861" spans="1:24" ht="13.5" customHeight="1" x14ac:dyDescent="0.3">
      <c r="A1861" s="245"/>
      <c r="B1861" s="246"/>
      <c r="C1861" s="245"/>
      <c r="D1861" s="245"/>
      <c r="E1861" s="245"/>
      <c r="F1861" s="245"/>
      <c r="G1861" s="245"/>
      <c r="H1861" s="245"/>
      <c r="I1861" s="245"/>
      <c r="J1861" s="245"/>
      <c r="K1861" s="245"/>
      <c r="L1861" s="246"/>
      <c r="M1861" s="245"/>
      <c r="N1861" s="245"/>
      <c r="O1861" s="245"/>
      <c r="P1861" s="245"/>
      <c r="Q1861" s="247"/>
      <c r="R1861" s="247"/>
      <c r="S1861" s="247"/>
      <c r="T1861" s="245"/>
      <c r="U1861" s="245"/>
      <c r="V1861" s="241"/>
      <c r="W1861" s="241"/>
      <c r="X1861" s="241"/>
    </row>
    <row r="1862" spans="1:24" ht="13.5" customHeight="1" x14ac:dyDescent="0.3">
      <c r="A1862" s="245"/>
      <c r="B1862" s="246"/>
      <c r="C1862" s="245"/>
      <c r="D1862" s="245"/>
      <c r="E1862" s="245"/>
      <c r="F1862" s="245"/>
      <c r="G1862" s="245"/>
      <c r="H1862" s="245"/>
      <c r="I1862" s="245"/>
      <c r="J1862" s="245"/>
      <c r="K1862" s="245"/>
      <c r="L1862" s="246"/>
      <c r="M1862" s="245"/>
      <c r="N1862" s="245"/>
      <c r="O1862" s="245"/>
      <c r="P1862" s="245"/>
      <c r="Q1862" s="247"/>
      <c r="R1862" s="247"/>
      <c r="S1862" s="247"/>
      <c r="T1862" s="245"/>
      <c r="U1862" s="245"/>
      <c r="V1862" s="241"/>
      <c r="W1862" s="241"/>
      <c r="X1862" s="241"/>
    </row>
    <row r="1863" spans="1:24" ht="13.5" customHeight="1" x14ac:dyDescent="0.3">
      <c r="A1863" s="245"/>
      <c r="B1863" s="246"/>
      <c r="C1863" s="245"/>
      <c r="D1863" s="245"/>
      <c r="E1863" s="245"/>
      <c r="F1863" s="245"/>
      <c r="G1863" s="245"/>
      <c r="H1863" s="245"/>
      <c r="I1863" s="245"/>
      <c r="J1863" s="245"/>
      <c r="K1863" s="245"/>
      <c r="L1863" s="246"/>
      <c r="M1863" s="245"/>
      <c r="N1863" s="245"/>
      <c r="O1863" s="245"/>
      <c r="P1863" s="245"/>
      <c r="Q1863" s="247"/>
      <c r="R1863" s="247"/>
      <c r="S1863" s="247"/>
      <c r="T1863" s="245"/>
      <c r="U1863" s="245"/>
      <c r="V1863" s="241"/>
      <c r="W1863" s="241"/>
      <c r="X1863" s="241"/>
    </row>
    <row r="1864" spans="1:24" ht="13.5" customHeight="1" x14ac:dyDescent="0.3">
      <c r="A1864" s="245"/>
      <c r="B1864" s="246"/>
      <c r="C1864" s="245"/>
      <c r="D1864" s="245"/>
      <c r="E1864" s="245"/>
      <c r="F1864" s="245"/>
      <c r="G1864" s="245"/>
      <c r="H1864" s="245"/>
      <c r="I1864" s="245"/>
      <c r="J1864" s="245"/>
      <c r="K1864" s="245"/>
      <c r="L1864" s="246"/>
      <c r="M1864" s="245"/>
      <c r="N1864" s="245"/>
      <c r="O1864" s="245"/>
      <c r="P1864" s="245"/>
      <c r="Q1864" s="247"/>
      <c r="R1864" s="247"/>
      <c r="S1864" s="247"/>
      <c r="T1864" s="245"/>
      <c r="U1864" s="245"/>
      <c r="V1864" s="241"/>
      <c r="W1864" s="241"/>
      <c r="X1864" s="241"/>
    </row>
    <row r="1865" spans="1:24" ht="13.5" customHeight="1" x14ac:dyDescent="0.3">
      <c r="A1865" s="245"/>
      <c r="B1865" s="246"/>
      <c r="C1865" s="245"/>
      <c r="D1865" s="245"/>
      <c r="E1865" s="245"/>
      <c r="F1865" s="245"/>
      <c r="G1865" s="245"/>
      <c r="H1865" s="245"/>
      <c r="I1865" s="245"/>
      <c r="J1865" s="245"/>
      <c r="K1865" s="245"/>
      <c r="L1865" s="246"/>
      <c r="M1865" s="245"/>
      <c r="N1865" s="245"/>
      <c r="O1865" s="245"/>
      <c r="P1865" s="245"/>
      <c r="Q1865" s="247"/>
      <c r="R1865" s="247"/>
      <c r="S1865" s="247"/>
      <c r="T1865" s="245"/>
      <c r="U1865" s="245"/>
      <c r="V1865" s="241"/>
      <c r="W1865" s="241"/>
      <c r="X1865" s="241"/>
    </row>
    <row r="1866" spans="1:24" ht="13.5" customHeight="1" x14ac:dyDescent="0.3">
      <c r="A1866" s="245"/>
      <c r="B1866" s="246"/>
      <c r="C1866" s="245"/>
      <c r="D1866" s="245"/>
      <c r="E1866" s="245"/>
      <c r="F1866" s="245"/>
      <c r="G1866" s="245"/>
      <c r="H1866" s="245"/>
      <c r="I1866" s="245"/>
      <c r="J1866" s="245"/>
      <c r="K1866" s="245"/>
      <c r="L1866" s="246"/>
      <c r="M1866" s="245"/>
      <c r="N1866" s="245"/>
      <c r="O1866" s="245"/>
      <c r="P1866" s="245"/>
      <c r="Q1866" s="247"/>
      <c r="R1866" s="247"/>
      <c r="S1866" s="247"/>
      <c r="T1866" s="245"/>
      <c r="U1866" s="245"/>
      <c r="V1866" s="241"/>
      <c r="W1866" s="241"/>
      <c r="X1866" s="241"/>
    </row>
    <row r="1867" spans="1:24" ht="13.5" customHeight="1" x14ac:dyDescent="0.3">
      <c r="A1867" s="245"/>
      <c r="B1867" s="246"/>
      <c r="C1867" s="245"/>
      <c r="D1867" s="245"/>
      <c r="E1867" s="245"/>
      <c r="F1867" s="245"/>
      <c r="G1867" s="245"/>
      <c r="H1867" s="245"/>
      <c r="I1867" s="245"/>
      <c r="J1867" s="245"/>
      <c r="K1867" s="245"/>
      <c r="L1867" s="246"/>
      <c r="M1867" s="245"/>
      <c r="N1867" s="245"/>
      <c r="O1867" s="245"/>
      <c r="P1867" s="245"/>
      <c r="Q1867" s="247"/>
      <c r="R1867" s="247"/>
      <c r="S1867" s="247"/>
      <c r="T1867" s="245"/>
      <c r="U1867" s="245"/>
      <c r="V1867" s="241"/>
      <c r="W1867" s="241"/>
      <c r="X1867" s="241"/>
    </row>
    <row r="1868" spans="1:24" ht="13.5" customHeight="1" x14ac:dyDescent="0.3">
      <c r="A1868" s="245"/>
      <c r="B1868" s="246"/>
      <c r="C1868" s="245"/>
      <c r="D1868" s="245"/>
      <c r="E1868" s="245"/>
      <c r="F1868" s="245"/>
      <c r="G1868" s="245"/>
      <c r="H1868" s="245"/>
      <c r="I1868" s="245"/>
      <c r="J1868" s="245"/>
      <c r="K1868" s="245"/>
      <c r="L1868" s="246"/>
      <c r="M1868" s="245"/>
      <c r="N1868" s="245"/>
      <c r="O1868" s="245"/>
      <c r="P1868" s="245"/>
      <c r="Q1868" s="247"/>
      <c r="R1868" s="247"/>
      <c r="S1868" s="247"/>
      <c r="T1868" s="245"/>
      <c r="U1868" s="245"/>
      <c r="V1868" s="241"/>
      <c r="W1868" s="241"/>
      <c r="X1868" s="241"/>
    </row>
    <row r="1869" spans="1:24" ht="13.5" customHeight="1" x14ac:dyDescent="0.3">
      <c r="A1869" s="245"/>
      <c r="B1869" s="246"/>
      <c r="C1869" s="245"/>
      <c r="D1869" s="245"/>
      <c r="E1869" s="245"/>
      <c r="F1869" s="245"/>
      <c r="G1869" s="245"/>
      <c r="H1869" s="245"/>
      <c r="I1869" s="245"/>
      <c r="J1869" s="245"/>
      <c r="K1869" s="245"/>
      <c r="L1869" s="246"/>
      <c r="M1869" s="245"/>
      <c r="N1869" s="245"/>
      <c r="O1869" s="245"/>
      <c r="P1869" s="245"/>
      <c r="Q1869" s="247"/>
      <c r="R1869" s="247"/>
      <c r="S1869" s="247"/>
      <c r="T1869" s="245"/>
      <c r="U1869" s="245"/>
      <c r="V1869" s="241"/>
      <c r="W1869" s="241"/>
      <c r="X1869" s="241"/>
    </row>
    <row r="1870" spans="1:24" ht="13.5" customHeight="1" x14ac:dyDescent="0.3">
      <c r="A1870" s="245"/>
      <c r="B1870" s="246"/>
      <c r="C1870" s="245"/>
      <c r="D1870" s="245"/>
      <c r="E1870" s="245"/>
      <c r="F1870" s="245"/>
      <c r="G1870" s="245"/>
      <c r="H1870" s="245"/>
      <c r="I1870" s="245"/>
      <c r="J1870" s="245"/>
      <c r="K1870" s="245"/>
      <c r="L1870" s="246"/>
      <c r="M1870" s="245"/>
      <c r="N1870" s="245"/>
      <c r="O1870" s="245"/>
      <c r="P1870" s="245"/>
      <c r="Q1870" s="247"/>
      <c r="R1870" s="247"/>
      <c r="S1870" s="247"/>
      <c r="T1870" s="245"/>
      <c r="U1870" s="245"/>
      <c r="V1870" s="241"/>
      <c r="W1870" s="241"/>
      <c r="X1870" s="241"/>
    </row>
    <row r="1871" spans="1:24" ht="13.5" customHeight="1" x14ac:dyDescent="0.3">
      <c r="A1871" s="245"/>
      <c r="B1871" s="246"/>
      <c r="C1871" s="245"/>
      <c r="D1871" s="245"/>
      <c r="E1871" s="245"/>
      <c r="F1871" s="245"/>
      <c r="G1871" s="245"/>
      <c r="H1871" s="245"/>
      <c r="I1871" s="245"/>
      <c r="J1871" s="245"/>
      <c r="K1871" s="245"/>
      <c r="L1871" s="246"/>
      <c r="M1871" s="245"/>
      <c r="N1871" s="245"/>
      <c r="O1871" s="245"/>
      <c r="P1871" s="245"/>
      <c r="Q1871" s="247"/>
      <c r="R1871" s="247"/>
      <c r="S1871" s="247"/>
      <c r="T1871" s="245"/>
      <c r="U1871" s="245"/>
      <c r="V1871" s="241"/>
      <c r="W1871" s="241"/>
      <c r="X1871" s="241"/>
    </row>
    <row r="1872" spans="1:24" ht="13.5" customHeight="1" x14ac:dyDescent="0.3">
      <c r="A1872" s="245"/>
      <c r="B1872" s="246"/>
      <c r="C1872" s="245"/>
      <c r="D1872" s="245"/>
      <c r="E1872" s="245"/>
      <c r="F1872" s="245"/>
      <c r="G1872" s="245"/>
      <c r="H1872" s="245"/>
      <c r="I1872" s="245"/>
      <c r="J1872" s="245"/>
      <c r="K1872" s="245"/>
      <c r="L1872" s="246"/>
      <c r="M1872" s="245"/>
      <c r="N1872" s="245"/>
      <c r="O1872" s="245"/>
      <c r="P1872" s="245"/>
      <c r="Q1872" s="247"/>
      <c r="R1872" s="247"/>
      <c r="S1872" s="247"/>
      <c r="T1872" s="245"/>
      <c r="U1872" s="245"/>
      <c r="V1872" s="241"/>
      <c r="W1872" s="241"/>
      <c r="X1872" s="241"/>
    </row>
    <row r="1873" spans="1:24" ht="13.5" customHeight="1" x14ac:dyDescent="0.3">
      <c r="A1873" s="245"/>
      <c r="B1873" s="246"/>
      <c r="C1873" s="245"/>
      <c r="D1873" s="245"/>
      <c r="E1873" s="245"/>
      <c r="F1873" s="245"/>
      <c r="G1873" s="245"/>
      <c r="H1873" s="245"/>
      <c r="I1873" s="245"/>
      <c r="J1873" s="245"/>
      <c r="K1873" s="245"/>
      <c r="L1873" s="246"/>
      <c r="M1873" s="245"/>
      <c r="N1873" s="245"/>
      <c r="O1873" s="245"/>
      <c r="P1873" s="245"/>
      <c r="Q1873" s="247"/>
      <c r="R1873" s="247"/>
      <c r="S1873" s="247"/>
      <c r="T1873" s="245"/>
      <c r="U1873" s="245"/>
      <c r="V1873" s="241"/>
      <c r="W1873" s="241"/>
      <c r="X1873" s="241"/>
    </row>
    <row r="1874" spans="1:24" ht="13.5" customHeight="1" x14ac:dyDescent="0.3">
      <c r="A1874" s="245"/>
      <c r="B1874" s="246"/>
      <c r="C1874" s="245"/>
      <c r="D1874" s="245"/>
      <c r="E1874" s="245"/>
      <c r="F1874" s="245"/>
      <c r="G1874" s="245"/>
      <c r="H1874" s="245"/>
      <c r="I1874" s="245"/>
      <c r="J1874" s="245"/>
      <c r="K1874" s="245"/>
      <c r="L1874" s="246"/>
      <c r="M1874" s="245"/>
      <c r="N1874" s="245"/>
      <c r="O1874" s="245"/>
      <c r="P1874" s="245"/>
      <c r="Q1874" s="247"/>
      <c r="R1874" s="247"/>
      <c r="S1874" s="247"/>
      <c r="T1874" s="245"/>
      <c r="U1874" s="245"/>
      <c r="V1874" s="241"/>
      <c r="W1874" s="241"/>
      <c r="X1874" s="241"/>
    </row>
    <row r="1875" spans="1:24" ht="13.5" customHeight="1" x14ac:dyDescent="0.3">
      <c r="A1875" s="245"/>
      <c r="B1875" s="246"/>
      <c r="C1875" s="245"/>
      <c r="D1875" s="245"/>
      <c r="E1875" s="245"/>
      <c r="F1875" s="245"/>
      <c r="G1875" s="245"/>
      <c r="H1875" s="245"/>
      <c r="I1875" s="245"/>
      <c r="J1875" s="245"/>
      <c r="K1875" s="245"/>
      <c r="L1875" s="246"/>
      <c r="M1875" s="245"/>
      <c r="N1875" s="245"/>
      <c r="O1875" s="245"/>
      <c r="P1875" s="245"/>
      <c r="Q1875" s="247"/>
      <c r="R1875" s="247"/>
      <c r="S1875" s="247"/>
      <c r="T1875" s="245"/>
      <c r="U1875" s="245"/>
      <c r="V1875" s="241"/>
      <c r="W1875" s="241"/>
      <c r="X1875" s="241"/>
    </row>
    <row r="1876" spans="1:24" ht="13.5" customHeight="1" x14ac:dyDescent="0.3">
      <c r="A1876" s="245"/>
      <c r="B1876" s="246"/>
      <c r="C1876" s="245"/>
      <c r="D1876" s="245"/>
      <c r="E1876" s="245"/>
      <c r="F1876" s="245"/>
      <c r="G1876" s="245"/>
      <c r="H1876" s="245"/>
      <c r="I1876" s="245"/>
      <c r="J1876" s="245"/>
      <c r="K1876" s="245"/>
      <c r="L1876" s="246"/>
      <c r="M1876" s="245"/>
      <c r="N1876" s="245"/>
      <c r="O1876" s="245"/>
      <c r="P1876" s="245"/>
      <c r="Q1876" s="247"/>
      <c r="R1876" s="247"/>
      <c r="S1876" s="247"/>
      <c r="T1876" s="245"/>
      <c r="U1876" s="245"/>
      <c r="V1876" s="241"/>
      <c r="W1876" s="241"/>
      <c r="X1876" s="241"/>
    </row>
    <row r="1877" spans="1:24" ht="13.5" customHeight="1" x14ac:dyDescent="0.3">
      <c r="A1877" s="245"/>
      <c r="B1877" s="246"/>
      <c r="C1877" s="245"/>
      <c r="D1877" s="245"/>
      <c r="E1877" s="245"/>
      <c r="F1877" s="245"/>
      <c r="G1877" s="245"/>
      <c r="H1877" s="245"/>
      <c r="I1877" s="245"/>
      <c r="J1877" s="245"/>
      <c r="K1877" s="245"/>
      <c r="L1877" s="246"/>
      <c r="M1877" s="245"/>
      <c r="N1877" s="245"/>
      <c r="O1877" s="245"/>
      <c r="P1877" s="245"/>
      <c r="Q1877" s="247"/>
      <c r="R1877" s="247"/>
      <c r="S1877" s="247"/>
      <c r="T1877" s="245"/>
      <c r="U1877" s="245"/>
      <c r="V1877" s="241"/>
      <c r="W1877" s="241"/>
      <c r="X1877" s="241"/>
    </row>
    <row r="1878" spans="1:24" ht="13.5" customHeight="1" x14ac:dyDescent="0.3">
      <c r="A1878" s="245"/>
      <c r="B1878" s="246"/>
      <c r="C1878" s="245"/>
      <c r="D1878" s="245"/>
      <c r="E1878" s="245"/>
      <c r="F1878" s="245"/>
      <c r="G1878" s="245"/>
      <c r="H1878" s="245"/>
      <c r="I1878" s="245"/>
      <c r="J1878" s="245"/>
      <c r="K1878" s="245"/>
      <c r="L1878" s="246"/>
      <c r="M1878" s="245"/>
      <c r="N1878" s="245"/>
      <c r="O1878" s="245"/>
      <c r="P1878" s="245"/>
      <c r="Q1878" s="247"/>
      <c r="R1878" s="247"/>
      <c r="S1878" s="247"/>
      <c r="T1878" s="245"/>
      <c r="U1878" s="245"/>
      <c r="V1878" s="241"/>
      <c r="W1878" s="241"/>
      <c r="X1878" s="241"/>
    </row>
    <row r="1879" spans="1:24" ht="13.5" customHeight="1" x14ac:dyDescent="0.3">
      <c r="A1879" s="245"/>
      <c r="B1879" s="246"/>
      <c r="C1879" s="245"/>
      <c r="D1879" s="245"/>
      <c r="E1879" s="245"/>
      <c r="F1879" s="245"/>
      <c r="G1879" s="245"/>
      <c r="H1879" s="245"/>
      <c r="I1879" s="245"/>
      <c r="J1879" s="245"/>
      <c r="K1879" s="245"/>
      <c r="L1879" s="246"/>
      <c r="M1879" s="245"/>
      <c r="N1879" s="245"/>
      <c r="O1879" s="245"/>
      <c r="P1879" s="245"/>
      <c r="Q1879" s="247"/>
      <c r="R1879" s="247"/>
      <c r="S1879" s="247"/>
      <c r="T1879" s="245"/>
      <c r="U1879" s="245"/>
      <c r="V1879" s="241"/>
      <c r="W1879" s="241"/>
      <c r="X1879" s="241"/>
    </row>
    <row r="1880" spans="1:24" ht="13.5" customHeight="1" x14ac:dyDescent="0.3">
      <c r="A1880" s="245"/>
      <c r="B1880" s="246"/>
      <c r="C1880" s="245"/>
      <c r="D1880" s="245"/>
      <c r="E1880" s="245"/>
      <c r="F1880" s="245"/>
      <c r="G1880" s="245"/>
      <c r="H1880" s="245"/>
      <c r="I1880" s="245"/>
      <c r="J1880" s="245"/>
      <c r="K1880" s="245"/>
      <c r="L1880" s="246"/>
      <c r="M1880" s="245"/>
      <c r="N1880" s="245"/>
      <c r="O1880" s="245"/>
      <c r="P1880" s="245"/>
      <c r="Q1880" s="247"/>
      <c r="R1880" s="247"/>
      <c r="S1880" s="247"/>
      <c r="T1880" s="245"/>
      <c r="U1880" s="245"/>
      <c r="V1880" s="241"/>
      <c r="W1880" s="241"/>
      <c r="X1880" s="241"/>
    </row>
    <row r="1881" spans="1:24" ht="13.5" customHeight="1" x14ac:dyDescent="0.3">
      <c r="A1881" s="245"/>
      <c r="B1881" s="246"/>
      <c r="C1881" s="245"/>
      <c r="D1881" s="245"/>
      <c r="E1881" s="245"/>
      <c r="F1881" s="245"/>
      <c r="G1881" s="245"/>
      <c r="H1881" s="245"/>
      <c r="I1881" s="245"/>
      <c r="J1881" s="245"/>
      <c r="K1881" s="245"/>
      <c r="L1881" s="246"/>
      <c r="M1881" s="245"/>
      <c r="N1881" s="245"/>
      <c r="O1881" s="245"/>
      <c r="P1881" s="245"/>
      <c r="Q1881" s="247"/>
      <c r="R1881" s="247"/>
      <c r="S1881" s="247"/>
      <c r="T1881" s="245"/>
      <c r="U1881" s="245"/>
      <c r="V1881" s="241"/>
      <c r="W1881" s="241"/>
      <c r="X1881" s="241"/>
    </row>
    <row r="1882" spans="1:24" ht="13.5" customHeight="1" x14ac:dyDescent="0.3">
      <c r="A1882" s="245"/>
      <c r="B1882" s="246"/>
      <c r="C1882" s="245"/>
      <c r="D1882" s="245"/>
      <c r="E1882" s="245"/>
      <c r="F1882" s="245"/>
      <c r="G1882" s="245"/>
      <c r="H1882" s="245"/>
      <c r="I1882" s="245"/>
      <c r="J1882" s="245"/>
      <c r="K1882" s="245"/>
      <c r="L1882" s="246"/>
      <c r="M1882" s="245"/>
      <c r="N1882" s="245"/>
      <c r="O1882" s="245"/>
      <c r="P1882" s="245"/>
      <c r="Q1882" s="247"/>
      <c r="R1882" s="247"/>
      <c r="S1882" s="247"/>
      <c r="T1882" s="245"/>
      <c r="U1882" s="245"/>
      <c r="V1882" s="241"/>
      <c r="W1882" s="241"/>
      <c r="X1882" s="241"/>
    </row>
    <row r="1883" spans="1:24" ht="13.5" customHeight="1" x14ac:dyDescent="0.3">
      <c r="A1883" s="245"/>
      <c r="B1883" s="246"/>
      <c r="C1883" s="245"/>
      <c r="D1883" s="245"/>
      <c r="E1883" s="245"/>
      <c r="F1883" s="245"/>
      <c r="G1883" s="245"/>
      <c r="H1883" s="245"/>
      <c r="I1883" s="245"/>
      <c r="J1883" s="245"/>
      <c r="K1883" s="245"/>
      <c r="L1883" s="246"/>
      <c r="M1883" s="245"/>
      <c r="N1883" s="245"/>
      <c r="O1883" s="245"/>
      <c r="P1883" s="245"/>
      <c r="Q1883" s="247"/>
      <c r="R1883" s="247"/>
      <c r="S1883" s="247"/>
      <c r="T1883" s="245"/>
      <c r="U1883" s="245"/>
      <c r="V1883" s="241"/>
      <c r="W1883" s="241"/>
      <c r="X1883" s="241"/>
    </row>
    <row r="1884" spans="1:24" ht="13.5" customHeight="1" x14ac:dyDescent="0.3">
      <c r="A1884" s="245"/>
      <c r="B1884" s="246"/>
      <c r="C1884" s="245"/>
      <c r="D1884" s="245"/>
      <c r="E1884" s="245"/>
      <c r="F1884" s="245"/>
      <c r="G1884" s="245"/>
      <c r="H1884" s="245"/>
      <c r="I1884" s="245"/>
      <c r="J1884" s="245"/>
      <c r="K1884" s="245"/>
      <c r="L1884" s="246"/>
      <c r="M1884" s="245"/>
      <c r="N1884" s="245"/>
      <c r="O1884" s="245"/>
      <c r="P1884" s="245"/>
      <c r="Q1884" s="247"/>
      <c r="R1884" s="247"/>
      <c r="S1884" s="247"/>
      <c r="T1884" s="245"/>
      <c r="U1884" s="245"/>
      <c r="V1884" s="241"/>
      <c r="W1884" s="241"/>
      <c r="X1884" s="241"/>
    </row>
    <row r="1885" spans="1:24" ht="13.5" customHeight="1" x14ac:dyDescent="0.3">
      <c r="A1885" s="245"/>
      <c r="B1885" s="246"/>
      <c r="C1885" s="245"/>
      <c r="D1885" s="245"/>
      <c r="E1885" s="245"/>
      <c r="F1885" s="245"/>
      <c r="G1885" s="245"/>
      <c r="H1885" s="245"/>
      <c r="I1885" s="245"/>
      <c r="J1885" s="245"/>
      <c r="K1885" s="245"/>
      <c r="L1885" s="246"/>
      <c r="M1885" s="245"/>
      <c r="N1885" s="245"/>
      <c r="O1885" s="245"/>
      <c r="P1885" s="245"/>
      <c r="Q1885" s="247"/>
      <c r="R1885" s="247"/>
      <c r="S1885" s="247"/>
      <c r="T1885" s="245"/>
      <c r="U1885" s="245"/>
      <c r="V1885" s="241"/>
      <c r="W1885" s="241"/>
      <c r="X1885" s="241"/>
    </row>
    <row r="1886" spans="1:24" ht="13.5" customHeight="1" x14ac:dyDescent="0.3">
      <c r="A1886" s="245"/>
      <c r="B1886" s="246"/>
      <c r="C1886" s="245"/>
      <c r="D1886" s="245"/>
      <c r="E1886" s="245"/>
      <c r="F1886" s="245"/>
      <c r="G1886" s="245"/>
      <c r="H1886" s="245"/>
      <c r="I1886" s="245"/>
      <c r="J1886" s="245"/>
      <c r="K1886" s="245"/>
      <c r="L1886" s="246"/>
      <c r="M1886" s="245"/>
      <c r="N1886" s="245"/>
      <c r="O1886" s="245"/>
      <c r="P1886" s="245"/>
      <c r="Q1886" s="247"/>
      <c r="R1886" s="247"/>
      <c r="S1886" s="247"/>
      <c r="T1886" s="245"/>
      <c r="U1886" s="245"/>
      <c r="V1886" s="241"/>
      <c r="W1886" s="241"/>
      <c r="X1886" s="241"/>
    </row>
    <row r="1887" spans="1:24" ht="13.5" customHeight="1" x14ac:dyDescent="0.3">
      <c r="A1887" s="245"/>
      <c r="B1887" s="246"/>
      <c r="C1887" s="245"/>
      <c r="D1887" s="245"/>
      <c r="E1887" s="245"/>
      <c r="F1887" s="245"/>
      <c r="G1887" s="245"/>
      <c r="H1887" s="245"/>
      <c r="I1887" s="245"/>
      <c r="J1887" s="245"/>
      <c r="K1887" s="245"/>
      <c r="L1887" s="246"/>
      <c r="M1887" s="245"/>
      <c r="N1887" s="245"/>
      <c r="O1887" s="245"/>
      <c r="P1887" s="245"/>
      <c r="Q1887" s="247"/>
      <c r="R1887" s="247"/>
      <c r="S1887" s="247"/>
      <c r="T1887" s="245"/>
      <c r="U1887" s="245"/>
      <c r="V1887" s="241"/>
      <c r="W1887" s="241"/>
      <c r="X1887" s="241"/>
    </row>
    <row r="1888" spans="1:24" ht="13.5" customHeight="1" x14ac:dyDescent="0.3">
      <c r="A1888" s="245"/>
      <c r="B1888" s="246"/>
      <c r="C1888" s="245"/>
      <c r="D1888" s="245"/>
      <c r="E1888" s="245"/>
      <c r="F1888" s="245"/>
      <c r="G1888" s="245"/>
      <c r="H1888" s="245"/>
      <c r="I1888" s="245"/>
      <c r="J1888" s="245"/>
      <c r="K1888" s="245"/>
      <c r="L1888" s="246"/>
      <c r="M1888" s="245"/>
      <c r="N1888" s="245"/>
      <c r="O1888" s="245"/>
      <c r="P1888" s="245"/>
      <c r="Q1888" s="247"/>
      <c r="R1888" s="247"/>
      <c r="S1888" s="247"/>
      <c r="T1888" s="245"/>
      <c r="U1888" s="245"/>
      <c r="V1888" s="241"/>
      <c r="W1888" s="241"/>
      <c r="X1888" s="241"/>
    </row>
    <row r="1889" spans="1:24" ht="13.5" customHeight="1" x14ac:dyDescent="0.3">
      <c r="A1889" s="245"/>
      <c r="B1889" s="246"/>
      <c r="C1889" s="245"/>
      <c r="D1889" s="245"/>
      <c r="E1889" s="245"/>
      <c r="F1889" s="245"/>
      <c r="G1889" s="245"/>
      <c r="H1889" s="245"/>
      <c r="I1889" s="245"/>
      <c r="J1889" s="245"/>
      <c r="K1889" s="245"/>
      <c r="L1889" s="246"/>
      <c r="M1889" s="245"/>
      <c r="N1889" s="245"/>
      <c r="O1889" s="245"/>
      <c r="P1889" s="245"/>
      <c r="Q1889" s="247"/>
      <c r="R1889" s="247"/>
      <c r="S1889" s="247"/>
      <c r="T1889" s="245"/>
      <c r="U1889" s="245"/>
      <c r="V1889" s="241"/>
      <c r="W1889" s="241"/>
      <c r="X1889" s="241"/>
    </row>
    <row r="1890" spans="1:24" ht="13.5" customHeight="1" x14ac:dyDescent="0.3">
      <c r="A1890" s="245"/>
      <c r="B1890" s="246"/>
      <c r="C1890" s="245"/>
      <c r="D1890" s="245"/>
      <c r="E1890" s="245"/>
      <c r="F1890" s="245"/>
      <c r="G1890" s="245"/>
      <c r="H1890" s="245"/>
      <c r="I1890" s="245"/>
      <c r="J1890" s="245"/>
      <c r="K1890" s="245"/>
      <c r="L1890" s="246"/>
      <c r="M1890" s="245"/>
      <c r="N1890" s="245"/>
      <c r="O1890" s="245"/>
      <c r="P1890" s="245"/>
      <c r="Q1890" s="247"/>
      <c r="R1890" s="247"/>
      <c r="S1890" s="247"/>
      <c r="T1890" s="245"/>
      <c r="U1890" s="245"/>
      <c r="V1890" s="241"/>
      <c r="W1890" s="241"/>
      <c r="X1890" s="241"/>
    </row>
    <row r="1891" spans="1:24" ht="13.5" customHeight="1" x14ac:dyDescent="0.3">
      <c r="A1891" s="245"/>
      <c r="B1891" s="246"/>
      <c r="C1891" s="245"/>
      <c r="D1891" s="245"/>
      <c r="E1891" s="245"/>
      <c r="F1891" s="245"/>
      <c r="G1891" s="245"/>
      <c r="H1891" s="245"/>
      <c r="I1891" s="245"/>
      <c r="J1891" s="245"/>
      <c r="K1891" s="245"/>
      <c r="L1891" s="246"/>
      <c r="M1891" s="245"/>
      <c r="N1891" s="245"/>
      <c r="O1891" s="245"/>
      <c r="P1891" s="245"/>
      <c r="Q1891" s="247"/>
      <c r="R1891" s="247"/>
      <c r="S1891" s="247"/>
      <c r="T1891" s="245"/>
      <c r="U1891" s="245"/>
      <c r="V1891" s="241"/>
      <c r="W1891" s="241"/>
      <c r="X1891" s="241"/>
    </row>
    <row r="1892" spans="1:24" ht="13.5" customHeight="1" x14ac:dyDescent="0.3">
      <c r="A1892" s="245"/>
      <c r="B1892" s="246"/>
      <c r="C1892" s="245"/>
      <c r="D1892" s="245"/>
      <c r="E1892" s="245"/>
      <c r="F1892" s="245"/>
      <c r="G1892" s="245"/>
      <c r="H1892" s="245"/>
      <c r="I1892" s="245"/>
      <c r="J1892" s="245"/>
      <c r="K1892" s="245"/>
      <c r="L1892" s="246"/>
      <c r="M1892" s="245"/>
      <c r="N1892" s="245"/>
      <c r="O1892" s="245"/>
      <c r="P1892" s="245"/>
      <c r="Q1892" s="247"/>
      <c r="R1892" s="247"/>
      <c r="S1892" s="247"/>
      <c r="T1892" s="245"/>
      <c r="U1892" s="245"/>
      <c r="V1892" s="241"/>
      <c r="W1892" s="241"/>
      <c r="X1892" s="241"/>
    </row>
    <row r="1893" spans="1:24" ht="13.5" customHeight="1" x14ac:dyDescent="0.3">
      <c r="A1893" s="245"/>
      <c r="B1893" s="246"/>
      <c r="C1893" s="245"/>
      <c r="D1893" s="245"/>
      <c r="E1893" s="245"/>
      <c r="F1893" s="245"/>
      <c r="G1893" s="245"/>
      <c r="H1893" s="245"/>
      <c r="I1893" s="245"/>
      <c r="J1893" s="245"/>
      <c r="K1893" s="245"/>
      <c r="L1893" s="246"/>
      <c r="M1893" s="245"/>
      <c r="N1893" s="245"/>
      <c r="O1893" s="245"/>
      <c r="P1893" s="245"/>
      <c r="Q1893" s="247"/>
      <c r="R1893" s="247"/>
      <c r="S1893" s="247"/>
      <c r="T1893" s="245"/>
      <c r="U1893" s="245"/>
      <c r="V1893" s="241"/>
      <c r="W1893" s="241"/>
      <c r="X1893" s="241"/>
    </row>
    <row r="1894" spans="1:24" ht="13.5" customHeight="1" x14ac:dyDescent="0.3">
      <c r="A1894" s="245"/>
      <c r="B1894" s="246"/>
      <c r="C1894" s="245"/>
      <c r="D1894" s="245"/>
      <c r="E1894" s="245"/>
      <c r="F1894" s="245"/>
      <c r="G1894" s="245"/>
      <c r="H1894" s="245"/>
      <c r="I1894" s="245"/>
      <c r="J1894" s="245"/>
      <c r="K1894" s="245"/>
      <c r="L1894" s="246"/>
      <c r="M1894" s="245"/>
      <c r="N1894" s="245"/>
      <c r="O1894" s="245"/>
      <c r="P1894" s="245"/>
      <c r="Q1894" s="247"/>
      <c r="R1894" s="247"/>
      <c r="S1894" s="247"/>
      <c r="T1894" s="245"/>
      <c r="U1894" s="245"/>
      <c r="V1894" s="241"/>
      <c r="W1894" s="241"/>
      <c r="X1894" s="241"/>
    </row>
    <row r="1895" spans="1:24" ht="13.5" customHeight="1" x14ac:dyDescent="0.3">
      <c r="A1895" s="245"/>
      <c r="B1895" s="246"/>
      <c r="C1895" s="245"/>
      <c r="D1895" s="245"/>
      <c r="E1895" s="245"/>
      <c r="F1895" s="245"/>
      <c r="G1895" s="245"/>
      <c r="H1895" s="245"/>
      <c r="I1895" s="245"/>
      <c r="J1895" s="245"/>
      <c r="K1895" s="245"/>
      <c r="L1895" s="246"/>
      <c r="M1895" s="245"/>
      <c r="N1895" s="245"/>
      <c r="O1895" s="245"/>
      <c r="P1895" s="245"/>
      <c r="Q1895" s="247"/>
      <c r="R1895" s="247"/>
      <c r="S1895" s="247"/>
      <c r="T1895" s="245"/>
      <c r="U1895" s="245"/>
      <c r="V1895" s="241"/>
      <c r="W1895" s="241"/>
      <c r="X1895" s="241"/>
    </row>
    <row r="1896" spans="1:24" ht="13.5" customHeight="1" x14ac:dyDescent="0.3">
      <c r="A1896" s="245"/>
      <c r="B1896" s="246"/>
      <c r="C1896" s="245"/>
      <c r="D1896" s="245"/>
      <c r="E1896" s="245"/>
      <c r="F1896" s="245"/>
      <c r="G1896" s="245"/>
      <c r="H1896" s="245"/>
      <c r="I1896" s="245"/>
      <c r="J1896" s="245"/>
      <c r="K1896" s="245"/>
      <c r="L1896" s="246"/>
      <c r="M1896" s="245"/>
      <c r="N1896" s="245"/>
      <c r="O1896" s="245"/>
      <c r="P1896" s="245"/>
      <c r="Q1896" s="247"/>
      <c r="R1896" s="247"/>
      <c r="S1896" s="247"/>
      <c r="T1896" s="245"/>
      <c r="U1896" s="245"/>
      <c r="V1896" s="241"/>
      <c r="W1896" s="241"/>
      <c r="X1896" s="241"/>
    </row>
    <row r="1897" spans="1:24" ht="13.5" customHeight="1" x14ac:dyDescent="0.3">
      <c r="A1897" s="245"/>
      <c r="B1897" s="246"/>
      <c r="C1897" s="245"/>
      <c r="D1897" s="245"/>
      <c r="E1897" s="245"/>
      <c r="F1897" s="245"/>
      <c r="G1897" s="245"/>
      <c r="H1897" s="245"/>
      <c r="I1897" s="245"/>
      <c r="J1897" s="245"/>
      <c r="K1897" s="245"/>
      <c r="L1897" s="246"/>
      <c r="M1897" s="245"/>
      <c r="N1897" s="245"/>
      <c r="O1897" s="245"/>
      <c r="P1897" s="245"/>
      <c r="Q1897" s="247"/>
      <c r="R1897" s="247"/>
      <c r="S1897" s="247"/>
      <c r="T1897" s="245"/>
      <c r="U1897" s="245"/>
      <c r="V1897" s="241"/>
      <c r="W1897" s="241"/>
      <c r="X1897" s="241"/>
    </row>
    <row r="1898" spans="1:24" ht="13.5" customHeight="1" x14ac:dyDescent="0.3">
      <c r="A1898" s="245"/>
      <c r="B1898" s="246"/>
      <c r="C1898" s="245"/>
      <c r="D1898" s="245"/>
      <c r="E1898" s="245"/>
      <c r="F1898" s="245"/>
      <c r="G1898" s="245"/>
      <c r="H1898" s="245"/>
      <c r="I1898" s="245"/>
      <c r="J1898" s="245"/>
      <c r="K1898" s="245"/>
      <c r="L1898" s="246"/>
      <c r="M1898" s="245"/>
      <c r="N1898" s="245"/>
      <c r="O1898" s="245"/>
      <c r="P1898" s="245"/>
      <c r="Q1898" s="247"/>
      <c r="R1898" s="247"/>
      <c r="S1898" s="247"/>
      <c r="T1898" s="245"/>
      <c r="U1898" s="245"/>
      <c r="V1898" s="241"/>
      <c r="W1898" s="241"/>
      <c r="X1898" s="241"/>
    </row>
    <row r="1899" spans="1:24" ht="13.5" customHeight="1" x14ac:dyDescent="0.3">
      <c r="A1899" s="245"/>
      <c r="B1899" s="246"/>
      <c r="C1899" s="245"/>
      <c r="D1899" s="245"/>
      <c r="E1899" s="245"/>
      <c r="F1899" s="245"/>
      <c r="G1899" s="245"/>
      <c r="H1899" s="245"/>
      <c r="I1899" s="245"/>
      <c r="J1899" s="245"/>
      <c r="K1899" s="245"/>
      <c r="L1899" s="246"/>
      <c r="M1899" s="245"/>
      <c r="N1899" s="245"/>
      <c r="O1899" s="245"/>
      <c r="P1899" s="245"/>
      <c r="Q1899" s="247"/>
      <c r="R1899" s="247"/>
      <c r="S1899" s="247"/>
      <c r="T1899" s="245"/>
      <c r="U1899" s="245"/>
      <c r="V1899" s="241"/>
      <c r="W1899" s="241"/>
      <c r="X1899" s="241"/>
    </row>
    <row r="1900" spans="1:24" ht="13.5" customHeight="1" x14ac:dyDescent="0.3">
      <c r="A1900" s="245"/>
      <c r="B1900" s="246"/>
      <c r="C1900" s="245"/>
      <c r="D1900" s="245"/>
      <c r="E1900" s="245"/>
      <c r="F1900" s="245"/>
      <c r="G1900" s="245"/>
      <c r="H1900" s="245"/>
      <c r="I1900" s="245"/>
      <c r="J1900" s="245"/>
      <c r="K1900" s="245"/>
      <c r="L1900" s="246"/>
      <c r="M1900" s="245"/>
      <c r="N1900" s="245"/>
      <c r="O1900" s="245"/>
      <c r="P1900" s="245"/>
      <c r="Q1900" s="247"/>
      <c r="R1900" s="247"/>
      <c r="S1900" s="247"/>
      <c r="T1900" s="245"/>
      <c r="U1900" s="245"/>
      <c r="V1900" s="241"/>
      <c r="W1900" s="241"/>
      <c r="X1900" s="241"/>
    </row>
    <row r="1901" spans="1:24" ht="13.5" customHeight="1" x14ac:dyDescent="0.3">
      <c r="A1901" s="245"/>
      <c r="B1901" s="246"/>
      <c r="C1901" s="245"/>
      <c r="D1901" s="245"/>
      <c r="E1901" s="245"/>
      <c r="F1901" s="245"/>
      <c r="G1901" s="245"/>
      <c r="H1901" s="245"/>
      <c r="I1901" s="245"/>
      <c r="J1901" s="245"/>
      <c r="K1901" s="245"/>
      <c r="L1901" s="246"/>
      <c r="M1901" s="245"/>
      <c r="N1901" s="245"/>
      <c r="O1901" s="245"/>
      <c r="P1901" s="245"/>
      <c r="Q1901" s="247"/>
      <c r="R1901" s="247"/>
      <c r="S1901" s="247"/>
      <c r="T1901" s="245"/>
      <c r="U1901" s="245"/>
      <c r="V1901" s="241"/>
      <c r="W1901" s="241"/>
      <c r="X1901" s="241"/>
    </row>
    <row r="1902" spans="1:24" ht="13.5" customHeight="1" x14ac:dyDescent="0.3">
      <c r="A1902" s="245"/>
      <c r="B1902" s="246"/>
      <c r="C1902" s="245"/>
      <c r="D1902" s="245"/>
      <c r="E1902" s="245"/>
      <c r="F1902" s="245"/>
      <c r="G1902" s="245"/>
      <c r="H1902" s="245"/>
      <c r="I1902" s="245"/>
      <c r="J1902" s="245"/>
      <c r="K1902" s="245"/>
      <c r="L1902" s="246"/>
      <c r="M1902" s="245"/>
      <c r="N1902" s="245"/>
      <c r="O1902" s="245"/>
      <c r="P1902" s="245"/>
      <c r="Q1902" s="247"/>
      <c r="R1902" s="247"/>
      <c r="S1902" s="247"/>
      <c r="T1902" s="245"/>
      <c r="U1902" s="245"/>
      <c r="V1902" s="241"/>
      <c r="W1902" s="241"/>
      <c r="X1902" s="241"/>
    </row>
    <row r="1903" spans="1:24" ht="13.5" customHeight="1" x14ac:dyDescent="0.3">
      <c r="A1903" s="245"/>
      <c r="B1903" s="246"/>
      <c r="C1903" s="245"/>
      <c r="D1903" s="245"/>
      <c r="E1903" s="245"/>
      <c r="F1903" s="245"/>
      <c r="G1903" s="245"/>
      <c r="H1903" s="245"/>
      <c r="I1903" s="245"/>
      <c r="J1903" s="245"/>
      <c r="K1903" s="245"/>
      <c r="L1903" s="246"/>
      <c r="M1903" s="245"/>
      <c r="N1903" s="245"/>
      <c r="O1903" s="245"/>
      <c r="P1903" s="245"/>
      <c r="Q1903" s="247"/>
      <c r="R1903" s="247"/>
      <c r="S1903" s="247"/>
      <c r="T1903" s="245"/>
      <c r="U1903" s="245"/>
      <c r="V1903" s="241"/>
      <c r="W1903" s="241"/>
      <c r="X1903" s="241"/>
    </row>
    <row r="1904" spans="1:24" ht="13.5" customHeight="1" x14ac:dyDescent="0.3">
      <c r="A1904" s="245"/>
      <c r="B1904" s="246"/>
      <c r="C1904" s="245"/>
      <c r="D1904" s="245"/>
      <c r="E1904" s="245"/>
      <c r="F1904" s="245"/>
      <c r="G1904" s="245"/>
      <c r="H1904" s="245"/>
      <c r="I1904" s="245"/>
      <c r="J1904" s="245"/>
      <c r="K1904" s="245"/>
      <c r="L1904" s="246"/>
      <c r="M1904" s="245"/>
      <c r="N1904" s="245"/>
      <c r="O1904" s="245"/>
      <c r="P1904" s="245"/>
      <c r="Q1904" s="247"/>
      <c r="R1904" s="247"/>
      <c r="S1904" s="247"/>
      <c r="T1904" s="245"/>
      <c r="U1904" s="245"/>
      <c r="V1904" s="241"/>
      <c r="W1904" s="241"/>
      <c r="X1904" s="241"/>
    </row>
    <row r="1905" spans="1:24" ht="13.5" customHeight="1" x14ac:dyDescent="0.3">
      <c r="A1905" s="245"/>
      <c r="B1905" s="246"/>
      <c r="C1905" s="245"/>
      <c r="D1905" s="245"/>
      <c r="E1905" s="245"/>
      <c r="F1905" s="245"/>
      <c r="G1905" s="245"/>
      <c r="H1905" s="245"/>
      <c r="I1905" s="245"/>
      <c r="J1905" s="245"/>
      <c r="K1905" s="245"/>
      <c r="L1905" s="246"/>
      <c r="M1905" s="245"/>
      <c r="N1905" s="245"/>
      <c r="O1905" s="245"/>
      <c r="P1905" s="245"/>
      <c r="Q1905" s="247"/>
      <c r="R1905" s="247"/>
      <c r="S1905" s="247"/>
      <c r="T1905" s="245"/>
      <c r="U1905" s="245"/>
      <c r="V1905" s="241"/>
      <c r="W1905" s="241"/>
      <c r="X1905" s="241"/>
    </row>
    <row r="1906" spans="1:24" ht="13.5" customHeight="1" x14ac:dyDescent="0.3">
      <c r="A1906" s="245"/>
      <c r="B1906" s="246"/>
      <c r="C1906" s="245"/>
      <c r="D1906" s="245"/>
      <c r="E1906" s="245"/>
      <c r="F1906" s="245"/>
      <c r="G1906" s="245"/>
      <c r="H1906" s="245"/>
      <c r="I1906" s="245"/>
      <c r="J1906" s="245"/>
      <c r="K1906" s="245"/>
      <c r="L1906" s="246"/>
      <c r="M1906" s="245"/>
      <c r="N1906" s="245"/>
      <c r="O1906" s="245"/>
      <c r="P1906" s="245"/>
      <c r="Q1906" s="247"/>
      <c r="R1906" s="247"/>
      <c r="S1906" s="247"/>
      <c r="T1906" s="245"/>
      <c r="U1906" s="245"/>
      <c r="V1906" s="241"/>
      <c r="W1906" s="241"/>
      <c r="X1906" s="241"/>
    </row>
    <row r="1907" spans="1:24" ht="13.5" customHeight="1" x14ac:dyDescent="0.3">
      <c r="A1907" s="245"/>
      <c r="B1907" s="246"/>
      <c r="C1907" s="245"/>
      <c r="D1907" s="245"/>
      <c r="E1907" s="245"/>
      <c r="F1907" s="245"/>
      <c r="G1907" s="245"/>
      <c r="H1907" s="245"/>
      <c r="I1907" s="245"/>
      <c r="J1907" s="245"/>
      <c r="K1907" s="245"/>
      <c r="L1907" s="246"/>
      <c r="M1907" s="245"/>
      <c r="N1907" s="245"/>
      <c r="O1907" s="245"/>
      <c r="P1907" s="245"/>
      <c r="Q1907" s="247"/>
      <c r="R1907" s="247"/>
      <c r="S1907" s="247"/>
      <c r="T1907" s="245"/>
      <c r="U1907" s="245"/>
      <c r="V1907" s="241"/>
      <c r="W1907" s="241"/>
      <c r="X1907" s="241"/>
    </row>
    <row r="1908" spans="1:24" ht="13.5" customHeight="1" x14ac:dyDescent="0.3">
      <c r="A1908" s="245"/>
      <c r="B1908" s="246"/>
      <c r="C1908" s="245"/>
      <c r="D1908" s="245"/>
      <c r="E1908" s="245"/>
      <c r="F1908" s="245"/>
      <c r="G1908" s="245"/>
      <c r="H1908" s="245"/>
      <c r="I1908" s="245"/>
      <c r="J1908" s="245"/>
      <c r="K1908" s="245"/>
      <c r="L1908" s="246"/>
      <c r="M1908" s="245"/>
      <c r="N1908" s="245"/>
      <c r="O1908" s="245"/>
      <c r="P1908" s="245"/>
      <c r="Q1908" s="247"/>
      <c r="R1908" s="247"/>
      <c r="S1908" s="247"/>
      <c r="T1908" s="245"/>
      <c r="U1908" s="245"/>
      <c r="V1908" s="241"/>
      <c r="W1908" s="241"/>
      <c r="X1908" s="241"/>
    </row>
    <row r="1909" spans="1:24" ht="13.5" customHeight="1" x14ac:dyDescent="0.3">
      <c r="A1909" s="245"/>
      <c r="B1909" s="246"/>
      <c r="C1909" s="245"/>
      <c r="D1909" s="245"/>
      <c r="E1909" s="245"/>
      <c r="F1909" s="245"/>
      <c r="G1909" s="245"/>
      <c r="H1909" s="245"/>
      <c r="I1909" s="245"/>
      <c r="J1909" s="245"/>
      <c r="K1909" s="245"/>
      <c r="L1909" s="246"/>
      <c r="M1909" s="245"/>
      <c r="N1909" s="245"/>
      <c r="O1909" s="245"/>
      <c r="P1909" s="245"/>
      <c r="Q1909" s="247"/>
      <c r="R1909" s="247"/>
      <c r="S1909" s="247"/>
      <c r="T1909" s="245"/>
      <c r="U1909" s="245"/>
      <c r="V1909" s="241"/>
      <c r="W1909" s="241"/>
      <c r="X1909" s="241"/>
    </row>
    <row r="1910" spans="1:24" ht="13.5" customHeight="1" x14ac:dyDescent="0.3">
      <c r="A1910" s="245"/>
      <c r="B1910" s="246"/>
      <c r="C1910" s="245"/>
      <c r="D1910" s="245"/>
      <c r="E1910" s="245"/>
      <c r="F1910" s="245"/>
      <c r="G1910" s="245"/>
      <c r="H1910" s="245"/>
      <c r="I1910" s="245"/>
      <c r="J1910" s="245"/>
      <c r="K1910" s="245"/>
      <c r="L1910" s="246"/>
      <c r="M1910" s="245"/>
      <c r="N1910" s="245"/>
      <c r="O1910" s="245"/>
      <c r="P1910" s="245"/>
      <c r="Q1910" s="247"/>
      <c r="R1910" s="247"/>
      <c r="S1910" s="247"/>
      <c r="T1910" s="245"/>
      <c r="U1910" s="245"/>
      <c r="V1910" s="241"/>
      <c r="W1910" s="241"/>
      <c r="X1910" s="241"/>
    </row>
    <row r="1911" spans="1:24" ht="13.5" customHeight="1" x14ac:dyDescent="0.3">
      <c r="A1911" s="245"/>
      <c r="B1911" s="246"/>
      <c r="C1911" s="245"/>
      <c r="D1911" s="245"/>
      <c r="E1911" s="245"/>
      <c r="F1911" s="245"/>
      <c r="G1911" s="245"/>
      <c r="H1911" s="245"/>
      <c r="I1911" s="245"/>
      <c r="J1911" s="245"/>
      <c r="K1911" s="245"/>
      <c r="L1911" s="246"/>
      <c r="M1911" s="245"/>
      <c r="N1911" s="245"/>
      <c r="O1911" s="245"/>
      <c r="P1911" s="245"/>
      <c r="Q1911" s="247"/>
      <c r="R1911" s="247"/>
      <c r="S1911" s="247"/>
      <c r="T1911" s="245"/>
      <c r="U1911" s="245"/>
      <c r="V1911" s="241"/>
      <c r="W1911" s="241"/>
      <c r="X1911" s="241"/>
    </row>
    <row r="1912" spans="1:24" ht="13.5" customHeight="1" x14ac:dyDescent="0.3">
      <c r="A1912" s="245"/>
      <c r="B1912" s="246"/>
      <c r="C1912" s="245"/>
      <c r="D1912" s="245"/>
      <c r="E1912" s="245"/>
      <c r="F1912" s="245"/>
      <c r="G1912" s="245"/>
      <c r="H1912" s="245"/>
      <c r="I1912" s="245"/>
      <c r="J1912" s="245"/>
      <c r="K1912" s="245"/>
      <c r="L1912" s="246"/>
      <c r="M1912" s="245"/>
      <c r="N1912" s="245"/>
      <c r="O1912" s="245"/>
      <c r="P1912" s="245"/>
      <c r="Q1912" s="247"/>
      <c r="R1912" s="247"/>
      <c r="S1912" s="247"/>
      <c r="T1912" s="245"/>
      <c r="U1912" s="245"/>
      <c r="V1912" s="241"/>
      <c r="W1912" s="241"/>
      <c r="X1912" s="241"/>
    </row>
    <row r="1913" spans="1:24" ht="13.5" customHeight="1" x14ac:dyDescent="0.3">
      <c r="A1913" s="245"/>
      <c r="B1913" s="246"/>
      <c r="C1913" s="245"/>
      <c r="D1913" s="245"/>
      <c r="E1913" s="245"/>
      <c r="F1913" s="245"/>
      <c r="G1913" s="245"/>
      <c r="H1913" s="245"/>
      <c r="I1913" s="245"/>
      <c r="J1913" s="245"/>
      <c r="K1913" s="245"/>
      <c r="L1913" s="246"/>
      <c r="M1913" s="245"/>
      <c r="N1913" s="245"/>
      <c r="O1913" s="245"/>
      <c r="P1913" s="245"/>
      <c r="Q1913" s="247"/>
      <c r="R1913" s="247"/>
      <c r="S1913" s="247"/>
      <c r="T1913" s="245"/>
      <c r="U1913" s="245"/>
      <c r="V1913" s="241"/>
      <c r="W1913" s="241"/>
      <c r="X1913" s="241"/>
    </row>
    <row r="1914" spans="1:24" ht="13.5" customHeight="1" x14ac:dyDescent="0.3">
      <c r="A1914" s="245"/>
      <c r="B1914" s="246"/>
      <c r="C1914" s="245"/>
      <c r="D1914" s="245"/>
      <c r="E1914" s="245"/>
      <c r="F1914" s="245"/>
      <c r="G1914" s="245"/>
      <c r="H1914" s="245"/>
      <c r="I1914" s="245"/>
      <c r="J1914" s="245"/>
      <c r="K1914" s="245"/>
      <c r="L1914" s="246"/>
      <c r="M1914" s="245"/>
      <c r="N1914" s="245"/>
      <c r="O1914" s="245"/>
      <c r="P1914" s="245"/>
      <c r="Q1914" s="247"/>
      <c r="R1914" s="247"/>
      <c r="S1914" s="247"/>
      <c r="T1914" s="245"/>
      <c r="U1914" s="245"/>
      <c r="V1914" s="241"/>
      <c r="W1914" s="241"/>
      <c r="X1914" s="241"/>
    </row>
    <row r="1915" spans="1:24" ht="13.5" customHeight="1" x14ac:dyDescent="0.3">
      <c r="A1915" s="245"/>
      <c r="B1915" s="246"/>
      <c r="C1915" s="245"/>
      <c r="D1915" s="245"/>
      <c r="E1915" s="245"/>
      <c r="F1915" s="245"/>
      <c r="G1915" s="245"/>
      <c r="H1915" s="245"/>
      <c r="I1915" s="245"/>
      <c r="J1915" s="245"/>
      <c r="K1915" s="245"/>
      <c r="L1915" s="246"/>
      <c r="M1915" s="245"/>
      <c r="N1915" s="245"/>
      <c r="O1915" s="245"/>
      <c r="P1915" s="245"/>
      <c r="Q1915" s="247"/>
      <c r="R1915" s="247"/>
      <c r="S1915" s="247"/>
      <c r="T1915" s="245"/>
      <c r="U1915" s="245"/>
      <c r="V1915" s="241"/>
      <c r="W1915" s="241"/>
      <c r="X1915" s="241"/>
    </row>
    <row r="1916" spans="1:24" ht="13.5" customHeight="1" x14ac:dyDescent="0.3">
      <c r="A1916" s="245"/>
      <c r="B1916" s="246"/>
      <c r="C1916" s="245"/>
      <c r="D1916" s="245"/>
      <c r="E1916" s="245"/>
      <c r="F1916" s="245"/>
      <c r="G1916" s="245"/>
      <c r="H1916" s="245"/>
      <c r="I1916" s="245"/>
      <c r="J1916" s="245"/>
      <c r="K1916" s="245"/>
      <c r="L1916" s="246"/>
      <c r="M1916" s="245"/>
      <c r="N1916" s="245"/>
      <c r="O1916" s="245"/>
      <c r="P1916" s="245"/>
      <c r="Q1916" s="247"/>
      <c r="R1916" s="247"/>
      <c r="S1916" s="247"/>
      <c r="T1916" s="245"/>
      <c r="U1916" s="245"/>
      <c r="V1916" s="241"/>
      <c r="W1916" s="241"/>
      <c r="X1916" s="241"/>
    </row>
    <row r="1917" spans="1:24" ht="13.5" customHeight="1" x14ac:dyDescent="0.3">
      <c r="A1917" s="245"/>
      <c r="B1917" s="246"/>
      <c r="C1917" s="245"/>
      <c r="D1917" s="245"/>
      <c r="E1917" s="245"/>
      <c r="F1917" s="245"/>
      <c r="G1917" s="245"/>
      <c r="H1917" s="245"/>
      <c r="I1917" s="245"/>
      <c r="J1917" s="245"/>
      <c r="K1917" s="245"/>
      <c r="L1917" s="246"/>
      <c r="M1917" s="245"/>
      <c r="N1917" s="245"/>
      <c r="O1917" s="245"/>
      <c r="P1917" s="245"/>
      <c r="Q1917" s="247"/>
      <c r="R1917" s="247"/>
      <c r="S1917" s="247"/>
      <c r="T1917" s="245"/>
      <c r="U1917" s="245"/>
      <c r="V1917" s="241"/>
      <c r="W1917" s="241"/>
      <c r="X1917" s="241"/>
    </row>
    <row r="1918" spans="1:24" ht="13.5" customHeight="1" x14ac:dyDescent="0.3">
      <c r="A1918" s="245"/>
      <c r="B1918" s="246"/>
      <c r="C1918" s="245"/>
      <c r="D1918" s="245"/>
      <c r="E1918" s="245"/>
      <c r="F1918" s="245"/>
      <c r="G1918" s="245"/>
      <c r="H1918" s="245"/>
      <c r="I1918" s="245"/>
      <c r="J1918" s="245"/>
      <c r="K1918" s="245"/>
      <c r="L1918" s="246"/>
      <c r="M1918" s="245"/>
      <c r="N1918" s="245"/>
      <c r="O1918" s="245"/>
      <c r="P1918" s="245"/>
      <c r="Q1918" s="247"/>
      <c r="R1918" s="247"/>
      <c r="S1918" s="247"/>
      <c r="T1918" s="245"/>
      <c r="U1918" s="245"/>
      <c r="V1918" s="241"/>
      <c r="W1918" s="241"/>
      <c r="X1918" s="241"/>
    </row>
    <row r="1919" spans="1:24" ht="13.5" customHeight="1" x14ac:dyDescent="0.3">
      <c r="A1919" s="245"/>
      <c r="B1919" s="246"/>
      <c r="C1919" s="245"/>
      <c r="D1919" s="245"/>
      <c r="E1919" s="245"/>
      <c r="F1919" s="245"/>
      <c r="G1919" s="245"/>
      <c r="H1919" s="245"/>
      <c r="I1919" s="245"/>
      <c r="J1919" s="245"/>
      <c r="K1919" s="245"/>
      <c r="L1919" s="246"/>
      <c r="M1919" s="245"/>
      <c r="N1919" s="245"/>
      <c r="O1919" s="245"/>
      <c r="P1919" s="245"/>
      <c r="Q1919" s="247"/>
      <c r="R1919" s="247"/>
      <c r="S1919" s="247"/>
      <c r="T1919" s="245"/>
      <c r="U1919" s="245"/>
      <c r="V1919" s="241"/>
      <c r="W1919" s="241"/>
      <c r="X1919" s="241"/>
    </row>
    <row r="1920" spans="1:24" ht="13.5" customHeight="1" x14ac:dyDescent="0.3">
      <c r="A1920" s="245"/>
      <c r="B1920" s="246"/>
      <c r="C1920" s="245"/>
      <c r="D1920" s="245"/>
      <c r="E1920" s="245"/>
      <c r="F1920" s="245"/>
      <c r="G1920" s="245"/>
      <c r="H1920" s="245"/>
      <c r="I1920" s="245"/>
      <c r="J1920" s="245"/>
      <c r="K1920" s="245"/>
      <c r="L1920" s="246"/>
      <c r="M1920" s="245"/>
      <c r="N1920" s="245"/>
      <c r="O1920" s="245"/>
      <c r="P1920" s="245"/>
      <c r="Q1920" s="247"/>
      <c r="R1920" s="247"/>
      <c r="S1920" s="247"/>
      <c r="T1920" s="245"/>
      <c r="U1920" s="245"/>
      <c r="V1920" s="241"/>
      <c r="W1920" s="241"/>
      <c r="X1920" s="241"/>
    </row>
    <row r="1921" spans="1:24" ht="13.5" customHeight="1" x14ac:dyDescent="0.3">
      <c r="A1921" s="245"/>
      <c r="B1921" s="246"/>
      <c r="C1921" s="245"/>
      <c r="D1921" s="245"/>
      <c r="E1921" s="245"/>
      <c r="F1921" s="245"/>
      <c r="G1921" s="245"/>
      <c r="H1921" s="245"/>
      <c r="I1921" s="245"/>
      <c r="J1921" s="245"/>
      <c r="K1921" s="245"/>
      <c r="L1921" s="246"/>
      <c r="M1921" s="245"/>
      <c r="N1921" s="245"/>
      <c r="O1921" s="245"/>
      <c r="P1921" s="245"/>
      <c r="Q1921" s="247"/>
      <c r="R1921" s="247"/>
      <c r="S1921" s="247"/>
      <c r="T1921" s="245"/>
      <c r="U1921" s="245"/>
      <c r="V1921" s="241"/>
      <c r="W1921" s="241"/>
      <c r="X1921" s="241"/>
    </row>
    <row r="1922" spans="1:24" ht="13.5" customHeight="1" x14ac:dyDescent="0.3">
      <c r="A1922" s="245"/>
      <c r="B1922" s="246"/>
      <c r="C1922" s="245"/>
      <c r="D1922" s="245"/>
      <c r="E1922" s="245"/>
      <c r="F1922" s="245"/>
      <c r="G1922" s="245"/>
      <c r="H1922" s="245"/>
      <c r="I1922" s="245"/>
      <c r="J1922" s="245"/>
      <c r="K1922" s="245"/>
      <c r="L1922" s="246"/>
      <c r="M1922" s="245"/>
      <c r="N1922" s="245"/>
      <c r="O1922" s="245"/>
      <c r="P1922" s="245"/>
      <c r="Q1922" s="247"/>
      <c r="R1922" s="247"/>
      <c r="S1922" s="247"/>
      <c r="T1922" s="245"/>
      <c r="U1922" s="245"/>
      <c r="V1922" s="241"/>
      <c r="W1922" s="241"/>
      <c r="X1922" s="241"/>
    </row>
    <row r="1923" spans="1:24" ht="13.5" customHeight="1" x14ac:dyDescent="0.3">
      <c r="A1923" s="245"/>
      <c r="B1923" s="246"/>
      <c r="C1923" s="245"/>
      <c r="D1923" s="245"/>
      <c r="E1923" s="245"/>
      <c r="F1923" s="245"/>
      <c r="G1923" s="245"/>
      <c r="H1923" s="245"/>
      <c r="I1923" s="245"/>
      <c r="J1923" s="245"/>
      <c r="K1923" s="245"/>
      <c r="L1923" s="246"/>
      <c r="M1923" s="245"/>
      <c r="N1923" s="245"/>
      <c r="O1923" s="245"/>
      <c r="P1923" s="245"/>
      <c r="Q1923" s="247"/>
      <c r="R1923" s="247"/>
      <c r="S1923" s="247"/>
      <c r="T1923" s="245"/>
      <c r="U1923" s="245"/>
      <c r="V1923" s="241"/>
      <c r="W1923" s="241"/>
      <c r="X1923" s="241"/>
    </row>
    <row r="1924" spans="1:24" ht="13.5" customHeight="1" x14ac:dyDescent="0.3">
      <c r="A1924" s="245"/>
      <c r="B1924" s="246"/>
      <c r="C1924" s="245"/>
      <c r="D1924" s="245"/>
      <c r="E1924" s="245"/>
      <c r="F1924" s="245"/>
      <c r="G1924" s="245"/>
      <c r="H1924" s="245"/>
      <c r="I1924" s="245"/>
      <c r="J1924" s="245"/>
      <c r="K1924" s="245"/>
      <c r="L1924" s="246"/>
      <c r="M1924" s="245"/>
      <c r="N1924" s="245"/>
      <c r="O1924" s="245"/>
      <c r="P1924" s="245"/>
      <c r="Q1924" s="247"/>
      <c r="R1924" s="247"/>
      <c r="S1924" s="247"/>
      <c r="T1924" s="245"/>
      <c r="U1924" s="245"/>
      <c r="V1924" s="241"/>
      <c r="W1924" s="241"/>
      <c r="X1924" s="241"/>
    </row>
    <row r="1925" spans="1:24" ht="13.5" customHeight="1" x14ac:dyDescent="0.3">
      <c r="A1925" s="245"/>
      <c r="B1925" s="246"/>
      <c r="C1925" s="245"/>
      <c r="D1925" s="245"/>
      <c r="E1925" s="245"/>
      <c r="F1925" s="245"/>
      <c r="G1925" s="245"/>
      <c r="H1925" s="245"/>
      <c r="I1925" s="245"/>
      <c r="J1925" s="245"/>
      <c r="K1925" s="245"/>
      <c r="L1925" s="246"/>
      <c r="M1925" s="245"/>
      <c r="N1925" s="245"/>
      <c r="O1925" s="245"/>
      <c r="P1925" s="245"/>
      <c r="Q1925" s="247"/>
      <c r="R1925" s="247"/>
      <c r="S1925" s="247"/>
      <c r="T1925" s="245"/>
      <c r="U1925" s="245"/>
      <c r="V1925" s="241"/>
      <c r="W1925" s="241"/>
      <c r="X1925" s="241"/>
    </row>
    <row r="1926" spans="1:24" ht="13.5" customHeight="1" x14ac:dyDescent="0.3">
      <c r="A1926" s="245"/>
      <c r="B1926" s="246"/>
      <c r="C1926" s="245"/>
      <c r="D1926" s="245"/>
      <c r="E1926" s="245"/>
      <c r="F1926" s="245"/>
      <c r="G1926" s="245"/>
      <c r="H1926" s="245"/>
      <c r="I1926" s="245"/>
      <c r="J1926" s="245"/>
      <c r="K1926" s="245"/>
      <c r="L1926" s="246"/>
      <c r="M1926" s="245"/>
      <c r="N1926" s="245"/>
      <c r="O1926" s="245"/>
      <c r="P1926" s="245"/>
      <c r="Q1926" s="247"/>
      <c r="R1926" s="247"/>
      <c r="S1926" s="247"/>
      <c r="T1926" s="245"/>
      <c r="U1926" s="245"/>
      <c r="V1926" s="241"/>
      <c r="W1926" s="241"/>
      <c r="X1926" s="241"/>
    </row>
    <row r="1927" spans="1:24" ht="13.5" customHeight="1" x14ac:dyDescent="0.3">
      <c r="A1927" s="245"/>
      <c r="B1927" s="246"/>
      <c r="C1927" s="245"/>
      <c r="D1927" s="245"/>
      <c r="E1927" s="245"/>
      <c r="F1927" s="245"/>
      <c r="G1927" s="245"/>
      <c r="H1927" s="245"/>
      <c r="I1927" s="245"/>
      <c r="J1927" s="245"/>
      <c r="K1927" s="245"/>
      <c r="L1927" s="246"/>
      <c r="M1927" s="245"/>
      <c r="N1927" s="245"/>
      <c r="O1927" s="245"/>
      <c r="P1927" s="245"/>
      <c r="Q1927" s="247"/>
      <c r="R1927" s="247"/>
      <c r="S1927" s="247"/>
      <c r="T1927" s="245"/>
      <c r="U1927" s="245"/>
      <c r="V1927" s="241"/>
      <c r="W1927" s="241"/>
      <c r="X1927" s="241"/>
    </row>
    <row r="1928" spans="1:24" ht="13.5" customHeight="1" x14ac:dyDescent="0.3">
      <c r="A1928" s="245"/>
      <c r="B1928" s="246"/>
      <c r="C1928" s="245"/>
      <c r="D1928" s="245"/>
      <c r="E1928" s="245"/>
      <c r="F1928" s="245"/>
      <c r="G1928" s="245"/>
      <c r="H1928" s="245"/>
      <c r="I1928" s="245"/>
      <c r="J1928" s="245"/>
      <c r="K1928" s="245"/>
      <c r="L1928" s="246"/>
      <c r="M1928" s="245"/>
      <c r="N1928" s="245"/>
      <c r="O1928" s="245"/>
      <c r="P1928" s="245"/>
      <c r="Q1928" s="247"/>
      <c r="R1928" s="247"/>
      <c r="S1928" s="247"/>
      <c r="T1928" s="245"/>
      <c r="U1928" s="245"/>
      <c r="V1928" s="241"/>
      <c r="W1928" s="241"/>
      <c r="X1928" s="241"/>
    </row>
    <row r="1929" spans="1:24" ht="13.5" customHeight="1" x14ac:dyDescent="0.3">
      <c r="A1929" s="245"/>
      <c r="B1929" s="246"/>
      <c r="C1929" s="245"/>
      <c r="D1929" s="245"/>
      <c r="E1929" s="245"/>
      <c r="F1929" s="245"/>
      <c r="G1929" s="245"/>
      <c r="H1929" s="245"/>
      <c r="I1929" s="245"/>
      <c r="J1929" s="245"/>
      <c r="K1929" s="245"/>
      <c r="L1929" s="246"/>
      <c r="M1929" s="245"/>
      <c r="N1929" s="245"/>
      <c r="O1929" s="245"/>
      <c r="P1929" s="245"/>
      <c r="Q1929" s="247"/>
      <c r="R1929" s="247"/>
      <c r="S1929" s="247"/>
      <c r="T1929" s="245"/>
      <c r="U1929" s="245"/>
      <c r="V1929" s="241"/>
      <c r="W1929" s="241"/>
      <c r="X1929" s="241"/>
    </row>
    <row r="1930" spans="1:24" ht="13.5" customHeight="1" x14ac:dyDescent="0.3">
      <c r="A1930" s="245"/>
      <c r="B1930" s="246"/>
      <c r="C1930" s="245"/>
      <c r="D1930" s="245"/>
      <c r="E1930" s="245"/>
      <c r="F1930" s="245"/>
      <c r="G1930" s="245"/>
      <c r="H1930" s="245"/>
      <c r="I1930" s="245"/>
      <c r="J1930" s="245"/>
      <c r="K1930" s="245"/>
      <c r="L1930" s="246"/>
      <c r="M1930" s="245"/>
      <c r="N1930" s="245"/>
      <c r="O1930" s="245"/>
      <c r="P1930" s="245"/>
      <c r="Q1930" s="247"/>
      <c r="R1930" s="247"/>
      <c r="S1930" s="247"/>
      <c r="T1930" s="245"/>
      <c r="U1930" s="245"/>
      <c r="V1930" s="241"/>
      <c r="W1930" s="241"/>
      <c r="X1930" s="241"/>
    </row>
    <row r="1931" spans="1:24" ht="13.5" customHeight="1" x14ac:dyDescent="0.3">
      <c r="A1931" s="245"/>
      <c r="B1931" s="246"/>
      <c r="C1931" s="245"/>
      <c r="D1931" s="245"/>
      <c r="E1931" s="245"/>
      <c r="F1931" s="245"/>
      <c r="G1931" s="245"/>
      <c r="H1931" s="245"/>
      <c r="I1931" s="245"/>
      <c r="J1931" s="245"/>
      <c r="K1931" s="245"/>
      <c r="L1931" s="246"/>
      <c r="M1931" s="245"/>
      <c r="N1931" s="245"/>
      <c r="O1931" s="245"/>
      <c r="P1931" s="245"/>
      <c r="Q1931" s="247"/>
      <c r="R1931" s="247"/>
      <c r="S1931" s="247"/>
      <c r="T1931" s="245"/>
      <c r="U1931" s="245"/>
      <c r="V1931" s="241"/>
      <c r="W1931" s="241"/>
      <c r="X1931" s="241"/>
    </row>
    <row r="1932" spans="1:24" ht="13.5" customHeight="1" x14ac:dyDescent="0.3">
      <c r="A1932" s="245"/>
      <c r="B1932" s="246"/>
      <c r="C1932" s="245"/>
      <c r="D1932" s="245"/>
      <c r="E1932" s="245"/>
      <c r="F1932" s="245"/>
      <c r="G1932" s="245"/>
      <c r="H1932" s="245"/>
      <c r="I1932" s="245"/>
      <c r="J1932" s="245"/>
      <c r="K1932" s="245"/>
      <c r="L1932" s="246"/>
      <c r="M1932" s="245"/>
      <c r="N1932" s="245"/>
      <c r="O1932" s="245"/>
      <c r="P1932" s="245"/>
      <c r="Q1932" s="247"/>
      <c r="R1932" s="247"/>
      <c r="S1932" s="247"/>
      <c r="T1932" s="245"/>
      <c r="U1932" s="245"/>
      <c r="V1932" s="241"/>
      <c r="W1932" s="241"/>
      <c r="X1932" s="241"/>
    </row>
    <row r="1933" spans="1:24" ht="13.5" customHeight="1" x14ac:dyDescent="0.3">
      <c r="A1933" s="245"/>
      <c r="B1933" s="246"/>
      <c r="C1933" s="245"/>
      <c r="D1933" s="245"/>
      <c r="E1933" s="245"/>
      <c r="F1933" s="245"/>
      <c r="G1933" s="245"/>
      <c r="H1933" s="245"/>
      <c r="I1933" s="245"/>
      <c r="J1933" s="245"/>
      <c r="K1933" s="245"/>
      <c r="L1933" s="246"/>
      <c r="M1933" s="245"/>
      <c r="N1933" s="245"/>
      <c r="O1933" s="245"/>
      <c r="P1933" s="245"/>
      <c r="Q1933" s="247"/>
      <c r="R1933" s="247"/>
      <c r="S1933" s="247"/>
      <c r="T1933" s="245"/>
      <c r="U1933" s="245"/>
      <c r="V1933" s="241"/>
      <c r="W1933" s="241"/>
      <c r="X1933" s="241"/>
    </row>
    <row r="1934" spans="1:24" ht="13.5" customHeight="1" x14ac:dyDescent="0.3">
      <c r="A1934" s="245"/>
      <c r="B1934" s="246"/>
      <c r="C1934" s="245"/>
      <c r="D1934" s="245"/>
      <c r="E1934" s="245"/>
      <c r="F1934" s="245"/>
      <c r="G1934" s="245"/>
      <c r="H1934" s="245"/>
      <c r="I1934" s="245"/>
      <c r="J1934" s="245"/>
      <c r="K1934" s="245"/>
      <c r="L1934" s="246"/>
      <c r="M1934" s="245"/>
      <c r="N1934" s="245"/>
      <c r="O1934" s="245"/>
      <c r="P1934" s="245"/>
      <c r="Q1934" s="247"/>
      <c r="R1934" s="247"/>
      <c r="S1934" s="247"/>
      <c r="T1934" s="245"/>
      <c r="U1934" s="245"/>
      <c r="V1934" s="241"/>
      <c r="W1934" s="241"/>
      <c r="X1934" s="241"/>
    </row>
    <row r="1935" spans="1:24" ht="13.5" customHeight="1" x14ac:dyDescent="0.3">
      <c r="A1935" s="245"/>
      <c r="B1935" s="246"/>
      <c r="C1935" s="245"/>
      <c r="D1935" s="245"/>
      <c r="E1935" s="245"/>
      <c r="F1935" s="245"/>
      <c r="G1935" s="245"/>
      <c r="H1935" s="245"/>
      <c r="I1935" s="245"/>
      <c r="J1935" s="245"/>
      <c r="K1935" s="245"/>
      <c r="L1935" s="246"/>
      <c r="M1935" s="245"/>
      <c r="N1935" s="245"/>
      <c r="O1935" s="245"/>
      <c r="P1935" s="245"/>
      <c r="Q1935" s="247"/>
      <c r="R1935" s="247"/>
      <c r="S1935" s="247"/>
      <c r="T1935" s="245"/>
      <c r="U1935" s="245"/>
      <c r="V1935" s="241"/>
      <c r="W1935" s="241"/>
      <c r="X1935" s="241"/>
    </row>
    <row r="1936" spans="1:24" ht="13.5" customHeight="1" x14ac:dyDescent="0.3">
      <c r="A1936" s="245"/>
      <c r="B1936" s="246"/>
      <c r="C1936" s="245"/>
      <c r="D1936" s="245"/>
      <c r="E1936" s="245"/>
      <c r="F1936" s="245"/>
      <c r="G1936" s="245"/>
      <c r="H1936" s="245"/>
      <c r="I1936" s="245"/>
      <c r="J1936" s="245"/>
      <c r="K1936" s="245"/>
      <c r="L1936" s="246"/>
      <c r="M1936" s="245"/>
      <c r="N1936" s="245"/>
      <c r="O1936" s="245"/>
      <c r="P1936" s="245"/>
      <c r="Q1936" s="247"/>
      <c r="R1936" s="247"/>
      <c r="S1936" s="247"/>
      <c r="T1936" s="245"/>
      <c r="U1936" s="245"/>
      <c r="V1936" s="241"/>
      <c r="W1936" s="241"/>
      <c r="X1936" s="241"/>
    </row>
    <row r="1937" spans="1:24" ht="13.5" customHeight="1" x14ac:dyDescent="0.3">
      <c r="A1937" s="245"/>
      <c r="B1937" s="246"/>
      <c r="C1937" s="245"/>
      <c r="D1937" s="245"/>
      <c r="E1937" s="245"/>
      <c r="F1937" s="245"/>
      <c r="G1937" s="245"/>
      <c r="H1937" s="245"/>
      <c r="I1937" s="245"/>
      <c r="J1937" s="245"/>
      <c r="K1937" s="245"/>
      <c r="L1937" s="246"/>
      <c r="M1937" s="245"/>
      <c r="N1937" s="245"/>
      <c r="O1937" s="245"/>
      <c r="P1937" s="245"/>
      <c r="Q1937" s="247"/>
      <c r="R1937" s="247"/>
      <c r="S1937" s="247"/>
      <c r="T1937" s="245"/>
      <c r="U1937" s="245"/>
      <c r="V1937" s="241"/>
      <c r="W1937" s="241"/>
      <c r="X1937" s="241"/>
    </row>
    <row r="1938" spans="1:24" ht="13.5" customHeight="1" x14ac:dyDescent="0.3">
      <c r="A1938" s="245"/>
      <c r="B1938" s="246"/>
      <c r="C1938" s="245"/>
      <c r="D1938" s="245"/>
      <c r="E1938" s="245"/>
      <c r="F1938" s="245"/>
      <c r="G1938" s="245"/>
      <c r="H1938" s="245"/>
      <c r="I1938" s="245"/>
      <c r="J1938" s="245"/>
      <c r="K1938" s="245"/>
      <c r="L1938" s="246"/>
      <c r="M1938" s="245"/>
      <c r="N1938" s="245"/>
      <c r="O1938" s="245"/>
      <c r="P1938" s="245"/>
      <c r="Q1938" s="247"/>
      <c r="R1938" s="247"/>
      <c r="S1938" s="247"/>
      <c r="T1938" s="245"/>
      <c r="U1938" s="245"/>
      <c r="V1938" s="241"/>
      <c r="W1938" s="241"/>
      <c r="X1938" s="241"/>
    </row>
    <row r="1939" spans="1:24" ht="13.5" customHeight="1" x14ac:dyDescent="0.3">
      <c r="A1939" s="245"/>
      <c r="B1939" s="246"/>
      <c r="C1939" s="245"/>
      <c r="D1939" s="245"/>
      <c r="E1939" s="245"/>
      <c r="F1939" s="245"/>
      <c r="G1939" s="245"/>
      <c r="H1939" s="245"/>
      <c r="I1939" s="245"/>
      <c r="J1939" s="245"/>
      <c r="K1939" s="245"/>
      <c r="L1939" s="246"/>
      <c r="M1939" s="245"/>
      <c r="N1939" s="245"/>
      <c r="O1939" s="245"/>
      <c r="P1939" s="245"/>
      <c r="Q1939" s="247"/>
      <c r="R1939" s="247"/>
      <c r="S1939" s="247"/>
      <c r="T1939" s="245"/>
      <c r="U1939" s="245"/>
      <c r="V1939" s="241"/>
      <c r="W1939" s="241"/>
      <c r="X1939" s="241"/>
    </row>
    <row r="1940" spans="1:24" ht="13.5" customHeight="1" x14ac:dyDescent="0.3">
      <c r="A1940" s="245"/>
      <c r="B1940" s="246"/>
      <c r="C1940" s="245"/>
      <c r="D1940" s="245"/>
      <c r="E1940" s="245"/>
      <c r="F1940" s="245"/>
      <c r="G1940" s="245"/>
      <c r="H1940" s="245"/>
      <c r="I1940" s="245"/>
      <c r="J1940" s="245"/>
      <c r="K1940" s="245"/>
      <c r="L1940" s="246"/>
      <c r="M1940" s="245"/>
      <c r="N1940" s="245"/>
      <c r="O1940" s="245"/>
      <c r="P1940" s="245"/>
      <c r="Q1940" s="247"/>
      <c r="R1940" s="247"/>
      <c r="S1940" s="247"/>
      <c r="T1940" s="245"/>
      <c r="U1940" s="245"/>
      <c r="V1940" s="241"/>
      <c r="W1940" s="241"/>
      <c r="X1940" s="241"/>
    </row>
    <row r="1941" spans="1:24" ht="13.5" customHeight="1" x14ac:dyDescent="0.3">
      <c r="A1941" s="245"/>
      <c r="B1941" s="246"/>
      <c r="C1941" s="245"/>
      <c r="D1941" s="245"/>
      <c r="E1941" s="245"/>
      <c r="F1941" s="245"/>
      <c r="G1941" s="245"/>
      <c r="H1941" s="245"/>
      <c r="I1941" s="245"/>
      <c r="J1941" s="245"/>
      <c r="K1941" s="245"/>
      <c r="L1941" s="246"/>
      <c r="M1941" s="245"/>
      <c r="N1941" s="245"/>
      <c r="O1941" s="245"/>
      <c r="P1941" s="245"/>
      <c r="Q1941" s="247"/>
      <c r="R1941" s="247"/>
      <c r="S1941" s="247"/>
      <c r="T1941" s="245"/>
      <c r="U1941" s="245"/>
      <c r="V1941" s="241"/>
      <c r="W1941" s="241"/>
      <c r="X1941" s="241"/>
    </row>
    <row r="1942" spans="1:24" ht="13.5" customHeight="1" x14ac:dyDescent="0.3">
      <c r="A1942" s="245"/>
      <c r="B1942" s="246"/>
      <c r="C1942" s="245"/>
      <c r="D1942" s="245"/>
      <c r="E1942" s="245"/>
      <c r="F1942" s="245"/>
      <c r="G1942" s="245"/>
      <c r="H1942" s="245"/>
      <c r="I1942" s="245"/>
      <c r="J1942" s="245"/>
      <c r="K1942" s="245"/>
      <c r="L1942" s="246"/>
      <c r="M1942" s="245"/>
      <c r="N1942" s="245"/>
      <c r="O1942" s="245"/>
      <c r="P1942" s="245"/>
      <c r="Q1942" s="247"/>
      <c r="R1942" s="247"/>
      <c r="S1942" s="247"/>
      <c r="T1942" s="245"/>
      <c r="U1942" s="245"/>
      <c r="V1942" s="241"/>
      <c r="W1942" s="241"/>
      <c r="X1942" s="241"/>
    </row>
    <row r="1943" spans="1:24" ht="13.5" customHeight="1" x14ac:dyDescent="0.3">
      <c r="A1943" s="245"/>
      <c r="B1943" s="246"/>
      <c r="C1943" s="245"/>
      <c r="D1943" s="245"/>
      <c r="E1943" s="245"/>
      <c r="F1943" s="245"/>
      <c r="G1943" s="245"/>
      <c r="H1943" s="245"/>
      <c r="I1943" s="245"/>
      <c r="J1943" s="245"/>
      <c r="K1943" s="245"/>
      <c r="L1943" s="246"/>
      <c r="M1943" s="245"/>
      <c r="N1943" s="245"/>
      <c r="O1943" s="245"/>
      <c r="P1943" s="245"/>
      <c r="Q1943" s="247"/>
      <c r="R1943" s="247"/>
      <c r="S1943" s="247"/>
      <c r="T1943" s="245"/>
      <c r="U1943" s="245"/>
      <c r="V1943" s="241"/>
      <c r="W1943" s="241"/>
      <c r="X1943" s="241"/>
    </row>
    <row r="1944" spans="1:24" ht="13.5" customHeight="1" x14ac:dyDescent="0.3">
      <c r="A1944" s="245"/>
      <c r="B1944" s="246"/>
      <c r="C1944" s="245"/>
      <c r="D1944" s="245"/>
      <c r="E1944" s="245"/>
      <c r="F1944" s="245"/>
      <c r="G1944" s="245"/>
      <c r="H1944" s="245"/>
      <c r="I1944" s="245"/>
      <c r="J1944" s="245"/>
      <c r="K1944" s="245"/>
      <c r="L1944" s="246"/>
      <c r="M1944" s="245"/>
      <c r="N1944" s="245"/>
      <c r="O1944" s="245"/>
      <c r="P1944" s="245"/>
      <c r="Q1944" s="247"/>
      <c r="R1944" s="247"/>
      <c r="S1944" s="247"/>
      <c r="T1944" s="245"/>
      <c r="U1944" s="245"/>
      <c r="V1944" s="241"/>
      <c r="W1944" s="241"/>
      <c r="X1944" s="241"/>
    </row>
    <row r="1945" spans="1:24" ht="13.5" customHeight="1" x14ac:dyDescent="0.3">
      <c r="A1945" s="245"/>
      <c r="B1945" s="246"/>
      <c r="C1945" s="245"/>
      <c r="D1945" s="245"/>
      <c r="E1945" s="245"/>
      <c r="F1945" s="245"/>
      <c r="G1945" s="245"/>
      <c r="H1945" s="245"/>
      <c r="I1945" s="245"/>
      <c r="J1945" s="245"/>
      <c r="K1945" s="245"/>
      <c r="L1945" s="246"/>
      <c r="M1945" s="245"/>
      <c r="N1945" s="245"/>
      <c r="O1945" s="245"/>
      <c r="P1945" s="245"/>
      <c r="Q1945" s="247"/>
      <c r="R1945" s="247"/>
      <c r="S1945" s="247"/>
      <c r="T1945" s="245"/>
      <c r="U1945" s="245"/>
      <c r="V1945" s="241"/>
      <c r="W1945" s="241"/>
      <c r="X1945" s="241"/>
    </row>
    <row r="1946" spans="1:24" ht="13.5" customHeight="1" x14ac:dyDescent="0.3">
      <c r="A1946" s="245"/>
      <c r="B1946" s="246"/>
      <c r="C1946" s="245"/>
      <c r="D1946" s="245"/>
      <c r="E1946" s="245"/>
      <c r="F1946" s="245"/>
      <c r="G1946" s="245"/>
      <c r="H1946" s="245"/>
      <c r="I1946" s="245"/>
      <c r="J1946" s="245"/>
      <c r="K1946" s="245"/>
      <c r="L1946" s="246"/>
      <c r="M1946" s="245"/>
      <c r="N1946" s="245"/>
      <c r="O1946" s="245"/>
      <c r="P1946" s="245"/>
      <c r="Q1946" s="247"/>
      <c r="R1946" s="247"/>
      <c r="S1946" s="247"/>
      <c r="T1946" s="245"/>
      <c r="U1946" s="245"/>
      <c r="V1946" s="241"/>
      <c r="W1946" s="241"/>
      <c r="X1946" s="241"/>
    </row>
    <row r="1947" spans="1:24" ht="13.5" customHeight="1" x14ac:dyDescent="0.3">
      <c r="A1947" s="245"/>
      <c r="B1947" s="246"/>
      <c r="C1947" s="245"/>
      <c r="D1947" s="245"/>
      <c r="E1947" s="245"/>
      <c r="F1947" s="245"/>
      <c r="G1947" s="245"/>
      <c r="H1947" s="245"/>
      <c r="I1947" s="245"/>
      <c r="J1947" s="245"/>
      <c r="K1947" s="245"/>
      <c r="L1947" s="246"/>
      <c r="M1947" s="245"/>
      <c r="N1947" s="245"/>
      <c r="O1947" s="245"/>
      <c r="P1947" s="245"/>
      <c r="Q1947" s="247"/>
      <c r="R1947" s="247"/>
      <c r="S1947" s="247"/>
      <c r="T1947" s="245"/>
      <c r="U1947" s="245"/>
      <c r="V1947" s="241"/>
      <c r="W1947" s="241"/>
      <c r="X1947" s="241"/>
    </row>
    <row r="1948" spans="1:24" ht="13.5" customHeight="1" x14ac:dyDescent="0.3">
      <c r="A1948" s="245"/>
      <c r="B1948" s="246"/>
      <c r="C1948" s="245"/>
      <c r="D1948" s="245"/>
      <c r="E1948" s="245"/>
      <c r="F1948" s="245"/>
      <c r="G1948" s="245"/>
      <c r="H1948" s="245"/>
      <c r="I1948" s="245"/>
      <c r="J1948" s="245"/>
      <c r="K1948" s="245"/>
      <c r="L1948" s="246"/>
      <c r="M1948" s="245"/>
      <c r="N1948" s="245"/>
      <c r="O1948" s="245"/>
      <c r="P1948" s="245"/>
      <c r="Q1948" s="247"/>
      <c r="R1948" s="247"/>
      <c r="S1948" s="247"/>
      <c r="T1948" s="245"/>
      <c r="U1948" s="245"/>
      <c r="V1948" s="241"/>
      <c r="W1948" s="241"/>
      <c r="X1948" s="241"/>
    </row>
    <row r="1949" spans="1:24" ht="13.5" customHeight="1" x14ac:dyDescent="0.3">
      <c r="A1949" s="245"/>
      <c r="B1949" s="246"/>
      <c r="C1949" s="245"/>
      <c r="D1949" s="245"/>
      <c r="E1949" s="245"/>
      <c r="F1949" s="245"/>
      <c r="G1949" s="245"/>
      <c r="H1949" s="245"/>
      <c r="I1949" s="245"/>
      <c r="J1949" s="245"/>
      <c r="K1949" s="245"/>
      <c r="L1949" s="246"/>
      <c r="M1949" s="245"/>
      <c r="N1949" s="245"/>
      <c r="O1949" s="245"/>
      <c r="P1949" s="245"/>
      <c r="Q1949" s="247"/>
      <c r="R1949" s="247"/>
      <c r="S1949" s="247"/>
      <c r="T1949" s="245"/>
      <c r="U1949" s="245"/>
      <c r="V1949" s="241"/>
      <c r="W1949" s="241"/>
      <c r="X1949" s="241"/>
    </row>
    <row r="1950" spans="1:24" ht="13.5" customHeight="1" x14ac:dyDescent="0.3">
      <c r="A1950" s="245"/>
      <c r="B1950" s="246"/>
      <c r="C1950" s="245"/>
      <c r="D1950" s="245"/>
      <c r="E1950" s="245"/>
      <c r="F1950" s="245"/>
      <c r="G1950" s="245"/>
      <c r="H1950" s="245"/>
      <c r="I1950" s="245"/>
      <c r="J1950" s="245"/>
      <c r="K1950" s="245"/>
      <c r="L1950" s="246"/>
      <c r="M1950" s="245"/>
      <c r="N1950" s="245"/>
      <c r="O1950" s="245"/>
      <c r="P1950" s="245"/>
      <c r="Q1950" s="247"/>
      <c r="R1950" s="247"/>
      <c r="S1950" s="247"/>
      <c r="T1950" s="245"/>
      <c r="U1950" s="245"/>
      <c r="V1950" s="241"/>
      <c r="W1950" s="241"/>
      <c r="X1950" s="241"/>
    </row>
    <row r="1951" spans="1:24" ht="13.5" customHeight="1" x14ac:dyDescent="0.3">
      <c r="A1951" s="245"/>
      <c r="B1951" s="246"/>
      <c r="C1951" s="245"/>
      <c r="D1951" s="245"/>
      <c r="E1951" s="245"/>
      <c r="F1951" s="245"/>
      <c r="G1951" s="245"/>
      <c r="H1951" s="245"/>
      <c r="I1951" s="245"/>
      <c r="J1951" s="245"/>
      <c r="K1951" s="245"/>
      <c r="L1951" s="246"/>
      <c r="M1951" s="245"/>
      <c r="N1951" s="245"/>
      <c r="O1951" s="245"/>
      <c r="P1951" s="245"/>
      <c r="Q1951" s="247"/>
      <c r="R1951" s="247"/>
      <c r="S1951" s="247"/>
      <c r="T1951" s="245"/>
      <c r="U1951" s="245"/>
      <c r="V1951" s="241"/>
      <c r="W1951" s="241"/>
      <c r="X1951" s="241"/>
    </row>
    <row r="1952" spans="1:24" ht="13.5" customHeight="1" x14ac:dyDescent="0.3">
      <c r="A1952" s="245"/>
      <c r="B1952" s="246"/>
      <c r="C1952" s="245"/>
      <c r="D1952" s="245"/>
      <c r="E1952" s="245"/>
      <c r="F1952" s="245"/>
      <c r="G1952" s="245"/>
      <c r="H1952" s="245"/>
      <c r="I1952" s="245"/>
      <c r="J1952" s="245"/>
      <c r="K1952" s="245"/>
      <c r="L1952" s="246"/>
      <c r="M1952" s="245"/>
      <c r="N1952" s="245"/>
      <c r="O1952" s="245"/>
      <c r="P1952" s="245"/>
      <c r="Q1952" s="247"/>
      <c r="R1952" s="247"/>
      <c r="S1952" s="247"/>
      <c r="T1952" s="245"/>
      <c r="U1952" s="245"/>
      <c r="V1952" s="241"/>
      <c r="W1952" s="241"/>
      <c r="X1952" s="241"/>
    </row>
    <row r="1953" spans="1:24" ht="13.5" customHeight="1" x14ac:dyDescent="0.3">
      <c r="A1953" s="245"/>
      <c r="B1953" s="246"/>
      <c r="C1953" s="245"/>
      <c r="D1953" s="245"/>
      <c r="E1953" s="245"/>
      <c r="F1953" s="245"/>
      <c r="G1953" s="245"/>
      <c r="H1953" s="245"/>
      <c r="I1953" s="245"/>
      <c r="J1953" s="245"/>
      <c r="K1953" s="245"/>
      <c r="L1953" s="246"/>
      <c r="M1953" s="245"/>
      <c r="N1953" s="245"/>
      <c r="O1953" s="245"/>
      <c r="P1953" s="245"/>
      <c r="Q1953" s="247"/>
      <c r="R1953" s="247"/>
      <c r="S1953" s="247"/>
      <c r="T1953" s="245"/>
      <c r="U1953" s="245"/>
      <c r="V1953" s="241"/>
      <c r="W1953" s="241"/>
      <c r="X1953" s="241"/>
    </row>
    <row r="1954" spans="1:24" ht="13.5" customHeight="1" x14ac:dyDescent="0.3">
      <c r="A1954" s="245"/>
      <c r="B1954" s="246"/>
      <c r="C1954" s="245"/>
      <c r="D1954" s="245"/>
      <c r="E1954" s="245"/>
      <c r="F1954" s="245"/>
      <c r="G1954" s="245"/>
      <c r="H1954" s="245"/>
      <c r="I1954" s="245"/>
      <c r="J1954" s="245"/>
      <c r="K1954" s="245"/>
      <c r="L1954" s="246"/>
      <c r="M1954" s="245"/>
      <c r="N1954" s="245"/>
      <c r="O1954" s="245"/>
      <c r="P1954" s="245"/>
      <c r="Q1954" s="247"/>
      <c r="R1954" s="247"/>
      <c r="S1954" s="247"/>
      <c r="T1954" s="245"/>
      <c r="U1954" s="245"/>
      <c r="V1954" s="241"/>
      <c r="W1954" s="241"/>
      <c r="X1954" s="241"/>
    </row>
    <row r="1955" spans="1:24" ht="13.5" customHeight="1" x14ac:dyDescent="0.3">
      <c r="A1955" s="245"/>
      <c r="B1955" s="246"/>
      <c r="C1955" s="245"/>
      <c r="D1955" s="245"/>
      <c r="E1955" s="245"/>
      <c r="F1955" s="245"/>
      <c r="G1955" s="245"/>
      <c r="H1955" s="245"/>
      <c r="I1955" s="245"/>
      <c r="J1955" s="245"/>
      <c r="K1955" s="245"/>
      <c r="L1955" s="246"/>
      <c r="M1955" s="245"/>
      <c r="N1955" s="245"/>
      <c r="O1955" s="245"/>
      <c r="P1955" s="245"/>
      <c r="Q1955" s="247"/>
      <c r="R1955" s="247"/>
      <c r="S1955" s="247"/>
      <c r="T1955" s="245"/>
      <c r="U1955" s="245"/>
      <c r="V1955" s="241"/>
      <c r="W1955" s="241"/>
      <c r="X1955" s="241"/>
    </row>
    <row r="1956" spans="1:24" ht="13.5" customHeight="1" x14ac:dyDescent="0.3">
      <c r="A1956" s="245"/>
      <c r="B1956" s="246"/>
      <c r="C1956" s="245"/>
      <c r="D1956" s="245"/>
      <c r="E1956" s="245"/>
      <c r="F1956" s="245"/>
      <c r="G1956" s="245"/>
      <c r="H1956" s="245"/>
      <c r="I1956" s="245"/>
      <c r="J1956" s="245"/>
      <c r="K1956" s="245"/>
      <c r="L1956" s="246"/>
      <c r="M1956" s="245"/>
      <c r="N1956" s="245"/>
      <c r="O1956" s="245"/>
      <c r="P1956" s="245"/>
      <c r="Q1956" s="247"/>
      <c r="R1956" s="247"/>
      <c r="S1956" s="247"/>
      <c r="T1956" s="245"/>
      <c r="U1956" s="245"/>
      <c r="V1956" s="241"/>
      <c r="W1956" s="241"/>
      <c r="X1956" s="241"/>
    </row>
    <row r="1957" spans="1:24" ht="13.5" customHeight="1" x14ac:dyDescent="0.3">
      <c r="A1957" s="245"/>
      <c r="B1957" s="246"/>
      <c r="C1957" s="245"/>
      <c r="D1957" s="245"/>
      <c r="E1957" s="245"/>
      <c r="F1957" s="245"/>
      <c r="G1957" s="245"/>
      <c r="H1957" s="245"/>
      <c r="I1957" s="245"/>
      <c r="J1957" s="245"/>
      <c r="K1957" s="245"/>
      <c r="L1957" s="246"/>
      <c r="M1957" s="245"/>
      <c r="N1957" s="245"/>
      <c r="O1957" s="245"/>
      <c r="P1957" s="245"/>
      <c r="Q1957" s="247"/>
      <c r="R1957" s="247"/>
      <c r="S1957" s="247"/>
      <c r="T1957" s="245"/>
      <c r="U1957" s="245"/>
      <c r="V1957" s="241"/>
      <c r="W1957" s="241"/>
      <c r="X1957" s="241"/>
    </row>
    <row r="1958" spans="1:24" ht="13.5" customHeight="1" x14ac:dyDescent="0.3">
      <c r="A1958" s="245"/>
      <c r="B1958" s="246"/>
      <c r="C1958" s="245"/>
      <c r="D1958" s="245"/>
      <c r="E1958" s="245"/>
      <c r="F1958" s="245"/>
      <c r="G1958" s="245"/>
      <c r="H1958" s="245"/>
      <c r="I1958" s="245"/>
      <c r="J1958" s="245"/>
      <c r="K1958" s="245"/>
      <c r="L1958" s="246"/>
      <c r="M1958" s="245"/>
      <c r="N1958" s="245"/>
      <c r="O1958" s="245"/>
      <c r="P1958" s="245"/>
      <c r="Q1958" s="247"/>
      <c r="R1958" s="247"/>
      <c r="S1958" s="247"/>
      <c r="T1958" s="245"/>
      <c r="U1958" s="245"/>
      <c r="V1958" s="241"/>
      <c r="W1958" s="241"/>
      <c r="X1958" s="241"/>
    </row>
    <row r="1959" spans="1:24" ht="13.5" customHeight="1" x14ac:dyDescent="0.3">
      <c r="A1959" s="245"/>
      <c r="B1959" s="246"/>
      <c r="C1959" s="245"/>
      <c r="D1959" s="245"/>
      <c r="E1959" s="245"/>
      <c r="F1959" s="245"/>
      <c r="G1959" s="245"/>
      <c r="H1959" s="245"/>
      <c r="I1959" s="245"/>
      <c r="J1959" s="245"/>
      <c r="K1959" s="245"/>
      <c r="L1959" s="246"/>
      <c r="M1959" s="245"/>
      <c r="N1959" s="245"/>
      <c r="O1959" s="245"/>
      <c r="P1959" s="245"/>
      <c r="Q1959" s="247"/>
      <c r="R1959" s="247"/>
      <c r="S1959" s="247"/>
      <c r="T1959" s="245"/>
      <c r="U1959" s="245"/>
      <c r="V1959" s="241"/>
      <c r="W1959" s="241"/>
      <c r="X1959" s="241"/>
    </row>
    <row r="1960" spans="1:24" ht="13.5" customHeight="1" x14ac:dyDescent="0.3">
      <c r="A1960" s="245"/>
      <c r="B1960" s="246"/>
      <c r="C1960" s="245"/>
      <c r="D1960" s="245"/>
      <c r="E1960" s="245"/>
      <c r="F1960" s="245"/>
      <c r="G1960" s="245"/>
      <c r="H1960" s="245"/>
      <c r="I1960" s="245"/>
      <c r="J1960" s="245"/>
      <c r="K1960" s="245"/>
      <c r="L1960" s="246"/>
      <c r="M1960" s="245"/>
      <c r="N1960" s="245"/>
      <c r="O1960" s="245"/>
      <c r="P1960" s="245"/>
      <c r="Q1960" s="247"/>
      <c r="R1960" s="247"/>
      <c r="S1960" s="247"/>
      <c r="T1960" s="245"/>
      <c r="U1960" s="245"/>
      <c r="V1960" s="241"/>
      <c r="W1960" s="241"/>
      <c r="X1960" s="241"/>
    </row>
    <row r="1961" spans="1:24" ht="13.5" customHeight="1" x14ac:dyDescent="0.3">
      <c r="A1961" s="245"/>
      <c r="B1961" s="246"/>
      <c r="C1961" s="245"/>
      <c r="D1961" s="245"/>
      <c r="E1961" s="245"/>
      <c r="F1961" s="245"/>
      <c r="G1961" s="245"/>
      <c r="H1961" s="245"/>
      <c r="I1961" s="245"/>
      <c r="J1961" s="245"/>
      <c r="K1961" s="245"/>
      <c r="L1961" s="246"/>
      <c r="M1961" s="245"/>
      <c r="N1961" s="245"/>
      <c r="O1961" s="245"/>
      <c r="P1961" s="245"/>
      <c r="Q1961" s="247"/>
      <c r="R1961" s="247"/>
      <c r="S1961" s="247"/>
      <c r="T1961" s="245"/>
      <c r="U1961" s="245"/>
      <c r="V1961" s="241"/>
      <c r="W1961" s="241"/>
      <c r="X1961" s="241"/>
    </row>
    <row r="1962" spans="1:24" ht="13.5" customHeight="1" x14ac:dyDescent="0.3">
      <c r="A1962" s="245"/>
      <c r="B1962" s="246"/>
      <c r="C1962" s="245"/>
      <c r="D1962" s="245"/>
      <c r="E1962" s="245"/>
      <c r="F1962" s="245"/>
      <c r="G1962" s="245"/>
      <c r="H1962" s="245"/>
      <c r="I1962" s="245"/>
      <c r="J1962" s="245"/>
      <c r="K1962" s="245"/>
      <c r="L1962" s="246"/>
      <c r="M1962" s="245"/>
      <c r="N1962" s="245"/>
      <c r="O1962" s="245"/>
      <c r="P1962" s="245"/>
      <c r="Q1962" s="247"/>
      <c r="R1962" s="247"/>
      <c r="S1962" s="247"/>
      <c r="T1962" s="245"/>
      <c r="U1962" s="245"/>
      <c r="V1962" s="241"/>
      <c r="W1962" s="241"/>
      <c r="X1962" s="241"/>
    </row>
    <row r="1963" spans="1:24" ht="13.5" customHeight="1" x14ac:dyDescent="0.3">
      <c r="A1963" s="245"/>
      <c r="B1963" s="246"/>
      <c r="C1963" s="245"/>
      <c r="D1963" s="245"/>
      <c r="E1963" s="245"/>
      <c r="F1963" s="245"/>
      <c r="G1963" s="245"/>
      <c r="H1963" s="245"/>
      <c r="I1963" s="245"/>
      <c r="J1963" s="245"/>
      <c r="K1963" s="245"/>
      <c r="L1963" s="246"/>
      <c r="M1963" s="245"/>
      <c r="N1963" s="245"/>
      <c r="O1963" s="245"/>
      <c r="P1963" s="245"/>
      <c r="Q1963" s="247"/>
      <c r="R1963" s="247"/>
      <c r="S1963" s="247"/>
      <c r="T1963" s="245"/>
      <c r="U1963" s="245"/>
      <c r="V1963" s="241"/>
      <c r="W1963" s="241"/>
      <c r="X1963" s="241"/>
    </row>
    <row r="1964" spans="1:24" ht="13.5" customHeight="1" x14ac:dyDescent="0.3">
      <c r="A1964" s="245"/>
      <c r="B1964" s="246"/>
      <c r="C1964" s="245"/>
      <c r="D1964" s="245"/>
      <c r="E1964" s="245"/>
      <c r="F1964" s="245"/>
      <c r="G1964" s="245"/>
      <c r="H1964" s="245"/>
      <c r="I1964" s="245"/>
      <c r="J1964" s="245"/>
      <c r="K1964" s="245"/>
      <c r="L1964" s="246"/>
      <c r="M1964" s="245"/>
      <c r="N1964" s="245"/>
      <c r="O1964" s="245"/>
      <c r="P1964" s="245"/>
      <c r="Q1964" s="247"/>
      <c r="R1964" s="247"/>
      <c r="S1964" s="247"/>
      <c r="T1964" s="245"/>
      <c r="U1964" s="245"/>
      <c r="V1964" s="241"/>
      <c r="W1964" s="241"/>
      <c r="X1964" s="241"/>
    </row>
    <row r="1965" spans="1:24" ht="13.5" customHeight="1" x14ac:dyDescent="0.3">
      <c r="A1965" s="245"/>
      <c r="B1965" s="246"/>
      <c r="C1965" s="245"/>
      <c r="D1965" s="245"/>
      <c r="E1965" s="245"/>
      <c r="F1965" s="245"/>
      <c r="G1965" s="245"/>
      <c r="H1965" s="245"/>
      <c r="I1965" s="245"/>
      <c r="J1965" s="245"/>
      <c r="K1965" s="245"/>
      <c r="L1965" s="246"/>
      <c r="M1965" s="245"/>
      <c r="N1965" s="245"/>
      <c r="O1965" s="245"/>
      <c r="P1965" s="245"/>
      <c r="Q1965" s="247"/>
      <c r="R1965" s="247"/>
      <c r="S1965" s="247"/>
      <c r="T1965" s="245"/>
      <c r="U1965" s="245"/>
      <c r="V1965" s="241"/>
      <c r="W1965" s="241"/>
      <c r="X1965" s="241"/>
    </row>
    <row r="1966" spans="1:24" ht="13.5" customHeight="1" x14ac:dyDescent="0.3">
      <c r="A1966" s="245"/>
      <c r="B1966" s="246"/>
      <c r="C1966" s="245"/>
      <c r="D1966" s="245"/>
      <c r="E1966" s="245"/>
      <c r="F1966" s="245"/>
      <c r="G1966" s="245"/>
      <c r="H1966" s="245"/>
      <c r="I1966" s="245"/>
      <c r="J1966" s="245"/>
      <c r="K1966" s="245"/>
      <c r="L1966" s="246"/>
      <c r="M1966" s="245"/>
      <c r="N1966" s="245"/>
      <c r="O1966" s="245"/>
      <c r="P1966" s="245"/>
      <c r="Q1966" s="247"/>
      <c r="R1966" s="247"/>
      <c r="S1966" s="247"/>
      <c r="T1966" s="245"/>
      <c r="U1966" s="245"/>
      <c r="V1966" s="241"/>
      <c r="W1966" s="241"/>
      <c r="X1966" s="241"/>
    </row>
    <row r="1967" spans="1:24" ht="13.5" customHeight="1" x14ac:dyDescent="0.3">
      <c r="A1967" s="245"/>
      <c r="B1967" s="246"/>
      <c r="C1967" s="245"/>
      <c r="D1967" s="245"/>
      <c r="E1967" s="245"/>
      <c r="F1967" s="245"/>
      <c r="G1967" s="245"/>
      <c r="H1967" s="245"/>
      <c r="I1967" s="245"/>
      <c r="J1967" s="245"/>
      <c r="K1967" s="245"/>
      <c r="L1967" s="246"/>
      <c r="M1967" s="245"/>
      <c r="N1967" s="245"/>
      <c r="O1967" s="245"/>
      <c r="P1967" s="245"/>
      <c r="Q1967" s="247"/>
      <c r="R1967" s="247"/>
      <c r="S1967" s="247"/>
      <c r="T1967" s="245"/>
      <c r="U1967" s="245"/>
      <c r="V1967" s="241"/>
      <c r="W1967" s="241"/>
      <c r="X1967" s="241"/>
    </row>
    <row r="1968" spans="1:24" ht="13.5" customHeight="1" x14ac:dyDescent="0.3">
      <c r="A1968" s="245"/>
      <c r="B1968" s="246"/>
      <c r="C1968" s="245"/>
      <c r="D1968" s="245"/>
      <c r="E1968" s="245"/>
      <c r="F1968" s="245"/>
      <c r="G1968" s="245"/>
      <c r="H1968" s="245"/>
      <c r="I1968" s="245"/>
      <c r="J1968" s="245"/>
      <c r="K1968" s="245"/>
      <c r="L1968" s="246"/>
      <c r="M1968" s="245"/>
      <c r="N1968" s="245"/>
      <c r="O1968" s="245"/>
      <c r="P1968" s="245"/>
      <c r="Q1968" s="247"/>
      <c r="R1968" s="247"/>
      <c r="S1968" s="247"/>
      <c r="T1968" s="245"/>
      <c r="U1968" s="245"/>
      <c r="V1968" s="241"/>
      <c r="W1968" s="241"/>
      <c r="X1968" s="241"/>
    </row>
    <row r="1969" spans="1:24" ht="13.5" customHeight="1" x14ac:dyDescent="0.3">
      <c r="A1969" s="245"/>
      <c r="B1969" s="246"/>
      <c r="C1969" s="245"/>
      <c r="D1969" s="245"/>
      <c r="E1969" s="245"/>
      <c r="F1969" s="245"/>
      <c r="G1969" s="245"/>
      <c r="H1969" s="245"/>
      <c r="I1969" s="245"/>
      <c r="J1969" s="245"/>
      <c r="K1969" s="245"/>
      <c r="L1969" s="246"/>
      <c r="M1969" s="245"/>
      <c r="N1969" s="245"/>
      <c r="O1969" s="245"/>
      <c r="P1969" s="245"/>
      <c r="Q1969" s="247"/>
      <c r="R1969" s="247"/>
      <c r="S1969" s="247"/>
      <c r="T1969" s="245"/>
      <c r="U1969" s="245"/>
      <c r="V1969" s="241"/>
      <c r="W1969" s="241"/>
      <c r="X1969" s="241"/>
    </row>
    <row r="1970" spans="1:24" ht="13.5" customHeight="1" x14ac:dyDescent="0.3">
      <c r="A1970" s="245"/>
      <c r="B1970" s="246"/>
      <c r="C1970" s="245"/>
      <c r="D1970" s="245"/>
      <c r="E1970" s="245"/>
      <c r="F1970" s="245"/>
      <c r="G1970" s="245"/>
      <c r="H1970" s="245"/>
      <c r="I1970" s="245"/>
      <c r="J1970" s="245"/>
      <c r="K1970" s="245"/>
      <c r="L1970" s="246"/>
      <c r="M1970" s="245"/>
      <c r="N1970" s="245"/>
      <c r="O1970" s="245"/>
      <c r="P1970" s="245"/>
      <c r="Q1970" s="247"/>
      <c r="R1970" s="247"/>
      <c r="S1970" s="247"/>
      <c r="T1970" s="245"/>
      <c r="U1970" s="245"/>
      <c r="V1970" s="241"/>
      <c r="W1970" s="241"/>
      <c r="X1970" s="241"/>
    </row>
    <row r="1971" spans="1:24" ht="13.5" customHeight="1" x14ac:dyDescent="0.3">
      <c r="A1971" s="245"/>
      <c r="B1971" s="246"/>
      <c r="C1971" s="245"/>
      <c r="D1971" s="245"/>
      <c r="E1971" s="245"/>
      <c r="F1971" s="245"/>
      <c r="G1971" s="245"/>
      <c r="H1971" s="245"/>
      <c r="I1971" s="245"/>
      <c r="J1971" s="245"/>
      <c r="K1971" s="245"/>
      <c r="L1971" s="246"/>
      <c r="M1971" s="245"/>
      <c r="N1971" s="245"/>
      <c r="O1971" s="245"/>
      <c r="P1971" s="245"/>
      <c r="Q1971" s="247"/>
      <c r="R1971" s="247"/>
      <c r="S1971" s="247"/>
      <c r="T1971" s="245"/>
      <c r="U1971" s="245"/>
      <c r="V1971" s="241"/>
      <c r="W1971" s="241"/>
      <c r="X1971" s="241"/>
    </row>
    <row r="1972" spans="1:24" ht="13.5" customHeight="1" x14ac:dyDescent="0.3">
      <c r="A1972" s="245"/>
      <c r="B1972" s="246"/>
      <c r="C1972" s="245"/>
      <c r="D1972" s="245"/>
      <c r="E1972" s="245"/>
      <c r="F1972" s="245"/>
      <c r="G1972" s="245"/>
      <c r="H1972" s="245"/>
      <c r="I1972" s="245"/>
      <c r="J1972" s="245"/>
      <c r="K1972" s="245"/>
      <c r="L1972" s="246"/>
      <c r="M1972" s="245"/>
      <c r="N1972" s="245"/>
      <c r="O1972" s="245"/>
      <c r="P1972" s="245"/>
      <c r="Q1972" s="247"/>
      <c r="R1972" s="247"/>
      <c r="S1972" s="247"/>
      <c r="T1972" s="245"/>
      <c r="U1972" s="245"/>
      <c r="V1972" s="241"/>
      <c r="W1972" s="241"/>
      <c r="X1972" s="241"/>
    </row>
    <row r="1973" spans="1:24" ht="13.5" customHeight="1" x14ac:dyDescent="0.3">
      <c r="A1973" s="245"/>
      <c r="B1973" s="246"/>
      <c r="C1973" s="245"/>
      <c r="D1973" s="245"/>
      <c r="E1973" s="245"/>
      <c r="F1973" s="245"/>
      <c r="G1973" s="245"/>
      <c r="H1973" s="245"/>
      <c r="I1973" s="245"/>
      <c r="J1973" s="245"/>
      <c r="K1973" s="245"/>
      <c r="L1973" s="246"/>
      <c r="M1973" s="245"/>
      <c r="N1973" s="245"/>
      <c r="O1973" s="245"/>
      <c r="P1973" s="245"/>
      <c r="Q1973" s="247"/>
      <c r="R1973" s="247"/>
      <c r="S1973" s="247"/>
      <c r="T1973" s="245"/>
      <c r="U1973" s="245"/>
      <c r="V1973" s="241"/>
      <c r="W1973" s="241"/>
      <c r="X1973" s="241"/>
    </row>
    <row r="1974" spans="1:24" ht="13.5" customHeight="1" x14ac:dyDescent="0.3">
      <c r="A1974" s="245"/>
      <c r="B1974" s="246"/>
      <c r="C1974" s="245"/>
      <c r="D1974" s="245"/>
      <c r="E1974" s="245"/>
      <c r="F1974" s="245"/>
      <c r="G1974" s="245"/>
      <c r="H1974" s="245"/>
      <c r="I1974" s="245"/>
      <c r="J1974" s="245"/>
      <c r="K1974" s="245"/>
      <c r="L1974" s="246"/>
      <c r="M1974" s="245"/>
      <c r="N1974" s="245"/>
      <c r="O1974" s="245"/>
      <c r="P1974" s="245"/>
      <c r="Q1974" s="247"/>
      <c r="R1974" s="247"/>
      <c r="S1974" s="247"/>
      <c r="T1974" s="245"/>
      <c r="U1974" s="245"/>
      <c r="V1974" s="241"/>
      <c r="W1974" s="241"/>
      <c r="X1974" s="241"/>
    </row>
    <row r="1975" spans="1:24" ht="13.5" customHeight="1" x14ac:dyDescent="0.3">
      <c r="A1975" s="245"/>
      <c r="B1975" s="246"/>
      <c r="C1975" s="245"/>
      <c r="D1975" s="245"/>
      <c r="E1975" s="245"/>
      <c r="F1975" s="245"/>
      <c r="G1975" s="245"/>
      <c r="H1975" s="245"/>
      <c r="I1975" s="245"/>
      <c r="J1975" s="245"/>
      <c r="K1975" s="245"/>
      <c r="L1975" s="246"/>
      <c r="M1975" s="245"/>
      <c r="N1975" s="245"/>
      <c r="O1975" s="245"/>
      <c r="P1975" s="245"/>
      <c r="Q1975" s="247"/>
      <c r="R1975" s="247"/>
      <c r="S1975" s="247"/>
      <c r="T1975" s="245"/>
      <c r="U1975" s="245"/>
      <c r="V1975" s="241"/>
      <c r="W1975" s="241"/>
      <c r="X1975" s="241"/>
    </row>
    <row r="1976" spans="1:24" ht="13.5" customHeight="1" x14ac:dyDescent="0.3">
      <c r="A1976" s="245"/>
      <c r="B1976" s="246"/>
      <c r="C1976" s="245"/>
      <c r="D1976" s="245"/>
      <c r="E1976" s="245"/>
      <c r="F1976" s="245"/>
      <c r="G1976" s="245"/>
      <c r="H1976" s="245"/>
      <c r="I1976" s="245"/>
      <c r="J1976" s="245"/>
      <c r="K1976" s="245"/>
      <c r="L1976" s="246"/>
      <c r="M1976" s="245"/>
      <c r="N1976" s="245"/>
      <c r="O1976" s="245"/>
      <c r="P1976" s="245"/>
      <c r="Q1976" s="247"/>
      <c r="R1976" s="247"/>
      <c r="S1976" s="247"/>
      <c r="T1976" s="245"/>
      <c r="U1976" s="245"/>
      <c r="V1976" s="241"/>
      <c r="W1976" s="241"/>
      <c r="X1976" s="241"/>
    </row>
    <row r="1977" spans="1:24" ht="13.5" customHeight="1" x14ac:dyDescent="0.3">
      <c r="A1977" s="245"/>
      <c r="B1977" s="246"/>
      <c r="C1977" s="245"/>
      <c r="D1977" s="245"/>
      <c r="E1977" s="245"/>
      <c r="F1977" s="245"/>
      <c r="G1977" s="245"/>
      <c r="H1977" s="245"/>
      <c r="I1977" s="245"/>
      <c r="J1977" s="245"/>
      <c r="K1977" s="245"/>
      <c r="L1977" s="246"/>
      <c r="M1977" s="245"/>
      <c r="N1977" s="245"/>
      <c r="O1977" s="245"/>
      <c r="P1977" s="245"/>
      <c r="Q1977" s="247"/>
      <c r="R1977" s="247"/>
      <c r="S1977" s="247"/>
      <c r="T1977" s="245"/>
      <c r="U1977" s="245"/>
      <c r="V1977" s="241"/>
      <c r="W1977" s="241"/>
      <c r="X1977" s="241"/>
    </row>
    <row r="1978" spans="1:24" ht="13.5" customHeight="1" x14ac:dyDescent="0.3">
      <c r="A1978" s="245"/>
      <c r="B1978" s="246"/>
      <c r="C1978" s="245"/>
      <c r="D1978" s="245"/>
      <c r="E1978" s="245"/>
      <c r="F1978" s="245"/>
      <c r="G1978" s="245"/>
      <c r="H1978" s="245"/>
      <c r="I1978" s="245"/>
      <c r="J1978" s="245"/>
      <c r="K1978" s="245"/>
      <c r="L1978" s="246"/>
      <c r="M1978" s="245"/>
      <c r="N1978" s="245"/>
      <c r="O1978" s="245"/>
      <c r="P1978" s="245"/>
      <c r="Q1978" s="247"/>
      <c r="R1978" s="247"/>
      <c r="S1978" s="247"/>
      <c r="T1978" s="245"/>
      <c r="U1978" s="245"/>
      <c r="V1978" s="241"/>
      <c r="W1978" s="241"/>
      <c r="X1978" s="241"/>
    </row>
    <row r="1979" spans="1:24" ht="13.5" customHeight="1" x14ac:dyDescent="0.3">
      <c r="A1979" s="245"/>
      <c r="B1979" s="246"/>
      <c r="C1979" s="245"/>
      <c r="D1979" s="245"/>
      <c r="E1979" s="245"/>
      <c r="F1979" s="245"/>
      <c r="G1979" s="245"/>
      <c r="H1979" s="245"/>
      <c r="I1979" s="245"/>
      <c r="J1979" s="245"/>
      <c r="K1979" s="245"/>
      <c r="L1979" s="246"/>
      <c r="M1979" s="245"/>
      <c r="N1979" s="245"/>
      <c r="O1979" s="245"/>
      <c r="P1979" s="245"/>
      <c r="Q1979" s="247"/>
      <c r="R1979" s="247"/>
      <c r="S1979" s="247"/>
      <c r="T1979" s="245"/>
      <c r="U1979" s="245"/>
      <c r="V1979" s="241"/>
      <c r="W1979" s="241"/>
      <c r="X1979" s="241"/>
    </row>
    <row r="1980" spans="1:24" ht="13.5" customHeight="1" x14ac:dyDescent="0.3">
      <c r="A1980" s="245"/>
      <c r="B1980" s="246"/>
      <c r="C1980" s="245"/>
      <c r="D1980" s="245"/>
      <c r="E1980" s="245"/>
      <c r="F1980" s="245"/>
      <c r="G1980" s="245"/>
      <c r="H1980" s="245"/>
      <c r="I1980" s="245"/>
      <c r="J1980" s="245"/>
      <c r="K1980" s="245"/>
      <c r="L1980" s="246"/>
      <c r="M1980" s="245"/>
      <c r="N1980" s="245"/>
      <c r="O1980" s="245"/>
      <c r="P1980" s="245"/>
      <c r="Q1980" s="247"/>
      <c r="R1980" s="247"/>
      <c r="S1980" s="247"/>
      <c r="T1980" s="245"/>
      <c r="U1980" s="245"/>
      <c r="V1980" s="241"/>
      <c r="W1980" s="241"/>
      <c r="X1980" s="241"/>
    </row>
    <row r="1981" spans="1:24" ht="13.5" customHeight="1" x14ac:dyDescent="0.3">
      <c r="A1981" s="245"/>
      <c r="B1981" s="246"/>
      <c r="C1981" s="245"/>
      <c r="D1981" s="245"/>
      <c r="E1981" s="245"/>
      <c r="F1981" s="245"/>
      <c r="G1981" s="245"/>
      <c r="H1981" s="245"/>
      <c r="I1981" s="245"/>
      <c r="J1981" s="245"/>
      <c r="K1981" s="245"/>
      <c r="L1981" s="246"/>
      <c r="M1981" s="245"/>
      <c r="N1981" s="245"/>
      <c r="O1981" s="245"/>
      <c r="P1981" s="245"/>
      <c r="Q1981" s="247"/>
      <c r="R1981" s="247"/>
      <c r="S1981" s="247"/>
      <c r="T1981" s="245"/>
      <c r="U1981" s="245"/>
      <c r="V1981" s="241"/>
      <c r="W1981" s="241"/>
      <c r="X1981" s="241"/>
    </row>
    <row r="1982" spans="1:24" ht="13.5" customHeight="1" x14ac:dyDescent="0.3">
      <c r="A1982" s="245"/>
      <c r="B1982" s="246"/>
      <c r="C1982" s="245"/>
      <c r="D1982" s="245"/>
      <c r="E1982" s="245"/>
      <c r="F1982" s="245"/>
      <c r="G1982" s="245"/>
      <c r="H1982" s="245"/>
      <c r="I1982" s="245"/>
      <c r="J1982" s="245"/>
      <c r="K1982" s="245"/>
      <c r="L1982" s="246"/>
      <c r="M1982" s="245"/>
      <c r="N1982" s="245"/>
      <c r="O1982" s="245"/>
      <c r="P1982" s="245"/>
      <c r="Q1982" s="247"/>
      <c r="R1982" s="247"/>
      <c r="S1982" s="247"/>
      <c r="T1982" s="245"/>
      <c r="U1982" s="245"/>
      <c r="V1982" s="241"/>
      <c r="W1982" s="241"/>
      <c r="X1982" s="241"/>
    </row>
    <row r="1983" spans="1:24" ht="13.5" customHeight="1" x14ac:dyDescent="0.3">
      <c r="A1983" s="245"/>
      <c r="B1983" s="246"/>
      <c r="C1983" s="245"/>
      <c r="D1983" s="245"/>
      <c r="E1983" s="245"/>
      <c r="F1983" s="245"/>
      <c r="G1983" s="245"/>
      <c r="H1983" s="245"/>
      <c r="I1983" s="245"/>
      <c r="J1983" s="245"/>
      <c r="K1983" s="245"/>
      <c r="L1983" s="246"/>
      <c r="M1983" s="245"/>
      <c r="N1983" s="245"/>
      <c r="O1983" s="245"/>
      <c r="P1983" s="245"/>
      <c r="Q1983" s="247"/>
      <c r="R1983" s="247"/>
      <c r="S1983" s="247"/>
      <c r="T1983" s="245"/>
      <c r="U1983" s="245"/>
      <c r="V1983" s="241"/>
      <c r="W1983" s="241"/>
      <c r="X1983" s="241"/>
    </row>
    <row r="1984" spans="1:24" ht="13.5" customHeight="1" x14ac:dyDescent="0.3">
      <c r="A1984" s="245"/>
      <c r="B1984" s="246"/>
      <c r="C1984" s="245"/>
      <c r="D1984" s="245"/>
      <c r="E1984" s="245"/>
      <c r="F1984" s="245"/>
      <c r="G1984" s="245"/>
      <c r="H1984" s="245"/>
      <c r="I1984" s="245"/>
      <c r="J1984" s="245"/>
      <c r="K1984" s="245"/>
      <c r="L1984" s="246"/>
      <c r="M1984" s="245"/>
      <c r="N1984" s="245"/>
      <c r="O1984" s="245"/>
      <c r="P1984" s="245"/>
      <c r="Q1984" s="247"/>
      <c r="R1984" s="247"/>
      <c r="S1984" s="247"/>
      <c r="T1984" s="245"/>
      <c r="U1984" s="245"/>
      <c r="V1984" s="241"/>
      <c r="W1984" s="241"/>
      <c r="X1984" s="241"/>
    </row>
    <row r="1985" spans="1:24" ht="13.5" customHeight="1" x14ac:dyDescent="0.3">
      <c r="A1985" s="245"/>
      <c r="B1985" s="246"/>
      <c r="C1985" s="245"/>
      <c r="D1985" s="245"/>
      <c r="E1985" s="245"/>
      <c r="F1985" s="245"/>
      <c r="G1985" s="245"/>
      <c r="H1985" s="245"/>
      <c r="I1985" s="245"/>
      <c r="J1985" s="245"/>
      <c r="K1985" s="245"/>
      <c r="L1985" s="246"/>
      <c r="M1985" s="245"/>
      <c r="N1985" s="245"/>
      <c r="O1985" s="245"/>
      <c r="P1985" s="245"/>
      <c r="Q1985" s="247"/>
      <c r="R1985" s="247"/>
      <c r="S1985" s="247"/>
      <c r="T1985" s="245"/>
      <c r="U1985" s="245"/>
      <c r="V1985" s="241"/>
      <c r="W1985" s="241"/>
      <c r="X1985" s="241"/>
    </row>
    <row r="1986" spans="1:24" ht="13.5" customHeight="1" x14ac:dyDescent="0.3">
      <c r="A1986" s="245"/>
      <c r="B1986" s="246"/>
      <c r="C1986" s="245"/>
      <c r="D1986" s="245"/>
      <c r="E1986" s="245"/>
      <c r="F1986" s="245"/>
      <c r="G1986" s="245"/>
      <c r="H1986" s="245"/>
      <c r="I1986" s="245"/>
      <c r="J1986" s="245"/>
      <c r="K1986" s="245"/>
      <c r="L1986" s="246"/>
      <c r="M1986" s="245"/>
      <c r="N1986" s="245"/>
      <c r="O1986" s="245"/>
      <c r="P1986" s="245"/>
      <c r="Q1986" s="247"/>
      <c r="R1986" s="247"/>
      <c r="S1986" s="247"/>
      <c r="T1986" s="245"/>
      <c r="U1986" s="245"/>
      <c r="V1986" s="241"/>
      <c r="W1986" s="241"/>
      <c r="X1986" s="241"/>
    </row>
    <row r="1987" spans="1:24" ht="13.5" customHeight="1" x14ac:dyDescent="0.3">
      <c r="A1987" s="245"/>
      <c r="B1987" s="246"/>
      <c r="C1987" s="245"/>
      <c r="D1987" s="245"/>
      <c r="E1987" s="245"/>
      <c r="F1987" s="245"/>
      <c r="G1987" s="245"/>
      <c r="H1987" s="245"/>
      <c r="I1987" s="245"/>
      <c r="J1987" s="245"/>
      <c r="K1987" s="245"/>
      <c r="L1987" s="246"/>
      <c r="M1987" s="245"/>
      <c r="N1987" s="245"/>
      <c r="O1987" s="245"/>
      <c r="P1987" s="245"/>
      <c r="Q1987" s="247"/>
      <c r="R1987" s="247"/>
      <c r="S1987" s="247"/>
      <c r="T1987" s="245"/>
      <c r="U1987" s="245"/>
      <c r="V1987" s="241"/>
      <c r="W1987" s="241"/>
      <c r="X1987" s="241"/>
    </row>
    <row r="1988" spans="1:24" ht="13.5" customHeight="1" x14ac:dyDescent="0.3">
      <c r="A1988" s="245"/>
      <c r="B1988" s="246"/>
      <c r="C1988" s="245"/>
      <c r="D1988" s="245"/>
      <c r="E1988" s="245"/>
      <c r="F1988" s="245"/>
      <c r="G1988" s="245"/>
      <c r="H1988" s="245"/>
      <c r="I1988" s="245"/>
      <c r="J1988" s="245"/>
      <c r="K1988" s="245"/>
      <c r="L1988" s="246"/>
      <c r="M1988" s="245"/>
      <c r="N1988" s="245"/>
      <c r="O1988" s="245"/>
      <c r="P1988" s="245"/>
      <c r="Q1988" s="247"/>
      <c r="R1988" s="247"/>
      <c r="S1988" s="247"/>
      <c r="T1988" s="245"/>
      <c r="U1988" s="245"/>
      <c r="V1988" s="241"/>
      <c r="W1988" s="241"/>
      <c r="X1988" s="241"/>
    </row>
    <row r="1989" spans="1:24" ht="13.5" customHeight="1" x14ac:dyDescent="0.3">
      <c r="A1989" s="245"/>
      <c r="B1989" s="246"/>
      <c r="C1989" s="245"/>
      <c r="D1989" s="245"/>
      <c r="E1989" s="245"/>
      <c r="F1989" s="245"/>
      <c r="G1989" s="245"/>
      <c r="H1989" s="245"/>
      <c r="I1989" s="245"/>
      <c r="J1989" s="245"/>
      <c r="K1989" s="245"/>
      <c r="L1989" s="246"/>
      <c r="M1989" s="245"/>
      <c r="N1989" s="245"/>
      <c r="O1989" s="245"/>
      <c r="P1989" s="245"/>
      <c r="Q1989" s="247"/>
      <c r="R1989" s="247"/>
      <c r="S1989" s="247"/>
      <c r="T1989" s="245"/>
      <c r="U1989" s="245"/>
      <c r="V1989" s="241"/>
      <c r="W1989" s="241"/>
      <c r="X1989" s="241"/>
    </row>
    <row r="1990" spans="1:24" ht="13.5" customHeight="1" x14ac:dyDescent="0.3">
      <c r="A1990" s="245"/>
      <c r="B1990" s="246"/>
      <c r="C1990" s="245"/>
      <c r="D1990" s="245"/>
      <c r="E1990" s="245"/>
      <c r="F1990" s="245"/>
      <c r="G1990" s="245"/>
      <c r="H1990" s="245"/>
      <c r="I1990" s="245"/>
      <c r="J1990" s="245"/>
      <c r="K1990" s="245"/>
      <c r="L1990" s="246"/>
      <c r="M1990" s="245"/>
      <c r="N1990" s="245"/>
      <c r="O1990" s="245"/>
      <c r="P1990" s="245"/>
      <c r="Q1990" s="247"/>
      <c r="R1990" s="247"/>
      <c r="S1990" s="247"/>
      <c r="T1990" s="245"/>
      <c r="U1990" s="245"/>
      <c r="V1990" s="241"/>
      <c r="W1990" s="241"/>
      <c r="X1990" s="241"/>
    </row>
    <row r="1991" spans="1:24" ht="13.5" customHeight="1" x14ac:dyDescent="0.3">
      <c r="A1991" s="245"/>
      <c r="B1991" s="246"/>
      <c r="C1991" s="245"/>
      <c r="D1991" s="245"/>
      <c r="E1991" s="245"/>
      <c r="F1991" s="245"/>
      <c r="G1991" s="245"/>
      <c r="H1991" s="245"/>
      <c r="I1991" s="245"/>
      <c r="J1991" s="245"/>
      <c r="K1991" s="245"/>
      <c r="L1991" s="246"/>
      <c r="M1991" s="245"/>
      <c r="N1991" s="245"/>
      <c r="O1991" s="245"/>
      <c r="P1991" s="245"/>
      <c r="Q1991" s="247"/>
      <c r="R1991" s="247"/>
      <c r="S1991" s="247"/>
      <c r="T1991" s="245"/>
      <c r="U1991" s="245"/>
      <c r="V1991" s="241"/>
      <c r="W1991" s="241"/>
      <c r="X1991" s="241"/>
    </row>
    <row r="1992" spans="1:24" ht="13.5" customHeight="1" x14ac:dyDescent="0.3">
      <c r="A1992" s="245"/>
      <c r="B1992" s="246"/>
      <c r="C1992" s="245"/>
      <c r="D1992" s="245"/>
      <c r="E1992" s="245"/>
      <c r="F1992" s="245"/>
      <c r="G1992" s="245"/>
      <c r="H1992" s="245"/>
      <c r="I1992" s="245"/>
      <c r="J1992" s="245"/>
      <c r="K1992" s="245"/>
      <c r="L1992" s="246"/>
      <c r="M1992" s="245"/>
      <c r="N1992" s="245"/>
      <c r="O1992" s="245"/>
      <c r="P1992" s="245"/>
      <c r="Q1992" s="247"/>
      <c r="R1992" s="247"/>
      <c r="S1992" s="247"/>
      <c r="T1992" s="245"/>
      <c r="U1992" s="245"/>
      <c r="V1992" s="241"/>
      <c r="W1992" s="241"/>
      <c r="X1992" s="241"/>
    </row>
    <row r="1993" spans="1:24" ht="13.5" customHeight="1" x14ac:dyDescent="0.3">
      <c r="A1993" s="245"/>
      <c r="B1993" s="246"/>
      <c r="C1993" s="245"/>
      <c r="D1993" s="245"/>
      <c r="E1993" s="245"/>
      <c r="F1993" s="245"/>
      <c r="G1993" s="245"/>
      <c r="H1993" s="245"/>
      <c r="I1993" s="245"/>
      <c r="J1993" s="245"/>
      <c r="K1993" s="245"/>
      <c r="L1993" s="246"/>
      <c r="M1993" s="245"/>
      <c r="N1993" s="245"/>
      <c r="O1993" s="245"/>
      <c r="P1993" s="245"/>
      <c r="Q1993" s="247"/>
      <c r="R1993" s="247"/>
      <c r="S1993" s="247"/>
      <c r="T1993" s="245"/>
      <c r="U1993" s="245"/>
      <c r="V1993" s="241"/>
      <c r="W1993" s="241"/>
      <c r="X1993" s="241"/>
    </row>
    <row r="1994" spans="1:24" ht="13.5" customHeight="1" x14ac:dyDescent="0.3">
      <c r="A1994" s="245"/>
      <c r="B1994" s="246"/>
      <c r="C1994" s="245"/>
      <c r="D1994" s="245"/>
      <c r="E1994" s="245"/>
      <c r="F1994" s="245"/>
      <c r="G1994" s="245"/>
      <c r="H1994" s="245"/>
      <c r="I1994" s="245"/>
      <c r="J1994" s="245"/>
      <c r="K1994" s="245"/>
      <c r="L1994" s="246"/>
      <c r="M1994" s="245"/>
      <c r="N1994" s="245"/>
      <c r="O1994" s="245"/>
      <c r="P1994" s="245"/>
      <c r="Q1994" s="247"/>
      <c r="R1994" s="247"/>
      <c r="S1994" s="247"/>
      <c r="T1994" s="245"/>
      <c r="U1994" s="245"/>
      <c r="V1994" s="241"/>
      <c r="W1994" s="241"/>
      <c r="X1994" s="241"/>
    </row>
    <row r="1995" spans="1:24" ht="13.5" customHeight="1" x14ac:dyDescent="0.3">
      <c r="A1995" s="245"/>
      <c r="B1995" s="246"/>
      <c r="C1995" s="245"/>
      <c r="D1995" s="245"/>
      <c r="E1995" s="245"/>
      <c r="F1995" s="245"/>
      <c r="G1995" s="245"/>
      <c r="H1995" s="245"/>
      <c r="I1995" s="245"/>
      <c r="J1995" s="245"/>
      <c r="K1995" s="245"/>
      <c r="L1995" s="246"/>
      <c r="M1995" s="245"/>
      <c r="N1995" s="245"/>
      <c r="O1995" s="245"/>
      <c r="P1995" s="245"/>
      <c r="Q1995" s="247"/>
      <c r="R1995" s="247"/>
      <c r="S1995" s="247"/>
      <c r="T1995" s="245"/>
      <c r="U1995" s="245"/>
      <c r="V1995" s="241"/>
      <c r="W1995" s="241"/>
      <c r="X1995" s="241"/>
    </row>
    <row r="1996" spans="1:24" ht="13.5" customHeight="1" x14ac:dyDescent="0.3">
      <c r="A1996" s="245"/>
      <c r="B1996" s="246"/>
      <c r="C1996" s="245"/>
      <c r="D1996" s="245"/>
      <c r="E1996" s="245"/>
      <c r="F1996" s="245"/>
      <c r="G1996" s="245"/>
      <c r="H1996" s="245"/>
      <c r="I1996" s="245"/>
      <c r="J1996" s="245"/>
      <c r="K1996" s="245"/>
      <c r="L1996" s="246"/>
      <c r="M1996" s="245"/>
      <c r="N1996" s="245"/>
      <c r="O1996" s="245"/>
      <c r="P1996" s="245"/>
      <c r="Q1996" s="247"/>
      <c r="R1996" s="247"/>
      <c r="S1996" s="247"/>
      <c r="T1996" s="245"/>
      <c r="U1996" s="245"/>
      <c r="V1996" s="241"/>
      <c r="W1996" s="241"/>
      <c r="X1996" s="241"/>
    </row>
    <row r="1997" spans="1:24" ht="13.5" customHeight="1" x14ac:dyDescent="0.3">
      <c r="A1997" s="245"/>
      <c r="B1997" s="246"/>
      <c r="C1997" s="245"/>
      <c r="D1997" s="245"/>
      <c r="E1997" s="245"/>
      <c r="F1997" s="245"/>
      <c r="G1997" s="245"/>
      <c r="H1997" s="245"/>
      <c r="I1997" s="245"/>
      <c r="J1997" s="245"/>
      <c r="K1997" s="245"/>
      <c r="L1997" s="246"/>
      <c r="M1997" s="245"/>
      <c r="N1997" s="245"/>
      <c r="O1997" s="245"/>
      <c r="P1997" s="245"/>
      <c r="Q1997" s="247"/>
      <c r="R1997" s="247"/>
      <c r="S1997" s="247"/>
      <c r="T1997" s="245"/>
      <c r="U1997" s="245"/>
      <c r="V1997" s="241"/>
      <c r="W1997" s="241"/>
      <c r="X1997" s="241"/>
    </row>
    <row r="1998" spans="1:24" ht="13.5" customHeight="1" x14ac:dyDescent="0.3">
      <c r="A1998" s="245"/>
      <c r="B1998" s="246"/>
      <c r="C1998" s="245"/>
      <c r="D1998" s="245"/>
      <c r="E1998" s="245"/>
      <c r="F1998" s="245"/>
      <c r="G1998" s="245"/>
      <c r="H1998" s="245"/>
      <c r="I1998" s="245"/>
      <c r="J1998" s="245"/>
      <c r="K1998" s="245"/>
      <c r="L1998" s="246"/>
      <c r="M1998" s="245"/>
      <c r="N1998" s="245"/>
      <c r="O1998" s="245"/>
      <c r="P1998" s="245"/>
      <c r="Q1998" s="247"/>
      <c r="R1998" s="247"/>
      <c r="S1998" s="247"/>
      <c r="T1998" s="245"/>
      <c r="U1998" s="245"/>
      <c r="V1998" s="241"/>
      <c r="W1998" s="241"/>
      <c r="X1998" s="241"/>
    </row>
    <row r="1999" spans="1:24" ht="13.5" customHeight="1" x14ac:dyDescent="0.3">
      <c r="A1999" s="245"/>
      <c r="B1999" s="246"/>
      <c r="C1999" s="245"/>
      <c r="D1999" s="245"/>
      <c r="E1999" s="245"/>
      <c r="F1999" s="245"/>
      <c r="G1999" s="245"/>
      <c r="H1999" s="245"/>
      <c r="I1999" s="245"/>
      <c r="J1999" s="245"/>
      <c r="K1999" s="245"/>
      <c r="L1999" s="246"/>
      <c r="M1999" s="245"/>
      <c r="N1999" s="245"/>
      <c r="O1999" s="245"/>
      <c r="P1999" s="245"/>
      <c r="Q1999" s="247"/>
      <c r="R1999" s="247"/>
      <c r="S1999" s="247"/>
      <c r="T1999" s="245"/>
      <c r="U1999" s="245"/>
      <c r="V1999" s="241"/>
      <c r="W1999" s="241"/>
      <c r="X1999" s="241"/>
    </row>
    <row r="2000" spans="1:24" ht="13.5" customHeight="1" x14ac:dyDescent="0.3">
      <c r="A2000" s="245"/>
      <c r="B2000" s="246"/>
      <c r="C2000" s="245"/>
      <c r="D2000" s="245"/>
      <c r="E2000" s="245"/>
      <c r="F2000" s="245"/>
      <c r="G2000" s="245"/>
      <c r="H2000" s="245"/>
      <c r="I2000" s="245"/>
      <c r="J2000" s="245"/>
      <c r="K2000" s="245"/>
      <c r="L2000" s="246"/>
      <c r="M2000" s="245"/>
      <c r="N2000" s="245"/>
      <c r="O2000" s="245"/>
      <c r="P2000" s="245"/>
      <c r="Q2000" s="247"/>
      <c r="R2000" s="247"/>
      <c r="S2000" s="247"/>
      <c r="T2000" s="245"/>
      <c r="U2000" s="245"/>
      <c r="V2000" s="241"/>
      <c r="W2000" s="241"/>
      <c r="X2000" s="241"/>
    </row>
    <row r="2001" spans="1:24" ht="13.5" customHeight="1" x14ac:dyDescent="0.3">
      <c r="A2001" s="245"/>
      <c r="B2001" s="246"/>
      <c r="C2001" s="245"/>
      <c r="D2001" s="245"/>
      <c r="E2001" s="245"/>
      <c r="F2001" s="245"/>
      <c r="G2001" s="245"/>
      <c r="H2001" s="245"/>
      <c r="I2001" s="245"/>
      <c r="J2001" s="245"/>
      <c r="K2001" s="245"/>
      <c r="L2001" s="246"/>
      <c r="M2001" s="245"/>
      <c r="N2001" s="245"/>
      <c r="O2001" s="245"/>
      <c r="P2001" s="245"/>
      <c r="Q2001" s="247"/>
      <c r="R2001" s="247"/>
      <c r="S2001" s="247"/>
      <c r="T2001" s="245"/>
      <c r="U2001" s="245"/>
      <c r="V2001" s="241"/>
      <c r="W2001" s="241"/>
      <c r="X2001" s="241"/>
    </row>
    <row r="2002" spans="1:24" ht="13.5" customHeight="1" x14ac:dyDescent="0.3">
      <c r="A2002" s="245"/>
      <c r="B2002" s="246"/>
      <c r="C2002" s="245"/>
      <c r="D2002" s="245"/>
      <c r="E2002" s="245"/>
      <c r="F2002" s="245"/>
      <c r="G2002" s="245"/>
      <c r="H2002" s="245"/>
      <c r="I2002" s="245"/>
      <c r="J2002" s="245"/>
      <c r="K2002" s="245"/>
      <c r="L2002" s="246"/>
      <c r="M2002" s="245"/>
      <c r="N2002" s="245"/>
      <c r="O2002" s="245"/>
      <c r="P2002" s="245"/>
      <c r="Q2002" s="247"/>
      <c r="R2002" s="247"/>
      <c r="S2002" s="247"/>
      <c r="T2002" s="245"/>
      <c r="U2002" s="245"/>
      <c r="V2002" s="241"/>
      <c r="W2002" s="241"/>
      <c r="X2002" s="241"/>
    </row>
    <row r="2003" spans="1:24" ht="13.5" customHeight="1" x14ac:dyDescent="0.3">
      <c r="A2003" s="245"/>
      <c r="B2003" s="246"/>
      <c r="C2003" s="245"/>
      <c r="D2003" s="245"/>
      <c r="E2003" s="245"/>
      <c r="F2003" s="245"/>
      <c r="G2003" s="245"/>
      <c r="H2003" s="245"/>
      <c r="I2003" s="245"/>
      <c r="J2003" s="245"/>
      <c r="K2003" s="245"/>
      <c r="L2003" s="246"/>
      <c r="M2003" s="245"/>
      <c r="N2003" s="245"/>
      <c r="O2003" s="245"/>
      <c r="P2003" s="245"/>
      <c r="Q2003" s="247"/>
      <c r="R2003" s="247"/>
      <c r="S2003" s="247"/>
      <c r="T2003" s="245"/>
      <c r="U2003" s="245"/>
      <c r="V2003" s="241"/>
      <c r="W2003" s="241"/>
      <c r="X2003" s="241"/>
    </row>
    <row r="2004" spans="1:24" ht="13.5" customHeight="1" x14ac:dyDescent="0.3">
      <c r="A2004" s="245"/>
      <c r="B2004" s="246"/>
      <c r="C2004" s="245"/>
      <c r="D2004" s="245"/>
      <c r="E2004" s="245"/>
      <c r="F2004" s="245"/>
      <c r="G2004" s="245"/>
      <c r="H2004" s="245"/>
      <c r="I2004" s="245"/>
      <c r="J2004" s="245"/>
      <c r="K2004" s="245"/>
      <c r="L2004" s="246"/>
      <c r="M2004" s="245"/>
      <c r="N2004" s="245"/>
      <c r="O2004" s="245"/>
      <c r="P2004" s="245"/>
      <c r="Q2004" s="247"/>
      <c r="R2004" s="247"/>
      <c r="S2004" s="247"/>
      <c r="T2004" s="245"/>
      <c r="U2004" s="245"/>
      <c r="V2004" s="241"/>
      <c r="W2004" s="241"/>
      <c r="X2004" s="241"/>
    </row>
    <row r="2005" spans="1:24" ht="13.5" customHeight="1" x14ac:dyDescent="0.3">
      <c r="A2005" s="245"/>
      <c r="B2005" s="246"/>
      <c r="C2005" s="245"/>
      <c r="D2005" s="245"/>
      <c r="E2005" s="245"/>
      <c r="F2005" s="245"/>
      <c r="G2005" s="245"/>
      <c r="H2005" s="245"/>
      <c r="I2005" s="245"/>
      <c r="J2005" s="245"/>
      <c r="K2005" s="245"/>
      <c r="L2005" s="246"/>
      <c r="M2005" s="245"/>
      <c r="N2005" s="245"/>
      <c r="O2005" s="245"/>
      <c r="P2005" s="245"/>
      <c r="Q2005" s="247"/>
      <c r="R2005" s="247"/>
      <c r="S2005" s="247"/>
      <c r="T2005" s="245"/>
      <c r="U2005" s="245"/>
      <c r="V2005" s="241"/>
      <c r="W2005" s="241"/>
      <c r="X2005" s="241"/>
    </row>
    <row r="2006" spans="1:24" ht="13.5" customHeight="1" x14ac:dyDescent="0.3">
      <c r="A2006" s="245"/>
      <c r="B2006" s="246"/>
      <c r="C2006" s="245"/>
      <c r="D2006" s="245"/>
      <c r="E2006" s="245"/>
      <c r="F2006" s="245"/>
      <c r="G2006" s="245"/>
      <c r="H2006" s="245"/>
      <c r="I2006" s="245"/>
      <c r="J2006" s="245"/>
      <c r="K2006" s="245"/>
      <c r="L2006" s="246"/>
      <c r="M2006" s="245"/>
      <c r="N2006" s="245"/>
      <c r="O2006" s="245"/>
      <c r="P2006" s="245"/>
      <c r="Q2006" s="247"/>
      <c r="R2006" s="247"/>
      <c r="S2006" s="247"/>
      <c r="T2006" s="245"/>
      <c r="U2006" s="245"/>
      <c r="V2006" s="241"/>
      <c r="W2006" s="241"/>
      <c r="X2006" s="241"/>
    </row>
    <row r="2007" spans="1:24" ht="13.5" customHeight="1" x14ac:dyDescent="0.3">
      <c r="A2007" s="245"/>
      <c r="B2007" s="246"/>
      <c r="C2007" s="245"/>
      <c r="D2007" s="245"/>
      <c r="E2007" s="245"/>
      <c r="F2007" s="245"/>
      <c r="G2007" s="245"/>
      <c r="H2007" s="245"/>
      <c r="I2007" s="245"/>
      <c r="J2007" s="245"/>
      <c r="K2007" s="245"/>
      <c r="L2007" s="246"/>
      <c r="M2007" s="245"/>
      <c r="N2007" s="245"/>
      <c r="O2007" s="245"/>
      <c r="P2007" s="245"/>
      <c r="Q2007" s="247"/>
      <c r="R2007" s="247"/>
      <c r="S2007" s="247"/>
      <c r="T2007" s="245"/>
      <c r="U2007" s="245"/>
      <c r="V2007" s="241"/>
      <c r="W2007" s="241"/>
      <c r="X2007" s="241"/>
    </row>
    <row r="2008" spans="1:24" ht="13.5" customHeight="1" x14ac:dyDescent="0.3">
      <c r="A2008" s="245"/>
      <c r="B2008" s="246"/>
      <c r="C2008" s="245"/>
      <c r="D2008" s="245"/>
      <c r="E2008" s="245"/>
      <c r="F2008" s="245"/>
      <c r="G2008" s="245"/>
      <c r="H2008" s="245"/>
      <c r="I2008" s="245"/>
      <c r="J2008" s="245"/>
      <c r="K2008" s="245"/>
      <c r="L2008" s="246"/>
      <c r="M2008" s="245"/>
      <c r="N2008" s="245"/>
      <c r="O2008" s="245"/>
      <c r="P2008" s="245"/>
      <c r="Q2008" s="247"/>
      <c r="R2008" s="247"/>
      <c r="S2008" s="247"/>
      <c r="T2008" s="245"/>
      <c r="U2008" s="245"/>
      <c r="V2008" s="241"/>
      <c r="W2008" s="241"/>
      <c r="X2008" s="241"/>
    </row>
    <row r="2009" spans="1:24" ht="13.5" customHeight="1" x14ac:dyDescent="0.3">
      <c r="A2009" s="245"/>
      <c r="B2009" s="246"/>
      <c r="C2009" s="245"/>
      <c r="D2009" s="245"/>
      <c r="E2009" s="245"/>
      <c r="F2009" s="245"/>
      <c r="G2009" s="245"/>
      <c r="H2009" s="245"/>
      <c r="I2009" s="245"/>
      <c r="J2009" s="245"/>
      <c r="K2009" s="245"/>
      <c r="L2009" s="246"/>
      <c r="M2009" s="245"/>
      <c r="N2009" s="245"/>
      <c r="O2009" s="245"/>
      <c r="P2009" s="245"/>
      <c r="Q2009" s="247"/>
      <c r="R2009" s="247"/>
      <c r="S2009" s="247"/>
      <c r="T2009" s="245"/>
      <c r="U2009" s="245"/>
      <c r="V2009" s="241"/>
      <c r="W2009" s="241"/>
      <c r="X2009" s="241"/>
    </row>
    <row r="2010" spans="1:24" ht="13.5" customHeight="1" x14ac:dyDescent="0.3">
      <c r="A2010" s="245"/>
      <c r="B2010" s="246"/>
      <c r="C2010" s="245"/>
      <c r="D2010" s="245"/>
      <c r="E2010" s="245"/>
      <c r="F2010" s="245"/>
      <c r="G2010" s="245"/>
      <c r="H2010" s="245"/>
      <c r="I2010" s="245"/>
      <c r="J2010" s="245"/>
      <c r="K2010" s="245"/>
      <c r="L2010" s="246"/>
      <c r="M2010" s="245"/>
      <c r="N2010" s="245"/>
      <c r="O2010" s="245"/>
      <c r="P2010" s="245"/>
      <c r="Q2010" s="247"/>
      <c r="R2010" s="247"/>
      <c r="S2010" s="247"/>
      <c r="T2010" s="245"/>
      <c r="U2010" s="245"/>
      <c r="V2010" s="241"/>
      <c r="W2010" s="241"/>
      <c r="X2010" s="241"/>
    </row>
    <row r="2011" spans="1:24" ht="13.5" customHeight="1" x14ac:dyDescent="0.3">
      <c r="A2011" s="245"/>
      <c r="B2011" s="246"/>
      <c r="C2011" s="245"/>
      <c r="D2011" s="245"/>
      <c r="E2011" s="245"/>
      <c r="F2011" s="245"/>
      <c r="G2011" s="245"/>
      <c r="H2011" s="245"/>
      <c r="I2011" s="245"/>
      <c r="J2011" s="245"/>
      <c r="K2011" s="245"/>
      <c r="L2011" s="246"/>
      <c r="M2011" s="245"/>
      <c r="N2011" s="245"/>
      <c r="O2011" s="245"/>
      <c r="P2011" s="245"/>
      <c r="Q2011" s="247"/>
      <c r="R2011" s="247"/>
      <c r="S2011" s="247"/>
      <c r="T2011" s="245"/>
      <c r="U2011" s="245"/>
      <c r="V2011" s="241"/>
      <c r="W2011" s="241"/>
      <c r="X2011" s="241"/>
    </row>
    <row r="2012" spans="1:24" ht="13.5" customHeight="1" x14ac:dyDescent="0.3">
      <c r="A2012" s="245"/>
      <c r="B2012" s="246"/>
      <c r="C2012" s="245"/>
      <c r="D2012" s="245"/>
      <c r="E2012" s="245"/>
      <c r="F2012" s="245"/>
      <c r="G2012" s="245"/>
      <c r="H2012" s="245"/>
      <c r="I2012" s="245"/>
      <c r="J2012" s="245"/>
      <c r="K2012" s="245"/>
      <c r="L2012" s="246"/>
      <c r="M2012" s="245"/>
      <c r="N2012" s="245"/>
      <c r="O2012" s="245"/>
      <c r="P2012" s="245"/>
      <c r="Q2012" s="247"/>
      <c r="R2012" s="247"/>
      <c r="S2012" s="247"/>
      <c r="T2012" s="245"/>
      <c r="U2012" s="245"/>
      <c r="V2012" s="241"/>
      <c r="W2012" s="241"/>
      <c r="X2012" s="241"/>
    </row>
    <row r="2013" spans="1:24" ht="13.5" customHeight="1" x14ac:dyDescent="0.3">
      <c r="A2013" s="245"/>
      <c r="B2013" s="246"/>
      <c r="C2013" s="245"/>
      <c r="D2013" s="245"/>
      <c r="E2013" s="245"/>
      <c r="F2013" s="245"/>
      <c r="G2013" s="245"/>
      <c r="H2013" s="245"/>
      <c r="I2013" s="245"/>
      <c r="J2013" s="245"/>
      <c r="K2013" s="245"/>
      <c r="L2013" s="246"/>
      <c r="M2013" s="245"/>
      <c r="N2013" s="245"/>
      <c r="O2013" s="245"/>
      <c r="P2013" s="245"/>
      <c r="Q2013" s="247"/>
      <c r="R2013" s="247"/>
      <c r="S2013" s="247"/>
      <c r="T2013" s="245"/>
      <c r="U2013" s="245"/>
      <c r="V2013" s="241"/>
      <c r="W2013" s="241"/>
      <c r="X2013" s="241"/>
    </row>
    <row r="2014" spans="1:24" ht="13.5" customHeight="1" x14ac:dyDescent="0.3">
      <c r="A2014" s="245"/>
      <c r="B2014" s="246"/>
      <c r="C2014" s="245"/>
      <c r="D2014" s="245"/>
      <c r="E2014" s="245"/>
      <c r="F2014" s="245"/>
      <c r="G2014" s="245"/>
      <c r="H2014" s="245"/>
      <c r="I2014" s="245"/>
      <c r="J2014" s="245"/>
      <c r="K2014" s="245"/>
      <c r="L2014" s="246"/>
      <c r="M2014" s="245"/>
      <c r="N2014" s="245"/>
      <c r="O2014" s="245"/>
      <c r="P2014" s="245"/>
      <c r="Q2014" s="247"/>
      <c r="R2014" s="247"/>
      <c r="S2014" s="247"/>
      <c r="T2014" s="245"/>
      <c r="U2014" s="245"/>
      <c r="V2014" s="241"/>
      <c r="W2014" s="241"/>
      <c r="X2014" s="241"/>
    </row>
    <row r="2015" spans="1:24" ht="13.5" customHeight="1" x14ac:dyDescent="0.3">
      <c r="A2015" s="245"/>
      <c r="B2015" s="246"/>
      <c r="C2015" s="245"/>
      <c r="D2015" s="245"/>
      <c r="E2015" s="245"/>
      <c r="F2015" s="245"/>
      <c r="G2015" s="245"/>
      <c r="H2015" s="245"/>
      <c r="I2015" s="245"/>
      <c r="J2015" s="245"/>
      <c r="K2015" s="245"/>
      <c r="L2015" s="246"/>
      <c r="M2015" s="245"/>
      <c r="N2015" s="245"/>
      <c r="O2015" s="245"/>
      <c r="P2015" s="245"/>
      <c r="Q2015" s="247"/>
      <c r="R2015" s="247"/>
      <c r="S2015" s="247"/>
      <c r="T2015" s="245"/>
      <c r="U2015" s="245"/>
      <c r="V2015" s="241"/>
      <c r="W2015" s="241"/>
      <c r="X2015" s="241"/>
    </row>
    <row r="2016" spans="1:24" ht="13.5" customHeight="1" x14ac:dyDescent="0.3">
      <c r="A2016" s="245"/>
      <c r="B2016" s="246"/>
      <c r="C2016" s="245"/>
      <c r="D2016" s="245"/>
      <c r="E2016" s="245"/>
      <c r="F2016" s="245"/>
      <c r="G2016" s="245"/>
      <c r="H2016" s="245"/>
      <c r="I2016" s="245"/>
      <c r="J2016" s="245"/>
      <c r="K2016" s="245"/>
      <c r="L2016" s="246"/>
      <c r="M2016" s="245"/>
      <c r="N2016" s="245"/>
      <c r="O2016" s="245"/>
      <c r="P2016" s="245"/>
      <c r="Q2016" s="247"/>
      <c r="R2016" s="247"/>
      <c r="S2016" s="247"/>
      <c r="T2016" s="245"/>
      <c r="U2016" s="245"/>
      <c r="V2016" s="241"/>
      <c r="W2016" s="241"/>
      <c r="X2016" s="241"/>
    </row>
    <row r="2017" spans="1:24" ht="13.5" customHeight="1" x14ac:dyDescent="0.3">
      <c r="A2017" s="245"/>
      <c r="B2017" s="246"/>
      <c r="C2017" s="245"/>
      <c r="D2017" s="245"/>
      <c r="E2017" s="245"/>
      <c r="F2017" s="245"/>
      <c r="G2017" s="245"/>
      <c r="H2017" s="245"/>
      <c r="I2017" s="245"/>
      <c r="J2017" s="245"/>
      <c r="K2017" s="245"/>
      <c r="L2017" s="246"/>
      <c r="M2017" s="245"/>
      <c r="N2017" s="245"/>
      <c r="O2017" s="245"/>
      <c r="P2017" s="245"/>
      <c r="Q2017" s="247"/>
      <c r="R2017" s="247"/>
      <c r="S2017" s="247"/>
      <c r="T2017" s="245"/>
      <c r="U2017" s="245"/>
      <c r="V2017" s="241"/>
      <c r="W2017" s="241"/>
      <c r="X2017" s="241"/>
    </row>
    <row r="2018" spans="1:24" ht="13.5" customHeight="1" x14ac:dyDescent="0.3">
      <c r="A2018" s="245"/>
      <c r="B2018" s="246"/>
      <c r="C2018" s="245"/>
      <c r="D2018" s="245"/>
      <c r="E2018" s="245"/>
      <c r="F2018" s="245"/>
      <c r="G2018" s="245"/>
      <c r="H2018" s="245"/>
      <c r="I2018" s="245"/>
      <c r="J2018" s="245"/>
      <c r="K2018" s="245"/>
      <c r="L2018" s="246"/>
      <c r="M2018" s="245"/>
      <c r="N2018" s="245"/>
      <c r="O2018" s="245"/>
      <c r="P2018" s="245"/>
      <c r="Q2018" s="247"/>
      <c r="R2018" s="247"/>
      <c r="S2018" s="247"/>
      <c r="T2018" s="245"/>
      <c r="U2018" s="245"/>
      <c r="V2018" s="241"/>
      <c r="W2018" s="241"/>
      <c r="X2018" s="241"/>
    </row>
    <row r="2019" spans="1:24" ht="13.5" customHeight="1" x14ac:dyDescent="0.3">
      <c r="A2019" s="245"/>
      <c r="B2019" s="246"/>
      <c r="C2019" s="245"/>
      <c r="D2019" s="245"/>
      <c r="E2019" s="245"/>
      <c r="F2019" s="245"/>
      <c r="G2019" s="245"/>
      <c r="H2019" s="245"/>
      <c r="I2019" s="245"/>
      <c r="J2019" s="245"/>
      <c r="K2019" s="245"/>
      <c r="L2019" s="246"/>
      <c r="M2019" s="245"/>
      <c r="N2019" s="245"/>
      <c r="O2019" s="245"/>
      <c r="P2019" s="245"/>
      <c r="Q2019" s="247"/>
      <c r="R2019" s="247"/>
      <c r="S2019" s="247"/>
      <c r="T2019" s="245"/>
      <c r="U2019" s="245"/>
      <c r="V2019" s="241"/>
      <c r="W2019" s="241"/>
      <c r="X2019" s="241"/>
    </row>
    <row r="2020" spans="1:24" ht="13.5" customHeight="1" x14ac:dyDescent="0.3">
      <c r="A2020" s="245"/>
      <c r="B2020" s="246"/>
      <c r="C2020" s="245"/>
      <c r="D2020" s="245"/>
      <c r="E2020" s="245"/>
      <c r="F2020" s="245"/>
      <c r="G2020" s="245"/>
      <c r="H2020" s="245"/>
      <c r="I2020" s="245"/>
      <c r="J2020" s="245"/>
      <c r="K2020" s="245"/>
      <c r="L2020" s="246"/>
      <c r="M2020" s="245"/>
      <c r="N2020" s="245"/>
      <c r="O2020" s="245"/>
      <c r="P2020" s="245"/>
      <c r="Q2020" s="247"/>
      <c r="R2020" s="247"/>
      <c r="S2020" s="247"/>
      <c r="T2020" s="245"/>
      <c r="U2020" s="245"/>
      <c r="V2020" s="241"/>
      <c r="W2020" s="241"/>
      <c r="X2020" s="241"/>
    </row>
    <row r="2021" spans="1:24" ht="13.5" customHeight="1" x14ac:dyDescent="0.3">
      <c r="A2021" s="245"/>
      <c r="B2021" s="246"/>
      <c r="C2021" s="245"/>
      <c r="D2021" s="245"/>
      <c r="E2021" s="245"/>
      <c r="F2021" s="245"/>
      <c r="G2021" s="245"/>
      <c r="H2021" s="245"/>
      <c r="I2021" s="245"/>
      <c r="J2021" s="245"/>
      <c r="K2021" s="245"/>
      <c r="L2021" s="246"/>
      <c r="M2021" s="245"/>
      <c r="N2021" s="245"/>
      <c r="O2021" s="245"/>
      <c r="P2021" s="245"/>
      <c r="Q2021" s="247"/>
      <c r="R2021" s="247"/>
      <c r="S2021" s="247"/>
      <c r="T2021" s="245"/>
      <c r="U2021" s="245"/>
      <c r="V2021" s="241"/>
      <c r="W2021" s="241"/>
      <c r="X2021" s="241"/>
    </row>
    <row r="2022" spans="1:24" ht="13.5" customHeight="1" x14ac:dyDescent="0.3">
      <c r="A2022" s="245"/>
      <c r="B2022" s="246"/>
      <c r="C2022" s="245"/>
      <c r="D2022" s="245"/>
      <c r="E2022" s="245"/>
      <c r="F2022" s="245"/>
      <c r="G2022" s="245"/>
      <c r="H2022" s="245"/>
      <c r="I2022" s="245"/>
      <c r="J2022" s="245"/>
      <c r="K2022" s="245"/>
      <c r="L2022" s="246"/>
      <c r="M2022" s="245"/>
      <c r="N2022" s="245"/>
      <c r="O2022" s="245"/>
      <c r="P2022" s="245"/>
      <c r="Q2022" s="247"/>
      <c r="R2022" s="247"/>
      <c r="S2022" s="247"/>
      <c r="T2022" s="245"/>
      <c r="U2022" s="245"/>
      <c r="V2022" s="241"/>
      <c r="W2022" s="241"/>
      <c r="X2022" s="241"/>
    </row>
    <row r="2023" spans="1:24" ht="13.5" customHeight="1" x14ac:dyDescent="0.3">
      <c r="A2023" s="245"/>
      <c r="B2023" s="246"/>
      <c r="C2023" s="245"/>
      <c r="D2023" s="245"/>
      <c r="E2023" s="245"/>
      <c r="F2023" s="245"/>
      <c r="G2023" s="245"/>
      <c r="H2023" s="245"/>
      <c r="I2023" s="245"/>
      <c r="J2023" s="245"/>
      <c r="K2023" s="245"/>
      <c r="L2023" s="246"/>
      <c r="M2023" s="245"/>
      <c r="N2023" s="245"/>
      <c r="O2023" s="245"/>
      <c r="P2023" s="245"/>
      <c r="Q2023" s="247"/>
      <c r="R2023" s="247"/>
      <c r="S2023" s="247"/>
      <c r="T2023" s="245"/>
      <c r="U2023" s="245"/>
      <c r="V2023" s="241"/>
      <c r="W2023" s="241"/>
      <c r="X2023" s="241"/>
    </row>
    <row r="2024" spans="1:24" ht="13.5" customHeight="1" x14ac:dyDescent="0.3">
      <c r="A2024" s="245"/>
      <c r="B2024" s="246"/>
      <c r="C2024" s="245"/>
      <c r="D2024" s="245"/>
      <c r="E2024" s="245"/>
      <c r="F2024" s="245"/>
      <c r="G2024" s="245"/>
      <c r="H2024" s="245"/>
      <c r="I2024" s="245"/>
      <c r="J2024" s="245"/>
      <c r="K2024" s="245"/>
      <c r="L2024" s="246"/>
      <c r="M2024" s="245"/>
      <c r="N2024" s="245"/>
      <c r="O2024" s="245"/>
      <c r="P2024" s="245"/>
      <c r="Q2024" s="247"/>
      <c r="R2024" s="247"/>
      <c r="S2024" s="247"/>
      <c r="T2024" s="245"/>
      <c r="U2024" s="245"/>
      <c r="V2024" s="241"/>
      <c r="W2024" s="241"/>
      <c r="X2024" s="241"/>
    </row>
    <row r="2025" spans="1:24" ht="13.5" customHeight="1" x14ac:dyDescent="0.3">
      <c r="A2025" s="245"/>
      <c r="B2025" s="246"/>
      <c r="C2025" s="245"/>
      <c r="D2025" s="245"/>
      <c r="E2025" s="245"/>
      <c r="F2025" s="245"/>
      <c r="G2025" s="245"/>
      <c r="H2025" s="245"/>
      <c r="I2025" s="245"/>
      <c r="J2025" s="245"/>
      <c r="K2025" s="245"/>
      <c r="L2025" s="246"/>
      <c r="M2025" s="245"/>
      <c r="N2025" s="245"/>
      <c r="O2025" s="245"/>
      <c r="P2025" s="245"/>
      <c r="Q2025" s="247"/>
      <c r="R2025" s="247"/>
      <c r="S2025" s="247"/>
      <c r="T2025" s="245"/>
      <c r="U2025" s="245"/>
      <c r="V2025" s="241"/>
      <c r="W2025" s="241"/>
      <c r="X2025" s="241"/>
    </row>
    <row r="2026" spans="1:24" ht="13.5" customHeight="1" x14ac:dyDescent="0.3">
      <c r="A2026" s="245"/>
      <c r="B2026" s="246"/>
      <c r="C2026" s="245"/>
      <c r="D2026" s="245"/>
      <c r="E2026" s="245"/>
      <c r="F2026" s="245"/>
      <c r="G2026" s="245"/>
      <c r="H2026" s="245"/>
      <c r="I2026" s="245"/>
      <c r="J2026" s="245"/>
      <c r="K2026" s="245"/>
      <c r="L2026" s="246"/>
      <c r="M2026" s="245"/>
      <c r="N2026" s="245"/>
      <c r="O2026" s="245"/>
      <c r="P2026" s="245"/>
      <c r="Q2026" s="247"/>
      <c r="R2026" s="247"/>
      <c r="S2026" s="247"/>
      <c r="T2026" s="245"/>
      <c r="U2026" s="245"/>
      <c r="V2026" s="241"/>
      <c r="W2026" s="241"/>
      <c r="X2026" s="241"/>
    </row>
    <row r="2027" spans="1:24" ht="13.5" customHeight="1" x14ac:dyDescent="0.3">
      <c r="A2027" s="245"/>
      <c r="B2027" s="246"/>
      <c r="C2027" s="245"/>
      <c r="D2027" s="245"/>
      <c r="E2027" s="245"/>
      <c r="F2027" s="245"/>
      <c r="G2027" s="245"/>
      <c r="H2027" s="245"/>
      <c r="I2027" s="245"/>
      <c r="J2027" s="245"/>
      <c r="K2027" s="245"/>
      <c r="L2027" s="246"/>
      <c r="M2027" s="245"/>
      <c r="N2027" s="245"/>
      <c r="O2027" s="245"/>
      <c r="P2027" s="245"/>
      <c r="Q2027" s="247"/>
      <c r="R2027" s="247"/>
      <c r="S2027" s="247"/>
      <c r="T2027" s="245"/>
      <c r="U2027" s="245"/>
      <c r="V2027" s="241"/>
      <c r="W2027" s="241"/>
      <c r="X2027" s="241"/>
    </row>
    <row r="2028" spans="1:24" ht="13.5" customHeight="1" x14ac:dyDescent="0.3">
      <c r="A2028" s="245"/>
      <c r="B2028" s="246"/>
      <c r="C2028" s="245"/>
      <c r="D2028" s="245"/>
      <c r="E2028" s="245"/>
      <c r="F2028" s="245"/>
      <c r="G2028" s="245"/>
      <c r="H2028" s="245"/>
      <c r="I2028" s="245"/>
      <c r="J2028" s="245"/>
      <c r="K2028" s="245"/>
      <c r="L2028" s="246"/>
      <c r="M2028" s="245"/>
      <c r="N2028" s="245"/>
      <c r="O2028" s="245"/>
      <c r="P2028" s="245"/>
      <c r="Q2028" s="247"/>
      <c r="R2028" s="247"/>
      <c r="S2028" s="247"/>
      <c r="T2028" s="245"/>
      <c r="U2028" s="245"/>
      <c r="V2028" s="241"/>
      <c r="W2028" s="241"/>
      <c r="X2028" s="241"/>
    </row>
    <row r="2029" spans="1:24" ht="13.5" customHeight="1" x14ac:dyDescent="0.3">
      <c r="A2029" s="245"/>
      <c r="B2029" s="246"/>
      <c r="C2029" s="245"/>
      <c r="D2029" s="245"/>
      <c r="E2029" s="245"/>
      <c r="F2029" s="245"/>
      <c r="G2029" s="245"/>
      <c r="H2029" s="245"/>
      <c r="I2029" s="245"/>
      <c r="J2029" s="245"/>
      <c r="K2029" s="245"/>
      <c r="L2029" s="246"/>
      <c r="M2029" s="245"/>
      <c r="N2029" s="245"/>
      <c r="O2029" s="245"/>
      <c r="P2029" s="245"/>
      <c r="Q2029" s="247"/>
      <c r="R2029" s="247"/>
      <c r="S2029" s="247"/>
      <c r="T2029" s="245"/>
      <c r="U2029" s="245"/>
      <c r="V2029" s="241"/>
      <c r="W2029" s="241"/>
      <c r="X2029" s="241"/>
    </row>
    <row r="2030" spans="1:24" ht="13.5" customHeight="1" x14ac:dyDescent="0.3">
      <c r="A2030" s="245"/>
      <c r="B2030" s="246"/>
      <c r="C2030" s="245"/>
      <c r="D2030" s="245"/>
      <c r="E2030" s="245"/>
      <c r="F2030" s="245"/>
      <c r="G2030" s="245"/>
      <c r="H2030" s="245"/>
      <c r="I2030" s="245"/>
      <c r="J2030" s="245"/>
      <c r="K2030" s="245"/>
      <c r="L2030" s="246"/>
      <c r="M2030" s="245"/>
      <c r="N2030" s="245"/>
      <c r="O2030" s="245"/>
      <c r="P2030" s="245"/>
      <c r="Q2030" s="247"/>
      <c r="R2030" s="247"/>
      <c r="S2030" s="247"/>
      <c r="T2030" s="245"/>
      <c r="U2030" s="245"/>
      <c r="V2030" s="241"/>
      <c r="W2030" s="241"/>
      <c r="X2030" s="241"/>
    </row>
    <row r="2031" spans="1:24" ht="13.5" customHeight="1" x14ac:dyDescent="0.3">
      <c r="A2031" s="245"/>
      <c r="B2031" s="246"/>
      <c r="C2031" s="245"/>
      <c r="D2031" s="245"/>
      <c r="E2031" s="245"/>
      <c r="F2031" s="245"/>
      <c r="G2031" s="245"/>
      <c r="H2031" s="245"/>
      <c r="I2031" s="245"/>
      <c r="J2031" s="245"/>
      <c r="K2031" s="245"/>
      <c r="L2031" s="246"/>
      <c r="M2031" s="245"/>
      <c r="N2031" s="245"/>
      <c r="O2031" s="245"/>
      <c r="P2031" s="245"/>
      <c r="Q2031" s="247"/>
      <c r="R2031" s="247"/>
      <c r="S2031" s="247"/>
      <c r="T2031" s="245"/>
      <c r="U2031" s="245"/>
      <c r="V2031" s="241"/>
      <c r="W2031" s="241"/>
      <c r="X2031" s="241"/>
    </row>
    <row r="2032" spans="1:24" ht="13.5" customHeight="1" x14ac:dyDescent="0.3">
      <c r="A2032" s="245"/>
      <c r="B2032" s="246"/>
      <c r="C2032" s="245"/>
      <c r="D2032" s="245"/>
      <c r="E2032" s="245"/>
      <c r="F2032" s="245"/>
      <c r="G2032" s="245"/>
      <c r="H2032" s="245"/>
      <c r="I2032" s="245"/>
      <c r="J2032" s="245"/>
      <c r="K2032" s="245"/>
      <c r="L2032" s="246"/>
      <c r="M2032" s="245"/>
      <c r="N2032" s="245"/>
      <c r="O2032" s="245"/>
      <c r="P2032" s="245"/>
      <c r="Q2032" s="247"/>
      <c r="R2032" s="247"/>
      <c r="S2032" s="247"/>
      <c r="T2032" s="245"/>
      <c r="U2032" s="245"/>
      <c r="V2032" s="241"/>
      <c r="W2032" s="241"/>
      <c r="X2032" s="241"/>
    </row>
    <row r="2033" spans="1:24" ht="13.5" customHeight="1" x14ac:dyDescent="0.3">
      <c r="A2033" s="245"/>
      <c r="B2033" s="246"/>
      <c r="C2033" s="245"/>
      <c r="D2033" s="245"/>
      <c r="E2033" s="245"/>
      <c r="F2033" s="245"/>
      <c r="G2033" s="245"/>
      <c r="H2033" s="245"/>
      <c r="I2033" s="245"/>
      <c r="J2033" s="245"/>
      <c r="K2033" s="245"/>
      <c r="L2033" s="246"/>
      <c r="M2033" s="245"/>
      <c r="N2033" s="245"/>
      <c r="O2033" s="245"/>
      <c r="P2033" s="245"/>
      <c r="Q2033" s="247"/>
      <c r="R2033" s="247"/>
      <c r="S2033" s="247"/>
      <c r="T2033" s="245"/>
      <c r="U2033" s="245"/>
      <c r="V2033" s="241"/>
      <c r="W2033" s="241"/>
      <c r="X2033" s="241"/>
    </row>
    <row r="2034" spans="1:24" ht="13.5" customHeight="1" x14ac:dyDescent="0.3">
      <c r="A2034" s="245"/>
      <c r="B2034" s="246"/>
      <c r="C2034" s="245"/>
      <c r="D2034" s="245"/>
      <c r="E2034" s="245"/>
      <c r="F2034" s="245"/>
      <c r="G2034" s="245"/>
      <c r="H2034" s="245"/>
      <c r="I2034" s="245"/>
      <c r="J2034" s="245"/>
      <c r="K2034" s="245"/>
      <c r="L2034" s="246"/>
      <c r="M2034" s="245"/>
      <c r="N2034" s="245"/>
      <c r="O2034" s="245"/>
      <c r="P2034" s="245"/>
      <c r="Q2034" s="247"/>
      <c r="R2034" s="247"/>
      <c r="S2034" s="247"/>
      <c r="T2034" s="245"/>
      <c r="U2034" s="245"/>
      <c r="V2034" s="241"/>
      <c r="W2034" s="241"/>
      <c r="X2034" s="241"/>
    </row>
    <row r="2035" spans="1:24" ht="13.5" customHeight="1" x14ac:dyDescent="0.3">
      <c r="A2035" s="245"/>
      <c r="B2035" s="246"/>
      <c r="C2035" s="245"/>
      <c r="D2035" s="245"/>
      <c r="E2035" s="245"/>
      <c r="F2035" s="245"/>
      <c r="G2035" s="245"/>
      <c r="H2035" s="245"/>
      <c r="I2035" s="245"/>
      <c r="J2035" s="245"/>
      <c r="K2035" s="245"/>
      <c r="L2035" s="246"/>
      <c r="M2035" s="245"/>
      <c r="N2035" s="245"/>
      <c r="O2035" s="245"/>
      <c r="P2035" s="245"/>
      <c r="Q2035" s="247"/>
      <c r="R2035" s="247"/>
      <c r="S2035" s="247"/>
      <c r="T2035" s="245"/>
      <c r="U2035" s="245"/>
      <c r="V2035" s="241"/>
      <c r="W2035" s="241"/>
      <c r="X2035" s="241"/>
    </row>
    <row r="2036" spans="1:24" ht="13.5" customHeight="1" x14ac:dyDescent="0.3">
      <c r="A2036" s="245"/>
      <c r="B2036" s="246"/>
      <c r="C2036" s="245"/>
      <c r="D2036" s="245"/>
      <c r="E2036" s="245"/>
      <c r="F2036" s="245"/>
      <c r="G2036" s="245"/>
      <c r="H2036" s="245"/>
      <c r="I2036" s="245"/>
      <c r="J2036" s="245"/>
      <c r="K2036" s="245"/>
      <c r="L2036" s="246"/>
      <c r="M2036" s="245"/>
      <c r="N2036" s="245"/>
      <c r="O2036" s="245"/>
      <c r="P2036" s="245"/>
      <c r="Q2036" s="247"/>
      <c r="R2036" s="247"/>
      <c r="S2036" s="247"/>
      <c r="T2036" s="245"/>
      <c r="U2036" s="245"/>
      <c r="V2036" s="241"/>
      <c r="W2036" s="241"/>
      <c r="X2036" s="241"/>
    </row>
    <row r="2037" spans="1:24" ht="13.5" customHeight="1" x14ac:dyDescent="0.3">
      <c r="A2037" s="245"/>
      <c r="B2037" s="246"/>
      <c r="C2037" s="245"/>
      <c r="D2037" s="245"/>
      <c r="E2037" s="245"/>
      <c r="F2037" s="245"/>
      <c r="G2037" s="245"/>
      <c r="H2037" s="245"/>
      <c r="I2037" s="245"/>
      <c r="J2037" s="245"/>
      <c r="K2037" s="245"/>
      <c r="L2037" s="246"/>
      <c r="M2037" s="245"/>
      <c r="N2037" s="245"/>
      <c r="O2037" s="245"/>
      <c r="P2037" s="245"/>
      <c r="Q2037" s="247"/>
      <c r="R2037" s="247"/>
      <c r="S2037" s="247"/>
      <c r="T2037" s="245"/>
      <c r="U2037" s="245"/>
      <c r="V2037" s="241"/>
      <c r="W2037" s="241"/>
      <c r="X2037" s="241"/>
    </row>
    <row r="2038" spans="1:24" ht="13.5" customHeight="1" x14ac:dyDescent="0.3">
      <c r="A2038" s="245"/>
      <c r="B2038" s="246"/>
      <c r="C2038" s="245"/>
      <c r="D2038" s="245"/>
      <c r="E2038" s="245"/>
      <c r="F2038" s="245"/>
      <c r="G2038" s="245"/>
      <c r="H2038" s="245"/>
      <c r="I2038" s="245"/>
      <c r="J2038" s="245"/>
      <c r="K2038" s="245"/>
      <c r="L2038" s="246"/>
      <c r="M2038" s="245"/>
      <c r="N2038" s="245"/>
      <c r="O2038" s="245"/>
      <c r="P2038" s="245"/>
      <c r="Q2038" s="247"/>
      <c r="R2038" s="247"/>
      <c r="S2038" s="247"/>
      <c r="T2038" s="245"/>
      <c r="U2038" s="245"/>
      <c r="V2038" s="241"/>
      <c r="W2038" s="241"/>
      <c r="X2038" s="241"/>
    </row>
    <row r="2039" spans="1:24" ht="13.5" customHeight="1" x14ac:dyDescent="0.3">
      <c r="A2039" s="245"/>
      <c r="B2039" s="246"/>
      <c r="C2039" s="245"/>
      <c r="D2039" s="245"/>
      <c r="E2039" s="245"/>
      <c r="F2039" s="245"/>
      <c r="G2039" s="245"/>
      <c r="H2039" s="245"/>
      <c r="I2039" s="245"/>
      <c r="J2039" s="245"/>
      <c r="K2039" s="245"/>
      <c r="L2039" s="246"/>
      <c r="M2039" s="245"/>
      <c r="N2039" s="245"/>
      <c r="O2039" s="245"/>
      <c r="P2039" s="245"/>
      <c r="Q2039" s="247"/>
      <c r="R2039" s="247"/>
      <c r="S2039" s="247"/>
      <c r="T2039" s="245"/>
      <c r="U2039" s="245"/>
      <c r="V2039" s="241"/>
      <c r="W2039" s="241"/>
      <c r="X2039" s="241"/>
    </row>
    <row r="2040" spans="1:24" ht="13.5" customHeight="1" x14ac:dyDescent="0.3">
      <c r="A2040" s="245"/>
      <c r="B2040" s="246"/>
      <c r="C2040" s="245"/>
      <c r="D2040" s="245"/>
      <c r="E2040" s="245"/>
      <c r="F2040" s="245"/>
      <c r="G2040" s="245"/>
      <c r="H2040" s="245"/>
      <c r="I2040" s="245"/>
      <c r="J2040" s="245"/>
      <c r="K2040" s="245"/>
      <c r="L2040" s="246"/>
      <c r="M2040" s="245"/>
      <c r="N2040" s="245"/>
      <c r="O2040" s="245"/>
      <c r="P2040" s="245"/>
      <c r="Q2040" s="247"/>
      <c r="R2040" s="247"/>
      <c r="S2040" s="247"/>
      <c r="T2040" s="245"/>
      <c r="U2040" s="245"/>
      <c r="V2040" s="241"/>
      <c r="W2040" s="241"/>
      <c r="X2040" s="241"/>
    </row>
    <row r="2041" spans="1:24" ht="13.5" customHeight="1" x14ac:dyDescent="0.3">
      <c r="A2041" s="245"/>
      <c r="B2041" s="246"/>
      <c r="C2041" s="245"/>
      <c r="D2041" s="245"/>
      <c r="E2041" s="245"/>
      <c r="F2041" s="245"/>
      <c r="G2041" s="245"/>
      <c r="H2041" s="245"/>
      <c r="I2041" s="245"/>
      <c r="J2041" s="245"/>
      <c r="K2041" s="245"/>
      <c r="L2041" s="246"/>
      <c r="M2041" s="245"/>
      <c r="N2041" s="245"/>
      <c r="O2041" s="245"/>
      <c r="P2041" s="245"/>
      <c r="Q2041" s="247"/>
      <c r="R2041" s="247"/>
      <c r="S2041" s="247"/>
      <c r="T2041" s="245"/>
      <c r="U2041" s="245"/>
      <c r="V2041" s="241"/>
      <c r="W2041" s="241"/>
      <c r="X2041" s="241"/>
    </row>
    <row r="2042" spans="1:24" ht="13.5" customHeight="1" x14ac:dyDescent="0.3">
      <c r="A2042" s="245"/>
      <c r="B2042" s="246"/>
      <c r="C2042" s="245"/>
      <c r="D2042" s="245"/>
      <c r="E2042" s="245"/>
      <c r="F2042" s="245"/>
      <c r="G2042" s="245"/>
      <c r="H2042" s="245"/>
      <c r="I2042" s="245"/>
      <c r="J2042" s="245"/>
      <c r="K2042" s="245"/>
      <c r="L2042" s="246"/>
      <c r="M2042" s="245"/>
      <c r="N2042" s="245"/>
      <c r="O2042" s="245"/>
      <c r="P2042" s="245"/>
      <c r="Q2042" s="247"/>
      <c r="R2042" s="247"/>
      <c r="S2042" s="247"/>
      <c r="T2042" s="245"/>
      <c r="U2042" s="245"/>
      <c r="V2042" s="241"/>
      <c r="W2042" s="241"/>
      <c r="X2042" s="241"/>
    </row>
    <row r="2043" spans="1:24" ht="13.5" customHeight="1" x14ac:dyDescent="0.3">
      <c r="A2043" s="245"/>
      <c r="B2043" s="246"/>
      <c r="C2043" s="245"/>
      <c r="D2043" s="245"/>
      <c r="E2043" s="245"/>
      <c r="F2043" s="245"/>
      <c r="G2043" s="245"/>
      <c r="H2043" s="245"/>
      <c r="I2043" s="245"/>
      <c r="J2043" s="245"/>
      <c r="K2043" s="245"/>
      <c r="L2043" s="246"/>
      <c r="M2043" s="245"/>
      <c r="N2043" s="245"/>
      <c r="O2043" s="245"/>
      <c r="P2043" s="245"/>
      <c r="Q2043" s="247"/>
      <c r="R2043" s="247"/>
      <c r="S2043" s="247"/>
      <c r="T2043" s="245"/>
      <c r="U2043" s="245"/>
      <c r="V2043" s="241"/>
      <c r="W2043" s="241"/>
      <c r="X2043" s="241"/>
    </row>
    <row r="2044" spans="1:24" ht="13.5" customHeight="1" x14ac:dyDescent="0.3">
      <c r="A2044" s="245"/>
      <c r="B2044" s="246"/>
      <c r="C2044" s="245"/>
      <c r="D2044" s="245"/>
      <c r="E2044" s="245"/>
      <c r="F2044" s="245"/>
      <c r="G2044" s="245"/>
      <c r="H2044" s="245"/>
      <c r="I2044" s="245"/>
      <c r="J2044" s="245"/>
      <c r="K2044" s="245"/>
      <c r="L2044" s="246"/>
      <c r="M2044" s="245"/>
      <c r="N2044" s="245"/>
      <c r="O2044" s="245"/>
      <c r="P2044" s="245"/>
      <c r="Q2044" s="247"/>
      <c r="R2044" s="247"/>
      <c r="S2044" s="247"/>
      <c r="T2044" s="245"/>
      <c r="U2044" s="245"/>
      <c r="V2044" s="241"/>
      <c r="W2044" s="241"/>
      <c r="X2044" s="241"/>
    </row>
    <row r="2045" spans="1:24" ht="13.5" customHeight="1" x14ac:dyDescent="0.3">
      <c r="A2045" s="245"/>
      <c r="B2045" s="246"/>
      <c r="C2045" s="245"/>
      <c r="D2045" s="245"/>
      <c r="E2045" s="245"/>
      <c r="F2045" s="245"/>
      <c r="G2045" s="245"/>
      <c r="H2045" s="245"/>
      <c r="I2045" s="245"/>
      <c r="J2045" s="245"/>
      <c r="K2045" s="245"/>
      <c r="L2045" s="246"/>
      <c r="M2045" s="245"/>
      <c r="N2045" s="245"/>
      <c r="O2045" s="245"/>
      <c r="P2045" s="245"/>
      <c r="Q2045" s="247"/>
      <c r="R2045" s="247"/>
      <c r="S2045" s="247"/>
      <c r="T2045" s="245"/>
      <c r="U2045" s="245"/>
      <c r="V2045" s="241"/>
      <c r="W2045" s="241"/>
      <c r="X2045" s="241"/>
    </row>
    <row r="2046" spans="1:24" ht="13.5" customHeight="1" x14ac:dyDescent="0.3">
      <c r="A2046" s="245"/>
      <c r="B2046" s="246"/>
      <c r="C2046" s="245"/>
      <c r="D2046" s="245"/>
      <c r="E2046" s="245"/>
      <c r="F2046" s="245"/>
      <c r="G2046" s="245"/>
      <c r="H2046" s="245"/>
      <c r="I2046" s="245"/>
      <c r="J2046" s="245"/>
      <c r="K2046" s="245"/>
      <c r="L2046" s="246"/>
      <c r="M2046" s="245"/>
      <c r="N2046" s="245"/>
      <c r="O2046" s="245"/>
      <c r="P2046" s="245"/>
      <c r="Q2046" s="247"/>
      <c r="R2046" s="247"/>
      <c r="S2046" s="247"/>
      <c r="T2046" s="245"/>
      <c r="U2046" s="245"/>
      <c r="V2046" s="241"/>
      <c r="W2046" s="241"/>
      <c r="X2046" s="241"/>
    </row>
    <row r="2047" spans="1:24" ht="13.5" customHeight="1" x14ac:dyDescent="0.3">
      <c r="A2047" s="245"/>
      <c r="B2047" s="246"/>
      <c r="C2047" s="245"/>
      <c r="D2047" s="245"/>
      <c r="E2047" s="245"/>
      <c r="F2047" s="245"/>
      <c r="G2047" s="245"/>
      <c r="H2047" s="245"/>
      <c r="I2047" s="245"/>
      <c r="J2047" s="245"/>
      <c r="K2047" s="245"/>
      <c r="L2047" s="246"/>
      <c r="M2047" s="245"/>
      <c r="N2047" s="245"/>
      <c r="O2047" s="245"/>
      <c r="P2047" s="245"/>
      <c r="Q2047" s="247"/>
      <c r="R2047" s="247"/>
      <c r="S2047" s="247"/>
      <c r="T2047" s="245"/>
      <c r="U2047" s="245"/>
      <c r="V2047" s="241"/>
      <c r="W2047" s="241"/>
      <c r="X2047" s="241"/>
    </row>
    <row r="2048" spans="1:24" ht="13.5" customHeight="1" x14ac:dyDescent="0.3">
      <c r="A2048" s="245"/>
      <c r="B2048" s="246"/>
      <c r="C2048" s="245"/>
      <c r="D2048" s="245"/>
      <c r="E2048" s="245"/>
      <c r="F2048" s="245"/>
      <c r="G2048" s="245"/>
      <c r="H2048" s="245"/>
      <c r="I2048" s="245"/>
      <c r="J2048" s="245"/>
      <c r="K2048" s="245"/>
      <c r="L2048" s="246"/>
      <c r="M2048" s="245"/>
      <c r="N2048" s="245"/>
      <c r="O2048" s="245"/>
      <c r="P2048" s="245"/>
      <c r="Q2048" s="247"/>
      <c r="R2048" s="247"/>
      <c r="S2048" s="247"/>
      <c r="T2048" s="245"/>
      <c r="U2048" s="245"/>
      <c r="V2048" s="241"/>
      <c r="W2048" s="241"/>
      <c r="X2048" s="241"/>
    </row>
    <row r="2049" spans="1:24" ht="13.5" customHeight="1" x14ac:dyDescent="0.3">
      <c r="A2049" s="245"/>
      <c r="B2049" s="246"/>
      <c r="C2049" s="245"/>
      <c r="D2049" s="245"/>
      <c r="E2049" s="245"/>
      <c r="F2049" s="245"/>
      <c r="G2049" s="245"/>
      <c r="H2049" s="245"/>
      <c r="I2049" s="245"/>
      <c r="J2049" s="245"/>
      <c r="K2049" s="245"/>
      <c r="L2049" s="246"/>
      <c r="M2049" s="245"/>
      <c r="N2049" s="245"/>
      <c r="O2049" s="245"/>
      <c r="P2049" s="245"/>
      <c r="Q2049" s="247"/>
      <c r="R2049" s="247"/>
      <c r="S2049" s="247"/>
      <c r="T2049" s="245"/>
      <c r="U2049" s="245"/>
      <c r="V2049" s="241"/>
      <c r="W2049" s="241"/>
      <c r="X2049" s="241"/>
    </row>
    <row r="2050" spans="1:24" ht="13.5" customHeight="1" x14ac:dyDescent="0.3">
      <c r="A2050" s="245"/>
      <c r="B2050" s="246"/>
      <c r="C2050" s="245"/>
      <c r="D2050" s="245"/>
      <c r="E2050" s="245"/>
      <c r="F2050" s="245"/>
      <c r="G2050" s="245"/>
      <c r="H2050" s="245"/>
      <c r="I2050" s="245"/>
      <c r="J2050" s="245"/>
      <c r="K2050" s="245"/>
      <c r="L2050" s="246"/>
      <c r="M2050" s="245"/>
      <c r="N2050" s="245"/>
      <c r="O2050" s="245"/>
      <c r="P2050" s="245"/>
      <c r="Q2050" s="247"/>
      <c r="R2050" s="247"/>
      <c r="S2050" s="247"/>
      <c r="T2050" s="245"/>
      <c r="U2050" s="245"/>
      <c r="V2050" s="241"/>
      <c r="W2050" s="241"/>
      <c r="X2050" s="241"/>
    </row>
    <row r="2051" spans="1:24" ht="13.5" customHeight="1" x14ac:dyDescent="0.3">
      <c r="A2051" s="245"/>
      <c r="B2051" s="246"/>
      <c r="C2051" s="245"/>
      <c r="D2051" s="245"/>
      <c r="E2051" s="245"/>
      <c r="F2051" s="245"/>
      <c r="G2051" s="245"/>
      <c r="H2051" s="245"/>
      <c r="I2051" s="245"/>
      <c r="J2051" s="245"/>
      <c r="K2051" s="245"/>
      <c r="L2051" s="246"/>
      <c r="M2051" s="245"/>
      <c r="N2051" s="245"/>
      <c r="O2051" s="245"/>
      <c r="P2051" s="245"/>
      <c r="Q2051" s="247"/>
      <c r="R2051" s="247"/>
      <c r="S2051" s="247"/>
      <c r="T2051" s="245"/>
      <c r="U2051" s="245"/>
      <c r="V2051" s="241"/>
      <c r="W2051" s="241"/>
      <c r="X2051" s="241"/>
    </row>
    <row r="2052" spans="1:24" ht="13.5" customHeight="1" x14ac:dyDescent="0.3">
      <c r="A2052" s="245"/>
      <c r="B2052" s="246"/>
      <c r="C2052" s="245"/>
      <c r="D2052" s="245"/>
      <c r="E2052" s="245"/>
      <c r="F2052" s="245"/>
      <c r="G2052" s="245"/>
      <c r="H2052" s="245"/>
      <c r="I2052" s="245"/>
      <c r="J2052" s="245"/>
      <c r="K2052" s="245"/>
      <c r="L2052" s="246"/>
      <c r="M2052" s="245"/>
      <c r="N2052" s="245"/>
      <c r="O2052" s="245"/>
      <c r="P2052" s="245"/>
      <c r="Q2052" s="247"/>
      <c r="R2052" s="247"/>
      <c r="S2052" s="247"/>
      <c r="T2052" s="245"/>
      <c r="U2052" s="245"/>
      <c r="V2052" s="241"/>
      <c r="W2052" s="241"/>
      <c r="X2052" s="241"/>
    </row>
    <row r="2053" spans="1:24" ht="13.5" customHeight="1" x14ac:dyDescent="0.3">
      <c r="A2053" s="245"/>
      <c r="B2053" s="246"/>
      <c r="C2053" s="245"/>
      <c r="D2053" s="245"/>
      <c r="E2053" s="245"/>
      <c r="F2053" s="245"/>
      <c r="G2053" s="245"/>
      <c r="H2053" s="245"/>
      <c r="I2053" s="245"/>
      <c r="J2053" s="245"/>
      <c r="K2053" s="245"/>
      <c r="L2053" s="246"/>
      <c r="M2053" s="245"/>
      <c r="N2053" s="245"/>
      <c r="O2053" s="245"/>
      <c r="P2053" s="245"/>
      <c r="Q2053" s="247"/>
      <c r="R2053" s="247"/>
      <c r="S2053" s="247"/>
      <c r="T2053" s="245"/>
      <c r="U2053" s="245"/>
      <c r="V2053" s="241"/>
      <c r="W2053" s="241"/>
      <c r="X2053" s="241"/>
    </row>
    <row r="2054" spans="1:24" ht="13.5" customHeight="1" x14ac:dyDescent="0.3">
      <c r="A2054" s="245"/>
      <c r="B2054" s="246"/>
      <c r="C2054" s="245"/>
      <c r="D2054" s="245"/>
      <c r="E2054" s="245"/>
      <c r="F2054" s="245"/>
      <c r="G2054" s="245"/>
      <c r="H2054" s="245"/>
      <c r="I2054" s="245"/>
      <c r="J2054" s="245"/>
      <c r="K2054" s="245"/>
      <c r="L2054" s="246"/>
      <c r="M2054" s="245"/>
      <c r="N2054" s="245"/>
      <c r="O2054" s="245"/>
      <c r="P2054" s="245"/>
      <c r="Q2054" s="247"/>
      <c r="R2054" s="247"/>
      <c r="S2054" s="247"/>
      <c r="T2054" s="245"/>
      <c r="U2054" s="245"/>
      <c r="V2054" s="241"/>
      <c r="W2054" s="241"/>
      <c r="X2054" s="241"/>
    </row>
    <row r="2055" spans="1:24" ht="13.5" customHeight="1" x14ac:dyDescent="0.3">
      <c r="A2055" s="245"/>
      <c r="B2055" s="246"/>
      <c r="C2055" s="245"/>
      <c r="D2055" s="245"/>
      <c r="E2055" s="245"/>
      <c r="F2055" s="245"/>
      <c r="G2055" s="245"/>
      <c r="H2055" s="245"/>
      <c r="I2055" s="245"/>
      <c r="J2055" s="245"/>
      <c r="K2055" s="245"/>
      <c r="L2055" s="246"/>
      <c r="M2055" s="245"/>
      <c r="N2055" s="245"/>
      <c r="O2055" s="245"/>
      <c r="P2055" s="245"/>
      <c r="Q2055" s="247"/>
      <c r="R2055" s="247"/>
      <c r="S2055" s="247"/>
      <c r="T2055" s="245"/>
      <c r="U2055" s="245"/>
      <c r="V2055" s="241"/>
      <c r="W2055" s="241"/>
      <c r="X2055" s="241"/>
    </row>
    <row r="2056" spans="1:24" ht="13.5" customHeight="1" x14ac:dyDescent="0.3">
      <c r="A2056" s="245"/>
      <c r="B2056" s="246"/>
      <c r="C2056" s="245"/>
      <c r="D2056" s="245"/>
      <c r="E2056" s="245"/>
      <c r="F2056" s="245"/>
      <c r="G2056" s="245"/>
      <c r="H2056" s="245"/>
      <c r="I2056" s="245"/>
      <c r="J2056" s="245"/>
      <c r="K2056" s="245"/>
      <c r="L2056" s="246"/>
      <c r="M2056" s="245"/>
      <c r="N2056" s="245"/>
      <c r="O2056" s="245"/>
      <c r="P2056" s="245"/>
      <c r="Q2056" s="247"/>
      <c r="R2056" s="247"/>
      <c r="S2056" s="247"/>
      <c r="T2056" s="245"/>
      <c r="U2056" s="245"/>
      <c r="V2056" s="241"/>
      <c r="W2056" s="241"/>
      <c r="X2056" s="241"/>
    </row>
    <row r="2057" spans="1:24" ht="13.5" customHeight="1" x14ac:dyDescent="0.3">
      <c r="A2057" s="245"/>
      <c r="B2057" s="246"/>
      <c r="C2057" s="245"/>
      <c r="D2057" s="245"/>
      <c r="E2057" s="245"/>
      <c r="F2057" s="245"/>
      <c r="G2057" s="245"/>
      <c r="H2057" s="245"/>
      <c r="I2057" s="245"/>
      <c r="J2057" s="245"/>
      <c r="K2057" s="245"/>
      <c r="L2057" s="246"/>
      <c r="M2057" s="245"/>
      <c r="N2057" s="245"/>
      <c r="O2057" s="245"/>
      <c r="P2057" s="245"/>
      <c r="Q2057" s="247"/>
      <c r="R2057" s="247"/>
      <c r="S2057" s="247"/>
      <c r="T2057" s="245"/>
      <c r="U2057" s="245"/>
      <c r="V2057" s="241"/>
      <c r="W2057" s="241"/>
      <c r="X2057" s="241"/>
    </row>
    <row r="2058" spans="1:24" ht="13.5" customHeight="1" x14ac:dyDescent="0.3">
      <c r="A2058" s="245"/>
      <c r="B2058" s="246"/>
      <c r="C2058" s="245"/>
      <c r="D2058" s="245"/>
      <c r="E2058" s="245"/>
      <c r="F2058" s="245"/>
      <c r="G2058" s="245"/>
      <c r="H2058" s="245"/>
      <c r="I2058" s="245"/>
      <c r="J2058" s="245"/>
      <c r="K2058" s="245"/>
      <c r="L2058" s="246"/>
      <c r="M2058" s="245"/>
      <c r="N2058" s="245"/>
      <c r="O2058" s="245"/>
      <c r="P2058" s="245"/>
      <c r="Q2058" s="247"/>
      <c r="R2058" s="247"/>
      <c r="S2058" s="247"/>
      <c r="T2058" s="245"/>
      <c r="U2058" s="245"/>
      <c r="V2058" s="241"/>
      <c r="W2058" s="241"/>
      <c r="X2058" s="241"/>
    </row>
    <row r="2059" spans="1:24" ht="13.5" customHeight="1" x14ac:dyDescent="0.3">
      <c r="A2059" s="245"/>
      <c r="B2059" s="246"/>
      <c r="C2059" s="245"/>
      <c r="D2059" s="245"/>
      <c r="E2059" s="245"/>
      <c r="F2059" s="245"/>
      <c r="G2059" s="245"/>
      <c r="H2059" s="245"/>
      <c r="I2059" s="245"/>
      <c r="J2059" s="245"/>
      <c r="K2059" s="245"/>
      <c r="L2059" s="246"/>
      <c r="M2059" s="245"/>
      <c r="N2059" s="245"/>
      <c r="O2059" s="245"/>
      <c r="P2059" s="245"/>
      <c r="Q2059" s="247"/>
      <c r="R2059" s="247"/>
      <c r="S2059" s="247"/>
      <c r="T2059" s="245"/>
      <c r="U2059" s="245"/>
      <c r="V2059" s="241"/>
      <c r="W2059" s="241"/>
      <c r="X2059" s="241"/>
    </row>
    <row r="2060" spans="1:24" ht="13.5" customHeight="1" x14ac:dyDescent="0.3">
      <c r="A2060" s="245"/>
      <c r="B2060" s="246"/>
      <c r="C2060" s="245"/>
      <c r="D2060" s="245"/>
      <c r="E2060" s="245"/>
      <c r="F2060" s="245"/>
      <c r="G2060" s="245"/>
      <c r="H2060" s="245"/>
      <c r="I2060" s="245"/>
      <c r="J2060" s="245"/>
      <c r="K2060" s="245"/>
      <c r="L2060" s="246"/>
      <c r="M2060" s="245"/>
      <c r="N2060" s="245"/>
      <c r="O2060" s="245"/>
      <c r="P2060" s="245"/>
      <c r="Q2060" s="247"/>
      <c r="R2060" s="247"/>
      <c r="S2060" s="247"/>
      <c r="T2060" s="245"/>
      <c r="U2060" s="245"/>
      <c r="V2060" s="241"/>
      <c r="W2060" s="241"/>
      <c r="X2060" s="241"/>
    </row>
    <row r="2061" spans="1:24" ht="13.5" customHeight="1" x14ac:dyDescent="0.3">
      <c r="A2061" s="245"/>
      <c r="B2061" s="246"/>
      <c r="C2061" s="245"/>
      <c r="D2061" s="245"/>
      <c r="E2061" s="245"/>
      <c r="F2061" s="245"/>
      <c r="G2061" s="245"/>
      <c r="H2061" s="245"/>
      <c r="I2061" s="245"/>
      <c r="J2061" s="245"/>
      <c r="K2061" s="245"/>
      <c r="L2061" s="246"/>
      <c r="M2061" s="245"/>
      <c r="N2061" s="245"/>
      <c r="O2061" s="245"/>
      <c r="P2061" s="245"/>
      <c r="Q2061" s="247"/>
      <c r="R2061" s="247"/>
      <c r="S2061" s="247"/>
      <c r="T2061" s="245"/>
      <c r="U2061" s="245"/>
      <c r="V2061" s="241"/>
      <c r="W2061" s="241"/>
      <c r="X2061" s="241"/>
    </row>
    <row r="2062" spans="1:24" ht="13.5" customHeight="1" x14ac:dyDescent="0.3">
      <c r="A2062" s="245"/>
      <c r="B2062" s="246"/>
      <c r="C2062" s="245"/>
      <c r="D2062" s="245"/>
      <c r="E2062" s="245"/>
      <c r="F2062" s="245"/>
      <c r="G2062" s="245"/>
      <c r="H2062" s="245"/>
      <c r="I2062" s="245"/>
      <c r="J2062" s="245"/>
      <c r="K2062" s="245"/>
      <c r="L2062" s="246"/>
      <c r="M2062" s="245"/>
      <c r="N2062" s="245"/>
      <c r="O2062" s="245"/>
      <c r="P2062" s="245"/>
      <c r="Q2062" s="247"/>
      <c r="R2062" s="247"/>
      <c r="S2062" s="247"/>
      <c r="T2062" s="245"/>
      <c r="U2062" s="245"/>
      <c r="V2062" s="241"/>
      <c r="W2062" s="241"/>
      <c r="X2062" s="241"/>
    </row>
    <row r="2063" spans="1:24" ht="13.5" customHeight="1" x14ac:dyDescent="0.3">
      <c r="A2063" s="245"/>
      <c r="B2063" s="246"/>
      <c r="C2063" s="245"/>
      <c r="D2063" s="245"/>
      <c r="E2063" s="245"/>
      <c r="F2063" s="245"/>
      <c r="G2063" s="245"/>
      <c r="H2063" s="245"/>
      <c r="I2063" s="245"/>
      <c r="J2063" s="245"/>
      <c r="K2063" s="245"/>
      <c r="L2063" s="246"/>
      <c r="M2063" s="245"/>
      <c r="N2063" s="245"/>
      <c r="O2063" s="245"/>
      <c r="P2063" s="245"/>
      <c r="Q2063" s="247"/>
      <c r="R2063" s="247"/>
      <c r="S2063" s="247"/>
      <c r="T2063" s="245"/>
      <c r="U2063" s="245"/>
      <c r="V2063" s="241"/>
      <c r="W2063" s="241"/>
      <c r="X2063" s="241"/>
    </row>
    <row r="2064" spans="1:24" ht="13.5" customHeight="1" x14ac:dyDescent="0.3">
      <c r="A2064" s="245"/>
      <c r="B2064" s="246"/>
      <c r="C2064" s="245"/>
      <c r="D2064" s="245"/>
      <c r="E2064" s="245"/>
      <c r="F2064" s="245"/>
      <c r="G2064" s="245"/>
      <c r="H2064" s="245"/>
      <c r="I2064" s="245"/>
      <c r="J2064" s="245"/>
      <c r="K2064" s="245"/>
      <c r="L2064" s="246"/>
      <c r="M2064" s="245"/>
      <c r="N2064" s="245"/>
      <c r="O2064" s="245"/>
      <c r="P2064" s="245"/>
      <c r="Q2064" s="247"/>
      <c r="R2064" s="247"/>
      <c r="S2064" s="247"/>
      <c r="T2064" s="245"/>
      <c r="U2064" s="245"/>
      <c r="V2064" s="241"/>
      <c r="W2064" s="241"/>
      <c r="X2064" s="241"/>
    </row>
    <row r="2065" spans="1:24" ht="13.5" customHeight="1" x14ac:dyDescent="0.3">
      <c r="A2065" s="245"/>
      <c r="B2065" s="246"/>
      <c r="C2065" s="245"/>
      <c r="D2065" s="245"/>
      <c r="E2065" s="245"/>
      <c r="F2065" s="245"/>
      <c r="G2065" s="245"/>
      <c r="H2065" s="245"/>
      <c r="I2065" s="245"/>
      <c r="J2065" s="245"/>
      <c r="K2065" s="245"/>
      <c r="L2065" s="246"/>
      <c r="M2065" s="245"/>
      <c r="N2065" s="245"/>
      <c r="O2065" s="245"/>
      <c r="P2065" s="245"/>
      <c r="Q2065" s="247"/>
      <c r="R2065" s="247"/>
      <c r="S2065" s="247"/>
      <c r="T2065" s="245"/>
      <c r="U2065" s="245"/>
      <c r="V2065" s="241"/>
      <c r="W2065" s="241"/>
      <c r="X2065" s="241"/>
    </row>
    <row r="2066" spans="1:24" ht="13.5" customHeight="1" x14ac:dyDescent="0.3">
      <c r="A2066" s="245"/>
      <c r="B2066" s="246"/>
      <c r="C2066" s="245"/>
      <c r="D2066" s="245"/>
      <c r="E2066" s="245"/>
      <c r="F2066" s="245"/>
      <c r="G2066" s="245"/>
      <c r="H2066" s="245"/>
      <c r="I2066" s="245"/>
      <c r="J2066" s="245"/>
      <c r="K2066" s="245"/>
      <c r="L2066" s="246"/>
      <c r="M2066" s="245"/>
      <c r="N2066" s="245"/>
      <c r="O2066" s="245"/>
      <c r="P2066" s="245"/>
      <c r="Q2066" s="247"/>
      <c r="R2066" s="247"/>
      <c r="S2066" s="247"/>
      <c r="T2066" s="245"/>
      <c r="U2066" s="245"/>
      <c r="V2066" s="241"/>
      <c r="W2066" s="241"/>
      <c r="X2066" s="241"/>
    </row>
    <row r="2067" spans="1:24" ht="13.5" customHeight="1" x14ac:dyDescent="0.3">
      <c r="A2067" s="245"/>
      <c r="B2067" s="246"/>
      <c r="C2067" s="245"/>
      <c r="D2067" s="245"/>
      <c r="E2067" s="245"/>
      <c r="F2067" s="245"/>
      <c r="G2067" s="245"/>
      <c r="H2067" s="245"/>
      <c r="I2067" s="245"/>
      <c r="J2067" s="245"/>
      <c r="K2067" s="245"/>
      <c r="L2067" s="246"/>
      <c r="M2067" s="245"/>
      <c r="N2067" s="245"/>
      <c r="O2067" s="245"/>
      <c r="P2067" s="245"/>
      <c r="Q2067" s="247"/>
      <c r="R2067" s="247"/>
      <c r="S2067" s="247"/>
      <c r="T2067" s="245"/>
      <c r="U2067" s="245"/>
      <c r="V2067" s="241"/>
      <c r="W2067" s="241"/>
      <c r="X2067" s="241"/>
    </row>
    <row r="2068" spans="1:24" ht="13.5" customHeight="1" x14ac:dyDescent="0.3">
      <c r="A2068" s="245"/>
      <c r="B2068" s="246"/>
      <c r="C2068" s="245"/>
      <c r="D2068" s="245"/>
      <c r="E2068" s="245"/>
      <c r="F2068" s="245"/>
      <c r="G2068" s="245"/>
      <c r="H2068" s="245"/>
      <c r="I2068" s="245"/>
      <c r="J2068" s="245"/>
      <c r="K2068" s="245"/>
      <c r="L2068" s="246"/>
      <c r="M2068" s="245"/>
      <c r="N2068" s="245"/>
      <c r="O2068" s="245"/>
      <c r="P2068" s="245"/>
      <c r="Q2068" s="247"/>
      <c r="R2068" s="247"/>
      <c r="S2068" s="247"/>
      <c r="T2068" s="245"/>
      <c r="U2068" s="245"/>
      <c r="V2068" s="241"/>
      <c r="W2068" s="241"/>
      <c r="X2068" s="241"/>
    </row>
    <row r="2069" spans="1:24" ht="13.5" customHeight="1" x14ac:dyDescent="0.3">
      <c r="A2069" s="245"/>
      <c r="B2069" s="246"/>
      <c r="C2069" s="245"/>
      <c r="D2069" s="245"/>
      <c r="E2069" s="245"/>
      <c r="F2069" s="245"/>
      <c r="G2069" s="245"/>
      <c r="H2069" s="245"/>
      <c r="I2069" s="245"/>
      <c r="J2069" s="245"/>
      <c r="K2069" s="245"/>
      <c r="L2069" s="246"/>
      <c r="M2069" s="245"/>
      <c r="N2069" s="245"/>
      <c r="O2069" s="245"/>
      <c r="P2069" s="245"/>
      <c r="Q2069" s="247"/>
      <c r="R2069" s="247"/>
      <c r="S2069" s="247"/>
      <c r="T2069" s="245"/>
      <c r="U2069" s="245"/>
      <c r="V2069" s="241"/>
      <c r="W2069" s="241"/>
      <c r="X2069" s="241"/>
    </row>
    <row r="2070" spans="1:24" ht="13.5" customHeight="1" x14ac:dyDescent="0.3">
      <c r="A2070" s="245"/>
      <c r="B2070" s="246"/>
      <c r="C2070" s="245"/>
      <c r="D2070" s="245"/>
      <c r="E2070" s="245"/>
      <c r="F2070" s="245"/>
      <c r="G2070" s="245"/>
      <c r="H2070" s="245"/>
      <c r="I2070" s="245"/>
      <c r="J2070" s="245"/>
      <c r="K2070" s="245"/>
      <c r="L2070" s="246"/>
      <c r="M2070" s="245"/>
      <c r="N2070" s="245"/>
      <c r="O2070" s="245"/>
      <c r="P2070" s="245"/>
      <c r="Q2070" s="247"/>
      <c r="R2070" s="247"/>
      <c r="S2070" s="247"/>
      <c r="T2070" s="245"/>
      <c r="U2070" s="245"/>
      <c r="V2070" s="241"/>
      <c r="W2070" s="241"/>
      <c r="X2070" s="241"/>
    </row>
    <row r="2071" spans="1:24" ht="13.5" customHeight="1" x14ac:dyDescent="0.3">
      <c r="A2071" s="245"/>
      <c r="B2071" s="246"/>
      <c r="C2071" s="245"/>
      <c r="D2071" s="245"/>
      <c r="E2071" s="245"/>
      <c r="F2071" s="245"/>
      <c r="G2071" s="245"/>
      <c r="H2071" s="245"/>
      <c r="I2071" s="245"/>
      <c r="J2071" s="245"/>
      <c r="K2071" s="245"/>
      <c r="L2071" s="246"/>
      <c r="M2071" s="245"/>
      <c r="N2071" s="245"/>
      <c r="O2071" s="245"/>
      <c r="P2071" s="245"/>
      <c r="Q2071" s="247"/>
      <c r="R2071" s="247"/>
      <c r="S2071" s="247"/>
      <c r="T2071" s="245"/>
      <c r="U2071" s="245"/>
      <c r="V2071" s="241"/>
      <c r="W2071" s="241"/>
      <c r="X2071" s="241"/>
    </row>
    <row r="2072" spans="1:24" ht="13.5" customHeight="1" x14ac:dyDescent="0.3">
      <c r="A2072" s="245"/>
      <c r="B2072" s="246"/>
      <c r="C2072" s="245"/>
      <c r="D2072" s="245"/>
      <c r="E2072" s="245"/>
      <c r="F2072" s="245"/>
      <c r="G2072" s="245"/>
      <c r="H2072" s="245"/>
      <c r="I2072" s="245"/>
      <c r="J2072" s="245"/>
      <c r="K2072" s="245"/>
      <c r="L2072" s="246"/>
      <c r="M2072" s="245"/>
      <c r="N2072" s="245"/>
      <c r="O2072" s="245"/>
      <c r="P2072" s="245"/>
      <c r="Q2072" s="247"/>
      <c r="R2072" s="247"/>
      <c r="S2072" s="247"/>
      <c r="T2072" s="245"/>
      <c r="U2072" s="245"/>
      <c r="V2072" s="241"/>
      <c r="W2072" s="241"/>
      <c r="X2072" s="241"/>
    </row>
    <row r="2073" spans="1:24" ht="13.5" customHeight="1" x14ac:dyDescent="0.3">
      <c r="A2073" s="245"/>
      <c r="B2073" s="246"/>
      <c r="C2073" s="245"/>
      <c r="D2073" s="245"/>
      <c r="E2073" s="245"/>
      <c r="F2073" s="245"/>
      <c r="G2073" s="245"/>
      <c r="H2073" s="245"/>
      <c r="I2073" s="245"/>
      <c r="J2073" s="245"/>
      <c r="K2073" s="245"/>
      <c r="L2073" s="246"/>
      <c r="M2073" s="245"/>
      <c r="N2073" s="245"/>
      <c r="O2073" s="245"/>
      <c r="P2073" s="245"/>
      <c r="Q2073" s="247"/>
      <c r="R2073" s="247"/>
      <c r="S2073" s="247"/>
      <c r="T2073" s="245"/>
      <c r="U2073" s="245"/>
      <c r="V2073" s="241"/>
      <c r="W2073" s="241"/>
      <c r="X2073" s="241"/>
    </row>
    <row r="2074" spans="1:24" ht="13.5" customHeight="1" x14ac:dyDescent="0.3">
      <c r="A2074" s="245"/>
      <c r="B2074" s="246"/>
      <c r="C2074" s="245"/>
      <c r="D2074" s="245"/>
      <c r="E2074" s="245"/>
      <c r="F2074" s="245"/>
      <c r="G2074" s="245"/>
      <c r="H2074" s="245"/>
      <c r="I2074" s="245"/>
      <c r="J2074" s="245"/>
      <c r="K2074" s="245"/>
      <c r="L2074" s="246"/>
      <c r="M2074" s="245"/>
      <c r="N2074" s="245"/>
      <c r="O2074" s="245"/>
      <c r="P2074" s="245"/>
      <c r="Q2074" s="247"/>
      <c r="R2074" s="247"/>
      <c r="S2074" s="247"/>
      <c r="T2074" s="245"/>
      <c r="U2074" s="245"/>
      <c r="V2074" s="241"/>
      <c r="W2074" s="241"/>
      <c r="X2074" s="241"/>
    </row>
    <row r="2075" spans="1:24" ht="13.5" customHeight="1" x14ac:dyDescent="0.3">
      <c r="A2075" s="245"/>
      <c r="B2075" s="246"/>
      <c r="C2075" s="245"/>
      <c r="D2075" s="245"/>
      <c r="E2075" s="245"/>
      <c r="F2075" s="245"/>
      <c r="G2075" s="245"/>
      <c r="H2075" s="245"/>
      <c r="I2075" s="245"/>
      <c r="J2075" s="245"/>
      <c r="K2075" s="245"/>
      <c r="L2075" s="246"/>
      <c r="M2075" s="245"/>
      <c r="N2075" s="245"/>
      <c r="O2075" s="245"/>
      <c r="P2075" s="245"/>
      <c r="Q2075" s="247"/>
      <c r="R2075" s="247"/>
      <c r="S2075" s="247"/>
      <c r="T2075" s="245"/>
      <c r="U2075" s="245"/>
      <c r="V2075" s="241"/>
      <c r="W2075" s="241"/>
      <c r="X2075" s="241"/>
    </row>
    <row r="2076" spans="1:24" ht="13.5" customHeight="1" x14ac:dyDescent="0.3">
      <c r="A2076" s="245"/>
      <c r="B2076" s="246"/>
      <c r="C2076" s="245"/>
      <c r="D2076" s="245"/>
      <c r="E2076" s="245"/>
      <c r="F2076" s="245"/>
      <c r="G2076" s="245"/>
      <c r="H2076" s="245"/>
      <c r="I2076" s="245"/>
      <c r="J2076" s="245"/>
      <c r="K2076" s="245"/>
      <c r="L2076" s="246"/>
      <c r="M2076" s="245"/>
      <c r="N2076" s="245"/>
      <c r="O2076" s="245"/>
      <c r="P2076" s="245"/>
      <c r="Q2076" s="247"/>
      <c r="R2076" s="247"/>
      <c r="S2076" s="247"/>
      <c r="T2076" s="245"/>
      <c r="U2076" s="245"/>
      <c r="V2076" s="241"/>
      <c r="W2076" s="241"/>
      <c r="X2076" s="241"/>
    </row>
    <row r="2077" spans="1:24" ht="13.5" customHeight="1" x14ac:dyDescent="0.3">
      <c r="A2077" s="245"/>
      <c r="B2077" s="246"/>
      <c r="C2077" s="245"/>
      <c r="D2077" s="245"/>
      <c r="E2077" s="245"/>
      <c r="F2077" s="245"/>
      <c r="G2077" s="245"/>
      <c r="H2077" s="245"/>
      <c r="I2077" s="245"/>
      <c r="J2077" s="245"/>
      <c r="K2077" s="245"/>
      <c r="L2077" s="246"/>
      <c r="M2077" s="245"/>
      <c r="N2077" s="245"/>
      <c r="O2077" s="245"/>
      <c r="P2077" s="245"/>
      <c r="Q2077" s="247"/>
      <c r="R2077" s="247"/>
      <c r="S2077" s="247"/>
      <c r="T2077" s="245"/>
      <c r="U2077" s="245"/>
      <c r="V2077" s="241"/>
      <c r="W2077" s="241"/>
      <c r="X2077" s="241"/>
    </row>
    <row r="2078" spans="1:24" ht="13.5" customHeight="1" x14ac:dyDescent="0.3">
      <c r="A2078" s="245"/>
      <c r="B2078" s="246"/>
      <c r="C2078" s="245"/>
      <c r="D2078" s="245"/>
      <c r="E2078" s="245"/>
      <c r="F2078" s="245"/>
      <c r="G2078" s="245"/>
      <c r="H2078" s="245"/>
      <c r="I2078" s="245"/>
      <c r="J2078" s="245"/>
      <c r="K2078" s="245"/>
      <c r="L2078" s="246"/>
      <c r="M2078" s="245"/>
      <c r="N2078" s="245"/>
      <c r="O2078" s="245"/>
      <c r="P2078" s="245"/>
      <c r="Q2078" s="247"/>
      <c r="R2078" s="247"/>
      <c r="S2078" s="247"/>
      <c r="T2078" s="245"/>
      <c r="U2078" s="245"/>
      <c r="V2078" s="241"/>
      <c r="W2078" s="241"/>
      <c r="X2078" s="241"/>
    </row>
    <row r="2079" spans="1:24" ht="13.5" customHeight="1" x14ac:dyDescent="0.3">
      <c r="A2079" s="245"/>
      <c r="B2079" s="246"/>
      <c r="C2079" s="245"/>
      <c r="D2079" s="245"/>
      <c r="E2079" s="245"/>
      <c r="F2079" s="245"/>
      <c r="G2079" s="245"/>
      <c r="H2079" s="245"/>
      <c r="I2079" s="245"/>
      <c r="J2079" s="245"/>
      <c r="K2079" s="245"/>
      <c r="L2079" s="246"/>
      <c r="M2079" s="245"/>
      <c r="N2079" s="245"/>
      <c r="O2079" s="245"/>
      <c r="P2079" s="245"/>
      <c r="Q2079" s="247"/>
      <c r="R2079" s="247"/>
      <c r="S2079" s="247"/>
      <c r="T2079" s="245"/>
      <c r="U2079" s="245"/>
      <c r="V2079" s="241"/>
      <c r="W2079" s="241"/>
      <c r="X2079" s="241"/>
    </row>
    <row r="2080" spans="1:24" ht="13.5" customHeight="1" x14ac:dyDescent="0.3">
      <c r="A2080" s="245"/>
      <c r="B2080" s="246"/>
      <c r="C2080" s="245"/>
      <c r="D2080" s="245"/>
      <c r="E2080" s="245"/>
      <c r="F2080" s="245"/>
      <c r="G2080" s="245"/>
      <c r="H2080" s="245"/>
      <c r="I2080" s="245"/>
      <c r="J2080" s="245"/>
      <c r="K2080" s="245"/>
      <c r="L2080" s="246"/>
      <c r="M2080" s="245"/>
      <c r="N2080" s="245"/>
      <c r="O2080" s="245"/>
      <c r="P2080" s="245"/>
      <c r="Q2080" s="247"/>
      <c r="R2080" s="247"/>
      <c r="S2080" s="247"/>
      <c r="T2080" s="245"/>
      <c r="U2080" s="245"/>
      <c r="V2080" s="241"/>
      <c r="W2080" s="241"/>
      <c r="X2080" s="241"/>
    </row>
    <row r="2081" spans="1:24" ht="13.5" customHeight="1" x14ac:dyDescent="0.3">
      <c r="A2081" s="245"/>
      <c r="B2081" s="246"/>
      <c r="C2081" s="245"/>
      <c r="D2081" s="245"/>
      <c r="E2081" s="245"/>
      <c r="F2081" s="245"/>
      <c r="G2081" s="245"/>
      <c r="H2081" s="245"/>
      <c r="I2081" s="245"/>
      <c r="J2081" s="245"/>
      <c r="K2081" s="245"/>
      <c r="L2081" s="246"/>
      <c r="M2081" s="245"/>
      <c r="N2081" s="245"/>
      <c r="O2081" s="245"/>
      <c r="P2081" s="245"/>
      <c r="Q2081" s="247"/>
      <c r="R2081" s="247"/>
      <c r="S2081" s="247"/>
      <c r="T2081" s="245"/>
      <c r="U2081" s="245"/>
      <c r="V2081" s="241"/>
      <c r="W2081" s="241"/>
      <c r="X2081" s="241"/>
    </row>
    <row r="2082" spans="1:24" ht="13.5" customHeight="1" x14ac:dyDescent="0.3">
      <c r="A2082" s="245"/>
      <c r="B2082" s="246"/>
      <c r="C2082" s="245"/>
      <c r="D2082" s="245"/>
      <c r="E2082" s="245"/>
      <c r="F2082" s="245"/>
      <c r="G2082" s="245"/>
      <c r="H2082" s="245"/>
      <c r="I2082" s="245"/>
      <c r="J2082" s="245"/>
      <c r="K2082" s="245"/>
      <c r="L2082" s="246"/>
      <c r="M2082" s="245"/>
      <c r="N2082" s="245"/>
      <c r="O2082" s="245"/>
      <c r="P2082" s="245"/>
      <c r="Q2082" s="247"/>
      <c r="R2082" s="247"/>
      <c r="S2082" s="247"/>
      <c r="T2082" s="245"/>
      <c r="U2082" s="245"/>
      <c r="V2082" s="241"/>
      <c r="W2082" s="241"/>
      <c r="X2082" s="241"/>
    </row>
    <row r="2083" spans="1:24" ht="13.5" customHeight="1" x14ac:dyDescent="0.3">
      <c r="A2083" s="245"/>
      <c r="B2083" s="246"/>
      <c r="C2083" s="245"/>
      <c r="D2083" s="245"/>
      <c r="E2083" s="245"/>
      <c r="F2083" s="245"/>
      <c r="G2083" s="245"/>
      <c r="H2083" s="245"/>
      <c r="I2083" s="245"/>
      <c r="J2083" s="245"/>
      <c r="K2083" s="245"/>
      <c r="L2083" s="246"/>
      <c r="M2083" s="245"/>
      <c r="N2083" s="245"/>
      <c r="O2083" s="245"/>
      <c r="P2083" s="245"/>
      <c r="Q2083" s="247"/>
      <c r="R2083" s="247"/>
      <c r="S2083" s="247"/>
      <c r="T2083" s="245"/>
      <c r="U2083" s="245"/>
      <c r="V2083" s="241"/>
      <c r="W2083" s="241"/>
      <c r="X2083" s="241"/>
    </row>
    <row r="2084" spans="1:24" ht="13.5" customHeight="1" x14ac:dyDescent="0.3">
      <c r="A2084" s="245"/>
      <c r="B2084" s="246"/>
      <c r="C2084" s="245"/>
      <c r="D2084" s="245"/>
      <c r="E2084" s="245"/>
      <c r="F2084" s="245"/>
      <c r="G2084" s="245"/>
      <c r="H2084" s="245"/>
      <c r="I2084" s="245"/>
      <c r="J2084" s="245"/>
      <c r="K2084" s="245"/>
      <c r="L2084" s="246"/>
      <c r="M2084" s="245"/>
      <c r="N2084" s="245"/>
      <c r="O2084" s="245"/>
      <c r="P2084" s="245"/>
      <c r="Q2084" s="247"/>
      <c r="R2084" s="247"/>
      <c r="S2084" s="247"/>
      <c r="T2084" s="245"/>
      <c r="U2084" s="245"/>
      <c r="V2084" s="241"/>
      <c r="W2084" s="241"/>
      <c r="X2084" s="241"/>
    </row>
    <row r="2085" spans="1:24" ht="13.5" customHeight="1" x14ac:dyDescent="0.3">
      <c r="A2085" s="245"/>
      <c r="B2085" s="246"/>
      <c r="C2085" s="245"/>
      <c r="D2085" s="245"/>
      <c r="E2085" s="245"/>
      <c r="F2085" s="245"/>
      <c r="G2085" s="245"/>
      <c r="H2085" s="245"/>
      <c r="I2085" s="245"/>
      <c r="J2085" s="245"/>
      <c r="K2085" s="245"/>
      <c r="L2085" s="246"/>
      <c r="M2085" s="245"/>
      <c r="N2085" s="245"/>
      <c r="O2085" s="245"/>
      <c r="P2085" s="245"/>
      <c r="Q2085" s="247"/>
      <c r="R2085" s="247"/>
      <c r="S2085" s="247"/>
      <c r="T2085" s="245"/>
      <c r="U2085" s="245"/>
      <c r="V2085" s="241"/>
      <c r="W2085" s="241"/>
      <c r="X2085" s="241"/>
    </row>
    <row r="2086" spans="1:24" ht="13.5" customHeight="1" x14ac:dyDescent="0.3">
      <c r="A2086" s="245"/>
      <c r="B2086" s="246"/>
      <c r="C2086" s="245"/>
      <c r="D2086" s="245"/>
      <c r="E2086" s="245"/>
      <c r="F2086" s="245"/>
      <c r="G2086" s="245"/>
      <c r="H2086" s="245"/>
      <c r="I2086" s="245"/>
      <c r="J2086" s="245"/>
      <c r="K2086" s="245"/>
      <c r="L2086" s="246"/>
      <c r="M2086" s="245"/>
      <c r="N2086" s="245"/>
      <c r="O2086" s="245"/>
      <c r="P2086" s="245"/>
      <c r="Q2086" s="247"/>
      <c r="R2086" s="247"/>
      <c r="S2086" s="247"/>
      <c r="T2086" s="245"/>
      <c r="U2086" s="245"/>
      <c r="V2086" s="241"/>
      <c r="W2086" s="241"/>
      <c r="X2086" s="241"/>
    </row>
    <row r="2087" spans="1:24" ht="13.5" customHeight="1" x14ac:dyDescent="0.3">
      <c r="A2087" s="245"/>
      <c r="B2087" s="246"/>
      <c r="C2087" s="245"/>
      <c r="D2087" s="245"/>
      <c r="E2087" s="245"/>
      <c r="F2087" s="245"/>
      <c r="G2087" s="245"/>
      <c r="H2087" s="245"/>
      <c r="I2087" s="245"/>
      <c r="J2087" s="245"/>
      <c r="K2087" s="245"/>
      <c r="L2087" s="246"/>
      <c r="M2087" s="245"/>
      <c r="N2087" s="245"/>
      <c r="O2087" s="245"/>
      <c r="P2087" s="245"/>
      <c r="Q2087" s="247"/>
      <c r="R2087" s="247"/>
      <c r="S2087" s="247"/>
      <c r="T2087" s="245"/>
      <c r="U2087" s="245"/>
      <c r="V2087" s="241"/>
      <c r="W2087" s="241"/>
      <c r="X2087" s="241"/>
    </row>
    <row r="2088" spans="1:24" ht="13.5" customHeight="1" x14ac:dyDescent="0.3">
      <c r="A2088" s="245"/>
      <c r="B2088" s="246"/>
      <c r="C2088" s="245"/>
      <c r="D2088" s="245"/>
      <c r="E2088" s="245"/>
      <c r="F2088" s="245"/>
      <c r="G2088" s="245"/>
      <c r="H2088" s="245"/>
      <c r="I2088" s="245"/>
      <c r="J2088" s="245"/>
      <c r="K2088" s="245"/>
      <c r="L2088" s="246"/>
      <c r="M2088" s="245"/>
      <c r="N2088" s="245"/>
      <c r="O2088" s="245"/>
      <c r="P2088" s="245"/>
      <c r="Q2088" s="247"/>
      <c r="R2088" s="247"/>
      <c r="S2088" s="247"/>
      <c r="T2088" s="245"/>
      <c r="U2088" s="245"/>
      <c r="V2088" s="241"/>
      <c r="W2088" s="241"/>
      <c r="X2088" s="241"/>
    </row>
    <row r="2089" spans="1:24" ht="13.5" customHeight="1" x14ac:dyDescent="0.3">
      <c r="A2089" s="245"/>
      <c r="B2089" s="246"/>
      <c r="C2089" s="245"/>
      <c r="D2089" s="245"/>
      <c r="E2089" s="245"/>
      <c r="F2089" s="245"/>
      <c r="G2089" s="245"/>
      <c r="H2089" s="245"/>
      <c r="I2089" s="245"/>
      <c r="J2089" s="245"/>
      <c r="K2089" s="245"/>
      <c r="L2089" s="246"/>
      <c r="M2089" s="245"/>
      <c r="N2089" s="245"/>
      <c r="O2089" s="245"/>
      <c r="P2089" s="245"/>
      <c r="Q2089" s="247"/>
      <c r="R2089" s="247"/>
      <c r="S2089" s="247"/>
      <c r="T2089" s="245"/>
      <c r="U2089" s="245"/>
      <c r="V2089" s="241"/>
      <c r="W2089" s="241"/>
      <c r="X2089" s="241"/>
    </row>
    <row r="2090" spans="1:24" ht="13.5" customHeight="1" x14ac:dyDescent="0.3">
      <c r="A2090" s="245"/>
      <c r="B2090" s="246"/>
      <c r="C2090" s="245"/>
      <c r="D2090" s="245"/>
      <c r="E2090" s="245"/>
      <c r="F2090" s="245"/>
      <c r="G2090" s="245"/>
      <c r="H2090" s="245"/>
      <c r="I2090" s="245"/>
      <c r="J2090" s="245"/>
      <c r="K2090" s="245"/>
      <c r="L2090" s="246"/>
      <c r="M2090" s="245"/>
      <c r="N2090" s="245"/>
      <c r="O2090" s="245"/>
      <c r="P2090" s="245"/>
      <c r="Q2090" s="247"/>
      <c r="R2090" s="247"/>
      <c r="S2090" s="247"/>
      <c r="T2090" s="245"/>
      <c r="U2090" s="245"/>
      <c r="V2090" s="241"/>
      <c r="W2090" s="241"/>
      <c r="X2090" s="241"/>
    </row>
    <row r="2091" spans="1:24" ht="13.5" customHeight="1" x14ac:dyDescent="0.3">
      <c r="A2091" s="245"/>
      <c r="B2091" s="246"/>
      <c r="C2091" s="245"/>
      <c r="D2091" s="245"/>
      <c r="E2091" s="245"/>
      <c r="F2091" s="245"/>
      <c r="G2091" s="245"/>
      <c r="H2091" s="245"/>
      <c r="I2091" s="245"/>
      <c r="J2091" s="245"/>
      <c r="K2091" s="245"/>
      <c r="L2091" s="246"/>
      <c r="M2091" s="245"/>
      <c r="N2091" s="245"/>
      <c r="O2091" s="245"/>
      <c r="P2091" s="245"/>
      <c r="Q2091" s="247"/>
      <c r="R2091" s="247"/>
      <c r="S2091" s="247"/>
      <c r="T2091" s="245"/>
      <c r="U2091" s="245"/>
      <c r="V2091" s="241"/>
      <c r="W2091" s="241"/>
      <c r="X2091" s="241"/>
    </row>
    <row r="2092" spans="1:24" ht="13.5" customHeight="1" x14ac:dyDescent="0.3">
      <c r="A2092" s="245"/>
      <c r="B2092" s="246"/>
      <c r="C2092" s="245"/>
      <c r="D2092" s="245"/>
      <c r="E2092" s="245"/>
      <c r="F2092" s="245"/>
      <c r="G2092" s="245"/>
      <c r="H2092" s="245"/>
      <c r="I2092" s="245"/>
      <c r="J2092" s="245"/>
      <c r="K2092" s="245"/>
      <c r="L2092" s="246"/>
      <c r="M2092" s="245"/>
      <c r="N2092" s="245"/>
      <c r="O2092" s="245"/>
      <c r="P2092" s="245"/>
      <c r="Q2092" s="247"/>
      <c r="R2092" s="247"/>
      <c r="S2092" s="247"/>
      <c r="T2092" s="245"/>
      <c r="U2092" s="245"/>
      <c r="V2092" s="241"/>
      <c r="W2092" s="241"/>
      <c r="X2092" s="241"/>
    </row>
    <row r="2093" spans="1:24" ht="13.5" customHeight="1" x14ac:dyDescent="0.3">
      <c r="A2093" s="245"/>
      <c r="B2093" s="246"/>
      <c r="C2093" s="245"/>
      <c r="D2093" s="245"/>
      <c r="E2093" s="245"/>
      <c r="F2093" s="245"/>
      <c r="G2093" s="245"/>
      <c r="H2093" s="245"/>
      <c r="I2093" s="245"/>
      <c r="J2093" s="245"/>
      <c r="K2093" s="245"/>
      <c r="L2093" s="246"/>
      <c r="M2093" s="245"/>
      <c r="N2093" s="245"/>
      <c r="O2093" s="245"/>
      <c r="P2093" s="245"/>
      <c r="Q2093" s="247"/>
      <c r="R2093" s="247"/>
      <c r="S2093" s="247"/>
      <c r="T2093" s="245"/>
      <c r="U2093" s="245"/>
      <c r="V2093" s="241"/>
      <c r="W2093" s="241"/>
      <c r="X2093" s="241"/>
    </row>
    <row r="2094" spans="1:24" ht="13.5" customHeight="1" x14ac:dyDescent="0.3">
      <c r="A2094" s="245"/>
      <c r="B2094" s="246"/>
      <c r="C2094" s="245"/>
      <c r="D2094" s="245"/>
      <c r="E2094" s="245"/>
      <c r="F2094" s="245"/>
      <c r="G2094" s="245"/>
      <c r="H2094" s="245"/>
      <c r="I2094" s="245"/>
      <c r="J2094" s="245"/>
      <c r="K2094" s="245"/>
      <c r="L2094" s="246"/>
      <c r="M2094" s="245"/>
      <c r="N2094" s="245"/>
      <c r="O2094" s="245"/>
      <c r="P2094" s="245"/>
      <c r="Q2094" s="247"/>
      <c r="R2094" s="247"/>
      <c r="S2094" s="247"/>
      <c r="T2094" s="245"/>
      <c r="U2094" s="245"/>
      <c r="V2094" s="241"/>
      <c r="W2094" s="241"/>
      <c r="X2094" s="241"/>
    </row>
    <row r="2095" spans="1:24" ht="13.5" customHeight="1" x14ac:dyDescent="0.3">
      <c r="A2095" s="245"/>
      <c r="B2095" s="246"/>
      <c r="C2095" s="245"/>
      <c r="D2095" s="245"/>
      <c r="E2095" s="245"/>
      <c r="F2095" s="245"/>
      <c r="G2095" s="245"/>
      <c r="H2095" s="245"/>
      <c r="I2095" s="245"/>
      <c r="J2095" s="245"/>
      <c r="K2095" s="245"/>
      <c r="L2095" s="246"/>
      <c r="M2095" s="245"/>
      <c r="N2095" s="245"/>
      <c r="O2095" s="245"/>
      <c r="P2095" s="245"/>
      <c r="Q2095" s="247"/>
      <c r="R2095" s="247"/>
      <c r="S2095" s="247"/>
      <c r="T2095" s="245"/>
      <c r="U2095" s="245"/>
      <c r="V2095" s="241"/>
      <c r="W2095" s="241"/>
      <c r="X2095" s="241"/>
    </row>
    <row r="2096" spans="1:24" ht="13.5" customHeight="1" x14ac:dyDescent="0.3">
      <c r="A2096" s="245"/>
      <c r="B2096" s="246"/>
      <c r="C2096" s="245"/>
      <c r="D2096" s="245"/>
      <c r="E2096" s="245"/>
      <c r="F2096" s="245"/>
      <c r="G2096" s="245"/>
      <c r="H2096" s="245"/>
      <c r="I2096" s="245"/>
      <c r="J2096" s="245"/>
      <c r="K2096" s="245"/>
      <c r="L2096" s="246"/>
      <c r="M2096" s="245"/>
      <c r="N2096" s="245"/>
      <c r="O2096" s="245"/>
      <c r="P2096" s="245"/>
      <c r="Q2096" s="247"/>
      <c r="R2096" s="247"/>
      <c r="S2096" s="247"/>
      <c r="T2096" s="245"/>
      <c r="U2096" s="245"/>
      <c r="V2096" s="241"/>
      <c r="W2096" s="241"/>
      <c r="X2096" s="241"/>
    </row>
    <row r="2097" spans="1:24" ht="13.5" customHeight="1" x14ac:dyDescent="0.3">
      <c r="A2097" s="245"/>
      <c r="B2097" s="246"/>
      <c r="C2097" s="245"/>
      <c r="D2097" s="245"/>
      <c r="E2097" s="245"/>
      <c r="F2097" s="245"/>
      <c r="G2097" s="245"/>
      <c r="H2097" s="245"/>
      <c r="I2097" s="245"/>
      <c r="J2097" s="245"/>
      <c r="K2097" s="245"/>
      <c r="L2097" s="246"/>
      <c r="M2097" s="245"/>
      <c r="N2097" s="245"/>
      <c r="O2097" s="245"/>
      <c r="P2097" s="245"/>
      <c r="Q2097" s="247"/>
      <c r="R2097" s="247"/>
      <c r="S2097" s="247"/>
      <c r="T2097" s="245"/>
      <c r="U2097" s="245"/>
      <c r="V2097" s="241"/>
      <c r="W2097" s="241"/>
      <c r="X2097" s="241"/>
    </row>
    <row r="2098" spans="1:24" ht="13.5" customHeight="1" x14ac:dyDescent="0.3">
      <c r="A2098" s="245"/>
      <c r="B2098" s="246"/>
      <c r="C2098" s="245"/>
      <c r="D2098" s="245"/>
      <c r="E2098" s="245"/>
      <c r="F2098" s="245"/>
      <c r="G2098" s="245"/>
      <c r="H2098" s="245"/>
      <c r="I2098" s="245"/>
      <c r="J2098" s="245"/>
      <c r="K2098" s="245"/>
      <c r="L2098" s="246"/>
      <c r="M2098" s="245"/>
      <c r="N2098" s="245"/>
      <c r="O2098" s="245"/>
      <c r="P2098" s="245"/>
      <c r="Q2098" s="247"/>
      <c r="R2098" s="247"/>
      <c r="S2098" s="247"/>
      <c r="T2098" s="245"/>
      <c r="U2098" s="245"/>
      <c r="V2098" s="241"/>
      <c r="W2098" s="241"/>
      <c r="X2098" s="241"/>
    </row>
    <row r="2099" spans="1:24" ht="13.5" customHeight="1" x14ac:dyDescent="0.3">
      <c r="A2099" s="245"/>
      <c r="B2099" s="246"/>
      <c r="C2099" s="245"/>
      <c r="D2099" s="245"/>
      <c r="E2099" s="245"/>
      <c r="F2099" s="245"/>
      <c r="G2099" s="245"/>
      <c r="H2099" s="245"/>
      <c r="I2099" s="245"/>
      <c r="J2099" s="245"/>
      <c r="K2099" s="245"/>
      <c r="L2099" s="246"/>
      <c r="M2099" s="245"/>
      <c r="N2099" s="245"/>
      <c r="O2099" s="245"/>
      <c r="P2099" s="245"/>
      <c r="Q2099" s="247"/>
      <c r="R2099" s="247"/>
      <c r="S2099" s="247"/>
      <c r="T2099" s="245"/>
      <c r="U2099" s="245"/>
      <c r="V2099" s="241"/>
      <c r="W2099" s="241"/>
      <c r="X2099" s="241"/>
    </row>
    <row r="2100" spans="1:24" ht="13.5" customHeight="1" x14ac:dyDescent="0.3">
      <c r="A2100" s="245"/>
      <c r="B2100" s="246"/>
      <c r="C2100" s="245"/>
      <c r="D2100" s="245"/>
      <c r="E2100" s="245"/>
      <c r="F2100" s="245"/>
      <c r="G2100" s="245"/>
      <c r="H2100" s="245"/>
      <c r="I2100" s="245"/>
      <c r="J2100" s="245"/>
      <c r="K2100" s="245"/>
      <c r="L2100" s="246"/>
      <c r="M2100" s="245"/>
      <c r="N2100" s="245"/>
      <c r="O2100" s="245"/>
      <c r="P2100" s="245"/>
      <c r="Q2100" s="247"/>
      <c r="R2100" s="247"/>
      <c r="S2100" s="247"/>
      <c r="T2100" s="245"/>
      <c r="U2100" s="245"/>
      <c r="V2100" s="241"/>
      <c r="W2100" s="241"/>
      <c r="X2100" s="241"/>
    </row>
    <row r="2101" spans="1:24" ht="13.5" customHeight="1" x14ac:dyDescent="0.3">
      <c r="A2101" s="245"/>
      <c r="B2101" s="246"/>
      <c r="C2101" s="245"/>
      <c r="D2101" s="245"/>
      <c r="E2101" s="245"/>
      <c r="F2101" s="245"/>
      <c r="G2101" s="245"/>
      <c r="H2101" s="245"/>
      <c r="I2101" s="245"/>
      <c r="J2101" s="245"/>
      <c r="K2101" s="245"/>
      <c r="L2101" s="246"/>
      <c r="M2101" s="245"/>
      <c r="N2101" s="245"/>
      <c r="O2101" s="245"/>
      <c r="P2101" s="245"/>
      <c r="Q2101" s="247"/>
      <c r="R2101" s="247"/>
      <c r="S2101" s="247"/>
      <c r="T2101" s="245"/>
      <c r="U2101" s="245"/>
      <c r="V2101" s="241"/>
      <c r="W2101" s="241"/>
      <c r="X2101" s="241"/>
    </row>
    <row r="2102" spans="1:24" ht="13.5" customHeight="1" x14ac:dyDescent="0.3">
      <c r="A2102" s="245"/>
      <c r="B2102" s="246"/>
      <c r="C2102" s="245"/>
      <c r="D2102" s="245"/>
      <c r="E2102" s="245"/>
      <c r="F2102" s="245"/>
      <c r="G2102" s="245"/>
      <c r="H2102" s="245"/>
      <c r="I2102" s="245"/>
      <c r="J2102" s="245"/>
      <c r="K2102" s="245"/>
      <c r="L2102" s="246"/>
      <c r="M2102" s="245"/>
      <c r="N2102" s="245"/>
      <c r="O2102" s="245"/>
      <c r="P2102" s="245"/>
      <c r="Q2102" s="247"/>
      <c r="R2102" s="247"/>
      <c r="S2102" s="247"/>
      <c r="T2102" s="245"/>
      <c r="U2102" s="245"/>
      <c r="V2102" s="241"/>
      <c r="W2102" s="241"/>
      <c r="X2102" s="241"/>
    </row>
    <row r="2103" spans="1:24" ht="13.5" customHeight="1" x14ac:dyDescent="0.3">
      <c r="A2103" s="245"/>
      <c r="B2103" s="246"/>
      <c r="C2103" s="245"/>
      <c r="D2103" s="245"/>
      <c r="E2103" s="245"/>
      <c r="F2103" s="245"/>
      <c r="G2103" s="245"/>
      <c r="H2103" s="245"/>
      <c r="I2103" s="245"/>
      <c r="J2103" s="245"/>
      <c r="K2103" s="245"/>
      <c r="L2103" s="246"/>
      <c r="M2103" s="245"/>
      <c r="N2103" s="245"/>
      <c r="O2103" s="245"/>
      <c r="P2103" s="245"/>
      <c r="Q2103" s="247"/>
      <c r="R2103" s="247"/>
      <c r="S2103" s="247"/>
      <c r="T2103" s="245"/>
      <c r="U2103" s="245"/>
      <c r="V2103" s="241"/>
      <c r="W2103" s="241"/>
      <c r="X2103" s="241"/>
    </row>
    <row r="2104" spans="1:24" ht="13.5" customHeight="1" x14ac:dyDescent="0.3">
      <c r="A2104" s="245"/>
      <c r="B2104" s="246"/>
      <c r="C2104" s="245"/>
      <c r="D2104" s="245"/>
      <c r="E2104" s="245"/>
      <c r="F2104" s="245"/>
      <c r="G2104" s="245"/>
      <c r="H2104" s="245"/>
      <c r="I2104" s="245"/>
      <c r="J2104" s="245"/>
      <c r="K2104" s="245"/>
      <c r="L2104" s="246"/>
      <c r="M2104" s="245"/>
      <c r="N2104" s="245"/>
      <c r="O2104" s="245"/>
      <c r="P2104" s="245"/>
      <c r="Q2104" s="247"/>
      <c r="R2104" s="247"/>
      <c r="S2104" s="247"/>
      <c r="T2104" s="245"/>
      <c r="U2104" s="245"/>
      <c r="V2104" s="241"/>
      <c r="W2104" s="241"/>
      <c r="X2104" s="241"/>
    </row>
    <row r="2105" spans="1:24" ht="13.5" customHeight="1" x14ac:dyDescent="0.3">
      <c r="A2105" s="245"/>
      <c r="B2105" s="246"/>
      <c r="C2105" s="245"/>
      <c r="D2105" s="245"/>
      <c r="E2105" s="245"/>
      <c r="F2105" s="245"/>
      <c r="G2105" s="245"/>
      <c r="H2105" s="245"/>
      <c r="I2105" s="245"/>
      <c r="J2105" s="245"/>
      <c r="K2105" s="245"/>
      <c r="L2105" s="246"/>
      <c r="M2105" s="245"/>
      <c r="N2105" s="245"/>
      <c r="O2105" s="245"/>
      <c r="P2105" s="245"/>
      <c r="Q2105" s="247"/>
      <c r="R2105" s="247"/>
      <c r="S2105" s="247"/>
      <c r="T2105" s="245"/>
      <c r="U2105" s="245"/>
      <c r="V2105" s="241"/>
      <c r="W2105" s="241"/>
      <c r="X2105" s="241"/>
    </row>
    <row r="2106" spans="1:24" ht="13.5" customHeight="1" x14ac:dyDescent="0.3">
      <c r="A2106" s="245"/>
      <c r="B2106" s="246"/>
      <c r="C2106" s="245"/>
      <c r="D2106" s="245"/>
      <c r="E2106" s="245"/>
      <c r="F2106" s="245"/>
      <c r="G2106" s="245"/>
      <c r="H2106" s="245"/>
      <c r="I2106" s="245"/>
      <c r="J2106" s="245"/>
      <c r="K2106" s="245"/>
      <c r="L2106" s="246"/>
      <c r="M2106" s="245"/>
      <c r="N2106" s="245"/>
      <c r="O2106" s="245"/>
      <c r="P2106" s="245"/>
      <c r="Q2106" s="247"/>
      <c r="R2106" s="247"/>
      <c r="S2106" s="247"/>
      <c r="T2106" s="245"/>
      <c r="U2106" s="245"/>
      <c r="V2106" s="241"/>
      <c r="W2106" s="241"/>
      <c r="X2106" s="241"/>
    </row>
    <row r="2107" spans="1:24" ht="13.5" customHeight="1" x14ac:dyDescent="0.3">
      <c r="A2107" s="245"/>
      <c r="B2107" s="246"/>
      <c r="C2107" s="245"/>
      <c r="D2107" s="245"/>
      <c r="E2107" s="245"/>
      <c r="F2107" s="245"/>
      <c r="G2107" s="245"/>
      <c r="H2107" s="245"/>
      <c r="I2107" s="245"/>
      <c r="J2107" s="245"/>
      <c r="K2107" s="245"/>
      <c r="L2107" s="246"/>
      <c r="M2107" s="245"/>
      <c r="N2107" s="245"/>
      <c r="O2107" s="245"/>
      <c r="P2107" s="245"/>
      <c r="Q2107" s="247"/>
      <c r="R2107" s="247"/>
      <c r="S2107" s="247"/>
      <c r="T2107" s="245"/>
      <c r="U2107" s="245"/>
      <c r="V2107" s="241"/>
      <c r="W2107" s="241"/>
      <c r="X2107" s="241"/>
    </row>
    <row r="2108" spans="1:24" ht="13.5" customHeight="1" x14ac:dyDescent="0.3">
      <c r="A2108" s="245"/>
      <c r="B2108" s="246"/>
      <c r="C2108" s="245"/>
      <c r="D2108" s="245"/>
      <c r="E2108" s="245"/>
      <c r="F2108" s="245"/>
      <c r="G2108" s="245"/>
      <c r="H2108" s="245"/>
      <c r="I2108" s="245"/>
      <c r="J2108" s="245"/>
      <c r="K2108" s="245"/>
      <c r="L2108" s="246"/>
      <c r="M2108" s="245"/>
      <c r="N2108" s="245"/>
      <c r="O2108" s="245"/>
      <c r="P2108" s="245"/>
      <c r="Q2108" s="247"/>
      <c r="R2108" s="247"/>
      <c r="S2108" s="247"/>
      <c r="T2108" s="245"/>
      <c r="U2108" s="245"/>
      <c r="V2108" s="241"/>
      <c r="W2108" s="241"/>
      <c r="X2108" s="241"/>
    </row>
    <row r="2109" spans="1:24" ht="13.5" customHeight="1" x14ac:dyDescent="0.3">
      <c r="A2109" s="245"/>
      <c r="B2109" s="246"/>
      <c r="C2109" s="245"/>
      <c r="D2109" s="245"/>
      <c r="E2109" s="245"/>
      <c r="F2109" s="245"/>
      <c r="G2109" s="245"/>
      <c r="H2109" s="245"/>
      <c r="I2109" s="245"/>
      <c r="J2109" s="245"/>
      <c r="K2109" s="245"/>
      <c r="L2109" s="246"/>
      <c r="M2109" s="245"/>
      <c r="N2109" s="245"/>
      <c r="O2109" s="245"/>
      <c r="P2109" s="245"/>
      <c r="Q2109" s="247"/>
      <c r="R2109" s="247"/>
      <c r="S2109" s="247"/>
      <c r="T2109" s="245"/>
      <c r="U2109" s="245"/>
      <c r="V2109" s="241"/>
      <c r="W2109" s="241"/>
      <c r="X2109" s="241"/>
    </row>
    <row r="2110" spans="1:24" ht="13.5" customHeight="1" x14ac:dyDescent="0.3">
      <c r="A2110" s="245"/>
      <c r="B2110" s="246"/>
      <c r="C2110" s="245"/>
      <c r="D2110" s="245"/>
      <c r="E2110" s="245"/>
      <c r="F2110" s="245"/>
      <c r="G2110" s="245"/>
      <c r="H2110" s="245"/>
      <c r="I2110" s="245"/>
      <c r="J2110" s="245"/>
      <c r="K2110" s="245"/>
      <c r="L2110" s="246"/>
      <c r="M2110" s="245"/>
      <c r="N2110" s="245"/>
      <c r="O2110" s="245"/>
      <c r="P2110" s="245"/>
      <c r="Q2110" s="247"/>
      <c r="R2110" s="247"/>
      <c r="S2110" s="247"/>
      <c r="T2110" s="245"/>
      <c r="U2110" s="245"/>
      <c r="V2110" s="241"/>
      <c r="W2110" s="241"/>
      <c r="X2110" s="241"/>
    </row>
    <row r="2111" spans="1:24" ht="13.5" customHeight="1" x14ac:dyDescent="0.3">
      <c r="A2111" s="245"/>
      <c r="B2111" s="246"/>
      <c r="C2111" s="245"/>
      <c r="D2111" s="245"/>
      <c r="E2111" s="245"/>
      <c r="F2111" s="245"/>
      <c r="G2111" s="245"/>
      <c r="H2111" s="245"/>
      <c r="I2111" s="245"/>
      <c r="J2111" s="245"/>
      <c r="K2111" s="245"/>
      <c r="L2111" s="246"/>
      <c r="M2111" s="245"/>
      <c r="N2111" s="245"/>
      <c r="O2111" s="245"/>
      <c r="P2111" s="245"/>
      <c r="Q2111" s="247"/>
      <c r="R2111" s="247"/>
      <c r="S2111" s="247"/>
      <c r="T2111" s="245"/>
      <c r="U2111" s="245"/>
      <c r="V2111" s="241"/>
      <c r="W2111" s="241"/>
      <c r="X2111" s="241"/>
    </row>
    <row r="2112" spans="1:24" ht="13.5" customHeight="1" x14ac:dyDescent="0.3">
      <c r="A2112" s="245"/>
      <c r="B2112" s="246"/>
      <c r="C2112" s="245"/>
      <c r="D2112" s="245"/>
      <c r="E2112" s="245"/>
      <c r="F2112" s="245"/>
      <c r="G2112" s="245"/>
      <c r="H2112" s="245"/>
      <c r="I2112" s="245"/>
      <c r="J2112" s="245"/>
      <c r="K2112" s="245"/>
      <c r="L2112" s="246"/>
      <c r="M2112" s="245"/>
      <c r="N2112" s="245"/>
      <c r="O2112" s="245"/>
      <c r="P2112" s="245"/>
      <c r="Q2112" s="247"/>
      <c r="R2112" s="247"/>
      <c r="S2112" s="247"/>
      <c r="T2112" s="245"/>
      <c r="U2112" s="245"/>
      <c r="V2112" s="241"/>
      <c r="W2112" s="241"/>
      <c r="X2112" s="241"/>
    </row>
    <row r="2113" spans="1:24" ht="13.5" customHeight="1" x14ac:dyDescent="0.3">
      <c r="A2113" s="245"/>
      <c r="B2113" s="246"/>
      <c r="C2113" s="245"/>
      <c r="D2113" s="245"/>
      <c r="E2113" s="245"/>
      <c r="F2113" s="245"/>
      <c r="G2113" s="245"/>
      <c r="H2113" s="245"/>
      <c r="I2113" s="245"/>
      <c r="J2113" s="245"/>
      <c r="K2113" s="245"/>
      <c r="L2113" s="246"/>
      <c r="M2113" s="245"/>
      <c r="N2113" s="245"/>
      <c r="O2113" s="245"/>
      <c r="P2113" s="245"/>
      <c r="Q2113" s="247"/>
      <c r="R2113" s="247"/>
      <c r="S2113" s="247"/>
      <c r="T2113" s="245"/>
      <c r="U2113" s="245"/>
      <c r="V2113" s="241"/>
      <c r="W2113" s="241"/>
      <c r="X2113" s="241"/>
    </row>
    <row r="2114" spans="1:24" ht="13.5" customHeight="1" x14ac:dyDescent="0.3">
      <c r="A2114" s="245"/>
      <c r="B2114" s="246"/>
      <c r="C2114" s="245"/>
      <c r="D2114" s="245"/>
      <c r="E2114" s="245"/>
      <c r="F2114" s="245"/>
      <c r="G2114" s="245"/>
      <c r="H2114" s="245"/>
      <c r="I2114" s="245"/>
      <c r="J2114" s="245"/>
      <c r="K2114" s="245"/>
      <c r="L2114" s="246"/>
      <c r="M2114" s="245"/>
      <c r="N2114" s="245"/>
      <c r="O2114" s="245"/>
      <c r="P2114" s="245"/>
      <c r="Q2114" s="247"/>
      <c r="R2114" s="247"/>
      <c r="S2114" s="247"/>
      <c r="T2114" s="245"/>
      <c r="U2114" s="245"/>
      <c r="V2114" s="241"/>
      <c r="W2114" s="241"/>
      <c r="X2114" s="241"/>
    </row>
    <row r="2115" spans="1:24" ht="13.5" customHeight="1" x14ac:dyDescent="0.3">
      <c r="A2115" s="245"/>
      <c r="B2115" s="246"/>
      <c r="C2115" s="245"/>
      <c r="D2115" s="245"/>
      <c r="E2115" s="245"/>
      <c r="F2115" s="245"/>
      <c r="G2115" s="245"/>
      <c r="H2115" s="245"/>
      <c r="I2115" s="245"/>
      <c r="J2115" s="245"/>
      <c r="K2115" s="245"/>
      <c r="L2115" s="246"/>
      <c r="M2115" s="245"/>
      <c r="N2115" s="245"/>
      <c r="O2115" s="245"/>
      <c r="P2115" s="245"/>
      <c r="Q2115" s="247"/>
      <c r="R2115" s="247"/>
      <c r="S2115" s="247"/>
      <c r="T2115" s="245"/>
      <c r="U2115" s="245"/>
      <c r="V2115" s="241"/>
      <c r="W2115" s="241"/>
      <c r="X2115" s="241"/>
    </row>
    <row r="2116" spans="1:24" ht="13.5" customHeight="1" x14ac:dyDescent="0.3">
      <c r="A2116" s="245"/>
      <c r="B2116" s="246"/>
      <c r="C2116" s="245"/>
      <c r="D2116" s="245"/>
      <c r="E2116" s="245"/>
      <c r="F2116" s="245"/>
      <c r="G2116" s="245"/>
      <c r="H2116" s="245"/>
      <c r="I2116" s="245"/>
      <c r="J2116" s="245"/>
      <c r="K2116" s="245"/>
      <c r="L2116" s="246"/>
      <c r="M2116" s="245"/>
      <c r="N2116" s="245"/>
      <c r="O2116" s="245"/>
      <c r="P2116" s="245"/>
      <c r="Q2116" s="247"/>
      <c r="R2116" s="247"/>
      <c r="S2116" s="247"/>
      <c r="T2116" s="245"/>
      <c r="U2116" s="245"/>
      <c r="V2116" s="241"/>
      <c r="W2116" s="241"/>
      <c r="X2116" s="241"/>
    </row>
    <row r="2117" spans="1:24" ht="13.5" customHeight="1" x14ac:dyDescent="0.3">
      <c r="A2117" s="245"/>
      <c r="B2117" s="246"/>
      <c r="C2117" s="245"/>
      <c r="D2117" s="245"/>
      <c r="E2117" s="245"/>
      <c r="F2117" s="245"/>
      <c r="G2117" s="245"/>
      <c r="H2117" s="245"/>
      <c r="I2117" s="245"/>
      <c r="J2117" s="245"/>
      <c r="K2117" s="245"/>
      <c r="L2117" s="246"/>
      <c r="M2117" s="245"/>
      <c r="N2117" s="245"/>
      <c r="O2117" s="245"/>
      <c r="P2117" s="245"/>
      <c r="Q2117" s="247"/>
      <c r="R2117" s="247"/>
      <c r="S2117" s="247"/>
      <c r="T2117" s="245"/>
      <c r="U2117" s="245"/>
      <c r="V2117" s="241"/>
      <c r="W2117" s="241"/>
      <c r="X2117" s="241"/>
    </row>
    <row r="2118" spans="1:24" ht="13.5" customHeight="1" x14ac:dyDescent="0.3">
      <c r="A2118" s="245"/>
      <c r="B2118" s="246"/>
      <c r="C2118" s="245"/>
      <c r="D2118" s="245"/>
      <c r="E2118" s="245"/>
      <c r="F2118" s="245"/>
      <c r="G2118" s="245"/>
      <c r="H2118" s="245"/>
      <c r="I2118" s="245"/>
      <c r="J2118" s="245"/>
      <c r="K2118" s="245"/>
      <c r="L2118" s="246"/>
      <c r="M2118" s="245"/>
      <c r="N2118" s="245"/>
      <c r="O2118" s="245"/>
      <c r="P2118" s="245"/>
      <c r="Q2118" s="247"/>
      <c r="R2118" s="247"/>
      <c r="S2118" s="247"/>
      <c r="T2118" s="245"/>
      <c r="U2118" s="245"/>
      <c r="V2118" s="241"/>
      <c r="W2118" s="241"/>
      <c r="X2118" s="241"/>
    </row>
    <row r="2119" spans="1:24" ht="13.5" customHeight="1" x14ac:dyDescent="0.3">
      <c r="A2119" s="245"/>
      <c r="B2119" s="246"/>
      <c r="C2119" s="245"/>
      <c r="D2119" s="245"/>
      <c r="E2119" s="245"/>
      <c r="F2119" s="245"/>
      <c r="G2119" s="245"/>
      <c r="H2119" s="245"/>
      <c r="I2119" s="245"/>
      <c r="J2119" s="245"/>
      <c r="K2119" s="245"/>
      <c r="L2119" s="246"/>
      <c r="M2119" s="245"/>
      <c r="N2119" s="245"/>
      <c r="O2119" s="245"/>
      <c r="P2119" s="245"/>
      <c r="Q2119" s="247"/>
      <c r="R2119" s="247"/>
      <c r="S2119" s="247"/>
      <c r="T2119" s="245"/>
      <c r="U2119" s="245"/>
      <c r="V2119" s="241"/>
      <c r="W2119" s="241"/>
      <c r="X2119" s="241"/>
    </row>
    <row r="2120" spans="1:24" ht="13.5" customHeight="1" x14ac:dyDescent="0.3">
      <c r="A2120" s="245"/>
      <c r="B2120" s="246"/>
      <c r="C2120" s="245"/>
      <c r="D2120" s="245"/>
      <c r="E2120" s="245"/>
      <c r="F2120" s="245"/>
      <c r="G2120" s="245"/>
      <c r="H2120" s="245"/>
      <c r="I2120" s="245"/>
      <c r="J2120" s="245"/>
      <c r="K2120" s="245"/>
      <c r="L2120" s="246"/>
      <c r="M2120" s="245"/>
      <c r="N2120" s="245"/>
      <c r="O2120" s="245"/>
      <c r="P2120" s="245"/>
      <c r="Q2120" s="247"/>
      <c r="R2120" s="247"/>
      <c r="S2120" s="247"/>
      <c r="T2120" s="245"/>
      <c r="U2120" s="245"/>
      <c r="V2120" s="241"/>
      <c r="W2120" s="241"/>
      <c r="X2120" s="241"/>
    </row>
    <row r="2121" spans="1:24" ht="13.5" customHeight="1" x14ac:dyDescent="0.3">
      <c r="A2121" s="245"/>
      <c r="B2121" s="246"/>
      <c r="C2121" s="245"/>
      <c r="D2121" s="245"/>
      <c r="E2121" s="245"/>
      <c r="F2121" s="245"/>
      <c r="G2121" s="245"/>
      <c r="H2121" s="245"/>
      <c r="I2121" s="245"/>
      <c r="J2121" s="245"/>
      <c r="K2121" s="245"/>
      <c r="L2121" s="246"/>
      <c r="M2121" s="245"/>
      <c r="N2121" s="245"/>
      <c r="O2121" s="245"/>
      <c r="P2121" s="245"/>
      <c r="Q2121" s="247"/>
      <c r="R2121" s="247"/>
      <c r="S2121" s="247"/>
      <c r="T2121" s="245"/>
      <c r="U2121" s="245"/>
      <c r="V2121" s="241"/>
      <c r="W2121" s="241"/>
      <c r="X2121" s="241"/>
    </row>
    <row r="2122" spans="1:24" ht="13.5" customHeight="1" x14ac:dyDescent="0.3">
      <c r="A2122" s="245"/>
      <c r="B2122" s="246"/>
      <c r="C2122" s="245"/>
      <c r="D2122" s="245"/>
      <c r="E2122" s="245"/>
      <c r="F2122" s="245"/>
      <c r="G2122" s="245"/>
      <c r="H2122" s="245"/>
      <c r="I2122" s="245"/>
      <c r="J2122" s="245"/>
      <c r="K2122" s="245"/>
      <c r="L2122" s="246"/>
      <c r="M2122" s="245"/>
      <c r="N2122" s="245"/>
      <c r="O2122" s="245"/>
      <c r="P2122" s="245"/>
      <c r="Q2122" s="247"/>
      <c r="R2122" s="247"/>
      <c r="S2122" s="247"/>
      <c r="T2122" s="245"/>
      <c r="U2122" s="245"/>
      <c r="V2122" s="241"/>
      <c r="W2122" s="241"/>
      <c r="X2122" s="241"/>
    </row>
    <row r="2123" spans="1:24" ht="13.5" customHeight="1" x14ac:dyDescent="0.3">
      <c r="A2123" s="245"/>
      <c r="B2123" s="246"/>
      <c r="C2123" s="245"/>
      <c r="D2123" s="245"/>
      <c r="E2123" s="245"/>
      <c r="F2123" s="245"/>
      <c r="G2123" s="245"/>
      <c r="H2123" s="245"/>
      <c r="I2123" s="245"/>
      <c r="J2123" s="245"/>
      <c r="K2123" s="245"/>
      <c r="L2123" s="246"/>
      <c r="M2123" s="245"/>
      <c r="N2123" s="245"/>
      <c r="O2123" s="245"/>
      <c r="P2123" s="245"/>
      <c r="Q2123" s="247"/>
      <c r="R2123" s="247"/>
      <c r="S2123" s="247"/>
      <c r="T2123" s="245"/>
      <c r="U2123" s="245"/>
      <c r="V2123" s="241"/>
      <c r="W2123" s="241"/>
      <c r="X2123" s="241"/>
    </row>
    <row r="2124" spans="1:24" ht="13.5" customHeight="1" x14ac:dyDescent="0.3">
      <c r="A2124" s="245"/>
      <c r="B2124" s="246"/>
      <c r="C2124" s="245"/>
      <c r="D2124" s="245"/>
      <c r="E2124" s="245"/>
      <c r="F2124" s="245"/>
      <c r="G2124" s="245"/>
      <c r="H2124" s="245"/>
      <c r="I2124" s="245"/>
      <c r="J2124" s="245"/>
      <c r="K2124" s="245"/>
      <c r="L2124" s="246"/>
      <c r="M2124" s="245"/>
      <c r="N2124" s="245"/>
      <c r="O2124" s="245"/>
      <c r="P2124" s="245"/>
      <c r="Q2124" s="247"/>
      <c r="R2124" s="247"/>
      <c r="S2124" s="247"/>
      <c r="T2124" s="245"/>
      <c r="U2124" s="245"/>
      <c r="V2124" s="241"/>
      <c r="W2124" s="241"/>
      <c r="X2124" s="241"/>
    </row>
    <row r="2125" spans="1:24" ht="13.5" customHeight="1" x14ac:dyDescent="0.3">
      <c r="A2125" s="245"/>
      <c r="B2125" s="246"/>
      <c r="C2125" s="245"/>
      <c r="D2125" s="245"/>
      <c r="E2125" s="245"/>
      <c r="F2125" s="245"/>
      <c r="G2125" s="245"/>
      <c r="H2125" s="245"/>
      <c r="I2125" s="245"/>
      <c r="J2125" s="245"/>
      <c r="K2125" s="245"/>
      <c r="L2125" s="246"/>
      <c r="M2125" s="245"/>
      <c r="N2125" s="245"/>
      <c r="O2125" s="245"/>
      <c r="P2125" s="245"/>
      <c r="Q2125" s="247"/>
      <c r="R2125" s="247"/>
      <c r="S2125" s="247"/>
      <c r="T2125" s="245"/>
      <c r="U2125" s="245"/>
      <c r="V2125" s="241"/>
      <c r="W2125" s="241"/>
      <c r="X2125" s="241"/>
    </row>
    <row r="2126" spans="1:24" ht="13.5" customHeight="1" x14ac:dyDescent="0.3">
      <c r="A2126" s="245"/>
      <c r="B2126" s="246"/>
      <c r="C2126" s="245"/>
      <c r="D2126" s="245"/>
      <c r="E2126" s="245"/>
      <c r="F2126" s="245"/>
      <c r="G2126" s="245"/>
      <c r="H2126" s="245"/>
      <c r="I2126" s="245"/>
      <c r="J2126" s="245"/>
      <c r="K2126" s="245"/>
      <c r="L2126" s="246"/>
      <c r="M2126" s="245"/>
      <c r="N2126" s="245"/>
      <c r="O2126" s="245"/>
      <c r="P2126" s="245"/>
      <c r="Q2126" s="247"/>
      <c r="R2126" s="247"/>
      <c r="S2126" s="247"/>
      <c r="T2126" s="245"/>
      <c r="U2126" s="245"/>
      <c r="V2126" s="241"/>
      <c r="W2126" s="241"/>
      <c r="X2126" s="241"/>
    </row>
    <row r="2127" spans="1:24" ht="13.5" customHeight="1" x14ac:dyDescent="0.3">
      <c r="A2127" s="245"/>
      <c r="B2127" s="246"/>
      <c r="C2127" s="245"/>
      <c r="D2127" s="245"/>
      <c r="E2127" s="245"/>
      <c r="F2127" s="245"/>
      <c r="G2127" s="245"/>
      <c r="H2127" s="245"/>
      <c r="I2127" s="245"/>
      <c r="J2127" s="245"/>
      <c r="K2127" s="245"/>
      <c r="L2127" s="246"/>
      <c r="M2127" s="245"/>
      <c r="N2127" s="245"/>
      <c r="O2127" s="245"/>
      <c r="P2127" s="245"/>
      <c r="Q2127" s="247"/>
      <c r="R2127" s="247"/>
      <c r="S2127" s="247"/>
      <c r="T2127" s="245"/>
      <c r="U2127" s="245"/>
      <c r="V2127" s="241"/>
      <c r="W2127" s="241"/>
      <c r="X2127" s="241"/>
    </row>
    <row r="2128" spans="1:24" ht="13.5" customHeight="1" x14ac:dyDescent="0.3">
      <c r="A2128" s="245"/>
      <c r="B2128" s="246"/>
      <c r="C2128" s="245"/>
      <c r="D2128" s="245"/>
      <c r="E2128" s="245"/>
      <c r="F2128" s="245"/>
      <c r="G2128" s="245"/>
      <c r="H2128" s="245"/>
      <c r="I2128" s="245"/>
      <c r="J2128" s="245"/>
      <c r="K2128" s="245"/>
      <c r="L2128" s="246"/>
      <c r="M2128" s="245"/>
      <c r="N2128" s="245"/>
      <c r="O2128" s="245"/>
      <c r="P2128" s="245"/>
      <c r="Q2128" s="247"/>
      <c r="R2128" s="247"/>
      <c r="S2128" s="247"/>
      <c r="T2128" s="245"/>
      <c r="U2128" s="245"/>
      <c r="V2128" s="241"/>
      <c r="W2128" s="241"/>
      <c r="X2128" s="241"/>
    </row>
    <row r="2129" spans="1:24" ht="13.5" customHeight="1" x14ac:dyDescent="0.3">
      <c r="A2129" s="245"/>
      <c r="B2129" s="246"/>
      <c r="C2129" s="245"/>
      <c r="D2129" s="245"/>
      <c r="E2129" s="245"/>
      <c r="F2129" s="245"/>
      <c r="G2129" s="245"/>
      <c r="H2129" s="245"/>
      <c r="I2129" s="245"/>
      <c r="J2129" s="245"/>
      <c r="K2129" s="245"/>
      <c r="L2129" s="246"/>
      <c r="M2129" s="245"/>
      <c r="N2129" s="245"/>
      <c r="O2129" s="245"/>
      <c r="P2129" s="245"/>
      <c r="Q2129" s="247"/>
      <c r="R2129" s="247"/>
      <c r="S2129" s="247"/>
      <c r="T2129" s="245"/>
      <c r="U2129" s="245"/>
      <c r="V2129" s="241"/>
      <c r="W2129" s="241"/>
      <c r="X2129" s="241"/>
    </row>
    <row r="2130" spans="1:24" ht="13.5" customHeight="1" x14ac:dyDescent="0.3">
      <c r="A2130" s="245"/>
      <c r="B2130" s="246"/>
      <c r="C2130" s="245"/>
      <c r="D2130" s="245"/>
      <c r="E2130" s="245"/>
      <c r="F2130" s="245"/>
      <c r="G2130" s="245"/>
      <c r="H2130" s="245"/>
      <c r="I2130" s="245"/>
      <c r="J2130" s="245"/>
      <c r="K2130" s="245"/>
      <c r="L2130" s="246"/>
      <c r="M2130" s="245"/>
      <c r="N2130" s="245"/>
      <c r="O2130" s="245"/>
      <c r="P2130" s="245"/>
      <c r="Q2130" s="247"/>
      <c r="R2130" s="247"/>
      <c r="S2130" s="247"/>
      <c r="T2130" s="245"/>
      <c r="U2130" s="245"/>
      <c r="V2130" s="241"/>
      <c r="W2130" s="241"/>
      <c r="X2130" s="241"/>
    </row>
    <row r="2131" spans="1:24" ht="13.5" customHeight="1" x14ac:dyDescent="0.3">
      <c r="A2131" s="245"/>
      <c r="B2131" s="246"/>
      <c r="C2131" s="245"/>
      <c r="D2131" s="245"/>
      <c r="E2131" s="245"/>
      <c r="F2131" s="245"/>
      <c r="G2131" s="245"/>
      <c r="H2131" s="245"/>
      <c r="I2131" s="245"/>
      <c r="J2131" s="245"/>
      <c r="K2131" s="245"/>
      <c r="L2131" s="246"/>
      <c r="M2131" s="245"/>
      <c r="N2131" s="245"/>
      <c r="O2131" s="245"/>
      <c r="P2131" s="245"/>
      <c r="Q2131" s="247"/>
      <c r="R2131" s="247"/>
      <c r="S2131" s="247"/>
      <c r="T2131" s="245"/>
      <c r="U2131" s="245"/>
      <c r="V2131" s="241"/>
      <c r="W2131" s="241"/>
      <c r="X2131" s="241"/>
    </row>
    <row r="2132" spans="1:24" ht="13.5" customHeight="1" x14ac:dyDescent="0.3">
      <c r="A2132" s="245"/>
      <c r="B2132" s="246"/>
      <c r="C2132" s="245"/>
      <c r="D2132" s="245"/>
      <c r="E2132" s="245"/>
      <c r="F2132" s="245"/>
      <c r="G2132" s="245"/>
      <c r="H2132" s="245"/>
      <c r="I2132" s="245"/>
      <c r="J2132" s="245"/>
      <c r="K2132" s="245"/>
      <c r="L2132" s="246"/>
      <c r="M2132" s="245"/>
      <c r="N2132" s="245"/>
      <c r="O2132" s="245"/>
      <c r="P2132" s="245"/>
      <c r="Q2132" s="247"/>
      <c r="R2132" s="247"/>
      <c r="S2132" s="247"/>
      <c r="T2132" s="245"/>
      <c r="U2132" s="245"/>
      <c r="V2132" s="241"/>
      <c r="W2132" s="241"/>
      <c r="X2132" s="241"/>
    </row>
    <row r="2133" spans="1:24" ht="13.5" customHeight="1" x14ac:dyDescent="0.3">
      <c r="A2133" s="245"/>
      <c r="B2133" s="246"/>
      <c r="C2133" s="245"/>
      <c r="D2133" s="245"/>
      <c r="E2133" s="245"/>
      <c r="F2133" s="245"/>
      <c r="G2133" s="245"/>
      <c r="H2133" s="245"/>
      <c r="I2133" s="245"/>
      <c r="J2133" s="245"/>
      <c r="K2133" s="245"/>
      <c r="L2133" s="246"/>
      <c r="M2133" s="245"/>
      <c r="N2133" s="245"/>
      <c r="O2133" s="245"/>
      <c r="P2133" s="245"/>
      <c r="Q2133" s="247"/>
      <c r="R2133" s="247"/>
      <c r="S2133" s="247"/>
      <c r="T2133" s="245"/>
      <c r="U2133" s="245"/>
      <c r="V2133" s="241"/>
      <c r="W2133" s="241"/>
      <c r="X2133" s="241"/>
    </row>
    <row r="2134" spans="1:24" ht="13.5" customHeight="1" x14ac:dyDescent="0.3">
      <c r="A2134" s="245"/>
      <c r="B2134" s="246"/>
      <c r="C2134" s="245"/>
      <c r="D2134" s="245"/>
      <c r="E2134" s="245"/>
      <c r="F2134" s="245"/>
      <c r="G2134" s="245"/>
      <c r="H2134" s="245"/>
      <c r="I2134" s="245"/>
      <c r="J2134" s="245"/>
      <c r="K2134" s="245"/>
      <c r="L2134" s="246"/>
      <c r="M2134" s="245"/>
      <c r="N2134" s="245"/>
      <c r="O2134" s="245"/>
      <c r="P2134" s="245"/>
      <c r="Q2134" s="247"/>
      <c r="R2134" s="247"/>
      <c r="S2134" s="247"/>
      <c r="T2134" s="245"/>
      <c r="U2134" s="245"/>
      <c r="V2134" s="241"/>
      <c r="W2134" s="241"/>
      <c r="X2134" s="241"/>
    </row>
    <row r="2135" spans="1:24" ht="13.5" customHeight="1" x14ac:dyDescent="0.3">
      <c r="A2135" s="245"/>
      <c r="B2135" s="246"/>
      <c r="C2135" s="245"/>
      <c r="D2135" s="245"/>
      <c r="E2135" s="245"/>
      <c r="F2135" s="245"/>
      <c r="G2135" s="245"/>
      <c r="H2135" s="245"/>
      <c r="I2135" s="245"/>
      <c r="J2135" s="245"/>
      <c r="K2135" s="245"/>
      <c r="L2135" s="246"/>
      <c r="M2135" s="245"/>
      <c r="N2135" s="245"/>
      <c r="O2135" s="245"/>
      <c r="P2135" s="245"/>
      <c r="Q2135" s="247"/>
      <c r="R2135" s="247"/>
      <c r="S2135" s="247"/>
      <c r="T2135" s="245"/>
      <c r="U2135" s="245"/>
      <c r="V2135" s="241"/>
      <c r="W2135" s="241"/>
      <c r="X2135" s="241"/>
    </row>
    <row r="2136" spans="1:24" ht="13.5" customHeight="1" x14ac:dyDescent="0.3">
      <c r="A2136" s="245"/>
      <c r="B2136" s="246"/>
      <c r="C2136" s="245"/>
      <c r="D2136" s="245"/>
      <c r="E2136" s="245"/>
      <c r="F2136" s="245"/>
      <c r="G2136" s="245"/>
      <c r="H2136" s="245"/>
      <c r="I2136" s="245"/>
      <c r="J2136" s="245"/>
      <c r="K2136" s="245"/>
      <c r="L2136" s="246"/>
      <c r="M2136" s="245"/>
      <c r="N2136" s="245"/>
      <c r="O2136" s="245"/>
      <c r="P2136" s="245"/>
      <c r="Q2136" s="247"/>
      <c r="R2136" s="247"/>
      <c r="S2136" s="247"/>
      <c r="T2136" s="245"/>
      <c r="U2136" s="245"/>
      <c r="V2136" s="241"/>
      <c r="W2136" s="241"/>
      <c r="X2136" s="241"/>
    </row>
    <row r="2137" spans="1:24" ht="13.5" customHeight="1" x14ac:dyDescent="0.3">
      <c r="A2137" s="245"/>
      <c r="B2137" s="246"/>
      <c r="C2137" s="245"/>
      <c r="D2137" s="245"/>
      <c r="E2137" s="245"/>
      <c r="F2137" s="245"/>
      <c r="G2137" s="245"/>
      <c r="H2137" s="245"/>
      <c r="I2137" s="245"/>
      <c r="J2137" s="245"/>
      <c r="K2137" s="245"/>
      <c r="L2137" s="246"/>
      <c r="M2137" s="245"/>
      <c r="N2137" s="245"/>
      <c r="O2137" s="245"/>
      <c r="P2137" s="245"/>
      <c r="Q2137" s="247"/>
      <c r="R2137" s="247"/>
      <c r="S2137" s="247"/>
      <c r="T2137" s="245"/>
      <c r="U2137" s="245"/>
      <c r="V2137" s="241"/>
      <c r="W2137" s="241"/>
      <c r="X2137" s="241"/>
    </row>
    <row r="2138" spans="1:24" ht="13.5" customHeight="1" x14ac:dyDescent="0.3">
      <c r="A2138" s="245"/>
      <c r="B2138" s="246"/>
      <c r="C2138" s="245"/>
      <c r="D2138" s="245"/>
      <c r="E2138" s="245"/>
      <c r="F2138" s="245"/>
      <c r="G2138" s="245"/>
      <c r="H2138" s="245"/>
      <c r="I2138" s="245"/>
      <c r="J2138" s="245"/>
      <c r="K2138" s="245"/>
      <c r="L2138" s="246"/>
      <c r="M2138" s="245"/>
      <c r="N2138" s="245"/>
      <c r="O2138" s="245"/>
      <c r="P2138" s="245"/>
      <c r="Q2138" s="247"/>
      <c r="R2138" s="247"/>
      <c r="S2138" s="247"/>
      <c r="T2138" s="245"/>
      <c r="U2138" s="245"/>
      <c r="V2138" s="241"/>
      <c r="W2138" s="241"/>
      <c r="X2138" s="241"/>
    </row>
    <row r="2139" spans="1:24" ht="13.5" customHeight="1" x14ac:dyDescent="0.3">
      <c r="A2139" s="245"/>
      <c r="B2139" s="246"/>
      <c r="C2139" s="245"/>
      <c r="D2139" s="245"/>
      <c r="E2139" s="245"/>
      <c r="F2139" s="245"/>
      <c r="G2139" s="245"/>
      <c r="H2139" s="245"/>
      <c r="I2139" s="245"/>
      <c r="J2139" s="245"/>
      <c r="K2139" s="245"/>
      <c r="L2139" s="246"/>
      <c r="M2139" s="245"/>
      <c r="N2139" s="245"/>
      <c r="O2139" s="245"/>
      <c r="P2139" s="245"/>
      <c r="Q2139" s="247"/>
      <c r="R2139" s="247"/>
      <c r="S2139" s="247"/>
      <c r="T2139" s="245"/>
      <c r="U2139" s="245"/>
      <c r="V2139" s="241"/>
      <c r="W2139" s="241"/>
      <c r="X2139" s="241"/>
    </row>
    <row r="2140" spans="1:24" ht="13.5" customHeight="1" x14ac:dyDescent="0.3">
      <c r="A2140" s="245"/>
      <c r="B2140" s="246"/>
      <c r="C2140" s="245"/>
      <c r="D2140" s="245"/>
      <c r="E2140" s="245"/>
      <c r="F2140" s="245"/>
      <c r="G2140" s="245"/>
      <c r="H2140" s="245"/>
      <c r="I2140" s="245"/>
      <c r="J2140" s="245"/>
      <c r="K2140" s="245"/>
      <c r="L2140" s="246"/>
      <c r="M2140" s="245"/>
      <c r="N2140" s="245"/>
      <c r="O2140" s="245"/>
      <c r="P2140" s="245"/>
      <c r="Q2140" s="247"/>
      <c r="R2140" s="247"/>
      <c r="S2140" s="247"/>
      <c r="T2140" s="245"/>
      <c r="U2140" s="245"/>
      <c r="V2140" s="241"/>
      <c r="W2140" s="241"/>
      <c r="X2140" s="241"/>
    </row>
    <row r="2141" spans="1:24" ht="13.5" customHeight="1" x14ac:dyDescent="0.3">
      <c r="A2141" s="245"/>
      <c r="B2141" s="246"/>
      <c r="C2141" s="245"/>
      <c r="D2141" s="245"/>
      <c r="E2141" s="245"/>
      <c r="F2141" s="245"/>
      <c r="G2141" s="245"/>
      <c r="H2141" s="245"/>
      <c r="I2141" s="245"/>
      <c r="J2141" s="245"/>
      <c r="K2141" s="245"/>
      <c r="L2141" s="246"/>
      <c r="M2141" s="245"/>
      <c r="N2141" s="245"/>
      <c r="O2141" s="245"/>
      <c r="P2141" s="245"/>
      <c r="Q2141" s="247"/>
      <c r="R2141" s="247"/>
      <c r="S2141" s="247"/>
      <c r="T2141" s="245"/>
      <c r="U2141" s="245"/>
      <c r="V2141" s="241"/>
      <c r="W2141" s="241"/>
      <c r="X2141" s="241"/>
    </row>
    <row r="2142" spans="1:24" ht="13.5" customHeight="1" x14ac:dyDescent="0.3">
      <c r="A2142" s="245"/>
      <c r="B2142" s="246"/>
      <c r="C2142" s="245"/>
      <c r="D2142" s="245"/>
      <c r="E2142" s="245"/>
      <c r="F2142" s="245"/>
      <c r="G2142" s="245"/>
      <c r="H2142" s="245"/>
      <c r="I2142" s="245"/>
      <c r="J2142" s="245"/>
      <c r="K2142" s="245"/>
      <c r="L2142" s="246"/>
      <c r="M2142" s="245"/>
      <c r="N2142" s="245"/>
      <c r="O2142" s="245"/>
      <c r="P2142" s="245"/>
      <c r="Q2142" s="247"/>
      <c r="R2142" s="247"/>
      <c r="S2142" s="247"/>
      <c r="T2142" s="245"/>
      <c r="U2142" s="245"/>
      <c r="V2142" s="241"/>
      <c r="W2142" s="241"/>
      <c r="X2142" s="241"/>
    </row>
    <row r="2143" spans="1:24" ht="13.5" customHeight="1" x14ac:dyDescent="0.3">
      <c r="A2143" s="245"/>
      <c r="B2143" s="246"/>
      <c r="C2143" s="245"/>
      <c r="D2143" s="245"/>
      <c r="E2143" s="245"/>
      <c r="F2143" s="245"/>
      <c r="G2143" s="245"/>
      <c r="H2143" s="245"/>
      <c r="I2143" s="245"/>
      <c r="J2143" s="245"/>
      <c r="K2143" s="245"/>
      <c r="L2143" s="246"/>
      <c r="M2143" s="245"/>
      <c r="N2143" s="245"/>
      <c r="O2143" s="245"/>
      <c r="P2143" s="245"/>
      <c r="Q2143" s="247"/>
      <c r="R2143" s="247"/>
      <c r="S2143" s="247"/>
      <c r="T2143" s="245"/>
      <c r="U2143" s="245"/>
      <c r="V2143" s="241"/>
      <c r="W2143" s="241"/>
      <c r="X2143" s="241"/>
    </row>
    <row r="2144" spans="1:24" ht="13.5" customHeight="1" x14ac:dyDescent="0.3">
      <c r="A2144" s="245"/>
      <c r="B2144" s="246"/>
      <c r="C2144" s="245"/>
      <c r="D2144" s="245"/>
      <c r="E2144" s="245"/>
      <c r="F2144" s="245"/>
      <c r="G2144" s="245"/>
      <c r="H2144" s="245"/>
      <c r="I2144" s="245"/>
      <c r="J2144" s="245"/>
      <c r="K2144" s="245"/>
      <c r="L2144" s="246"/>
      <c r="M2144" s="245"/>
      <c r="N2144" s="245"/>
      <c r="O2144" s="245"/>
      <c r="P2144" s="245"/>
      <c r="Q2144" s="247"/>
      <c r="R2144" s="247"/>
      <c r="S2144" s="247"/>
      <c r="T2144" s="245"/>
      <c r="U2144" s="245"/>
      <c r="V2144" s="241"/>
      <c r="W2144" s="241"/>
      <c r="X2144" s="241"/>
    </row>
    <row r="2145" spans="1:24" ht="13.5" customHeight="1" x14ac:dyDescent="0.3">
      <c r="A2145" s="245"/>
      <c r="B2145" s="246"/>
      <c r="C2145" s="245"/>
      <c r="D2145" s="245"/>
      <c r="E2145" s="245"/>
      <c r="F2145" s="245"/>
      <c r="G2145" s="245"/>
      <c r="H2145" s="245"/>
      <c r="I2145" s="245"/>
      <c r="J2145" s="245"/>
      <c r="K2145" s="245"/>
      <c r="L2145" s="246"/>
      <c r="M2145" s="245"/>
      <c r="N2145" s="245"/>
      <c r="O2145" s="245"/>
      <c r="P2145" s="245"/>
      <c r="Q2145" s="247"/>
      <c r="R2145" s="247"/>
      <c r="S2145" s="247"/>
      <c r="T2145" s="245"/>
      <c r="U2145" s="245"/>
      <c r="V2145" s="241"/>
      <c r="W2145" s="241"/>
      <c r="X2145" s="241"/>
    </row>
    <row r="2146" spans="1:24" ht="13.5" customHeight="1" x14ac:dyDescent="0.3">
      <c r="A2146" s="245"/>
      <c r="B2146" s="246"/>
      <c r="C2146" s="245"/>
      <c r="D2146" s="245"/>
      <c r="E2146" s="245"/>
      <c r="F2146" s="245"/>
      <c r="G2146" s="245"/>
      <c r="H2146" s="245"/>
      <c r="I2146" s="245"/>
      <c r="J2146" s="245"/>
      <c r="K2146" s="245"/>
      <c r="L2146" s="246"/>
      <c r="M2146" s="245"/>
      <c r="N2146" s="245"/>
      <c r="O2146" s="245"/>
      <c r="P2146" s="245"/>
      <c r="Q2146" s="247"/>
      <c r="R2146" s="247"/>
      <c r="S2146" s="247"/>
      <c r="T2146" s="245"/>
      <c r="U2146" s="245"/>
      <c r="V2146" s="241"/>
      <c r="W2146" s="241"/>
      <c r="X2146" s="241"/>
    </row>
    <row r="2147" spans="1:24" ht="13.5" customHeight="1" x14ac:dyDescent="0.3">
      <c r="A2147" s="245"/>
      <c r="B2147" s="246"/>
      <c r="C2147" s="245"/>
      <c r="D2147" s="245"/>
      <c r="E2147" s="245"/>
      <c r="F2147" s="245"/>
      <c r="G2147" s="245"/>
      <c r="H2147" s="245"/>
      <c r="I2147" s="245"/>
      <c r="J2147" s="245"/>
      <c r="K2147" s="245"/>
      <c r="L2147" s="246"/>
      <c r="M2147" s="245"/>
      <c r="N2147" s="245"/>
      <c r="O2147" s="245"/>
      <c r="P2147" s="245"/>
      <c r="Q2147" s="247"/>
      <c r="R2147" s="247"/>
      <c r="S2147" s="247"/>
      <c r="T2147" s="245"/>
      <c r="U2147" s="245"/>
      <c r="V2147" s="241"/>
      <c r="W2147" s="241"/>
      <c r="X2147" s="241"/>
    </row>
    <row r="2148" spans="1:24" ht="13.5" customHeight="1" x14ac:dyDescent="0.3">
      <c r="A2148" s="245"/>
      <c r="B2148" s="246"/>
      <c r="C2148" s="245"/>
      <c r="D2148" s="245"/>
      <c r="E2148" s="245"/>
      <c r="F2148" s="245"/>
      <c r="G2148" s="245"/>
      <c r="H2148" s="245"/>
      <c r="I2148" s="245"/>
      <c r="J2148" s="245"/>
      <c r="K2148" s="245"/>
      <c r="L2148" s="246"/>
      <c r="M2148" s="245"/>
      <c r="N2148" s="245"/>
      <c r="O2148" s="245"/>
      <c r="P2148" s="245"/>
      <c r="Q2148" s="247"/>
      <c r="R2148" s="247"/>
      <c r="S2148" s="247"/>
      <c r="T2148" s="245"/>
      <c r="U2148" s="245"/>
      <c r="V2148" s="241"/>
      <c r="W2148" s="241"/>
      <c r="X2148" s="241"/>
    </row>
    <row r="2149" spans="1:24" ht="13.5" customHeight="1" x14ac:dyDescent="0.3">
      <c r="A2149" s="245"/>
      <c r="B2149" s="246"/>
      <c r="C2149" s="245"/>
      <c r="D2149" s="245"/>
      <c r="E2149" s="245"/>
      <c r="F2149" s="245"/>
      <c r="G2149" s="245"/>
      <c r="H2149" s="245"/>
      <c r="I2149" s="245"/>
      <c r="J2149" s="245"/>
      <c r="K2149" s="245"/>
      <c r="L2149" s="246"/>
      <c r="M2149" s="245"/>
      <c r="N2149" s="245"/>
      <c r="O2149" s="245"/>
      <c r="P2149" s="245"/>
      <c r="Q2149" s="247"/>
      <c r="R2149" s="247"/>
      <c r="S2149" s="247"/>
      <c r="T2149" s="245"/>
      <c r="U2149" s="245"/>
      <c r="V2149" s="241"/>
      <c r="W2149" s="241"/>
      <c r="X2149" s="241"/>
    </row>
    <row r="2150" spans="1:24" ht="13.5" customHeight="1" x14ac:dyDescent="0.3">
      <c r="A2150" s="245"/>
      <c r="B2150" s="246"/>
      <c r="C2150" s="245"/>
      <c r="D2150" s="245"/>
      <c r="E2150" s="245"/>
      <c r="F2150" s="245"/>
      <c r="G2150" s="245"/>
      <c r="H2150" s="245"/>
      <c r="I2150" s="245"/>
      <c r="J2150" s="245"/>
      <c r="K2150" s="245"/>
      <c r="L2150" s="246"/>
      <c r="M2150" s="245"/>
      <c r="N2150" s="245"/>
      <c r="O2150" s="245"/>
      <c r="P2150" s="245"/>
      <c r="Q2150" s="247"/>
      <c r="R2150" s="247"/>
      <c r="S2150" s="247"/>
      <c r="T2150" s="245"/>
      <c r="U2150" s="245"/>
      <c r="V2150" s="241"/>
      <c r="W2150" s="241"/>
      <c r="X2150" s="241"/>
    </row>
    <row r="2151" spans="1:24" ht="13.5" customHeight="1" x14ac:dyDescent="0.3">
      <c r="A2151" s="245"/>
      <c r="B2151" s="246"/>
      <c r="C2151" s="245"/>
      <c r="D2151" s="245"/>
      <c r="E2151" s="245"/>
      <c r="F2151" s="245"/>
      <c r="G2151" s="245"/>
      <c r="H2151" s="245"/>
      <c r="I2151" s="245"/>
      <c r="J2151" s="245"/>
      <c r="K2151" s="245"/>
      <c r="L2151" s="246"/>
      <c r="M2151" s="245"/>
      <c r="N2151" s="245"/>
      <c r="O2151" s="245"/>
      <c r="P2151" s="245"/>
      <c r="Q2151" s="247"/>
      <c r="R2151" s="247"/>
      <c r="S2151" s="247"/>
      <c r="T2151" s="245"/>
      <c r="U2151" s="245"/>
      <c r="V2151" s="241"/>
      <c r="W2151" s="241"/>
      <c r="X2151" s="241"/>
    </row>
    <row r="2152" spans="1:24" ht="13.5" customHeight="1" x14ac:dyDescent="0.3">
      <c r="A2152" s="245"/>
      <c r="B2152" s="246"/>
      <c r="C2152" s="245"/>
      <c r="D2152" s="245"/>
      <c r="E2152" s="245"/>
      <c r="F2152" s="245"/>
      <c r="G2152" s="245"/>
      <c r="H2152" s="245"/>
      <c r="I2152" s="245"/>
      <c r="J2152" s="245"/>
      <c r="K2152" s="245"/>
      <c r="L2152" s="246"/>
      <c r="M2152" s="245"/>
      <c r="N2152" s="245"/>
      <c r="O2152" s="245"/>
      <c r="P2152" s="245"/>
      <c r="Q2152" s="247"/>
      <c r="R2152" s="247"/>
      <c r="S2152" s="247"/>
      <c r="T2152" s="245"/>
      <c r="U2152" s="245"/>
      <c r="V2152" s="241"/>
      <c r="W2152" s="241"/>
      <c r="X2152" s="241"/>
    </row>
    <row r="2153" spans="1:24" ht="13.5" customHeight="1" x14ac:dyDescent="0.3">
      <c r="A2153" s="245"/>
      <c r="B2153" s="246"/>
      <c r="C2153" s="245"/>
      <c r="D2153" s="245"/>
      <c r="E2153" s="245"/>
      <c r="F2153" s="245"/>
      <c r="G2153" s="245"/>
      <c r="H2153" s="245"/>
      <c r="I2153" s="245"/>
      <c r="J2153" s="245"/>
      <c r="K2153" s="245"/>
      <c r="L2153" s="246"/>
      <c r="M2153" s="245"/>
      <c r="N2153" s="245"/>
      <c r="O2153" s="245"/>
      <c r="P2153" s="245"/>
      <c r="Q2153" s="247"/>
      <c r="R2153" s="247"/>
      <c r="S2153" s="247"/>
      <c r="T2153" s="245"/>
      <c r="U2153" s="245"/>
      <c r="V2153" s="241"/>
      <c r="W2153" s="241"/>
      <c r="X2153" s="241"/>
    </row>
    <row r="2154" spans="1:24" ht="13.5" customHeight="1" x14ac:dyDescent="0.3">
      <c r="A2154" s="245"/>
      <c r="B2154" s="246"/>
      <c r="C2154" s="245"/>
      <c r="D2154" s="245"/>
      <c r="E2154" s="245"/>
      <c r="F2154" s="245"/>
      <c r="G2154" s="245"/>
      <c r="H2154" s="245"/>
      <c r="I2154" s="245"/>
      <c r="J2154" s="245"/>
      <c r="K2154" s="245"/>
      <c r="L2154" s="246"/>
      <c r="M2154" s="245"/>
      <c r="N2154" s="245"/>
      <c r="O2154" s="245"/>
      <c r="P2154" s="245"/>
      <c r="Q2154" s="247"/>
      <c r="R2154" s="247"/>
      <c r="S2154" s="247"/>
      <c r="T2154" s="245"/>
      <c r="U2154" s="245"/>
      <c r="V2154" s="241"/>
      <c r="W2154" s="241"/>
      <c r="X2154" s="241"/>
    </row>
    <row r="2155" spans="1:24" ht="13.5" customHeight="1" x14ac:dyDescent="0.3">
      <c r="A2155" s="245"/>
      <c r="B2155" s="246"/>
      <c r="C2155" s="245"/>
      <c r="D2155" s="245"/>
      <c r="E2155" s="245"/>
      <c r="F2155" s="245"/>
      <c r="G2155" s="245"/>
      <c r="H2155" s="245"/>
      <c r="I2155" s="245"/>
      <c r="J2155" s="245"/>
      <c r="K2155" s="245"/>
      <c r="L2155" s="246"/>
      <c r="M2155" s="245"/>
      <c r="N2155" s="245"/>
      <c r="O2155" s="245"/>
      <c r="P2155" s="245"/>
      <c r="Q2155" s="247"/>
      <c r="R2155" s="247"/>
      <c r="S2155" s="247"/>
      <c r="T2155" s="245"/>
      <c r="U2155" s="245"/>
      <c r="V2155" s="241"/>
      <c r="W2155" s="241"/>
      <c r="X2155" s="241"/>
    </row>
    <row r="2156" spans="1:24" ht="13.5" customHeight="1" x14ac:dyDescent="0.3">
      <c r="A2156" s="245"/>
      <c r="B2156" s="246"/>
      <c r="C2156" s="245"/>
      <c r="D2156" s="245"/>
      <c r="E2156" s="245"/>
      <c r="F2156" s="245"/>
      <c r="G2156" s="245"/>
      <c r="H2156" s="245"/>
      <c r="I2156" s="245"/>
      <c r="J2156" s="245"/>
      <c r="K2156" s="245"/>
      <c r="L2156" s="246"/>
      <c r="M2156" s="245"/>
      <c r="N2156" s="245"/>
      <c r="O2156" s="245"/>
      <c r="P2156" s="245"/>
      <c r="Q2156" s="247"/>
      <c r="R2156" s="247"/>
      <c r="S2156" s="247"/>
      <c r="T2156" s="245"/>
      <c r="U2156" s="245"/>
      <c r="V2156" s="241"/>
      <c r="W2156" s="241"/>
      <c r="X2156" s="241"/>
    </row>
    <row r="2157" spans="1:24" ht="13.5" customHeight="1" x14ac:dyDescent="0.3">
      <c r="A2157" s="245"/>
      <c r="B2157" s="246"/>
      <c r="C2157" s="245"/>
      <c r="D2157" s="245"/>
      <c r="E2157" s="245"/>
      <c r="F2157" s="245"/>
      <c r="G2157" s="245"/>
      <c r="H2157" s="245"/>
      <c r="I2157" s="245"/>
      <c r="J2157" s="245"/>
      <c r="K2157" s="245"/>
      <c r="L2157" s="246"/>
      <c r="M2157" s="245"/>
      <c r="N2157" s="245"/>
      <c r="O2157" s="245"/>
      <c r="P2157" s="245"/>
      <c r="Q2157" s="247"/>
      <c r="R2157" s="247"/>
      <c r="S2157" s="247"/>
      <c r="T2157" s="245"/>
      <c r="U2157" s="245"/>
      <c r="V2157" s="241"/>
      <c r="W2157" s="241"/>
      <c r="X2157" s="241"/>
    </row>
    <row r="2158" spans="1:24" ht="13.5" customHeight="1" x14ac:dyDescent="0.3">
      <c r="A2158" s="245"/>
      <c r="B2158" s="246"/>
      <c r="C2158" s="245"/>
      <c r="D2158" s="245"/>
      <c r="E2158" s="245"/>
      <c r="F2158" s="245"/>
      <c r="G2158" s="245"/>
      <c r="H2158" s="245"/>
      <c r="I2158" s="245"/>
      <c r="J2158" s="245"/>
      <c r="K2158" s="245"/>
      <c r="L2158" s="246"/>
      <c r="M2158" s="245"/>
      <c r="N2158" s="245"/>
      <c r="O2158" s="245"/>
      <c r="P2158" s="245"/>
      <c r="Q2158" s="247"/>
      <c r="R2158" s="247"/>
      <c r="S2158" s="247"/>
      <c r="T2158" s="245"/>
      <c r="U2158" s="245"/>
      <c r="V2158" s="241"/>
      <c r="W2158" s="241"/>
      <c r="X2158" s="241"/>
    </row>
    <row r="2159" spans="1:24" ht="13.5" customHeight="1" x14ac:dyDescent="0.3">
      <c r="A2159" s="245"/>
      <c r="B2159" s="246"/>
      <c r="C2159" s="245"/>
      <c r="D2159" s="245"/>
      <c r="E2159" s="245"/>
      <c r="F2159" s="245"/>
      <c r="G2159" s="245"/>
      <c r="H2159" s="245"/>
      <c r="I2159" s="245"/>
      <c r="J2159" s="245"/>
      <c r="K2159" s="245"/>
      <c r="L2159" s="246"/>
      <c r="M2159" s="245"/>
      <c r="N2159" s="245"/>
      <c r="O2159" s="245"/>
      <c r="P2159" s="245"/>
      <c r="Q2159" s="247"/>
      <c r="R2159" s="247"/>
      <c r="S2159" s="247"/>
      <c r="T2159" s="245"/>
      <c r="U2159" s="245"/>
      <c r="V2159" s="241"/>
      <c r="W2159" s="241"/>
      <c r="X2159" s="241"/>
    </row>
    <row r="2160" spans="1:24" ht="13.5" customHeight="1" x14ac:dyDescent="0.3">
      <c r="A2160" s="245"/>
      <c r="B2160" s="246"/>
      <c r="C2160" s="245"/>
      <c r="D2160" s="245"/>
      <c r="E2160" s="245"/>
      <c r="F2160" s="245"/>
      <c r="G2160" s="245"/>
      <c r="H2160" s="245"/>
      <c r="I2160" s="245"/>
      <c r="J2160" s="245"/>
      <c r="K2160" s="245"/>
      <c r="L2160" s="246"/>
      <c r="M2160" s="245"/>
      <c r="N2160" s="245"/>
      <c r="O2160" s="245"/>
      <c r="P2160" s="245"/>
      <c r="Q2160" s="247"/>
      <c r="R2160" s="247"/>
      <c r="S2160" s="247"/>
      <c r="T2160" s="245"/>
      <c r="U2160" s="245"/>
      <c r="V2160" s="241"/>
      <c r="W2160" s="241"/>
      <c r="X2160" s="241"/>
    </row>
    <row r="2161" spans="1:24" ht="13.5" customHeight="1" x14ac:dyDescent="0.3">
      <c r="A2161" s="245"/>
      <c r="B2161" s="246"/>
      <c r="C2161" s="245"/>
      <c r="D2161" s="245"/>
      <c r="E2161" s="245"/>
      <c r="F2161" s="245"/>
      <c r="G2161" s="245"/>
      <c r="H2161" s="245"/>
      <c r="I2161" s="245"/>
      <c r="J2161" s="245"/>
      <c r="K2161" s="245"/>
      <c r="L2161" s="246"/>
      <c r="M2161" s="245"/>
      <c r="N2161" s="245"/>
      <c r="O2161" s="245"/>
      <c r="P2161" s="245"/>
      <c r="Q2161" s="247"/>
      <c r="R2161" s="247"/>
      <c r="S2161" s="247"/>
      <c r="T2161" s="245"/>
      <c r="U2161" s="245"/>
      <c r="V2161" s="241"/>
      <c r="W2161" s="241"/>
      <c r="X2161" s="241"/>
    </row>
    <row r="2162" spans="1:24" ht="13.5" customHeight="1" x14ac:dyDescent="0.3">
      <c r="A2162" s="245"/>
      <c r="B2162" s="246"/>
      <c r="C2162" s="245"/>
      <c r="D2162" s="245"/>
      <c r="E2162" s="245"/>
      <c r="F2162" s="245"/>
      <c r="G2162" s="245"/>
      <c r="H2162" s="245"/>
      <c r="I2162" s="245"/>
      <c r="J2162" s="245"/>
      <c r="K2162" s="245"/>
      <c r="L2162" s="246"/>
      <c r="M2162" s="245"/>
      <c r="N2162" s="245"/>
      <c r="O2162" s="245"/>
      <c r="P2162" s="245"/>
      <c r="Q2162" s="247"/>
      <c r="R2162" s="247"/>
      <c r="S2162" s="247"/>
      <c r="T2162" s="245"/>
      <c r="U2162" s="245"/>
      <c r="V2162" s="241"/>
      <c r="W2162" s="241"/>
      <c r="X2162" s="241"/>
    </row>
    <row r="2163" spans="1:24" ht="13.5" customHeight="1" x14ac:dyDescent="0.3">
      <c r="A2163" s="245"/>
      <c r="B2163" s="246"/>
      <c r="C2163" s="245"/>
      <c r="D2163" s="245"/>
      <c r="E2163" s="245"/>
      <c r="F2163" s="245"/>
      <c r="G2163" s="245"/>
      <c r="H2163" s="245"/>
      <c r="I2163" s="245"/>
      <c r="J2163" s="245"/>
      <c r="K2163" s="245"/>
      <c r="L2163" s="246"/>
      <c r="M2163" s="245"/>
      <c r="N2163" s="245"/>
      <c r="O2163" s="245"/>
      <c r="P2163" s="245"/>
      <c r="Q2163" s="247"/>
      <c r="R2163" s="247"/>
      <c r="S2163" s="247"/>
      <c r="T2163" s="245"/>
      <c r="U2163" s="245"/>
      <c r="V2163" s="241"/>
      <c r="W2163" s="241"/>
      <c r="X2163" s="241"/>
    </row>
    <row r="2164" spans="1:24" ht="13.5" customHeight="1" x14ac:dyDescent="0.3">
      <c r="A2164" s="245"/>
      <c r="B2164" s="246"/>
      <c r="C2164" s="245"/>
      <c r="D2164" s="245"/>
      <c r="E2164" s="245"/>
      <c r="F2164" s="245"/>
      <c r="G2164" s="245"/>
      <c r="H2164" s="245"/>
      <c r="I2164" s="245"/>
      <c r="J2164" s="245"/>
      <c r="K2164" s="245"/>
      <c r="L2164" s="246"/>
      <c r="M2164" s="245"/>
      <c r="N2164" s="245"/>
      <c r="O2164" s="245"/>
      <c r="P2164" s="245"/>
      <c r="Q2164" s="247"/>
      <c r="R2164" s="247"/>
      <c r="S2164" s="247"/>
      <c r="T2164" s="245"/>
      <c r="U2164" s="245"/>
      <c r="V2164" s="241"/>
      <c r="W2164" s="241"/>
      <c r="X2164" s="241"/>
    </row>
    <row r="2165" spans="1:24" ht="13.5" customHeight="1" x14ac:dyDescent="0.3">
      <c r="A2165" s="245"/>
      <c r="B2165" s="246"/>
      <c r="C2165" s="245"/>
      <c r="D2165" s="245"/>
      <c r="E2165" s="245"/>
      <c r="F2165" s="245"/>
      <c r="G2165" s="245"/>
      <c r="H2165" s="245"/>
      <c r="I2165" s="245"/>
      <c r="J2165" s="245"/>
      <c r="K2165" s="245"/>
      <c r="L2165" s="246"/>
      <c r="M2165" s="245"/>
      <c r="N2165" s="245"/>
      <c r="O2165" s="245"/>
      <c r="P2165" s="245"/>
      <c r="Q2165" s="247"/>
      <c r="R2165" s="247"/>
      <c r="S2165" s="247"/>
      <c r="T2165" s="245"/>
      <c r="U2165" s="245"/>
      <c r="V2165" s="241"/>
      <c r="W2165" s="241"/>
      <c r="X2165" s="241"/>
    </row>
    <row r="2166" spans="1:24" ht="13.5" customHeight="1" x14ac:dyDescent="0.3">
      <c r="A2166" s="245"/>
      <c r="B2166" s="246"/>
      <c r="C2166" s="245"/>
      <c r="D2166" s="245"/>
      <c r="E2166" s="245"/>
      <c r="F2166" s="245"/>
      <c r="G2166" s="245"/>
      <c r="H2166" s="245"/>
      <c r="I2166" s="245"/>
      <c r="J2166" s="245"/>
      <c r="K2166" s="245"/>
      <c r="L2166" s="246"/>
      <c r="M2166" s="245"/>
      <c r="N2166" s="245"/>
      <c r="O2166" s="245"/>
      <c r="P2166" s="245"/>
      <c r="Q2166" s="247"/>
      <c r="R2166" s="247"/>
      <c r="S2166" s="247"/>
      <c r="T2166" s="245"/>
      <c r="U2166" s="245"/>
      <c r="V2166" s="241"/>
      <c r="W2166" s="241"/>
      <c r="X2166" s="241"/>
    </row>
    <row r="2167" spans="1:24" ht="13.5" customHeight="1" x14ac:dyDescent="0.3">
      <c r="A2167" s="245"/>
      <c r="B2167" s="246"/>
      <c r="C2167" s="245"/>
      <c r="D2167" s="245"/>
      <c r="E2167" s="245"/>
      <c r="F2167" s="245"/>
      <c r="G2167" s="245"/>
      <c r="H2167" s="245"/>
      <c r="I2167" s="245"/>
      <c r="J2167" s="245"/>
      <c r="K2167" s="245"/>
      <c r="L2167" s="246"/>
      <c r="M2167" s="245"/>
      <c r="N2167" s="245"/>
      <c r="O2167" s="245"/>
      <c r="P2167" s="245"/>
      <c r="Q2167" s="247"/>
      <c r="R2167" s="247"/>
      <c r="S2167" s="247"/>
      <c r="T2167" s="245"/>
      <c r="U2167" s="245"/>
      <c r="V2167" s="241"/>
      <c r="W2167" s="241"/>
      <c r="X2167" s="241"/>
    </row>
    <row r="2168" spans="1:24" ht="13.5" customHeight="1" x14ac:dyDescent="0.3">
      <c r="A2168" s="245"/>
      <c r="B2168" s="246"/>
      <c r="C2168" s="245"/>
      <c r="D2168" s="245"/>
      <c r="E2168" s="245"/>
      <c r="F2168" s="245"/>
      <c r="G2168" s="245"/>
      <c r="H2168" s="245"/>
      <c r="I2168" s="245"/>
      <c r="J2168" s="245"/>
      <c r="K2168" s="245"/>
      <c r="L2168" s="246"/>
      <c r="M2168" s="245"/>
      <c r="N2168" s="245"/>
      <c r="O2168" s="245"/>
      <c r="P2168" s="245"/>
      <c r="Q2168" s="247"/>
      <c r="R2168" s="247"/>
      <c r="S2168" s="247"/>
      <c r="T2168" s="245"/>
      <c r="U2168" s="245"/>
      <c r="V2168" s="241"/>
      <c r="W2168" s="241"/>
      <c r="X2168" s="241"/>
    </row>
    <row r="2169" spans="1:24" ht="13.5" customHeight="1" x14ac:dyDescent="0.3">
      <c r="A2169" s="245"/>
      <c r="B2169" s="246"/>
      <c r="C2169" s="245"/>
      <c r="D2169" s="245"/>
      <c r="E2169" s="245"/>
      <c r="F2169" s="245"/>
      <c r="G2169" s="245"/>
      <c r="H2169" s="245"/>
      <c r="I2169" s="245"/>
      <c r="J2169" s="245"/>
      <c r="K2169" s="245"/>
      <c r="L2169" s="246"/>
      <c r="M2169" s="245"/>
      <c r="N2169" s="245"/>
      <c r="O2169" s="245"/>
      <c r="P2169" s="245"/>
      <c r="Q2169" s="247"/>
      <c r="R2169" s="247"/>
      <c r="S2169" s="247"/>
      <c r="T2169" s="245"/>
      <c r="U2169" s="245"/>
      <c r="V2169" s="241"/>
      <c r="W2169" s="241"/>
      <c r="X2169" s="241"/>
    </row>
    <row r="2170" spans="1:24" ht="13.5" customHeight="1" x14ac:dyDescent="0.3">
      <c r="A2170" s="245"/>
      <c r="B2170" s="246"/>
      <c r="C2170" s="245"/>
      <c r="D2170" s="245"/>
      <c r="E2170" s="245"/>
      <c r="F2170" s="245"/>
      <c r="G2170" s="245"/>
      <c r="H2170" s="245"/>
      <c r="I2170" s="245"/>
      <c r="J2170" s="245"/>
      <c r="K2170" s="245"/>
      <c r="L2170" s="246"/>
      <c r="M2170" s="245"/>
      <c r="N2170" s="245"/>
      <c r="O2170" s="245"/>
      <c r="P2170" s="245"/>
      <c r="Q2170" s="247"/>
      <c r="R2170" s="247"/>
      <c r="S2170" s="247"/>
      <c r="T2170" s="245"/>
      <c r="U2170" s="245"/>
      <c r="V2170" s="241"/>
      <c r="W2170" s="241"/>
      <c r="X2170" s="241"/>
    </row>
    <row r="2171" spans="1:24" ht="13.5" customHeight="1" x14ac:dyDescent="0.3">
      <c r="A2171" s="245"/>
      <c r="B2171" s="246"/>
      <c r="C2171" s="245"/>
      <c r="D2171" s="245"/>
      <c r="E2171" s="245"/>
      <c r="F2171" s="245"/>
      <c r="G2171" s="245"/>
      <c r="H2171" s="245"/>
      <c r="I2171" s="245"/>
      <c r="J2171" s="245"/>
      <c r="K2171" s="245"/>
      <c r="L2171" s="246"/>
      <c r="M2171" s="245"/>
      <c r="N2171" s="245"/>
      <c r="O2171" s="245"/>
      <c r="P2171" s="245"/>
      <c r="Q2171" s="247"/>
      <c r="R2171" s="247"/>
      <c r="S2171" s="247"/>
      <c r="T2171" s="245"/>
      <c r="U2171" s="245"/>
      <c r="V2171" s="241"/>
      <c r="W2171" s="241"/>
      <c r="X2171" s="241"/>
    </row>
    <row r="2172" spans="1:24" ht="13.5" customHeight="1" x14ac:dyDescent="0.3">
      <c r="A2172" s="245"/>
      <c r="B2172" s="246"/>
      <c r="C2172" s="245"/>
      <c r="D2172" s="245"/>
      <c r="E2172" s="245"/>
      <c r="F2172" s="245"/>
      <c r="G2172" s="245"/>
      <c r="H2172" s="245"/>
      <c r="I2172" s="245"/>
      <c r="J2172" s="245"/>
      <c r="K2172" s="245"/>
      <c r="L2172" s="246"/>
      <c r="M2172" s="245"/>
      <c r="N2172" s="245"/>
      <c r="O2172" s="245"/>
      <c r="P2172" s="245"/>
      <c r="Q2172" s="247"/>
      <c r="R2172" s="247"/>
      <c r="S2172" s="247"/>
      <c r="T2172" s="245"/>
      <c r="U2172" s="245"/>
      <c r="V2172" s="241"/>
      <c r="W2172" s="241"/>
      <c r="X2172" s="241"/>
    </row>
    <row r="2173" spans="1:24" ht="13.5" customHeight="1" x14ac:dyDescent="0.3">
      <c r="A2173" s="245"/>
      <c r="B2173" s="246"/>
      <c r="C2173" s="245"/>
      <c r="D2173" s="245"/>
      <c r="E2173" s="245"/>
      <c r="F2173" s="245"/>
      <c r="G2173" s="245"/>
      <c r="H2173" s="245"/>
      <c r="I2173" s="245"/>
      <c r="J2173" s="245"/>
      <c r="K2173" s="245"/>
      <c r="L2173" s="246"/>
      <c r="M2173" s="245"/>
      <c r="N2173" s="245"/>
      <c r="O2173" s="245"/>
      <c r="P2173" s="245"/>
      <c r="Q2173" s="247"/>
      <c r="R2173" s="247"/>
      <c r="S2173" s="247"/>
      <c r="T2173" s="245"/>
      <c r="U2173" s="245"/>
      <c r="V2173" s="241"/>
      <c r="W2173" s="241"/>
      <c r="X2173" s="241"/>
    </row>
    <row r="2174" spans="1:24" ht="13.5" customHeight="1" x14ac:dyDescent="0.3">
      <c r="A2174" s="245"/>
      <c r="B2174" s="246"/>
      <c r="C2174" s="245"/>
      <c r="D2174" s="245"/>
      <c r="E2174" s="245"/>
      <c r="F2174" s="245"/>
      <c r="G2174" s="245"/>
      <c r="H2174" s="245"/>
      <c r="I2174" s="245"/>
      <c r="J2174" s="245"/>
      <c r="K2174" s="245"/>
      <c r="L2174" s="246"/>
      <c r="M2174" s="245"/>
      <c r="N2174" s="245"/>
      <c r="O2174" s="245"/>
      <c r="P2174" s="245"/>
      <c r="Q2174" s="247"/>
      <c r="R2174" s="247"/>
      <c r="S2174" s="247"/>
      <c r="T2174" s="245"/>
      <c r="U2174" s="245"/>
      <c r="V2174" s="241"/>
      <c r="W2174" s="241"/>
      <c r="X2174" s="241"/>
    </row>
    <row r="2175" spans="1:24" ht="13.5" customHeight="1" x14ac:dyDescent="0.3">
      <c r="A2175" s="245"/>
      <c r="B2175" s="246"/>
      <c r="C2175" s="245"/>
      <c r="D2175" s="245"/>
      <c r="E2175" s="245"/>
      <c r="F2175" s="245"/>
      <c r="G2175" s="245"/>
      <c r="H2175" s="245"/>
      <c r="I2175" s="245"/>
      <c r="J2175" s="245"/>
      <c r="K2175" s="245"/>
      <c r="L2175" s="246"/>
      <c r="M2175" s="245"/>
      <c r="N2175" s="245"/>
      <c r="O2175" s="245"/>
      <c r="P2175" s="245"/>
      <c r="Q2175" s="247"/>
      <c r="R2175" s="247"/>
      <c r="S2175" s="247"/>
      <c r="T2175" s="245"/>
      <c r="U2175" s="245"/>
      <c r="V2175" s="241"/>
      <c r="W2175" s="241"/>
      <c r="X2175" s="241"/>
    </row>
    <row r="2176" spans="1:24" ht="13.5" customHeight="1" x14ac:dyDescent="0.3">
      <c r="A2176" s="245"/>
      <c r="B2176" s="246"/>
      <c r="C2176" s="245"/>
      <c r="D2176" s="245"/>
      <c r="E2176" s="245"/>
      <c r="F2176" s="245"/>
      <c r="G2176" s="245"/>
      <c r="H2176" s="245"/>
      <c r="I2176" s="245"/>
      <c r="J2176" s="245"/>
      <c r="K2176" s="245"/>
      <c r="L2176" s="246"/>
      <c r="M2176" s="245"/>
      <c r="N2176" s="245"/>
      <c r="O2176" s="245"/>
      <c r="P2176" s="245"/>
      <c r="Q2176" s="247"/>
      <c r="R2176" s="247"/>
      <c r="S2176" s="247"/>
      <c r="T2176" s="245"/>
      <c r="U2176" s="245"/>
      <c r="V2176" s="241"/>
      <c r="W2176" s="241"/>
      <c r="X2176" s="241"/>
    </row>
    <row r="2177" spans="1:24" ht="13.5" customHeight="1" x14ac:dyDescent="0.3">
      <c r="A2177" s="245"/>
      <c r="B2177" s="246"/>
      <c r="C2177" s="245"/>
      <c r="D2177" s="245"/>
      <c r="E2177" s="245"/>
      <c r="F2177" s="245"/>
      <c r="G2177" s="245"/>
      <c r="H2177" s="245"/>
      <c r="I2177" s="245"/>
      <c r="J2177" s="245"/>
      <c r="K2177" s="245"/>
      <c r="L2177" s="246"/>
      <c r="M2177" s="245"/>
      <c r="N2177" s="245"/>
      <c r="O2177" s="245"/>
      <c r="P2177" s="245"/>
      <c r="Q2177" s="247"/>
      <c r="R2177" s="247"/>
      <c r="S2177" s="247"/>
      <c r="T2177" s="245"/>
      <c r="U2177" s="245"/>
      <c r="V2177" s="241"/>
      <c r="W2177" s="241"/>
      <c r="X2177" s="241"/>
    </row>
    <row r="2178" spans="1:24" ht="13.5" customHeight="1" x14ac:dyDescent="0.3">
      <c r="A2178" s="245"/>
      <c r="B2178" s="246"/>
      <c r="C2178" s="245"/>
      <c r="D2178" s="245"/>
      <c r="E2178" s="245"/>
      <c r="F2178" s="245"/>
      <c r="G2178" s="245"/>
      <c r="H2178" s="245"/>
      <c r="I2178" s="245"/>
      <c r="J2178" s="245"/>
      <c r="K2178" s="245"/>
      <c r="L2178" s="246"/>
      <c r="M2178" s="245"/>
      <c r="N2178" s="245"/>
      <c r="O2178" s="245"/>
      <c r="P2178" s="245"/>
      <c r="Q2178" s="247"/>
      <c r="R2178" s="247"/>
      <c r="S2178" s="247"/>
      <c r="T2178" s="245"/>
      <c r="U2178" s="245"/>
      <c r="V2178" s="241"/>
      <c r="W2178" s="241"/>
      <c r="X2178" s="241"/>
    </row>
    <row r="2179" spans="1:24" ht="13.5" customHeight="1" x14ac:dyDescent="0.3">
      <c r="A2179" s="245"/>
      <c r="B2179" s="246"/>
      <c r="C2179" s="245"/>
      <c r="D2179" s="245"/>
      <c r="E2179" s="245"/>
      <c r="F2179" s="245"/>
      <c r="G2179" s="245"/>
      <c r="H2179" s="245"/>
      <c r="I2179" s="245"/>
      <c r="J2179" s="245"/>
      <c r="K2179" s="245"/>
      <c r="L2179" s="246"/>
      <c r="M2179" s="245"/>
      <c r="N2179" s="245"/>
      <c r="O2179" s="245"/>
      <c r="P2179" s="245"/>
      <c r="Q2179" s="247"/>
      <c r="R2179" s="247"/>
      <c r="S2179" s="247"/>
      <c r="T2179" s="245"/>
      <c r="U2179" s="245"/>
      <c r="V2179" s="241"/>
      <c r="W2179" s="241"/>
      <c r="X2179" s="241"/>
    </row>
    <row r="2180" spans="1:24" ht="13.5" customHeight="1" x14ac:dyDescent="0.3">
      <c r="A2180" s="245"/>
      <c r="B2180" s="246"/>
      <c r="C2180" s="245"/>
      <c r="D2180" s="245"/>
      <c r="E2180" s="245"/>
      <c r="F2180" s="245"/>
      <c r="G2180" s="245"/>
      <c r="H2180" s="245"/>
      <c r="I2180" s="245"/>
      <c r="J2180" s="245"/>
      <c r="K2180" s="245"/>
      <c r="L2180" s="246"/>
      <c r="M2180" s="245"/>
      <c r="N2180" s="245"/>
      <c r="O2180" s="245"/>
      <c r="P2180" s="245"/>
      <c r="Q2180" s="247"/>
      <c r="R2180" s="247"/>
      <c r="S2180" s="247"/>
      <c r="T2180" s="245"/>
      <c r="U2180" s="245"/>
      <c r="V2180" s="241"/>
      <c r="W2180" s="241"/>
      <c r="X2180" s="241"/>
    </row>
    <row r="2181" spans="1:24" ht="13.5" customHeight="1" x14ac:dyDescent="0.3">
      <c r="A2181" s="245"/>
      <c r="B2181" s="246"/>
      <c r="C2181" s="245"/>
      <c r="D2181" s="245"/>
      <c r="E2181" s="245"/>
      <c r="F2181" s="245"/>
      <c r="G2181" s="245"/>
      <c r="H2181" s="245"/>
      <c r="I2181" s="245"/>
      <c r="J2181" s="245"/>
      <c r="K2181" s="245"/>
      <c r="L2181" s="246"/>
      <c r="M2181" s="245"/>
      <c r="N2181" s="245"/>
      <c r="O2181" s="245"/>
      <c r="P2181" s="245"/>
      <c r="Q2181" s="247"/>
      <c r="R2181" s="247"/>
      <c r="S2181" s="247"/>
      <c r="T2181" s="245"/>
      <c r="U2181" s="245"/>
      <c r="V2181" s="241"/>
      <c r="W2181" s="241"/>
      <c r="X2181" s="241"/>
    </row>
    <row r="2182" spans="1:24" ht="13.5" customHeight="1" x14ac:dyDescent="0.3">
      <c r="A2182" s="245"/>
      <c r="B2182" s="246"/>
      <c r="C2182" s="245"/>
      <c r="D2182" s="245"/>
      <c r="E2182" s="245"/>
      <c r="F2182" s="245"/>
      <c r="G2182" s="245"/>
      <c r="H2182" s="245"/>
      <c r="I2182" s="245"/>
      <c r="J2182" s="245"/>
      <c r="K2182" s="245"/>
      <c r="L2182" s="246"/>
      <c r="M2182" s="245"/>
      <c r="N2182" s="245"/>
      <c r="O2182" s="245"/>
      <c r="P2182" s="245"/>
      <c r="Q2182" s="247"/>
      <c r="R2182" s="247"/>
      <c r="S2182" s="247"/>
      <c r="T2182" s="245"/>
      <c r="U2182" s="245"/>
      <c r="V2182" s="241"/>
      <c r="W2182" s="241"/>
      <c r="X2182" s="241"/>
    </row>
    <row r="2183" spans="1:24" ht="13.5" customHeight="1" x14ac:dyDescent="0.3">
      <c r="A2183" s="245"/>
      <c r="B2183" s="246"/>
      <c r="C2183" s="245"/>
      <c r="D2183" s="245"/>
      <c r="E2183" s="245"/>
      <c r="F2183" s="245"/>
      <c r="G2183" s="245"/>
      <c r="H2183" s="245"/>
      <c r="I2183" s="245"/>
      <c r="J2183" s="245"/>
      <c r="K2183" s="245"/>
      <c r="L2183" s="246"/>
      <c r="M2183" s="245"/>
      <c r="N2183" s="245"/>
      <c r="O2183" s="245"/>
      <c r="P2183" s="245"/>
      <c r="Q2183" s="247"/>
      <c r="R2183" s="247"/>
      <c r="S2183" s="247"/>
      <c r="T2183" s="245"/>
      <c r="U2183" s="245"/>
      <c r="V2183" s="241"/>
      <c r="W2183" s="241"/>
      <c r="X2183" s="241"/>
    </row>
    <row r="2184" spans="1:24" ht="13.5" customHeight="1" x14ac:dyDescent="0.3">
      <c r="A2184" s="245"/>
      <c r="B2184" s="246"/>
      <c r="C2184" s="245"/>
      <c r="D2184" s="245"/>
      <c r="E2184" s="245"/>
      <c r="F2184" s="245"/>
      <c r="G2184" s="245"/>
      <c r="H2184" s="245"/>
      <c r="I2184" s="245"/>
      <c r="J2184" s="245"/>
      <c r="K2184" s="245"/>
      <c r="L2184" s="246"/>
      <c r="M2184" s="245"/>
      <c r="N2184" s="245"/>
      <c r="O2184" s="245"/>
      <c r="P2184" s="245"/>
      <c r="Q2184" s="247"/>
      <c r="R2184" s="247"/>
      <c r="S2184" s="247"/>
      <c r="T2184" s="245"/>
      <c r="U2184" s="245"/>
      <c r="V2184" s="241"/>
      <c r="W2184" s="241"/>
      <c r="X2184" s="241"/>
    </row>
    <row r="2185" spans="1:24" ht="13.5" customHeight="1" x14ac:dyDescent="0.3">
      <c r="A2185" s="245"/>
      <c r="B2185" s="246"/>
      <c r="C2185" s="245"/>
      <c r="D2185" s="245"/>
      <c r="E2185" s="245"/>
      <c r="F2185" s="245"/>
      <c r="G2185" s="245"/>
      <c r="H2185" s="245"/>
      <c r="I2185" s="245"/>
      <c r="J2185" s="245"/>
      <c r="K2185" s="245"/>
      <c r="L2185" s="246"/>
      <c r="M2185" s="245"/>
      <c r="N2185" s="245"/>
      <c r="O2185" s="245"/>
      <c r="P2185" s="245"/>
      <c r="Q2185" s="247"/>
      <c r="R2185" s="247"/>
      <c r="S2185" s="247"/>
      <c r="T2185" s="245"/>
      <c r="U2185" s="245"/>
      <c r="V2185" s="241"/>
      <c r="W2185" s="241"/>
      <c r="X2185" s="241"/>
    </row>
    <row r="2186" spans="1:24" ht="13.5" customHeight="1" x14ac:dyDescent="0.3">
      <c r="A2186" s="245"/>
      <c r="B2186" s="246"/>
      <c r="C2186" s="245"/>
      <c r="D2186" s="245"/>
      <c r="E2186" s="245"/>
      <c r="F2186" s="245"/>
      <c r="G2186" s="245"/>
      <c r="H2186" s="245"/>
      <c r="I2186" s="245"/>
      <c r="J2186" s="245"/>
      <c r="K2186" s="245"/>
      <c r="L2186" s="246"/>
      <c r="M2186" s="245"/>
      <c r="N2186" s="245"/>
      <c r="O2186" s="245"/>
      <c r="P2186" s="245"/>
      <c r="Q2186" s="247"/>
      <c r="R2186" s="247"/>
      <c r="S2186" s="247"/>
      <c r="T2186" s="245"/>
      <c r="U2186" s="245"/>
      <c r="V2186" s="241"/>
      <c r="W2186" s="241"/>
      <c r="X2186" s="241"/>
    </row>
    <row r="2187" spans="1:24" ht="13.5" customHeight="1" x14ac:dyDescent="0.3">
      <c r="A2187" s="245"/>
      <c r="B2187" s="246"/>
      <c r="C2187" s="245"/>
      <c r="D2187" s="245"/>
      <c r="E2187" s="245"/>
      <c r="F2187" s="245"/>
      <c r="G2187" s="245"/>
      <c r="H2187" s="245"/>
      <c r="I2187" s="245"/>
      <c r="J2187" s="245"/>
      <c r="K2187" s="245"/>
      <c r="L2187" s="246"/>
      <c r="M2187" s="245"/>
      <c r="N2187" s="245"/>
      <c r="O2187" s="245"/>
      <c r="P2187" s="245"/>
      <c r="Q2187" s="247"/>
      <c r="R2187" s="247"/>
      <c r="S2187" s="247"/>
      <c r="T2187" s="245"/>
      <c r="U2187" s="245"/>
      <c r="V2187" s="241"/>
      <c r="W2187" s="241"/>
      <c r="X2187" s="241"/>
    </row>
    <row r="2188" spans="1:24" ht="13.5" customHeight="1" x14ac:dyDescent="0.3">
      <c r="A2188" s="245"/>
      <c r="B2188" s="246"/>
      <c r="C2188" s="245"/>
      <c r="D2188" s="245"/>
      <c r="E2188" s="245"/>
      <c r="F2188" s="245"/>
      <c r="G2188" s="245"/>
      <c r="H2188" s="245"/>
      <c r="I2188" s="245"/>
      <c r="J2188" s="245"/>
      <c r="K2188" s="245"/>
      <c r="L2188" s="246"/>
      <c r="M2188" s="245"/>
      <c r="N2188" s="245"/>
      <c r="O2188" s="245"/>
      <c r="P2188" s="245"/>
      <c r="Q2188" s="247"/>
      <c r="R2188" s="247"/>
      <c r="S2188" s="247"/>
      <c r="T2188" s="245"/>
      <c r="U2188" s="245"/>
      <c r="V2188" s="241"/>
      <c r="W2188" s="241"/>
      <c r="X2188" s="241"/>
    </row>
    <row r="2189" spans="1:24" ht="13.5" customHeight="1" x14ac:dyDescent="0.3">
      <c r="A2189" s="245"/>
      <c r="B2189" s="246"/>
      <c r="C2189" s="245"/>
      <c r="D2189" s="245"/>
      <c r="E2189" s="245"/>
      <c r="F2189" s="245"/>
      <c r="G2189" s="245"/>
      <c r="H2189" s="245"/>
      <c r="I2189" s="245"/>
      <c r="J2189" s="245"/>
      <c r="K2189" s="245"/>
      <c r="L2189" s="246"/>
      <c r="M2189" s="245"/>
      <c r="N2189" s="245"/>
      <c r="O2189" s="245"/>
      <c r="P2189" s="245"/>
      <c r="Q2189" s="247"/>
      <c r="R2189" s="247"/>
      <c r="S2189" s="247"/>
      <c r="T2189" s="245"/>
      <c r="U2189" s="245"/>
      <c r="V2189" s="241"/>
      <c r="W2189" s="241"/>
      <c r="X2189" s="241"/>
    </row>
    <row r="2190" spans="1:24" ht="13.5" customHeight="1" x14ac:dyDescent="0.3">
      <c r="A2190" s="245"/>
      <c r="B2190" s="246"/>
      <c r="C2190" s="245"/>
      <c r="D2190" s="245"/>
      <c r="E2190" s="245"/>
      <c r="F2190" s="245"/>
      <c r="G2190" s="245"/>
      <c r="H2190" s="245"/>
      <c r="I2190" s="245"/>
      <c r="J2190" s="245"/>
      <c r="K2190" s="245"/>
      <c r="L2190" s="246"/>
      <c r="M2190" s="245"/>
      <c r="N2190" s="245"/>
      <c r="O2190" s="245"/>
      <c r="P2190" s="245"/>
      <c r="Q2190" s="247"/>
      <c r="R2190" s="247"/>
      <c r="S2190" s="247"/>
      <c r="T2190" s="245"/>
      <c r="U2190" s="245"/>
      <c r="V2190" s="241"/>
      <c r="W2190" s="241"/>
      <c r="X2190" s="241"/>
    </row>
    <row r="2191" spans="1:24" ht="13.5" customHeight="1" x14ac:dyDescent="0.3">
      <c r="A2191" s="245"/>
      <c r="B2191" s="246"/>
      <c r="C2191" s="245"/>
      <c r="D2191" s="245"/>
      <c r="E2191" s="245"/>
      <c r="F2191" s="245"/>
      <c r="G2191" s="245"/>
      <c r="H2191" s="245"/>
      <c r="I2191" s="245"/>
      <c r="J2191" s="245"/>
      <c r="K2191" s="245"/>
      <c r="L2191" s="246"/>
      <c r="M2191" s="245"/>
      <c r="N2191" s="245"/>
      <c r="O2191" s="245"/>
      <c r="P2191" s="245"/>
      <c r="Q2191" s="247"/>
      <c r="R2191" s="247"/>
      <c r="S2191" s="247"/>
      <c r="T2191" s="245"/>
      <c r="U2191" s="245"/>
      <c r="V2191" s="241"/>
      <c r="W2191" s="241"/>
      <c r="X2191" s="241"/>
    </row>
    <row r="2192" spans="1:24" ht="13.5" customHeight="1" x14ac:dyDescent="0.3">
      <c r="A2192" s="245"/>
      <c r="B2192" s="246"/>
      <c r="C2192" s="245"/>
      <c r="D2192" s="245"/>
      <c r="E2192" s="245"/>
      <c r="F2192" s="245"/>
      <c r="G2192" s="245"/>
      <c r="H2192" s="245"/>
      <c r="I2192" s="245"/>
      <c r="J2192" s="245"/>
      <c r="K2192" s="245"/>
      <c r="L2192" s="246"/>
      <c r="M2192" s="245"/>
      <c r="N2192" s="245"/>
      <c r="O2192" s="245"/>
      <c r="P2192" s="245"/>
      <c r="Q2192" s="247"/>
      <c r="R2192" s="247"/>
      <c r="S2192" s="247"/>
      <c r="T2192" s="245"/>
      <c r="U2192" s="245"/>
      <c r="V2192" s="241"/>
      <c r="W2192" s="241"/>
      <c r="X2192" s="241"/>
    </row>
    <row r="2193" spans="1:24" ht="13.5" customHeight="1" x14ac:dyDescent="0.3">
      <c r="A2193" s="245"/>
      <c r="B2193" s="246"/>
      <c r="C2193" s="245"/>
      <c r="D2193" s="245"/>
      <c r="E2193" s="245"/>
      <c r="F2193" s="245"/>
      <c r="G2193" s="245"/>
      <c r="H2193" s="245"/>
      <c r="I2193" s="245"/>
      <c r="J2193" s="245"/>
      <c r="K2193" s="245"/>
      <c r="L2193" s="246"/>
      <c r="M2193" s="245"/>
      <c r="N2193" s="245"/>
      <c r="O2193" s="245"/>
      <c r="P2193" s="245"/>
      <c r="Q2193" s="247"/>
      <c r="R2193" s="247"/>
      <c r="S2193" s="247"/>
      <c r="T2193" s="245"/>
      <c r="U2193" s="245"/>
      <c r="V2193" s="241"/>
      <c r="W2193" s="241"/>
      <c r="X2193" s="241"/>
    </row>
    <row r="2194" spans="1:24" ht="13.5" customHeight="1" x14ac:dyDescent="0.3">
      <c r="A2194" s="245"/>
      <c r="B2194" s="246"/>
      <c r="C2194" s="245"/>
      <c r="D2194" s="245"/>
      <c r="E2194" s="245"/>
      <c r="F2194" s="245"/>
      <c r="G2194" s="245"/>
      <c r="H2194" s="245"/>
      <c r="I2194" s="245"/>
      <c r="J2194" s="245"/>
      <c r="K2194" s="245"/>
      <c r="L2194" s="246"/>
      <c r="M2194" s="245"/>
      <c r="N2194" s="245"/>
      <c r="O2194" s="245"/>
      <c r="P2194" s="245"/>
      <c r="Q2194" s="247"/>
      <c r="R2194" s="247"/>
      <c r="S2194" s="247"/>
      <c r="T2194" s="245"/>
      <c r="U2194" s="245"/>
      <c r="V2194" s="241"/>
      <c r="W2194" s="241"/>
      <c r="X2194" s="241"/>
    </row>
    <row r="2195" spans="1:24" ht="13.5" customHeight="1" x14ac:dyDescent="0.3">
      <c r="A2195" s="245"/>
      <c r="B2195" s="246"/>
      <c r="C2195" s="245"/>
      <c r="D2195" s="245"/>
      <c r="E2195" s="245"/>
      <c r="F2195" s="245"/>
      <c r="G2195" s="245"/>
      <c r="H2195" s="245"/>
      <c r="I2195" s="245"/>
      <c r="J2195" s="245"/>
      <c r="K2195" s="245"/>
      <c r="L2195" s="246"/>
      <c r="M2195" s="245"/>
      <c r="N2195" s="245"/>
      <c r="O2195" s="245"/>
      <c r="P2195" s="245"/>
      <c r="Q2195" s="247"/>
      <c r="R2195" s="247"/>
      <c r="S2195" s="247"/>
      <c r="T2195" s="245"/>
      <c r="U2195" s="245"/>
      <c r="V2195" s="241"/>
      <c r="W2195" s="241"/>
      <c r="X2195" s="241"/>
    </row>
    <row r="2196" spans="1:24" ht="13.5" customHeight="1" x14ac:dyDescent="0.3">
      <c r="A2196" s="245"/>
      <c r="B2196" s="246"/>
      <c r="C2196" s="245"/>
      <c r="D2196" s="245"/>
      <c r="E2196" s="245"/>
      <c r="F2196" s="245"/>
      <c r="G2196" s="245"/>
      <c r="H2196" s="245"/>
      <c r="I2196" s="245"/>
      <c r="J2196" s="245"/>
      <c r="K2196" s="245"/>
      <c r="L2196" s="246"/>
      <c r="M2196" s="245"/>
      <c r="N2196" s="245"/>
      <c r="O2196" s="245"/>
      <c r="P2196" s="245"/>
      <c r="Q2196" s="247"/>
      <c r="R2196" s="247"/>
      <c r="S2196" s="247"/>
      <c r="T2196" s="245"/>
      <c r="U2196" s="245"/>
      <c r="V2196" s="241"/>
      <c r="W2196" s="241"/>
      <c r="X2196" s="241"/>
    </row>
    <row r="2197" spans="1:24" ht="13.5" customHeight="1" x14ac:dyDescent="0.3">
      <c r="A2197" s="245"/>
      <c r="B2197" s="246"/>
      <c r="C2197" s="245"/>
      <c r="D2197" s="245"/>
      <c r="E2197" s="245"/>
      <c r="F2197" s="245"/>
      <c r="G2197" s="245"/>
      <c r="H2197" s="245"/>
      <c r="I2197" s="245"/>
      <c r="J2197" s="245"/>
      <c r="K2197" s="245"/>
      <c r="L2197" s="246"/>
      <c r="M2197" s="245"/>
      <c r="N2197" s="245"/>
      <c r="O2197" s="245"/>
      <c r="P2197" s="245"/>
      <c r="Q2197" s="247"/>
      <c r="R2197" s="247"/>
      <c r="S2197" s="247"/>
      <c r="T2197" s="245"/>
      <c r="U2197" s="245"/>
      <c r="V2197" s="241"/>
      <c r="W2197" s="241"/>
      <c r="X2197" s="241"/>
    </row>
    <row r="2198" spans="1:24" ht="13.5" customHeight="1" x14ac:dyDescent="0.3">
      <c r="A2198" s="245"/>
      <c r="B2198" s="246"/>
      <c r="C2198" s="245"/>
      <c r="D2198" s="245"/>
      <c r="E2198" s="245"/>
      <c r="F2198" s="245"/>
      <c r="G2198" s="245"/>
      <c r="H2198" s="245"/>
      <c r="I2198" s="245"/>
      <c r="J2198" s="245"/>
      <c r="K2198" s="245"/>
      <c r="L2198" s="246"/>
      <c r="M2198" s="245"/>
      <c r="N2198" s="245"/>
      <c r="O2198" s="245"/>
      <c r="P2198" s="245"/>
      <c r="Q2198" s="247"/>
      <c r="R2198" s="247"/>
      <c r="S2198" s="247"/>
      <c r="T2198" s="245"/>
      <c r="U2198" s="245"/>
      <c r="V2198" s="241"/>
      <c r="W2198" s="241"/>
      <c r="X2198" s="241"/>
    </row>
    <row r="2199" spans="1:24" ht="13.5" customHeight="1" x14ac:dyDescent="0.3">
      <c r="A2199" s="245"/>
      <c r="B2199" s="246"/>
      <c r="C2199" s="245"/>
      <c r="D2199" s="245"/>
      <c r="E2199" s="245"/>
      <c r="F2199" s="245"/>
      <c r="G2199" s="245"/>
      <c r="H2199" s="245"/>
      <c r="I2199" s="245"/>
      <c r="J2199" s="245"/>
      <c r="K2199" s="245"/>
      <c r="L2199" s="246"/>
      <c r="M2199" s="245"/>
      <c r="N2199" s="245"/>
      <c r="O2199" s="245"/>
      <c r="P2199" s="245"/>
      <c r="Q2199" s="247"/>
      <c r="R2199" s="247"/>
      <c r="S2199" s="247"/>
      <c r="T2199" s="245"/>
      <c r="U2199" s="245"/>
      <c r="V2199" s="241"/>
      <c r="W2199" s="241"/>
      <c r="X2199" s="241"/>
    </row>
    <row r="2200" spans="1:24" ht="13.5" customHeight="1" x14ac:dyDescent="0.3">
      <c r="A2200" s="245"/>
      <c r="B2200" s="246"/>
      <c r="C2200" s="245"/>
      <c r="D2200" s="245"/>
      <c r="E2200" s="245"/>
      <c r="F2200" s="245"/>
      <c r="G2200" s="245"/>
      <c r="H2200" s="245"/>
      <c r="I2200" s="245"/>
      <c r="J2200" s="245"/>
      <c r="K2200" s="245"/>
      <c r="L2200" s="246"/>
      <c r="M2200" s="245"/>
      <c r="N2200" s="245"/>
      <c r="O2200" s="245"/>
      <c r="P2200" s="245"/>
      <c r="Q2200" s="247"/>
      <c r="R2200" s="247"/>
      <c r="S2200" s="247"/>
      <c r="T2200" s="245"/>
      <c r="U2200" s="245"/>
      <c r="V2200" s="241"/>
      <c r="W2200" s="241"/>
      <c r="X2200" s="241"/>
    </row>
    <row r="2201" spans="1:24" ht="13.5" customHeight="1" x14ac:dyDescent="0.3">
      <c r="A2201" s="245"/>
      <c r="B2201" s="246"/>
      <c r="C2201" s="245"/>
      <c r="D2201" s="245"/>
      <c r="E2201" s="245"/>
      <c r="F2201" s="245"/>
      <c r="G2201" s="245"/>
      <c r="H2201" s="245"/>
      <c r="I2201" s="245"/>
      <c r="J2201" s="245"/>
      <c r="K2201" s="245"/>
      <c r="L2201" s="246"/>
      <c r="M2201" s="245"/>
      <c r="N2201" s="245"/>
      <c r="O2201" s="245"/>
      <c r="P2201" s="245"/>
      <c r="Q2201" s="247"/>
      <c r="R2201" s="247"/>
      <c r="S2201" s="247"/>
      <c r="T2201" s="245"/>
      <c r="U2201" s="245"/>
      <c r="V2201" s="241"/>
      <c r="W2201" s="241"/>
      <c r="X2201" s="241"/>
    </row>
    <row r="2202" spans="1:24" ht="13.5" customHeight="1" x14ac:dyDescent="0.3">
      <c r="A2202" s="245"/>
      <c r="B2202" s="246"/>
      <c r="C2202" s="245"/>
      <c r="D2202" s="245"/>
      <c r="E2202" s="245"/>
      <c r="F2202" s="245"/>
      <c r="G2202" s="245"/>
      <c r="H2202" s="245"/>
      <c r="I2202" s="245"/>
      <c r="J2202" s="245"/>
      <c r="K2202" s="245"/>
      <c r="L2202" s="246"/>
      <c r="M2202" s="245"/>
      <c r="N2202" s="245"/>
      <c r="O2202" s="245"/>
      <c r="P2202" s="245"/>
      <c r="Q2202" s="247"/>
      <c r="R2202" s="247"/>
      <c r="S2202" s="247"/>
      <c r="T2202" s="245"/>
      <c r="U2202" s="245"/>
      <c r="V2202" s="241"/>
      <c r="W2202" s="241"/>
      <c r="X2202" s="241"/>
    </row>
    <row r="2203" spans="1:24" ht="13.5" customHeight="1" x14ac:dyDescent="0.3">
      <c r="A2203" s="245"/>
      <c r="B2203" s="246"/>
      <c r="C2203" s="245"/>
      <c r="D2203" s="245"/>
      <c r="E2203" s="245"/>
      <c r="F2203" s="245"/>
      <c r="G2203" s="245"/>
      <c r="H2203" s="245"/>
      <c r="I2203" s="245"/>
      <c r="J2203" s="245"/>
      <c r="K2203" s="245"/>
      <c r="L2203" s="246"/>
      <c r="M2203" s="245"/>
      <c r="N2203" s="245"/>
      <c r="O2203" s="245"/>
      <c r="P2203" s="245"/>
      <c r="Q2203" s="247"/>
      <c r="R2203" s="247"/>
      <c r="S2203" s="247"/>
      <c r="T2203" s="245"/>
      <c r="U2203" s="245"/>
      <c r="V2203" s="241"/>
      <c r="W2203" s="241"/>
      <c r="X2203" s="241"/>
    </row>
    <row r="2204" spans="1:24" ht="13.5" customHeight="1" x14ac:dyDescent="0.3">
      <c r="A2204" s="245"/>
      <c r="B2204" s="246"/>
      <c r="C2204" s="245"/>
      <c r="D2204" s="245"/>
      <c r="E2204" s="245"/>
      <c r="F2204" s="245"/>
      <c r="G2204" s="245"/>
      <c r="H2204" s="245"/>
      <c r="I2204" s="245"/>
      <c r="J2204" s="245"/>
      <c r="K2204" s="245"/>
      <c r="L2204" s="246"/>
      <c r="M2204" s="245"/>
      <c r="N2204" s="245"/>
      <c r="O2204" s="245"/>
      <c r="P2204" s="245"/>
      <c r="Q2204" s="247"/>
      <c r="R2204" s="247"/>
      <c r="S2204" s="247"/>
      <c r="T2204" s="245"/>
      <c r="U2204" s="245"/>
      <c r="V2204" s="241"/>
      <c r="W2204" s="241"/>
      <c r="X2204" s="241"/>
    </row>
    <row r="2205" spans="1:24" ht="13.5" customHeight="1" x14ac:dyDescent="0.3">
      <c r="A2205" s="245"/>
      <c r="B2205" s="246"/>
      <c r="C2205" s="245"/>
      <c r="D2205" s="245"/>
      <c r="E2205" s="245"/>
      <c r="F2205" s="245"/>
      <c r="G2205" s="245"/>
      <c r="H2205" s="245"/>
      <c r="I2205" s="245"/>
      <c r="J2205" s="245"/>
      <c r="K2205" s="245"/>
      <c r="L2205" s="246"/>
      <c r="M2205" s="245"/>
      <c r="N2205" s="245"/>
      <c r="O2205" s="245"/>
      <c r="P2205" s="245"/>
      <c r="Q2205" s="247"/>
      <c r="R2205" s="247"/>
      <c r="S2205" s="247"/>
      <c r="T2205" s="245"/>
      <c r="U2205" s="245"/>
      <c r="V2205" s="241"/>
      <c r="W2205" s="241"/>
      <c r="X2205" s="241"/>
    </row>
    <row r="2206" spans="1:24" ht="13.5" customHeight="1" x14ac:dyDescent="0.3">
      <c r="A2206" s="245"/>
      <c r="B2206" s="246"/>
      <c r="C2206" s="245"/>
      <c r="D2206" s="245"/>
      <c r="E2206" s="245"/>
      <c r="F2206" s="245"/>
      <c r="G2206" s="245"/>
      <c r="H2206" s="245"/>
      <c r="I2206" s="245"/>
      <c r="J2206" s="245"/>
      <c r="K2206" s="245"/>
      <c r="L2206" s="246"/>
      <c r="M2206" s="245"/>
      <c r="N2206" s="245"/>
      <c r="O2206" s="245"/>
      <c r="P2206" s="245"/>
      <c r="Q2206" s="247"/>
      <c r="R2206" s="247"/>
      <c r="S2206" s="247"/>
      <c r="T2206" s="245"/>
      <c r="U2206" s="245"/>
      <c r="V2206" s="241"/>
      <c r="W2206" s="241"/>
      <c r="X2206" s="241"/>
    </row>
    <row r="2207" spans="1:24" ht="13.5" customHeight="1" x14ac:dyDescent="0.3">
      <c r="A2207" s="245"/>
      <c r="B2207" s="246"/>
      <c r="C2207" s="245"/>
      <c r="D2207" s="245"/>
      <c r="E2207" s="245"/>
      <c r="F2207" s="245"/>
      <c r="G2207" s="245"/>
      <c r="H2207" s="245"/>
      <c r="I2207" s="245"/>
      <c r="J2207" s="245"/>
      <c r="K2207" s="245"/>
      <c r="L2207" s="246"/>
      <c r="M2207" s="245"/>
      <c r="N2207" s="245"/>
      <c r="O2207" s="245"/>
      <c r="P2207" s="245"/>
      <c r="Q2207" s="247"/>
      <c r="R2207" s="247"/>
      <c r="S2207" s="247"/>
      <c r="T2207" s="245"/>
      <c r="U2207" s="245"/>
      <c r="V2207" s="241"/>
      <c r="W2207" s="241"/>
      <c r="X2207" s="241"/>
    </row>
    <row r="2208" spans="1:24" ht="13.5" customHeight="1" x14ac:dyDescent="0.3">
      <c r="A2208" s="245"/>
      <c r="B2208" s="246"/>
      <c r="C2208" s="245"/>
      <c r="D2208" s="245"/>
      <c r="E2208" s="245"/>
      <c r="F2208" s="245"/>
      <c r="G2208" s="245"/>
      <c r="H2208" s="245"/>
      <c r="I2208" s="245"/>
      <c r="J2208" s="245"/>
      <c r="K2208" s="245"/>
      <c r="L2208" s="246"/>
      <c r="M2208" s="245"/>
      <c r="N2208" s="245"/>
      <c r="O2208" s="245"/>
      <c r="P2208" s="245"/>
      <c r="Q2208" s="247"/>
      <c r="R2208" s="247"/>
      <c r="S2208" s="247"/>
      <c r="T2208" s="245"/>
      <c r="U2208" s="245"/>
      <c r="V2208" s="241"/>
      <c r="W2208" s="241"/>
      <c r="X2208" s="241"/>
    </row>
    <row r="2209" spans="1:24" ht="13.5" customHeight="1" x14ac:dyDescent="0.3">
      <c r="A2209" s="245"/>
      <c r="B2209" s="246"/>
      <c r="C2209" s="245"/>
      <c r="D2209" s="245"/>
      <c r="E2209" s="245"/>
      <c r="F2209" s="245"/>
      <c r="G2209" s="245"/>
      <c r="H2209" s="245"/>
      <c r="I2209" s="245"/>
      <c r="J2209" s="245"/>
      <c r="K2209" s="245"/>
      <c r="L2209" s="246"/>
      <c r="M2209" s="245"/>
      <c r="N2209" s="245"/>
      <c r="O2209" s="245"/>
      <c r="P2209" s="245"/>
      <c r="Q2209" s="247"/>
      <c r="R2209" s="247"/>
      <c r="S2209" s="247"/>
      <c r="T2209" s="245"/>
      <c r="U2209" s="245"/>
      <c r="V2209" s="241"/>
      <c r="W2209" s="241"/>
      <c r="X2209" s="241"/>
    </row>
    <row r="2210" spans="1:24" ht="13.5" customHeight="1" x14ac:dyDescent="0.3">
      <c r="A2210" s="245"/>
      <c r="B2210" s="246"/>
      <c r="C2210" s="245"/>
      <c r="D2210" s="245"/>
      <c r="E2210" s="245"/>
      <c r="F2210" s="245"/>
      <c r="G2210" s="245"/>
      <c r="H2210" s="245"/>
      <c r="I2210" s="245"/>
      <c r="J2210" s="245"/>
      <c r="K2210" s="245"/>
      <c r="L2210" s="246"/>
      <c r="M2210" s="245"/>
      <c r="N2210" s="245"/>
      <c r="O2210" s="245"/>
      <c r="P2210" s="245"/>
      <c r="Q2210" s="247"/>
      <c r="R2210" s="247"/>
      <c r="S2210" s="247"/>
      <c r="T2210" s="245"/>
      <c r="U2210" s="245"/>
      <c r="V2210" s="241"/>
      <c r="W2210" s="241"/>
      <c r="X2210" s="241"/>
    </row>
    <row r="2211" spans="1:24" ht="13.5" customHeight="1" x14ac:dyDescent="0.3">
      <c r="A2211" s="245"/>
      <c r="B2211" s="246"/>
      <c r="C2211" s="245"/>
      <c r="D2211" s="245"/>
      <c r="E2211" s="245"/>
      <c r="F2211" s="245"/>
      <c r="G2211" s="245"/>
      <c r="H2211" s="245"/>
      <c r="I2211" s="245"/>
      <c r="J2211" s="245"/>
      <c r="K2211" s="245"/>
      <c r="L2211" s="246"/>
      <c r="M2211" s="245"/>
      <c r="N2211" s="245"/>
      <c r="O2211" s="245"/>
      <c r="P2211" s="245"/>
      <c r="Q2211" s="247"/>
      <c r="R2211" s="247"/>
      <c r="S2211" s="247"/>
      <c r="T2211" s="245"/>
      <c r="U2211" s="245"/>
      <c r="V2211" s="241"/>
      <c r="W2211" s="241"/>
      <c r="X2211" s="241"/>
    </row>
    <row r="2212" spans="1:24" ht="13.5" customHeight="1" x14ac:dyDescent="0.3">
      <c r="A2212" s="245"/>
      <c r="B2212" s="246"/>
      <c r="C2212" s="245"/>
      <c r="D2212" s="245"/>
      <c r="E2212" s="245"/>
      <c r="F2212" s="245"/>
      <c r="G2212" s="245"/>
      <c r="H2212" s="245"/>
      <c r="I2212" s="245"/>
      <c r="J2212" s="245"/>
      <c r="K2212" s="245"/>
      <c r="L2212" s="246"/>
      <c r="M2212" s="245"/>
      <c r="N2212" s="245"/>
      <c r="O2212" s="245"/>
      <c r="P2212" s="245"/>
      <c r="Q2212" s="247"/>
      <c r="R2212" s="247"/>
      <c r="S2212" s="247"/>
      <c r="T2212" s="245"/>
      <c r="U2212" s="245"/>
      <c r="V2212" s="241"/>
      <c r="W2212" s="241"/>
      <c r="X2212" s="241"/>
    </row>
    <row r="2213" spans="1:24" ht="13.5" customHeight="1" x14ac:dyDescent="0.3">
      <c r="A2213" s="245"/>
      <c r="B2213" s="246"/>
      <c r="C2213" s="245"/>
      <c r="D2213" s="245"/>
      <c r="E2213" s="245"/>
      <c r="F2213" s="245"/>
      <c r="G2213" s="245"/>
      <c r="H2213" s="245"/>
      <c r="I2213" s="245"/>
      <c r="J2213" s="245"/>
      <c r="K2213" s="245"/>
      <c r="L2213" s="246"/>
      <c r="M2213" s="245"/>
      <c r="N2213" s="245"/>
      <c r="O2213" s="245"/>
      <c r="P2213" s="245"/>
      <c r="Q2213" s="247"/>
      <c r="R2213" s="247"/>
      <c r="S2213" s="247"/>
      <c r="T2213" s="245"/>
      <c r="U2213" s="245"/>
      <c r="V2213" s="241"/>
      <c r="W2213" s="241"/>
      <c r="X2213" s="241"/>
    </row>
    <row r="2214" spans="1:24" ht="13.5" customHeight="1" x14ac:dyDescent="0.3">
      <c r="A2214" s="245"/>
      <c r="B2214" s="246"/>
      <c r="C2214" s="245"/>
      <c r="D2214" s="245"/>
      <c r="E2214" s="245"/>
      <c r="F2214" s="245"/>
      <c r="G2214" s="245"/>
      <c r="H2214" s="245"/>
      <c r="I2214" s="245"/>
      <c r="J2214" s="245"/>
      <c r="K2214" s="245"/>
      <c r="L2214" s="246"/>
      <c r="M2214" s="245"/>
      <c r="N2214" s="245"/>
      <c r="O2214" s="245"/>
      <c r="P2214" s="245"/>
      <c r="Q2214" s="247"/>
      <c r="R2214" s="247"/>
      <c r="S2214" s="247"/>
      <c r="T2214" s="245"/>
      <c r="U2214" s="245"/>
      <c r="V2214" s="241"/>
      <c r="W2214" s="241"/>
      <c r="X2214" s="241"/>
    </row>
    <row r="2215" spans="1:24" ht="13.5" customHeight="1" x14ac:dyDescent="0.3">
      <c r="A2215" s="245"/>
      <c r="B2215" s="246"/>
      <c r="C2215" s="245"/>
      <c r="D2215" s="245"/>
      <c r="E2215" s="245"/>
      <c r="F2215" s="245"/>
      <c r="G2215" s="245"/>
      <c r="H2215" s="245"/>
      <c r="I2215" s="245"/>
      <c r="J2215" s="245"/>
      <c r="K2215" s="245"/>
      <c r="L2215" s="246"/>
      <c r="M2215" s="245"/>
      <c r="N2215" s="245"/>
      <c r="O2215" s="245"/>
      <c r="P2215" s="245"/>
      <c r="Q2215" s="247"/>
      <c r="R2215" s="247"/>
      <c r="S2215" s="247"/>
      <c r="T2215" s="245"/>
      <c r="U2215" s="245"/>
      <c r="V2215" s="241"/>
      <c r="W2215" s="241"/>
      <c r="X2215" s="241"/>
    </row>
    <row r="2216" spans="1:24" ht="13.5" customHeight="1" x14ac:dyDescent="0.3">
      <c r="A2216" s="245"/>
      <c r="B2216" s="246"/>
      <c r="C2216" s="245"/>
      <c r="D2216" s="245"/>
      <c r="E2216" s="245"/>
      <c r="F2216" s="245"/>
      <c r="G2216" s="245"/>
      <c r="H2216" s="245"/>
      <c r="I2216" s="245"/>
      <c r="J2216" s="245"/>
      <c r="K2216" s="245"/>
      <c r="L2216" s="246"/>
      <c r="M2216" s="245"/>
      <c r="N2216" s="245"/>
      <c r="O2216" s="245"/>
      <c r="P2216" s="245"/>
      <c r="Q2216" s="247"/>
      <c r="R2216" s="247"/>
      <c r="S2216" s="247"/>
      <c r="T2216" s="245"/>
      <c r="U2216" s="245"/>
      <c r="V2216" s="241"/>
      <c r="W2216" s="241"/>
      <c r="X2216" s="241"/>
    </row>
    <row r="2217" spans="1:24" ht="13.5" customHeight="1" x14ac:dyDescent="0.3">
      <c r="A2217" s="245"/>
      <c r="B2217" s="246"/>
      <c r="C2217" s="245"/>
      <c r="D2217" s="245"/>
      <c r="E2217" s="245"/>
      <c r="F2217" s="245"/>
      <c r="G2217" s="245"/>
      <c r="H2217" s="245"/>
      <c r="I2217" s="245"/>
      <c r="J2217" s="245"/>
      <c r="K2217" s="245"/>
      <c r="L2217" s="246"/>
      <c r="M2217" s="245"/>
      <c r="N2217" s="245"/>
      <c r="O2217" s="245"/>
      <c r="P2217" s="245"/>
      <c r="Q2217" s="247"/>
      <c r="R2217" s="247"/>
      <c r="S2217" s="247"/>
      <c r="T2217" s="245"/>
      <c r="U2217" s="245"/>
      <c r="V2217" s="241"/>
      <c r="W2217" s="241"/>
      <c r="X2217" s="241"/>
    </row>
    <row r="2218" spans="1:24" ht="13.5" customHeight="1" x14ac:dyDescent="0.3">
      <c r="A2218" s="245"/>
      <c r="B2218" s="246"/>
      <c r="C2218" s="245"/>
      <c r="D2218" s="245"/>
      <c r="E2218" s="245"/>
      <c r="F2218" s="245"/>
      <c r="G2218" s="245"/>
      <c r="H2218" s="245"/>
      <c r="I2218" s="245"/>
      <c r="J2218" s="245"/>
      <c r="K2218" s="245"/>
      <c r="L2218" s="246"/>
      <c r="M2218" s="245"/>
      <c r="N2218" s="245"/>
      <c r="O2218" s="245"/>
      <c r="P2218" s="245"/>
      <c r="Q2218" s="247"/>
      <c r="R2218" s="247"/>
      <c r="S2218" s="247"/>
      <c r="T2218" s="245"/>
      <c r="U2218" s="245"/>
      <c r="V2218" s="241"/>
      <c r="W2218" s="241"/>
      <c r="X2218" s="241"/>
    </row>
    <row r="2219" spans="1:24" ht="13.5" customHeight="1" x14ac:dyDescent="0.3">
      <c r="A2219" s="245"/>
      <c r="B2219" s="246"/>
      <c r="C2219" s="245"/>
      <c r="D2219" s="245"/>
      <c r="E2219" s="245"/>
      <c r="F2219" s="245"/>
      <c r="G2219" s="245"/>
      <c r="H2219" s="245"/>
      <c r="I2219" s="245"/>
      <c r="J2219" s="245"/>
      <c r="K2219" s="245"/>
      <c r="L2219" s="246"/>
      <c r="M2219" s="245"/>
      <c r="N2219" s="245"/>
      <c r="O2219" s="245"/>
      <c r="P2219" s="245"/>
      <c r="Q2219" s="247"/>
      <c r="R2219" s="247"/>
      <c r="S2219" s="247"/>
      <c r="T2219" s="245"/>
      <c r="U2219" s="245"/>
      <c r="V2219" s="241"/>
      <c r="W2219" s="241"/>
      <c r="X2219" s="241"/>
    </row>
    <row r="2220" spans="1:24" ht="13.5" customHeight="1" x14ac:dyDescent="0.3">
      <c r="A2220" s="245"/>
      <c r="B2220" s="246"/>
      <c r="C2220" s="245"/>
      <c r="D2220" s="245"/>
      <c r="E2220" s="245"/>
      <c r="F2220" s="245"/>
      <c r="G2220" s="245"/>
      <c r="H2220" s="245"/>
      <c r="I2220" s="245"/>
      <c r="J2220" s="245"/>
      <c r="K2220" s="245"/>
      <c r="L2220" s="246"/>
      <c r="M2220" s="245"/>
      <c r="N2220" s="245"/>
      <c r="O2220" s="245"/>
      <c r="P2220" s="245"/>
      <c r="Q2220" s="247"/>
      <c r="R2220" s="247"/>
      <c r="S2220" s="247"/>
      <c r="T2220" s="245"/>
      <c r="U2220" s="245"/>
      <c r="V2220" s="241"/>
      <c r="W2220" s="241"/>
      <c r="X2220" s="241"/>
    </row>
    <row r="2221" spans="1:24" ht="13.5" customHeight="1" x14ac:dyDescent="0.3">
      <c r="A2221" s="245"/>
      <c r="B2221" s="246"/>
      <c r="C2221" s="245"/>
      <c r="D2221" s="245"/>
      <c r="E2221" s="245"/>
      <c r="F2221" s="245"/>
      <c r="G2221" s="245"/>
      <c r="H2221" s="245"/>
      <c r="I2221" s="245"/>
      <c r="J2221" s="245"/>
      <c r="K2221" s="245"/>
      <c r="L2221" s="246"/>
      <c r="M2221" s="245"/>
      <c r="N2221" s="245"/>
      <c r="O2221" s="245"/>
      <c r="P2221" s="245"/>
      <c r="Q2221" s="247"/>
      <c r="R2221" s="247"/>
      <c r="S2221" s="247"/>
      <c r="T2221" s="245"/>
      <c r="U2221" s="245"/>
      <c r="V2221" s="241"/>
      <c r="W2221" s="241"/>
      <c r="X2221" s="241"/>
    </row>
    <row r="2222" spans="1:24" ht="13.5" customHeight="1" x14ac:dyDescent="0.3">
      <c r="A2222" s="245"/>
      <c r="B2222" s="246"/>
      <c r="C2222" s="245"/>
      <c r="D2222" s="245"/>
      <c r="E2222" s="245"/>
      <c r="F2222" s="245"/>
      <c r="G2222" s="245"/>
      <c r="H2222" s="245"/>
      <c r="I2222" s="245"/>
      <c r="J2222" s="245"/>
      <c r="K2222" s="245"/>
      <c r="L2222" s="246"/>
      <c r="M2222" s="245"/>
      <c r="N2222" s="245"/>
      <c r="O2222" s="245"/>
      <c r="P2222" s="245"/>
      <c r="Q2222" s="247"/>
      <c r="R2222" s="247"/>
      <c r="S2222" s="247"/>
      <c r="T2222" s="245"/>
      <c r="U2222" s="245"/>
      <c r="V2222" s="241"/>
      <c r="W2222" s="241"/>
      <c r="X2222" s="241"/>
    </row>
    <row r="2223" spans="1:24" ht="13.5" customHeight="1" x14ac:dyDescent="0.3">
      <c r="A2223" s="245"/>
      <c r="B2223" s="246"/>
      <c r="C2223" s="245"/>
      <c r="D2223" s="245"/>
      <c r="E2223" s="245"/>
      <c r="F2223" s="245"/>
      <c r="G2223" s="245"/>
      <c r="H2223" s="245"/>
      <c r="I2223" s="245"/>
      <c r="J2223" s="245"/>
      <c r="K2223" s="245"/>
      <c r="L2223" s="246"/>
      <c r="M2223" s="245"/>
      <c r="N2223" s="245"/>
      <c r="O2223" s="245"/>
      <c r="P2223" s="245"/>
      <c r="Q2223" s="247"/>
      <c r="R2223" s="247"/>
      <c r="S2223" s="247"/>
      <c r="T2223" s="245"/>
      <c r="U2223" s="245"/>
      <c r="V2223" s="241"/>
      <c r="W2223" s="241"/>
      <c r="X2223" s="241"/>
    </row>
    <row r="2224" spans="1:24" ht="13.5" customHeight="1" x14ac:dyDescent="0.3">
      <c r="A2224" s="245"/>
      <c r="B2224" s="246"/>
      <c r="C2224" s="245"/>
      <c r="D2224" s="245"/>
      <c r="E2224" s="245"/>
      <c r="F2224" s="245"/>
      <c r="G2224" s="245"/>
      <c r="H2224" s="245"/>
      <c r="I2224" s="245"/>
      <c r="J2224" s="245"/>
      <c r="K2224" s="245"/>
      <c r="L2224" s="246"/>
      <c r="M2224" s="245"/>
      <c r="N2224" s="245"/>
      <c r="O2224" s="245"/>
      <c r="P2224" s="245"/>
      <c r="Q2224" s="247"/>
      <c r="R2224" s="247"/>
      <c r="S2224" s="247"/>
      <c r="T2224" s="245"/>
      <c r="U2224" s="245"/>
      <c r="V2224" s="241"/>
      <c r="W2224" s="241"/>
      <c r="X2224" s="241"/>
    </row>
    <row r="2225" spans="1:24" ht="13.5" customHeight="1" x14ac:dyDescent="0.3">
      <c r="A2225" s="245"/>
      <c r="B2225" s="246"/>
      <c r="C2225" s="245"/>
      <c r="D2225" s="245"/>
      <c r="E2225" s="245"/>
      <c r="F2225" s="245"/>
      <c r="G2225" s="245"/>
      <c r="H2225" s="245"/>
      <c r="I2225" s="245"/>
      <c r="J2225" s="245"/>
      <c r="K2225" s="245"/>
      <c r="L2225" s="246"/>
      <c r="M2225" s="245"/>
      <c r="N2225" s="245"/>
      <c r="O2225" s="245"/>
      <c r="P2225" s="245"/>
      <c r="Q2225" s="247"/>
      <c r="R2225" s="247"/>
      <c r="S2225" s="247"/>
      <c r="T2225" s="245"/>
      <c r="U2225" s="245"/>
      <c r="V2225" s="241"/>
      <c r="W2225" s="241"/>
      <c r="X2225" s="241"/>
    </row>
    <row r="2226" spans="1:24" ht="13.5" customHeight="1" x14ac:dyDescent="0.3">
      <c r="A2226" s="245"/>
      <c r="B2226" s="246"/>
      <c r="C2226" s="245"/>
      <c r="D2226" s="245"/>
      <c r="E2226" s="245"/>
      <c r="F2226" s="245"/>
      <c r="G2226" s="245"/>
      <c r="H2226" s="245"/>
      <c r="I2226" s="245"/>
      <c r="J2226" s="245"/>
      <c r="K2226" s="245"/>
      <c r="L2226" s="246"/>
      <c r="M2226" s="245"/>
      <c r="N2226" s="245"/>
      <c r="O2226" s="245"/>
      <c r="P2226" s="245"/>
      <c r="Q2226" s="247"/>
      <c r="R2226" s="247"/>
      <c r="S2226" s="247"/>
      <c r="T2226" s="245"/>
      <c r="U2226" s="245"/>
      <c r="V2226" s="241"/>
      <c r="W2226" s="241"/>
      <c r="X2226" s="241"/>
    </row>
    <row r="2227" spans="1:24" ht="13.5" customHeight="1" x14ac:dyDescent="0.3">
      <c r="A2227" s="245"/>
      <c r="B2227" s="246"/>
      <c r="C2227" s="245"/>
      <c r="D2227" s="245"/>
      <c r="E2227" s="245"/>
      <c r="F2227" s="245"/>
      <c r="G2227" s="245"/>
      <c r="H2227" s="245"/>
      <c r="I2227" s="245"/>
      <c r="J2227" s="245"/>
      <c r="K2227" s="245"/>
      <c r="L2227" s="246"/>
      <c r="M2227" s="245"/>
      <c r="N2227" s="245"/>
      <c r="O2227" s="245"/>
      <c r="P2227" s="245"/>
      <c r="Q2227" s="247"/>
      <c r="R2227" s="247"/>
      <c r="S2227" s="247"/>
      <c r="T2227" s="245"/>
      <c r="U2227" s="245"/>
      <c r="V2227" s="241"/>
      <c r="W2227" s="241"/>
      <c r="X2227" s="241"/>
    </row>
    <row r="2228" spans="1:24" ht="13.5" customHeight="1" x14ac:dyDescent="0.3">
      <c r="A2228" s="245"/>
      <c r="B2228" s="246"/>
      <c r="C2228" s="245"/>
      <c r="D2228" s="245"/>
      <c r="E2228" s="245"/>
      <c r="F2228" s="245"/>
      <c r="G2228" s="245"/>
      <c r="H2228" s="245"/>
      <c r="I2228" s="245"/>
      <c r="J2228" s="245"/>
      <c r="K2228" s="245"/>
      <c r="L2228" s="246"/>
      <c r="M2228" s="245"/>
      <c r="N2228" s="245"/>
      <c r="O2228" s="245"/>
      <c r="P2228" s="245"/>
      <c r="Q2228" s="247"/>
      <c r="R2228" s="247"/>
      <c r="S2228" s="247"/>
      <c r="T2228" s="245"/>
      <c r="U2228" s="245"/>
      <c r="V2228" s="241"/>
      <c r="W2228" s="241"/>
      <c r="X2228" s="241"/>
    </row>
    <row r="2229" spans="1:24" ht="13.5" customHeight="1" x14ac:dyDescent="0.3">
      <c r="A2229" s="245"/>
      <c r="B2229" s="246"/>
      <c r="C2229" s="245"/>
      <c r="D2229" s="245"/>
      <c r="E2229" s="245"/>
      <c r="F2229" s="245"/>
      <c r="G2229" s="245"/>
      <c r="H2229" s="245"/>
      <c r="I2229" s="245"/>
      <c r="J2229" s="245"/>
      <c r="K2229" s="245"/>
      <c r="L2229" s="246"/>
      <c r="M2229" s="245"/>
      <c r="N2229" s="245"/>
      <c r="O2229" s="245"/>
      <c r="P2229" s="245"/>
      <c r="Q2229" s="247"/>
      <c r="R2229" s="247"/>
      <c r="S2229" s="247"/>
      <c r="T2229" s="245"/>
      <c r="U2229" s="245"/>
      <c r="V2229" s="241"/>
      <c r="W2229" s="241"/>
      <c r="X2229" s="241"/>
    </row>
    <row r="2230" spans="1:24" ht="13.5" customHeight="1" x14ac:dyDescent="0.3">
      <c r="A2230" s="245"/>
      <c r="B2230" s="246"/>
      <c r="C2230" s="245"/>
      <c r="D2230" s="245"/>
      <c r="E2230" s="245"/>
      <c r="F2230" s="245"/>
      <c r="G2230" s="245"/>
      <c r="H2230" s="245"/>
      <c r="I2230" s="245"/>
      <c r="J2230" s="245"/>
      <c r="K2230" s="245"/>
      <c r="L2230" s="246"/>
      <c r="M2230" s="245"/>
      <c r="N2230" s="245"/>
      <c r="O2230" s="245"/>
      <c r="P2230" s="245"/>
      <c r="Q2230" s="247"/>
      <c r="R2230" s="247"/>
      <c r="S2230" s="247"/>
      <c r="T2230" s="245"/>
      <c r="U2230" s="245"/>
      <c r="V2230" s="241"/>
      <c r="W2230" s="241"/>
      <c r="X2230" s="241"/>
    </row>
    <row r="2231" spans="1:24" ht="13.5" customHeight="1" x14ac:dyDescent="0.3">
      <c r="A2231" s="245"/>
      <c r="B2231" s="246"/>
      <c r="C2231" s="245"/>
      <c r="D2231" s="245"/>
      <c r="E2231" s="245"/>
      <c r="F2231" s="245"/>
      <c r="G2231" s="245"/>
      <c r="H2231" s="245"/>
      <c r="I2231" s="245"/>
      <c r="J2231" s="245"/>
      <c r="K2231" s="245"/>
      <c r="L2231" s="246"/>
      <c r="M2231" s="245"/>
      <c r="N2231" s="245"/>
      <c r="O2231" s="245"/>
      <c r="P2231" s="245"/>
      <c r="Q2231" s="247"/>
      <c r="R2231" s="247"/>
      <c r="S2231" s="247"/>
      <c r="T2231" s="245"/>
      <c r="U2231" s="245"/>
      <c r="V2231" s="241"/>
      <c r="W2231" s="241"/>
      <c r="X2231" s="241"/>
    </row>
    <row r="2232" spans="1:24" ht="13.5" customHeight="1" x14ac:dyDescent="0.3">
      <c r="A2232" s="245"/>
      <c r="B2232" s="246"/>
      <c r="C2232" s="245"/>
      <c r="D2232" s="245"/>
      <c r="E2232" s="245"/>
      <c r="F2232" s="245"/>
      <c r="G2232" s="245"/>
      <c r="H2232" s="245"/>
      <c r="I2232" s="245"/>
      <c r="J2232" s="245"/>
      <c r="K2232" s="245"/>
      <c r="L2232" s="246"/>
      <c r="M2232" s="245"/>
      <c r="N2232" s="245"/>
      <c r="O2232" s="245"/>
      <c r="P2232" s="245"/>
      <c r="Q2232" s="247"/>
      <c r="R2232" s="247"/>
      <c r="S2232" s="247"/>
      <c r="T2232" s="245"/>
      <c r="U2232" s="245"/>
      <c r="V2232" s="241"/>
      <c r="W2232" s="241"/>
      <c r="X2232" s="241"/>
    </row>
    <row r="2233" spans="1:24" ht="13.5" customHeight="1" x14ac:dyDescent="0.3">
      <c r="A2233" s="245"/>
      <c r="B2233" s="246"/>
      <c r="C2233" s="245"/>
      <c r="D2233" s="245"/>
      <c r="E2233" s="245"/>
      <c r="F2233" s="245"/>
      <c r="G2233" s="245"/>
      <c r="H2233" s="245"/>
      <c r="I2233" s="245"/>
      <c r="J2233" s="245"/>
      <c r="K2233" s="245"/>
      <c r="L2233" s="246"/>
      <c r="M2233" s="245"/>
      <c r="N2233" s="245"/>
      <c r="O2233" s="245"/>
      <c r="P2233" s="245"/>
      <c r="Q2233" s="247"/>
      <c r="R2233" s="247"/>
      <c r="S2233" s="247"/>
      <c r="T2233" s="245"/>
      <c r="U2233" s="245"/>
      <c r="V2233" s="241"/>
      <c r="W2233" s="241"/>
      <c r="X2233" s="241"/>
    </row>
    <row r="2234" spans="1:24" ht="13.5" customHeight="1" x14ac:dyDescent="0.3">
      <c r="A2234" s="245"/>
      <c r="B2234" s="246"/>
      <c r="C2234" s="245"/>
      <c r="D2234" s="245"/>
      <c r="E2234" s="245"/>
      <c r="F2234" s="245"/>
      <c r="G2234" s="245"/>
      <c r="H2234" s="245"/>
      <c r="I2234" s="245"/>
      <c r="J2234" s="245"/>
      <c r="K2234" s="245"/>
      <c r="L2234" s="246"/>
      <c r="M2234" s="245"/>
      <c r="N2234" s="245"/>
      <c r="O2234" s="245"/>
      <c r="P2234" s="245"/>
      <c r="Q2234" s="247"/>
      <c r="R2234" s="247"/>
      <c r="S2234" s="247"/>
      <c r="T2234" s="245"/>
      <c r="U2234" s="245"/>
      <c r="V2234" s="241"/>
      <c r="W2234" s="241"/>
      <c r="X2234" s="241"/>
    </row>
    <row r="2235" spans="1:24" ht="13.5" customHeight="1" x14ac:dyDescent="0.3">
      <c r="A2235" s="245"/>
      <c r="B2235" s="246"/>
      <c r="C2235" s="245"/>
      <c r="D2235" s="245"/>
      <c r="E2235" s="245"/>
      <c r="F2235" s="245"/>
      <c r="G2235" s="245"/>
      <c r="H2235" s="245"/>
      <c r="I2235" s="245"/>
      <c r="J2235" s="245"/>
      <c r="K2235" s="245"/>
      <c r="L2235" s="246"/>
      <c r="M2235" s="245"/>
      <c r="N2235" s="245"/>
      <c r="O2235" s="245"/>
      <c r="P2235" s="245"/>
      <c r="Q2235" s="247"/>
      <c r="R2235" s="247"/>
      <c r="S2235" s="247"/>
      <c r="T2235" s="245"/>
      <c r="U2235" s="245"/>
      <c r="V2235" s="241"/>
      <c r="W2235" s="241"/>
      <c r="X2235" s="241"/>
    </row>
    <row r="2236" spans="1:24" ht="13.5" customHeight="1" x14ac:dyDescent="0.3">
      <c r="A2236" s="245"/>
      <c r="B2236" s="246"/>
      <c r="C2236" s="245"/>
      <c r="D2236" s="245"/>
      <c r="E2236" s="245"/>
      <c r="F2236" s="245"/>
      <c r="G2236" s="245"/>
      <c r="H2236" s="245"/>
      <c r="I2236" s="245"/>
      <c r="J2236" s="245"/>
      <c r="K2236" s="245"/>
      <c r="L2236" s="246"/>
      <c r="M2236" s="245"/>
      <c r="N2236" s="245"/>
      <c r="O2236" s="245"/>
      <c r="P2236" s="245"/>
      <c r="Q2236" s="247"/>
      <c r="R2236" s="247"/>
      <c r="S2236" s="247"/>
      <c r="T2236" s="245"/>
      <c r="U2236" s="245"/>
      <c r="V2236" s="241"/>
      <c r="W2236" s="241"/>
      <c r="X2236" s="241"/>
    </row>
    <row r="2237" spans="1:24" ht="13.5" customHeight="1" x14ac:dyDescent="0.3">
      <c r="A2237" s="245"/>
      <c r="B2237" s="246"/>
      <c r="C2237" s="245"/>
      <c r="D2237" s="245"/>
      <c r="E2237" s="245"/>
      <c r="F2237" s="245"/>
      <c r="G2237" s="245"/>
      <c r="H2237" s="245"/>
      <c r="I2237" s="245"/>
      <c r="J2237" s="245"/>
      <c r="K2237" s="245"/>
      <c r="L2237" s="246"/>
      <c r="M2237" s="245"/>
      <c r="N2237" s="245"/>
      <c r="O2237" s="245"/>
      <c r="P2237" s="245"/>
      <c r="Q2237" s="247"/>
      <c r="R2237" s="247"/>
      <c r="S2237" s="247"/>
      <c r="T2237" s="245"/>
      <c r="U2237" s="245"/>
      <c r="V2237" s="241"/>
      <c r="W2237" s="241"/>
      <c r="X2237" s="241"/>
    </row>
    <row r="2238" spans="1:24" ht="13.5" customHeight="1" x14ac:dyDescent="0.3">
      <c r="A2238" s="245"/>
      <c r="B2238" s="246"/>
      <c r="C2238" s="245"/>
      <c r="D2238" s="245"/>
      <c r="E2238" s="245"/>
      <c r="F2238" s="245"/>
      <c r="G2238" s="245"/>
      <c r="H2238" s="245"/>
      <c r="I2238" s="245"/>
      <c r="J2238" s="245"/>
      <c r="K2238" s="245"/>
      <c r="L2238" s="246"/>
      <c r="M2238" s="245"/>
      <c r="N2238" s="245"/>
      <c r="O2238" s="245"/>
      <c r="P2238" s="245"/>
      <c r="Q2238" s="247"/>
      <c r="R2238" s="247"/>
      <c r="S2238" s="247"/>
      <c r="T2238" s="245"/>
      <c r="U2238" s="245"/>
      <c r="V2238" s="241"/>
      <c r="W2238" s="241"/>
      <c r="X2238" s="241"/>
    </row>
    <row r="2239" spans="1:24" ht="13.5" customHeight="1" x14ac:dyDescent="0.3">
      <c r="A2239" s="245"/>
      <c r="B2239" s="246"/>
      <c r="C2239" s="245"/>
      <c r="D2239" s="245"/>
      <c r="E2239" s="245"/>
      <c r="F2239" s="245"/>
      <c r="G2239" s="245"/>
      <c r="H2239" s="245"/>
      <c r="I2239" s="245"/>
      <c r="J2239" s="245"/>
      <c r="K2239" s="245"/>
      <c r="L2239" s="246"/>
      <c r="M2239" s="245"/>
      <c r="N2239" s="245"/>
      <c r="O2239" s="245"/>
      <c r="P2239" s="245"/>
      <c r="Q2239" s="247"/>
      <c r="R2239" s="247"/>
      <c r="S2239" s="247"/>
      <c r="T2239" s="245"/>
      <c r="U2239" s="245"/>
      <c r="V2239" s="241"/>
      <c r="W2239" s="241"/>
      <c r="X2239" s="241"/>
    </row>
    <row r="2240" spans="1:24" ht="13.5" customHeight="1" x14ac:dyDescent="0.3">
      <c r="A2240" s="245"/>
      <c r="B2240" s="246"/>
      <c r="C2240" s="245"/>
      <c r="D2240" s="245"/>
      <c r="E2240" s="245"/>
      <c r="F2240" s="245"/>
      <c r="G2240" s="245"/>
      <c r="H2240" s="245"/>
      <c r="I2240" s="245"/>
      <c r="J2240" s="245"/>
      <c r="K2240" s="245"/>
      <c r="L2240" s="246"/>
      <c r="M2240" s="245"/>
      <c r="N2240" s="245"/>
      <c r="O2240" s="245"/>
      <c r="P2240" s="245"/>
      <c r="Q2240" s="247"/>
      <c r="R2240" s="247"/>
      <c r="S2240" s="247"/>
      <c r="T2240" s="245"/>
      <c r="U2240" s="245"/>
      <c r="V2240" s="241"/>
      <c r="W2240" s="241"/>
      <c r="X2240" s="241"/>
    </row>
    <row r="2241" spans="1:24" ht="13.5" customHeight="1" x14ac:dyDescent="0.3">
      <c r="A2241" s="245"/>
      <c r="B2241" s="246"/>
      <c r="C2241" s="245"/>
      <c r="D2241" s="245"/>
      <c r="E2241" s="245"/>
      <c r="F2241" s="245"/>
      <c r="G2241" s="245"/>
      <c r="H2241" s="245"/>
      <c r="I2241" s="245"/>
      <c r="J2241" s="245"/>
      <c r="K2241" s="245"/>
      <c r="L2241" s="246"/>
      <c r="M2241" s="245"/>
      <c r="N2241" s="245"/>
      <c r="O2241" s="245"/>
      <c r="P2241" s="245"/>
      <c r="Q2241" s="247"/>
      <c r="R2241" s="247"/>
      <c r="S2241" s="247"/>
      <c r="T2241" s="245"/>
      <c r="U2241" s="245"/>
      <c r="V2241" s="241"/>
      <c r="W2241" s="241"/>
      <c r="X2241" s="241"/>
    </row>
    <row r="2242" spans="1:24" ht="13.5" customHeight="1" x14ac:dyDescent="0.3">
      <c r="A2242" s="245"/>
      <c r="B2242" s="246"/>
      <c r="C2242" s="245"/>
      <c r="D2242" s="245"/>
      <c r="E2242" s="245"/>
      <c r="F2242" s="245"/>
      <c r="G2242" s="245"/>
      <c r="H2242" s="245"/>
      <c r="I2242" s="245"/>
      <c r="J2242" s="245"/>
      <c r="K2242" s="245"/>
      <c r="L2242" s="246"/>
      <c r="M2242" s="245"/>
      <c r="N2242" s="245"/>
      <c r="O2242" s="245"/>
      <c r="P2242" s="245"/>
      <c r="Q2242" s="247"/>
      <c r="R2242" s="247"/>
      <c r="S2242" s="247"/>
      <c r="T2242" s="245"/>
      <c r="U2242" s="245"/>
      <c r="V2242" s="241"/>
      <c r="W2242" s="241"/>
      <c r="X2242" s="241"/>
    </row>
    <row r="2243" spans="1:24" ht="13.5" customHeight="1" x14ac:dyDescent="0.3">
      <c r="A2243" s="245"/>
      <c r="B2243" s="246"/>
      <c r="C2243" s="245"/>
      <c r="D2243" s="245"/>
      <c r="E2243" s="245"/>
      <c r="F2243" s="245"/>
      <c r="G2243" s="245"/>
      <c r="H2243" s="245"/>
      <c r="I2243" s="245"/>
      <c r="J2243" s="245"/>
      <c r="K2243" s="245"/>
      <c r="L2243" s="246"/>
      <c r="M2243" s="245"/>
      <c r="N2243" s="245"/>
      <c r="O2243" s="245"/>
      <c r="P2243" s="245"/>
      <c r="Q2243" s="247"/>
      <c r="R2243" s="247"/>
      <c r="S2243" s="247"/>
      <c r="T2243" s="245"/>
      <c r="U2243" s="245"/>
      <c r="V2243" s="241"/>
      <c r="W2243" s="241"/>
      <c r="X2243" s="241"/>
    </row>
    <row r="2244" spans="1:24" ht="13.5" customHeight="1" x14ac:dyDescent="0.3">
      <c r="A2244" s="245"/>
      <c r="B2244" s="246"/>
      <c r="C2244" s="245"/>
      <c r="D2244" s="245"/>
      <c r="E2244" s="245"/>
      <c r="F2244" s="245"/>
      <c r="G2244" s="245"/>
      <c r="H2244" s="245"/>
      <c r="I2244" s="245"/>
      <c r="J2244" s="245"/>
      <c r="K2244" s="245"/>
      <c r="L2244" s="246"/>
      <c r="M2244" s="245"/>
      <c r="N2244" s="245"/>
      <c r="O2244" s="245"/>
      <c r="P2244" s="245"/>
      <c r="Q2244" s="247"/>
      <c r="R2244" s="247"/>
      <c r="S2244" s="247"/>
      <c r="T2244" s="245"/>
      <c r="U2244" s="245"/>
      <c r="V2244" s="241"/>
      <c r="W2244" s="241"/>
      <c r="X2244" s="241"/>
    </row>
    <row r="2245" spans="1:24" ht="13.5" customHeight="1" x14ac:dyDescent="0.3">
      <c r="A2245" s="245"/>
      <c r="B2245" s="246"/>
      <c r="C2245" s="245"/>
      <c r="D2245" s="245"/>
      <c r="E2245" s="245"/>
      <c r="F2245" s="245"/>
      <c r="G2245" s="245"/>
      <c r="H2245" s="245"/>
      <c r="I2245" s="245"/>
      <c r="J2245" s="245"/>
      <c r="K2245" s="245"/>
      <c r="L2245" s="246"/>
      <c r="M2245" s="245"/>
      <c r="N2245" s="245"/>
      <c r="O2245" s="245"/>
      <c r="P2245" s="245"/>
      <c r="Q2245" s="247"/>
      <c r="R2245" s="247"/>
      <c r="S2245" s="247"/>
      <c r="T2245" s="245"/>
      <c r="U2245" s="245"/>
      <c r="V2245" s="241"/>
      <c r="W2245" s="241"/>
      <c r="X2245" s="241"/>
    </row>
    <row r="2246" spans="1:24" ht="13.5" customHeight="1" x14ac:dyDescent="0.3">
      <c r="A2246" s="245"/>
      <c r="B2246" s="246"/>
      <c r="C2246" s="245"/>
      <c r="D2246" s="245"/>
      <c r="E2246" s="245"/>
      <c r="F2246" s="245"/>
      <c r="G2246" s="245"/>
      <c r="H2246" s="245"/>
      <c r="I2246" s="245"/>
      <c r="J2246" s="245"/>
      <c r="K2246" s="245"/>
      <c r="L2246" s="246"/>
      <c r="M2246" s="245"/>
      <c r="N2246" s="245"/>
      <c r="O2246" s="245"/>
      <c r="P2246" s="245"/>
      <c r="Q2246" s="247"/>
      <c r="R2246" s="247"/>
      <c r="S2246" s="247"/>
      <c r="T2246" s="245"/>
      <c r="U2246" s="245"/>
      <c r="V2246" s="241"/>
      <c r="W2246" s="241"/>
      <c r="X2246" s="241"/>
    </row>
    <row r="2247" spans="1:24" ht="13.5" customHeight="1" x14ac:dyDescent="0.3">
      <c r="A2247" s="245"/>
      <c r="B2247" s="246"/>
      <c r="C2247" s="245"/>
      <c r="D2247" s="245"/>
      <c r="E2247" s="245"/>
      <c r="F2247" s="245"/>
      <c r="G2247" s="245"/>
      <c r="H2247" s="245"/>
      <c r="I2247" s="245"/>
      <c r="J2247" s="245"/>
      <c r="K2247" s="245"/>
      <c r="L2247" s="246"/>
      <c r="M2247" s="245"/>
      <c r="N2247" s="245"/>
      <c r="O2247" s="245"/>
      <c r="P2247" s="245"/>
      <c r="Q2247" s="247"/>
      <c r="R2247" s="247"/>
      <c r="S2247" s="247"/>
      <c r="T2247" s="245"/>
      <c r="U2247" s="245"/>
      <c r="V2247" s="241"/>
      <c r="W2247" s="241"/>
      <c r="X2247" s="241"/>
    </row>
    <row r="2248" spans="1:24" ht="13.5" customHeight="1" x14ac:dyDescent="0.3">
      <c r="A2248" s="245"/>
      <c r="B2248" s="246"/>
      <c r="C2248" s="245"/>
      <c r="D2248" s="245"/>
      <c r="E2248" s="245"/>
      <c r="F2248" s="245"/>
      <c r="G2248" s="245"/>
      <c r="H2248" s="245"/>
      <c r="I2248" s="245"/>
      <c r="J2248" s="245"/>
      <c r="K2248" s="245"/>
      <c r="L2248" s="246"/>
      <c r="M2248" s="245"/>
      <c r="N2248" s="245"/>
      <c r="O2248" s="245"/>
      <c r="P2248" s="245"/>
      <c r="Q2248" s="247"/>
      <c r="R2248" s="247"/>
      <c r="S2248" s="247"/>
      <c r="T2248" s="245"/>
      <c r="U2248" s="245"/>
      <c r="V2248" s="241"/>
      <c r="W2248" s="241"/>
      <c r="X2248" s="241"/>
    </row>
    <row r="2249" spans="1:24" ht="13.5" customHeight="1" x14ac:dyDescent="0.3">
      <c r="A2249" s="245"/>
      <c r="B2249" s="246"/>
      <c r="C2249" s="245"/>
      <c r="D2249" s="245"/>
      <c r="E2249" s="245"/>
      <c r="F2249" s="245"/>
      <c r="G2249" s="245"/>
      <c r="H2249" s="245"/>
      <c r="I2249" s="245"/>
      <c r="J2249" s="245"/>
      <c r="K2249" s="245"/>
      <c r="L2249" s="246"/>
      <c r="M2249" s="245"/>
      <c r="N2249" s="245"/>
      <c r="O2249" s="245"/>
      <c r="P2249" s="245"/>
      <c r="Q2249" s="247"/>
      <c r="R2249" s="247"/>
      <c r="S2249" s="247"/>
      <c r="T2249" s="245"/>
      <c r="U2249" s="245"/>
      <c r="V2249" s="241"/>
      <c r="W2249" s="241"/>
      <c r="X2249" s="241"/>
    </row>
    <row r="2250" spans="1:24" ht="13.5" customHeight="1" x14ac:dyDescent="0.3">
      <c r="A2250" s="245"/>
      <c r="B2250" s="246"/>
      <c r="C2250" s="245"/>
      <c r="D2250" s="245"/>
      <c r="E2250" s="245"/>
      <c r="F2250" s="245"/>
      <c r="G2250" s="245"/>
      <c r="H2250" s="245"/>
      <c r="I2250" s="245"/>
      <c r="J2250" s="245"/>
      <c r="K2250" s="245"/>
      <c r="L2250" s="246"/>
      <c r="M2250" s="245"/>
      <c r="N2250" s="245"/>
      <c r="O2250" s="245"/>
      <c r="P2250" s="245"/>
      <c r="Q2250" s="247"/>
      <c r="R2250" s="247"/>
      <c r="S2250" s="247"/>
      <c r="T2250" s="245"/>
      <c r="U2250" s="245"/>
      <c r="V2250" s="241"/>
      <c r="W2250" s="241"/>
      <c r="X2250" s="241"/>
    </row>
    <row r="2251" spans="1:24" ht="13.5" customHeight="1" x14ac:dyDescent="0.3">
      <c r="A2251" s="245"/>
      <c r="B2251" s="246"/>
      <c r="C2251" s="245"/>
      <c r="D2251" s="245"/>
      <c r="E2251" s="245"/>
      <c r="F2251" s="245"/>
      <c r="G2251" s="245"/>
      <c r="H2251" s="245"/>
      <c r="I2251" s="245"/>
      <c r="J2251" s="245"/>
      <c r="K2251" s="245"/>
      <c r="L2251" s="246"/>
      <c r="M2251" s="245"/>
      <c r="N2251" s="245"/>
      <c r="O2251" s="245"/>
      <c r="P2251" s="245"/>
      <c r="Q2251" s="247"/>
      <c r="R2251" s="247"/>
      <c r="S2251" s="247"/>
      <c r="T2251" s="245"/>
      <c r="U2251" s="245"/>
      <c r="V2251" s="241"/>
      <c r="W2251" s="241"/>
      <c r="X2251" s="241"/>
    </row>
    <row r="2252" spans="1:24" ht="13.5" customHeight="1" x14ac:dyDescent="0.3">
      <c r="A2252" s="245"/>
      <c r="B2252" s="246"/>
      <c r="C2252" s="245"/>
      <c r="D2252" s="245"/>
      <c r="E2252" s="245"/>
      <c r="F2252" s="245"/>
      <c r="G2252" s="245"/>
      <c r="H2252" s="245"/>
      <c r="I2252" s="245"/>
      <c r="J2252" s="245"/>
      <c r="K2252" s="245"/>
      <c r="L2252" s="246"/>
      <c r="M2252" s="245"/>
      <c r="N2252" s="245"/>
      <c r="O2252" s="245"/>
      <c r="P2252" s="245"/>
      <c r="Q2252" s="247"/>
      <c r="R2252" s="247"/>
      <c r="S2252" s="247"/>
      <c r="T2252" s="245"/>
      <c r="U2252" s="245"/>
      <c r="V2252" s="241"/>
      <c r="W2252" s="241"/>
      <c r="X2252" s="241"/>
    </row>
    <row r="2253" spans="1:24" ht="13.5" customHeight="1" x14ac:dyDescent="0.3">
      <c r="A2253" s="245"/>
      <c r="B2253" s="246"/>
      <c r="C2253" s="245"/>
      <c r="D2253" s="245"/>
      <c r="E2253" s="245"/>
      <c r="F2253" s="245"/>
      <c r="G2253" s="245"/>
      <c r="H2253" s="245"/>
      <c r="I2253" s="245"/>
      <c r="J2253" s="245"/>
      <c r="K2253" s="245"/>
      <c r="L2253" s="246"/>
      <c r="M2253" s="245"/>
      <c r="N2253" s="245"/>
      <c r="O2253" s="245"/>
      <c r="P2253" s="245"/>
      <c r="Q2253" s="247"/>
      <c r="R2253" s="247"/>
      <c r="S2253" s="247"/>
      <c r="T2253" s="245"/>
      <c r="U2253" s="245"/>
      <c r="V2253" s="241"/>
      <c r="W2253" s="241"/>
      <c r="X2253" s="241"/>
    </row>
    <row r="2254" spans="1:24" ht="13.5" customHeight="1" x14ac:dyDescent="0.3">
      <c r="A2254" s="245"/>
      <c r="B2254" s="246"/>
      <c r="C2254" s="245"/>
      <c r="D2254" s="245"/>
      <c r="E2254" s="245"/>
      <c r="F2254" s="245"/>
      <c r="G2254" s="245"/>
      <c r="H2254" s="245"/>
      <c r="I2254" s="245"/>
      <c r="J2254" s="245"/>
      <c r="K2254" s="245"/>
      <c r="L2254" s="246"/>
      <c r="M2254" s="245"/>
      <c r="N2254" s="245"/>
      <c r="O2254" s="245"/>
      <c r="P2254" s="245"/>
      <c r="Q2254" s="247"/>
      <c r="R2254" s="247"/>
      <c r="S2254" s="247"/>
      <c r="T2254" s="245"/>
      <c r="U2254" s="245"/>
      <c r="V2254" s="241"/>
      <c r="W2254" s="241"/>
      <c r="X2254" s="241"/>
    </row>
    <row r="2255" spans="1:24" ht="13.5" customHeight="1" x14ac:dyDescent="0.3">
      <c r="A2255" s="245"/>
      <c r="B2255" s="246"/>
      <c r="C2255" s="245"/>
      <c r="D2255" s="245"/>
      <c r="E2255" s="245"/>
      <c r="F2255" s="245"/>
      <c r="G2255" s="245"/>
      <c r="H2255" s="245"/>
      <c r="I2255" s="245"/>
      <c r="J2255" s="245"/>
      <c r="K2255" s="245"/>
      <c r="L2255" s="246"/>
      <c r="M2255" s="245"/>
      <c r="N2255" s="245"/>
      <c r="O2255" s="245"/>
      <c r="P2255" s="245"/>
      <c r="Q2255" s="247"/>
      <c r="R2255" s="247"/>
      <c r="S2255" s="247"/>
      <c r="T2255" s="245"/>
      <c r="U2255" s="245"/>
      <c r="V2255" s="241"/>
      <c r="W2255" s="241"/>
      <c r="X2255" s="241"/>
    </row>
    <row r="2256" spans="1:24" ht="13.5" customHeight="1" x14ac:dyDescent="0.3">
      <c r="A2256" s="245"/>
      <c r="B2256" s="246"/>
      <c r="C2256" s="245"/>
      <c r="D2256" s="245"/>
      <c r="E2256" s="245"/>
      <c r="F2256" s="245"/>
      <c r="G2256" s="245"/>
      <c r="H2256" s="245"/>
      <c r="I2256" s="245"/>
      <c r="J2256" s="245"/>
      <c r="K2256" s="245"/>
      <c r="L2256" s="246"/>
      <c r="M2256" s="245"/>
      <c r="N2256" s="245"/>
      <c r="O2256" s="245"/>
      <c r="P2256" s="245"/>
      <c r="Q2256" s="247"/>
      <c r="R2256" s="247"/>
      <c r="S2256" s="247"/>
      <c r="T2256" s="245"/>
      <c r="U2256" s="245"/>
      <c r="V2256" s="241"/>
      <c r="W2256" s="241"/>
      <c r="X2256" s="241"/>
    </row>
    <row r="2257" spans="1:24" ht="13.5" customHeight="1" x14ac:dyDescent="0.3">
      <c r="A2257" s="245"/>
      <c r="B2257" s="246"/>
      <c r="C2257" s="245"/>
      <c r="D2257" s="245"/>
      <c r="E2257" s="245"/>
      <c r="F2257" s="245"/>
      <c r="G2257" s="245"/>
      <c r="H2257" s="245"/>
      <c r="I2257" s="245"/>
      <c r="J2257" s="245"/>
      <c r="K2257" s="245"/>
      <c r="L2257" s="246"/>
      <c r="M2257" s="245"/>
      <c r="N2257" s="245"/>
      <c r="O2257" s="245"/>
      <c r="P2257" s="245"/>
      <c r="Q2257" s="247"/>
      <c r="R2257" s="247"/>
      <c r="S2257" s="247"/>
      <c r="T2257" s="245"/>
      <c r="U2257" s="245"/>
      <c r="V2257" s="241"/>
      <c r="W2257" s="241"/>
      <c r="X2257" s="241"/>
    </row>
    <row r="2258" spans="1:24" ht="13.5" customHeight="1" x14ac:dyDescent="0.3">
      <c r="A2258" s="245"/>
      <c r="B2258" s="246"/>
      <c r="C2258" s="245"/>
      <c r="D2258" s="245"/>
      <c r="E2258" s="245"/>
      <c r="F2258" s="245"/>
      <c r="G2258" s="245"/>
      <c r="H2258" s="245"/>
      <c r="I2258" s="245"/>
      <c r="J2258" s="245"/>
      <c r="K2258" s="245"/>
      <c r="L2258" s="246"/>
      <c r="M2258" s="245"/>
      <c r="N2258" s="245"/>
      <c r="O2258" s="245"/>
      <c r="P2258" s="245"/>
      <c r="Q2258" s="247"/>
      <c r="R2258" s="247"/>
      <c r="S2258" s="247"/>
      <c r="T2258" s="245"/>
      <c r="U2258" s="245"/>
      <c r="V2258" s="241"/>
      <c r="W2258" s="241"/>
      <c r="X2258" s="241"/>
    </row>
    <row r="2259" spans="1:24" ht="13.5" customHeight="1" x14ac:dyDescent="0.3">
      <c r="A2259" s="245"/>
      <c r="B2259" s="246"/>
      <c r="C2259" s="245"/>
      <c r="D2259" s="245"/>
      <c r="E2259" s="245"/>
      <c r="F2259" s="245"/>
      <c r="G2259" s="245"/>
      <c r="H2259" s="245"/>
      <c r="I2259" s="245"/>
      <c r="J2259" s="245"/>
      <c r="K2259" s="245"/>
      <c r="L2259" s="246"/>
      <c r="M2259" s="245"/>
      <c r="N2259" s="245"/>
      <c r="O2259" s="245"/>
      <c r="P2259" s="245"/>
      <c r="Q2259" s="247"/>
      <c r="R2259" s="247"/>
      <c r="S2259" s="247"/>
      <c r="T2259" s="245"/>
      <c r="U2259" s="245"/>
      <c r="V2259" s="241"/>
      <c r="W2259" s="241"/>
      <c r="X2259" s="241"/>
    </row>
    <row r="2260" spans="1:24" ht="13.5" customHeight="1" x14ac:dyDescent="0.3">
      <c r="A2260" s="245"/>
      <c r="B2260" s="246"/>
      <c r="C2260" s="245"/>
      <c r="D2260" s="245"/>
      <c r="E2260" s="245"/>
      <c r="F2260" s="245"/>
      <c r="G2260" s="245"/>
      <c r="H2260" s="245"/>
      <c r="I2260" s="245"/>
      <c r="J2260" s="245"/>
      <c r="K2260" s="245"/>
      <c r="L2260" s="246"/>
      <c r="M2260" s="245"/>
      <c r="N2260" s="245"/>
      <c r="O2260" s="245"/>
      <c r="P2260" s="245"/>
      <c r="Q2260" s="247"/>
      <c r="R2260" s="247"/>
      <c r="S2260" s="247"/>
      <c r="T2260" s="245"/>
      <c r="U2260" s="245"/>
      <c r="V2260" s="241"/>
      <c r="W2260" s="241"/>
      <c r="X2260" s="241"/>
    </row>
    <row r="2261" spans="1:24" ht="13.5" customHeight="1" x14ac:dyDescent="0.3">
      <c r="A2261" s="245"/>
      <c r="B2261" s="246"/>
      <c r="C2261" s="245"/>
      <c r="D2261" s="245"/>
      <c r="E2261" s="245"/>
      <c r="F2261" s="245"/>
      <c r="G2261" s="245"/>
      <c r="H2261" s="245"/>
      <c r="I2261" s="245"/>
      <c r="J2261" s="245"/>
      <c r="K2261" s="245"/>
      <c r="L2261" s="246"/>
      <c r="M2261" s="245"/>
      <c r="N2261" s="245"/>
      <c r="O2261" s="245"/>
      <c r="P2261" s="245"/>
      <c r="Q2261" s="247"/>
      <c r="R2261" s="247"/>
      <c r="S2261" s="247"/>
      <c r="T2261" s="245"/>
      <c r="U2261" s="245"/>
      <c r="V2261" s="241"/>
      <c r="W2261" s="241"/>
      <c r="X2261" s="241"/>
    </row>
    <row r="2262" spans="1:24" ht="13.5" customHeight="1" x14ac:dyDescent="0.3">
      <c r="A2262" s="245"/>
      <c r="B2262" s="246"/>
      <c r="C2262" s="245"/>
      <c r="D2262" s="245"/>
      <c r="E2262" s="245"/>
      <c r="F2262" s="245"/>
      <c r="G2262" s="245"/>
      <c r="H2262" s="245"/>
      <c r="I2262" s="245"/>
      <c r="J2262" s="245"/>
      <c r="K2262" s="245"/>
      <c r="L2262" s="246"/>
      <c r="M2262" s="245"/>
      <c r="N2262" s="245"/>
      <c r="O2262" s="245"/>
      <c r="P2262" s="245"/>
      <c r="Q2262" s="247"/>
      <c r="R2262" s="247"/>
      <c r="S2262" s="247"/>
      <c r="T2262" s="245"/>
      <c r="U2262" s="245"/>
      <c r="V2262" s="241"/>
      <c r="W2262" s="241"/>
      <c r="X2262" s="241"/>
    </row>
    <row r="2263" spans="1:24" ht="13.5" customHeight="1" x14ac:dyDescent="0.3">
      <c r="A2263" s="245"/>
      <c r="B2263" s="246"/>
      <c r="C2263" s="245"/>
      <c r="D2263" s="245"/>
      <c r="E2263" s="245"/>
      <c r="F2263" s="245"/>
      <c r="G2263" s="245"/>
      <c r="H2263" s="245"/>
      <c r="I2263" s="245"/>
      <c r="J2263" s="245"/>
      <c r="K2263" s="245"/>
      <c r="L2263" s="246"/>
      <c r="M2263" s="245"/>
      <c r="N2263" s="245"/>
      <c r="O2263" s="245"/>
      <c r="P2263" s="245"/>
      <c r="Q2263" s="247"/>
      <c r="R2263" s="247"/>
      <c r="S2263" s="247"/>
      <c r="T2263" s="245"/>
      <c r="U2263" s="245"/>
      <c r="V2263" s="241"/>
      <c r="W2263" s="241"/>
      <c r="X2263" s="241"/>
    </row>
    <row r="2264" spans="1:24" ht="13.5" customHeight="1" x14ac:dyDescent="0.3">
      <c r="A2264" s="245"/>
      <c r="B2264" s="246"/>
      <c r="C2264" s="245"/>
      <c r="D2264" s="245"/>
      <c r="E2264" s="245"/>
      <c r="F2264" s="245"/>
      <c r="G2264" s="245"/>
      <c r="H2264" s="245"/>
      <c r="I2264" s="245"/>
      <c r="J2264" s="245"/>
      <c r="K2264" s="245"/>
      <c r="L2264" s="246"/>
      <c r="M2264" s="245"/>
      <c r="N2264" s="245"/>
      <c r="O2264" s="245"/>
      <c r="P2264" s="245"/>
      <c r="Q2264" s="247"/>
      <c r="R2264" s="247"/>
      <c r="S2264" s="247"/>
      <c r="T2264" s="245"/>
      <c r="U2264" s="245"/>
      <c r="V2264" s="241"/>
      <c r="W2264" s="241"/>
      <c r="X2264" s="241"/>
    </row>
    <row r="2265" spans="1:24" ht="13.5" customHeight="1" x14ac:dyDescent="0.3">
      <c r="A2265" s="245"/>
      <c r="B2265" s="246"/>
      <c r="C2265" s="245"/>
      <c r="D2265" s="245"/>
      <c r="E2265" s="245"/>
      <c r="F2265" s="245"/>
      <c r="G2265" s="245"/>
      <c r="H2265" s="245"/>
      <c r="I2265" s="245"/>
      <c r="J2265" s="245"/>
      <c r="K2265" s="245"/>
      <c r="L2265" s="246"/>
      <c r="M2265" s="245"/>
      <c r="N2265" s="245"/>
      <c r="O2265" s="245"/>
      <c r="P2265" s="245"/>
      <c r="Q2265" s="247"/>
      <c r="R2265" s="247"/>
      <c r="S2265" s="247"/>
      <c r="T2265" s="245"/>
      <c r="U2265" s="245"/>
      <c r="V2265" s="241"/>
      <c r="W2265" s="241"/>
      <c r="X2265" s="241"/>
    </row>
    <row r="2266" spans="1:24" ht="13.5" customHeight="1" x14ac:dyDescent="0.3">
      <c r="A2266" s="245"/>
      <c r="B2266" s="246"/>
      <c r="C2266" s="245"/>
      <c r="D2266" s="245"/>
      <c r="E2266" s="245"/>
      <c r="F2266" s="245"/>
      <c r="G2266" s="245"/>
      <c r="H2266" s="245"/>
      <c r="I2266" s="245"/>
      <c r="J2266" s="245"/>
      <c r="K2266" s="245"/>
      <c r="L2266" s="246"/>
      <c r="M2266" s="245"/>
      <c r="N2266" s="245"/>
      <c r="O2266" s="245"/>
      <c r="P2266" s="245"/>
      <c r="Q2266" s="247"/>
      <c r="R2266" s="247"/>
      <c r="S2266" s="247"/>
      <c r="T2266" s="245"/>
      <c r="U2266" s="245"/>
      <c r="V2266" s="241"/>
      <c r="W2266" s="241"/>
      <c r="X2266" s="241"/>
    </row>
    <row r="2267" spans="1:24" ht="13.5" customHeight="1" x14ac:dyDescent="0.3">
      <c r="A2267" s="245"/>
      <c r="B2267" s="246"/>
      <c r="C2267" s="245"/>
      <c r="D2267" s="245"/>
      <c r="E2267" s="245"/>
      <c r="F2267" s="245"/>
      <c r="G2267" s="245"/>
      <c r="H2267" s="245"/>
      <c r="I2267" s="245"/>
      <c r="J2267" s="245"/>
      <c r="K2267" s="245"/>
      <c r="L2267" s="246"/>
      <c r="M2267" s="245"/>
      <c r="N2267" s="245"/>
      <c r="O2267" s="245"/>
      <c r="P2267" s="245"/>
      <c r="Q2267" s="247"/>
      <c r="R2267" s="247"/>
      <c r="S2267" s="247"/>
      <c r="T2267" s="245"/>
      <c r="U2267" s="245"/>
      <c r="V2267" s="241"/>
      <c r="W2267" s="241"/>
      <c r="X2267" s="241"/>
    </row>
    <row r="2268" spans="1:24" ht="13.5" customHeight="1" x14ac:dyDescent="0.3">
      <c r="A2268" s="245"/>
      <c r="B2268" s="246"/>
      <c r="C2268" s="245"/>
      <c r="D2268" s="245"/>
      <c r="E2268" s="245"/>
      <c r="F2268" s="245"/>
      <c r="G2268" s="245"/>
      <c r="H2268" s="245"/>
      <c r="I2268" s="245"/>
      <c r="J2268" s="245"/>
      <c r="K2268" s="245"/>
      <c r="L2268" s="246"/>
      <c r="M2268" s="245"/>
      <c r="N2268" s="245"/>
      <c r="O2268" s="245"/>
      <c r="P2268" s="245"/>
      <c r="Q2268" s="247"/>
      <c r="R2268" s="247"/>
      <c r="S2268" s="247"/>
      <c r="T2268" s="245"/>
      <c r="U2268" s="245"/>
      <c r="V2268" s="241"/>
      <c r="W2268" s="241"/>
      <c r="X2268" s="241"/>
    </row>
    <row r="2269" spans="1:24" ht="13.5" customHeight="1" x14ac:dyDescent="0.3">
      <c r="A2269" s="245"/>
      <c r="B2269" s="246"/>
      <c r="C2269" s="245"/>
      <c r="D2269" s="245"/>
      <c r="E2269" s="245"/>
      <c r="F2269" s="245"/>
      <c r="G2269" s="245"/>
      <c r="H2269" s="245"/>
      <c r="I2269" s="245"/>
      <c r="J2269" s="245"/>
      <c r="K2269" s="245"/>
      <c r="L2269" s="246"/>
      <c r="M2269" s="245"/>
      <c r="N2269" s="245"/>
      <c r="O2269" s="245"/>
      <c r="P2269" s="245"/>
      <c r="Q2269" s="247"/>
      <c r="R2269" s="247"/>
      <c r="S2269" s="247"/>
      <c r="T2269" s="245"/>
      <c r="U2269" s="245"/>
      <c r="V2269" s="241"/>
      <c r="W2269" s="241"/>
      <c r="X2269" s="241"/>
    </row>
    <row r="2270" spans="1:24" ht="13.5" customHeight="1" x14ac:dyDescent="0.3">
      <c r="A2270" s="245"/>
      <c r="B2270" s="246"/>
      <c r="C2270" s="245"/>
      <c r="D2270" s="245"/>
      <c r="E2270" s="245"/>
      <c r="F2270" s="245"/>
      <c r="G2270" s="245"/>
      <c r="H2270" s="245"/>
      <c r="I2270" s="245"/>
      <c r="J2270" s="245"/>
      <c r="K2270" s="245"/>
      <c r="L2270" s="246"/>
      <c r="M2270" s="245"/>
      <c r="N2270" s="245"/>
      <c r="O2270" s="245"/>
      <c r="P2270" s="245"/>
      <c r="Q2270" s="247"/>
      <c r="R2270" s="247"/>
      <c r="S2270" s="247"/>
      <c r="T2270" s="245"/>
      <c r="U2270" s="245"/>
      <c r="V2270" s="241"/>
      <c r="W2270" s="241"/>
      <c r="X2270" s="241"/>
    </row>
    <row r="2271" spans="1:24" ht="13.5" customHeight="1" x14ac:dyDescent="0.3">
      <c r="A2271" s="245"/>
      <c r="B2271" s="246"/>
      <c r="C2271" s="245"/>
      <c r="D2271" s="245"/>
      <c r="E2271" s="245"/>
      <c r="F2271" s="245"/>
      <c r="G2271" s="245"/>
      <c r="H2271" s="245"/>
      <c r="I2271" s="245"/>
      <c r="J2271" s="245"/>
      <c r="K2271" s="245"/>
      <c r="L2271" s="246"/>
      <c r="M2271" s="245"/>
      <c r="N2271" s="245"/>
      <c r="O2271" s="245"/>
      <c r="P2271" s="245"/>
      <c r="Q2271" s="247"/>
      <c r="R2271" s="247"/>
      <c r="S2271" s="247"/>
      <c r="T2271" s="245"/>
      <c r="U2271" s="245"/>
      <c r="V2271" s="241"/>
      <c r="W2271" s="241"/>
      <c r="X2271" s="241"/>
    </row>
    <row r="2272" spans="1:24" ht="13.5" customHeight="1" x14ac:dyDescent="0.3">
      <c r="A2272" s="245"/>
      <c r="B2272" s="246"/>
      <c r="C2272" s="245"/>
      <c r="D2272" s="245"/>
      <c r="E2272" s="245"/>
      <c r="F2272" s="245"/>
      <c r="G2272" s="245"/>
      <c r="H2272" s="245"/>
      <c r="I2272" s="245"/>
      <c r="J2272" s="245"/>
      <c r="K2272" s="245"/>
      <c r="L2272" s="246"/>
      <c r="M2272" s="245"/>
      <c r="N2272" s="245"/>
      <c r="O2272" s="245"/>
      <c r="P2272" s="245"/>
      <c r="Q2272" s="247"/>
      <c r="R2272" s="247"/>
      <c r="S2272" s="247"/>
      <c r="T2272" s="245"/>
      <c r="U2272" s="245"/>
      <c r="V2272" s="241"/>
      <c r="W2272" s="241"/>
      <c r="X2272" s="241"/>
    </row>
    <row r="2273" spans="1:24" ht="13.5" customHeight="1" x14ac:dyDescent="0.3">
      <c r="A2273" s="245"/>
      <c r="B2273" s="246"/>
      <c r="C2273" s="245"/>
      <c r="D2273" s="245"/>
      <c r="E2273" s="245"/>
      <c r="F2273" s="245"/>
      <c r="G2273" s="245"/>
      <c r="H2273" s="245"/>
      <c r="I2273" s="245"/>
      <c r="J2273" s="245"/>
      <c r="K2273" s="245"/>
      <c r="L2273" s="246"/>
      <c r="M2273" s="245"/>
      <c r="N2273" s="245"/>
      <c r="O2273" s="245"/>
      <c r="P2273" s="245"/>
      <c r="Q2273" s="247"/>
      <c r="R2273" s="247"/>
      <c r="S2273" s="247"/>
      <c r="T2273" s="245"/>
      <c r="U2273" s="245"/>
      <c r="V2273" s="241"/>
      <c r="W2273" s="241"/>
      <c r="X2273" s="241"/>
    </row>
    <row r="2274" spans="1:24" ht="13.5" customHeight="1" x14ac:dyDescent="0.3">
      <c r="A2274" s="245"/>
      <c r="B2274" s="246"/>
      <c r="C2274" s="245"/>
      <c r="D2274" s="245"/>
      <c r="E2274" s="245"/>
      <c r="F2274" s="245"/>
      <c r="G2274" s="245"/>
      <c r="H2274" s="245"/>
      <c r="I2274" s="245"/>
      <c r="J2274" s="245"/>
      <c r="K2274" s="245"/>
      <c r="L2274" s="246"/>
      <c r="M2274" s="245"/>
      <c r="N2274" s="245"/>
      <c r="O2274" s="245"/>
      <c r="P2274" s="245"/>
      <c r="Q2274" s="247"/>
      <c r="R2274" s="247"/>
      <c r="S2274" s="247"/>
      <c r="T2274" s="245"/>
      <c r="U2274" s="245"/>
      <c r="V2274" s="241"/>
      <c r="W2274" s="241"/>
      <c r="X2274" s="241"/>
    </row>
    <row r="2275" spans="1:24" ht="13.5" customHeight="1" x14ac:dyDescent="0.3">
      <c r="A2275" s="245"/>
      <c r="B2275" s="246"/>
      <c r="C2275" s="245"/>
      <c r="D2275" s="245"/>
      <c r="E2275" s="245"/>
      <c r="F2275" s="245"/>
      <c r="G2275" s="245"/>
      <c r="H2275" s="245"/>
      <c r="I2275" s="245"/>
      <c r="J2275" s="245"/>
      <c r="K2275" s="245"/>
      <c r="L2275" s="246"/>
      <c r="M2275" s="245"/>
      <c r="N2275" s="245"/>
      <c r="O2275" s="245"/>
      <c r="P2275" s="245"/>
      <c r="Q2275" s="247"/>
      <c r="R2275" s="247"/>
      <c r="S2275" s="247"/>
      <c r="T2275" s="245"/>
      <c r="U2275" s="245"/>
      <c r="V2275" s="241"/>
      <c r="W2275" s="241"/>
      <c r="X2275" s="241"/>
    </row>
    <row r="2276" spans="1:24" ht="13.5" customHeight="1" x14ac:dyDescent="0.3">
      <c r="A2276" s="245"/>
      <c r="B2276" s="246"/>
      <c r="C2276" s="245"/>
      <c r="D2276" s="245"/>
      <c r="E2276" s="245"/>
      <c r="F2276" s="245"/>
      <c r="G2276" s="245"/>
      <c r="H2276" s="245"/>
      <c r="I2276" s="245"/>
      <c r="J2276" s="245"/>
      <c r="K2276" s="245"/>
      <c r="L2276" s="246"/>
      <c r="M2276" s="245"/>
      <c r="N2276" s="245"/>
      <c r="O2276" s="245"/>
      <c r="P2276" s="245"/>
      <c r="Q2276" s="247"/>
      <c r="R2276" s="247"/>
      <c r="S2276" s="247"/>
      <c r="T2276" s="245"/>
      <c r="U2276" s="245"/>
      <c r="V2276" s="241"/>
      <c r="W2276" s="241"/>
      <c r="X2276" s="241"/>
    </row>
    <row r="2277" spans="1:24" ht="13.5" customHeight="1" x14ac:dyDescent="0.3">
      <c r="A2277" s="245"/>
      <c r="B2277" s="246"/>
      <c r="C2277" s="245"/>
      <c r="D2277" s="245"/>
      <c r="E2277" s="245"/>
      <c r="F2277" s="245"/>
      <c r="G2277" s="245"/>
      <c r="H2277" s="245"/>
      <c r="I2277" s="245"/>
      <c r="J2277" s="245"/>
      <c r="K2277" s="245"/>
      <c r="L2277" s="246"/>
      <c r="M2277" s="245"/>
      <c r="N2277" s="245"/>
      <c r="O2277" s="245"/>
      <c r="P2277" s="245"/>
      <c r="Q2277" s="247"/>
      <c r="R2277" s="247"/>
      <c r="S2277" s="247"/>
      <c r="T2277" s="245"/>
      <c r="U2277" s="245"/>
      <c r="V2277" s="241"/>
      <c r="W2277" s="241"/>
      <c r="X2277" s="241"/>
    </row>
    <row r="2278" spans="1:24" ht="13.5" customHeight="1" x14ac:dyDescent="0.3">
      <c r="A2278" s="245"/>
      <c r="B2278" s="246"/>
      <c r="C2278" s="245"/>
      <c r="D2278" s="245"/>
      <c r="E2278" s="245"/>
      <c r="F2278" s="245"/>
      <c r="G2278" s="245"/>
      <c r="H2278" s="245"/>
      <c r="I2278" s="245"/>
      <c r="J2278" s="245"/>
      <c r="K2278" s="245"/>
      <c r="L2278" s="246"/>
      <c r="M2278" s="245"/>
      <c r="N2278" s="245"/>
      <c r="O2278" s="245"/>
      <c r="P2278" s="245"/>
      <c r="Q2278" s="247"/>
      <c r="R2278" s="247"/>
      <c r="S2278" s="247"/>
      <c r="T2278" s="245"/>
      <c r="U2278" s="245"/>
      <c r="V2278" s="241"/>
      <c r="W2278" s="241"/>
      <c r="X2278" s="241"/>
    </row>
    <row r="2279" spans="1:24" ht="13.5" customHeight="1" x14ac:dyDescent="0.3">
      <c r="A2279" s="245"/>
      <c r="B2279" s="246"/>
      <c r="C2279" s="245"/>
      <c r="D2279" s="245"/>
      <c r="E2279" s="245"/>
      <c r="F2279" s="245"/>
      <c r="G2279" s="245"/>
      <c r="H2279" s="245"/>
      <c r="I2279" s="245"/>
      <c r="J2279" s="245"/>
      <c r="K2279" s="245"/>
      <c r="L2279" s="246"/>
      <c r="M2279" s="245"/>
      <c r="N2279" s="245"/>
      <c r="O2279" s="245"/>
      <c r="P2279" s="245"/>
      <c r="Q2279" s="247"/>
      <c r="R2279" s="247"/>
      <c r="S2279" s="247"/>
      <c r="T2279" s="245"/>
      <c r="U2279" s="245"/>
      <c r="V2279" s="241"/>
      <c r="W2279" s="241"/>
      <c r="X2279" s="241"/>
    </row>
    <row r="2280" spans="1:24" ht="13.5" customHeight="1" x14ac:dyDescent="0.3">
      <c r="A2280" s="245"/>
      <c r="B2280" s="246"/>
      <c r="C2280" s="245"/>
      <c r="D2280" s="245"/>
      <c r="E2280" s="245"/>
      <c r="F2280" s="245"/>
      <c r="G2280" s="245"/>
      <c r="H2280" s="245"/>
      <c r="I2280" s="245"/>
      <c r="J2280" s="245"/>
      <c r="K2280" s="245"/>
      <c r="L2280" s="246"/>
      <c r="M2280" s="245"/>
      <c r="N2280" s="245"/>
      <c r="O2280" s="245"/>
      <c r="P2280" s="245"/>
      <c r="Q2280" s="247"/>
      <c r="R2280" s="247"/>
      <c r="S2280" s="247"/>
      <c r="T2280" s="245"/>
      <c r="U2280" s="245"/>
      <c r="V2280" s="241"/>
      <c r="W2280" s="241"/>
      <c r="X2280" s="241"/>
    </row>
    <row r="2281" spans="1:24" ht="13.5" customHeight="1" x14ac:dyDescent="0.3">
      <c r="A2281" s="245"/>
      <c r="B2281" s="246"/>
      <c r="C2281" s="245"/>
      <c r="D2281" s="245"/>
      <c r="E2281" s="245"/>
      <c r="F2281" s="245"/>
      <c r="G2281" s="245"/>
      <c r="H2281" s="245"/>
      <c r="I2281" s="245"/>
      <c r="J2281" s="245"/>
      <c r="K2281" s="245"/>
      <c r="L2281" s="246"/>
      <c r="M2281" s="245"/>
      <c r="N2281" s="245"/>
      <c r="O2281" s="245"/>
      <c r="P2281" s="245"/>
      <c r="Q2281" s="247"/>
      <c r="R2281" s="247"/>
      <c r="S2281" s="247"/>
      <c r="T2281" s="245"/>
      <c r="U2281" s="245"/>
      <c r="V2281" s="241"/>
      <c r="W2281" s="241"/>
      <c r="X2281" s="241"/>
    </row>
    <row r="2282" spans="1:24" ht="13.5" customHeight="1" x14ac:dyDescent="0.3">
      <c r="A2282" s="245"/>
      <c r="B2282" s="246"/>
      <c r="C2282" s="245"/>
      <c r="D2282" s="245"/>
      <c r="E2282" s="245"/>
      <c r="F2282" s="245"/>
      <c r="G2282" s="245"/>
      <c r="H2282" s="245"/>
      <c r="I2282" s="245"/>
      <c r="J2282" s="245"/>
      <c r="K2282" s="245"/>
      <c r="L2282" s="246"/>
      <c r="M2282" s="245"/>
      <c r="N2282" s="245"/>
      <c r="O2282" s="245"/>
      <c r="P2282" s="245"/>
      <c r="Q2282" s="247"/>
      <c r="R2282" s="247"/>
      <c r="S2282" s="247"/>
      <c r="T2282" s="245"/>
      <c r="U2282" s="245"/>
      <c r="V2282" s="241"/>
      <c r="W2282" s="241"/>
      <c r="X2282" s="241"/>
    </row>
    <row r="2283" spans="1:24" ht="13.5" customHeight="1" x14ac:dyDescent="0.3">
      <c r="A2283" s="245"/>
      <c r="B2283" s="246"/>
      <c r="C2283" s="245"/>
      <c r="D2283" s="245"/>
      <c r="E2283" s="245"/>
      <c r="F2283" s="245"/>
      <c r="G2283" s="245"/>
      <c r="H2283" s="245"/>
      <c r="I2283" s="245"/>
      <c r="J2283" s="245"/>
      <c r="K2283" s="245"/>
      <c r="L2283" s="246"/>
      <c r="M2283" s="245"/>
      <c r="N2283" s="245"/>
      <c r="O2283" s="245"/>
      <c r="P2283" s="245"/>
      <c r="Q2283" s="247"/>
      <c r="R2283" s="247"/>
      <c r="S2283" s="247"/>
      <c r="T2283" s="245"/>
      <c r="U2283" s="245"/>
      <c r="V2283" s="241"/>
      <c r="W2283" s="241"/>
      <c r="X2283" s="241"/>
    </row>
    <row r="2284" spans="1:24" ht="13.5" customHeight="1" x14ac:dyDescent="0.3">
      <c r="A2284" s="245"/>
      <c r="B2284" s="246"/>
      <c r="C2284" s="245"/>
      <c r="D2284" s="245"/>
      <c r="E2284" s="245"/>
      <c r="F2284" s="245"/>
      <c r="G2284" s="245"/>
      <c r="H2284" s="245"/>
      <c r="I2284" s="245"/>
      <c r="J2284" s="245"/>
      <c r="K2284" s="245"/>
      <c r="L2284" s="246"/>
      <c r="M2284" s="245"/>
      <c r="N2284" s="245"/>
      <c r="O2284" s="245"/>
      <c r="P2284" s="245"/>
      <c r="Q2284" s="247"/>
      <c r="R2284" s="247"/>
      <c r="S2284" s="247"/>
      <c r="T2284" s="245"/>
      <c r="U2284" s="245"/>
      <c r="V2284" s="241"/>
      <c r="W2284" s="241"/>
      <c r="X2284" s="241"/>
    </row>
    <row r="2285" spans="1:24" ht="13.5" customHeight="1" x14ac:dyDescent="0.3">
      <c r="A2285" s="245"/>
      <c r="B2285" s="246"/>
      <c r="C2285" s="245"/>
      <c r="D2285" s="245"/>
      <c r="E2285" s="245"/>
      <c r="F2285" s="245"/>
      <c r="G2285" s="245"/>
      <c r="H2285" s="245"/>
      <c r="I2285" s="245"/>
      <c r="J2285" s="245"/>
      <c r="K2285" s="245"/>
      <c r="L2285" s="246"/>
      <c r="M2285" s="245"/>
      <c r="N2285" s="245"/>
      <c r="O2285" s="245"/>
      <c r="P2285" s="245"/>
      <c r="Q2285" s="247"/>
      <c r="R2285" s="247"/>
      <c r="S2285" s="247"/>
      <c r="T2285" s="245"/>
      <c r="U2285" s="245"/>
      <c r="V2285" s="241"/>
      <c r="W2285" s="241"/>
      <c r="X2285" s="241"/>
    </row>
    <row r="2286" spans="1:24" ht="13.5" customHeight="1" x14ac:dyDescent="0.3">
      <c r="A2286" s="245"/>
      <c r="B2286" s="246"/>
      <c r="C2286" s="245"/>
      <c r="D2286" s="245"/>
      <c r="E2286" s="245"/>
      <c r="F2286" s="245"/>
      <c r="G2286" s="245"/>
      <c r="H2286" s="245"/>
      <c r="I2286" s="245"/>
      <c r="J2286" s="245"/>
      <c r="K2286" s="245"/>
      <c r="L2286" s="246"/>
      <c r="M2286" s="245"/>
      <c r="N2286" s="245"/>
      <c r="O2286" s="245"/>
      <c r="P2286" s="245"/>
      <c r="Q2286" s="247"/>
      <c r="R2286" s="247"/>
      <c r="S2286" s="247"/>
      <c r="T2286" s="245"/>
      <c r="U2286" s="245"/>
      <c r="V2286" s="241"/>
      <c r="W2286" s="241"/>
      <c r="X2286" s="241"/>
    </row>
    <row r="2287" spans="1:24" ht="13.5" customHeight="1" x14ac:dyDescent="0.3">
      <c r="A2287" s="245"/>
      <c r="B2287" s="246"/>
      <c r="C2287" s="245"/>
      <c r="D2287" s="245"/>
      <c r="E2287" s="245"/>
      <c r="F2287" s="245"/>
      <c r="G2287" s="245"/>
      <c r="H2287" s="245"/>
      <c r="I2287" s="245"/>
      <c r="J2287" s="245"/>
      <c r="K2287" s="245"/>
      <c r="L2287" s="246"/>
      <c r="M2287" s="245"/>
      <c r="N2287" s="245"/>
      <c r="O2287" s="245"/>
      <c r="P2287" s="245"/>
      <c r="Q2287" s="247"/>
      <c r="R2287" s="247"/>
      <c r="S2287" s="247"/>
      <c r="T2287" s="245"/>
      <c r="U2287" s="245"/>
      <c r="V2287" s="241"/>
      <c r="W2287" s="241"/>
      <c r="X2287" s="241"/>
    </row>
    <row r="2288" spans="1:24" ht="13.5" customHeight="1" x14ac:dyDescent="0.3">
      <c r="A2288" s="245"/>
      <c r="B2288" s="246"/>
      <c r="C2288" s="245"/>
      <c r="D2288" s="245"/>
      <c r="E2288" s="245"/>
      <c r="F2288" s="245"/>
      <c r="G2288" s="245"/>
      <c r="H2288" s="245"/>
      <c r="I2288" s="245"/>
      <c r="J2288" s="245"/>
      <c r="K2288" s="245"/>
      <c r="L2288" s="246"/>
      <c r="M2288" s="245"/>
      <c r="N2288" s="245"/>
      <c r="O2288" s="245"/>
      <c r="P2288" s="245"/>
      <c r="Q2288" s="247"/>
      <c r="R2288" s="247"/>
      <c r="S2288" s="247"/>
      <c r="T2288" s="245"/>
      <c r="U2288" s="245"/>
      <c r="V2288" s="241"/>
      <c r="W2288" s="241"/>
      <c r="X2288" s="241"/>
    </row>
    <row r="2289" spans="1:24" ht="13.5" customHeight="1" x14ac:dyDescent="0.3">
      <c r="A2289" s="245"/>
      <c r="B2289" s="246"/>
      <c r="C2289" s="245"/>
      <c r="D2289" s="245"/>
      <c r="E2289" s="245"/>
      <c r="F2289" s="245"/>
      <c r="G2289" s="245"/>
      <c r="H2289" s="245"/>
      <c r="I2289" s="245"/>
      <c r="J2289" s="245"/>
      <c r="K2289" s="245"/>
      <c r="L2289" s="246"/>
      <c r="M2289" s="245"/>
      <c r="N2289" s="245"/>
      <c r="O2289" s="245"/>
      <c r="P2289" s="245"/>
      <c r="Q2289" s="247"/>
      <c r="R2289" s="247"/>
      <c r="S2289" s="247"/>
      <c r="T2289" s="245"/>
      <c r="U2289" s="245"/>
      <c r="V2289" s="241"/>
      <c r="W2289" s="241"/>
      <c r="X2289" s="241"/>
    </row>
    <row r="2290" spans="1:24" ht="13.5" customHeight="1" x14ac:dyDescent="0.3">
      <c r="A2290" s="245"/>
      <c r="B2290" s="246"/>
      <c r="C2290" s="245"/>
      <c r="D2290" s="245"/>
      <c r="E2290" s="245"/>
      <c r="F2290" s="245"/>
      <c r="G2290" s="245"/>
      <c r="H2290" s="245"/>
      <c r="I2290" s="245"/>
      <c r="J2290" s="245"/>
      <c r="K2290" s="245"/>
      <c r="L2290" s="246"/>
      <c r="M2290" s="245"/>
      <c r="N2290" s="245"/>
      <c r="O2290" s="245"/>
      <c r="P2290" s="245"/>
      <c r="Q2290" s="247"/>
      <c r="R2290" s="247"/>
      <c r="S2290" s="247"/>
      <c r="T2290" s="245"/>
      <c r="U2290" s="245"/>
      <c r="V2290" s="241"/>
      <c r="W2290" s="241"/>
      <c r="X2290" s="241"/>
    </row>
    <row r="2291" spans="1:24" ht="13.5" customHeight="1" x14ac:dyDescent="0.3">
      <c r="A2291" s="245"/>
      <c r="B2291" s="246"/>
      <c r="C2291" s="245"/>
      <c r="D2291" s="245"/>
      <c r="E2291" s="245"/>
      <c r="F2291" s="245"/>
      <c r="G2291" s="245"/>
      <c r="H2291" s="245"/>
      <c r="I2291" s="245"/>
      <c r="J2291" s="245"/>
      <c r="K2291" s="245"/>
      <c r="L2291" s="246"/>
      <c r="M2291" s="245"/>
      <c r="N2291" s="245"/>
      <c r="O2291" s="245"/>
      <c r="P2291" s="245"/>
      <c r="Q2291" s="247"/>
      <c r="R2291" s="247"/>
      <c r="S2291" s="247"/>
      <c r="T2291" s="245"/>
      <c r="U2291" s="245"/>
      <c r="V2291" s="241"/>
      <c r="W2291" s="241"/>
      <c r="X2291" s="241"/>
    </row>
    <row r="2292" spans="1:24" ht="13.5" customHeight="1" x14ac:dyDescent="0.3">
      <c r="A2292" s="245"/>
      <c r="B2292" s="246"/>
      <c r="C2292" s="245"/>
      <c r="D2292" s="245"/>
      <c r="E2292" s="245"/>
      <c r="F2292" s="245"/>
      <c r="G2292" s="245"/>
      <c r="H2292" s="245"/>
      <c r="I2292" s="245"/>
      <c r="J2292" s="245"/>
      <c r="K2292" s="245"/>
      <c r="L2292" s="246"/>
      <c r="M2292" s="245"/>
      <c r="N2292" s="245"/>
      <c r="O2292" s="245"/>
      <c r="P2292" s="245"/>
      <c r="Q2292" s="247"/>
      <c r="R2292" s="247"/>
      <c r="S2292" s="247"/>
      <c r="T2292" s="245"/>
      <c r="U2292" s="245"/>
      <c r="V2292" s="241"/>
      <c r="W2292" s="241"/>
      <c r="X2292" s="241"/>
    </row>
    <row r="2293" spans="1:24" ht="13.5" customHeight="1" x14ac:dyDescent="0.3">
      <c r="A2293" s="245"/>
      <c r="B2293" s="246"/>
      <c r="C2293" s="245"/>
      <c r="D2293" s="245"/>
      <c r="E2293" s="245"/>
      <c r="F2293" s="245"/>
      <c r="G2293" s="245"/>
      <c r="H2293" s="245"/>
      <c r="I2293" s="245"/>
      <c r="J2293" s="245"/>
      <c r="K2293" s="245"/>
      <c r="L2293" s="246"/>
      <c r="M2293" s="245"/>
      <c r="N2293" s="245"/>
      <c r="O2293" s="245"/>
      <c r="P2293" s="245"/>
      <c r="Q2293" s="247"/>
      <c r="R2293" s="247"/>
      <c r="S2293" s="247"/>
      <c r="T2293" s="245"/>
      <c r="U2293" s="245"/>
      <c r="V2293" s="241"/>
      <c r="W2293" s="241"/>
      <c r="X2293" s="241"/>
    </row>
    <row r="2294" spans="1:24" ht="13.5" customHeight="1" x14ac:dyDescent="0.3">
      <c r="A2294" s="245"/>
      <c r="B2294" s="246"/>
      <c r="C2294" s="245"/>
      <c r="D2294" s="245"/>
      <c r="E2294" s="245"/>
      <c r="F2294" s="245"/>
      <c r="G2294" s="245"/>
      <c r="H2294" s="245"/>
      <c r="I2294" s="245"/>
      <c r="J2294" s="245"/>
      <c r="K2294" s="245"/>
      <c r="L2294" s="246"/>
      <c r="M2294" s="245"/>
      <c r="N2294" s="245"/>
      <c r="O2294" s="245"/>
      <c r="P2294" s="245"/>
      <c r="Q2294" s="247"/>
      <c r="R2294" s="247"/>
      <c r="S2294" s="247"/>
      <c r="T2294" s="245"/>
      <c r="U2294" s="245"/>
      <c r="V2294" s="241"/>
      <c r="W2294" s="241"/>
      <c r="X2294" s="241"/>
    </row>
    <row r="2295" spans="1:24" ht="13.5" customHeight="1" x14ac:dyDescent="0.3">
      <c r="A2295" s="245"/>
      <c r="B2295" s="246"/>
      <c r="C2295" s="245"/>
      <c r="D2295" s="245"/>
      <c r="E2295" s="245"/>
      <c r="F2295" s="245"/>
      <c r="G2295" s="245"/>
      <c r="H2295" s="245"/>
      <c r="I2295" s="245"/>
      <c r="J2295" s="245"/>
      <c r="K2295" s="245"/>
      <c r="L2295" s="246"/>
      <c r="M2295" s="245"/>
      <c r="N2295" s="245"/>
      <c r="O2295" s="245"/>
      <c r="P2295" s="245"/>
      <c r="Q2295" s="247"/>
      <c r="R2295" s="247"/>
      <c r="S2295" s="247"/>
      <c r="T2295" s="245"/>
      <c r="U2295" s="245"/>
      <c r="V2295" s="241"/>
      <c r="W2295" s="241"/>
      <c r="X2295" s="241"/>
    </row>
    <row r="2296" spans="1:24" ht="13.5" customHeight="1" x14ac:dyDescent="0.3">
      <c r="A2296" s="245"/>
      <c r="B2296" s="246"/>
      <c r="C2296" s="245"/>
      <c r="D2296" s="245"/>
      <c r="E2296" s="245"/>
      <c r="F2296" s="245"/>
      <c r="G2296" s="245"/>
      <c r="H2296" s="245"/>
      <c r="I2296" s="245"/>
      <c r="J2296" s="245"/>
      <c r="K2296" s="245"/>
      <c r="L2296" s="246"/>
      <c r="M2296" s="245"/>
      <c r="N2296" s="245"/>
      <c r="O2296" s="245"/>
      <c r="P2296" s="245"/>
      <c r="Q2296" s="247"/>
      <c r="R2296" s="247"/>
      <c r="S2296" s="247"/>
      <c r="T2296" s="245"/>
      <c r="U2296" s="245"/>
      <c r="V2296" s="241"/>
      <c r="W2296" s="241"/>
      <c r="X2296" s="241"/>
    </row>
    <row r="2297" spans="1:24" ht="13.5" customHeight="1" x14ac:dyDescent="0.3">
      <c r="A2297" s="245"/>
      <c r="B2297" s="246"/>
      <c r="C2297" s="245"/>
      <c r="D2297" s="245"/>
      <c r="E2297" s="245"/>
      <c r="F2297" s="245"/>
      <c r="G2297" s="245"/>
      <c r="H2297" s="245"/>
      <c r="I2297" s="245"/>
      <c r="J2297" s="245"/>
      <c r="K2297" s="245"/>
      <c r="L2297" s="246"/>
      <c r="M2297" s="245"/>
      <c r="N2297" s="245"/>
      <c r="O2297" s="245"/>
      <c r="P2297" s="245"/>
      <c r="Q2297" s="247"/>
      <c r="R2297" s="247"/>
      <c r="S2297" s="247"/>
      <c r="T2297" s="245"/>
      <c r="U2297" s="245"/>
      <c r="V2297" s="241"/>
      <c r="W2297" s="241"/>
      <c r="X2297" s="241"/>
    </row>
    <row r="2298" spans="1:24" ht="13.5" customHeight="1" x14ac:dyDescent="0.3">
      <c r="A2298" s="245"/>
      <c r="B2298" s="246"/>
      <c r="C2298" s="245"/>
      <c r="D2298" s="245"/>
      <c r="E2298" s="245"/>
      <c r="F2298" s="245"/>
      <c r="G2298" s="245"/>
      <c r="H2298" s="245"/>
      <c r="I2298" s="245"/>
      <c r="J2298" s="245"/>
      <c r="K2298" s="245"/>
      <c r="L2298" s="246"/>
      <c r="M2298" s="245"/>
      <c r="N2298" s="245"/>
      <c r="O2298" s="245"/>
      <c r="P2298" s="245"/>
      <c r="Q2298" s="247"/>
      <c r="R2298" s="247"/>
      <c r="S2298" s="247"/>
      <c r="T2298" s="245"/>
      <c r="U2298" s="245"/>
      <c r="V2298" s="241"/>
      <c r="W2298" s="241"/>
      <c r="X2298" s="241"/>
    </row>
    <row r="2299" spans="1:24" ht="13.5" customHeight="1" x14ac:dyDescent="0.3">
      <c r="A2299" s="245"/>
      <c r="B2299" s="246"/>
      <c r="C2299" s="245"/>
      <c r="D2299" s="245"/>
      <c r="E2299" s="245"/>
      <c r="F2299" s="245"/>
      <c r="G2299" s="245"/>
      <c r="H2299" s="245"/>
      <c r="I2299" s="245"/>
      <c r="J2299" s="245"/>
      <c r="K2299" s="245"/>
      <c r="L2299" s="246"/>
      <c r="M2299" s="245"/>
      <c r="N2299" s="245"/>
      <c r="O2299" s="245"/>
      <c r="P2299" s="245"/>
      <c r="Q2299" s="247"/>
      <c r="R2299" s="247"/>
      <c r="S2299" s="247"/>
      <c r="T2299" s="245"/>
      <c r="U2299" s="245"/>
      <c r="V2299" s="241"/>
      <c r="W2299" s="241"/>
      <c r="X2299" s="241"/>
    </row>
    <row r="2300" spans="1:24" ht="13.5" customHeight="1" x14ac:dyDescent="0.3">
      <c r="A2300" s="245"/>
      <c r="B2300" s="246"/>
      <c r="C2300" s="245"/>
      <c r="D2300" s="245"/>
      <c r="E2300" s="245"/>
      <c r="F2300" s="245"/>
      <c r="G2300" s="245"/>
      <c r="H2300" s="245"/>
      <c r="I2300" s="245"/>
      <c r="J2300" s="245"/>
      <c r="K2300" s="245"/>
      <c r="L2300" s="246"/>
      <c r="M2300" s="245"/>
      <c r="N2300" s="245"/>
      <c r="O2300" s="245"/>
      <c r="P2300" s="245"/>
      <c r="Q2300" s="247"/>
      <c r="R2300" s="247"/>
      <c r="S2300" s="247"/>
      <c r="T2300" s="245"/>
      <c r="U2300" s="245"/>
      <c r="V2300" s="241"/>
      <c r="W2300" s="241"/>
      <c r="X2300" s="241"/>
    </row>
    <row r="2301" spans="1:24" ht="13.5" customHeight="1" x14ac:dyDescent="0.3">
      <c r="A2301" s="245"/>
      <c r="B2301" s="246"/>
      <c r="C2301" s="245"/>
      <c r="D2301" s="245"/>
      <c r="E2301" s="245"/>
      <c r="F2301" s="245"/>
      <c r="G2301" s="245"/>
      <c r="H2301" s="245"/>
      <c r="I2301" s="245"/>
      <c r="J2301" s="245"/>
      <c r="K2301" s="245"/>
      <c r="L2301" s="246"/>
      <c r="M2301" s="245"/>
      <c r="N2301" s="245"/>
      <c r="O2301" s="245"/>
      <c r="P2301" s="245"/>
      <c r="Q2301" s="247"/>
      <c r="R2301" s="247"/>
      <c r="S2301" s="247"/>
      <c r="T2301" s="245"/>
      <c r="U2301" s="245"/>
      <c r="V2301" s="241"/>
      <c r="W2301" s="241"/>
      <c r="X2301" s="241"/>
    </row>
    <row r="2302" spans="1:24" ht="13.5" customHeight="1" x14ac:dyDescent="0.3">
      <c r="A2302" s="245"/>
      <c r="B2302" s="246"/>
      <c r="C2302" s="245"/>
      <c r="D2302" s="245"/>
      <c r="E2302" s="245"/>
      <c r="F2302" s="245"/>
      <c r="G2302" s="245"/>
      <c r="H2302" s="245"/>
      <c r="I2302" s="245"/>
      <c r="J2302" s="245"/>
      <c r="K2302" s="245"/>
      <c r="L2302" s="246"/>
      <c r="M2302" s="245"/>
      <c r="N2302" s="245"/>
      <c r="O2302" s="245"/>
      <c r="P2302" s="245"/>
      <c r="Q2302" s="247"/>
      <c r="R2302" s="247"/>
      <c r="S2302" s="247"/>
      <c r="T2302" s="245"/>
      <c r="U2302" s="245"/>
      <c r="V2302" s="241"/>
      <c r="W2302" s="241"/>
      <c r="X2302" s="241"/>
    </row>
    <row r="2303" spans="1:24" ht="13.5" customHeight="1" x14ac:dyDescent="0.3">
      <c r="A2303" s="245"/>
      <c r="B2303" s="246"/>
      <c r="C2303" s="245"/>
      <c r="D2303" s="245"/>
      <c r="E2303" s="245"/>
      <c r="F2303" s="245"/>
      <c r="G2303" s="245"/>
      <c r="H2303" s="245"/>
      <c r="I2303" s="245"/>
      <c r="J2303" s="245"/>
      <c r="K2303" s="245"/>
      <c r="L2303" s="246"/>
      <c r="M2303" s="245"/>
      <c r="N2303" s="245"/>
      <c r="O2303" s="245"/>
      <c r="P2303" s="245"/>
      <c r="Q2303" s="247"/>
      <c r="R2303" s="247"/>
      <c r="S2303" s="247"/>
      <c r="T2303" s="245"/>
      <c r="U2303" s="245"/>
      <c r="V2303" s="241"/>
      <c r="W2303" s="241"/>
      <c r="X2303" s="241"/>
    </row>
    <row r="2304" spans="1:24" ht="13.5" customHeight="1" x14ac:dyDescent="0.3">
      <c r="A2304" s="245"/>
      <c r="B2304" s="246"/>
      <c r="C2304" s="245"/>
      <c r="D2304" s="245"/>
      <c r="E2304" s="245"/>
      <c r="F2304" s="245"/>
      <c r="G2304" s="245"/>
      <c r="H2304" s="245"/>
      <c r="I2304" s="245"/>
      <c r="J2304" s="245"/>
      <c r="K2304" s="245"/>
      <c r="L2304" s="246"/>
      <c r="M2304" s="245"/>
      <c r="N2304" s="245"/>
      <c r="O2304" s="245"/>
      <c r="P2304" s="245"/>
      <c r="Q2304" s="247"/>
      <c r="R2304" s="247"/>
      <c r="S2304" s="247"/>
      <c r="T2304" s="245"/>
      <c r="U2304" s="245"/>
      <c r="V2304" s="241"/>
      <c r="W2304" s="241"/>
      <c r="X2304" s="241"/>
    </row>
    <row r="2305" spans="1:24" ht="13.5" customHeight="1" x14ac:dyDescent="0.3">
      <c r="A2305" s="245"/>
      <c r="B2305" s="246"/>
      <c r="C2305" s="245"/>
      <c r="D2305" s="245"/>
      <c r="E2305" s="245"/>
      <c r="F2305" s="245"/>
      <c r="G2305" s="245"/>
      <c r="H2305" s="245"/>
      <c r="I2305" s="245"/>
      <c r="J2305" s="245"/>
      <c r="K2305" s="245"/>
      <c r="L2305" s="246"/>
      <c r="M2305" s="245"/>
      <c r="N2305" s="245"/>
      <c r="O2305" s="245"/>
      <c r="P2305" s="245"/>
      <c r="Q2305" s="247"/>
      <c r="R2305" s="247"/>
      <c r="S2305" s="247"/>
      <c r="T2305" s="245"/>
      <c r="U2305" s="245"/>
      <c r="V2305" s="241"/>
      <c r="W2305" s="241"/>
      <c r="X2305" s="241"/>
    </row>
    <row r="2306" spans="1:24" ht="13.5" customHeight="1" x14ac:dyDescent="0.3">
      <c r="A2306" s="245"/>
      <c r="B2306" s="246"/>
      <c r="C2306" s="245"/>
      <c r="D2306" s="245"/>
      <c r="E2306" s="245"/>
      <c r="F2306" s="245"/>
      <c r="G2306" s="245"/>
      <c r="H2306" s="245"/>
      <c r="I2306" s="245"/>
      <c r="J2306" s="245"/>
      <c r="K2306" s="245"/>
      <c r="L2306" s="246"/>
      <c r="M2306" s="245"/>
      <c r="N2306" s="245"/>
      <c r="O2306" s="245"/>
      <c r="P2306" s="245"/>
      <c r="Q2306" s="247"/>
      <c r="R2306" s="247"/>
      <c r="S2306" s="247"/>
      <c r="T2306" s="245"/>
      <c r="U2306" s="245"/>
      <c r="V2306" s="241"/>
      <c r="W2306" s="241"/>
      <c r="X2306" s="241"/>
    </row>
    <row r="2307" spans="1:24" ht="13.5" customHeight="1" x14ac:dyDescent="0.3">
      <c r="A2307" s="245"/>
      <c r="B2307" s="246"/>
      <c r="C2307" s="245"/>
      <c r="D2307" s="245"/>
      <c r="E2307" s="245"/>
      <c r="F2307" s="245"/>
      <c r="G2307" s="245"/>
      <c r="H2307" s="245"/>
      <c r="I2307" s="245"/>
      <c r="J2307" s="245"/>
      <c r="K2307" s="245"/>
      <c r="L2307" s="246"/>
      <c r="M2307" s="245"/>
      <c r="N2307" s="245"/>
      <c r="O2307" s="245"/>
      <c r="P2307" s="245"/>
      <c r="Q2307" s="247"/>
      <c r="R2307" s="247"/>
      <c r="S2307" s="247"/>
      <c r="T2307" s="245"/>
      <c r="U2307" s="245"/>
      <c r="V2307" s="241"/>
      <c r="W2307" s="241"/>
      <c r="X2307" s="241"/>
    </row>
    <row r="2308" spans="1:24" ht="13.5" customHeight="1" x14ac:dyDescent="0.3">
      <c r="A2308" s="245"/>
      <c r="B2308" s="246"/>
      <c r="C2308" s="245"/>
      <c r="D2308" s="245"/>
      <c r="E2308" s="245"/>
      <c r="F2308" s="245"/>
      <c r="G2308" s="245"/>
      <c r="H2308" s="245"/>
      <c r="I2308" s="245"/>
      <c r="J2308" s="245"/>
      <c r="K2308" s="245"/>
      <c r="L2308" s="246"/>
      <c r="M2308" s="245"/>
      <c r="N2308" s="245"/>
      <c r="O2308" s="245"/>
      <c r="P2308" s="245"/>
      <c r="Q2308" s="247"/>
      <c r="R2308" s="247"/>
      <c r="S2308" s="247"/>
      <c r="T2308" s="245"/>
      <c r="U2308" s="245"/>
      <c r="V2308" s="241"/>
      <c r="W2308" s="241"/>
      <c r="X2308" s="241"/>
    </row>
    <row r="2309" spans="1:24" ht="13.5" customHeight="1" x14ac:dyDescent="0.3">
      <c r="A2309" s="245"/>
      <c r="B2309" s="246"/>
      <c r="C2309" s="245"/>
      <c r="D2309" s="245"/>
      <c r="E2309" s="245"/>
      <c r="F2309" s="245"/>
      <c r="G2309" s="245"/>
      <c r="H2309" s="245"/>
      <c r="I2309" s="245"/>
      <c r="J2309" s="245"/>
      <c r="K2309" s="245"/>
      <c r="L2309" s="246"/>
      <c r="M2309" s="245"/>
      <c r="N2309" s="245"/>
      <c r="O2309" s="245"/>
      <c r="P2309" s="245"/>
      <c r="Q2309" s="247"/>
      <c r="R2309" s="247"/>
      <c r="S2309" s="247"/>
      <c r="T2309" s="245"/>
      <c r="U2309" s="245"/>
      <c r="V2309" s="241"/>
      <c r="W2309" s="241"/>
      <c r="X2309" s="241"/>
    </row>
    <row r="2310" spans="1:24" ht="13.5" customHeight="1" x14ac:dyDescent="0.3">
      <c r="A2310" s="245"/>
      <c r="B2310" s="246"/>
      <c r="C2310" s="245"/>
      <c r="D2310" s="245"/>
      <c r="E2310" s="245"/>
      <c r="F2310" s="245"/>
      <c r="G2310" s="245"/>
      <c r="H2310" s="245"/>
      <c r="I2310" s="245"/>
      <c r="J2310" s="245"/>
      <c r="K2310" s="245"/>
      <c r="L2310" s="246"/>
      <c r="M2310" s="245"/>
      <c r="N2310" s="245"/>
      <c r="O2310" s="245"/>
      <c r="P2310" s="245"/>
      <c r="Q2310" s="247"/>
      <c r="R2310" s="247"/>
      <c r="S2310" s="247"/>
      <c r="T2310" s="245"/>
      <c r="U2310" s="245"/>
      <c r="V2310" s="241"/>
      <c r="W2310" s="241"/>
      <c r="X2310" s="241"/>
    </row>
    <row r="2311" spans="1:24" ht="13.5" customHeight="1" x14ac:dyDescent="0.3">
      <c r="A2311" s="245"/>
      <c r="B2311" s="246"/>
      <c r="C2311" s="245"/>
      <c r="D2311" s="245"/>
      <c r="E2311" s="245"/>
      <c r="F2311" s="245"/>
      <c r="G2311" s="245"/>
      <c r="H2311" s="245"/>
      <c r="I2311" s="245"/>
      <c r="J2311" s="245"/>
      <c r="K2311" s="245"/>
      <c r="L2311" s="246"/>
      <c r="M2311" s="245"/>
      <c r="N2311" s="245"/>
      <c r="O2311" s="245"/>
      <c r="P2311" s="245"/>
      <c r="Q2311" s="247"/>
      <c r="R2311" s="247"/>
      <c r="S2311" s="247"/>
      <c r="T2311" s="245"/>
      <c r="U2311" s="245"/>
      <c r="V2311" s="241"/>
      <c r="W2311" s="241"/>
      <c r="X2311" s="241"/>
    </row>
    <row r="2312" spans="1:24" ht="13.5" customHeight="1" x14ac:dyDescent="0.3">
      <c r="A2312" s="245"/>
      <c r="B2312" s="246"/>
      <c r="C2312" s="245"/>
      <c r="D2312" s="245"/>
      <c r="E2312" s="245"/>
      <c r="F2312" s="245"/>
      <c r="G2312" s="245"/>
      <c r="H2312" s="245"/>
      <c r="I2312" s="245"/>
      <c r="J2312" s="245"/>
      <c r="K2312" s="245"/>
      <c r="L2312" s="246"/>
      <c r="M2312" s="245"/>
      <c r="N2312" s="245"/>
      <c r="O2312" s="245"/>
      <c r="P2312" s="245"/>
      <c r="Q2312" s="247"/>
      <c r="R2312" s="247"/>
      <c r="S2312" s="247"/>
      <c r="T2312" s="245"/>
      <c r="U2312" s="245"/>
      <c r="V2312" s="241"/>
      <c r="W2312" s="241"/>
      <c r="X2312" s="241"/>
    </row>
    <row r="2313" spans="1:24" ht="13.5" customHeight="1" x14ac:dyDescent="0.3">
      <c r="A2313" s="245"/>
      <c r="B2313" s="246"/>
      <c r="C2313" s="245"/>
      <c r="D2313" s="245"/>
      <c r="E2313" s="245"/>
      <c r="F2313" s="245"/>
      <c r="G2313" s="245"/>
      <c r="H2313" s="245"/>
      <c r="I2313" s="245"/>
      <c r="J2313" s="245"/>
      <c r="K2313" s="245"/>
      <c r="L2313" s="246"/>
      <c r="M2313" s="245"/>
      <c r="N2313" s="245"/>
      <c r="O2313" s="245"/>
      <c r="P2313" s="245"/>
      <c r="Q2313" s="247"/>
      <c r="R2313" s="247"/>
      <c r="S2313" s="247"/>
      <c r="T2313" s="245"/>
      <c r="U2313" s="245"/>
      <c r="V2313" s="241"/>
      <c r="W2313" s="241"/>
      <c r="X2313" s="241"/>
    </row>
    <row r="2314" spans="1:24" ht="13.5" customHeight="1" x14ac:dyDescent="0.3">
      <c r="A2314" s="245"/>
      <c r="B2314" s="246"/>
      <c r="C2314" s="245"/>
      <c r="D2314" s="245"/>
      <c r="E2314" s="245"/>
      <c r="F2314" s="245"/>
      <c r="G2314" s="245"/>
      <c r="H2314" s="245"/>
      <c r="I2314" s="245"/>
      <c r="J2314" s="245"/>
      <c r="K2314" s="245"/>
      <c r="L2314" s="246"/>
      <c r="M2314" s="245"/>
      <c r="N2314" s="245"/>
      <c r="O2314" s="245"/>
      <c r="P2314" s="245"/>
      <c r="Q2314" s="247"/>
      <c r="R2314" s="247"/>
      <c r="S2314" s="247"/>
      <c r="T2314" s="245"/>
      <c r="U2314" s="245"/>
      <c r="V2314" s="241"/>
      <c r="W2314" s="241"/>
      <c r="X2314" s="241"/>
    </row>
    <row r="2315" spans="1:24" ht="13.5" customHeight="1" x14ac:dyDescent="0.3">
      <c r="A2315" s="245"/>
      <c r="B2315" s="246"/>
      <c r="C2315" s="245"/>
      <c r="D2315" s="245"/>
      <c r="E2315" s="245"/>
      <c r="F2315" s="245"/>
      <c r="G2315" s="245"/>
      <c r="H2315" s="245"/>
      <c r="I2315" s="245"/>
      <c r="J2315" s="245"/>
      <c r="K2315" s="245"/>
      <c r="L2315" s="246"/>
      <c r="M2315" s="245"/>
      <c r="N2315" s="245"/>
      <c r="O2315" s="245"/>
      <c r="P2315" s="245"/>
      <c r="Q2315" s="247"/>
      <c r="R2315" s="247"/>
      <c r="S2315" s="247"/>
      <c r="T2315" s="245"/>
      <c r="U2315" s="245"/>
      <c r="V2315" s="241"/>
      <c r="W2315" s="241"/>
      <c r="X2315" s="241"/>
    </row>
    <row r="2316" spans="1:24" ht="13.5" customHeight="1" x14ac:dyDescent="0.3">
      <c r="A2316" s="245"/>
      <c r="B2316" s="246"/>
      <c r="C2316" s="245"/>
      <c r="D2316" s="245"/>
      <c r="E2316" s="245"/>
      <c r="F2316" s="245"/>
      <c r="G2316" s="245"/>
      <c r="H2316" s="245"/>
      <c r="I2316" s="245"/>
      <c r="J2316" s="245"/>
      <c r="K2316" s="245"/>
      <c r="L2316" s="246"/>
      <c r="M2316" s="245"/>
      <c r="N2316" s="245"/>
      <c r="O2316" s="245"/>
      <c r="P2316" s="245"/>
      <c r="Q2316" s="247"/>
      <c r="R2316" s="247"/>
      <c r="S2316" s="247"/>
      <c r="T2316" s="245"/>
      <c r="U2316" s="245"/>
      <c r="V2316" s="241"/>
      <c r="W2316" s="241"/>
      <c r="X2316" s="241"/>
    </row>
    <row r="2317" spans="1:24" ht="13.5" customHeight="1" x14ac:dyDescent="0.3">
      <c r="A2317" s="245"/>
      <c r="B2317" s="246"/>
      <c r="C2317" s="245"/>
      <c r="D2317" s="245"/>
      <c r="E2317" s="245"/>
      <c r="F2317" s="245"/>
      <c r="G2317" s="245"/>
      <c r="H2317" s="245"/>
      <c r="I2317" s="245"/>
      <c r="J2317" s="245"/>
      <c r="K2317" s="245"/>
      <c r="L2317" s="246"/>
      <c r="M2317" s="245"/>
      <c r="N2317" s="245"/>
      <c r="O2317" s="245"/>
      <c r="P2317" s="245"/>
      <c r="Q2317" s="247"/>
      <c r="R2317" s="247"/>
      <c r="S2317" s="247"/>
      <c r="T2317" s="245"/>
      <c r="U2317" s="245"/>
      <c r="V2317" s="241"/>
      <c r="W2317" s="241"/>
      <c r="X2317" s="241"/>
    </row>
    <row r="2318" spans="1:24" ht="13.5" customHeight="1" x14ac:dyDescent="0.3">
      <c r="A2318" s="245"/>
      <c r="B2318" s="246"/>
      <c r="C2318" s="245"/>
      <c r="D2318" s="245"/>
      <c r="E2318" s="245"/>
      <c r="F2318" s="245"/>
      <c r="G2318" s="245"/>
      <c r="H2318" s="245"/>
      <c r="I2318" s="245"/>
      <c r="J2318" s="245"/>
      <c r="K2318" s="245"/>
      <c r="L2318" s="246"/>
      <c r="M2318" s="245"/>
      <c r="N2318" s="245"/>
      <c r="O2318" s="245"/>
      <c r="P2318" s="245"/>
      <c r="Q2318" s="247"/>
      <c r="R2318" s="247"/>
      <c r="S2318" s="247"/>
      <c r="T2318" s="245"/>
      <c r="U2318" s="245"/>
      <c r="V2318" s="241"/>
      <c r="W2318" s="241"/>
      <c r="X2318" s="241"/>
    </row>
    <row r="2319" spans="1:24" ht="13.5" customHeight="1" x14ac:dyDescent="0.3">
      <c r="A2319" s="245"/>
      <c r="B2319" s="246"/>
      <c r="C2319" s="245"/>
      <c r="D2319" s="245"/>
      <c r="E2319" s="245"/>
      <c r="F2319" s="245"/>
      <c r="G2319" s="245"/>
      <c r="H2319" s="245"/>
      <c r="I2319" s="245"/>
      <c r="J2319" s="245"/>
      <c r="K2319" s="245"/>
      <c r="L2319" s="246"/>
      <c r="M2319" s="245"/>
      <c r="N2319" s="245"/>
      <c r="O2319" s="245"/>
      <c r="P2319" s="245"/>
      <c r="Q2319" s="247"/>
      <c r="R2319" s="247"/>
      <c r="S2319" s="247"/>
      <c r="T2319" s="245"/>
      <c r="U2319" s="245"/>
      <c r="V2319" s="241"/>
      <c r="W2319" s="241"/>
      <c r="X2319" s="241"/>
    </row>
    <row r="2320" spans="1:24" ht="13.5" customHeight="1" x14ac:dyDescent="0.3">
      <c r="A2320" s="245"/>
      <c r="B2320" s="246"/>
      <c r="C2320" s="245"/>
      <c r="D2320" s="245"/>
      <c r="E2320" s="245"/>
      <c r="F2320" s="245"/>
      <c r="G2320" s="245"/>
      <c r="H2320" s="245"/>
      <c r="I2320" s="245"/>
      <c r="J2320" s="245"/>
      <c r="K2320" s="245"/>
      <c r="L2320" s="246"/>
      <c r="M2320" s="245"/>
      <c r="N2320" s="245"/>
      <c r="O2320" s="245"/>
      <c r="P2320" s="245"/>
      <c r="Q2320" s="247"/>
      <c r="R2320" s="247"/>
      <c r="S2320" s="247"/>
      <c r="T2320" s="245"/>
      <c r="U2320" s="245"/>
      <c r="V2320" s="241"/>
      <c r="W2320" s="241"/>
      <c r="X2320" s="241"/>
    </row>
    <row r="2321" spans="1:24" ht="13.5" customHeight="1" x14ac:dyDescent="0.3">
      <c r="A2321" s="245"/>
      <c r="B2321" s="246"/>
      <c r="C2321" s="245"/>
      <c r="D2321" s="245"/>
      <c r="E2321" s="245"/>
      <c r="F2321" s="245"/>
      <c r="G2321" s="245"/>
      <c r="H2321" s="245"/>
      <c r="I2321" s="245"/>
      <c r="J2321" s="245"/>
      <c r="K2321" s="245"/>
      <c r="L2321" s="246"/>
      <c r="M2321" s="245"/>
      <c r="N2321" s="245"/>
      <c r="O2321" s="245"/>
      <c r="P2321" s="245"/>
      <c r="Q2321" s="247"/>
      <c r="R2321" s="247"/>
      <c r="S2321" s="247"/>
      <c r="T2321" s="245"/>
      <c r="U2321" s="245"/>
      <c r="V2321" s="241"/>
      <c r="W2321" s="241"/>
      <c r="X2321" s="241"/>
    </row>
    <row r="2322" spans="1:24" ht="13.5" customHeight="1" x14ac:dyDescent="0.3">
      <c r="A2322" s="245"/>
      <c r="B2322" s="246"/>
      <c r="C2322" s="245"/>
      <c r="D2322" s="245"/>
      <c r="E2322" s="245"/>
      <c r="F2322" s="245"/>
      <c r="G2322" s="245"/>
      <c r="H2322" s="245"/>
      <c r="I2322" s="245"/>
      <c r="J2322" s="245"/>
      <c r="K2322" s="245"/>
      <c r="L2322" s="246"/>
      <c r="M2322" s="245"/>
      <c r="N2322" s="245"/>
      <c r="O2322" s="245"/>
      <c r="P2322" s="245"/>
      <c r="Q2322" s="247"/>
      <c r="R2322" s="247"/>
      <c r="S2322" s="247"/>
      <c r="T2322" s="245"/>
      <c r="U2322" s="245"/>
      <c r="V2322" s="241"/>
      <c r="W2322" s="241"/>
      <c r="X2322" s="241"/>
    </row>
    <row r="2323" spans="1:24" ht="13.5" customHeight="1" x14ac:dyDescent="0.3">
      <c r="A2323" s="245"/>
      <c r="B2323" s="246"/>
      <c r="C2323" s="245"/>
      <c r="D2323" s="245"/>
      <c r="E2323" s="245"/>
      <c r="F2323" s="245"/>
      <c r="G2323" s="245"/>
      <c r="H2323" s="245"/>
      <c r="I2323" s="245"/>
      <c r="J2323" s="245"/>
      <c r="K2323" s="245"/>
      <c r="L2323" s="246"/>
      <c r="M2323" s="245"/>
      <c r="N2323" s="245"/>
      <c r="O2323" s="245"/>
      <c r="P2323" s="245"/>
      <c r="Q2323" s="247"/>
      <c r="R2323" s="247"/>
      <c r="S2323" s="247"/>
      <c r="T2323" s="245"/>
      <c r="U2323" s="245"/>
      <c r="V2323" s="241"/>
      <c r="W2323" s="241"/>
      <c r="X2323" s="241"/>
    </row>
    <row r="2324" spans="1:24" ht="13.5" customHeight="1" x14ac:dyDescent="0.3">
      <c r="A2324" s="245"/>
      <c r="B2324" s="246"/>
      <c r="C2324" s="245"/>
      <c r="D2324" s="245"/>
      <c r="E2324" s="245"/>
      <c r="F2324" s="245"/>
      <c r="G2324" s="245"/>
      <c r="H2324" s="245"/>
      <c r="I2324" s="245"/>
      <c r="J2324" s="245"/>
      <c r="K2324" s="245"/>
      <c r="L2324" s="246"/>
      <c r="M2324" s="245"/>
      <c r="N2324" s="245"/>
      <c r="O2324" s="245"/>
      <c r="P2324" s="245"/>
      <c r="Q2324" s="247"/>
      <c r="R2324" s="247"/>
      <c r="S2324" s="247"/>
      <c r="T2324" s="245"/>
      <c r="U2324" s="245"/>
      <c r="V2324" s="241"/>
      <c r="W2324" s="241"/>
      <c r="X2324" s="241"/>
    </row>
    <row r="2325" spans="1:24" ht="13.5" customHeight="1" x14ac:dyDescent="0.3">
      <c r="A2325" s="245"/>
      <c r="B2325" s="246"/>
      <c r="C2325" s="245"/>
      <c r="D2325" s="245"/>
      <c r="E2325" s="245"/>
      <c r="F2325" s="245"/>
      <c r="G2325" s="245"/>
      <c r="H2325" s="245"/>
      <c r="I2325" s="245"/>
      <c r="J2325" s="245"/>
      <c r="K2325" s="245"/>
      <c r="L2325" s="246"/>
      <c r="M2325" s="245"/>
      <c r="N2325" s="245"/>
      <c r="O2325" s="245"/>
      <c r="P2325" s="245"/>
      <c r="Q2325" s="247"/>
      <c r="R2325" s="247"/>
      <c r="S2325" s="247"/>
      <c r="T2325" s="245"/>
      <c r="U2325" s="245"/>
      <c r="V2325" s="241"/>
      <c r="W2325" s="241"/>
      <c r="X2325" s="241"/>
    </row>
    <row r="2326" spans="1:24" ht="13.5" customHeight="1" x14ac:dyDescent="0.3">
      <c r="A2326" s="245"/>
      <c r="B2326" s="246"/>
      <c r="C2326" s="245"/>
      <c r="D2326" s="245"/>
      <c r="E2326" s="245"/>
      <c r="F2326" s="245"/>
      <c r="G2326" s="245"/>
      <c r="H2326" s="245"/>
      <c r="I2326" s="245"/>
      <c r="J2326" s="245"/>
      <c r="K2326" s="245"/>
      <c r="L2326" s="246"/>
      <c r="M2326" s="245"/>
      <c r="N2326" s="245"/>
      <c r="O2326" s="245"/>
      <c r="P2326" s="245"/>
      <c r="Q2326" s="247"/>
      <c r="R2326" s="247"/>
      <c r="S2326" s="247"/>
      <c r="T2326" s="245"/>
      <c r="U2326" s="245"/>
      <c r="V2326" s="241"/>
      <c r="W2326" s="241"/>
      <c r="X2326" s="241"/>
    </row>
    <row r="2327" spans="1:24" ht="13.5" customHeight="1" x14ac:dyDescent="0.3">
      <c r="A2327" s="245"/>
      <c r="B2327" s="246"/>
      <c r="C2327" s="245"/>
      <c r="D2327" s="245"/>
      <c r="E2327" s="245"/>
      <c r="F2327" s="245"/>
      <c r="G2327" s="245"/>
      <c r="H2327" s="245"/>
      <c r="I2327" s="245"/>
      <c r="J2327" s="245"/>
      <c r="K2327" s="245"/>
      <c r="L2327" s="246"/>
      <c r="M2327" s="245"/>
      <c r="N2327" s="245"/>
      <c r="O2327" s="245"/>
      <c r="P2327" s="245"/>
      <c r="Q2327" s="247"/>
      <c r="R2327" s="247"/>
      <c r="S2327" s="247"/>
      <c r="T2327" s="245"/>
      <c r="U2327" s="245"/>
      <c r="V2327" s="241"/>
      <c r="W2327" s="241"/>
      <c r="X2327" s="241"/>
    </row>
    <row r="2328" spans="1:24" ht="13.5" customHeight="1" x14ac:dyDescent="0.3">
      <c r="A2328" s="245"/>
      <c r="B2328" s="246"/>
      <c r="C2328" s="245"/>
      <c r="D2328" s="245"/>
      <c r="E2328" s="245"/>
      <c r="F2328" s="245"/>
      <c r="G2328" s="245"/>
      <c r="H2328" s="245"/>
      <c r="I2328" s="245"/>
      <c r="J2328" s="245"/>
      <c r="K2328" s="245"/>
      <c r="L2328" s="246"/>
      <c r="M2328" s="245"/>
      <c r="N2328" s="245"/>
      <c r="O2328" s="245"/>
      <c r="P2328" s="245"/>
      <c r="Q2328" s="247"/>
      <c r="R2328" s="247"/>
      <c r="S2328" s="247"/>
      <c r="T2328" s="245"/>
      <c r="U2328" s="245"/>
      <c r="V2328" s="241"/>
      <c r="W2328" s="241"/>
      <c r="X2328" s="241"/>
    </row>
    <row r="2329" spans="1:24" ht="13.5" customHeight="1" x14ac:dyDescent="0.3">
      <c r="A2329" s="245"/>
      <c r="B2329" s="246"/>
      <c r="C2329" s="245"/>
      <c r="D2329" s="245"/>
      <c r="E2329" s="245"/>
      <c r="F2329" s="245"/>
      <c r="G2329" s="245"/>
      <c r="H2329" s="245"/>
      <c r="I2329" s="245"/>
      <c r="J2329" s="245"/>
      <c r="K2329" s="245"/>
      <c r="L2329" s="246"/>
      <c r="M2329" s="245"/>
      <c r="N2329" s="245"/>
      <c r="O2329" s="245"/>
      <c r="P2329" s="245"/>
      <c r="Q2329" s="247"/>
      <c r="R2329" s="247"/>
      <c r="S2329" s="247"/>
      <c r="T2329" s="245"/>
      <c r="U2329" s="245"/>
      <c r="V2329" s="241"/>
      <c r="W2329" s="241"/>
      <c r="X2329" s="241"/>
    </row>
    <row r="2330" spans="1:24" ht="13.5" customHeight="1" x14ac:dyDescent="0.3">
      <c r="A2330" s="245"/>
      <c r="B2330" s="246"/>
      <c r="C2330" s="245"/>
      <c r="D2330" s="245"/>
      <c r="E2330" s="245"/>
      <c r="F2330" s="245"/>
      <c r="G2330" s="245"/>
      <c r="H2330" s="245"/>
      <c r="I2330" s="245"/>
      <c r="J2330" s="245"/>
      <c r="K2330" s="245"/>
      <c r="L2330" s="246"/>
      <c r="M2330" s="245"/>
      <c r="N2330" s="245"/>
      <c r="O2330" s="245"/>
      <c r="P2330" s="245"/>
      <c r="Q2330" s="247"/>
      <c r="R2330" s="247"/>
      <c r="S2330" s="247"/>
      <c r="T2330" s="245"/>
      <c r="U2330" s="245"/>
      <c r="V2330" s="241"/>
      <c r="W2330" s="241"/>
      <c r="X2330" s="241"/>
    </row>
    <row r="2331" spans="1:24" ht="13.5" customHeight="1" x14ac:dyDescent="0.3">
      <c r="A2331" s="245"/>
      <c r="B2331" s="246"/>
      <c r="C2331" s="245"/>
      <c r="D2331" s="245"/>
      <c r="E2331" s="245"/>
      <c r="F2331" s="245"/>
      <c r="G2331" s="245"/>
      <c r="H2331" s="245"/>
      <c r="I2331" s="245"/>
      <c r="J2331" s="245"/>
      <c r="K2331" s="245"/>
      <c r="L2331" s="246"/>
      <c r="M2331" s="245"/>
      <c r="N2331" s="245"/>
      <c r="O2331" s="245"/>
      <c r="P2331" s="245"/>
      <c r="Q2331" s="247"/>
      <c r="R2331" s="247"/>
      <c r="S2331" s="247"/>
      <c r="T2331" s="245"/>
      <c r="U2331" s="245"/>
      <c r="V2331" s="241"/>
      <c r="W2331" s="241"/>
      <c r="X2331" s="241"/>
    </row>
    <row r="2332" spans="1:24" ht="13.5" customHeight="1" x14ac:dyDescent="0.3">
      <c r="A2332" s="245"/>
      <c r="B2332" s="246"/>
      <c r="C2332" s="245"/>
      <c r="D2332" s="245"/>
      <c r="E2332" s="245"/>
      <c r="F2332" s="245"/>
      <c r="G2332" s="245"/>
      <c r="H2332" s="245"/>
      <c r="I2332" s="245"/>
      <c r="J2332" s="245"/>
      <c r="K2332" s="245"/>
      <c r="L2332" s="246"/>
      <c r="M2332" s="245"/>
      <c r="N2332" s="245"/>
      <c r="O2332" s="245"/>
      <c r="P2332" s="245"/>
      <c r="Q2332" s="247"/>
      <c r="R2332" s="247"/>
      <c r="S2332" s="247"/>
      <c r="T2332" s="245"/>
      <c r="U2332" s="245"/>
      <c r="V2332" s="241"/>
      <c r="W2332" s="241"/>
      <c r="X2332" s="241"/>
    </row>
    <row r="2333" spans="1:24" ht="13.5" customHeight="1" x14ac:dyDescent="0.3">
      <c r="A2333" s="245"/>
      <c r="B2333" s="246"/>
      <c r="C2333" s="245"/>
      <c r="D2333" s="245"/>
      <c r="E2333" s="245"/>
      <c r="F2333" s="245"/>
      <c r="G2333" s="245"/>
      <c r="H2333" s="245"/>
      <c r="I2333" s="245"/>
      <c r="J2333" s="245"/>
      <c r="K2333" s="245"/>
      <c r="L2333" s="246"/>
      <c r="M2333" s="245"/>
      <c r="N2333" s="245"/>
      <c r="O2333" s="245"/>
      <c r="P2333" s="245"/>
      <c r="Q2333" s="247"/>
      <c r="R2333" s="247"/>
      <c r="S2333" s="247"/>
      <c r="T2333" s="245"/>
      <c r="U2333" s="245"/>
      <c r="V2333" s="241"/>
      <c r="W2333" s="241"/>
      <c r="X2333" s="241"/>
    </row>
    <row r="2334" spans="1:24" ht="13.5" customHeight="1" x14ac:dyDescent="0.3">
      <c r="A2334" s="245"/>
      <c r="B2334" s="246"/>
      <c r="C2334" s="245"/>
      <c r="D2334" s="245"/>
      <c r="E2334" s="245"/>
      <c r="F2334" s="245"/>
      <c r="G2334" s="245"/>
      <c r="H2334" s="245"/>
      <c r="I2334" s="245"/>
      <c r="J2334" s="245"/>
      <c r="K2334" s="245"/>
      <c r="L2334" s="246"/>
      <c r="M2334" s="245"/>
      <c r="N2334" s="245"/>
      <c r="O2334" s="245"/>
      <c r="P2334" s="245"/>
      <c r="Q2334" s="247"/>
      <c r="R2334" s="247"/>
      <c r="S2334" s="247"/>
      <c r="T2334" s="245"/>
      <c r="U2334" s="245"/>
      <c r="V2334" s="241"/>
      <c r="W2334" s="241"/>
      <c r="X2334" s="241"/>
    </row>
    <row r="2335" spans="1:24" ht="13.5" customHeight="1" x14ac:dyDescent="0.3">
      <c r="A2335" s="245"/>
      <c r="B2335" s="246"/>
      <c r="C2335" s="245"/>
      <c r="D2335" s="245"/>
      <c r="E2335" s="245"/>
      <c r="F2335" s="245"/>
      <c r="G2335" s="245"/>
      <c r="H2335" s="245"/>
      <c r="I2335" s="245"/>
      <c r="J2335" s="245"/>
      <c r="K2335" s="245"/>
      <c r="L2335" s="246"/>
      <c r="M2335" s="245"/>
      <c r="N2335" s="245"/>
      <c r="O2335" s="245"/>
      <c r="P2335" s="245"/>
      <c r="Q2335" s="247"/>
      <c r="R2335" s="247"/>
      <c r="S2335" s="247"/>
      <c r="T2335" s="245"/>
      <c r="U2335" s="245"/>
      <c r="V2335" s="241"/>
      <c r="W2335" s="241"/>
      <c r="X2335" s="241"/>
    </row>
    <row r="2336" spans="1:24" ht="13.5" customHeight="1" x14ac:dyDescent="0.3">
      <c r="A2336" s="245"/>
      <c r="B2336" s="246"/>
      <c r="C2336" s="245"/>
      <c r="D2336" s="245"/>
      <c r="E2336" s="245"/>
      <c r="F2336" s="245"/>
      <c r="G2336" s="245"/>
      <c r="H2336" s="245"/>
      <c r="I2336" s="245"/>
      <c r="J2336" s="245"/>
      <c r="K2336" s="245"/>
      <c r="L2336" s="246"/>
      <c r="M2336" s="245"/>
      <c r="N2336" s="245"/>
      <c r="O2336" s="245"/>
      <c r="P2336" s="245"/>
      <c r="Q2336" s="247"/>
      <c r="R2336" s="247"/>
      <c r="S2336" s="247"/>
      <c r="T2336" s="245"/>
      <c r="U2336" s="245"/>
      <c r="V2336" s="241"/>
      <c r="W2336" s="241"/>
      <c r="X2336" s="241"/>
    </row>
    <row r="2337" spans="1:24" ht="13.5" customHeight="1" x14ac:dyDescent="0.3">
      <c r="A2337" s="245"/>
      <c r="B2337" s="246"/>
      <c r="C2337" s="245"/>
      <c r="D2337" s="245"/>
      <c r="E2337" s="245"/>
      <c r="F2337" s="245"/>
      <c r="G2337" s="245"/>
      <c r="H2337" s="245"/>
      <c r="I2337" s="245"/>
      <c r="J2337" s="245"/>
      <c r="K2337" s="245"/>
      <c r="L2337" s="246"/>
      <c r="M2337" s="245"/>
      <c r="N2337" s="245"/>
      <c r="O2337" s="245"/>
      <c r="P2337" s="245"/>
      <c r="Q2337" s="247"/>
      <c r="R2337" s="247"/>
      <c r="S2337" s="247"/>
      <c r="T2337" s="245"/>
      <c r="U2337" s="245"/>
      <c r="V2337" s="241"/>
      <c r="W2337" s="241"/>
      <c r="X2337" s="241"/>
    </row>
    <row r="2338" spans="1:24" ht="13.5" customHeight="1" x14ac:dyDescent="0.3">
      <c r="A2338" s="245"/>
      <c r="B2338" s="246"/>
      <c r="C2338" s="245"/>
      <c r="D2338" s="245"/>
      <c r="E2338" s="245"/>
      <c r="F2338" s="245"/>
      <c r="G2338" s="245"/>
      <c r="H2338" s="245"/>
      <c r="I2338" s="245"/>
      <c r="J2338" s="245"/>
      <c r="K2338" s="245"/>
      <c r="L2338" s="246"/>
      <c r="M2338" s="245"/>
      <c r="N2338" s="245"/>
      <c r="O2338" s="245"/>
      <c r="P2338" s="245"/>
      <c r="Q2338" s="247"/>
      <c r="R2338" s="247"/>
      <c r="S2338" s="247"/>
      <c r="T2338" s="245"/>
      <c r="U2338" s="245"/>
      <c r="V2338" s="241"/>
      <c r="W2338" s="241"/>
      <c r="X2338" s="241"/>
    </row>
    <row r="2339" spans="1:24" ht="13.5" customHeight="1" x14ac:dyDescent="0.3">
      <c r="A2339" s="245"/>
      <c r="B2339" s="246"/>
      <c r="C2339" s="245"/>
      <c r="D2339" s="245"/>
      <c r="E2339" s="245"/>
      <c r="F2339" s="245"/>
      <c r="G2339" s="245"/>
      <c r="H2339" s="245"/>
      <c r="I2339" s="245"/>
      <c r="J2339" s="245"/>
      <c r="K2339" s="245"/>
      <c r="L2339" s="246"/>
      <c r="M2339" s="245"/>
      <c r="N2339" s="245"/>
      <c r="O2339" s="245"/>
      <c r="P2339" s="245"/>
      <c r="Q2339" s="247"/>
      <c r="R2339" s="247"/>
      <c r="S2339" s="247"/>
      <c r="T2339" s="245"/>
      <c r="U2339" s="245"/>
      <c r="V2339" s="241"/>
      <c r="W2339" s="241"/>
      <c r="X2339" s="241"/>
    </row>
    <row r="2340" spans="1:24" ht="13.5" customHeight="1" x14ac:dyDescent="0.3">
      <c r="A2340" s="245"/>
      <c r="B2340" s="246"/>
      <c r="C2340" s="245"/>
      <c r="D2340" s="245"/>
      <c r="E2340" s="245"/>
      <c r="F2340" s="245"/>
      <c r="G2340" s="245"/>
      <c r="H2340" s="245"/>
      <c r="I2340" s="245"/>
      <c r="J2340" s="245"/>
      <c r="K2340" s="245"/>
      <c r="L2340" s="246"/>
      <c r="M2340" s="245"/>
      <c r="N2340" s="245"/>
      <c r="O2340" s="245"/>
      <c r="P2340" s="245"/>
      <c r="Q2340" s="247"/>
      <c r="R2340" s="247"/>
      <c r="S2340" s="247"/>
      <c r="T2340" s="245"/>
      <c r="U2340" s="245"/>
      <c r="V2340" s="241"/>
      <c r="W2340" s="241"/>
      <c r="X2340" s="241"/>
    </row>
    <row r="2341" spans="1:24" ht="13.5" customHeight="1" x14ac:dyDescent="0.3">
      <c r="A2341" s="245"/>
      <c r="B2341" s="246"/>
      <c r="C2341" s="245"/>
      <c r="D2341" s="245"/>
      <c r="E2341" s="245"/>
      <c r="F2341" s="245"/>
      <c r="G2341" s="245"/>
      <c r="H2341" s="245"/>
      <c r="I2341" s="245"/>
      <c r="J2341" s="245"/>
      <c r="K2341" s="245"/>
      <c r="L2341" s="246"/>
      <c r="M2341" s="245"/>
      <c r="N2341" s="245"/>
      <c r="O2341" s="245"/>
      <c r="P2341" s="245"/>
      <c r="Q2341" s="247"/>
      <c r="R2341" s="247"/>
      <c r="S2341" s="247"/>
      <c r="T2341" s="245"/>
      <c r="U2341" s="245"/>
      <c r="V2341" s="241"/>
      <c r="W2341" s="241"/>
      <c r="X2341" s="241"/>
    </row>
    <row r="2342" spans="1:24" ht="13.5" customHeight="1" x14ac:dyDescent="0.3">
      <c r="A2342" s="245"/>
      <c r="B2342" s="246"/>
      <c r="C2342" s="245"/>
      <c r="D2342" s="245"/>
      <c r="E2342" s="245"/>
      <c r="F2342" s="245"/>
      <c r="G2342" s="245"/>
      <c r="H2342" s="245"/>
      <c r="I2342" s="245"/>
      <c r="J2342" s="245"/>
      <c r="K2342" s="245"/>
      <c r="L2342" s="246"/>
      <c r="M2342" s="245"/>
      <c r="N2342" s="245"/>
      <c r="O2342" s="245"/>
      <c r="P2342" s="245"/>
      <c r="Q2342" s="247"/>
      <c r="R2342" s="247"/>
      <c r="S2342" s="247"/>
      <c r="T2342" s="245"/>
      <c r="U2342" s="245"/>
      <c r="V2342" s="241"/>
      <c r="W2342" s="241"/>
      <c r="X2342" s="241"/>
    </row>
    <row r="2343" spans="1:24" ht="13.5" customHeight="1" x14ac:dyDescent="0.3">
      <c r="A2343" s="245"/>
      <c r="B2343" s="246"/>
      <c r="C2343" s="245"/>
      <c r="D2343" s="245"/>
      <c r="E2343" s="245"/>
      <c r="F2343" s="245"/>
      <c r="G2343" s="245"/>
      <c r="H2343" s="245"/>
      <c r="I2343" s="245"/>
      <c r="J2343" s="245"/>
      <c r="K2343" s="245"/>
      <c r="L2343" s="246"/>
      <c r="M2343" s="245"/>
      <c r="N2343" s="245"/>
      <c r="O2343" s="245"/>
      <c r="P2343" s="245"/>
      <c r="Q2343" s="247"/>
      <c r="R2343" s="247"/>
      <c r="S2343" s="247"/>
      <c r="T2343" s="245"/>
      <c r="U2343" s="245"/>
      <c r="V2343" s="241"/>
      <c r="W2343" s="241"/>
      <c r="X2343" s="241"/>
    </row>
    <row r="2344" spans="1:24" ht="13.5" customHeight="1" x14ac:dyDescent="0.3">
      <c r="A2344" s="245"/>
      <c r="B2344" s="246"/>
      <c r="C2344" s="245"/>
      <c r="D2344" s="245"/>
      <c r="E2344" s="245"/>
      <c r="F2344" s="245"/>
      <c r="G2344" s="245"/>
      <c r="H2344" s="245"/>
      <c r="I2344" s="245"/>
      <c r="J2344" s="245"/>
      <c r="K2344" s="245"/>
      <c r="L2344" s="246"/>
      <c r="M2344" s="245"/>
      <c r="N2344" s="245"/>
      <c r="O2344" s="245"/>
      <c r="P2344" s="245"/>
      <c r="Q2344" s="247"/>
      <c r="R2344" s="247"/>
      <c r="S2344" s="247"/>
      <c r="T2344" s="245"/>
      <c r="U2344" s="245"/>
      <c r="V2344" s="241"/>
      <c r="W2344" s="241"/>
      <c r="X2344" s="241"/>
    </row>
    <row r="2345" spans="1:24" ht="13.5" customHeight="1" x14ac:dyDescent="0.3">
      <c r="A2345" s="245"/>
      <c r="B2345" s="246"/>
      <c r="C2345" s="245"/>
      <c r="D2345" s="245"/>
      <c r="E2345" s="245"/>
      <c r="F2345" s="245"/>
      <c r="G2345" s="245"/>
      <c r="H2345" s="245"/>
      <c r="I2345" s="245"/>
      <c r="J2345" s="245"/>
      <c r="K2345" s="245"/>
      <c r="L2345" s="246"/>
      <c r="M2345" s="245"/>
      <c r="N2345" s="245"/>
      <c r="O2345" s="245"/>
      <c r="P2345" s="245"/>
      <c r="Q2345" s="247"/>
      <c r="R2345" s="247"/>
      <c r="S2345" s="247"/>
      <c r="T2345" s="245"/>
      <c r="U2345" s="245"/>
      <c r="V2345" s="241"/>
      <c r="W2345" s="241"/>
      <c r="X2345" s="241"/>
    </row>
    <row r="2346" spans="1:24" ht="13.5" customHeight="1" x14ac:dyDescent="0.3">
      <c r="A2346" s="245"/>
      <c r="B2346" s="246"/>
      <c r="C2346" s="245"/>
      <c r="D2346" s="245"/>
      <c r="E2346" s="245"/>
      <c r="F2346" s="245"/>
      <c r="G2346" s="245"/>
      <c r="H2346" s="245"/>
      <c r="I2346" s="245"/>
      <c r="J2346" s="245"/>
      <c r="K2346" s="245"/>
      <c r="L2346" s="246"/>
      <c r="M2346" s="245"/>
      <c r="N2346" s="245"/>
      <c r="O2346" s="245"/>
      <c r="P2346" s="245"/>
      <c r="Q2346" s="247"/>
      <c r="R2346" s="247"/>
      <c r="S2346" s="247"/>
      <c r="T2346" s="245"/>
      <c r="U2346" s="245"/>
      <c r="V2346" s="241"/>
      <c r="W2346" s="241"/>
      <c r="X2346" s="241"/>
    </row>
    <row r="2347" spans="1:24" ht="13.5" customHeight="1" x14ac:dyDescent="0.3">
      <c r="A2347" s="245"/>
      <c r="B2347" s="246"/>
      <c r="C2347" s="245"/>
      <c r="D2347" s="245"/>
      <c r="E2347" s="245"/>
      <c r="F2347" s="245"/>
      <c r="G2347" s="245"/>
      <c r="H2347" s="245"/>
      <c r="I2347" s="245"/>
      <c r="J2347" s="245"/>
      <c r="K2347" s="245"/>
      <c r="L2347" s="246"/>
      <c r="M2347" s="245"/>
      <c r="N2347" s="245"/>
      <c r="O2347" s="245"/>
      <c r="P2347" s="245"/>
      <c r="Q2347" s="247"/>
      <c r="R2347" s="247"/>
      <c r="S2347" s="247"/>
      <c r="T2347" s="245"/>
      <c r="U2347" s="245"/>
      <c r="V2347" s="241"/>
      <c r="W2347" s="241"/>
      <c r="X2347" s="241"/>
    </row>
    <row r="2348" spans="1:24" ht="13.5" customHeight="1" x14ac:dyDescent="0.3">
      <c r="A2348" s="245"/>
      <c r="B2348" s="246"/>
      <c r="C2348" s="245"/>
      <c r="D2348" s="245"/>
      <c r="E2348" s="245"/>
      <c r="F2348" s="245"/>
      <c r="G2348" s="245"/>
      <c r="H2348" s="245"/>
      <c r="I2348" s="245"/>
      <c r="J2348" s="245"/>
      <c r="K2348" s="245"/>
      <c r="L2348" s="246"/>
      <c r="M2348" s="245"/>
      <c r="N2348" s="245"/>
      <c r="O2348" s="245"/>
      <c r="P2348" s="245"/>
      <c r="Q2348" s="247"/>
      <c r="R2348" s="247"/>
      <c r="S2348" s="247"/>
      <c r="T2348" s="245"/>
      <c r="U2348" s="245"/>
      <c r="V2348" s="241"/>
      <c r="W2348" s="241"/>
      <c r="X2348" s="241"/>
    </row>
    <row r="2349" spans="1:24" ht="13.5" customHeight="1" x14ac:dyDescent="0.3">
      <c r="A2349" s="245"/>
      <c r="B2349" s="246"/>
      <c r="C2349" s="245"/>
      <c r="D2349" s="245"/>
      <c r="E2349" s="245"/>
      <c r="F2349" s="245"/>
      <c r="G2349" s="245"/>
      <c r="H2349" s="245"/>
      <c r="I2349" s="245"/>
      <c r="J2349" s="245"/>
      <c r="K2349" s="245"/>
      <c r="L2349" s="246"/>
      <c r="M2349" s="245"/>
      <c r="N2349" s="245"/>
      <c r="O2349" s="245"/>
      <c r="P2349" s="245"/>
      <c r="Q2349" s="247"/>
      <c r="R2349" s="247"/>
      <c r="S2349" s="247"/>
      <c r="T2349" s="245"/>
      <c r="U2349" s="245"/>
      <c r="V2349" s="241"/>
      <c r="W2349" s="241"/>
      <c r="X2349" s="241"/>
    </row>
    <row r="2350" spans="1:24" ht="13.5" customHeight="1" x14ac:dyDescent="0.3">
      <c r="A2350" s="245"/>
      <c r="B2350" s="246"/>
      <c r="C2350" s="245"/>
      <c r="D2350" s="245"/>
      <c r="E2350" s="245"/>
      <c r="F2350" s="245"/>
      <c r="G2350" s="245"/>
      <c r="H2350" s="245"/>
      <c r="I2350" s="245"/>
      <c r="J2350" s="245"/>
      <c r="K2350" s="245"/>
      <c r="L2350" s="246"/>
      <c r="M2350" s="245"/>
      <c r="N2350" s="245"/>
      <c r="O2350" s="245"/>
      <c r="P2350" s="245"/>
      <c r="Q2350" s="247"/>
      <c r="R2350" s="247"/>
      <c r="S2350" s="247"/>
      <c r="T2350" s="245"/>
      <c r="U2350" s="245"/>
      <c r="V2350" s="241"/>
      <c r="W2350" s="241"/>
      <c r="X2350" s="241"/>
    </row>
    <row r="2351" spans="1:24" ht="13.5" customHeight="1" x14ac:dyDescent="0.3">
      <c r="A2351" s="245"/>
      <c r="B2351" s="246"/>
      <c r="C2351" s="245"/>
      <c r="D2351" s="245"/>
      <c r="E2351" s="245"/>
      <c r="F2351" s="245"/>
      <c r="G2351" s="245"/>
      <c r="H2351" s="245"/>
      <c r="I2351" s="245"/>
      <c r="J2351" s="245"/>
      <c r="K2351" s="245"/>
      <c r="L2351" s="246"/>
      <c r="M2351" s="245"/>
      <c r="N2351" s="245"/>
      <c r="O2351" s="245"/>
      <c r="P2351" s="245"/>
      <c r="Q2351" s="247"/>
      <c r="R2351" s="247"/>
      <c r="S2351" s="247"/>
      <c r="T2351" s="245"/>
      <c r="U2351" s="245"/>
      <c r="V2351" s="241"/>
      <c r="W2351" s="241"/>
      <c r="X2351" s="241"/>
    </row>
    <row r="2352" spans="1:24" ht="13.5" customHeight="1" x14ac:dyDescent="0.3">
      <c r="A2352" s="245"/>
      <c r="B2352" s="246"/>
      <c r="C2352" s="245"/>
      <c r="D2352" s="245"/>
      <c r="E2352" s="245"/>
      <c r="F2352" s="245"/>
      <c r="G2352" s="245"/>
      <c r="H2352" s="245"/>
      <c r="I2352" s="245"/>
      <c r="J2352" s="245"/>
      <c r="K2352" s="245"/>
      <c r="L2352" s="246"/>
      <c r="M2352" s="245"/>
      <c r="N2352" s="245"/>
      <c r="O2352" s="245"/>
      <c r="P2352" s="245"/>
      <c r="Q2352" s="247"/>
      <c r="R2352" s="247"/>
      <c r="S2352" s="247"/>
      <c r="T2352" s="245"/>
      <c r="U2352" s="245"/>
      <c r="V2352" s="241"/>
      <c r="W2352" s="241"/>
      <c r="X2352" s="241"/>
    </row>
    <row r="2353" spans="1:24" ht="13.5" customHeight="1" x14ac:dyDescent="0.3">
      <c r="A2353" s="245"/>
      <c r="B2353" s="246"/>
      <c r="C2353" s="245"/>
      <c r="D2353" s="245"/>
      <c r="E2353" s="245"/>
      <c r="F2353" s="245"/>
      <c r="G2353" s="245"/>
      <c r="H2353" s="245"/>
      <c r="I2353" s="245"/>
      <c r="J2353" s="245"/>
      <c r="K2353" s="245"/>
      <c r="L2353" s="246"/>
      <c r="M2353" s="245"/>
      <c r="N2353" s="245"/>
      <c r="O2353" s="245"/>
      <c r="P2353" s="245"/>
      <c r="Q2353" s="247"/>
      <c r="R2353" s="247"/>
      <c r="S2353" s="247"/>
      <c r="T2353" s="245"/>
      <c r="U2353" s="245"/>
      <c r="V2353" s="241"/>
      <c r="W2353" s="241"/>
      <c r="X2353" s="241"/>
    </row>
    <row r="2354" spans="1:24" ht="13.5" customHeight="1" x14ac:dyDescent="0.3">
      <c r="A2354" s="245"/>
      <c r="B2354" s="246"/>
      <c r="C2354" s="245"/>
      <c r="D2354" s="245"/>
      <c r="E2354" s="245"/>
      <c r="F2354" s="245"/>
      <c r="G2354" s="245"/>
      <c r="H2354" s="245"/>
      <c r="I2354" s="245"/>
      <c r="J2354" s="245"/>
      <c r="K2354" s="245"/>
      <c r="L2354" s="246"/>
      <c r="M2354" s="245"/>
      <c r="N2354" s="245"/>
      <c r="O2354" s="245"/>
      <c r="P2354" s="245"/>
      <c r="Q2354" s="247"/>
      <c r="R2354" s="247"/>
      <c r="S2354" s="247"/>
      <c r="T2354" s="245"/>
      <c r="U2354" s="245"/>
      <c r="V2354" s="241"/>
      <c r="W2354" s="241"/>
      <c r="X2354" s="241"/>
    </row>
    <row r="2355" spans="1:24" ht="13.5" customHeight="1" x14ac:dyDescent="0.3">
      <c r="A2355" s="245"/>
      <c r="B2355" s="246"/>
      <c r="C2355" s="245"/>
      <c r="D2355" s="245"/>
      <c r="E2355" s="245"/>
      <c r="F2355" s="245"/>
      <c r="G2355" s="245"/>
      <c r="H2355" s="245"/>
      <c r="I2355" s="245"/>
      <c r="J2355" s="245"/>
      <c r="K2355" s="245"/>
      <c r="L2355" s="246"/>
      <c r="M2355" s="245"/>
      <c r="N2355" s="245"/>
      <c r="O2355" s="245"/>
      <c r="P2355" s="245"/>
      <c r="Q2355" s="247"/>
      <c r="R2355" s="247"/>
      <c r="S2355" s="247"/>
      <c r="T2355" s="245"/>
      <c r="U2355" s="245"/>
      <c r="V2355" s="241"/>
      <c r="W2355" s="241"/>
      <c r="X2355" s="241"/>
    </row>
    <row r="2356" spans="1:24" ht="13.5" customHeight="1" x14ac:dyDescent="0.3">
      <c r="A2356" s="245"/>
      <c r="B2356" s="246"/>
      <c r="C2356" s="245"/>
      <c r="D2356" s="245"/>
      <c r="E2356" s="245"/>
      <c r="F2356" s="245"/>
      <c r="G2356" s="245"/>
      <c r="H2356" s="245"/>
      <c r="I2356" s="245"/>
      <c r="J2356" s="245"/>
      <c r="K2356" s="245"/>
      <c r="L2356" s="246"/>
      <c r="M2356" s="245"/>
      <c r="N2356" s="245"/>
      <c r="O2356" s="245"/>
      <c r="P2356" s="245"/>
      <c r="Q2356" s="247"/>
      <c r="R2356" s="247"/>
      <c r="S2356" s="247"/>
      <c r="T2356" s="245"/>
      <c r="U2356" s="245"/>
      <c r="V2356" s="241"/>
      <c r="W2356" s="241"/>
      <c r="X2356" s="241"/>
    </row>
    <row r="2357" spans="1:24" ht="13.5" customHeight="1" x14ac:dyDescent="0.3">
      <c r="A2357" s="245"/>
      <c r="B2357" s="246"/>
      <c r="C2357" s="245"/>
      <c r="D2357" s="245"/>
      <c r="E2357" s="245"/>
      <c r="F2357" s="245"/>
      <c r="G2357" s="245"/>
      <c r="H2357" s="245"/>
      <c r="I2357" s="245"/>
      <c r="J2357" s="245"/>
      <c r="K2357" s="245"/>
      <c r="L2357" s="246"/>
      <c r="M2357" s="245"/>
      <c r="N2357" s="245"/>
      <c r="O2357" s="245"/>
      <c r="P2357" s="245"/>
      <c r="Q2357" s="247"/>
      <c r="R2357" s="247"/>
      <c r="S2357" s="247"/>
      <c r="T2357" s="245"/>
      <c r="U2357" s="245"/>
      <c r="V2357" s="241"/>
      <c r="W2357" s="241"/>
      <c r="X2357" s="241"/>
    </row>
    <row r="2358" spans="1:24" ht="13.5" customHeight="1" x14ac:dyDescent="0.3">
      <c r="A2358" s="245"/>
      <c r="B2358" s="246"/>
      <c r="C2358" s="245"/>
      <c r="D2358" s="245"/>
      <c r="E2358" s="245"/>
      <c r="F2358" s="245"/>
      <c r="G2358" s="245"/>
      <c r="H2358" s="245"/>
      <c r="I2358" s="245"/>
      <c r="J2358" s="245"/>
      <c r="K2358" s="245"/>
      <c r="L2358" s="246"/>
      <c r="M2358" s="245"/>
      <c r="N2358" s="245"/>
      <c r="O2358" s="245"/>
      <c r="P2358" s="245"/>
      <c r="Q2358" s="247"/>
      <c r="R2358" s="247"/>
      <c r="S2358" s="247"/>
      <c r="T2358" s="245"/>
      <c r="U2358" s="245"/>
      <c r="V2358" s="241"/>
      <c r="W2358" s="241"/>
      <c r="X2358" s="241"/>
    </row>
    <row r="2359" spans="1:24" ht="13.5" customHeight="1" x14ac:dyDescent="0.3">
      <c r="A2359" s="245"/>
      <c r="B2359" s="246"/>
      <c r="C2359" s="245"/>
      <c r="D2359" s="245"/>
      <c r="E2359" s="245"/>
      <c r="F2359" s="245"/>
      <c r="G2359" s="245"/>
      <c r="H2359" s="245"/>
      <c r="I2359" s="245"/>
      <c r="J2359" s="245"/>
      <c r="K2359" s="245"/>
      <c r="L2359" s="246"/>
      <c r="M2359" s="245"/>
      <c r="N2359" s="245"/>
      <c r="O2359" s="245"/>
      <c r="P2359" s="245"/>
      <c r="Q2359" s="247"/>
      <c r="R2359" s="247"/>
      <c r="S2359" s="247"/>
      <c r="T2359" s="245"/>
      <c r="U2359" s="245"/>
      <c r="V2359" s="241"/>
      <c r="W2359" s="241"/>
      <c r="X2359" s="241"/>
    </row>
    <row r="2360" spans="1:24" ht="13.5" customHeight="1" x14ac:dyDescent="0.3">
      <c r="A2360" s="245"/>
      <c r="B2360" s="246"/>
      <c r="C2360" s="245"/>
      <c r="D2360" s="245"/>
      <c r="E2360" s="245"/>
      <c r="F2360" s="245"/>
      <c r="G2360" s="245"/>
      <c r="H2360" s="245"/>
      <c r="I2360" s="245"/>
      <c r="J2360" s="245"/>
      <c r="K2360" s="245"/>
      <c r="L2360" s="246"/>
      <c r="M2360" s="245"/>
      <c r="N2360" s="245"/>
      <c r="O2360" s="245"/>
      <c r="P2360" s="245"/>
      <c r="Q2360" s="247"/>
      <c r="R2360" s="247"/>
      <c r="S2360" s="247"/>
      <c r="T2360" s="245"/>
      <c r="U2360" s="245"/>
      <c r="V2360" s="241"/>
      <c r="W2360" s="241"/>
      <c r="X2360" s="241"/>
    </row>
    <row r="2361" spans="1:24" ht="13.5" customHeight="1" x14ac:dyDescent="0.3">
      <c r="A2361" s="245"/>
      <c r="B2361" s="246"/>
      <c r="C2361" s="245"/>
      <c r="D2361" s="245"/>
      <c r="E2361" s="245"/>
      <c r="F2361" s="245"/>
      <c r="G2361" s="245"/>
      <c r="H2361" s="245"/>
      <c r="I2361" s="245"/>
      <c r="J2361" s="245"/>
      <c r="K2361" s="245"/>
      <c r="L2361" s="246"/>
      <c r="M2361" s="245"/>
      <c r="N2361" s="245"/>
      <c r="O2361" s="245"/>
      <c r="P2361" s="245"/>
      <c r="Q2361" s="247"/>
      <c r="R2361" s="247"/>
      <c r="S2361" s="247"/>
      <c r="T2361" s="245"/>
      <c r="U2361" s="245"/>
      <c r="V2361" s="241"/>
      <c r="W2361" s="241"/>
      <c r="X2361" s="241"/>
    </row>
    <row r="2362" spans="1:24" ht="13.5" customHeight="1" x14ac:dyDescent="0.3">
      <c r="A2362" s="245"/>
      <c r="B2362" s="246"/>
      <c r="C2362" s="245"/>
      <c r="D2362" s="245"/>
      <c r="E2362" s="245"/>
      <c r="F2362" s="245"/>
      <c r="G2362" s="245"/>
      <c r="H2362" s="245"/>
      <c r="I2362" s="245"/>
      <c r="J2362" s="245"/>
      <c r="K2362" s="245"/>
      <c r="L2362" s="246"/>
      <c r="M2362" s="245"/>
      <c r="N2362" s="245"/>
      <c r="O2362" s="245"/>
      <c r="P2362" s="245"/>
      <c r="Q2362" s="247"/>
      <c r="R2362" s="247"/>
      <c r="S2362" s="247"/>
      <c r="T2362" s="245"/>
      <c r="U2362" s="245"/>
      <c r="V2362" s="241"/>
      <c r="W2362" s="241"/>
      <c r="X2362" s="241"/>
    </row>
    <row r="2363" spans="1:24" ht="13.5" customHeight="1" x14ac:dyDescent="0.3">
      <c r="A2363" s="245"/>
      <c r="B2363" s="246"/>
      <c r="C2363" s="245"/>
      <c r="D2363" s="245"/>
      <c r="E2363" s="245"/>
      <c r="F2363" s="245"/>
      <c r="G2363" s="245"/>
      <c r="H2363" s="245"/>
      <c r="I2363" s="245"/>
      <c r="J2363" s="245"/>
      <c r="K2363" s="245"/>
      <c r="L2363" s="246"/>
      <c r="M2363" s="245"/>
      <c r="N2363" s="245"/>
      <c r="O2363" s="245"/>
      <c r="P2363" s="245"/>
      <c r="Q2363" s="247"/>
      <c r="R2363" s="247"/>
      <c r="S2363" s="247"/>
      <c r="T2363" s="245"/>
      <c r="U2363" s="245"/>
      <c r="V2363" s="241"/>
      <c r="W2363" s="241"/>
      <c r="X2363" s="241"/>
    </row>
    <row r="2364" spans="1:24" ht="13.5" customHeight="1" x14ac:dyDescent="0.3">
      <c r="A2364" s="245"/>
      <c r="B2364" s="246"/>
      <c r="C2364" s="245"/>
      <c r="D2364" s="245"/>
      <c r="E2364" s="245"/>
      <c r="F2364" s="245"/>
      <c r="G2364" s="245"/>
      <c r="H2364" s="245"/>
      <c r="I2364" s="245"/>
      <c r="J2364" s="245"/>
      <c r="K2364" s="245"/>
      <c r="L2364" s="246"/>
      <c r="M2364" s="245"/>
      <c r="N2364" s="245"/>
      <c r="O2364" s="245"/>
      <c r="P2364" s="245"/>
      <c r="Q2364" s="247"/>
      <c r="R2364" s="247"/>
      <c r="S2364" s="247"/>
      <c r="T2364" s="245"/>
      <c r="U2364" s="245"/>
      <c r="V2364" s="241"/>
      <c r="W2364" s="241"/>
      <c r="X2364" s="241"/>
    </row>
    <row r="2365" spans="1:24" ht="13.5" customHeight="1" x14ac:dyDescent="0.3">
      <c r="A2365" s="245"/>
      <c r="B2365" s="246"/>
      <c r="C2365" s="245"/>
      <c r="D2365" s="245"/>
      <c r="E2365" s="245"/>
      <c r="F2365" s="245"/>
      <c r="G2365" s="245"/>
      <c r="H2365" s="245"/>
      <c r="I2365" s="245"/>
      <c r="J2365" s="245"/>
      <c r="K2365" s="245"/>
      <c r="L2365" s="246"/>
      <c r="M2365" s="245"/>
      <c r="N2365" s="245"/>
      <c r="O2365" s="245"/>
      <c r="P2365" s="245"/>
      <c r="Q2365" s="247"/>
      <c r="R2365" s="247"/>
      <c r="S2365" s="247"/>
      <c r="T2365" s="245"/>
      <c r="U2365" s="245"/>
      <c r="V2365" s="241"/>
      <c r="W2365" s="241"/>
      <c r="X2365" s="241"/>
    </row>
    <row r="2366" spans="1:24" ht="13.5" customHeight="1" x14ac:dyDescent="0.3">
      <c r="A2366" s="245"/>
      <c r="B2366" s="246"/>
      <c r="C2366" s="245"/>
      <c r="D2366" s="245"/>
      <c r="E2366" s="245"/>
      <c r="F2366" s="245"/>
      <c r="G2366" s="245"/>
      <c r="H2366" s="245"/>
      <c r="I2366" s="245"/>
      <c r="J2366" s="245"/>
      <c r="K2366" s="245"/>
      <c r="L2366" s="246"/>
      <c r="M2366" s="245"/>
      <c r="N2366" s="245"/>
      <c r="O2366" s="245"/>
      <c r="P2366" s="245"/>
      <c r="Q2366" s="247"/>
      <c r="R2366" s="247"/>
      <c r="S2366" s="247"/>
      <c r="T2366" s="245"/>
      <c r="U2366" s="245"/>
      <c r="V2366" s="241"/>
      <c r="W2366" s="241"/>
      <c r="X2366" s="241"/>
    </row>
    <row r="2367" spans="1:24" ht="13.5" customHeight="1" x14ac:dyDescent="0.3">
      <c r="A2367" s="245"/>
      <c r="B2367" s="246"/>
      <c r="C2367" s="245"/>
      <c r="D2367" s="245"/>
      <c r="E2367" s="245"/>
      <c r="F2367" s="245"/>
      <c r="G2367" s="245"/>
      <c r="H2367" s="245"/>
      <c r="I2367" s="245"/>
      <c r="J2367" s="245"/>
      <c r="K2367" s="245"/>
      <c r="L2367" s="246"/>
      <c r="M2367" s="245"/>
      <c r="N2367" s="245"/>
      <c r="O2367" s="245"/>
      <c r="P2367" s="245"/>
      <c r="Q2367" s="247"/>
      <c r="R2367" s="247"/>
      <c r="S2367" s="247"/>
      <c r="T2367" s="245"/>
      <c r="U2367" s="245"/>
      <c r="V2367" s="241"/>
      <c r="W2367" s="241"/>
      <c r="X2367" s="241"/>
    </row>
    <row r="2368" spans="1:24" ht="13.5" customHeight="1" x14ac:dyDescent="0.3">
      <c r="A2368" s="245"/>
      <c r="B2368" s="246"/>
      <c r="C2368" s="245"/>
      <c r="D2368" s="245"/>
      <c r="E2368" s="245"/>
      <c r="F2368" s="245"/>
      <c r="G2368" s="245"/>
      <c r="H2368" s="245"/>
      <c r="I2368" s="245"/>
      <c r="J2368" s="245"/>
      <c r="K2368" s="245"/>
      <c r="L2368" s="246"/>
      <c r="M2368" s="245"/>
      <c r="N2368" s="245"/>
      <c r="O2368" s="245"/>
      <c r="P2368" s="245"/>
      <c r="Q2368" s="247"/>
      <c r="R2368" s="247"/>
      <c r="S2368" s="247"/>
      <c r="T2368" s="245"/>
      <c r="U2368" s="245"/>
      <c r="V2368" s="241"/>
      <c r="W2368" s="241"/>
      <c r="X2368" s="241"/>
    </row>
    <row r="2369" spans="1:24" ht="13.5" customHeight="1" x14ac:dyDescent="0.3">
      <c r="A2369" s="245"/>
      <c r="B2369" s="246"/>
      <c r="C2369" s="245"/>
      <c r="D2369" s="245"/>
      <c r="E2369" s="245"/>
      <c r="F2369" s="245"/>
      <c r="G2369" s="245"/>
      <c r="H2369" s="245"/>
      <c r="I2369" s="245"/>
      <c r="J2369" s="245"/>
      <c r="K2369" s="245"/>
      <c r="L2369" s="246"/>
      <c r="M2369" s="245"/>
      <c r="N2369" s="245"/>
      <c r="O2369" s="245"/>
      <c r="P2369" s="245"/>
      <c r="Q2369" s="247"/>
      <c r="R2369" s="247"/>
      <c r="S2369" s="247"/>
      <c r="T2369" s="245"/>
      <c r="U2369" s="245"/>
      <c r="V2369" s="241"/>
      <c r="W2369" s="241"/>
      <c r="X2369" s="241"/>
    </row>
    <row r="2370" spans="1:24" ht="13.5" customHeight="1" x14ac:dyDescent="0.3">
      <c r="A2370" s="245"/>
      <c r="B2370" s="246"/>
      <c r="C2370" s="245"/>
      <c r="D2370" s="245"/>
      <c r="E2370" s="245"/>
      <c r="F2370" s="245"/>
      <c r="G2370" s="245"/>
      <c r="H2370" s="245"/>
      <c r="I2370" s="245"/>
      <c r="J2370" s="245"/>
      <c r="K2370" s="245"/>
      <c r="L2370" s="246"/>
      <c r="M2370" s="245"/>
      <c r="N2370" s="245"/>
      <c r="O2370" s="245"/>
      <c r="P2370" s="245"/>
      <c r="Q2370" s="247"/>
      <c r="R2370" s="247"/>
      <c r="S2370" s="247"/>
      <c r="T2370" s="245"/>
      <c r="U2370" s="245"/>
      <c r="V2370" s="241"/>
      <c r="W2370" s="241"/>
      <c r="X2370" s="241"/>
    </row>
    <row r="2371" spans="1:24" ht="13.5" customHeight="1" x14ac:dyDescent="0.3">
      <c r="A2371" s="245"/>
      <c r="B2371" s="246"/>
      <c r="C2371" s="245"/>
      <c r="D2371" s="245"/>
      <c r="E2371" s="245"/>
      <c r="F2371" s="245"/>
      <c r="G2371" s="245"/>
      <c r="H2371" s="245"/>
      <c r="I2371" s="245"/>
      <c r="J2371" s="245"/>
      <c r="K2371" s="245"/>
      <c r="L2371" s="246"/>
      <c r="M2371" s="245"/>
      <c r="N2371" s="245"/>
      <c r="O2371" s="245"/>
      <c r="P2371" s="245"/>
      <c r="Q2371" s="247"/>
      <c r="R2371" s="247"/>
      <c r="S2371" s="247"/>
      <c r="T2371" s="245"/>
      <c r="U2371" s="245"/>
      <c r="V2371" s="241"/>
      <c r="W2371" s="241"/>
      <c r="X2371" s="241"/>
    </row>
    <row r="2372" spans="1:24" ht="13.5" customHeight="1" x14ac:dyDescent="0.3">
      <c r="A2372" s="245"/>
      <c r="B2372" s="246"/>
      <c r="C2372" s="245"/>
      <c r="D2372" s="245"/>
      <c r="E2372" s="245"/>
      <c r="F2372" s="245"/>
      <c r="G2372" s="245"/>
      <c r="H2372" s="245"/>
      <c r="I2372" s="245"/>
      <c r="J2372" s="245"/>
      <c r="K2372" s="245"/>
      <c r="L2372" s="246"/>
      <c r="M2372" s="245"/>
      <c r="N2372" s="245"/>
      <c r="O2372" s="245"/>
      <c r="P2372" s="245"/>
      <c r="Q2372" s="247"/>
      <c r="R2372" s="247"/>
      <c r="S2372" s="247"/>
      <c r="T2372" s="245"/>
      <c r="U2372" s="245"/>
      <c r="V2372" s="241"/>
      <c r="W2372" s="241"/>
      <c r="X2372" s="241"/>
    </row>
    <row r="2373" spans="1:24" ht="13.5" customHeight="1" x14ac:dyDescent="0.3">
      <c r="A2373" s="245"/>
      <c r="B2373" s="246"/>
      <c r="C2373" s="245"/>
      <c r="D2373" s="245"/>
      <c r="E2373" s="245"/>
      <c r="F2373" s="245"/>
      <c r="G2373" s="245"/>
      <c r="H2373" s="245"/>
      <c r="I2373" s="245"/>
      <c r="J2373" s="245"/>
      <c r="K2373" s="245"/>
      <c r="L2373" s="246"/>
      <c r="M2373" s="245"/>
      <c r="N2373" s="245"/>
      <c r="O2373" s="245"/>
      <c r="P2373" s="245"/>
      <c r="Q2373" s="247"/>
      <c r="R2373" s="247"/>
      <c r="S2373" s="247"/>
      <c r="T2373" s="245"/>
      <c r="U2373" s="245"/>
      <c r="V2373" s="241"/>
      <c r="W2373" s="241"/>
      <c r="X2373" s="241"/>
    </row>
    <row r="2374" spans="1:24" ht="13.5" customHeight="1" x14ac:dyDescent="0.3">
      <c r="A2374" s="245"/>
      <c r="B2374" s="246"/>
      <c r="C2374" s="245"/>
      <c r="D2374" s="245"/>
      <c r="E2374" s="245"/>
      <c r="F2374" s="245"/>
      <c r="G2374" s="245"/>
      <c r="H2374" s="245"/>
      <c r="I2374" s="245"/>
      <c r="J2374" s="245"/>
      <c r="K2374" s="245"/>
      <c r="L2374" s="246"/>
      <c r="M2374" s="245"/>
      <c r="N2374" s="245"/>
      <c r="O2374" s="245"/>
      <c r="P2374" s="245"/>
      <c r="Q2374" s="247"/>
      <c r="R2374" s="247"/>
      <c r="S2374" s="247"/>
      <c r="T2374" s="245"/>
      <c r="U2374" s="245"/>
      <c r="V2374" s="241"/>
      <c r="W2374" s="241"/>
      <c r="X2374" s="241"/>
    </row>
    <row r="2375" spans="1:24" ht="13.5" customHeight="1" x14ac:dyDescent="0.3">
      <c r="A2375" s="245"/>
      <c r="B2375" s="246"/>
      <c r="C2375" s="245"/>
      <c r="D2375" s="245"/>
      <c r="E2375" s="245"/>
      <c r="F2375" s="245"/>
      <c r="G2375" s="245"/>
      <c r="H2375" s="245"/>
      <c r="I2375" s="245"/>
      <c r="J2375" s="245"/>
      <c r="K2375" s="245"/>
      <c r="L2375" s="246"/>
      <c r="M2375" s="245"/>
      <c r="N2375" s="245"/>
      <c r="O2375" s="245"/>
      <c r="P2375" s="245"/>
      <c r="Q2375" s="247"/>
      <c r="R2375" s="247"/>
      <c r="S2375" s="247"/>
      <c r="T2375" s="245"/>
      <c r="U2375" s="245"/>
      <c r="V2375" s="241"/>
      <c r="W2375" s="241"/>
      <c r="X2375" s="241"/>
    </row>
    <row r="2376" spans="1:24" ht="13.5" customHeight="1" x14ac:dyDescent="0.3">
      <c r="A2376" s="245"/>
      <c r="B2376" s="246"/>
      <c r="C2376" s="245"/>
      <c r="D2376" s="245"/>
      <c r="E2376" s="245"/>
      <c r="F2376" s="245"/>
      <c r="G2376" s="245"/>
      <c r="H2376" s="245"/>
      <c r="I2376" s="245"/>
      <c r="J2376" s="245"/>
      <c r="K2376" s="245"/>
      <c r="L2376" s="246"/>
      <c r="M2376" s="245"/>
      <c r="N2376" s="245"/>
      <c r="O2376" s="245"/>
      <c r="P2376" s="245"/>
      <c r="Q2376" s="247"/>
      <c r="R2376" s="247"/>
      <c r="S2376" s="247"/>
      <c r="T2376" s="245"/>
      <c r="U2376" s="245"/>
      <c r="V2376" s="241"/>
      <c r="W2376" s="241"/>
      <c r="X2376" s="241"/>
    </row>
    <row r="2377" spans="1:24" ht="13.5" customHeight="1" x14ac:dyDescent="0.3">
      <c r="A2377" s="245"/>
      <c r="B2377" s="246"/>
      <c r="C2377" s="245"/>
      <c r="D2377" s="245"/>
      <c r="E2377" s="245"/>
      <c r="F2377" s="245"/>
      <c r="G2377" s="245"/>
      <c r="H2377" s="245"/>
      <c r="I2377" s="245"/>
      <c r="J2377" s="245"/>
      <c r="K2377" s="245"/>
      <c r="L2377" s="246"/>
      <c r="M2377" s="245"/>
      <c r="N2377" s="245"/>
      <c r="O2377" s="245"/>
      <c r="P2377" s="245"/>
      <c r="Q2377" s="247"/>
      <c r="R2377" s="247"/>
      <c r="S2377" s="247"/>
      <c r="T2377" s="245"/>
      <c r="U2377" s="245"/>
      <c r="V2377" s="241"/>
      <c r="W2377" s="241"/>
      <c r="X2377" s="241"/>
    </row>
    <row r="2378" spans="1:24" ht="13.5" customHeight="1" x14ac:dyDescent="0.3">
      <c r="A2378" s="245"/>
      <c r="B2378" s="246"/>
      <c r="C2378" s="245"/>
      <c r="D2378" s="245"/>
      <c r="E2378" s="245"/>
      <c r="F2378" s="245"/>
      <c r="G2378" s="245"/>
      <c r="H2378" s="245"/>
      <c r="I2378" s="245"/>
      <c r="J2378" s="245"/>
      <c r="K2378" s="245"/>
      <c r="L2378" s="246"/>
      <c r="M2378" s="245"/>
      <c r="N2378" s="245"/>
      <c r="O2378" s="245"/>
      <c r="P2378" s="245"/>
      <c r="Q2378" s="247"/>
      <c r="R2378" s="247"/>
      <c r="S2378" s="247"/>
      <c r="T2378" s="245"/>
      <c r="U2378" s="245"/>
      <c r="V2378" s="241"/>
      <c r="W2378" s="241"/>
      <c r="X2378" s="241"/>
    </row>
    <row r="2379" spans="1:24" ht="13.5" customHeight="1" x14ac:dyDescent="0.3">
      <c r="A2379" s="245"/>
      <c r="B2379" s="246"/>
      <c r="C2379" s="245"/>
      <c r="D2379" s="245"/>
      <c r="E2379" s="245"/>
      <c r="F2379" s="245"/>
      <c r="G2379" s="245"/>
      <c r="H2379" s="245"/>
      <c r="I2379" s="245"/>
      <c r="J2379" s="245"/>
      <c r="K2379" s="245"/>
      <c r="L2379" s="246"/>
      <c r="M2379" s="245"/>
      <c r="N2379" s="245"/>
      <c r="O2379" s="245"/>
      <c r="P2379" s="245"/>
      <c r="Q2379" s="247"/>
      <c r="R2379" s="247"/>
      <c r="S2379" s="247"/>
      <c r="T2379" s="245"/>
      <c r="U2379" s="245"/>
      <c r="V2379" s="241"/>
      <c r="W2379" s="241"/>
      <c r="X2379" s="241"/>
    </row>
    <row r="2380" spans="1:24" ht="13.5" customHeight="1" x14ac:dyDescent="0.3">
      <c r="A2380" s="245"/>
      <c r="B2380" s="246"/>
      <c r="C2380" s="245"/>
      <c r="D2380" s="245"/>
      <c r="E2380" s="245"/>
      <c r="F2380" s="245"/>
      <c r="G2380" s="245"/>
      <c r="H2380" s="245"/>
      <c r="I2380" s="245"/>
      <c r="J2380" s="245"/>
      <c r="K2380" s="245"/>
      <c r="L2380" s="246"/>
      <c r="M2380" s="245"/>
      <c r="N2380" s="245"/>
      <c r="O2380" s="245"/>
      <c r="P2380" s="245"/>
      <c r="Q2380" s="247"/>
      <c r="R2380" s="247"/>
      <c r="S2380" s="247"/>
      <c r="T2380" s="245"/>
      <c r="U2380" s="245"/>
      <c r="V2380" s="241"/>
      <c r="W2380" s="241"/>
      <c r="X2380" s="241"/>
    </row>
    <row r="2381" spans="1:24" ht="13.5" customHeight="1" x14ac:dyDescent="0.3">
      <c r="A2381" s="245"/>
      <c r="B2381" s="246"/>
      <c r="C2381" s="245"/>
      <c r="D2381" s="245"/>
      <c r="E2381" s="245"/>
      <c r="F2381" s="245"/>
      <c r="G2381" s="245"/>
      <c r="H2381" s="245"/>
      <c r="I2381" s="245"/>
      <c r="J2381" s="245"/>
      <c r="K2381" s="245"/>
      <c r="L2381" s="246"/>
      <c r="M2381" s="245"/>
      <c r="N2381" s="245"/>
      <c r="O2381" s="245"/>
      <c r="P2381" s="245"/>
      <c r="Q2381" s="247"/>
      <c r="R2381" s="247"/>
      <c r="S2381" s="247"/>
      <c r="T2381" s="245"/>
      <c r="U2381" s="245"/>
      <c r="V2381" s="241"/>
      <c r="W2381" s="241"/>
      <c r="X2381" s="241"/>
    </row>
    <row r="2382" spans="1:24" ht="13.5" customHeight="1" x14ac:dyDescent="0.3">
      <c r="A2382" s="245"/>
      <c r="B2382" s="246"/>
      <c r="C2382" s="245"/>
      <c r="D2382" s="245"/>
      <c r="E2382" s="245"/>
      <c r="F2382" s="245"/>
      <c r="G2382" s="245"/>
      <c r="H2382" s="245"/>
      <c r="I2382" s="245"/>
      <c r="J2382" s="245"/>
      <c r="K2382" s="245"/>
      <c r="L2382" s="246"/>
      <c r="M2382" s="245"/>
      <c r="N2382" s="245"/>
      <c r="O2382" s="245"/>
      <c r="P2382" s="245"/>
      <c r="Q2382" s="247"/>
      <c r="R2382" s="247"/>
      <c r="S2382" s="247"/>
      <c r="T2382" s="245"/>
      <c r="U2382" s="245"/>
      <c r="V2382" s="241"/>
      <c r="W2382" s="241"/>
      <c r="X2382" s="241"/>
    </row>
    <row r="2383" spans="1:24" ht="13.5" customHeight="1" x14ac:dyDescent="0.3">
      <c r="A2383" s="245"/>
      <c r="B2383" s="246"/>
      <c r="C2383" s="245"/>
      <c r="D2383" s="245"/>
      <c r="E2383" s="245"/>
      <c r="F2383" s="245"/>
      <c r="G2383" s="245"/>
      <c r="H2383" s="245"/>
      <c r="I2383" s="245"/>
      <c r="J2383" s="245"/>
      <c r="K2383" s="245"/>
      <c r="L2383" s="246"/>
      <c r="M2383" s="245"/>
      <c r="N2383" s="245"/>
      <c r="O2383" s="245"/>
      <c r="P2383" s="245"/>
      <c r="Q2383" s="247"/>
      <c r="R2383" s="247"/>
      <c r="S2383" s="247"/>
      <c r="T2383" s="245"/>
      <c r="U2383" s="245"/>
      <c r="V2383" s="241"/>
      <c r="W2383" s="241"/>
      <c r="X2383" s="241"/>
    </row>
    <row r="2384" spans="1:24" ht="13.5" customHeight="1" x14ac:dyDescent="0.3">
      <c r="A2384" s="245"/>
      <c r="B2384" s="246"/>
      <c r="C2384" s="245"/>
      <c r="D2384" s="245"/>
      <c r="E2384" s="245"/>
      <c r="F2384" s="245"/>
      <c r="G2384" s="245"/>
      <c r="H2384" s="245"/>
      <c r="I2384" s="245"/>
      <c r="J2384" s="245"/>
      <c r="K2384" s="245"/>
      <c r="L2384" s="246"/>
      <c r="M2384" s="245"/>
      <c r="N2384" s="245"/>
      <c r="O2384" s="245"/>
      <c r="P2384" s="245"/>
      <c r="Q2384" s="247"/>
      <c r="R2384" s="247"/>
      <c r="S2384" s="247"/>
      <c r="T2384" s="245"/>
      <c r="U2384" s="245"/>
      <c r="V2384" s="241"/>
      <c r="W2384" s="241"/>
      <c r="X2384" s="241"/>
    </row>
    <row r="2385" spans="1:24" ht="13.5" customHeight="1" x14ac:dyDescent="0.3">
      <c r="A2385" s="245"/>
      <c r="B2385" s="246"/>
      <c r="C2385" s="245"/>
      <c r="D2385" s="245"/>
      <c r="E2385" s="245"/>
      <c r="F2385" s="245"/>
      <c r="G2385" s="245"/>
      <c r="H2385" s="245"/>
      <c r="I2385" s="245"/>
      <c r="J2385" s="245"/>
      <c r="K2385" s="245"/>
      <c r="L2385" s="246"/>
      <c r="M2385" s="245"/>
      <c r="N2385" s="245"/>
      <c r="O2385" s="245"/>
      <c r="P2385" s="245"/>
      <c r="Q2385" s="247"/>
      <c r="R2385" s="247"/>
      <c r="S2385" s="247"/>
      <c r="T2385" s="245"/>
      <c r="U2385" s="245"/>
      <c r="V2385" s="241"/>
      <c r="W2385" s="241"/>
      <c r="X2385" s="241"/>
    </row>
    <row r="2386" spans="1:24" ht="13.5" customHeight="1" x14ac:dyDescent="0.3">
      <c r="A2386" s="245"/>
      <c r="B2386" s="246"/>
      <c r="C2386" s="245"/>
      <c r="D2386" s="245"/>
      <c r="E2386" s="245"/>
      <c r="F2386" s="245"/>
      <c r="G2386" s="245"/>
      <c r="H2386" s="245"/>
      <c r="I2386" s="245"/>
      <c r="J2386" s="245"/>
      <c r="K2386" s="245"/>
      <c r="L2386" s="246"/>
      <c r="M2386" s="245"/>
      <c r="N2386" s="245"/>
      <c r="O2386" s="245"/>
      <c r="P2386" s="245"/>
      <c r="Q2386" s="247"/>
      <c r="R2386" s="247"/>
      <c r="S2386" s="247"/>
      <c r="T2386" s="245"/>
      <c r="U2386" s="245"/>
      <c r="V2386" s="241"/>
      <c r="W2386" s="241"/>
      <c r="X2386" s="241"/>
    </row>
    <row r="2387" spans="1:24" ht="13.5" customHeight="1" x14ac:dyDescent="0.3">
      <c r="A2387" s="245"/>
      <c r="B2387" s="246"/>
      <c r="C2387" s="245"/>
      <c r="D2387" s="245"/>
      <c r="E2387" s="245"/>
      <c r="F2387" s="245"/>
      <c r="G2387" s="245"/>
      <c r="H2387" s="245"/>
      <c r="I2387" s="245"/>
      <c r="J2387" s="245"/>
      <c r="K2387" s="245"/>
      <c r="L2387" s="246"/>
      <c r="M2387" s="245"/>
      <c r="N2387" s="245"/>
      <c r="O2387" s="245"/>
      <c r="P2387" s="245"/>
      <c r="Q2387" s="247"/>
      <c r="R2387" s="247"/>
      <c r="S2387" s="247"/>
      <c r="T2387" s="245"/>
      <c r="U2387" s="245"/>
      <c r="V2387" s="241"/>
      <c r="W2387" s="241"/>
      <c r="X2387" s="241"/>
    </row>
    <row r="2388" spans="1:24" ht="13.5" customHeight="1" x14ac:dyDescent="0.3">
      <c r="A2388" s="245"/>
      <c r="B2388" s="246"/>
      <c r="C2388" s="245"/>
      <c r="D2388" s="245"/>
      <c r="E2388" s="245"/>
      <c r="F2388" s="245"/>
      <c r="G2388" s="245"/>
      <c r="H2388" s="245"/>
      <c r="I2388" s="245"/>
      <c r="J2388" s="245"/>
      <c r="K2388" s="245"/>
      <c r="L2388" s="246"/>
      <c r="M2388" s="245"/>
      <c r="N2388" s="245"/>
      <c r="O2388" s="245"/>
      <c r="P2388" s="245"/>
      <c r="Q2388" s="247"/>
      <c r="R2388" s="247"/>
      <c r="S2388" s="247"/>
      <c r="T2388" s="245"/>
      <c r="U2388" s="245"/>
      <c r="V2388" s="241"/>
      <c r="W2388" s="241"/>
      <c r="X2388" s="241"/>
    </row>
    <row r="2389" spans="1:24" ht="13.5" customHeight="1" x14ac:dyDescent="0.3">
      <c r="A2389" s="245"/>
      <c r="B2389" s="246"/>
      <c r="C2389" s="245"/>
      <c r="D2389" s="245"/>
      <c r="E2389" s="245"/>
      <c r="F2389" s="245"/>
      <c r="G2389" s="245"/>
      <c r="H2389" s="245"/>
      <c r="I2389" s="245"/>
      <c r="J2389" s="245"/>
      <c r="K2389" s="245"/>
      <c r="L2389" s="246"/>
      <c r="M2389" s="245"/>
      <c r="N2389" s="245"/>
      <c r="O2389" s="245"/>
      <c r="P2389" s="245"/>
      <c r="Q2389" s="247"/>
      <c r="R2389" s="247"/>
      <c r="S2389" s="247"/>
      <c r="T2389" s="245"/>
      <c r="U2389" s="245"/>
      <c r="V2389" s="241"/>
      <c r="W2389" s="241"/>
      <c r="X2389" s="241"/>
    </row>
    <row r="2390" spans="1:24" ht="13.5" customHeight="1" x14ac:dyDescent="0.3">
      <c r="A2390" s="245"/>
      <c r="B2390" s="246"/>
      <c r="C2390" s="245"/>
      <c r="D2390" s="245"/>
      <c r="E2390" s="245"/>
      <c r="F2390" s="245"/>
      <c r="G2390" s="245"/>
      <c r="H2390" s="245"/>
      <c r="I2390" s="245"/>
      <c r="J2390" s="245"/>
      <c r="K2390" s="245"/>
      <c r="L2390" s="246"/>
      <c r="M2390" s="245"/>
      <c r="N2390" s="245"/>
      <c r="O2390" s="245"/>
      <c r="P2390" s="245"/>
      <c r="Q2390" s="247"/>
      <c r="R2390" s="247"/>
      <c r="S2390" s="247"/>
      <c r="T2390" s="245"/>
      <c r="U2390" s="245"/>
      <c r="V2390" s="241"/>
      <c r="W2390" s="241"/>
      <c r="X2390" s="241"/>
    </row>
    <row r="2391" spans="1:24" ht="13.5" customHeight="1" x14ac:dyDescent="0.3">
      <c r="A2391" s="245"/>
      <c r="B2391" s="246"/>
      <c r="C2391" s="245"/>
      <c r="D2391" s="245"/>
      <c r="E2391" s="245"/>
      <c r="F2391" s="245"/>
      <c r="G2391" s="245"/>
      <c r="H2391" s="245"/>
      <c r="I2391" s="245"/>
      <c r="J2391" s="245"/>
      <c r="K2391" s="245"/>
      <c r="L2391" s="246"/>
      <c r="M2391" s="245"/>
      <c r="N2391" s="245"/>
      <c r="O2391" s="245"/>
      <c r="P2391" s="245"/>
      <c r="Q2391" s="247"/>
      <c r="R2391" s="247"/>
      <c r="S2391" s="247"/>
      <c r="T2391" s="245"/>
      <c r="U2391" s="245"/>
      <c r="V2391" s="241"/>
      <c r="W2391" s="241"/>
      <c r="X2391" s="241"/>
    </row>
    <row r="2392" spans="1:24" ht="13.5" customHeight="1" x14ac:dyDescent="0.3">
      <c r="A2392" s="245"/>
      <c r="B2392" s="246"/>
      <c r="C2392" s="245"/>
      <c r="D2392" s="245"/>
      <c r="E2392" s="245"/>
      <c r="F2392" s="245"/>
      <c r="G2392" s="245"/>
      <c r="H2392" s="245"/>
      <c r="I2392" s="245"/>
      <c r="J2392" s="245"/>
      <c r="K2392" s="245"/>
      <c r="L2392" s="246"/>
      <c r="M2392" s="245"/>
      <c r="N2392" s="245"/>
      <c r="O2392" s="245"/>
      <c r="P2392" s="245"/>
      <c r="Q2392" s="247"/>
      <c r="R2392" s="247"/>
      <c r="S2392" s="247"/>
      <c r="T2392" s="245"/>
      <c r="U2392" s="245"/>
      <c r="V2392" s="241"/>
      <c r="W2392" s="241"/>
      <c r="X2392" s="241"/>
    </row>
    <row r="2393" spans="1:24" ht="13.5" customHeight="1" x14ac:dyDescent="0.3">
      <c r="A2393" s="245"/>
      <c r="B2393" s="246"/>
      <c r="C2393" s="245"/>
      <c r="D2393" s="245"/>
      <c r="E2393" s="245"/>
      <c r="F2393" s="245"/>
      <c r="G2393" s="245"/>
      <c r="H2393" s="245"/>
      <c r="I2393" s="245"/>
      <c r="J2393" s="245"/>
      <c r="K2393" s="245"/>
      <c r="L2393" s="246"/>
      <c r="M2393" s="245"/>
      <c r="N2393" s="245"/>
      <c r="O2393" s="245"/>
      <c r="P2393" s="245"/>
      <c r="Q2393" s="247"/>
      <c r="R2393" s="247"/>
      <c r="S2393" s="247"/>
      <c r="T2393" s="245"/>
      <c r="U2393" s="245"/>
      <c r="V2393" s="241"/>
      <c r="W2393" s="241"/>
      <c r="X2393" s="241"/>
    </row>
    <row r="2394" spans="1:24" ht="13.5" customHeight="1" x14ac:dyDescent="0.3">
      <c r="A2394" s="245"/>
      <c r="B2394" s="246"/>
      <c r="C2394" s="245"/>
      <c r="D2394" s="245"/>
      <c r="E2394" s="245"/>
      <c r="F2394" s="245"/>
      <c r="G2394" s="245"/>
      <c r="H2394" s="245"/>
      <c r="I2394" s="245"/>
      <c r="J2394" s="245"/>
      <c r="K2394" s="245"/>
      <c r="L2394" s="246"/>
      <c r="M2394" s="245"/>
      <c r="N2394" s="245"/>
      <c r="O2394" s="245"/>
      <c r="P2394" s="245"/>
      <c r="Q2394" s="247"/>
      <c r="R2394" s="247"/>
      <c r="S2394" s="247"/>
      <c r="T2394" s="245"/>
      <c r="U2394" s="245"/>
      <c r="V2394" s="241"/>
      <c r="W2394" s="241"/>
      <c r="X2394" s="241"/>
    </row>
    <row r="2395" spans="1:24" ht="13.5" customHeight="1" x14ac:dyDescent="0.3">
      <c r="A2395" s="245"/>
      <c r="B2395" s="246"/>
      <c r="C2395" s="245"/>
      <c r="D2395" s="245"/>
      <c r="E2395" s="245"/>
      <c r="F2395" s="245"/>
      <c r="G2395" s="245"/>
      <c r="H2395" s="245"/>
      <c r="I2395" s="245"/>
      <c r="J2395" s="245"/>
      <c r="K2395" s="245"/>
      <c r="L2395" s="246"/>
      <c r="M2395" s="245"/>
      <c r="N2395" s="245"/>
      <c r="O2395" s="245"/>
      <c r="P2395" s="245"/>
      <c r="Q2395" s="247"/>
      <c r="R2395" s="247"/>
      <c r="S2395" s="247"/>
      <c r="T2395" s="245"/>
      <c r="U2395" s="245"/>
      <c r="V2395" s="241"/>
      <c r="W2395" s="241"/>
      <c r="X2395" s="241"/>
    </row>
    <row r="2396" spans="1:24" ht="13.5" customHeight="1" x14ac:dyDescent="0.3">
      <c r="A2396" s="245"/>
      <c r="B2396" s="246"/>
      <c r="C2396" s="245"/>
      <c r="D2396" s="245"/>
      <c r="E2396" s="245"/>
      <c r="F2396" s="245"/>
      <c r="G2396" s="245"/>
      <c r="H2396" s="245"/>
      <c r="I2396" s="245"/>
      <c r="J2396" s="245"/>
      <c r="K2396" s="245"/>
      <c r="L2396" s="246"/>
      <c r="M2396" s="245"/>
      <c r="N2396" s="245"/>
      <c r="O2396" s="245"/>
      <c r="P2396" s="245"/>
      <c r="Q2396" s="247"/>
      <c r="R2396" s="247"/>
      <c r="S2396" s="247"/>
      <c r="T2396" s="245"/>
      <c r="U2396" s="245"/>
      <c r="V2396" s="241"/>
      <c r="W2396" s="241"/>
      <c r="X2396" s="241"/>
    </row>
    <row r="2397" spans="1:24" ht="13.5" customHeight="1" x14ac:dyDescent="0.3">
      <c r="A2397" s="245"/>
      <c r="B2397" s="246"/>
      <c r="C2397" s="245"/>
      <c r="D2397" s="245"/>
      <c r="E2397" s="245"/>
      <c r="F2397" s="245"/>
      <c r="G2397" s="245"/>
      <c r="H2397" s="245"/>
      <c r="I2397" s="245"/>
      <c r="J2397" s="245"/>
      <c r="K2397" s="245"/>
      <c r="L2397" s="246"/>
      <c r="M2397" s="245"/>
      <c r="N2397" s="245"/>
      <c r="O2397" s="245"/>
      <c r="P2397" s="245"/>
      <c r="Q2397" s="247"/>
      <c r="R2397" s="247"/>
      <c r="S2397" s="247"/>
      <c r="T2397" s="245"/>
      <c r="U2397" s="245"/>
      <c r="V2397" s="241"/>
      <c r="W2397" s="241"/>
      <c r="X2397" s="241"/>
    </row>
    <row r="2398" spans="1:24" ht="13.5" customHeight="1" x14ac:dyDescent="0.3">
      <c r="A2398" s="245"/>
      <c r="B2398" s="246"/>
      <c r="C2398" s="245"/>
      <c r="D2398" s="245"/>
      <c r="E2398" s="245"/>
      <c r="F2398" s="245"/>
      <c r="G2398" s="245"/>
      <c r="H2398" s="245"/>
      <c r="I2398" s="245"/>
      <c r="J2398" s="245"/>
      <c r="K2398" s="245"/>
      <c r="L2398" s="246"/>
      <c r="M2398" s="245"/>
      <c r="N2398" s="245"/>
      <c r="O2398" s="245"/>
      <c r="P2398" s="245"/>
      <c r="Q2398" s="247"/>
      <c r="R2398" s="247"/>
      <c r="S2398" s="247"/>
      <c r="T2398" s="245"/>
      <c r="U2398" s="245"/>
      <c r="V2398" s="241"/>
      <c r="W2398" s="241"/>
      <c r="X2398" s="241"/>
    </row>
    <row r="2399" spans="1:24" ht="13.5" customHeight="1" x14ac:dyDescent="0.3">
      <c r="A2399" s="245"/>
      <c r="B2399" s="246"/>
      <c r="C2399" s="245"/>
      <c r="D2399" s="245"/>
      <c r="E2399" s="245"/>
      <c r="F2399" s="245"/>
      <c r="G2399" s="245"/>
      <c r="H2399" s="245"/>
      <c r="I2399" s="245"/>
      <c r="J2399" s="245"/>
      <c r="K2399" s="245"/>
      <c r="L2399" s="246"/>
      <c r="M2399" s="245"/>
      <c r="N2399" s="245"/>
      <c r="O2399" s="245"/>
      <c r="P2399" s="245"/>
      <c r="Q2399" s="247"/>
      <c r="R2399" s="247"/>
      <c r="S2399" s="247"/>
      <c r="T2399" s="245"/>
      <c r="U2399" s="245"/>
      <c r="V2399" s="241"/>
      <c r="W2399" s="241"/>
      <c r="X2399" s="241"/>
    </row>
    <row r="2400" spans="1:24" ht="13.5" customHeight="1" x14ac:dyDescent="0.3">
      <c r="A2400" s="245"/>
      <c r="B2400" s="246"/>
      <c r="C2400" s="245"/>
      <c r="D2400" s="245"/>
      <c r="E2400" s="245"/>
      <c r="F2400" s="245"/>
      <c r="G2400" s="245"/>
      <c r="H2400" s="245"/>
      <c r="I2400" s="245"/>
      <c r="J2400" s="245"/>
      <c r="K2400" s="245"/>
      <c r="L2400" s="246"/>
      <c r="M2400" s="245"/>
      <c r="N2400" s="245"/>
      <c r="O2400" s="245"/>
      <c r="P2400" s="245"/>
      <c r="Q2400" s="247"/>
      <c r="R2400" s="247"/>
      <c r="S2400" s="247"/>
      <c r="T2400" s="245"/>
      <c r="U2400" s="245"/>
      <c r="V2400" s="241"/>
      <c r="W2400" s="241"/>
      <c r="X2400" s="241"/>
    </row>
    <row r="2401" spans="1:24" ht="13.5" customHeight="1" x14ac:dyDescent="0.3">
      <c r="A2401" s="245"/>
      <c r="B2401" s="246"/>
      <c r="C2401" s="245"/>
      <c r="D2401" s="245"/>
      <c r="E2401" s="245"/>
      <c r="F2401" s="245"/>
      <c r="G2401" s="245"/>
      <c r="H2401" s="245"/>
      <c r="I2401" s="245"/>
      <c r="J2401" s="245"/>
      <c r="K2401" s="245"/>
      <c r="L2401" s="246"/>
      <c r="M2401" s="245"/>
      <c r="N2401" s="245"/>
      <c r="O2401" s="245"/>
      <c r="P2401" s="245"/>
      <c r="Q2401" s="247"/>
      <c r="R2401" s="247"/>
      <c r="S2401" s="247"/>
      <c r="T2401" s="245"/>
      <c r="U2401" s="245"/>
      <c r="V2401" s="241"/>
      <c r="W2401" s="241"/>
      <c r="X2401" s="241"/>
    </row>
    <row r="2402" spans="1:24" ht="13.5" customHeight="1" x14ac:dyDescent="0.3">
      <c r="A2402" s="245"/>
      <c r="B2402" s="246"/>
      <c r="C2402" s="245"/>
      <c r="D2402" s="245"/>
      <c r="E2402" s="245"/>
      <c r="F2402" s="245"/>
      <c r="G2402" s="245"/>
      <c r="H2402" s="245"/>
      <c r="I2402" s="245"/>
      <c r="J2402" s="245"/>
      <c r="K2402" s="245"/>
      <c r="L2402" s="246"/>
      <c r="M2402" s="245"/>
      <c r="N2402" s="245"/>
      <c r="O2402" s="245"/>
      <c r="P2402" s="245"/>
      <c r="Q2402" s="247"/>
      <c r="R2402" s="247"/>
      <c r="S2402" s="247"/>
      <c r="T2402" s="245"/>
      <c r="U2402" s="245"/>
      <c r="V2402" s="241"/>
      <c r="W2402" s="241"/>
      <c r="X2402" s="241"/>
    </row>
    <row r="2403" spans="1:24" ht="13.5" customHeight="1" x14ac:dyDescent="0.3">
      <c r="A2403" s="245"/>
      <c r="B2403" s="246"/>
      <c r="C2403" s="245"/>
      <c r="D2403" s="245"/>
      <c r="E2403" s="245"/>
      <c r="F2403" s="245"/>
      <c r="G2403" s="245"/>
      <c r="H2403" s="245"/>
      <c r="I2403" s="245"/>
      <c r="J2403" s="245"/>
      <c r="K2403" s="245"/>
      <c r="L2403" s="246"/>
      <c r="M2403" s="245"/>
      <c r="N2403" s="245"/>
      <c r="O2403" s="245"/>
      <c r="P2403" s="245"/>
      <c r="Q2403" s="247"/>
      <c r="R2403" s="247"/>
      <c r="S2403" s="247"/>
      <c r="T2403" s="245"/>
      <c r="U2403" s="245"/>
      <c r="V2403" s="241"/>
      <c r="W2403" s="241"/>
      <c r="X2403" s="241"/>
    </row>
    <row r="2404" spans="1:24" ht="13.5" customHeight="1" x14ac:dyDescent="0.3">
      <c r="A2404" s="245"/>
      <c r="B2404" s="246"/>
      <c r="C2404" s="245"/>
      <c r="D2404" s="245"/>
      <c r="E2404" s="245"/>
      <c r="F2404" s="245"/>
      <c r="G2404" s="245"/>
      <c r="H2404" s="245"/>
      <c r="I2404" s="245"/>
      <c r="J2404" s="245"/>
      <c r="K2404" s="245"/>
      <c r="L2404" s="246"/>
      <c r="M2404" s="245"/>
      <c r="N2404" s="245"/>
      <c r="O2404" s="245"/>
      <c r="P2404" s="245"/>
      <c r="Q2404" s="247"/>
      <c r="R2404" s="247"/>
      <c r="S2404" s="247"/>
      <c r="T2404" s="245"/>
      <c r="U2404" s="245"/>
      <c r="V2404" s="241"/>
      <c r="W2404" s="241"/>
      <c r="X2404" s="241"/>
    </row>
    <row r="2405" spans="1:24" ht="13.5" customHeight="1" x14ac:dyDescent="0.3">
      <c r="A2405" s="245"/>
      <c r="B2405" s="246"/>
      <c r="C2405" s="245"/>
      <c r="D2405" s="245"/>
      <c r="E2405" s="245"/>
      <c r="F2405" s="245"/>
      <c r="G2405" s="245"/>
      <c r="H2405" s="245"/>
      <c r="I2405" s="245"/>
      <c r="J2405" s="245"/>
      <c r="K2405" s="245"/>
      <c r="L2405" s="246"/>
      <c r="M2405" s="245"/>
      <c r="N2405" s="245"/>
      <c r="O2405" s="245"/>
      <c r="P2405" s="245"/>
      <c r="Q2405" s="247"/>
      <c r="R2405" s="247"/>
      <c r="S2405" s="247"/>
      <c r="T2405" s="245"/>
      <c r="U2405" s="245"/>
      <c r="V2405" s="241"/>
      <c r="W2405" s="241"/>
      <c r="X2405" s="241"/>
    </row>
    <row r="2406" spans="1:24" ht="13.5" customHeight="1" x14ac:dyDescent="0.3">
      <c r="A2406" s="245"/>
      <c r="B2406" s="246"/>
      <c r="C2406" s="245"/>
      <c r="D2406" s="245"/>
      <c r="E2406" s="245"/>
      <c r="F2406" s="245"/>
      <c r="G2406" s="245"/>
      <c r="H2406" s="245"/>
      <c r="I2406" s="245"/>
      <c r="J2406" s="245"/>
      <c r="K2406" s="245"/>
      <c r="L2406" s="246"/>
      <c r="M2406" s="245"/>
      <c r="N2406" s="245"/>
      <c r="O2406" s="245"/>
      <c r="P2406" s="245"/>
      <c r="Q2406" s="247"/>
      <c r="R2406" s="247"/>
      <c r="S2406" s="247"/>
      <c r="T2406" s="245"/>
      <c r="U2406" s="245"/>
      <c r="V2406" s="241"/>
      <c r="W2406" s="241"/>
      <c r="X2406" s="241"/>
    </row>
    <row r="2407" spans="1:24" ht="13.5" customHeight="1" x14ac:dyDescent="0.3">
      <c r="A2407" s="245"/>
      <c r="B2407" s="246"/>
      <c r="C2407" s="245"/>
      <c r="D2407" s="245"/>
      <c r="E2407" s="245"/>
      <c r="F2407" s="245"/>
      <c r="G2407" s="245"/>
      <c r="H2407" s="245"/>
      <c r="I2407" s="245"/>
      <c r="J2407" s="245"/>
      <c r="K2407" s="245"/>
      <c r="L2407" s="246"/>
      <c r="M2407" s="245"/>
      <c r="N2407" s="245"/>
      <c r="O2407" s="245"/>
      <c r="P2407" s="245"/>
      <c r="Q2407" s="247"/>
      <c r="R2407" s="247"/>
      <c r="S2407" s="247"/>
      <c r="T2407" s="245"/>
      <c r="U2407" s="245"/>
      <c r="V2407" s="241"/>
      <c r="W2407" s="241"/>
      <c r="X2407" s="241"/>
    </row>
    <row r="2408" spans="1:24" ht="13.5" customHeight="1" x14ac:dyDescent="0.3">
      <c r="A2408" s="245"/>
      <c r="B2408" s="246"/>
      <c r="C2408" s="245"/>
      <c r="D2408" s="245"/>
      <c r="E2408" s="245"/>
      <c r="F2408" s="245"/>
      <c r="G2408" s="245"/>
      <c r="H2408" s="245"/>
      <c r="I2408" s="245"/>
      <c r="J2408" s="245"/>
      <c r="K2408" s="245"/>
      <c r="L2408" s="246"/>
      <c r="M2408" s="245"/>
      <c r="N2408" s="245"/>
      <c r="O2408" s="245"/>
      <c r="P2408" s="245"/>
      <c r="Q2408" s="247"/>
      <c r="R2408" s="247"/>
      <c r="S2408" s="247"/>
      <c r="T2408" s="245"/>
      <c r="U2408" s="245"/>
      <c r="V2408" s="241"/>
      <c r="W2408" s="241"/>
      <c r="X2408" s="241"/>
    </row>
    <row r="2409" spans="1:24" ht="13.5" customHeight="1" x14ac:dyDescent="0.3">
      <c r="A2409" s="245"/>
      <c r="B2409" s="246"/>
      <c r="C2409" s="245"/>
      <c r="D2409" s="245"/>
      <c r="E2409" s="245"/>
      <c r="F2409" s="245"/>
      <c r="G2409" s="245"/>
      <c r="H2409" s="245"/>
      <c r="I2409" s="245"/>
      <c r="J2409" s="245"/>
      <c r="K2409" s="245"/>
      <c r="L2409" s="246"/>
      <c r="M2409" s="245"/>
      <c r="N2409" s="245"/>
      <c r="O2409" s="245"/>
      <c r="P2409" s="245"/>
      <c r="Q2409" s="247"/>
      <c r="R2409" s="247"/>
      <c r="S2409" s="247"/>
      <c r="T2409" s="245"/>
      <c r="U2409" s="245"/>
      <c r="V2409" s="241"/>
      <c r="W2409" s="241"/>
      <c r="X2409" s="241"/>
    </row>
    <row r="2410" spans="1:24" ht="13.5" customHeight="1" x14ac:dyDescent="0.3">
      <c r="A2410" s="245"/>
      <c r="B2410" s="246"/>
      <c r="C2410" s="245"/>
      <c r="D2410" s="245"/>
      <c r="E2410" s="245"/>
      <c r="F2410" s="245"/>
      <c r="G2410" s="245"/>
      <c r="H2410" s="245"/>
      <c r="I2410" s="245"/>
      <c r="J2410" s="245"/>
      <c r="K2410" s="245"/>
      <c r="L2410" s="246"/>
      <c r="M2410" s="245"/>
      <c r="N2410" s="245"/>
      <c r="O2410" s="245"/>
      <c r="P2410" s="245"/>
      <c r="Q2410" s="247"/>
      <c r="R2410" s="247"/>
      <c r="S2410" s="247"/>
      <c r="T2410" s="245"/>
      <c r="U2410" s="245"/>
      <c r="V2410" s="241"/>
      <c r="W2410" s="241"/>
      <c r="X2410" s="241"/>
    </row>
    <row r="2411" spans="1:24" ht="13.5" customHeight="1" x14ac:dyDescent="0.3">
      <c r="A2411" s="245"/>
      <c r="B2411" s="246"/>
      <c r="C2411" s="245"/>
      <c r="D2411" s="245"/>
      <c r="E2411" s="245"/>
      <c r="F2411" s="245"/>
      <c r="G2411" s="245"/>
      <c r="H2411" s="245"/>
      <c r="I2411" s="245"/>
      <c r="J2411" s="245"/>
      <c r="K2411" s="245"/>
      <c r="L2411" s="246"/>
      <c r="M2411" s="245"/>
      <c r="N2411" s="245"/>
      <c r="O2411" s="245"/>
      <c r="P2411" s="245"/>
      <c r="Q2411" s="247"/>
      <c r="R2411" s="247"/>
      <c r="S2411" s="247"/>
      <c r="T2411" s="245"/>
      <c r="U2411" s="245"/>
      <c r="V2411" s="241"/>
      <c r="W2411" s="241"/>
      <c r="X2411" s="241"/>
    </row>
    <row r="2412" spans="1:24" ht="13.5" customHeight="1" x14ac:dyDescent="0.3">
      <c r="A2412" s="245"/>
      <c r="B2412" s="246"/>
      <c r="C2412" s="245"/>
      <c r="D2412" s="245"/>
      <c r="E2412" s="245"/>
      <c r="F2412" s="245"/>
      <c r="G2412" s="245"/>
      <c r="H2412" s="245"/>
      <c r="I2412" s="245"/>
      <c r="J2412" s="245"/>
      <c r="K2412" s="245"/>
      <c r="L2412" s="246"/>
      <c r="M2412" s="245"/>
      <c r="N2412" s="245"/>
      <c r="O2412" s="245"/>
      <c r="P2412" s="245"/>
      <c r="Q2412" s="247"/>
      <c r="R2412" s="247"/>
      <c r="S2412" s="247"/>
      <c r="T2412" s="245"/>
      <c r="U2412" s="245"/>
      <c r="V2412" s="241"/>
      <c r="W2412" s="241"/>
      <c r="X2412" s="241"/>
    </row>
    <row r="2413" spans="1:24" ht="13.5" customHeight="1" x14ac:dyDescent="0.3">
      <c r="A2413" s="245"/>
      <c r="B2413" s="246"/>
      <c r="C2413" s="245"/>
      <c r="D2413" s="245"/>
      <c r="E2413" s="245"/>
      <c r="F2413" s="245"/>
      <c r="G2413" s="245"/>
      <c r="H2413" s="245"/>
      <c r="I2413" s="245"/>
      <c r="J2413" s="245"/>
      <c r="K2413" s="245"/>
      <c r="L2413" s="246"/>
      <c r="M2413" s="245"/>
      <c r="N2413" s="245"/>
      <c r="O2413" s="245"/>
      <c r="P2413" s="245"/>
      <c r="Q2413" s="247"/>
      <c r="R2413" s="247"/>
      <c r="S2413" s="247"/>
      <c r="T2413" s="245"/>
      <c r="U2413" s="245"/>
      <c r="V2413" s="241"/>
      <c r="W2413" s="241"/>
      <c r="X2413" s="241"/>
    </row>
    <row r="2414" spans="1:24" ht="13.5" customHeight="1" x14ac:dyDescent="0.3">
      <c r="A2414" s="245"/>
      <c r="B2414" s="246"/>
      <c r="C2414" s="245"/>
      <c r="D2414" s="245"/>
      <c r="E2414" s="245"/>
      <c r="F2414" s="245"/>
      <c r="G2414" s="245"/>
      <c r="H2414" s="245"/>
      <c r="I2414" s="245"/>
      <c r="J2414" s="245"/>
      <c r="K2414" s="245"/>
      <c r="L2414" s="246"/>
      <c r="M2414" s="245"/>
      <c r="N2414" s="245"/>
      <c r="O2414" s="245"/>
      <c r="P2414" s="245"/>
      <c r="Q2414" s="247"/>
      <c r="R2414" s="247"/>
      <c r="S2414" s="247"/>
      <c r="T2414" s="245"/>
      <c r="U2414" s="245"/>
      <c r="V2414" s="241"/>
      <c r="W2414" s="241"/>
      <c r="X2414" s="241"/>
    </row>
    <row r="2415" spans="1:24" ht="13.5" customHeight="1" x14ac:dyDescent="0.3">
      <c r="A2415" s="245"/>
      <c r="B2415" s="246"/>
      <c r="C2415" s="245"/>
      <c r="D2415" s="245"/>
      <c r="E2415" s="245"/>
      <c r="F2415" s="245"/>
      <c r="G2415" s="245"/>
      <c r="H2415" s="245"/>
      <c r="I2415" s="245"/>
      <c r="J2415" s="245"/>
      <c r="K2415" s="245"/>
      <c r="L2415" s="246"/>
      <c r="M2415" s="245"/>
      <c r="N2415" s="245"/>
      <c r="O2415" s="245"/>
      <c r="P2415" s="245"/>
      <c r="Q2415" s="247"/>
      <c r="R2415" s="247"/>
      <c r="S2415" s="247"/>
      <c r="T2415" s="245"/>
      <c r="U2415" s="245"/>
      <c r="V2415" s="241"/>
      <c r="W2415" s="241"/>
      <c r="X2415" s="241"/>
    </row>
    <row r="2416" spans="1:24" ht="13.5" customHeight="1" x14ac:dyDescent="0.3">
      <c r="A2416" s="245"/>
      <c r="B2416" s="246"/>
      <c r="C2416" s="245"/>
      <c r="D2416" s="245"/>
      <c r="E2416" s="245"/>
      <c r="F2416" s="245"/>
      <c r="G2416" s="245"/>
      <c r="H2416" s="245"/>
      <c r="I2416" s="245"/>
      <c r="J2416" s="245"/>
      <c r="K2416" s="245"/>
      <c r="L2416" s="246"/>
      <c r="M2416" s="245"/>
      <c r="N2416" s="245"/>
      <c r="O2416" s="245"/>
      <c r="P2416" s="245"/>
      <c r="Q2416" s="247"/>
      <c r="R2416" s="247"/>
      <c r="S2416" s="247"/>
      <c r="T2416" s="245"/>
      <c r="U2416" s="245"/>
      <c r="V2416" s="241"/>
      <c r="W2416" s="241"/>
      <c r="X2416" s="241"/>
    </row>
    <row r="2417" spans="1:24" ht="13.5" customHeight="1" x14ac:dyDescent="0.3">
      <c r="A2417" s="245"/>
      <c r="B2417" s="246"/>
      <c r="C2417" s="245"/>
      <c r="D2417" s="245"/>
      <c r="E2417" s="245"/>
      <c r="F2417" s="245"/>
      <c r="G2417" s="245"/>
      <c r="H2417" s="245"/>
      <c r="I2417" s="245"/>
      <c r="J2417" s="245"/>
      <c r="K2417" s="245"/>
      <c r="L2417" s="246"/>
      <c r="M2417" s="245"/>
      <c r="N2417" s="245"/>
      <c r="O2417" s="245"/>
      <c r="P2417" s="245"/>
      <c r="Q2417" s="247"/>
      <c r="R2417" s="247"/>
      <c r="S2417" s="247"/>
      <c r="T2417" s="245"/>
      <c r="U2417" s="245"/>
      <c r="V2417" s="241"/>
      <c r="W2417" s="241"/>
      <c r="X2417" s="241"/>
    </row>
    <row r="2418" spans="1:24" ht="13.5" customHeight="1" x14ac:dyDescent="0.3">
      <c r="A2418" s="245"/>
      <c r="B2418" s="246"/>
      <c r="C2418" s="245"/>
      <c r="D2418" s="245"/>
      <c r="E2418" s="245"/>
      <c r="F2418" s="245"/>
      <c r="G2418" s="245"/>
      <c r="H2418" s="245"/>
      <c r="I2418" s="245"/>
      <c r="J2418" s="245"/>
      <c r="K2418" s="245"/>
      <c r="L2418" s="246"/>
      <c r="M2418" s="245"/>
      <c r="N2418" s="245"/>
      <c r="O2418" s="245"/>
      <c r="P2418" s="245"/>
      <c r="Q2418" s="247"/>
      <c r="R2418" s="247"/>
      <c r="S2418" s="247"/>
      <c r="T2418" s="245"/>
      <c r="U2418" s="245"/>
      <c r="V2418" s="241"/>
      <c r="W2418" s="241"/>
      <c r="X2418" s="241"/>
    </row>
    <row r="2419" spans="1:24" ht="13.5" customHeight="1" x14ac:dyDescent="0.3">
      <c r="A2419" s="245"/>
      <c r="B2419" s="246"/>
      <c r="C2419" s="245"/>
      <c r="D2419" s="245"/>
      <c r="E2419" s="245"/>
      <c r="F2419" s="245"/>
      <c r="G2419" s="245"/>
      <c r="H2419" s="245"/>
      <c r="I2419" s="245"/>
      <c r="J2419" s="245"/>
      <c r="K2419" s="245"/>
      <c r="L2419" s="246"/>
      <c r="M2419" s="245"/>
      <c r="N2419" s="245"/>
      <c r="O2419" s="245"/>
      <c r="P2419" s="245"/>
      <c r="Q2419" s="247"/>
      <c r="R2419" s="247"/>
      <c r="S2419" s="247"/>
      <c r="T2419" s="245"/>
      <c r="U2419" s="245"/>
      <c r="V2419" s="241"/>
      <c r="W2419" s="241"/>
      <c r="X2419" s="241"/>
    </row>
    <row r="2420" spans="1:24" ht="13.5" customHeight="1" x14ac:dyDescent="0.3">
      <c r="A2420" s="245"/>
      <c r="B2420" s="246"/>
      <c r="C2420" s="245"/>
      <c r="D2420" s="245"/>
      <c r="E2420" s="245"/>
      <c r="F2420" s="245"/>
      <c r="G2420" s="245"/>
      <c r="H2420" s="245"/>
      <c r="I2420" s="245"/>
      <c r="J2420" s="245"/>
      <c r="K2420" s="245"/>
      <c r="L2420" s="246"/>
      <c r="M2420" s="245"/>
      <c r="N2420" s="245"/>
      <c r="O2420" s="245"/>
      <c r="P2420" s="245"/>
      <c r="Q2420" s="247"/>
      <c r="R2420" s="247"/>
      <c r="S2420" s="247"/>
      <c r="T2420" s="245"/>
      <c r="U2420" s="245"/>
      <c r="V2420" s="241"/>
      <c r="W2420" s="241"/>
      <c r="X2420" s="241"/>
    </row>
    <row r="2421" spans="1:24" ht="13.5" customHeight="1" x14ac:dyDescent="0.3">
      <c r="A2421" s="245"/>
      <c r="B2421" s="246"/>
      <c r="C2421" s="245"/>
      <c r="D2421" s="245"/>
      <c r="E2421" s="245"/>
      <c r="F2421" s="245"/>
      <c r="G2421" s="245"/>
      <c r="H2421" s="245"/>
      <c r="I2421" s="245"/>
      <c r="J2421" s="245"/>
      <c r="K2421" s="245"/>
      <c r="L2421" s="246"/>
      <c r="M2421" s="245"/>
      <c r="N2421" s="245"/>
      <c r="O2421" s="245"/>
      <c r="P2421" s="245"/>
      <c r="Q2421" s="247"/>
      <c r="R2421" s="247"/>
      <c r="S2421" s="247"/>
      <c r="T2421" s="245"/>
      <c r="U2421" s="245"/>
      <c r="V2421" s="241"/>
      <c r="W2421" s="241"/>
      <c r="X2421" s="241"/>
    </row>
    <row r="2422" spans="1:24" ht="13.5" customHeight="1" x14ac:dyDescent="0.3">
      <c r="A2422" s="245"/>
      <c r="B2422" s="246"/>
      <c r="C2422" s="245"/>
      <c r="D2422" s="245"/>
      <c r="E2422" s="245"/>
      <c r="F2422" s="245"/>
      <c r="G2422" s="245"/>
      <c r="H2422" s="245"/>
      <c r="I2422" s="245"/>
      <c r="J2422" s="245"/>
      <c r="K2422" s="245"/>
      <c r="L2422" s="246"/>
      <c r="M2422" s="245"/>
      <c r="N2422" s="245"/>
      <c r="O2422" s="245"/>
      <c r="P2422" s="245"/>
      <c r="Q2422" s="247"/>
      <c r="R2422" s="247"/>
      <c r="S2422" s="247"/>
      <c r="T2422" s="245"/>
      <c r="U2422" s="245"/>
      <c r="V2422" s="241"/>
      <c r="W2422" s="241"/>
      <c r="X2422" s="241"/>
    </row>
    <row r="2423" spans="1:24" ht="13.5" customHeight="1" x14ac:dyDescent="0.3">
      <c r="A2423" s="245"/>
      <c r="B2423" s="246"/>
      <c r="C2423" s="245"/>
      <c r="D2423" s="245"/>
      <c r="E2423" s="245"/>
      <c r="F2423" s="245"/>
      <c r="G2423" s="245"/>
      <c r="H2423" s="245"/>
      <c r="I2423" s="245"/>
      <c r="J2423" s="245"/>
      <c r="K2423" s="245"/>
      <c r="L2423" s="246"/>
      <c r="M2423" s="245"/>
      <c r="N2423" s="245"/>
      <c r="O2423" s="245"/>
      <c r="P2423" s="245"/>
      <c r="Q2423" s="247"/>
      <c r="R2423" s="247"/>
      <c r="S2423" s="247"/>
      <c r="T2423" s="245"/>
      <c r="U2423" s="245"/>
      <c r="V2423" s="241"/>
      <c r="W2423" s="241"/>
      <c r="X2423" s="241"/>
    </row>
    <row r="2424" spans="1:24" ht="13.5" customHeight="1" x14ac:dyDescent="0.3">
      <c r="A2424" s="245"/>
      <c r="B2424" s="246"/>
      <c r="C2424" s="245"/>
      <c r="D2424" s="245"/>
      <c r="E2424" s="245"/>
      <c r="F2424" s="245"/>
      <c r="G2424" s="245"/>
      <c r="H2424" s="245"/>
      <c r="I2424" s="245"/>
      <c r="J2424" s="245"/>
      <c r="K2424" s="245"/>
      <c r="L2424" s="246"/>
      <c r="M2424" s="245"/>
      <c r="N2424" s="245"/>
      <c r="O2424" s="245"/>
      <c r="P2424" s="245"/>
      <c r="Q2424" s="247"/>
      <c r="R2424" s="247"/>
      <c r="S2424" s="247"/>
      <c r="T2424" s="245"/>
      <c r="U2424" s="245"/>
      <c r="V2424" s="241"/>
      <c r="W2424" s="241"/>
      <c r="X2424" s="241"/>
    </row>
    <row r="2425" spans="1:24" ht="13.5" customHeight="1" x14ac:dyDescent="0.3">
      <c r="A2425" s="245"/>
      <c r="B2425" s="246"/>
      <c r="C2425" s="245"/>
      <c r="D2425" s="245"/>
      <c r="E2425" s="245"/>
      <c r="F2425" s="245"/>
      <c r="G2425" s="245"/>
      <c r="H2425" s="245"/>
      <c r="I2425" s="245"/>
      <c r="J2425" s="245"/>
      <c r="K2425" s="245"/>
      <c r="L2425" s="246"/>
      <c r="M2425" s="245"/>
      <c r="N2425" s="245"/>
      <c r="O2425" s="245"/>
      <c r="P2425" s="245"/>
      <c r="Q2425" s="247"/>
      <c r="R2425" s="247"/>
      <c r="S2425" s="247"/>
      <c r="T2425" s="245"/>
      <c r="U2425" s="245"/>
      <c r="V2425" s="241"/>
      <c r="W2425" s="241"/>
      <c r="X2425" s="241"/>
    </row>
    <row r="2426" spans="1:24" ht="13.5" customHeight="1" x14ac:dyDescent="0.3">
      <c r="A2426" s="245"/>
      <c r="B2426" s="246"/>
      <c r="C2426" s="245"/>
      <c r="D2426" s="245"/>
      <c r="E2426" s="245"/>
      <c r="F2426" s="245"/>
      <c r="G2426" s="245"/>
      <c r="H2426" s="245"/>
      <c r="I2426" s="245"/>
      <c r="J2426" s="245"/>
      <c r="K2426" s="245"/>
      <c r="L2426" s="246"/>
      <c r="M2426" s="245"/>
      <c r="N2426" s="245"/>
      <c r="O2426" s="245"/>
      <c r="P2426" s="245"/>
      <c r="Q2426" s="247"/>
      <c r="R2426" s="247"/>
      <c r="S2426" s="247"/>
      <c r="T2426" s="245"/>
      <c r="U2426" s="245"/>
      <c r="V2426" s="241"/>
      <c r="W2426" s="241"/>
      <c r="X2426" s="241"/>
    </row>
    <row r="2427" spans="1:24" ht="13.5" customHeight="1" x14ac:dyDescent="0.3">
      <c r="A2427" s="245"/>
      <c r="B2427" s="246"/>
      <c r="C2427" s="245"/>
      <c r="D2427" s="245"/>
      <c r="E2427" s="245"/>
      <c r="F2427" s="245"/>
      <c r="G2427" s="245"/>
      <c r="H2427" s="245"/>
      <c r="I2427" s="245"/>
      <c r="J2427" s="245"/>
      <c r="K2427" s="245"/>
      <c r="L2427" s="246"/>
      <c r="M2427" s="245"/>
      <c r="N2427" s="245"/>
      <c r="O2427" s="245"/>
      <c r="P2427" s="245"/>
      <c r="Q2427" s="247"/>
      <c r="R2427" s="247"/>
      <c r="S2427" s="247"/>
      <c r="T2427" s="245"/>
      <c r="U2427" s="245"/>
      <c r="V2427" s="241"/>
      <c r="W2427" s="241"/>
      <c r="X2427" s="241"/>
    </row>
    <row r="2428" spans="1:24" ht="13.5" customHeight="1" x14ac:dyDescent="0.3">
      <c r="A2428" s="245"/>
      <c r="B2428" s="246"/>
      <c r="C2428" s="245"/>
      <c r="D2428" s="245"/>
      <c r="E2428" s="245"/>
      <c r="F2428" s="245"/>
      <c r="G2428" s="245"/>
      <c r="H2428" s="245"/>
      <c r="I2428" s="245"/>
      <c r="J2428" s="245"/>
      <c r="K2428" s="245"/>
      <c r="L2428" s="246"/>
      <c r="M2428" s="245"/>
      <c r="N2428" s="245"/>
      <c r="O2428" s="245"/>
      <c r="P2428" s="245"/>
      <c r="Q2428" s="247"/>
      <c r="R2428" s="247"/>
      <c r="S2428" s="247"/>
      <c r="T2428" s="245"/>
      <c r="U2428" s="245"/>
      <c r="V2428" s="241"/>
      <c r="W2428" s="241"/>
      <c r="X2428" s="241"/>
    </row>
    <row r="2429" spans="1:24" ht="13.5" customHeight="1" x14ac:dyDescent="0.3">
      <c r="A2429" s="245"/>
      <c r="B2429" s="246"/>
      <c r="C2429" s="245"/>
      <c r="D2429" s="245"/>
      <c r="E2429" s="245"/>
      <c r="F2429" s="245"/>
      <c r="G2429" s="245"/>
      <c r="H2429" s="245"/>
      <c r="I2429" s="245"/>
      <c r="J2429" s="245"/>
      <c r="K2429" s="245"/>
      <c r="L2429" s="246"/>
      <c r="M2429" s="245"/>
      <c r="N2429" s="245"/>
      <c r="O2429" s="245"/>
      <c r="P2429" s="245"/>
      <c r="Q2429" s="247"/>
      <c r="R2429" s="247"/>
      <c r="S2429" s="247"/>
      <c r="T2429" s="245"/>
      <c r="U2429" s="245"/>
      <c r="V2429" s="241"/>
      <c r="W2429" s="241"/>
      <c r="X2429" s="241"/>
    </row>
    <row r="2430" spans="1:24" ht="13.5" customHeight="1" x14ac:dyDescent="0.3">
      <c r="A2430" s="245"/>
      <c r="B2430" s="246"/>
      <c r="C2430" s="245"/>
      <c r="D2430" s="245"/>
      <c r="E2430" s="245"/>
      <c r="F2430" s="245"/>
      <c r="G2430" s="245"/>
      <c r="H2430" s="245"/>
      <c r="I2430" s="245"/>
      <c r="J2430" s="245"/>
      <c r="K2430" s="245"/>
      <c r="L2430" s="246"/>
      <c r="M2430" s="245"/>
      <c r="N2430" s="245"/>
      <c r="O2430" s="245"/>
      <c r="P2430" s="245"/>
      <c r="Q2430" s="247"/>
      <c r="R2430" s="247"/>
      <c r="S2430" s="247"/>
      <c r="T2430" s="245"/>
      <c r="U2430" s="245"/>
      <c r="V2430" s="241"/>
      <c r="W2430" s="241"/>
      <c r="X2430" s="241"/>
    </row>
    <row r="2431" spans="1:24" ht="13.5" customHeight="1" x14ac:dyDescent="0.3">
      <c r="A2431" s="245"/>
      <c r="B2431" s="246"/>
      <c r="C2431" s="245"/>
      <c r="D2431" s="245"/>
      <c r="E2431" s="245"/>
      <c r="F2431" s="245"/>
      <c r="G2431" s="245"/>
      <c r="H2431" s="245"/>
      <c r="I2431" s="245"/>
      <c r="J2431" s="245"/>
      <c r="K2431" s="245"/>
      <c r="L2431" s="246"/>
      <c r="M2431" s="245"/>
      <c r="N2431" s="245"/>
      <c r="O2431" s="245"/>
      <c r="P2431" s="245"/>
      <c r="Q2431" s="247"/>
      <c r="R2431" s="247"/>
      <c r="S2431" s="247"/>
      <c r="T2431" s="245"/>
      <c r="U2431" s="245"/>
      <c r="V2431" s="241"/>
      <c r="W2431" s="241"/>
      <c r="X2431" s="241"/>
    </row>
    <row r="2432" spans="1:24" ht="13.5" customHeight="1" x14ac:dyDescent="0.3">
      <c r="A2432" s="245"/>
      <c r="B2432" s="246"/>
      <c r="C2432" s="245"/>
      <c r="D2432" s="245"/>
      <c r="E2432" s="245"/>
      <c r="F2432" s="245"/>
      <c r="G2432" s="245"/>
      <c r="H2432" s="245"/>
      <c r="I2432" s="245"/>
      <c r="J2432" s="245"/>
      <c r="K2432" s="245"/>
      <c r="L2432" s="246"/>
      <c r="M2432" s="245"/>
      <c r="N2432" s="245"/>
      <c r="O2432" s="245"/>
      <c r="P2432" s="245"/>
      <c r="Q2432" s="247"/>
      <c r="R2432" s="247"/>
      <c r="S2432" s="247"/>
      <c r="T2432" s="245"/>
      <c r="U2432" s="245"/>
      <c r="V2432" s="241"/>
      <c r="W2432" s="241"/>
      <c r="X2432" s="241"/>
    </row>
    <row r="2433" spans="1:24" ht="13.5" customHeight="1" x14ac:dyDescent="0.3">
      <c r="A2433" s="245"/>
      <c r="B2433" s="246"/>
      <c r="C2433" s="245"/>
      <c r="D2433" s="245"/>
      <c r="E2433" s="245"/>
      <c r="F2433" s="245"/>
      <c r="G2433" s="245"/>
      <c r="H2433" s="245"/>
      <c r="I2433" s="245"/>
      <c r="J2433" s="245"/>
      <c r="K2433" s="245"/>
      <c r="L2433" s="246"/>
      <c r="M2433" s="245"/>
      <c r="N2433" s="245"/>
      <c r="O2433" s="245"/>
      <c r="P2433" s="245"/>
      <c r="Q2433" s="247"/>
      <c r="R2433" s="247"/>
      <c r="S2433" s="247"/>
      <c r="T2433" s="245"/>
      <c r="U2433" s="245"/>
      <c r="V2433" s="241"/>
      <c r="W2433" s="241"/>
      <c r="X2433" s="241"/>
    </row>
    <row r="2434" spans="1:24" ht="13.5" customHeight="1" x14ac:dyDescent="0.3">
      <c r="A2434" s="245"/>
      <c r="B2434" s="246"/>
      <c r="C2434" s="245"/>
      <c r="D2434" s="245"/>
      <c r="E2434" s="245"/>
      <c r="F2434" s="245"/>
      <c r="G2434" s="245"/>
      <c r="H2434" s="245"/>
      <c r="I2434" s="245"/>
      <c r="J2434" s="245"/>
      <c r="K2434" s="245"/>
      <c r="L2434" s="246"/>
      <c r="M2434" s="245"/>
      <c r="N2434" s="245"/>
      <c r="O2434" s="245"/>
      <c r="P2434" s="245"/>
      <c r="Q2434" s="247"/>
      <c r="R2434" s="247"/>
      <c r="S2434" s="247"/>
      <c r="T2434" s="245"/>
      <c r="U2434" s="245"/>
      <c r="V2434" s="241"/>
      <c r="W2434" s="241"/>
      <c r="X2434" s="241"/>
    </row>
    <row r="2435" spans="1:24" ht="13.5" customHeight="1" x14ac:dyDescent="0.3">
      <c r="A2435" s="245"/>
      <c r="B2435" s="246"/>
      <c r="C2435" s="245"/>
      <c r="D2435" s="245"/>
      <c r="E2435" s="245"/>
      <c r="F2435" s="245"/>
      <c r="G2435" s="245"/>
      <c r="H2435" s="245"/>
      <c r="I2435" s="245"/>
      <c r="J2435" s="245"/>
      <c r="K2435" s="245"/>
      <c r="L2435" s="246"/>
      <c r="M2435" s="245"/>
      <c r="N2435" s="245"/>
      <c r="O2435" s="245"/>
      <c r="P2435" s="245"/>
      <c r="Q2435" s="247"/>
      <c r="R2435" s="247"/>
      <c r="S2435" s="247"/>
      <c r="T2435" s="245"/>
      <c r="U2435" s="245"/>
      <c r="V2435" s="241"/>
      <c r="W2435" s="241"/>
      <c r="X2435" s="241"/>
    </row>
    <row r="2436" spans="1:24" ht="13.5" customHeight="1" x14ac:dyDescent="0.3">
      <c r="A2436" s="245"/>
      <c r="B2436" s="246"/>
      <c r="C2436" s="245"/>
      <c r="D2436" s="245"/>
      <c r="E2436" s="245"/>
      <c r="F2436" s="245"/>
      <c r="G2436" s="245"/>
      <c r="H2436" s="245"/>
      <c r="I2436" s="245"/>
      <c r="J2436" s="245"/>
      <c r="K2436" s="245"/>
      <c r="L2436" s="246"/>
      <c r="M2436" s="245"/>
      <c r="N2436" s="245"/>
      <c r="O2436" s="245"/>
      <c r="P2436" s="245"/>
      <c r="Q2436" s="247"/>
      <c r="R2436" s="247"/>
      <c r="S2436" s="247"/>
      <c r="T2436" s="245"/>
      <c r="U2436" s="245"/>
      <c r="V2436" s="241"/>
      <c r="W2436" s="241"/>
      <c r="X2436" s="241"/>
    </row>
    <row r="2437" spans="1:24" ht="13.5" customHeight="1" x14ac:dyDescent="0.3">
      <c r="A2437" s="245"/>
      <c r="B2437" s="246"/>
      <c r="C2437" s="245"/>
      <c r="D2437" s="245"/>
      <c r="E2437" s="245"/>
      <c r="F2437" s="245"/>
      <c r="G2437" s="245"/>
      <c r="H2437" s="245"/>
      <c r="I2437" s="245"/>
      <c r="J2437" s="245"/>
      <c r="K2437" s="245"/>
      <c r="L2437" s="246"/>
      <c r="M2437" s="245"/>
      <c r="N2437" s="245"/>
      <c r="O2437" s="245"/>
      <c r="P2437" s="245"/>
      <c r="Q2437" s="247"/>
      <c r="R2437" s="247"/>
      <c r="S2437" s="247"/>
      <c r="T2437" s="245"/>
      <c r="U2437" s="245"/>
      <c r="V2437" s="241"/>
      <c r="W2437" s="241"/>
      <c r="X2437" s="241"/>
    </row>
    <row r="2438" spans="1:24" ht="13.5" customHeight="1" x14ac:dyDescent="0.3">
      <c r="A2438" s="245"/>
      <c r="B2438" s="246"/>
      <c r="C2438" s="245"/>
      <c r="D2438" s="245"/>
      <c r="E2438" s="245"/>
      <c r="F2438" s="245"/>
      <c r="G2438" s="245"/>
      <c r="H2438" s="245"/>
      <c r="I2438" s="245"/>
      <c r="J2438" s="245"/>
      <c r="K2438" s="245"/>
      <c r="L2438" s="246"/>
      <c r="M2438" s="245"/>
      <c r="N2438" s="245"/>
      <c r="O2438" s="245"/>
      <c r="P2438" s="245"/>
      <c r="Q2438" s="247"/>
      <c r="R2438" s="247"/>
      <c r="S2438" s="247"/>
      <c r="T2438" s="245"/>
      <c r="U2438" s="245"/>
      <c r="V2438" s="241"/>
      <c r="W2438" s="241"/>
      <c r="X2438" s="241"/>
    </row>
    <row r="2439" spans="1:24" ht="13.5" customHeight="1" x14ac:dyDescent="0.3">
      <c r="A2439" s="245"/>
      <c r="B2439" s="246"/>
      <c r="C2439" s="245"/>
      <c r="D2439" s="245"/>
      <c r="E2439" s="245"/>
      <c r="F2439" s="245"/>
      <c r="G2439" s="245"/>
      <c r="H2439" s="245"/>
      <c r="I2439" s="245"/>
      <c r="J2439" s="245"/>
      <c r="K2439" s="245"/>
      <c r="L2439" s="246"/>
      <c r="M2439" s="245"/>
      <c r="N2439" s="245"/>
      <c r="O2439" s="245"/>
      <c r="P2439" s="245"/>
      <c r="Q2439" s="247"/>
      <c r="R2439" s="247"/>
      <c r="S2439" s="247"/>
      <c r="T2439" s="245"/>
      <c r="U2439" s="245"/>
      <c r="V2439" s="241"/>
      <c r="W2439" s="241"/>
      <c r="X2439" s="241"/>
    </row>
    <row r="2440" spans="1:24" ht="13.5" customHeight="1" x14ac:dyDescent="0.3">
      <c r="A2440" s="245"/>
      <c r="B2440" s="246"/>
      <c r="C2440" s="245"/>
      <c r="D2440" s="245"/>
      <c r="E2440" s="245"/>
      <c r="F2440" s="245"/>
      <c r="G2440" s="245"/>
      <c r="H2440" s="245"/>
      <c r="I2440" s="245"/>
      <c r="J2440" s="245"/>
      <c r="K2440" s="245"/>
      <c r="L2440" s="246"/>
      <c r="M2440" s="245"/>
      <c r="N2440" s="245"/>
      <c r="O2440" s="245"/>
      <c r="P2440" s="245"/>
      <c r="Q2440" s="247"/>
      <c r="R2440" s="247"/>
      <c r="S2440" s="247"/>
      <c r="T2440" s="245"/>
      <c r="U2440" s="245"/>
      <c r="V2440" s="241"/>
      <c r="W2440" s="241"/>
      <c r="X2440" s="241"/>
    </row>
    <row r="2441" spans="1:24" ht="13.5" customHeight="1" x14ac:dyDescent="0.3">
      <c r="A2441" s="245"/>
      <c r="B2441" s="246"/>
      <c r="C2441" s="245"/>
      <c r="D2441" s="245"/>
      <c r="E2441" s="245"/>
      <c r="F2441" s="245"/>
      <c r="G2441" s="245"/>
      <c r="H2441" s="245"/>
      <c r="I2441" s="245"/>
      <c r="J2441" s="245"/>
      <c r="K2441" s="245"/>
      <c r="L2441" s="246"/>
      <c r="M2441" s="245"/>
      <c r="N2441" s="245"/>
      <c r="O2441" s="245"/>
      <c r="P2441" s="245"/>
      <c r="Q2441" s="247"/>
      <c r="R2441" s="247"/>
      <c r="S2441" s="247"/>
      <c r="T2441" s="245"/>
      <c r="U2441" s="245"/>
      <c r="V2441" s="241"/>
      <c r="W2441" s="241"/>
      <c r="X2441" s="241"/>
    </row>
    <row r="2442" spans="1:24" ht="13.5" customHeight="1" x14ac:dyDescent="0.3">
      <c r="A2442" s="245"/>
      <c r="B2442" s="246"/>
      <c r="C2442" s="245"/>
      <c r="D2442" s="245"/>
      <c r="E2442" s="245"/>
      <c r="F2442" s="245"/>
      <c r="G2442" s="245"/>
      <c r="H2442" s="245"/>
      <c r="I2442" s="245"/>
      <c r="J2442" s="245"/>
      <c r="K2442" s="245"/>
      <c r="L2442" s="246"/>
      <c r="M2442" s="245"/>
      <c r="N2442" s="245"/>
      <c r="O2442" s="245"/>
      <c r="P2442" s="245"/>
      <c r="Q2442" s="247"/>
      <c r="R2442" s="247"/>
      <c r="S2442" s="247"/>
      <c r="T2442" s="245"/>
      <c r="U2442" s="245"/>
      <c r="V2442" s="241"/>
      <c r="W2442" s="241"/>
      <c r="X2442" s="241"/>
    </row>
    <row r="2443" spans="1:24" ht="13.5" customHeight="1" x14ac:dyDescent="0.3">
      <c r="A2443" s="245"/>
      <c r="B2443" s="246"/>
      <c r="C2443" s="245"/>
      <c r="D2443" s="245"/>
      <c r="E2443" s="245"/>
      <c r="F2443" s="245"/>
      <c r="G2443" s="245"/>
      <c r="H2443" s="245"/>
      <c r="I2443" s="245"/>
      <c r="J2443" s="245"/>
      <c r="K2443" s="245"/>
      <c r="L2443" s="246"/>
      <c r="M2443" s="245"/>
      <c r="N2443" s="245"/>
      <c r="O2443" s="245"/>
      <c r="P2443" s="245"/>
      <c r="Q2443" s="247"/>
      <c r="R2443" s="247"/>
      <c r="S2443" s="247"/>
      <c r="T2443" s="245"/>
      <c r="U2443" s="245"/>
      <c r="V2443" s="241"/>
      <c r="W2443" s="241"/>
      <c r="X2443" s="241"/>
    </row>
    <row r="2444" spans="1:24" ht="13.5" customHeight="1" x14ac:dyDescent="0.3">
      <c r="A2444" s="245"/>
      <c r="B2444" s="246"/>
      <c r="C2444" s="245"/>
      <c r="D2444" s="245"/>
      <c r="E2444" s="245"/>
      <c r="F2444" s="245"/>
      <c r="G2444" s="245"/>
      <c r="H2444" s="245"/>
      <c r="I2444" s="245"/>
      <c r="J2444" s="245"/>
      <c r="K2444" s="245"/>
      <c r="L2444" s="246"/>
      <c r="M2444" s="245"/>
      <c r="N2444" s="245"/>
      <c r="O2444" s="245"/>
      <c r="P2444" s="245"/>
      <c r="Q2444" s="247"/>
      <c r="R2444" s="247"/>
      <c r="S2444" s="247"/>
      <c r="T2444" s="245"/>
      <c r="U2444" s="245"/>
      <c r="V2444" s="241"/>
      <c r="W2444" s="241"/>
      <c r="X2444" s="241"/>
    </row>
    <row r="2445" spans="1:24" ht="13.5" customHeight="1" x14ac:dyDescent="0.3">
      <c r="A2445" s="245"/>
      <c r="B2445" s="246"/>
      <c r="C2445" s="245"/>
      <c r="D2445" s="245"/>
      <c r="E2445" s="245"/>
      <c r="F2445" s="245"/>
      <c r="G2445" s="245"/>
      <c r="H2445" s="245"/>
      <c r="I2445" s="245"/>
      <c r="J2445" s="245"/>
      <c r="K2445" s="245"/>
      <c r="L2445" s="246"/>
      <c r="M2445" s="245"/>
      <c r="N2445" s="245"/>
      <c r="O2445" s="245"/>
      <c r="P2445" s="245"/>
      <c r="Q2445" s="247"/>
      <c r="R2445" s="247"/>
      <c r="S2445" s="247"/>
      <c r="T2445" s="245"/>
      <c r="U2445" s="245"/>
      <c r="V2445" s="241"/>
      <c r="W2445" s="241"/>
      <c r="X2445" s="241"/>
    </row>
    <row r="2446" spans="1:24" ht="13.5" customHeight="1" x14ac:dyDescent="0.3">
      <c r="A2446" s="245"/>
      <c r="B2446" s="246"/>
      <c r="C2446" s="245"/>
      <c r="D2446" s="245"/>
      <c r="E2446" s="245"/>
      <c r="F2446" s="245"/>
      <c r="G2446" s="245"/>
      <c r="H2446" s="245"/>
      <c r="I2446" s="245"/>
      <c r="J2446" s="245"/>
      <c r="K2446" s="245"/>
      <c r="L2446" s="246"/>
      <c r="M2446" s="245"/>
      <c r="N2446" s="245"/>
      <c r="O2446" s="245"/>
      <c r="P2446" s="245"/>
      <c r="Q2446" s="247"/>
      <c r="R2446" s="247"/>
      <c r="S2446" s="247"/>
      <c r="T2446" s="245"/>
      <c r="U2446" s="245"/>
      <c r="V2446" s="241"/>
      <c r="W2446" s="241"/>
      <c r="X2446" s="241"/>
    </row>
    <row r="2447" spans="1:24" ht="13.5" customHeight="1" x14ac:dyDescent="0.3">
      <c r="A2447" s="245"/>
      <c r="B2447" s="246"/>
      <c r="C2447" s="245"/>
      <c r="D2447" s="245"/>
      <c r="E2447" s="245"/>
      <c r="F2447" s="245"/>
      <c r="G2447" s="245"/>
      <c r="H2447" s="245"/>
      <c r="I2447" s="245"/>
      <c r="J2447" s="245"/>
      <c r="K2447" s="245"/>
      <c r="L2447" s="246"/>
      <c r="M2447" s="245"/>
      <c r="N2447" s="245"/>
      <c r="O2447" s="245"/>
      <c r="P2447" s="245"/>
      <c r="Q2447" s="247"/>
      <c r="R2447" s="247"/>
      <c r="S2447" s="247"/>
      <c r="T2447" s="245"/>
      <c r="U2447" s="245"/>
      <c r="V2447" s="241"/>
      <c r="W2447" s="241"/>
      <c r="X2447" s="241"/>
    </row>
    <row r="2448" spans="1:24" ht="13.5" customHeight="1" x14ac:dyDescent="0.3">
      <c r="A2448" s="245"/>
      <c r="B2448" s="246"/>
      <c r="C2448" s="245"/>
      <c r="D2448" s="245"/>
      <c r="E2448" s="245"/>
      <c r="F2448" s="245"/>
      <c r="G2448" s="245"/>
      <c r="H2448" s="245"/>
      <c r="I2448" s="245"/>
      <c r="J2448" s="245"/>
      <c r="K2448" s="245"/>
      <c r="L2448" s="246"/>
      <c r="M2448" s="245"/>
      <c r="N2448" s="245"/>
      <c r="O2448" s="245"/>
      <c r="P2448" s="245"/>
      <c r="Q2448" s="247"/>
      <c r="R2448" s="247"/>
      <c r="S2448" s="247"/>
      <c r="T2448" s="245"/>
      <c r="U2448" s="245"/>
      <c r="V2448" s="241"/>
      <c r="W2448" s="241"/>
      <c r="X2448" s="241"/>
    </row>
    <row r="2449" spans="1:24" ht="13.5" customHeight="1" x14ac:dyDescent="0.3">
      <c r="A2449" s="245"/>
      <c r="B2449" s="246"/>
      <c r="C2449" s="245"/>
      <c r="D2449" s="245"/>
      <c r="E2449" s="245"/>
      <c r="F2449" s="245"/>
      <c r="G2449" s="245"/>
      <c r="H2449" s="245"/>
      <c r="I2449" s="245"/>
      <c r="J2449" s="245"/>
      <c r="K2449" s="245"/>
      <c r="L2449" s="246"/>
      <c r="M2449" s="245"/>
      <c r="N2449" s="245"/>
      <c r="O2449" s="245"/>
      <c r="P2449" s="245"/>
      <c r="Q2449" s="247"/>
      <c r="R2449" s="247"/>
      <c r="S2449" s="247"/>
      <c r="T2449" s="245"/>
      <c r="U2449" s="245"/>
      <c r="V2449" s="241"/>
      <c r="W2449" s="241"/>
      <c r="X2449" s="241"/>
    </row>
    <row r="2450" spans="1:24" ht="13.5" customHeight="1" x14ac:dyDescent="0.3">
      <c r="A2450" s="245"/>
      <c r="B2450" s="246"/>
      <c r="C2450" s="245"/>
      <c r="D2450" s="245"/>
      <c r="E2450" s="245"/>
      <c r="F2450" s="245"/>
      <c r="G2450" s="245"/>
      <c r="H2450" s="245"/>
      <c r="I2450" s="245"/>
      <c r="J2450" s="245"/>
      <c r="K2450" s="245"/>
      <c r="L2450" s="246"/>
      <c r="M2450" s="245"/>
      <c r="N2450" s="245"/>
      <c r="O2450" s="245"/>
      <c r="P2450" s="245"/>
      <c r="Q2450" s="247"/>
      <c r="R2450" s="247"/>
      <c r="S2450" s="247"/>
      <c r="T2450" s="245"/>
      <c r="U2450" s="245"/>
      <c r="V2450" s="241"/>
      <c r="W2450" s="241"/>
      <c r="X2450" s="241"/>
    </row>
    <row r="2451" spans="1:24" ht="13.5" customHeight="1" x14ac:dyDescent="0.3">
      <c r="A2451" s="245"/>
      <c r="B2451" s="246"/>
      <c r="C2451" s="245"/>
      <c r="D2451" s="245"/>
      <c r="E2451" s="245"/>
      <c r="F2451" s="245"/>
      <c r="G2451" s="245"/>
      <c r="H2451" s="245"/>
      <c r="I2451" s="245"/>
      <c r="J2451" s="245"/>
      <c r="K2451" s="245"/>
      <c r="L2451" s="246"/>
      <c r="M2451" s="245"/>
      <c r="N2451" s="245"/>
      <c r="O2451" s="245"/>
      <c r="P2451" s="245"/>
      <c r="Q2451" s="247"/>
      <c r="R2451" s="247"/>
      <c r="S2451" s="247"/>
      <c r="T2451" s="245"/>
      <c r="U2451" s="245"/>
      <c r="V2451" s="241"/>
      <c r="W2451" s="241"/>
      <c r="X2451" s="241"/>
    </row>
    <row r="2452" spans="1:24" ht="13.5" customHeight="1" x14ac:dyDescent="0.3">
      <c r="A2452" s="245"/>
      <c r="B2452" s="246"/>
      <c r="C2452" s="245"/>
      <c r="D2452" s="245"/>
      <c r="E2452" s="245"/>
      <c r="F2452" s="245"/>
      <c r="G2452" s="245"/>
      <c r="H2452" s="245"/>
      <c r="I2452" s="245"/>
      <c r="J2452" s="245"/>
      <c r="K2452" s="245"/>
      <c r="L2452" s="246"/>
      <c r="M2452" s="245"/>
      <c r="N2452" s="245"/>
      <c r="O2452" s="245"/>
      <c r="P2452" s="245"/>
      <c r="Q2452" s="247"/>
      <c r="R2452" s="247"/>
      <c r="S2452" s="247"/>
      <c r="T2452" s="245"/>
      <c r="U2452" s="245"/>
      <c r="V2452" s="241"/>
      <c r="W2452" s="241"/>
      <c r="X2452" s="241"/>
    </row>
    <row r="2453" spans="1:24" ht="13.5" customHeight="1" x14ac:dyDescent="0.3">
      <c r="A2453" s="245"/>
      <c r="B2453" s="246"/>
      <c r="C2453" s="245"/>
      <c r="D2453" s="245"/>
      <c r="E2453" s="245"/>
      <c r="F2453" s="245"/>
      <c r="G2453" s="245"/>
      <c r="H2453" s="245"/>
      <c r="I2453" s="245"/>
      <c r="J2453" s="245"/>
      <c r="K2453" s="245"/>
      <c r="L2453" s="246"/>
      <c r="M2453" s="245"/>
      <c r="N2453" s="245"/>
      <c r="O2453" s="245"/>
      <c r="P2453" s="245"/>
      <c r="Q2453" s="247"/>
      <c r="R2453" s="247"/>
      <c r="S2453" s="247"/>
      <c r="T2453" s="245"/>
      <c r="U2453" s="245"/>
      <c r="V2453" s="241"/>
      <c r="W2453" s="241"/>
      <c r="X2453" s="241"/>
    </row>
    <row r="2454" spans="1:24" ht="13.5" customHeight="1" x14ac:dyDescent="0.3">
      <c r="A2454" s="245"/>
      <c r="B2454" s="246"/>
      <c r="C2454" s="245"/>
      <c r="D2454" s="245"/>
      <c r="E2454" s="245"/>
      <c r="F2454" s="245"/>
      <c r="G2454" s="245"/>
      <c r="H2454" s="245"/>
      <c r="I2454" s="245"/>
      <c r="J2454" s="245"/>
      <c r="K2454" s="245"/>
      <c r="L2454" s="246"/>
      <c r="M2454" s="245"/>
      <c r="N2454" s="245"/>
      <c r="O2454" s="245"/>
      <c r="P2454" s="245"/>
      <c r="Q2454" s="247"/>
      <c r="R2454" s="247"/>
      <c r="S2454" s="247"/>
      <c r="T2454" s="245"/>
      <c r="U2454" s="245"/>
      <c r="V2454" s="241"/>
      <c r="W2454" s="241"/>
      <c r="X2454" s="241"/>
    </row>
    <row r="2455" spans="1:24" ht="13.5" customHeight="1" x14ac:dyDescent="0.3">
      <c r="A2455" s="245"/>
      <c r="B2455" s="246"/>
      <c r="C2455" s="245"/>
      <c r="D2455" s="245"/>
      <c r="E2455" s="245"/>
      <c r="F2455" s="245"/>
      <c r="G2455" s="245"/>
      <c r="H2455" s="245"/>
      <c r="I2455" s="245"/>
      <c r="J2455" s="245"/>
      <c r="K2455" s="245"/>
      <c r="L2455" s="246"/>
      <c r="M2455" s="245"/>
      <c r="N2455" s="245"/>
      <c r="O2455" s="245"/>
      <c r="P2455" s="245"/>
      <c r="Q2455" s="247"/>
      <c r="R2455" s="247"/>
      <c r="S2455" s="247"/>
      <c r="T2455" s="245"/>
      <c r="U2455" s="245"/>
      <c r="V2455" s="241"/>
      <c r="W2455" s="241"/>
      <c r="X2455" s="241"/>
    </row>
    <row r="2456" spans="1:24" ht="13.5" customHeight="1" x14ac:dyDescent="0.3">
      <c r="A2456" s="245"/>
      <c r="B2456" s="246"/>
      <c r="C2456" s="245"/>
      <c r="D2456" s="245"/>
      <c r="E2456" s="245"/>
      <c r="F2456" s="245"/>
      <c r="G2456" s="245"/>
      <c r="H2456" s="245"/>
      <c r="I2456" s="245"/>
      <c r="J2456" s="245"/>
      <c r="K2456" s="245"/>
      <c r="L2456" s="246"/>
      <c r="M2456" s="245"/>
      <c r="N2456" s="245"/>
      <c r="O2456" s="245"/>
      <c r="P2456" s="245"/>
      <c r="Q2456" s="247"/>
      <c r="R2456" s="247"/>
      <c r="S2456" s="247"/>
      <c r="T2456" s="245"/>
      <c r="U2456" s="245"/>
      <c r="V2456" s="241"/>
      <c r="W2456" s="241"/>
      <c r="X2456" s="241"/>
    </row>
    <row r="2457" spans="1:24" ht="13.5" customHeight="1" x14ac:dyDescent="0.3">
      <c r="A2457" s="245"/>
      <c r="B2457" s="246"/>
      <c r="C2457" s="245"/>
      <c r="D2457" s="245"/>
      <c r="E2457" s="245"/>
      <c r="F2457" s="245"/>
      <c r="G2457" s="245"/>
      <c r="H2457" s="245"/>
      <c r="I2457" s="245"/>
      <c r="J2457" s="245"/>
      <c r="K2457" s="245"/>
      <c r="L2457" s="246"/>
      <c r="M2457" s="245"/>
      <c r="N2457" s="245"/>
      <c r="O2457" s="245"/>
      <c r="P2457" s="245"/>
      <c r="Q2457" s="247"/>
      <c r="R2457" s="247"/>
      <c r="S2457" s="247"/>
      <c r="T2457" s="245"/>
      <c r="U2457" s="245"/>
      <c r="V2457" s="241"/>
      <c r="W2457" s="241"/>
      <c r="X2457" s="241"/>
    </row>
    <row r="2458" spans="1:24" ht="13.5" customHeight="1" x14ac:dyDescent="0.3">
      <c r="A2458" s="245"/>
      <c r="B2458" s="246"/>
      <c r="C2458" s="245"/>
      <c r="D2458" s="245"/>
      <c r="E2458" s="245"/>
      <c r="F2458" s="245"/>
      <c r="G2458" s="245"/>
      <c r="H2458" s="245"/>
      <c r="I2458" s="245"/>
      <c r="J2458" s="245"/>
      <c r="K2458" s="245"/>
      <c r="L2458" s="246"/>
      <c r="M2458" s="245"/>
      <c r="N2458" s="245"/>
      <c r="O2458" s="245"/>
      <c r="P2458" s="245"/>
      <c r="Q2458" s="247"/>
      <c r="R2458" s="247"/>
      <c r="S2458" s="247"/>
      <c r="T2458" s="245"/>
      <c r="U2458" s="245"/>
      <c r="V2458" s="241"/>
      <c r="W2458" s="241"/>
      <c r="X2458" s="241"/>
    </row>
    <row r="2459" spans="1:24" ht="13.5" customHeight="1" x14ac:dyDescent="0.3">
      <c r="A2459" s="245"/>
      <c r="B2459" s="246"/>
      <c r="C2459" s="245"/>
      <c r="D2459" s="245"/>
      <c r="E2459" s="245"/>
      <c r="F2459" s="245"/>
      <c r="G2459" s="245"/>
      <c r="H2459" s="245"/>
      <c r="I2459" s="245"/>
      <c r="J2459" s="245"/>
      <c r="K2459" s="245"/>
      <c r="L2459" s="246"/>
      <c r="M2459" s="245"/>
      <c r="N2459" s="245"/>
      <c r="O2459" s="245"/>
      <c r="P2459" s="245"/>
      <c r="Q2459" s="247"/>
      <c r="R2459" s="247"/>
      <c r="S2459" s="247"/>
      <c r="T2459" s="245"/>
      <c r="U2459" s="245"/>
      <c r="V2459" s="241"/>
      <c r="W2459" s="241"/>
      <c r="X2459" s="241"/>
    </row>
    <row r="2460" spans="1:24" ht="13.5" customHeight="1" x14ac:dyDescent="0.3">
      <c r="A2460" s="245"/>
      <c r="B2460" s="246"/>
      <c r="C2460" s="245"/>
      <c r="D2460" s="245"/>
      <c r="E2460" s="245"/>
      <c r="F2460" s="245"/>
      <c r="G2460" s="245"/>
      <c r="H2460" s="245"/>
      <c r="I2460" s="245"/>
      <c r="J2460" s="245"/>
      <c r="K2460" s="245"/>
      <c r="L2460" s="246"/>
      <c r="M2460" s="245"/>
      <c r="N2460" s="245"/>
      <c r="O2460" s="245"/>
      <c r="P2460" s="245"/>
      <c r="Q2460" s="247"/>
      <c r="R2460" s="247"/>
      <c r="S2460" s="247"/>
      <c r="T2460" s="245"/>
      <c r="U2460" s="245"/>
      <c r="V2460" s="241"/>
      <c r="W2460" s="241"/>
      <c r="X2460" s="241"/>
    </row>
    <row r="2461" spans="1:24" ht="13.5" customHeight="1" x14ac:dyDescent="0.3">
      <c r="A2461" s="245"/>
      <c r="B2461" s="246"/>
      <c r="C2461" s="245"/>
      <c r="D2461" s="245"/>
      <c r="E2461" s="245"/>
      <c r="F2461" s="245"/>
      <c r="G2461" s="245"/>
      <c r="H2461" s="245"/>
      <c r="I2461" s="245"/>
      <c r="J2461" s="245"/>
      <c r="K2461" s="245"/>
      <c r="L2461" s="246"/>
      <c r="M2461" s="245"/>
      <c r="N2461" s="245"/>
      <c r="O2461" s="245"/>
      <c r="P2461" s="245"/>
      <c r="Q2461" s="247"/>
      <c r="R2461" s="247"/>
      <c r="S2461" s="247"/>
      <c r="T2461" s="245"/>
      <c r="U2461" s="245"/>
      <c r="V2461" s="241"/>
      <c r="W2461" s="241"/>
      <c r="X2461" s="241"/>
    </row>
    <row r="2462" spans="1:24" ht="13.5" customHeight="1" x14ac:dyDescent="0.3">
      <c r="A2462" s="245"/>
      <c r="B2462" s="246"/>
      <c r="C2462" s="245"/>
      <c r="D2462" s="245"/>
      <c r="E2462" s="245"/>
      <c r="F2462" s="245"/>
      <c r="G2462" s="245"/>
      <c r="H2462" s="245"/>
      <c r="I2462" s="245"/>
      <c r="J2462" s="245"/>
      <c r="K2462" s="245"/>
      <c r="L2462" s="246"/>
      <c r="M2462" s="245"/>
      <c r="N2462" s="245"/>
      <c r="O2462" s="245"/>
      <c r="P2462" s="245"/>
      <c r="Q2462" s="247"/>
      <c r="R2462" s="247"/>
      <c r="S2462" s="247"/>
      <c r="T2462" s="245"/>
      <c r="U2462" s="245"/>
      <c r="V2462" s="241"/>
      <c r="W2462" s="241"/>
      <c r="X2462" s="241"/>
    </row>
    <row r="2463" spans="1:24" ht="13.5" customHeight="1" x14ac:dyDescent="0.3">
      <c r="A2463" s="245"/>
      <c r="B2463" s="246"/>
      <c r="C2463" s="245"/>
      <c r="D2463" s="245"/>
      <c r="E2463" s="245"/>
      <c r="F2463" s="245"/>
      <c r="G2463" s="245"/>
      <c r="H2463" s="245"/>
      <c r="I2463" s="245"/>
      <c r="J2463" s="245"/>
      <c r="K2463" s="245"/>
      <c r="L2463" s="246"/>
      <c r="M2463" s="245"/>
      <c r="N2463" s="245"/>
      <c r="O2463" s="245"/>
      <c r="P2463" s="245"/>
      <c r="Q2463" s="247"/>
      <c r="R2463" s="247"/>
      <c r="S2463" s="247"/>
      <c r="T2463" s="245"/>
      <c r="U2463" s="245"/>
      <c r="V2463" s="241"/>
      <c r="W2463" s="241"/>
      <c r="X2463" s="241"/>
    </row>
    <row r="2464" spans="1:24" ht="13.5" customHeight="1" x14ac:dyDescent="0.3">
      <c r="A2464" s="245"/>
      <c r="B2464" s="246"/>
      <c r="C2464" s="245"/>
      <c r="D2464" s="245"/>
      <c r="E2464" s="245"/>
      <c r="F2464" s="245"/>
      <c r="G2464" s="245"/>
      <c r="H2464" s="245"/>
      <c r="I2464" s="245"/>
      <c r="J2464" s="245"/>
      <c r="K2464" s="245"/>
      <c r="L2464" s="246"/>
      <c r="M2464" s="245"/>
      <c r="N2464" s="245"/>
      <c r="O2464" s="245"/>
      <c r="P2464" s="245"/>
      <c r="Q2464" s="247"/>
      <c r="R2464" s="247"/>
      <c r="S2464" s="247"/>
      <c r="T2464" s="245"/>
      <c r="U2464" s="245"/>
      <c r="V2464" s="241"/>
      <c r="W2464" s="241"/>
      <c r="X2464" s="241"/>
    </row>
    <row r="2465" spans="1:24" ht="13.5" customHeight="1" x14ac:dyDescent="0.3">
      <c r="A2465" s="245"/>
      <c r="B2465" s="246"/>
      <c r="C2465" s="245"/>
      <c r="D2465" s="245"/>
      <c r="E2465" s="245"/>
      <c r="F2465" s="245"/>
      <c r="G2465" s="245"/>
      <c r="H2465" s="245"/>
      <c r="I2465" s="245"/>
      <c r="J2465" s="245"/>
      <c r="K2465" s="245"/>
      <c r="L2465" s="246"/>
      <c r="M2465" s="245"/>
      <c r="N2465" s="245"/>
      <c r="O2465" s="245"/>
      <c r="P2465" s="245"/>
      <c r="Q2465" s="247"/>
      <c r="R2465" s="247"/>
      <c r="S2465" s="247"/>
      <c r="T2465" s="245"/>
      <c r="U2465" s="245"/>
      <c r="V2465" s="241"/>
      <c r="W2465" s="241"/>
      <c r="X2465" s="241"/>
    </row>
    <row r="2466" spans="1:24" ht="13.5" customHeight="1" x14ac:dyDescent="0.3">
      <c r="A2466" s="245"/>
      <c r="B2466" s="246"/>
      <c r="C2466" s="245"/>
      <c r="D2466" s="245"/>
      <c r="E2466" s="245"/>
      <c r="F2466" s="245"/>
      <c r="G2466" s="245"/>
      <c r="H2466" s="245"/>
      <c r="I2466" s="245"/>
      <c r="J2466" s="245"/>
      <c r="K2466" s="245"/>
      <c r="L2466" s="246"/>
      <c r="M2466" s="245"/>
      <c r="N2466" s="245"/>
      <c r="O2466" s="245"/>
      <c r="P2466" s="245"/>
      <c r="Q2466" s="247"/>
      <c r="R2466" s="247"/>
      <c r="S2466" s="247"/>
      <c r="T2466" s="245"/>
      <c r="U2466" s="245"/>
      <c r="V2466" s="241"/>
      <c r="W2466" s="241"/>
      <c r="X2466" s="241"/>
    </row>
    <row r="2467" spans="1:24" ht="13.5" customHeight="1" x14ac:dyDescent="0.3">
      <c r="A2467" s="245"/>
      <c r="B2467" s="246"/>
      <c r="C2467" s="245"/>
      <c r="D2467" s="245"/>
      <c r="E2467" s="245"/>
      <c r="F2467" s="245"/>
      <c r="G2467" s="245"/>
      <c r="H2467" s="245"/>
      <c r="I2467" s="245"/>
      <c r="J2467" s="245"/>
      <c r="K2467" s="245"/>
      <c r="L2467" s="246"/>
      <c r="M2467" s="245"/>
      <c r="N2467" s="245"/>
      <c r="O2467" s="245"/>
      <c r="P2467" s="245"/>
      <c r="Q2467" s="247"/>
      <c r="R2467" s="247"/>
      <c r="S2467" s="247"/>
      <c r="T2467" s="245"/>
      <c r="U2467" s="245"/>
      <c r="V2467" s="241"/>
      <c r="W2467" s="241"/>
      <c r="X2467" s="241"/>
    </row>
    <row r="2468" spans="1:24" ht="13.5" customHeight="1" x14ac:dyDescent="0.3">
      <c r="A2468" s="245"/>
      <c r="B2468" s="246"/>
      <c r="C2468" s="245"/>
      <c r="D2468" s="245"/>
      <c r="E2468" s="245"/>
      <c r="F2468" s="245"/>
      <c r="G2468" s="245"/>
      <c r="H2468" s="245"/>
      <c r="I2468" s="245"/>
      <c r="J2468" s="245"/>
      <c r="K2468" s="245"/>
      <c r="L2468" s="246"/>
      <c r="M2468" s="245"/>
      <c r="N2468" s="245"/>
      <c r="O2468" s="245"/>
      <c r="P2468" s="245"/>
      <c r="Q2468" s="247"/>
      <c r="R2468" s="247"/>
      <c r="S2468" s="247"/>
      <c r="T2468" s="245"/>
      <c r="U2468" s="245"/>
      <c r="V2468" s="241"/>
      <c r="W2468" s="241"/>
      <c r="X2468" s="241"/>
    </row>
    <row r="2469" spans="1:24" ht="13.5" customHeight="1" x14ac:dyDescent="0.3">
      <c r="A2469" s="245"/>
      <c r="B2469" s="246"/>
      <c r="C2469" s="245"/>
      <c r="D2469" s="245"/>
      <c r="E2469" s="245"/>
      <c r="F2469" s="245"/>
      <c r="G2469" s="245"/>
      <c r="H2469" s="245"/>
      <c r="I2469" s="245"/>
      <c r="J2469" s="245"/>
      <c r="K2469" s="245"/>
      <c r="L2469" s="246"/>
      <c r="M2469" s="245"/>
      <c r="N2469" s="245"/>
      <c r="O2469" s="245"/>
      <c r="P2469" s="245"/>
      <c r="Q2469" s="247"/>
      <c r="R2469" s="247"/>
      <c r="S2469" s="247"/>
      <c r="T2469" s="245"/>
      <c r="U2469" s="245"/>
      <c r="V2469" s="241"/>
      <c r="W2469" s="241"/>
      <c r="X2469" s="241"/>
    </row>
    <row r="2470" spans="1:24" ht="13.5" customHeight="1" x14ac:dyDescent="0.3">
      <c r="A2470" s="245"/>
      <c r="B2470" s="246"/>
      <c r="C2470" s="245"/>
      <c r="D2470" s="245"/>
      <c r="E2470" s="245"/>
      <c r="F2470" s="245"/>
      <c r="G2470" s="245"/>
      <c r="H2470" s="245"/>
      <c r="I2470" s="245"/>
      <c r="J2470" s="245"/>
      <c r="K2470" s="245"/>
      <c r="L2470" s="246"/>
      <c r="M2470" s="245"/>
      <c r="N2470" s="245"/>
      <c r="O2470" s="245"/>
      <c r="P2470" s="245"/>
      <c r="Q2470" s="247"/>
      <c r="R2470" s="247"/>
      <c r="S2470" s="247"/>
      <c r="T2470" s="245"/>
      <c r="U2470" s="245"/>
      <c r="V2470" s="241"/>
      <c r="W2470" s="241"/>
      <c r="X2470" s="241"/>
    </row>
    <row r="2471" spans="1:24" ht="13.5" customHeight="1" x14ac:dyDescent="0.3">
      <c r="A2471" s="245"/>
      <c r="B2471" s="246"/>
      <c r="C2471" s="245"/>
      <c r="D2471" s="245"/>
      <c r="E2471" s="245"/>
      <c r="F2471" s="245"/>
      <c r="G2471" s="245"/>
      <c r="H2471" s="245"/>
      <c r="I2471" s="245"/>
      <c r="J2471" s="245"/>
      <c r="K2471" s="245"/>
      <c r="L2471" s="246"/>
      <c r="M2471" s="245"/>
      <c r="N2471" s="245"/>
      <c r="O2471" s="245"/>
      <c r="P2471" s="245"/>
      <c r="Q2471" s="247"/>
      <c r="R2471" s="247"/>
      <c r="S2471" s="247"/>
      <c r="T2471" s="245"/>
      <c r="U2471" s="245"/>
      <c r="V2471" s="241"/>
      <c r="W2471" s="241"/>
      <c r="X2471" s="241"/>
    </row>
    <row r="2472" spans="1:24" ht="13.5" customHeight="1" x14ac:dyDescent="0.3">
      <c r="A2472" s="245"/>
      <c r="B2472" s="246"/>
      <c r="C2472" s="245"/>
      <c r="D2472" s="245"/>
      <c r="E2472" s="245"/>
      <c r="F2472" s="245"/>
      <c r="G2472" s="245"/>
      <c r="H2472" s="245"/>
      <c r="I2472" s="245"/>
      <c r="J2472" s="245"/>
      <c r="K2472" s="245"/>
      <c r="L2472" s="246"/>
      <c r="M2472" s="245"/>
      <c r="N2472" s="245"/>
      <c r="O2472" s="245"/>
      <c r="P2472" s="245"/>
      <c r="Q2472" s="247"/>
      <c r="R2472" s="247"/>
      <c r="S2472" s="247"/>
      <c r="T2472" s="245"/>
      <c r="U2472" s="245"/>
      <c r="V2472" s="241"/>
      <c r="W2472" s="241"/>
      <c r="X2472" s="241"/>
    </row>
    <row r="2473" spans="1:24" ht="13.5" customHeight="1" x14ac:dyDescent="0.3">
      <c r="A2473" s="245"/>
      <c r="B2473" s="246"/>
      <c r="C2473" s="245"/>
      <c r="D2473" s="245"/>
      <c r="E2473" s="245"/>
      <c r="F2473" s="245"/>
      <c r="G2473" s="245"/>
      <c r="H2473" s="245"/>
      <c r="I2473" s="245"/>
      <c r="J2473" s="245"/>
      <c r="K2473" s="245"/>
      <c r="L2473" s="246"/>
      <c r="M2473" s="245"/>
      <c r="N2473" s="245"/>
      <c r="O2473" s="245"/>
      <c r="P2473" s="245"/>
      <c r="Q2473" s="247"/>
      <c r="R2473" s="247"/>
      <c r="S2473" s="247"/>
      <c r="T2473" s="245"/>
      <c r="U2473" s="245"/>
      <c r="V2473" s="241"/>
      <c r="W2473" s="241"/>
      <c r="X2473" s="241"/>
    </row>
    <row r="2474" spans="1:24" ht="13.5" customHeight="1" x14ac:dyDescent="0.3">
      <c r="A2474" s="245"/>
      <c r="B2474" s="246"/>
      <c r="C2474" s="245"/>
      <c r="D2474" s="245"/>
      <c r="E2474" s="245"/>
      <c r="F2474" s="245"/>
      <c r="G2474" s="245"/>
      <c r="H2474" s="245"/>
      <c r="I2474" s="245"/>
      <c r="J2474" s="245"/>
      <c r="K2474" s="245"/>
      <c r="L2474" s="246"/>
      <c r="M2474" s="245"/>
      <c r="N2474" s="245"/>
      <c r="O2474" s="245"/>
      <c r="P2474" s="245"/>
      <c r="Q2474" s="247"/>
      <c r="R2474" s="247"/>
      <c r="S2474" s="247"/>
      <c r="T2474" s="245"/>
      <c r="U2474" s="245"/>
      <c r="V2474" s="241"/>
      <c r="W2474" s="241"/>
      <c r="X2474" s="241"/>
    </row>
    <row r="2475" spans="1:24" ht="13.5" customHeight="1" x14ac:dyDescent="0.3">
      <c r="A2475" s="245"/>
      <c r="B2475" s="246"/>
      <c r="C2475" s="245"/>
      <c r="D2475" s="245"/>
      <c r="E2475" s="245"/>
      <c r="F2475" s="245"/>
      <c r="G2475" s="245"/>
      <c r="H2475" s="245"/>
      <c r="I2475" s="245"/>
      <c r="J2475" s="245"/>
      <c r="K2475" s="245"/>
      <c r="L2475" s="246"/>
      <c r="M2475" s="245"/>
      <c r="N2475" s="245"/>
      <c r="O2475" s="245"/>
      <c r="P2475" s="245"/>
      <c r="Q2475" s="247"/>
      <c r="R2475" s="247"/>
      <c r="S2475" s="247"/>
      <c r="T2475" s="245"/>
      <c r="U2475" s="245"/>
      <c r="V2475" s="241"/>
      <c r="W2475" s="241"/>
      <c r="X2475" s="241"/>
    </row>
    <row r="2476" spans="1:24" ht="13.5" customHeight="1" x14ac:dyDescent="0.3">
      <c r="A2476" s="245"/>
      <c r="B2476" s="246"/>
      <c r="C2476" s="245"/>
      <c r="D2476" s="245"/>
      <c r="E2476" s="245"/>
      <c r="F2476" s="245"/>
      <c r="G2476" s="245"/>
      <c r="H2476" s="245"/>
      <c r="I2476" s="245"/>
      <c r="J2476" s="245"/>
      <c r="K2476" s="245"/>
      <c r="L2476" s="246"/>
      <c r="M2476" s="245"/>
      <c r="N2476" s="245"/>
      <c r="O2476" s="245"/>
      <c r="P2476" s="245"/>
      <c r="Q2476" s="247"/>
      <c r="R2476" s="247"/>
      <c r="S2476" s="247"/>
      <c r="T2476" s="245"/>
      <c r="U2476" s="245"/>
      <c r="V2476" s="241"/>
      <c r="W2476" s="241"/>
      <c r="X2476" s="241"/>
    </row>
    <row r="2477" spans="1:24" ht="13.5" customHeight="1" x14ac:dyDescent="0.3">
      <c r="A2477" s="245"/>
      <c r="B2477" s="246"/>
      <c r="C2477" s="245"/>
      <c r="D2477" s="245"/>
      <c r="E2477" s="245"/>
      <c r="F2477" s="245"/>
      <c r="G2477" s="245"/>
      <c r="H2477" s="245"/>
      <c r="I2477" s="245"/>
      <c r="J2477" s="245"/>
      <c r="K2477" s="245"/>
      <c r="L2477" s="246"/>
      <c r="M2477" s="245"/>
      <c r="N2477" s="245"/>
      <c r="O2477" s="245"/>
      <c r="P2477" s="245"/>
      <c r="Q2477" s="247"/>
      <c r="R2477" s="247"/>
      <c r="S2477" s="247"/>
      <c r="T2477" s="245"/>
      <c r="U2477" s="245"/>
      <c r="V2477" s="241"/>
      <c r="W2477" s="241"/>
      <c r="X2477" s="241"/>
    </row>
    <row r="2478" spans="1:24" ht="13.5" customHeight="1" x14ac:dyDescent="0.3">
      <c r="A2478" s="245"/>
      <c r="B2478" s="246"/>
      <c r="C2478" s="245"/>
      <c r="D2478" s="245"/>
      <c r="E2478" s="245"/>
      <c r="F2478" s="245"/>
      <c r="G2478" s="245"/>
      <c r="H2478" s="245"/>
      <c r="I2478" s="245"/>
      <c r="J2478" s="245"/>
      <c r="K2478" s="245"/>
      <c r="L2478" s="246"/>
      <c r="M2478" s="245"/>
      <c r="N2478" s="245"/>
      <c r="O2478" s="245"/>
      <c r="P2478" s="245"/>
      <c r="Q2478" s="247"/>
      <c r="R2478" s="247"/>
      <c r="S2478" s="247"/>
      <c r="T2478" s="245"/>
      <c r="U2478" s="245"/>
      <c r="V2478" s="241"/>
      <c r="W2478" s="241"/>
      <c r="X2478" s="241"/>
    </row>
    <row r="2479" spans="1:24" ht="13.5" customHeight="1" x14ac:dyDescent="0.3">
      <c r="A2479" s="245"/>
      <c r="B2479" s="246"/>
      <c r="C2479" s="245"/>
      <c r="D2479" s="245"/>
      <c r="E2479" s="245"/>
      <c r="F2479" s="245"/>
      <c r="G2479" s="245"/>
      <c r="H2479" s="245"/>
      <c r="I2479" s="245"/>
      <c r="J2479" s="245"/>
      <c r="K2479" s="245"/>
      <c r="L2479" s="246"/>
      <c r="M2479" s="245"/>
      <c r="N2479" s="245"/>
      <c r="O2479" s="245"/>
      <c r="P2479" s="245"/>
      <c r="Q2479" s="247"/>
      <c r="R2479" s="247"/>
      <c r="S2479" s="247"/>
      <c r="T2479" s="245"/>
      <c r="U2479" s="245"/>
      <c r="V2479" s="241"/>
      <c r="W2479" s="241"/>
      <c r="X2479" s="241"/>
    </row>
    <row r="2480" spans="1:24" ht="13.5" customHeight="1" x14ac:dyDescent="0.3">
      <c r="A2480" s="245"/>
      <c r="B2480" s="246"/>
      <c r="C2480" s="245"/>
      <c r="D2480" s="245"/>
      <c r="E2480" s="245"/>
      <c r="F2480" s="245"/>
      <c r="G2480" s="245"/>
      <c r="H2480" s="245"/>
      <c r="I2480" s="245"/>
      <c r="J2480" s="245"/>
      <c r="K2480" s="245"/>
      <c r="L2480" s="246"/>
      <c r="M2480" s="245"/>
      <c r="N2480" s="245"/>
      <c r="O2480" s="245"/>
      <c r="P2480" s="245"/>
      <c r="Q2480" s="247"/>
      <c r="R2480" s="247"/>
      <c r="S2480" s="247"/>
      <c r="T2480" s="245"/>
      <c r="U2480" s="245"/>
      <c r="V2480" s="241"/>
      <c r="W2480" s="241"/>
      <c r="X2480" s="241"/>
    </row>
    <row r="2481" spans="1:24" ht="13.5" customHeight="1" x14ac:dyDescent="0.3">
      <c r="A2481" s="245"/>
      <c r="B2481" s="246"/>
      <c r="C2481" s="245"/>
      <c r="D2481" s="245"/>
      <c r="E2481" s="245"/>
      <c r="F2481" s="245"/>
      <c r="G2481" s="245"/>
      <c r="H2481" s="245"/>
      <c r="I2481" s="245"/>
      <c r="J2481" s="245"/>
      <c r="K2481" s="245"/>
      <c r="L2481" s="246"/>
      <c r="M2481" s="245"/>
      <c r="N2481" s="245"/>
      <c r="O2481" s="245"/>
      <c r="P2481" s="245"/>
      <c r="Q2481" s="247"/>
      <c r="R2481" s="247"/>
      <c r="S2481" s="247"/>
      <c r="T2481" s="245"/>
      <c r="U2481" s="245"/>
      <c r="V2481" s="241"/>
      <c r="W2481" s="241"/>
      <c r="X2481" s="241"/>
    </row>
    <row r="2482" spans="1:24" ht="13.5" customHeight="1" x14ac:dyDescent="0.3">
      <c r="A2482" s="245"/>
      <c r="B2482" s="246"/>
      <c r="C2482" s="245"/>
      <c r="D2482" s="245"/>
      <c r="E2482" s="245"/>
      <c r="F2482" s="245"/>
      <c r="G2482" s="245"/>
      <c r="H2482" s="245"/>
      <c r="I2482" s="245"/>
      <c r="J2482" s="245"/>
      <c r="K2482" s="245"/>
      <c r="L2482" s="246"/>
      <c r="M2482" s="245"/>
      <c r="N2482" s="245"/>
      <c r="O2482" s="245"/>
      <c r="P2482" s="245"/>
      <c r="Q2482" s="247"/>
      <c r="R2482" s="247"/>
      <c r="S2482" s="247"/>
      <c r="T2482" s="245"/>
      <c r="U2482" s="245"/>
      <c r="V2482" s="241"/>
      <c r="W2482" s="241"/>
      <c r="X2482" s="241"/>
    </row>
    <row r="2483" spans="1:24" ht="13.5" customHeight="1" x14ac:dyDescent="0.3">
      <c r="A2483" s="245"/>
      <c r="B2483" s="246"/>
      <c r="C2483" s="245"/>
      <c r="D2483" s="245"/>
      <c r="E2483" s="245"/>
      <c r="F2483" s="245"/>
      <c r="G2483" s="245"/>
      <c r="H2483" s="245"/>
      <c r="I2483" s="245"/>
      <c r="J2483" s="245"/>
      <c r="K2483" s="245"/>
      <c r="L2483" s="246"/>
      <c r="M2483" s="245"/>
      <c r="N2483" s="245"/>
      <c r="O2483" s="245"/>
      <c r="P2483" s="245"/>
      <c r="Q2483" s="247"/>
      <c r="R2483" s="247"/>
      <c r="S2483" s="247"/>
      <c r="T2483" s="245"/>
      <c r="U2483" s="245"/>
      <c r="V2483" s="241"/>
      <c r="W2483" s="241"/>
      <c r="X2483" s="241"/>
    </row>
    <row r="2484" spans="1:24" ht="13.5" customHeight="1" x14ac:dyDescent="0.3">
      <c r="A2484" s="245"/>
      <c r="B2484" s="246"/>
      <c r="C2484" s="245"/>
      <c r="D2484" s="245"/>
      <c r="E2484" s="245"/>
      <c r="F2484" s="245"/>
      <c r="G2484" s="245"/>
      <c r="H2484" s="245"/>
      <c r="I2484" s="245"/>
      <c r="J2484" s="245"/>
      <c r="K2484" s="245"/>
      <c r="L2484" s="246"/>
      <c r="M2484" s="245"/>
      <c r="N2484" s="245"/>
      <c r="O2484" s="245"/>
      <c r="P2484" s="245"/>
      <c r="Q2484" s="247"/>
      <c r="R2484" s="247"/>
      <c r="S2484" s="247"/>
      <c r="T2484" s="245"/>
      <c r="U2484" s="245"/>
      <c r="V2484" s="241"/>
      <c r="W2484" s="241"/>
      <c r="X2484" s="241"/>
    </row>
    <row r="2485" spans="1:24" ht="13.5" customHeight="1" x14ac:dyDescent="0.3">
      <c r="A2485" s="245"/>
      <c r="B2485" s="246"/>
      <c r="C2485" s="245"/>
      <c r="D2485" s="245"/>
      <c r="E2485" s="245"/>
      <c r="F2485" s="245"/>
      <c r="G2485" s="245"/>
      <c r="H2485" s="245"/>
      <c r="I2485" s="245"/>
      <c r="J2485" s="245"/>
      <c r="K2485" s="245"/>
      <c r="L2485" s="246"/>
      <c r="M2485" s="245"/>
      <c r="N2485" s="245"/>
      <c r="O2485" s="245"/>
      <c r="P2485" s="245"/>
      <c r="Q2485" s="247"/>
      <c r="R2485" s="247"/>
      <c r="S2485" s="247"/>
      <c r="T2485" s="245"/>
      <c r="U2485" s="245"/>
      <c r="V2485" s="241"/>
      <c r="W2485" s="241"/>
      <c r="X2485" s="241"/>
    </row>
    <row r="2486" spans="1:24" ht="13.5" customHeight="1" x14ac:dyDescent="0.3">
      <c r="A2486" s="245"/>
      <c r="B2486" s="246"/>
      <c r="C2486" s="245"/>
      <c r="D2486" s="245"/>
      <c r="E2486" s="245"/>
      <c r="F2486" s="245"/>
      <c r="G2486" s="245"/>
      <c r="H2486" s="245"/>
      <c r="I2486" s="245"/>
      <c r="J2486" s="245"/>
      <c r="K2486" s="245"/>
      <c r="L2486" s="246"/>
      <c r="M2486" s="245"/>
      <c r="N2486" s="245"/>
      <c r="O2486" s="245"/>
      <c r="P2486" s="245"/>
      <c r="Q2486" s="247"/>
      <c r="R2486" s="247"/>
      <c r="S2486" s="247"/>
      <c r="T2486" s="245"/>
      <c r="U2486" s="245"/>
      <c r="V2486" s="241"/>
      <c r="W2486" s="241"/>
      <c r="X2486" s="241"/>
    </row>
    <row r="2487" spans="1:24" ht="13.5" customHeight="1" x14ac:dyDescent="0.3">
      <c r="A2487" s="245"/>
      <c r="B2487" s="246"/>
      <c r="C2487" s="245"/>
      <c r="D2487" s="245"/>
      <c r="E2487" s="245"/>
      <c r="F2487" s="245"/>
      <c r="G2487" s="245"/>
      <c r="H2487" s="245"/>
      <c r="I2487" s="245"/>
      <c r="J2487" s="245"/>
      <c r="K2487" s="245"/>
      <c r="L2487" s="246"/>
      <c r="M2487" s="245"/>
      <c r="N2487" s="245"/>
      <c r="O2487" s="245"/>
      <c r="P2487" s="245"/>
      <c r="Q2487" s="247"/>
      <c r="R2487" s="247"/>
      <c r="S2487" s="247"/>
      <c r="T2487" s="245"/>
      <c r="U2487" s="245"/>
      <c r="V2487" s="241"/>
      <c r="W2487" s="241"/>
      <c r="X2487" s="241"/>
    </row>
    <row r="2488" spans="1:24" ht="13.5" customHeight="1" x14ac:dyDescent="0.3">
      <c r="A2488" s="245"/>
      <c r="B2488" s="246"/>
      <c r="C2488" s="245"/>
      <c r="D2488" s="245"/>
      <c r="E2488" s="245"/>
      <c r="F2488" s="245"/>
      <c r="G2488" s="245"/>
      <c r="H2488" s="245"/>
      <c r="I2488" s="245"/>
      <c r="J2488" s="245"/>
      <c r="K2488" s="245"/>
      <c r="L2488" s="246"/>
      <c r="M2488" s="245"/>
      <c r="N2488" s="245"/>
      <c r="O2488" s="245"/>
      <c r="P2488" s="245"/>
      <c r="Q2488" s="247"/>
      <c r="R2488" s="247"/>
      <c r="S2488" s="247"/>
      <c r="T2488" s="245"/>
      <c r="U2488" s="245"/>
      <c r="V2488" s="241"/>
      <c r="W2488" s="241"/>
      <c r="X2488" s="241"/>
    </row>
    <row r="2489" spans="1:24" ht="13.5" customHeight="1" x14ac:dyDescent="0.3">
      <c r="A2489" s="245"/>
      <c r="B2489" s="246"/>
      <c r="C2489" s="245"/>
      <c r="D2489" s="245"/>
      <c r="E2489" s="245"/>
      <c r="F2489" s="245"/>
      <c r="G2489" s="245"/>
      <c r="H2489" s="245"/>
      <c r="I2489" s="245"/>
      <c r="J2489" s="245"/>
      <c r="K2489" s="245"/>
      <c r="L2489" s="246"/>
      <c r="M2489" s="245"/>
      <c r="N2489" s="245"/>
      <c r="O2489" s="245"/>
      <c r="P2489" s="245"/>
      <c r="Q2489" s="247"/>
      <c r="R2489" s="247"/>
      <c r="S2489" s="247"/>
      <c r="T2489" s="245"/>
      <c r="U2489" s="245"/>
      <c r="V2489" s="241"/>
      <c r="W2489" s="241"/>
      <c r="X2489" s="241"/>
    </row>
    <row r="2490" spans="1:24" ht="13.5" customHeight="1" x14ac:dyDescent="0.3">
      <c r="A2490" s="245"/>
      <c r="B2490" s="246"/>
      <c r="C2490" s="245"/>
      <c r="D2490" s="245"/>
      <c r="E2490" s="245"/>
      <c r="F2490" s="245"/>
      <c r="G2490" s="245"/>
      <c r="H2490" s="245"/>
      <c r="I2490" s="245"/>
      <c r="J2490" s="245"/>
      <c r="K2490" s="245"/>
      <c r="L2490" s="246"/>
      <c r="M2490" s="245"/>
      <c r="N2490" s="245"/>
      <c r="O2490" s="245"/>
      <c r="P2490" s="245"/>
      <c r="Q2490" s="247"/>
      <c r="R2490" s="247"/>
      <c r="S2490" s="247"/>
      <c r="T2490" s="245"/>
      <c r="U2490" s="245"/>
      <c r="V2490" s="241"/>
      <c r="W2490" s="241"/>
      <c r="X2490" s="241"/>
    </row>
    <row r="2491" spans="1:24" ht="13.5" customHeight="1" x14ac:dyDescent="0.3">
      <c r="A2491" s="245"/>
      <c r="B2491" s="246"/>
      <c r="C2491" s="245"/>
      <c r="D2491" s="245"/>
      <c r="E2491" s="245"/>
      <c r="F2491" s="245"/>
      <c r="G2491" s="245"/>
      <c r="H2491" s="245"/>
      <c r="I2491" s="245"/>
      <c r="J2491" s="245"/>
      <c r="K2491" s="245"/>
      <c r="L2491" s="246"/>
      <c r="M2491" s="245"/>
      <c r="N2491" s="245"/>
      <c r="O2491" s="245"/>
      <c r="P2491" s="245"/>
      <c r="Q2491" s="247"/>
      <c r="R2491" s="247"/>
      <c r="S2491" s="247"/>
      <c r="T2491" s="245"/>
      <c r="U2491" s="245"/>
      <c r="V2491" s="241"/>
      <c r="W2491" s="241"/>
      <c r="X2491" s="241"/>
    </row>
    <row r="2492" spans="1:24" ht="13.5" customHeight="1" x14ac:dyDescent="0.3">
      <c r="A2492" s="245"/>
      <c r="B2492" s="246"/>
      <c r="C2492" s="245"/>
      <c r="D2492" s="245"/>
      <c r="E2492" s="245"/>
      <c r="F2492" s="245"/>
      <c r="G2492" s="245"/>
      <c r="H2492" s="245"/>
      <c r="I2492" s="245"/>
      <c r="J2492" s="245"/>
      <c r="K2492" s="245"/>
      <c r="L2492" s="246"/>
      <c r="M2492" s="245"/>
      <c r="N2492" s="245"/>
      <c r="O2492" s="245"/>
      <c r="P2492" s="245"/>
      <c r="Q2492" s="247"/>
      <c r="R2492" s="247"/>
      <c r="S2492" s="247"/>
      <c r="T2492" s="245"/>
      <c r="U2492" s="245"/>
      <c r="V2492" s="241"/>
      <c r="W2492" s="241"/>
      <c r="X2492" s="241"/>
    </row>
    <row r="2493" spans="1:24" ht="13.5" customHeight="1" x14ac:dyDescent="0.3">
      <c r="A2493" s="245"/>
      <c r="B2493" s="246"/>
      <c r="C2493" s="245"/>
      <c r="D2493" s="245"/>
      <c r="E2493" s="245"/>
      <c r="F2493" s="245"/>
      <c r="G2493" s="245"/>
      <c r="H2493" s="245"/>
      <c r="I2493" s="245"/>
      <c r="J2493" s="245"/>
      <c r="K2493" s="245"/>
      <c r="L2493" s="246"/>
      <c r="M2493" s="245"/>
      <c r="N2493" s="245"/>
      <c r="O2493" s="245"/>
      <c r="P2493" s="245"/>
      <c r="Q2493" s="247"/>
      <c r="R2493" s="247"/>
      <c r="S2493" s="247"/>
      <c r="T2493" s="245"/>
      <c r="U2493" s="245"/>
      <c r="V2493" s="241"/>
      <c r="W2493" s="241"/>
      <c r="X2493" s="241"/>
    </row>
    <row r="2494" spans="1:24" ht="13.5" customHeight="1" x14ac:dyDescent="0.3">
      <c r="A2494" s="245"/>
      <c r="B2494" s="246"/>
      <c r="C2494" s="245"/>
      <c r="D2494" s="245"/>
      <c r="E2494" s="245"/>
      <c r="F2494" s="245"/>
      <c r="G2494" s="245"/>
      <c r="H2494" s="245"/>
      <c r="I2494" s="245"/>
      <c r="J2494" s="245"/>
      <c r="K2494" s="245"/>
      <c r="L2494" s="246"/>
      <c r="M2494" s="245"/>
      <c r="N2494" s="245"/>
      <c r="O2494" s="245"/>
      <c r="P2494" s="245"/>
      <c r="Q2494" s="247"/>
      <c r="R2494" s="247"/>
      <c r="S2494" s="247"/>
      <c r="T2494" s="245"/>
      <c r="U2494" s="245"/>
      <c r="V2494" s="241"/>
      <c r="W2494" s="241"/>
      <c r="X2494" s="241"/>
    </row>
    <row r="2495" spans="1:24" ht="13.5" customHeight="1" x14ac:dyDescent="0.3">
      <c r="A2495" s="245"/>
      <c r="B2495" s="246"/>
      <c r="C2495" s="245"/>
      <c r="D2495" s="245"/>
      <c r="E2495" s="245"/>
      <c r="F2495" s="245"/>
      <c r="G2495" s="245"/>
      <c r="H2495" s="245"/>
      <c r="I2495" s="245"/>
      <c r="J2495" s="245"/>
      <c r="K2495" s="245"/>
      <c r="L2495" s="246"/>
      <c r="M2495" s="245"/>
      <c r="N2495" s="245"/>
      <c r="O2495" s="245"/>
      <c r="P2495" s="245"/>
      <c r="Q2495" s="247"/>
      <c r="R2495" s="247"/>
      <c r="S2495" s="247"/>
      <c r="T2495" s="245"/>
      <c r="U2495" s="245"/>
      <c r="V2495" s="241"/>
      <c r="W2495" s="241"/>
      <c r="X2495" s="241"/>
    </row>
    <row r="2496" spans="1:24" ht="13.5" customHeight="1" x14ac:dyDescent="0.3">
      <c r="A2496" s="245"/>
      <c r="B2496" s="246"/>
      <c r="C2496" s="245"/>
      <c r="D2496" s="245"/>
      <c r="E2496" s="245"/>
      <c r="F2496" s="245"/>
      <c r="G2496" s="245"/>
      <c r="H2496" s="245"/>
      <c r="I2496" s="245"/>
      <c r="J2496" s="245"/>
      <c r="K2496" s="245"/>
      <c r="L2496" s="246"/>
      <c r="M2496" s="245"/>
      <c r="N2496" s="245"/>
      <c r="O2496" s="245"/>
      <c r="P2496" s="245"/>
      <c r="Q2496" s="247"/>
      <c r="R2496" s="247"/>
      <c r="S2496" s="247"/>
      <c r="T2496" s="245"/>
      <c r="U2496" s="245"/>
      <c r="V2496" s="241"/>
      <c r="W2496" s="241"/>
      <c r="X2496" s="241"/>
    </row>
    <row r="2497" spans="1:24" ht="13.5" customHeight="1" x14ac:dyDescent="0.3">
      <c r="A2497" s="245"/>
      <c r="B2497" s="246"/>
      <c r="C2497" s="245"/>
      <c r="D2497" s="245"/>
      <c r="E2497" s="245"/>
      <c r="F2497" s="245"/>
      <c r="G2497" s="245"/>
      <c r="H2497" s="245"/>
      <c r="I2497" s="245"/>
      <c r="J2497" s="245"/>
      <c r="K2497" s="245"/>
      <c r="L2497" s="246"/>
      <c r="M2497" s="245"/>
      <c r="N2497" s="245"/>
      <c r="O2497" s="245"/>
      <c r="P2497" s="245"/>
      <c r="Q2497" s="247"/>
      <c r="R2497" s="247"/>
      <c r="S2497" s="247"/>
      <c r="T2497" s="245"/>
      <c r="U2497" s="245"/>
      <c r="V2497" s="241"/>
      <c r="W2497" s="241"/>
      <c r="X2497" s="241"/>
    </row>
    <row r="2498" spans="1:24" ht="13.5" customHeight="1" x14ac:dyDescent="0.3">
      <c r="A2498" s="245"/>
      <c r="B2498" s="246"/>
      <c r="C2498" s="245"/>
      <c r="D2498" s="245"/>
      <c r="E2498" s="245"/>
      <c r="F2498" s="245"/>
      <c r="G2498" s="245"/>
      <c r="H2498" s="245"/>
      <c r="I2498" s="245"/>
      <c r="J2498" s="245"/>
      <c r="K2498" s="245"/>
      <c r="L2498" s="246"/>
      <c r="M2498" s="245"/>
      <c r="N2498" s="245"/>
      <c r="O2498" s="245"/>
      <c r="P2498" s="245"/>
      <c r="Q2498" s="247"/>
      <c r="R2498" s="247"/>
      <c r="S2498" s="247"/>
      <c r="T2498" s="245"/>
      <c r="U2498" s="245"/>
      <c r="V2498" s="241"/>
      <c r="W2498" s="241"/>
      <c r="X2498" s="241"/>
    </row>
    <row r="2499" spans="1:24" ht="13.5" customHeight="1" x14ac:dyDescent="0.3">
      <c r="A2499" s="245"/>
      <c r="B2499" s="246"/>
      <c r="C2499" s="245"/>
      <c r="D2499" s="245"/>
      <c r="E2499" s="245"/>
      <c r="F2499" s="245"/>
      <c r="G2499" s="245"/>
      <c r="H2499" s="245"/>
      <c r="I2499" s="245"/>
      <c r="J2499" s="245"/>
      <c r="K2499" s="245"/>
      <c r="L2499" s="246"/>
      <c r="M2499" s="245"/>
      <c r="N2499" s="245"/>
      <c r="O2499" s="245"/>
      <c r="P2499" s="245"/>
      <c r="Q2499" s="247"/>
      <c r="R2499" s="247"/>
      <c r="S2499" s="247"/>
      <c r="T2499" s="245"/>
      <c r="U2499" s="245"/>
      <c r="V2499" s="241"/>
      <c r="W2499" s="241"/>
      <c r="X2499" s="241"/>
    </row>
    <row r="2500" spans="1:24" ht="13.5" customHeight="1" x14ac:dyDescent="0.3">
      <c r="A2500" s="245"/>
      <c r="B2500" s="246"/>
      <c r="C2500" s="245"/>
      <c r="D2500" s="245"/>
      <c r="E2500" s="245"/>
      <c r="F2500" s="245"/>
      <c r="G2500" s="245"/>
      <c r="H2500" s="245"/>
      <c r="I2500" s="245"/>
      <c r="J2500" s="245"/>
      <c r="K2500" s="245"/>
      <c r="L2500" s="246"/>
      <c r="M2500" s="245"/>
      <c r="N2500" s="245"/>
      <c r="O2500" s="245"/>
      <c r="P2500" s="245"/>
      <c r="Q2500" s="247"/>
      <c r="R2500" s="247"/>
      <c r="S2500" s="247"/>
      <c r="T2500" s="245"/>
      <c r="U2500" s="245"/>
      <c r="V2500" s="241"/>
      <c r="W2500" s="241"/>
      <c r="X2500" s="241"/>
    </row>
    <row r="2501" spans="1:24" ht="13.5" customHeight="1" x14ac:dyDescent="0.3">
      <c r="A2501" s="245"/>
      <c r="B2501" s="246"/>
      <c r="C2501" s="245"/>
      <c r="D2501" s="245"/>
      <c r="E2501" s="245"/>
      <c r="F2501" s="245"/>
      <c r="G2501" s="245"/>
      <c r="H2501" s="245"/>
      <c r="I2501" s="245"/>
      <c r="J2501" s="245"/>
      <c r="K2501" s="245"/>
      <c r="L2501" s="246"/>
      <c r="M2501" s="245"/>
      <c r="N2501" s="245"/>
      <c r="O2501" s="245"/>
      <c r="P2501" s="245"/>
      <c r="Q2501" s="247"/>
      <c r="R2501" s="247"/>
      <c r="S2501" s="247"/>
      <c r="T2501" s="245"/>
      <c r="U2501" s="245"/>
      <c r="V2501" s="241"/>
      <c r="W2501" s="241"/>
      <c r="X2501" s="241"/>
    </row>
    <row r="2502" spans="1:24" ht="13.5" customHeight="1" x14ac:dyDescent="0.3">
      <c r="A2502" s="245"/>
      <c r="B2502" s="246"/>
      <c r="C2502" s="245"/>
      <c r="D2502" s="245"/>
      <c r="E2502" s="245"/>
      <c r="F2502" s="245"/>
      <c r="G2502" s="245"/>
      <c r="H2502" s="245"/>
      <c r="I2502" s="245"/>
      <c r="J2502" s="245"/>
      <c r="K2502" s="245"/>
      <c r="L2502" s="246"/>
      <c r="M2502" s="245"/>
      <c r="N2502" s="245"/>
      <c r="O2502" s="245"/>
      <c r="P2502" s="245"/>
      <c r="Q2502" s="247"/>
      <c r="R2502" s="247"/>
      <c r="S2502" s="247"/>
      <c r="T2502" s="245"/>
      <c r="U2502" s="245"/>
      <c r="V2502" s="241"/>
      <c r="W2502" s="241"/>
      <c r="X2502" s="241"/>
    </row>
    <row r="2503" spans="1:24" ht="13.5" customHeight="1" x14ac:dyDescent="0.3">
      <c r="A2503" s="245"/>
      <c r="B2503" s="246"/>
      <c r="C2503" s="245"/>
      <c r="D2503" s="245"/>
      <c r="E2503" s="245"/>
      <c r="F2503" s="245"/>
      <c r="G2503" s="245"/>
      <c r="H2503" s="245"/>
      <c r="I2503" s="245"/>
      <c r="J2503" s="245"/>
      <c r="K2503" s="245"/>
      <c r="L2503" s="246"/>
      <c r="M2503" s="245"/>
      <c r="N2503" s="245"/>
      <c r="O2503" s="245"/>
      <c r="P2503" s="245"/>
      <c r="Q2503" s="247"/>
      <c r="R2503" s="247"/>
      <c r="S2503" s="247"/>
      <c r="T2503" s="245"/>
      <c r="U2503" s="245"/>
      <c r="V2503" s="241"/>
      <c r="W2503" s="241"/>
      <c r="X2503" s="241"/>
    </row>
    <row r="2504" spans="1:24" ht="13.5" customHeight="1" x14ac:dyDescent="0.3">
      <c r="A2504" s="245"/>
      <c r="B2504" s="246"/>
      <c r="C2504" s="245"/>
      <c r="D2504" s="245"/>
      <c r="E2504" s="245"/>
      <c r="F2504" s="245"/>
      <c r="G2504" s="245"/>
      <c r="H2504" s="245"/>
      <c r="I2504" s="245"/>
      <c r="J2504" s="245"/>
      <c r="K2504" s="245"/>
      <c r="L2504" s="246"/>
      <c r="M2504" s="245"/>
      <c r="N2504" s="245"/>
      <c r="O2504" s="245"/>
      <c r="P2504" s="245"/>
      <c r="Q2504" s="247"/>
      <c r="R2504" s="247"/>
      <c r="S2504" s="247"/>
      <c r="T2504" s="245"/>
      <c r="U2504" s="245"/>
      <c r="V2504" s="241"/>
      <c r="W2504" s="241"/>
      <c r="X2504" s="241"/>
    </row>
    <row r="2505" spans="1:24" ht="13.5" customHeight="1" x14ac:dyDescent="0.3">
      <c r="A2505" s="245"/>
      <c r="B2505" s="246"/>
      <c r="C2505" s="245"/>
      <c r="D2505" s="245"/>
      <c r="E2505" s="245"/>
      <c r="F2505" s="245"/>
      <c r="G2505" s="245"/>
      <c r="H2505" s="245"/>
      <c r="I2505" s="245"/>
      <c r="J2505" s="245"/>
      <c r="K2505" s="245"/>
      <c r="L2505" s="246"/>
      <c r="M2505" s="245"/>
      <c r="N2505" s="245"/>
      <c r="O2505" s="245"/>
      <c r="P2505" s="245"/>
      <c r="Q2505" s="247"/>
      <c r="R2505" s="247"/>
      <c r="S2505" s="247"/>
      <c r="T2505" s="245"/>
      <c r="U2505" s="245"/>
      <c r="V2505" s="241"/>
      <c r="W2505" s="241"/>
      <c r="X2505" s="241"/>
    </row>
    <row r="2506" spans="1:24" ht="13.5" customHeight="1" x14ac:dyDescent="0.3">
      <c r="A2506" s="245"/>
      <c r="B2506" s="246"/>
      <c r="C2506" s="245"/>
      <c r="D2506" s="245"/>
      <c r="E2506" s="245"/>
      <c r="F2506" s="245"/>
      <c r="G2506" s="245"/>
      <c r="H2506" s="245"/>
      <c r="I2506" s="245"/>
      <c r="J2506" s="245"/>
      <c r="K2506" s="245"/>
      <c r="L2506" s="246"/>
      <c r="M2506" s="245"/>
      <c r="N2506" s="245"/>
      <c r="O2506" s="245"/>
      <c r="P2506" s="245"/>
      <c r="Q2506" s="247"/>
      <c r="R2506" s="247"/>
      <c r="S2506" s="247"/>
      <c r="T2506" s="245"/>
      <c r="U2506" s="245"/>
      <c r="V2506" s="241"/>
      <c r="W2506" s="241"/>
      <c r="X2506" s="241"/>
    </row>
    <row r="2507" spans="1:24" ht="13.5" customHeight="1" x14ac:dyDescent="0.3">
      <c r="A2507" s="245"/>
      <c r="B2507" s="246"/>
      <c r="C2507" s="245"/>
      <c r="D2507" s="245"/>
      <c r="E2507" s="245"/>
      <c r="F2507" s="245"/>
      <c r="G2507" s="245"/>
      <c r="H2507" s="245"/>
      <c r="I2507" s="245"/>
      <c r="J2507" s="245"/>
      <c r="K2507" s="245"/>
      <c r="L2507" s="246"/>
      <c r="M2507" s="245"/>
      <c r="N2507" s="245"/>
      <c r="O2507" s="245"/>
      <c r="P2507" s="245"/>
      <c r="Q2507" s="247"/>
      <c r="R2507" s="247"/>
      <c r="S2507" s="247"/>
      <c r="T2507" s="245"/>
      <c r="U2507" s="245"/>
      <c r="V2507" s="241"/>
      <c r="W2507" s="241"/>
      <c r="X2507" s="241"/>
    </row>
    <row r="2508" spans="1:24" ht="13.5" customHeight="1" x14ac:dyDescent="0.3">
      <c r="A2508" s="245"/>
      <c r="B2508" s="246"/>
      <c r="C2508" s="245"/>
      <c r="D2508" s="245"/>
      <c r="E2508" s="245"/>
      <c r="F2508" s="245"/>
      <c r="G2508" s="245"/>
      <c r="H2508" s="245"/>
      <c r="I2508" s="245"/>
      <c r="J2508" s="245"/>
      <c r="K2508" s="245"/>
      <c r="L2508" s="246"/>
      <c r="M2508" s="245"/>
      <c r="N2508" s="245"/>
      <c r="O2508" s="245"/>
      <c r="P2508" s="245"/>
      <c r="Q2508" s="247"/>
      <c r="R2508" s="247"/>
      <c r="S2508" s="247"/>
      <c r="T2508" s="245"/>
      <c r="U2508" s="245"/>
      <c r="V2508" s="241"/>
      <c r="W2508" s="241"/>
      <c r="X2508" s="241"/>
    </row>
    <row r="2509" spans="1:24" ht="13.5" customHeight="1" x14ac:dyDescent="0.3">
      <c r="A2509" s="245"/>
      <c r="B2509" s="246"/>
      <c r="C2509" s="245"/>
      <c r="D2509" s="245"/>
      <c r="E2509" s="245"/>
      <c r="F2509" s="245"/>
      <c r="G2509" s="245"/>
      <c r="H2509" s="245"/>
      <c r="I2509" s="245"/>
      <c r="J2509" s="245"/>
      <c r="K2509" s="245"/>
      <c r="L2509" s="246"/>
      <c r="M2509" s="245"/>
      <c r="N2509" s="245"/>
      <c r="O2509" s="245"/>
      <c r="P2509" s="245"/>
      <c r="Q2509" s="247"/>
      <c r="R2509" s="247"/>
      <c r="S2509" s="247"/>
      <c r="T2509" s="245"/>
      <c r="U2509" s="245"/>
      <c r="V2509" s="241"/>
      <c r="W2509" s="241"/>
      <c r="X2509" s="241"/>
    </row>
    <row r="2510" spans="1:24" ht="13.5" customHeight="1" x14ac:dyDescent="0.3">
      <c r="A2510" s="245"/>
      <c r="B2510" s="246"/>
      <c r="C2510" s="245"/>
      <c r="D2510" s="245"/>
      <c r="E2510" s="245"/>
      <c r="F2510" s="245"/>
      <c r="G2510" s="245"/>
      <c r="H2510" s="245"/>
      <c r="I2510" s="245"/>
      <c r="J2510" s="245"/>
      <c r="K2510" s="245"/>
      <c r="L2510" s="246"/>
      <c r="M2510" s="245"/>
      <c r="N2510" s="245"/>
      <c r="O2510" s="245"/>
      <c r="P2510" s="245"/>
      <c r="Q2510" s="247"/>
      <c r="R2510" s="247"/>
      <c r="S2510" s="247"/>
      <c r="T2510" s="245"/>
      <c r="U2510" s="245"/>
      <c r="V2510" s="241"/>
      <c r="W2510" s="241"/>
      <c r="X2510" s="241"/>
    </row>
    <row r="2511" spans="1:24" ht="13.5" customHeight="1" x14ac:dyDescent="0.3">
      <c r="A2511" s="245"/>
      <c r="B2511" s="246"/>
      <c r="C2511" s="245"/>
      <c r="D2511" s="245"/>
      <c r="E2511" s="245"/>
      <c r="F2511" s="245"/>
      <c r="G2511" s="245"/>
      <c r="H2511" s="245"/>
      <c r="I2511" s="245"/>
      <c r="J2511" s="245"/>
      <c r="K2511" s="245"/>
      <c r="L2511" s="246"/>
      <c r="M2511" s="245"/>
      <c r="N2511" s="245"/>
      <c r="O2511" s="245"/>
      <c r="P2511" s="245"/>
      <c r="Q2511" s="247"/>
      <c r="R2511" s="247"/>
      <c r="S2511" s="247"/>
      <c r="T2511" s="245"/>
      <c r="U2511" s="245"/>
      <c r="V2511" s="241"/>
      <c r="W2511" s="241"/>
      <c r="X2511" s="241"/>
    </row>
    <row r="2512" spans="1:24" ht="13.5" customHeight="1" x14ac:dyDescent="0.3">
      <c r="A2512" s="245"/>
      <c r="B2512" s="246"/>
      <c r="C2512" s="245"/>
      <c r="D2512" s="245"/>
      <c r="E2512" s="245"/>
      <c r="F2512" s="245"/>
      <c r="G2512" s="245"/>
      <c r="H2512" s="245"/>
      <c r="I2512" s="245"/>
      <c r="J2512" s="245"/>
      <c r="K2512" s="245"/>
      <c r="L2512" s="246"/>
      <c r="M2512" s="245"/>
      <c r="N2512" s="245"/>
      <c r="O2512" s="245"/>
      <c r="P2512" s="245"/>
      <c r="Q2512" s="247"/>
      <c r="R2512" s="247"/>
      <c r="S2512" s="247"/>
      <c r="T2512" s="245"/>
      <c r="U2512" s="245"/>
      <c r="V2512" s="241"/>
      <c r="W2512" s="241"/>
      <c r="X2512" s="241"/>
    </row>
    <row r="2513" spans="1:24" ht="13.5" customHeight="1" x14ac:dyDescent="0.3">
      <c r="A2513" s="245"/>
      <c r="B2513" s="246"/>
      <c r="C2513" s="245"/>
      <c r="D2513" s="245"/>
      <c r="E2513" s="245"/>
      <c r="F2513" s="245"/>
      <c r="G2513" s="245"/>
      <c r="H2513" s="245"/>
      <c r="I2513" s="245"/>
      <c r="J2513" s="245"/>
      <c r="K2513" s="245"/>
      <c r="L2513" s="246"/>
      <c r="M2513" s="245"/>
      <c r="N2513" s="245"/>
      <c r="O2513" s="245"/>
      <c r="P2513" s="245"/>
      <c r="Q2513" s="247"/>
      <c r="R2513" s="247"/>
      <c r="S2513" s="247"/>
      <c r="T2513" s="245"/>
      <c r="U2513" s="245"/>
      <c r="V2513" s="241"/>
      <c r="W2513" s="241"/>
      <c r="X2513" s="241"/>
    </row>
    <row r="2514" spans="1:24" ht="13.5" customHeight="1" x14ac:dyDescent="0.3">
      <c r="A2514" s="245"/>
      <c r="B2514" s="246"/>
      <c r="C2514" s="245"/>
      <c r="D2514" s="245"/>
      <c r="E2514" s="245"/>
      <c r="F2514" s="245"/>
      <c r="G2514" s="245"/>
      <c r="H2514" s="245"/>
      <c r="I2514" s="245"/>
      <c r="J2514" s="245"/>
      <c r="K2514" s="245"/>
      <c r="L2514" s="246"/>
      <c r="M2514" s="245"/>
      <c r="N2514" s="245"/>
      <c r="O2514" s="245"/>
      <c r="P2514" s="245"/>
      <c r="Q2514" s="247"/>
      <c r="R2514" s="247"/>
      <c r="S2514" s="247"/>
      <c r="T2514" s="245"/>
      <c r="U2514" s="245"/>
      <c r="V2514" s="241"/>
      <c r="W2514" s="241"/>
      <c r="X2514" s="241"/>
    </row>
    <row r="2515" spans="1:24" ht="13.5" customHeight="1" x14ac:dyDescent="0.3">
      <c r="A2515" s="245"/>
      <c r="B2515" s="246"/>
      <c r="C2515" s="245"/>
      <c r="D2515" s="245"/>
      <c r="E2515" s="245"/>
      <c r="F2515" s="245"/>
      <c r="G2515" s="245"/>
      <c r="H2515" s="245"/>
      <c r="I2515" s="245"/>
      <c r="J2515" s="245"/>
      <c r="K2515" s="245"/>
      <c r="L2515" s="246"/>
      <c r="M2515" s="245"/>
      <c r="N2515" s="245"/>
      <c r="O2515" s="245"/>
      <c r="P2515" s="245"/>
      <c r="Q2515" s="247"/>
      <c r="R2515" s="247"/>
      <c r="S2515" s="247"/>
      <c r="T2515" s="245"/>
      <c r="U2515" s="245"/>
      <c r="V2515" s="241"/>
      <c r="W2515" s="241"/>
      <c r="X2515" s="241"/>
    </row>
    <row r="2516" spans="1:24" ht="13.5" customHeight="1" x14ac:dyDescent="0.3">
      <c r="A2516" s="245"/>
      <c r="B2516" s="246"/>
      <c r="C2516" s="245"/>
      <c r="D2516" s="245"/>
      <c r="E2516" s="245"/>
      <c r="F2516" s="245"/>
      <c r="G2516" s="245"/>
      <c r="H2516" s="245"/>
      <c r="I2516" s="245"/>
      <c r="J2516" s="245"/>
      <c r="K2516" s="245"/>
      <c r="L2516" s="246"/>
      <c r="M2516" s="245"/>
      <c r="N2516" s="245"/>
      <c r="O2516" s="245"/>
      <c r="P2516" s="245"/>
      <c r="Q2516" s="247"/>
      <c r="R2516" s="247"/>
      <c r="S2516" s="247"/>
      <c r="T2516" s="245"/>
      <c r="U2516" s="245"/>
      <c r="V2516" s="241"/>
      <c r="W2516" s="241"/>
      <c r="X2516" s="241"/>
    </row>
    <row r="2517" spans="1:24" ht="13.5" customHeight="1" x14ac:dyDescent="0.3">
      <c r="A2517" s="245"/>
      <c r="B2517" s="246"/>
      <c r="C2517" s="245"/>
      <c r="D2517" s="245"/>
      <c r="E2517" s="245"/>
      <c r="F2517" s="245"/>
      <c r="G2517" s="245"/>
      <c r="H2517" s="245"/>
      <c r="I2517" s="245"/>
      <c r="J2517" s="245"/>
      <c r="K2517" s="245"/>
      <c r="L2517" s="246"/>
      <c r="M2517" s="245"/>
      <c r="N2517" s="245"/>
      <c r="O2517" s="245"/>
      <c r="P2517" s="245"/>
      <c r="Q2517" s="247"/>
      <c r="R2517" s="247"/>
      <c r="S2517" s="247"/>
      <c r="T2517" s="245"/>
      <c r="U2517" s="245"/>
      <c r="V2517" s="241"/>
      <c r="W2517" s="241"/>
      <c r="X2517" s="241"/>
    </row>
    <row r="2518" spans="1:24" ht="13.5" customHeight="1" x14ac:dyDescent="0.3">
      <c r="A2518" s="245"/>
      <c r="B2518" s="246"/>
      <c r="C2518" s="245"/>
      <c r="D2518" s="245"/>
      <c r="E2518" s="245"/>
      <c r="F2518" s="245"/>
      <c r="G2518" s="245"/>
      <c r="H2518" s="245"/>
      <c r="I2518" s="245"/>
      <c r="J2518" s="245"/>
      <c r="K2518" s="245"/>
      <c r="L2518" s="246"/>
      <c r="M2518" s="245"/>
      <c r="N2518" s="245"/>
      <c r="O2518" s="245"/>
      <c r="P2518" s="245"/>
      <c r="Q2518" s="247"/>
      <c r="R2518" s="247"/>
      <c r="S2518" s="247"/>
      <c r="T2518" s="245"/>
      <c r="U2518" s="245"/>
      <c r="V2518" s="241"/>
      <c r="W2518" s="241"/>
      <c r="X2518" s="241"/>
    </row>
    <row r="2519" spans="1:24" ht="13.5" customHeight="1" x14ac:dyDescent="0.3">
      <c r="A2519" s="245"/>
      <c r="B2519" s="246"/>
      <c r="C2519" s="245"/>
      <c r="D2519" s="245"/>
      <c r="E2519" s="245"/>
      <c r="F2519" s="245"/>
      <c r="G2519" s="245"/>
      <c r="H2519" s="245"/>
      <c r="I2519" s="245"/>
      <c r="J2519" s="245"/>
      <c r="K2519" s="245"/>
      <c r="L2519" s="246"/>
      <c r="M2519" s="245"/>
      <c r="N2519" s="245"/>
      <c r="O2519" s="245"/>
      <c r="P2519" s="245"/>
      <c r="Q2519" s="247"/>
      <c r="R2519" s="247"/>
      <c r="S2519" s="247"/>
      <c r="T2519" s="245"/>
      <c r="U2519" s="245"/>
      <c r="V2519" s="241"/>
      <c r="W2519" s="241"/>
      <c r="X2519" s="241"/>
    </row>
    <row r="2520" spans="1:24" ht="13.5" customHeight="1" x14ac:dyDescent="0.3">
      <c r="A2520" s="245"/>
      <c r="B2520" s="246"/>
      <c r="C2520" s="245"/>
      <c r="D2520" s="245"/>
      <c r="E2520" s="245"/>
      <c r="F2520" s="245"/>
      <c r="G2520" s="245"/>
      <c r="H2520" s="245"/>
      <c r="I2520" s="245"/>
      <c r="J2520" s="245"/>
      <c r="K2520" s="245"/>
      <c r="L2520" s="246"/>
      <c r="M2520" s="245"/>
      <c r="N2520" s="245"/>
      <c r="O2520" s="245"/>
      <c r="P2520" s="245"/>
      <c r="Q2520" s="247"/>
      <c r="R2520" s="247"/>
      <c r="S2520" s="247"/>
      <c r="T2520" s="245"/>
      <c r="U2520" s="245"/>
      <c r="V2520" s="241"/>
      <c r="W2520" s="241"/>
      <c r="X2520" s="241"/>
    </row>
    <row r="2521" spans="1:24" ht="13.5" customHeight="1" x14ac:dyDescent="0.3">
      <c r="A2521" s="245"/>
      <c r="B2521" s="246"/>
      <c r="C2521" s="245"/>
      <c r="D2521" s="245"/>
      <c r="E2521" s="245"/>
      <c r="F2521" s="245"/>
      <c r="G2521" s="245"/>
      <c r="H2521" s="245"/>
      <c r="I2521" s="245"/>
      <c r="J2521" s="245"/>
      <c r="K2521" s="245"/>
      <c r="L2521" s="246"/>
      <c r="M2521" s="245"/>
      <c r="N2521" s="245"/>
      <c r="O2521" s="245"/>
      <c r="P2521" s="245"/>
      <c r="Q2521" s="247"/>
      <c r="R2521" s="247"/>
      <c r="S2521" s="247"/>
      <c r="T2521" s="245"/>
      <c r="U2521" s="245"/>
      <c r="V2521" s="241"/>
      <c r="W2521" s="241"/>
      <c r="X2521" s="241"/>
    </row>
    <row r="2522" spans="1:24" ht="13.5" customHeight="1" x14ac:dyDescent="0.3">
      <c r="A2522" s="245"/>
      <c r="B2522" s="246"/>
      <c r="C2522" s="245"/>
      <c r="D2522" s="245"/>
      <c r="E2522" s="245"/>
      <c r="F2522" s="245"/>
      <c r="G2522" s="245"/>
      <c r="H2522" s="245"/>
      <c r="I2522" s="245"/>
      <c r="J2522" s="245"/>
      <c r="K2522" s="245"/>
      <c r="L2522" s="246"/>
      <c r="M2522" s="245"/>
      <c r="N2522" s="245"/>
      <c r="O2522" s="245"/>
      <c r="P2522" s="245"/>
      <c r="Q2522" s="247"/>
      <c r="R2522" s="247"/>
      <c r="S2522" s="247"/>
      <c r="T2522" s="245"/>
      <c r="U2522" s="245"/>
      <c r="V2522" s="241"/>
      <c r="W2522" s="241"/>
      <c r="X2522" s="241"/>
    </row>
    <row r="2523" spans="1:24" ht="13.5" customHeight="1" x14ac:dyDescent="0.3">
      <c r="A2523" s="245"/>
      <c r="B2523" s="246"/>
      <c r="C2523" s="245"/>
      <c r="D2523" s="245"/>
      <c r="E2523" s="245"/>
      <c r="F2523" s="245"/>
      <c r="G2523" s="245"/>
      <c r="H2523" s="245"/>
      <c r="I2523" s="245"/>
      <c r="J2523" s="245"/>
      <c r="K2523" s="245"/>
      <c r="L2523" s="246"/>
      <c r="M2523" s="245"/>
      <c r="N2523" s="245"/>
      <c r="O2523" s="245"/>
      <c r="P2523" s="245"/>
      <c r="Q2523" s="247"/>
      <c r="R2523" s="247"/>
      <c r="S2523" s="247"/>
      <c r="T2523" s="245"/>
      <c r="U2523" s="245"/>
      <c r="V2523" s="241"/>
      <c r="W2523" s="241"/>
      <c r="X2523" s="241"/>
    </row>
    <row r="2524" spans="1:24" ht="13.5" customHeight="1" x14ac:dyDescent="0.3">
      <c r="A2524" s="245"/>
      <c r="B2524" s="246"/>
      <c r="C2524" s="245"/>
      <c r="D2524" s="245"/>
      <c r="E2524" s="245"/>
      <c r="F2524" s="245"/>
      <c r="G2524" s="245"/>
      <c r="H2524" s="245"/>
      <c r="I2524" s="245"/>
      <c r="J2524" s="245"/>
      <c r="K2524" s="245"/>
      <c r="L2524" s="246"/>
      <c r="M2524" s="245"/>
      <c r="N2524" s="245"/>
      <c r="O2524" s="245"/>
      <c r="P2524" s="245"/>
      <c r="Q2524" s="247"/>
      <c r="R2524" s="247"/>
      <c r="S2524" s="247"/>
      <c r="T2524" s="245"/>
      <c r="U2524" s="245"/>
      <c r="V2524" s="241"/>
      <c r="W2524" s="241"/>
      <c r="X2524" s="241"/>
    </row>
    <row r="2525" spans="1:24" ht="13.5" customHeight="1" x14ac:dyDescent="0.3">
      <c r="A2525" s="245"/>
      <c r="B2525" s="246"/>
      <c r="C2525" s="245"/>
      <c r="D2525" s="245"/>
      <c r="E2525" s="245"/>
      <c r="F2525" s="245"/>
      <c r="G2525" s="245"/>
      <c r="H2525" s="245"/>
      <c r="I2525" s="245"/>
      <c r="J2525" s="245"/>
      <c r="K2525" s="245"/>
      <c r="L2525" s="246"/>
      <c r="M2525" s="245"/>
      <c r="N2525" s="245"/>
      <c r="O2525" s="245"/>
      <c r="P2525" s="245"/>
      <c r="Q2525" s="247"/>
      <c r="R2525" s="247"/>
      <c r="S2525" s="247"/>
      <c r="T2525" s="245"/>
      <c r="U2525" s="245"/>
      <c r="V2525" s="241"/>
      <c r="W2525" s="241"/>
      <c r="X2525" s="241"/>
    </row>
    <row r="2526" spans="1:24" ht="13.5" customHeight="1" x14ac:dyDescent="0.3">
      <c r="A2526" s="245"/>
      <c r="B2526" s="246"/>
      <c r="C2526" s="245"/>
      <c r="D2526" s="245"/>
      <c r="E2526" s="245"/>
      <c r="F2526" s="245"/>
      <c r="G2526" s="245"/>
      <c r="H2526" s="245"/>
      <c r="I2526" s="245"/>
      <c r="J2526" s="245"/>
      <c r="K2526" s="245"/>
      <c r="L2526" s="246"/>
      <c r="M2526" s="245"/>
      <c r="N2526" s="245"/>
      <c r="O2526" s="245"/>
      <c r="P2526" s="245"/>
      <c r="Q2526" s="247"/>
      <c r="R2526" s="247"/>
      <c r="S2526" s="247"/>
      <c r="T2526" s="245"/>
      <c r="U2526" s="245"/>
      <c r="V2526" s="241"/>
      <c r="W2526" s="241"/>
      <c r="X2526" s="241"/>
    </row>
    <row r="2527" spans="1:24" ht="13.5" customHeight="1" x14ac:dyDescent="0.3">
      <c r="A2527" s="245"/>
      <c r="B2527" s="246"/>
      <c r="C2527" s="245"/>
      <c r="D2527" s="245"/>
      <c r="E2527" s="245"/>
      <c r="F2527" s="245"/>
      <c r="G2527" s="245"/>
      <c r="H2527" s="245"/>
      <c r="I2527" s="245"/>
      <c r="J2527" s="245"/>
      <c r="K2527" s="245"/>
      <c r="L2527" s="246"/>
      <c r="M2527" s="245"/>
      <c r="N2527" s="245"/>
      <c r="O2527" s="245"/>
      <c r="P2527" s="245"/>
      <c r="Q2527" s="247"/>
      <c r="R2527" s="247"/>
      <c r="S2527" s="247"/>
      <c r="T2527" s="245"/>
      <c r="U2527" s="245"/>
      <c r="V2527" s="241"/>
      <c r="W2527" s="241"/>
      <c r="X2527" s="241"/>
    </row>
    <row r="2528" spans="1:24" ht="13.5" customHeight="1" x14ac:dyDescent="0.3">
      <c r="A2528" s="245"/>
      <c r="B2528" s="246"/>
      <c r="C2528" s="245"/>
      <c r="D2528" s="245"/>
      <c r="E2528" s="245"/>
      <c r="F2528" s="245"/>
      <c r="G2528" s="245"/>
      <c r="H2528" s="245"/>
      <c r="I2528" s="245"/>
      <c r="J2528" s="245"/>
      <c r="K2528" s="245"/>
      <c r="L2528" s="246"/>
      <c r="M2528" s="245"/>
      <c r="N2528" s="245"/>
      <c r="O2528" s="245"/>
      <c r="P2528" s="245"/>
      <c r="Q2528" s="247"/>
      <c r="R2528" s="247"/>
      <c r="S2528" s="247"/>
      <c r="T2528" s="245"/>
      <c r="U2528" s="245"/>
      <c r="V2528" s="241"/>
      <c r="W2528" s="241"/>
      <c r="X2528" s="241"/>
    </row>
    <row r="2529" spans="1:24" ht="13.5" customHeight="1" x14ac:dyDescent="0.3">
      <c r="A2529" s="245"/>
      <c r="B2529" s="246"/>
      <c r="C2529" s="245"/>
      <c r="D2529" s="245"/>
      <c r="E2529" s="245"/>
      <c r="F2529" s="245"/>
      <c r="G2529" s="245"/>
      <c r="H2529" s="245"/>
      <c r="I2529" s="245"/>
      <c r="J2529" s="245"/>
      <c r="K2529" s="245"/>
      <c r="L2529" s="246"/>
      <c r="M2529" s="245"/>
      <c r="N2529" s="245"/>
      <c r="O2529" s="245"/>
      <c r="P2529" s="245"/>
      <c r="Q2529" s="247"/>
      <c r="R2529" s="247"/>
      <c r="S2529" s="247"/>
      <c r="T2529" s="245"/>
      <c r="U2529" s="245"/>
      <c r="V2529" s="241"/>
      <c r="W2529" s="241"/>
      <c r="X2529" s="241"/>
    </row>
    <row r="2530" spans="1:24" ht="13.5" customHeight="1" x14ac:dyDescent="0.3">
      <c r="A2530" s="245"/>
      <c r="B2530" s="246"/>
      <c r="C2530" s="245"/>
      <c r="D2530" s="245"/>
      <c r="E2530" s="245"/>
      <c r="F2530" s="245"/>
      <c r="G2530" s="245"/>
      <c r="H2530" s="245"/>
      <c r="I2530" s="245"/>
      <c r="J2530" s="245"/>
      <c r="K2530" s="245"/>
      <c r="L2530" s="246"/>
      <c r="M2530" s="245"/>
      <c r="N2530" s="245"/>
      <c r="O2530" s="245"/>
      <c r="P2530" s="245"/>
      <c r="Q2530" s="247"/>
      <c r="R2530" s="247"/>
      <c r="S2530" s="247"/>
      <c r="T2530" s="245"/>
      <c r="U2530" s="245"/>
      <c r="V2530" s="241"/>
      <c r="W2530" s="241"/>
      <c r="X2530" s="241"/>
    </row>
    <row r="2531" spans="1:24" ht="13.5" customHeight="1" x14ac:dyDescent="0.3">
      <c r="A2531" s="245"/>
      <c r="B2531" s="246"/>
      <c r="C2531" s="245"/>
      <c r="D2531" s="245"/>
      <c r="E2531" s="245"/>
      <c r="F2531" s="245"/>
      <c r="G2531" s="245"/>
      <c r="H2531" s="245"/>
      <c r="I2531" s="245"/>
      <c r="J2531" s="245"/>
      <c r="K2531" s="245"/>
      <c r="L2531" s="246"/>
      <c r="M2531" s="245"/>
      <c r="N2531" s="245"/>
      <c r="O2531" s="245"/>
      <c r="P2531" s="245"/>
      <c r="Q2531" s="247"/>
      <c r="R2531" s="247"/>
      <c r="S2531" s="247"/>
      <c r="T2531" s="245"/>
      <c r="U2531" s="245"/>
      <c r="V2531" s="241"/>
      <c r="W2531" s="241"/>
      <c r="X2531" s="241"/>
    </row>
    <row r="2532" spans="1:24" ht="13.5" customHeight="1" x14ac:dyDescent="0.3">
      <c r="A2532" s="245"/>
      <c r="B2532" s="246"/>
      <c r="C2532" s="245"/>
      <c r="D2532" s="245"/>
      <c r="E2532" s="245"/>
      <c r="F2532" s="245"/>
      <c r="G2532" s="245"/>
      <c r="H2532" s="245"/>
      <c r="I2532" s="245"/>
      <c r="J2532" s="245"/>
      <c r="K2532" s="245"/>
      <c r="L2532" s="246"/>
      <c r="M2532" s="245"/>
      <c r="N2532" s="245"/>
      <c r="O2532" s="245"/>
      <c r="P2532" s="245"/>
      <c r="Q2532" s="247"/>
      <c r="R2532" s="247"/>
      <c r="S2532" s="247"/>
      <c r="T2532" s="245"/>
      <c r="U2532" s="245"/>
      <c r="V2532" s="241"/>
      <c r="W2532" s="241"/>
      <c r="X2532" s="241"/>
    </row>
    <row r="2533" spans="1:24" ht="13.5" customHeight="1" x14ac:dyDescent="0.3">
      <c r="A2533" s="245"/>
      <c r="B2533" s="246"/>
      <c r="C2533" s="245"/>
      <c r="D2533" s="245"/>
      <c r="E2533" s="245"/>
      <c r="F2533" s="245"/>
      <c r="G2533" s="245"/>
      <c r="H2533" s="245"/>
      <c r="I2533" s="245"/>
      <c r="J2533" s="245"/>
      <c r="K2533" s="245"/>
      <c r="L2533" s="246"/>
      <c r="M2533" s="245"/>
      <c r="N2533" s="245"/>
      <c r="O2533" s="245"/>
      <c r="P2533" s="245"/>
      <c r="Q2533" s="247"/>
      <c r="R2533" s="247"/>
      <c r="S2533" s="247"/>
      <c r="T2533" s="245"/>
      <c r="U2533" s="245"/>
      <c r="V2533" s="241"/>
      <c r="W2533" s="241"/>
      <c r="X2533" s="241"/>
    </row>
    <row r="2534" spans="1:24" ht="13.5" customHeight="1" x14ac:dyDescent="0.3">
      <c r="A2534" s="245"/>
      <c r="B2534" s="246"/>
      <c r="C2534" s="245"/>
      <c r="D2534" s="245"/>
      <c r="E2534" s="245"/>
      <c r="F2534" s="245"/>
      <c r="G2534" s="245"/>
      <c r="H2534" s="245"/>
      <c r="I2534" s="245"/>
      <c r="J2534" s="245"/>
      <c r="K2534" s="245"/>
      <c r="L2534" s="246"/>
      <c r="M2534" s="245"/>
      <c r="N2534" s="245"/>
      <c r="O2534" s="245"/>
      <c r="P2534" s="245"/>
      <c r="Q2534" s="247"/>
      <c r="R2534" s="247"/>
      <c r="S2534" s="247"/>
      <c r="T2534" s="245"/>
      <c r="U2534" s="245"/>
      <c r="V2534" s="241"/>
      <c r="W2534" s="241"/>
      <c r="X2534" s="241"/>
    </row>
    <row r="2535" spans="1:24" ht="13.5" customHeight="1" x14ac:dyDescent="0.3">
      <c r="A2535" s="245"/>
      <c r="B2535" s="246"/>
      <c r="C2535" s="245"/>
      <c r="D2535" s="245"/>
      <c r="E2535" s="245"/>
      <c r="F2535" s="245"/>
      <c r="G2535" s="245"/>
      <c r="H2535" s="245"/>
      <c r="I2535" s="245"/>
      <c r="J2535" s="245"/>
      <c r="K2535" s="245"/>
      <c r="L2535" s="246"/>
      <c r="M2535" s="245"/>
      <c r="N2535" s="245"/>
      <c r="O2535" s="245"/>
      <c r="P2535" s="245"/>
      <c r="Q2535" s="247"/>
      <c r="R2535" s="247"/>
      <c r="S2535" s="247"/>
      <c r="T2535" s="245"/>
      <c r="U2535" s="245"/>
      <c r="V2535" s="241"/>
      <c r="W2535" s="241"/>
      <c r="X2535" s="241"/>
    </row>
    <row r="2536" spans="1:24" ht="13.5" customHeight="1" x14ac:dyDescent="0.3">
      <c r="A2536" s="245"/>
      <c r="B2536" s="246"/>
      <c r="C2536" s="245"/>
      <c r="D2536" s="245"/>
      <c r="E2536" s="245"/>
      <c r="F2536" s="245"/>
      <c r="G2536" s="245"/>
      <c r="H2536" s="245"/>
      <c r="I2536" s="245"/>
      <c r="J2536" s="245"/>
      <c r="K2536" s="245"/>
      <c r="L2536" s="246"/>
      <c r="M2536" s="245"/>
      <c r="N2536" s="245"/>
      <c r="O2536" s="245"/>
      <c r="P2536" s="245"/>
      <c r="Q2536" s="247"/>
      <c r="R2536" s="247"/>
      <c r="S2536" s="247"/>
      <c r="T2536" s="245"/>
      <c r="U2536" s="245"/>
      <c r="V2536" s="241"/>
      <c r="W2536" s="241"/>
      <c r="X2536" s="241"/>
    </row>
    <row r="2537" spans="1:24" ht="13.5" customHeight="1" x14ac:dyDescent="0.3">
      <c r="A2537" s="245"/>
      <c r="B2537" s="246"/>
      <c r="C2537" s="245"/>
      <c r="D2537" s="245"/>
      <c r="E2537" s="245"/>
      <c r="F2537" s="245"/>
      <c r="G2537" s="245"/>
      <c r="H2537" s="245"/>
      <c r="I2537" s="245"/>
      <c r="J2537" s="245"/>
      <c r="K2537" s="245"/>
      <c r="L2537" s="246"/>
      <c r="M2537" s="245"/>
      <c r="N2537" s="245"/>
      <c r="O2537" s="245"/>
      <c r="P2537" s="245"/>
      <c r="Q2537" s="247"/>
      <c r="R2537" s="247"/>
      <c r="S2537" s="247"/>
      <c r="T2537" s="245"/>
      <c r="U2537" s="245"/>
      <c r="V2537" s="241"/>
      <c r="W2537" s="241"/>
      <c r="X2537" s="241"/>
    </row>
    <row r="2538" spans="1:24" ht="13.5" customHeight="1" x14ac:dyDescent="0.3">
      <c r="A2538" s="245"/>
      <c r="B2538" s="246"/>
      <c r="C2538" s="245"/>
      <c r="D2538" s="245"/>
      <c r="E2538" s="245"/>
      <c r="F2538" s="245"/>
      <c r="G2538" s="245"/>
      <c r="H2538" s="245"/>
      <c r="I2538" s="245"/>
      <c r="J2538" s="245"/>
      <c r="K2538" s="245"/>
      <c r="L2538" s="246"/>
      <c r="M2538" s="245"/>
      <c r="N2538" s="245"/>
      <c r="O2538" s="245"/>
      <c r="P2538" s="245"/>
      <c r="Q2538" s="247"/>
      <c r="R2538" s="247"/>
      <c r="S2538" s="247"/>
      <c r="T2538" s="245"/>
      <c r="U2538" s="245"/>
      <c r="V2538" s="241"/>
      <c r="W2538" s="241"/>
      <c r="X2538" s="241"/>
    </row>
    <row r="2539" spans="1:24" ht="13.5" customHeight="1" x14ac:dyDescent="0.3">
      <c r="A2539" s="245"/>
      <c r="B2539" s="246"/>
      <c r="C2539" s="245"/>
      <c r="D2539" s="245"/>
      <c r="E2539" s="245"/>
      <c r="F2539" s="245"/>
      <c r="G2539" s="245"/>
      <c r="H2539" s="245"/>
      <c r="I2539" s="245"/>
      <c r="J2539" s="245"/>
      <c r="K2539" s="245"/>
      <c r="L2539" s="246"/>
      <c r="M2539" s="245"/>
      <c r="N2539" s="245"/>
      <c r="O2539" s="245"/>
      <c r="P2539" s="245"/>
      <c r="Q2539" s="247"/>
      <c r="R2539" s="247"/>
      <c r="S2539" s="247"/>
      <c r="T2539" s="245"/>
      <c r="U2539" s="245"/>
      <c r="V2539" s="241"/>
      <c r="W2539" s="241"/>
      <c r="X2539" s="241"/>
    </row>
    <row r="2540" spans="1:24" ht="13.5" customHeight="1" x14ac:dyDescent="0.3">
      <c r="A2540" s="245"/>
      <c r="B2540" s="246"/>
      <c r="C2540" s="245"/>
      <c r="D2540" s="245"/>
      <c r="E2540" s="245"/>
      <c r="F2540" s="245"/>
      <c r="G2540" s="245"/>
      <c r="H2540" s="245"/>
      <c r="I2540" s="245"/>
      <c r="J2540" s="245"/>
      <c r="K2540" s="245"/>
      <c r="L2540" s="246"/>
      <c r="M2540" s="245"/>
      <c r="N2540" s="245"/>
      <c r="O2540" s="245"/>
      <c r="P2540" s="245"/>
      <c r="Q2540" s="247"/>
      <c r="R2540" s="247"/>
      <c r="S2540" s="247"/>
      <c r="T2540" s="245"/>
      <c r="U2540" s="245"/>
      <c r="V2540" s="241"/>
      <c r="W2540" s="241"/>
      <c r="X2540" s="241"/>
    </row>
    <row r="2541" spans="1:24" ht="13.5" customHeight="1" x14ac:dyDescent="0.3">
      <c r="A2541" s="245"/>
      <c r="B2541" s="246"/>
      <c r="C2541" s="245"/>
      <c r="D2541" s="245"/>
      <c r="E2541" s="245"/>
      <c r="F2541" s="245"/>
      <c r="G2541" s="245"/>
      <c r="H2541" s="245"/>
      <c r="I2541" s="245"/>
      <c r="J2541" s="245"/>
      <c r="K2541" s="245"/>
      <c r="L2541" s="246"/>
      <c r="M2541" s="245"/>
      <c r="N2541" s="245"/>
      <c r="O2541" s="245"/>
      <c r="P2541" s="245"/>
      <c r="Q2541" s="247"/>
      <c r="R2541" s="247"/>
      <c r="S2541" s="247"/>
      <c r="T2541" s="245"/>
      <c r="U2541" s="245"/>
      <c r="V2541" s="241"/>
      <c r="W2541" s="241"/>
      <c r="X2541" s="241"/>
    </row>
    <row r="2542" spans="1:24" ht="13.5" customHeight="1" x14ac:dyDescent="0.3">
      <c r="A2542" s="245"/>
      <c r="B2542" s="246"/>
      <c r="C2542" s="245"/>
      <c r="D2542" s="245"/>
      <c r="E2542" s="245"/>
      <c r="F2542" s="245"/>
      <c r="G2542" s="245"/>
      <c r="H2542" s="245"/>
      <c r="I2542" s="245"/>
      <c r="J2542" s="245"/>
      <c r="K2542" s="245"/>
      <c r="L2542" s="246"/>
      <c r="M2542" s="245"/>
      <c r="N2542" s="245"/>
      <c r="O2542" s="245"/>
      <c r="P2542" s="245"/>
      <c r="Q2542" s="247"/>
      <c r="R2542" s="247"/>
      <c r="S2542" s="247"/>
      <c r="T2542" s="245"/>
      <c r="U2542" s="245"/>
      <c r="V2542" s="241"/>
      <c r="W2542" s="241"/>
      <c r="X2542" s="241"/>
    </row>
    <row r="2543" spans="1:24" ht="13.5" customHeight="1" x14ac:dyDescent="0.3">
      <c r="A2543" s="245"/>
      <c r="B2543" s="246"/>
      <c r="C2543" s="245"/>
      <c r="D2543" s="245"/>
      <c r="E2543" s="245"/>
      <c r="F2543" s="245"/>
      <c r="G2543" s="245"/>
      <c r="H2543" s="245"/>
      <c r="I2543" s="245"/>
      <c r="J2543" s="245"/>
      <c r="K2543" s="245"/>
      <c r="L2543" s="246"/>
      <c r="M2543" s="245"/>
      <c r="N2543" s="245"/>
      <c r="O2543" s="245"/>
      <c r="P2543" s="245"/>
      <c r="Q2543" s="247"/>
      <c r="R2543" s="247"/>
      <c r="S2543" s="247"/>
      <c r="T2543" s="245"/>
      <c r="U2543" s="245"/>
      <c r="V2543" s="241"/>
      <c r="W2543" s="241"/>
      <c r="X2543" s="241"/>
    </row>
    <row r="2544" spans="1:24" ht="13.5" customHeight="1" x14ac:dyDescent="0.3">
      <c r="A2544" s="245"/>
      <c r="B2544" s="246"/>
      <c r="C2544" s="245"/>
      <c r="D2544" s="245"/>
      <c r="E2544" s="245"/>
      <c r="F2544" s="245"/>
      <c r="G2544" s="245"/>
      <c r="H2544" s="245"/>
      <c r="I2544" s="245"/>
      <c r="J2544" s="245"/>
      <c r="K2544" s="245"/>
      <c r="L2544" s="246"/>
      <c r="M2544" s="245"/>
      <c r="N2544" s="245"/>
      <c r="O2544" s="245"/>
      <c r="P2544" s="245"/>
      <c r="Q2544" s="247"/>
      <c r="R2544" s="247"/>
      <c r="S2544" s="247"/>
      <c r="T2544" s="245"/>
      <c r="U2544" s="245"/>
      <c r="V2544" s="241"/>
      <c r="W2544" s="241"/>
      <c r="X2544" s="241"/>
    </row>
    <row r="2545" spans="1:24" ht="13.5" customHeight="1" x14ac:dyDescent="0.3">
      <c r="A2545" s="245"/>
      <c r="B2545" s="246"/>
      <c r="C2545" s="245"/>
      <c r="D2545" s="245"/>
      <c r="E2545" s="245"/>
      <c r="F2545" s="245"/>
      <c r="G2545" s="245"/>
      <c r="H2545" s="245"/>
      <c r="I2545" s="245"/>
      <c r="J2545" s="245"/>
      <c r="K2545" s="245"/>
      <c r="L2545" s="246"/>
      <c r="M2545" s="245"/>
      <c r="N2545" s="245"/>
      <c r="O2545" s="245"/>
      <c r="P2545" s="245"/>
      <c r="Q2545" s="247"/>
      <c r="R2545" s="247"/>
      <c r="S2545" s="247"/>
      <c r="T2545" s="245"/>
      <c r="U2545" s="245"/>
      <c r="V2545" s="241"/>
      <c r="W2545" s="241"/>
      <c r="X2545" s="241"/>
    </row>
    <row r="2546" spans="1:24" ht="13.5" customHeight="1" x14ac:dyDescent="0.3">
      <c r="A2546" s="245"/>
      <c r="B2546" s="246"/>
      <c r="C2546" s="245"/>
      <c r="D2546" s="245"/>
      <c r="E2546" s="245"/>
      <c r="F2546" s="245"/>
      <c r="G2546" s="245"/>
      <c r="H2546" s="245"/>
      <c r="I2546" s="245"/>
      <c r="J2546" s="245"/>
      <c r="K2546" s="245"/>
      <c r="L2546" s="246"/>
      <c r="M2546" s="245"/>
      <c r="N2546" s="245"/>
      <c r="O2546" s="245"/>
      <c r="P2546" s="245"/>
      <c r="Q2546" s="247"/>
      <c r="R2546" s="247"/>
      <c r="S2546" s="247"/>
      <c r="T2546" s="245"/>
      <c r="U2546" s="245"/>
      <c r="V2546" s="241"/>
      <c r="W2546" s="241"/>
      <c r="X2546" s="241"/>
    </row>
    <row r="2547" spans="1:24" ht="13.5" customHeight="1" x14ac:dyDescent="0.3">
      <c r="A2547" s="245"/>
      <c r="B2547" s="246"/>
      <c r="C2547" s="245"/>
      <c r="D2547" s="245"/>
      <c r="E2547" s="245"/>
      <c r="F2547" s="245"/>
      <c r="G2547" s="245"/>
      <c r="H2547" s="245"/>
      <c r="I2547" s="245"/>
      <c r="J2547" s="245"/>
      <c r="K2547" s="245"/>
      <c r="L2547" s="246"/>
      <c r="M2547" s="245"/>
      <c r="N2547" s="245"/>
      <c r="O2547" s="245"/>
      <c r="P2547" s="245"/>
      <c r="Q2547" s="247"/>
      <c r="R2547" s="247"/>
      <c r="S2547" s="247"/>
      <c r="T2547" s="245"/>
      <c r="U2547" s="245"/>
      <c r="V2547" s="241"/>
      <c r="W2547" s="241"/>
      <c r="X2547" s="241"/>
    </row>
    <row r="2548" spans="1:24" ht="13.5" customHeight="1" x14ac:dyDescent="0.3">
      <c r="A2548" s="245"/>
      <c r="B2548" s="246"/>
      <c r="C2548" s="245"/>
      <c r="D2548" s="245"/>
      <c r="E2548" s="245"/>
      <c r="F2548" s="245"/>
      <c r="G2548" s="245"/>
      <c r="H2548" s="245"/>
      <c r="I2548" s="245"/>
      <c r="J2548" s="245"/>
      <c r="K2548" s="245"/>
      <c r="L2548" s="246"/>
      <c r="M2548" s="245"/>
      <c r="N2548" s="245"/>
      <c r="O2548" s="245"/>
      <c r="P2548" s="245"/>
      <c r="Q2548" s="247"/>
      <c r="R2548" s="247"/>
      <c r="S2548" s="247"/>
      <c r="T2548" s="245"/>
      <c r="U2548" s="245"/>
      <c r="V2548" s="241"/>
      <c r="W2548" s="241"/>
      <c r="X2548" s="241"/>
    </row>
    <row r="2549" spans="1:24" ht="13.5" customHeight="1" x14ac:dyDescent="0.3">
      <c r="A2549" s="245"/>
      <c r="B2549" s="246"/>
      <c r="C2549" s="245"/>
      <c r="D2549" s="245"/>
      <c r="E2549" s="245"/>
      <c r="F2549" s="245"/>
      <c r="G2549" s="245"/>
      <c r="H2549" s="245"/>
      <c r="I2549" s="245"/>
      <c r="J2549" s="245"/>
      <c r="K2549" s="245"/>
      <c r="L2549" s="246"/>
      <c r="M2549" s="245"/>
      <c r="N2549" s="245"/>
      <c r="O2549" s="245"/>
      <c r="P2549" s="245"/>
      <c r="Q2549" s="247"/>
      <c r="R2549" s="247"/>
      <c r="S2549" s="247"/>
      <c r="T2549" s="245"/>
      <c r="U2549" s="245"/>
      <c r="V2549" s="241"/>
      <c r="W2549" s="241"/>
      <c r="X2549" s="241"/>
    </row>
    <row r="2550" spans="1:24" ht="13.5" customHeight="1" x14ac:dyDescent="0.3">
      <c r="A2550" s="245"/>
      <c r="B2550" s="246"/>
      <c r="C2550" s="245"/>
      <c r="D2550" s="245"/>
      <c r="E2550" s="245"/>
      <c r="F2550" s="245"/>
      <c r="G2550" s="245"/>
      <c r="H2550" s="245"/>
      <c r="I2550" s="245"/>
      <c r="J2550" s="245"/>
      <c r="K2550" s="245"/>
      <c r="L2550" s="246"/>
      <c r="M2550" s="245"/>
      <c r="N2550" s="245"/>
      <c r="O2550" s="245"/>
      <c r="P2550" s="245"/>
      <c r="Q2550" s="247"/>
      <c r="R2550" s="247"/>
      <c r="S2550" s="247"/>
      <c r="T2550" s="245"/>
      <c r="U2550" s="245"/>
      <c r="V2550" s="241"/>
      <c r="W2550" s="241"/>
      <c r="X2550" s="241"/>
    </row>
    <row r="2551" spans="1:24" ht="13.5" customHeight="1" x14ac:dyDescent="0.3">
      <c r="A2551" s="245"/>
      <c r="B2551" s="246"/>
      <c r="C2551" s="245"/>
      <c r="D2551" s="245"/>
      <c r="E2551" s="245"/>
      <c r="F2551" s="245"/>
      <c r="G2551" s="245"/>
      <c r="H2551" s="245"/>
      <c r="I2551" s="245"/>
      <c r="J2551" s="245"/>
      <c r="K2551" s="245"/>
      <c r="L2551" s="246"/>
      <c r="M2551" s="245"/>
      <c r="N2551" s="245"/>
      <c r="O2551" s="245"/>
      <c r="P2551" s="245"/>
      <c r="Q2551" s="247"/>
      <c r="R2551" s="247"/>
      <c r="S2551" s="247"/>
      <c r="T2551" s="245"/>
      <c r="U2551" s="245"/>
      <c r="V2551" s="241"/>
      <c r="W2551" s="241"/>
      <c r="X2551" s="241"/>
    </row>
    <row r="2552" spans="1:24" ht="13.5" customHeight="1" x14ac:dyDescent="0.3">
      <c r="A2552" s="245"/>
      <c r="B2552" s="246"/>
      <c r="C2552" s="245"/>
      <c r="D2552" s="245"/>
      <c r="E2552" s="245"/>
      <c r="F2552" s="245"/>
      <c r="G2552" s="245"/>
      <c r="H2552" s="245"/>
      <c r="I2552" s="245"/>
      <c r="J2552" s="245"/>
      <c r="K2552" s="245"/>
      <c r="L2552" s="246"/>
      <c r="M2552" s="245"/>
      <c r="N2552" s="245"/>
      <c r="O2552" s="245"/>
      <c r="P2552" s="245"/>
      <c r="Q2552" s="247"/>
      <c r="R2552" s="247"/>
      <c r="S2552" s="247"/>
      <c r="T2552" s="245"/>
      <c r="U2552" s="245"/>
      <c r="V2552" s="241"/>
      <c r="W2552" s="241"/>
      <c r="X2552" s="241"/>
    </row>
    <row r="2553" spans="1:24" ht="13.5" customHeight="1" x14ac:dyDescent="0.3">
      <c r="A2553" s="245"/>
      <c r="B2553" s="246"/>
      <c r="C2553" s="245"/>
      <c r="D2553" s="245"/>
      <c r="E2553" s="245"/>
      <c r="F2553" s="245"/>
      <c r="G2553" s="245"/>
      <c r="H2553" s="245"/>
      <c r="I2553" s="245"/>
      <c r="J2553" s="245"/>
      <c r="K2553" s="245"/>
      <c r="L2553" s="246"/>
      <c r="M2553" s="245"/>
      <c r="N2553" s="245"/>
      <c r="O2553" s="245"/>
      <c r="P2553" s="245"/>
      <c r="Q2553" s="247"/>
      <c r="R2553" s="247"/>
      <c r="S2553" s="247"/>
      <c r="T2553" s="245"/>
      <c r="U2553" s="245"/>
      <c r="V2553" s="241"/>
      <c r="W2553" s="241"/>
      <c r="X2553" s="241"/>
    </row>
    <row r="2554" spans="1:24" ht="13.5" customHeight="1" x14ac:dyDescent="0.3">
      <c r="A2554" s="245"/>
      <c r="B2554" s="246"/>
      <c r="C2554" s="245"/>
      <c r="D2554" s="245"/>
      <c r="E2554" s="245"/>
      <c r="F2554" s="245"/>
      <c r="G2554" s="245"/>
      <c r="H2554" s="245"/>
      <c r="I2554" s="245"/>
      <c r="J2554" s="245"/>
      <c r="K2554" s="245"/>
      <c r="L2554" s="246"/>
      <c r="M2554" s="245"/>
      <c r="N2554" s="245"/>
      <c r="O2554" s="245"/>
      <c r="P2554" s="245"/>
      <c r="Q2554" s="247"/>
      <c r="R2554" s="247"/>
      <c r="S2554" s="247"/>
      <c r="T2554" s="245"/>
      <c r="U2554" s="245"/>
      <c r="V2554" s="241"/>
      <c r="W2554" s="241"/>
      <c r="X2554" s="241"/>
    </row>
    <row r="2555" spans="1:24" ht="13.5" customHeight="1" x14ac:dyDescent="0.3">
      <c r="A2555" s="245"/>
      <c r="B2555" s="246"/>
      <c r="C2555" s="245"/>
      <c r="D2555" s="245"/>
      <c r="E2555" s="245"/>
      <c r="F2555" s="245"/>
      <c r="G2555" s="245"/>
      <c r="H2555" s="245"/>
      <c r="I2555" s="245"/>
      <c r="J2555" s="245"/>
      <c r="K2555" s="245"/>
      <c r="L2555" s="246"/>
      <c r="M2555" s="245"/>
      <c r="N2555" s="245"/>
      <c r="O2555" s="245"/>
      <c r="P2555" s="245"/>
      <c r="Q2555" s="247"/>
      <c r="R2555" s="247"/>
      <c r="S2555" s="247"/>
      <c r="T2555" s="245"/>
      <c r="U2555" s="245"/>
      <c r="V2555" s="241"/>
      <c r="W2555" s="241"/>
      <c r="X2555" s="241"/>
    </row>
    <row r="2556" spans="1:24" ht="13.5" customHeight="1" x14ac:dyDescent="0.3">
      <c r="A2556" s="245"/>
      <c r="B2556" s="246"/>
      <c r="C2556" s="245"/>
      <c r="D2556" s="245"/>
      <c r="E2556" s="245"/>
      <c r="F2556" s="245"/>
      <c r="G2556" s="245"/>
      <c r="H2556" s="245"/>
      <c r="I2556" s="245"/>
      <c r="J2556" s="245"/>
      <c r="K2556" s="245"/>
      <c r="L2556" s="246"/>
      <c r="M2556" s="245"/>
      <c r="N2556" s="245"/>
      <c r="O2556" s="245"/>
      <c r="P2556" s="245"/>
      <c r="Q2556" s="247"/>
      <c r="R2556" s="247"/>
      <c r="S2556" s="247"/>
      <c r="T2556" s="245"/>
      <c r="U2556" s="245"/>
      <c r="V2556" s="241"/>
      <c r="W2556" s="241"/>
      <c r="X2556" s="241"/>
    </row>
    <row r="2557" spans="1:24" ht="13.5" customHeight="1" x14ac:dyDescent="0.3">
      <c r="A2557" s="245"/>
      <c r="B2557" s="246"/>
      <c r="C2557" s="245"/>
      <c r="D2557" s="245"/>
      <c r="E2557" s="245"/>
      <c r="F2557" s="245"/>
      <c r="G2557" s="245"/>
      <c r="H2557" s="245"/>
      <c r="I2557" s="245"/>
      <c r="J2557" s="245"/>
      <c r="K2557" s="245"/>
      <c r="L2557" s="246"/>
      <c r="M2557" s="245"/>
      <c r="N2557" s="245"/>
      <c r="O2557" s="245"/>
      <c r="P2557" s="245"/>
      <c r="Q2557" s="247"/>
      <c r="R2557" s="247"/>
      <c r="S2557" s="247"/>
      <c r="T2557" s="245"/>
      <c r="U2557" s="245"/>
      <c r="V2557" s="241"/>
      <c r="W2557" s="241"/>
      <c r="X2557" s="241"/>
    </row>
    <row r="2558" spans="1:24" ht="13.5" customHeight="1" x14ac:dyDescent="0.3">
      <c r="A2558" s="245"/>
      <c r="B2558" s="246"/>
      <c r="C2558" s="245"/>
      <c r="D2558" s="245"/>
      <c r="E2558" s="245"/>
      <c r="F2558" s="245"/>
      <c r="G2558" s="245"/>
      <c r="H2558" s="245"/>
      <c r="I2558" s="245"/>
      <c r="J2558" s="245"/>
      <c r="K2558" s="245"/>
      <c r="L2558" s="246"/>
      <c r="M2558" s="245"/>
      <c r="N2558" s="245"/>
      <c r="O2558" s="245"/>
      <c r="P2558" s="245"/>
      <c r="Q2558" s="247"/>
      <c r="R2558" s="247"/>
      <c r="S2558" s="247"/>
      <c r="T2558" s="245"/>
      <c r="U2558" s="245"/>
      <c r="V2558" s="241"/>
      <c r="W2558" s="241"/>
      <c r="X2558" s="241"/>
    </row>
    <row r="2559" spans="1:24" ht="13.5" customHeight="1" x14ac:dyDescent="0.3">
      <c r="A2559" s="245"/>
      <c r="B2559" s="246"/>
      <c r="C2559" s="245"/>
      <c r="D2559" s="245"/>
      <c r="E2559" s="245"/>
      <c r="F2559" s="245"/>
      <c r="G2559" s="245"/>
      <c r="H2559" s="245"/>
      <c r="I2559" s="245"/>
      <c r="J2559" s="245"/>
      <c r="K2559" s="245"/>
      <c r="L2559" s="246"/>
      <c r="M2559" s="245"/>
      <c r="N2559" s="245"/>
      <c r="O2559" s="245"/>
      <c r="P2559" s="245"/>
      <c r="Q2559" s="247"/>
      <c r="R2559" s="247"/>
      <c r="S2559" s="247"/>
      <c r="T2559" s="245"/>
      <c r="U2559" s="245"/>
      <c r="V2559" s="241"/>
      <c r="W2559" s="241"/>
      <c r="X2559" s="241"/>
    </row>
    <row r="2560" spans="1:24" ht="13.5" customHeight="1" x14ac:dyDescent="0.3">
      <c r="A2560" s="245"/>
      <c r="B2560" s="246"/>
      <c r="C2560" s="245"/>
      <c r="D2560" s="245"/>
      <c r="E2560" s="245"/>
      <c r="F2560" s="245"/>
      <c r="G2560" s="245"/>
      <c r="H2560" s="245"/>
      <c r="I2560" s="245"/>
      <c r="J2560" s="245"/>
      <c r="K2560" s="245"/>
      <c r="L2560" s="246"/>
      <c r="M2560" s="245"/>
      <c r="N2560" s="245"/>
      <c r="O2560" s="245"/>
      <c r="P2560" s="245"/>
      <c r="Q2560" s="247"/>
      <c r="R2560" s="247"/>
      <c r="S2560" s="247"/>
      <c r="T2560" s="245"/>
      <c r="U2560" s="245"/>
      <c r="V2560" s="241"/>
      <c r="W2560" s="241"/>
      <c r="X2560" s="241"/>
    </row>
    <row r="2561" spans="1:24" ht="13.5" customHeight="1" x14ac:dyDescent="0.3">
      <c r="A2561" s="245"/>
      <c r="B2561" s="246"/>
      <c r="C2561" s="245"/>
      <c r="D2561" s="245"/>
      <c r="E2561" s="245"/>
      <c r="F2561" s="245"/>
      <c r="G2561" s="245"/>
      <c r="H2561" s="245"/>
      <c r="I2561" s="245"/>
      <c r="J2561" s="245"/>
      <c r="K2561" s="245"/>
      <c r="L2561" s="246"/>
      <c r="M2561" s="245"/>
      <c r="N2561" s="245"/>
      <c r="O2561" s="245"/>
      <c r="P2561" s="245"/>
      <c r="Q2561" s="247"/>
      <c r="R2561" s="247"/>
      <c r="S2561" s="247"/>
      <c r="T2561" s="245"/>
      <c r="U2561" s="245"/>
      <c r="V2561" s="241"/>
      <c r="W2561" s="241"/>
      <c r="X2561" s="241"/>
    </row>
    <row r="2562" spans="1:24" ht="13.5" customHeight="1" x14ac:dyDescent="0.3">
      <c r="A2562" s="245"/>
      <c r="B2562" s="246"/>
      <c r="C2562" s="245"/>
      <c r="D2562" s="245"/>
      <c r="E2562" s="245"/>
      <c r="F2562" s="245"/>
      <c r="G2562" s="245"/>
      <c r="H2562" s="245"/>
      <c r="I2562" s="245"/>
      <c r="J2562" s="245"/>
      <c r="K2562" s="245"/>
      <c r="L2562" s="246"/>
      <c r="M2562" s="245"/>
      <c r="N2562" s="245"/>
      <c r="O2562" s="245"/>
      <c r="P2562" s="245"/>
      <c r="Q2562" s="247"/>
      <c r="R2562" s="247"/>
      <c r="S2562" s="247"/>
      <c r="T2562" s="245"/>
      <c r="U2562" s="245"/>
      <c r="V2562" s="241"/>
      <c r="W2562" s="241"/>
      <c r="X2562" s="241"/>
    </row>
    <row r="2563" spans="1:24" ht="13.5" customHeight="1" x14ac:dyDescent="0.3">
      <c r="A2563" s="245"/>
      <c r="B2563" s="246"/>
      <c r="C2563" s="245"/>
      <c r="D2563" s="245"/>
      <c r="E2563" s="245"/>
      <c r="F2563" s="245"/>
      <c r="G2563" s="245"/>
      <c r="H2563" s="245"/>
      <c r="I2563" s="245"/>
      <c r="J2563" s="245"/>
      <c r="K2563" s="245"/>
      <c r="L2563" s="246"/>
      <c r="M2563" s="245"/>
      <c r="N2563" s="245"/>
      <c r="O2563" s="245"/>
      <c r="P2563" s="245"/>
      <c r="Q2563" s="247"/>
      <c r="R2563" s="247"/>
      <c r="S2563" s="247"/>
      <c r="T2563" s="245"/>
      <c r="U2563" s="245"/>
      <c r="V2563" s="241"/>
      <c r="W2563" s="241"/>
      <c r="X2563" s="241"/>
    </row>
    <row r="2564" spans="1:24" ht="13.5" customHeight="1" x14ac:dyDescent="0.3">
      <c r="A2564" s="245"/>
      <c r="B2564" s="246"/>
      <c r="C2564" s="245"/>
      <c r="D2564" s="245"/>
      <c r="E2564" s="245"/>
      <c r="F2564" s="245"/>
      <c r="G2564" s="245"/>
      <c r="H2564" s="245"/>
      <c r="I2564" s="245"/>
      <c r="J2564" s="245"/>
      <c r="K2564" s="245"/>
      <c r="L2564" s="246"/>
      <c r="M2564" s="245"/>
      <c r="N2564" s="245"/>
      <c r="O2564" s="245"/>
      <c r="P2564" s="245"/>
      <c r="Q2564" s="247"/>
      <c r="R2564" s="247"/>
      <c r="S2564" s="247"/>
      <c r="T2564" s="245"/>
      <c r="U2564" s="245"/>
      <c r="V2564" s="241"/>
      <c r="W2564" s="241"/>
      <c r="X2564" s="241"/>
    </row>
    <row r="2565" spans="1:24" ht="13.5" customHeight="1" x14ac:dyDescent="0.3">
      <c r="A2565" s="245"/>
      <c r="B2565" s="246"/>
      <c r="C2565" s="245"/>
      <c r="D2565" s="245"/>
      <c r="E2565" s="245"/>
      <c r="F2565" s="245"/>
      <c r="G2565" s="245"/>
      <c r="H2565" s="245"/>
      <c r="I2565" s="245"/>
      <c r="J2565" s="245"/>
      <c r="K2565" s="245"/>
      <c r="L2565" s="246"/>
      <c r="M2565" s="245"/>
      <c r="N2565" s="245"/>
      <c r="O2565" s="245"/>
      <c r="P2565" s="245"/>
      <c r="Q2565" s="247"/>
      <c r="R2565" s="247"/>
      <c r="S2565" s="247"/>
      <c r="T2565" s="245"/>
      <c r="U2565" s="245"/>
      <c r="V2565" s="241"/>
      <c r="W2565" s="241"/>
      <c r="X2565" s="241"/>
    </row>
    <row r="2566" spans="1:24" ht="13.5" customHeight="1" x14ac:dyDescent="0.3">
      <c r="A2566" s="245"/>
      <c r="B2566" s="246"/>
      <c r="C2566" s="245"/>
      <c r="D2566" s="245"/>
      <c r="E2566" s="245"/>
      <c r="F2566" s="245"/>
      <c r="G2566" s="245"/>
      <c r="H2566" s="245"/>
      <c r="I2566" s="245"/>
      <c r="J2566" s="245"/>
      <c r="K2566" s="245"/>
      <c r="L2566" s="246"/>
      <c r="M2566" s="245"/>
      <c r="N2566" s="245"/>
      <c r="O2566" s="245"/>
      <c r="P2566" s="245"/>
      <c r="Q2566" s="247"/>
      <c r="R2566" s="247"/>
      <c r="S2566" s="247"/>
      <c r="T2566" s="245"/>
      <c r="U2566" s="245"/>
      <c r="V2566" s="241"/>
      <c r="W2566" s="241"/>
      <c r="X2566" s="241"/>
    </row>
    <row r="2567" spans="1:24" ht="13.5" customHeight="1" x14ac:dyDescent="0.3">
      <c r="A2567" s="245"/>
      <c r="B2567" s="246"/>
      <c r="C2567" s="245"/>
      <c r="D2567" s="245"/>
      <c r="E2567" s="245"/>
      <c r="F2567" s="245"/>
      <c r="G2567" s="245"/>
      <c r="H2567" s="245"/>
      <c r="I2567" s="245"/>
      <c r="J2567" s="245"/>
      <c r="K2567" s="245"/>
      <c r="L2567" s="246"/>
      <c r="M2567" s="245"/>
      <c r="N2567" s="245"/>
      <c r="O2567" s="245"/>
      <c r="P2567" s="245"/>
      <c r="Q2567" s="247"/>
      <c r="R2567" s="247"/>
      <c r="S2567" s="247"/>
      <c r="T2567" s="245"/>
      <c r="U2567" s="245"/>
      <c r="V2567" s="241"/>
      <c r="W2567" s="241"/>
      <c r="X2567" s="241"/>
    </row>
    <row r="2568" spans="1:24" ht="13.5" customHeight="1" x14ac:dyDescent="0.3">
      <c r="A2568" s="245"/>
      <c r="B2568" s="246"/>
      <c r="C2568" s="245"/>
      <c r="D2568" s="245"/>
      <c r="E2568" s="245"/>
      <c r="F2568" s="245"/>
      <c r="G2568" s="245"/>
      <c r="H2568" s="245"/>
      <c r="I2568" s="245"/>
      <c r="J2568" s="245"/>
      <c r="K2568" s="245"/>
      <c r="L2568" s="246"/>
      <c r="M2568" s="245"/>
      <c r="N2568" s="245"/>
      <c r="O2568" s="245"/>
      <c r="P2568" s="245"/>
      <c r="Q2568" s="247"/>
      <c r="R2568" s="247"/>
      <c r="S2568" s="247"/>
      <c r="T2568" s="245"/>
      <c r="U2568" s="245"/>
      <c r="V2568" s="241"/>
      <c r="W2568" s="241"/>
      <c r="X2568" s="241"/>
    </row>
    <row r="2569" spans="1:24" ht="13.5" customHeight="1" x14ac:dyDescent="0.3">
      <c r="A2569" s="245"/>
      <c r="B2569" s="246"/>
      <c r="C2569" s="245"/>
      <c r="D2569" s="245"/>
      <c r="E2569" s="245"/>
      <c r="F2569" s="245"/>
      <c r="G2569" s="245"/>
      <c r="H2569" s="245"/>
      <c r="I2569" s="245"/>
      <c r="J2569" s="245"/>
      <c r="K2569" s="245"/>
      <c r="L2569" s="246"/>
      <c r="M2569" s="245"/>
      <c r="N2569" s="245"/>
      <c r="O2569" s="245"/>
      <c r="P2569" s="245"/>
      <c r="Q2569" s="247"/>
      <c r="R2569" s="247"/>
      <c r="S2569" s="247"/>
      <c r="T2569" s="245"/>
      <c r="U2569" s="245"/>
      <c r="V2569" s="241"/>
      <c r="W2569" s="241"/>
      <c r="X2569" s="241"/>
    </row>
    <row r="2570" spans="1:24" ht="13.5" customHeight="1" x14ac:dyDescent="0.3">
      <c r="A2570" s="245"/>
      <c r="B2570" s="246"/>
      <c r="C2570" s="245"/>
      <c r="D2570" s="245"/>
      <c r="E2570" s="245"/>
      <c r="F2570" s="245"/>
      <c r="G2570" s="245"/>
      <c r="H2570" s="245"/>
      <c r="I2570" s="245"/>
      <c r="J2570" s="245"/>
      <c r="K2570" s="245"/>
      <c r="L2570" s="246"/>
      <c r="M2570" s="245"/>
      <c r="N2570" s="245"/>
      <c r="O2570" s="245"/>
      <c r="P2570" s="245"/>
      <c r="Q2570" s="247"/>
      <c r="R2570" s="247"/>
      <c r="S2570" s="247"/>
      <c r="T2570" s="245"/>
      <c r="U2570" s="245"/>
      <c r="V2570" s="241"/>
      <c r="W2570" s="241"/>
      <c r="X2570" s="241"/>
    </row>
    <row r="2571" spans="1:24" ht="13.5" customHeight="1" x14ac:dyDescent="0.3">
      <c r="A2571" s="245"/>
      <c r="B2571" s="246"/>
      <c r="C2571" s="245"/>
      <c r="D2571" s="245"/>
      <c r="E2571" s="245"/>
      <c r="F2571" s="245"/>
      <c r="G2571" s="245"/>
      <c r="H2571" s="245"/>
      <c r="I2571" s="245"/>
      <c r="J2571" s="245"/>
      <c r="K2571" s="245"/>
      <c r="L2571" s="246"/>
      <c r="M2571" s="245"/>
      <c r="N2571" s="245"/>
      <c r="O2571" s="245"/>
      <c r="P2571" s="245"/>
      <c r="Q2571" s="247"/>
      <c r="R2571" s="247"/>
      <c r="S2571" s="247"/>
      <c r="T2571" s="245"/>
      <c r="U2571" s="245"/>
      <c r="V2571" s="241"/>
      <c r="W2571" s="241"/>
      <c r="X2571" s="241"/>
    </row>
    <row r="2572" spans="1:24" ht="13.5" customHeight="1" x14ac:dyDescent="0.3">
      <c r="A2572" s="245"/>
      <c r="B2572" s="246"/>
      <c r="C2572" s="245"/>
      <c r="D2572" s="245"/>
      <c r="E2572" s="245"/>
      <c r="F2572" s="245"/>
      <c r="G2572" s="245"/>
      <c r="H2572" s="245"/>
      <c r="I2572" s="245"/>
      <c r="J2572" s="245"/>
      <c r="K2572" s="245"/>
      <c r="L2572" s="246"/>
      <c r="M2572" s="245"/>
      <c r="N2572" s="245"/>
      <c r="O2572" s="245"/>
      <c r="P2572" s="245"/>
      <c r="Q2572" s="247"/>
      <c r="R2572" s="247"/>
      <c r="S2572" s="247"/>
      <c r="T2572" s="245"/>
      <c r="U2572" s="245"/>
      <c r="V2572" s="241"/>
      <c r="W2572" s="241"/>
      <c r="X2572" s="241"/>
    </row>
    <row r="2573" spans="1:24" ht="13.5" customHeight="1" x14ac:dyDescent="0.3">
      <c r="A2573" s="245"/>
      <c r="B2573" s="246"/>
      <c r="C2573" s="245"/>
      <c r="D2573" s="245"/>
      <c r="E2573" s="245"/>
      <c r="F2573" s="245"/>
      <c r="G2573" s="245"/>
      <c r="H2573" s="245"/>
      <c r="I2573" s="245"/>
      <c r="J2573" s="245"/>
      <c r="K2573" s="245"/>
      <c r="L2573" s="246"/>
      <c r="M2573" s="245"/>
      <c r="N2573" s="245"/>
      <c r="O2573" s="245"/>
      <c r="P2573" s="245"/>
      <c r="Q2573" s="247"/>
      <c r="R2573" s="247"/>
      <c r="S2573" s="247"/>
      <c r="T2573" s="245"/>
      <c r="U2573" s="245"/>
      <c r="V2573" s="241"/>
      <c r="W2573" s="241"/>
      <c r="X2573" s="241"/>
    </row>
    <row r="2574" spans="1:24" ht="13.5" customHeight="1" x14ac:dyDescent="0.3">
      <c r="A2574" s="245"/>
      <c r="B2574" s="246"/>
      <c r="C2574" s="245"/>
      <c r="D2574" s="245"/>
      <c r="E2574" s="245"/>
      <c r="F2574" s="245"/>
      <c r="G2574" s="245"/>
      <c r="H2574" s="245"/>
      <c r="I2574" s="245"/>
      <c r="J2574" s="245"/>
      <c r="K2574" s="245"/>
      <c r="L2574" s="246"/>
      <c r="M2574" s="245"/>
      <c r="N2574" s="245"/>
      <c r="O2574" s="245"/>
      <c r="P2574" s="245"/>
      <c r="Q2574" s="247"/>
      <c r="R2574" s="247"/>
      <c r="S2574" s="247"/>
      <c r="T2574" s="245"/>
      <c r="U2574" s="245"/>
      <c r="V2574" s="241"/>
      <c r="W2574" s="241"/>
      <c r="X2574" s="241"/>
    </row>
    <row r="2575" spans="1:24" ht="13.5" customHeight="1" x14ac:dyDescent="0.3">
      <c r="A2575" s="245"/>
      <c r="B2575" s="246"/>
      <c r="C2575" s="245"/>
      <c r="D2575" s="245"/>
      <c r="E2575" s="245"/>
      <c r="F2575" s="245"/>
      <c r="G2575" s="245"/>
      <c r="H2575" s="245"/>
      <c r="I2575" s="245"/>
      <c r="J2575" s="245"/>
      <c r="K2575" s="245"/>
      <c r="L2575" s="246"/>
      <c r="M2575" s="245"/>
      <c r="N2575" s="245"/>
      <c r="O2575" s="245"/>
      <c r="P2575" s="245"/>
      <c r="Q2575" s="247"/>
      <c r="R2575" s="247"/>
      <c r="S2575" s="247"/>
      <c r="T2575" s="245"/>
      <c r="U2575" s="245"/>
      <c r="V2575" s="241"/>
      <c r="W2575" s="241"/>
      <c r="X2575" s="241"/>
    </row>
    <row r="2576" spans="1:24" ht="13.5" customHeight="1" x14ac:dyDescent="0.3">
      <c r="A2576" s="245"/>
      <c r="B2576" s="246"/>
      <c r="C2576" s="245"/>
      <c r="D2576" s="245"/>
      <c r="E2576" s="245"/>
      <c r="F2576" s="245"/>
      <c r="G2576" s="245"/>
      <c r="H2576" s="245"/>
      <c r="I2576" s="245"/>
      <c r="J2576" s="245"/>
      <c r="K2576" s="245"/>
      <c r="L2576" s="246"/>
      <c r="M2576" s="245"/>
      <c r="N2576" s="245"/>
      <c r="O2576" s="245"/>
      <c r="P2576" s="245"/>
      <c r="Q2576" s="247"/>
      <c r="R2576" s="247"/>
      <c r="S2576" s="247"/>
      <c r="T2576" s="245"/>
      <c r="U2576" s="245"/>
      <c r="V2576" s="241"/>
      <c r="W2576" s="241"/>
      <c r="X2576" s="241"/>
    </row>
    <row r="2577" spans="1:24" ht="13.5" customHeight="1" x14ac:dyDescent="0.3">
      <c r="A2577" s="245"/>
      <c r="B2577" s="246"/>
      <c r="C2577" s="245"/>
      <c r="D2577" s="245"/>
      <c r="E2577" s="245"/>
      <c r="F2577" s="245"/>
      <c r="G2577" s="245"/>
      <c r="H2577" s="245"/>
      <c r="I2577" s="245"/>
      <c r="J2577" s="245"/>
      <c r="K2577" s="245"/>
      <c r="L2577" s="246"/>
      <c r="M2577" s="245"/>
      <c r="N2577" s="245"/>
      <c r="O2577" s="245"/>
      <c r="P2577" s="245"/>
      <c r="Q2577" s="247"/>
      <c r="R2577" s="247"/>
      <c r="S2577" s="247"/>
      <c r="T2577" s="245"/>
      <c r="U2577" s="245"/>
      <c r="V2577" s="241"/>
      <c r="W2577" s="241"/>
      <c r="X2577" s="241"/>
    </row>
    <row r="2578" spans="1:24" ht="13.5" customHeight="1" x14ac:dyDescent="0.3">
      <c r="A2578" s="245"/>
      <c r="B2578" s="246"/>
      <c r="C2578" s="245"/>
      <c r="D2578" s="245"/>
      <c r="E2578" s="245"/>
      <c r="F2578" s="245"/>
      <c r="G2578" s="245"/>
      <c r="H2578" s="245"/>
      <c r="I2578" s="245"/>
      <c r="J2578" s="245"/>
      <c r="K2578" s="245"/>
      <c r="L2578" s="246"/>
      <c r="M2578" s="245"/>
      <c r="N2578" s="245"/>
      <c r="O2578" s="245"/>
      <c r="P2578" s="245"/>
      <c r="Q2578" s="247"/>
      <c r="R2578" s="247"/>
      <c r="S2578" s="247"/>
      <c r="T2578" s="245"/>
      <c r="U2578" s="245"/>
      <c r="V2578" s="241"/>
      <c r="W2578" s="241"/>
      <c r="X2578" s="241"/>
    </row>
    <row r="2579" spans="1:24" ht="13.5" customHeight="1" x14ac:dyDescent="0.3">
      <c r="A2579" s="245"/>
      <c r="B2579" s="246"/>
      <c r="C2579" s="245"/>
      <c r="D2579" s="245"/>
      <c r="E2579" s="245"/>
      <c r="F2579" s="245"/>
      <c r="G2579" s="245"/>
      <c r="H2579" s="245"/>
      <c r="I2579" s="245"/>
      <c r="J2579" s="245"/>
      <c r="K2579" s="245"/>
      <c r="L2579" s="246"/>
      <c r="M2579" s="245"/>
      <c r="N2579" s="245"/>
      <c r="O2579" s="245"/>
      <c r="P2579" s="245"/>
      <c r="Q2579" s="247"/>
      <c r="R2579" s="247"/>
      <c r="S2579" s="247"/>
      <c r="T2579" s="245"/>
      <c r="U2579" s="245"/>
      <c r="V2579" s="241"/>
      <c r="W2579" s="241"/>
      <c r="X2579" s="241"/>
    </row>
    <row r="2580" spans="1:24" ht="13.5" customHeight="1" x14ac:dyDescent="0.3">
      <c r="A2580" s="245"/>
      <c r="B2580" s="246"/>
      <c r="C2580" s="245"/>
      <c r="D2580" s="245"/>
      <c r="E2580" s="245"/>
      <c r="F2580" s="245"/>
      <c r="G2580" s="245"/>
      <c r="H2580" s="245"/>
      <c r="I2580" s="245"/>
      <c r="J2580" s="245"/>
      <c r="K2580" s="245"/>
      <c r="L2580" s="246"/>
      <c r="M2580" s="245"/>
      <c r="N2580" s="245"/>
      <c r="O2580" s="245"/>
      <c r="P2580" s="245"/>
      <c r="Q2580" s="247"/>
      <c r="R2580" s="247"/>
      <c r="S2580" s="247"/>
      <c r="T2580" s="245"/>
      <c r="U2580" s="245"/>
      <c r="V2580" s="241"/>
      <c r="W2580" s="241"/>
      <c r="X2580" s="241"/>
    </row>
    <row r="2581" spans="1:24" ht="13.5" customHeight="1" x14ac:dyDescent="0.3">
      <c r="A2581" s="245"/>
      <c r="B2581" s="246"/>
      <c r="C2581" s="245"/>
      <c r="D2581" s="245"/>
      <c r="E2581" s="245"/>
      <c r="F2581" s="245"/>
      <c r="G2581" s="245"/>
      <c r="H2581" s="245"/>
      <c r="I2581" s="245"/>
      <c r="J2581" s="245"/>
      <c r="K2581" s="245"/>
      <c r="L2581" s="246"/>
      <c r="M2581" s="245"/>
      <c r="N2581" s="245"/>
      <c r="O2581" s="245"/>
      <c r="P2581" s="245"/>
      <c r="Q2581" s="247"/>
      <c r="R2581" s="247"/>
      <c r="S2581" s="247"/>
      <c r="T2581" s="245"/>
      <c r="U2581" s="245"/>
      <c r="V2581" s="241"/>
      <c r="W2581" s="241"/>
      <c r="X2581" s="241"/>
    </row>
    <row r="2582" spans="1:24" ht="13.5" customHeight="1" x14ac:dyDescent="0.3">
      <c r="A2582" s="245"/>
      <c r="B2582" s="246"/>
      <c r="C2582" s="245"/>
      <c r="D2582" s="245"/>
      <c r="E2582" s="245"/>
      <c r="F2582" s="245"/>
      <c r="G2582" s="245"/>
      <c r="H2582" s="245"/>
      <c r="I2582" s="245"/>
      <c r="J2582" s="245"/>
      <c r="K2582" s="245"/>
      <c r="L2582" s="246"/>
      <c r="M2582" s="245"/>
      <c r="N2582" s="245"/>
      <c r="O2582" s="245"/>
      <c r="P2582" s="245"/>
      <c r="Q2582" s="247"/>
      <c r="R2582" s="247"/>
      <c r="S2582" s="247"/>
      <c r="T2582" s="245"/>
      <c r="U2582" s="245"/>
      <c r="V2582" s="241"/>
      <c r="W2582" s="241"/>
      <c r="X2582" s="241"/>
    </row>
    <row r="2583" spans="1:24" ht="13.5" customHeight="1" x14ac:dyDescent="0.3">
      <c r="A2583" s="245"/>
      <c r="B2583" s="246"/>
      <c r="C2583" s="245"/>
      <c r="D2583" s="245"/>
      <c r="E2583" s="245"/>
      <c r="F2583" s="245"/>
      <c r="G2583" s="245"/>
      <c r="H2583" s="245"/>
      <c r="I2583" s="245"/>
      <c r="J2583" s="245"/>
      <c r="K2583" s="245"/>
      <c r="L2583" s="246"/>
      <c r="M2583" s="245"/>
      <c r="N2583" s="245"/>
      <c r="O2583" s="245"/>
      <c r="P2583" s="245"/>
      <c r="Q2583" s="247"/>
      <c r="R2583" s="247"/>
      <c r="S2583" s="247"/>
      <c r="T2583" s="245"/>
      <c r="U2583" s="245"/>
      <c r="V2583" s="241"/>
      <c r="W2583" s="241"/>
      <c r="X2583" s="241"/>
    </row>
    <row r="2584" spans="1:24" ht="13.5" customHeight="1" x14ac:dyDescent="0.3">
      <c r="A2584" s="245"/>
      <c r="B2584" s="246"/>
      <c r="C2584" s="245"/>
      <c r="D2584" s="245"/>
      <c r="E2584" s="245"/>
      <c r="F2584" s="245"/>
      <c r="G2584" s="245"/>
      <c r="H2584" s="245"/>
      <c r="I2584" s="245"/>
      <c r="J2584" s="245"/>
      <c r="K2584" s="245"/>
      <c r="L2584" s="246"/>
      <c r="M2584" s="245"/>
      <c r="N2584" s="245"/>
      <c r="O2584" s="245"/>
      <c r="P2584" s="245"/>
      <c r="Q2584" s="247"/>
      <c r="R2584" s="247"/>
      <c r="S2584" s="247"/>
      <c r="T2584" s="245"/>
      <c r="U2584" s="245"/>
      <c r="V2584" s="241"/>
      <c r="W2584" s="241"/>
      <c r="X2584" s="241"/>
    </row>
    <row r="2585" spans="1:24" ht="13.5" customHeight="1" x14ac:dyDescent="0.3">
      <c r="A2585" s="245"/>
      <c r="B2585" s="246"/>
      <c r="C2585" s="245"/>
      <c r="D2585" s="245"/>
      <c r="E2585" s="245"/>
      <c r="F2585" s="245"/>
      <c r="G2585" s="245"/>
      <c r="H2585" s="245"/>
      <c r="I2585" s="245"/>
      <c r="J2585" s="245"/>
      <c r="K2585" s="245"/>
      <c r="L2585" s="246"/>
      <c r="M2585" s="245"/>
      <c r="N2585" s="245"/>
      <c r="O2585" s="245"/>
      <c r="P2585" s="245"/>
      <c r="Q2585" s="247"/>
      <c r="R2585" s="247"/>
      <c r="S2585" s="247"/>
      <c r="T2585" s="245"/>
      <c r="U2585" s="245"/>
      <c r="V2585" s="241"/>
      <c r="W2585" s="241"/>
      <c r="X2585" s="241"/>
    </row>
    <row r="2586" spans="1:24" ht="13.5" customHeight="1" x14ac:dyDescent="0.3">
      <c r="A2586" s="245"/>
      <c r="B2586" s="246"/>
      <c r="C2586" s="245"/>
      <c r="D2586" s="245"/>
      <c r="E2586" s="245"/>
      <c r="F2586" s="245"/>
      <c r="G2586" s="245"/>
      <c r="H2586" s="245"/>
      <c r="I2586" s="245"/>
      <c r="J2586" s="245"/>
      <c r="K2586" s="245"/>
      <c r="L2586" s="246"/>
      <c r="M2586" s="245"/>
      <c r="N2586" s="245"/>
      <c r="O2586" s="245"/>
      <c r="P2586" s="245"/>
      <c r="Q2586" s="247"/>
      <c r="R2586" s="247"/>
      <c r="S2586" s="247"/>
      <c r="T2586" s="245"/>
      <c r="U2586" s="245"/>
      <c r="V2586" s="241"/>
      <c r="W2586" s="241"/>
      <c r="X2586" s="241"/>
    </row>
    <row r="2587" spans="1:24" ht="13.5" customHeight="1" x14ac:dyDescent="0.3">
      <c r="A2587" s="245"/>
      <c r="B2587" s="246"/>
      <c r="C2587" s="245"/>
      <c r="D2587" s="245"/>
      <c r="E2587" s="245"/>
      <c r="F2587" s="245"/>
      <c r="G2587" s="245"/>
      <c r="H2587" s="245"/>
      <c r="I2587" s="245"/>
      <c r="J2587" s="245"/>
      <c r="K2587" s="245"/>
      <c r="L2587" s="246"/>
      <c r="M2587" s="245"/>
      <c r="N2587" s="245"/>
      <c r="O2587" s="245"/>
      <c r="P2587" s="245"/>
      <c r="Q2587" s="247"/>
      <c r="R2587" s="247"/>
      <c r="S2587" s="247"/>
      <c r="T2587" s="245"/>
      <c r="U2587" s="245"/>
      <c r="V2587" s="241"/>
      <c r="W2587" s="241"/>
      <c r="X2587" s="241"/>
    </row>
    <row r="2588" spans="1:24" ht="13.5" customHeight="1" x14ac:dyDescent="0.3">
      <c r="A2588" s="245"/>
      <c r="B2588" s="246"/>
      <c r="C2588" s="245"/>
      <c r="D2588" s="245"/>
      <c r="E2588" s="245"/>
      <c r="F2588" s="245"/>
      <c r="G2588" s="245"/>
      <c r="H2588" s="245"/>
      <c r="I2588" s="245"/>
      <c r="J2588" s="245"/>
      <c r="K2588" s="245"/>
      <c r="L2588" s="246"/>
      <c r="M2588" s="245"/>
      <c r="N2588" s="245"/>
      <c r="O2588" s="245"/>
      <c r="P2588" s="245"/>
      <c r="Q2588" s="247"/>
      <c r="R2588" s="247"/>
      <c r="S2588" s="247"/>
      <c r="T2588" s="245"/>
      <c r="U2588" s="245"/>
      <c r="V2588" s="241"/>
      <c r="W2588" s="241"/>
      <c r="X2588" s="241"/>
    </row>
    <row r="2589" spans="1:24" ht="13.5" customHeight="1" x14ac:dyDescent="0.3">
      <c r="A2589" s="245"/>
      <c r="B2589" s="246"/>
      <c r="C2589" s="245"/>
      <c r="D2589" s="245"/>
      <c r="E2589" s="245"/>
      <c r="F2589" s="245"/>
      <c r="G2589" s="245"/>
      <c r="H2589" s="245"/>
      <c r="I2589" s="245"/>
      <c r="J2589" s="245"/>
      <c r="K2589" s="245"/>
      <c r="L2589" s="246"/>
      <c r="M2589" s="245"/>
      <c r="N2589" s="245"/>
      <c r="O2589" s="245"/>
      <c r="P2589" s="245"/>
      <c r="Q2589" s="247"/>
      <c r="R2589" s="247"/>
      <c r="S2589" s="247"/>
      <c r="T2589" s="245"/>
      <c r="U2589" s="245"/>
      <c r="V2589" s="241"/>
      <c r="W2589" s="241"/>
      <c r="X2589" s="241"/>
    </row>
    <row r="2590" spans="1:24" ht="13.5" customHeight="1" x14ac:dyDescent="0.3">
      <c r="A2590" s="245"/>
      <c r="B2590" s="246"/>
      <c r="C2590" s="245"/>
      <c r="D2590" s="245"/>
      <c r="E2590" s="245"/>
      <c r="F2590" s="245"/>
      <c r="G2590" s="245"/>
      <c r="H2590" s="245"/>
      <c r="I2590" s="245"/>
      <c r="J2590" s="245"/>
      <c r="K2590" s="245"/>
      <c r="L2590" s="246"/>
      <c r="M2590" s="245"/>
      <c r="N2590" s="245"/>
      <c r="O2590" s="245"/>
      <c r="P2590" s="245"/>
      <c r="Q2590" s="247"/>
      <c r="R2590" s="247"/>
      <c r="S2590" s="247"/>
      <c r="T2590" s="245"/>
      <c r="U2590" s="245"/>
      <c r="V2590" s="241"/>
      <c r="W2590" s="241"/>
      <c r="X2590" s="241"/>
    </row>
    <row r="2591" spans="1:24" ht="13.5" customHeight="1" x14ac:dyDescent="0.3">
      <c r="A2591" s="245"/>
      <c r="B2591" s="246"/>
      <c r="C2591" s="245"/>
      <c r="D2591" s="245"/>
      <c r="E2591" s="245"/>
      <c r="F2591" s="245"/>
      <c r="G2591" s="245"/>
      <c r="H2591" s="245"/>
      <c r="I2591" s="245"/>
      <c r="J2591" s="245"/>
      <c r="K2591" s="245"/>
      <c r="L2591" s="246"/>
      <c r="M2591" s="245"/>
      <c r="N2591" s="245"/>
      <c r="O2591" s="245"/>
      <c r="P2591" s="245"/>
      <c r="Q2591" s="247"/>
      <c r="R2591" s="247"/>
      <c r="S2591" s="247"/>
      <c r="T2591" s="245"/>
      <c r="U2591" s="245"/>
      <c r="V2591" s="241"/>
      <c r="W2591" s="241"/>
      <c r="X2591" s="241"/>
    </row>
    <row r="2592" spans="1:24" ht="13.5" customHeight="1" x14ac:dyDescent="0.3">
      <c r="A2592" s="245"/>
      <c r="B2592" s="246"/>
      <c r="C2592" s="245"/>
      <c r="D2592" s="245"/>
      <c r="E2592" s="245"/>
      <c r="F2592" s="245"/>
      <c r="G2592" s="245"/>
      <c r="H2592" s="245"/>
      <c r="I2592" s="245"/>
      <c r="J2592" s="245"/>
      <c r="K2592" s="245"/>
      <c r="L2592" s="246"/>
      <c r="M2592" s="245"/>
      <c r="N2592" s="245"/>
      <c r="O2592" s="245"/>
      <c r="P2592" s="245"/>
      <c r="Q2592" s="247"/>
      <c r="R2592" s="247"/>
      <c r="S2592" s="247"/>
      <c r="T2592" s="245"/>
      <c r="U2592" s="245"/>
      <c r="V2592" s="241"/>
      <c r="W2592" s="241"/>
      <c r="X2592" s="241"/>
    </row>
    <row r="2593" spans="1:24" ht="13.5" customHeight="1" x14ac:dyDescent="0.3">
      <c r="A2593" s="245"/>
      <c r="B2593" s="246"/>
      <c r="C2593" s="245"/>
      <c r="D2593" s="245"/>
      <c r="E2593" s="245"/>
      <c r="F2593" s="245"/>
      <c r="G2593" s="245"/>
      <c r="H2593" s="245"/>
      <c r="I2593" s="245"/>
      <c r="J2593" s="245"/>
      <c r="K2593" s="245"/>
      <c r="L2593" s="246"/>
      <c r="M2593" s="245"/>
      <c r="N2593" s="245"/>
      <c r="O2593" s="245"/>
      <c r="P2593" s="245"/>
      <c r="Q2593" s="247"/>
      <c r="R2593" s="247"/>
      <c r="S2593" s="247"/>
      <c r="T2593" s="245"/>
      <c r="U2593" s="245"/>
      <c r="V2593" s="241"/>
      <c r="W2593" s="241"/>
      <c r="X2593" s="241"/>
    </row>
    <row r="2594" spans="1:24" ht="13.5" customHeight="1" x14ac:dyDescent="0.3">
      <c r="A2594" s="245"/>
      <c r="B2594" s="246"/>
      <c r="C2594" s="245"/>
      <c r="D2594" s="245"/>
      <c r="E2594" s="245"/>
      <c r="F2594" s="245"/>
      <c r="G2594" s="245"/>
      <c r="H2594" s="245"/>
      <c r="I2594" s="245"/>
      <c r="J2594" s="245"/>
      <c r="K2594" s="245"/>
      <c r="L2594" s="246"/>
      <c r="M2594" s="245"/>
      <c r="N2594" s="245"/>
      <c r="O2594" s="245"/>
      <c r="P2594" s="245"/>
      <c r="Q2594" s="247"/>
      <c r="R2594" s="247"/>
      <c r="S2594" s="247"/>
      <c r="T2594" s="245"/>
      <c r="U2594" s="245"/>
      <c r="V2594" s="241"/>
      <c r="W2594" s="241"/>
      <c r="X2594" s="241"/>
    </row>
    <row r="2595" spans="1:24" ht="13.5" customHeight="1" x14ac:dyDescent="0.3">
      <c r="A2595" s="245"/>
      <c r="B2595" s="246"/>
      <c r="C2595" s="245"/>
      <c r="D2595" s="245"/>
      <c r="E2595" s="245"/>
      <c r="F2595" s="245"/>
      <c r="G2595" s="245"/>
      <c r="H2595" s="245"/>
      <c r="I2595" s="245"/>
      <c r="J2595" s="245"/>
      <c r="K2595" s="245"/>
      <c r="L2595" s="246"/>
      <c r="M2595" s="245"/>
      <c r="N2595" s="245"/>
      <c r="O2595" s="245"/>
      <c r="P2595" s="245"/>
      <c r="Q2595" s="247"/>
      <c r="R2595" s="247"/>
      <c r="S2595" s="247"/>
      <c r="T2595" s="245"/>
      <c r="U2595" s="245"/>
      <c r="V2595" s="241"/>
      <c r="W2595" s="241"/>
      <c r="X2595" s="241"/>
    </row>
    <row r="2596" spans="1:24" ht="13.5" customHeight="1" x14ac:dyDescent="0.3">
      <c r="A2596" s="245"/>
      <c r="B2596" s="246"/>
      <c r="C2596" s="245"/>
      <c r="D2596" s="245"/>
      <c r="E2596" s="245"/>
      <c r="F2596" s="245"/>
      <c r="G2596" s="245"/>
      <c r="H2596" s="245"/>
      <c r="I2596" s="245"/>
      <c r="J2596" s="245"/>
      <c r="K2596" s="245"/>
      <c r="L2596" s="246"/>
      <c r="M2596" s="245"/>
      <c r="N2596" s="245"/>
      <c r="O2596" s="245"/>
      <c r="P2596" s="245"/>
      <c r="Q2596" s="247"/>
      <c r="R2596" s="247"/>
      <c r="S2596" s="247"/>
      <c r="T2596" s="245"/>
      <c r="U2596" s="245"/>
      <c r="V2596" s="241"/>
      <c r="W2596" s="241"/>
      <c r="X2596" s="241"/>
    </row>
    <row r="2597" spans="1:24" ht="13.5" customHeight="1" x14ac:dyDescent="0.3">
      <c r="A2597" s="245"/>
      <c r="B2597" s="246"/>
      <c r="C2597" s="245"/>
      <c r="D2597" s="245"/>
      <c r="E2597" s="245"/>
      <c r="F2597" s="245"/>
      <c r="G2597" s="245"/>
      <c r="H2597" s="245"/>
      <c r="I2597" s="245"/>
      <c r="J2597" s="245"/>
      <c r="K2597" s="245"/>
      <c r="L2597" s="246"/>
      <c r="M2597" s="245"/>
      <c r="N2597" s="245"/>
      <c r="O2597" s="245"/>
      <c r="P2597" s="245"/>
      <c r="Q2597" s="247"/>
      <c r="R2597" s="247"/>
      <c r="S2597" s="247"/>
      <c r="T2597" s="245"/>
      <c r="U2597" s="245"/>
      <c r="V2597" s="241"/>
      <c r="W2597" s="241"/>
      <c r="X2597" s="241"/>
    </row>
    <row r="2598" spans="1:24" ht="13.5" customHeight="1" x14ac:dyDescent="0.3">
      <c r="A2598" s="245"/>
      <c r="B2598" s="246"/>
      <c r="C2598" s="245"/>
      <c r="D2598" s="245"/>
      <c r="E2598" s="245"/>
      <c r="F2598" s="245"/>
      <c r="G2598" s="245"/>
      <c r="H2598" s="245"/>
      <c r="I2598" s="245"/>
      <c r="J2598" s="245"/>
      <c r="K2598" s="245"/>
      <c r="L2598" s="246"/>
      <c r="M2598" s="245"/>
      <c r="N2598" s="245"/>
      <c r="O2598" s="245"/>
      <c r="P2598" s="245"/>
      <c r="Q2598" s="247"/>
      <c r="R2598" s="247"/>
      <c r="S2598" s="247"/>
      <c r="T2598" s="245"/>
      <c r="U2598" s="245"/>
      <c r="V2598" s="241"/>
      <c r="W2598" s="241"/>
      <c r="X2598" s="241"/>
    </row>
    <row r="2599" spans="1:24" ht="13.5" customHeight="1" x14ac:dyDescent="0.3">
      <c r="A2599" s="245"/>
      <c r="B2599" s="246"/>
      <c r="C2599" s="245"/>
      <c r="D2599" s="245"/>
      <c r="E2599" s="245"/>
      <c r="F2599" s="245"/>
      <c r="G2599" s="245"/>
      <c r="H2599" s="245"/>
      <c r="I2599" s="245"/>
      <c r="J2599" s="245"/>
      <c r="K2599" s="245"/>
      <c r="L2599" s="246"/>
      <c r="M2599" s="245"/>
      <c r="N2599" s="245"/>
      <c r="O2599" s="245"/>
      <c r="P2599" s="245"/>
      <c r="Q2599" s="247"/>
      <c r="R2599" s="247"/>
      <c r="S2599" s="247"/>
      <c r="T2599" s="245"/>
      <c r="U2599" s="245"/>
      <c r="V2599" s="241"/>
      <c r="W2599" s="241"/>
      <c r="X2599" s="241"/>
    </row>
    <row r="2600" spans="1:24" ht="13.5" customHeight="1" x14ac:dyDescent="0.3">
      <c r="A2600" s="245"/>
      <c r="B2600" s="246"/>
      <c r="C2600" s="245"/>
      <c r="D2600" s="245"/>
      <c r="E2600" s="245"/>
      <c r="F2600" s="245"/>
      <c r="G2600" s="245"/>
      <c r="H2600" s="245"/>
      <c r="I2600" s="245"/>
      <c r="J2600" s="245"/>
      <c r="K2600" s="245"/>
      <c r="L2600" s="246"/>
      <c r="M2600" s="245"/>
      <c r="N2600" s="245"/>
      <c r="O2600" s="245"/>
      <c r="P2600" s="245"/>
      <c r="Q2600" s="247"/>
      <c r="R2600" s="247"/>
      <c r="S2600" s="247"/>
      <c r="T2600" s="245"/>
      <c r="U2600" s="245"/>
      <c r="V2600" s="241"/>
      <c r="W2600" s="241"/>
      <c r="X2600" s="241"/>
    </row>
    <row r="2601" spans="1:24" ht="13.5" customHeight="1" x14ac:dyDescent="0.3">
      <c r="A2601" s="245"/>
      <c r="B2601" s="246"/>
      <c r="C2601" s="245"/>
      <c r="D2601" s="245"/>
      <c r="E2601" s="245"/>
      <c r="F2601" s="245"/>
      <c r="G2601" s="245"/>
      <c r="H2601" s="245"/>
      <c r="I2601" s="245"/>
      <c r="J2601" s="245"/>
      <c r="K2601" s="245"/>
      <c r="L2601" s="246"/>
      <c r="M2601" s="245"/>
      <c r="N2601" s="245"/>
      <c r="O2601" s="245"/>
      <c r="P2601" s="245"/>
      <c r="Q2601" s="247"/>
      <c r="R2601" s="247"/>
      <c r="S2601" s="247"/>
      <c r="T2601" s="245"/>
      <c r="U2601" s="245"/>
      <c r="V2601" s="241"/>
      <c r="W2601" s="241"/>
      <c r="X2601" s="241"/>
    </row>
    <row r="2602" spans="1:24" ht="13.5" customHeight="1" x14ac:dyDescent="0.3">
      <c r="A2602" s="245"/>
      <c r="B2602" s="246"/>
      <c r="C2602" s="245"/>
      <c r="D2602" s="245"/>
      <c r="E2602" s="245"/>
      <c r="F2602" s="245"/>
      <c r="G2602" s="245"/>
      <c r="H2602" s="245"/>
      <c r="I2602" s="245"/>
      <c r="J2602" s="245"/>
      <c r="K2602" s="245"/>
      <c r="L2602" s="246"/>
      <c r="M2602" s="245"/>
      <c r="N2602" s="245"/>
      <c r="O2602" s="245"/>
      <c r="P2602" s="245"/>
      <c r="Q2602" s="247"/>
      <c r="R2602" s="247"/>
      <c r="S2602" s="247"/>
      <c r="T2602" s="245"/>
      <c r="U2602" s="245"/>
      <c r="V2602" s="241"/>
      <c r="W2602" s="241"/>
      <c r="X2602" s="241"/>
    </row>
    <row r="2603" spans="1:24" ht="13.5" customHeight="1" x14ac:dyDescent="0.3">
      <c r="A2603" s="245"/>
      <c r="B2603" s="246"/>
      <c r="C2603" s="245"/>
      <c r="D2603" s="245"/>
      <c r="E2603" s="245"/>
      <c r="F2603" s="245"/>
      <c r="G2603" s="245"/>
      <c r="H2603" s="245"/>
      <c r="I2603" s="245"/>
      <c r="J2603" s="245"/>
      <c r="K2603" s="245"/>
      <c r="L2603" s="246"/>
      <c r="M2603" s="245"/>
      <c r="N2603" s="245"/>
      <c r="O2603" s="245"/>
      <c r="P2603" s="245"/>
      <c r="Q2603" s="247"/>
      <c r="R2603" s="247"/>
      <c r="S2603" s="247"/>
      <c r="T2603" s="245"/>
      <c r="U2603" s="245"/>
      <c r="V2603" s="241"/>
      <c r="W2603" s="241"/>
      <c r="X2603" s="241"/>
    </row>
    <row r="2604" spans="1:24" ht="13.5" customHeight="1" x14ac:dyDescent="0.3">
      <c r="A2604" s="245"/>
      <c r="B2604" s="246"/>
      <c r="C2604" s="245"/>
      <c r="D2604" s="245"/>
      <c r="E2604" s="245"/>
      <c r="F2604" s="245"/>
      <c r="G2604" s="245"/>
      <c r="H2604" s="245"/>
      <c r="I2604" s="245"/>
      <c r="J2604" s="245"/>
      <c r="K2604" s="245"/>
      <c r="L2604" s="246"/>
      <c r="M2604" s="245"/>
      <c r="N2604" s="245"/>
      <c r="O2604" s="245"/>
      <c r="P2604" s="245"/>
      <c r="Q2604" s="247"/>
      <c r="R2604" s="247"/>
      <c r="S2604" s="247"/>
      <c r="T2604" s="245"/>
      <c r="U2604" s="245"/>
      <c r="V2604" s="241"/>
      <c r="W2604" s="241"/>
      <c r="X2604" s="241"/>
    </row>
    <row r="2605" spans="1:24" ht="13.5" customHeight="1" x14ac:dyDescent="0.3">
      <c r="A2605" s="245"/>
      <c r="B2605" s="246"/>
      <c r="C2605" s="245"/>
      <c r="D2605" s="245"/>
      <c r="E2605" s="245"/>
      <c r="F2605" s="245"/>
      <c r="G2605" s="245"/>
      <c r="H2605" s="245"/>
      <c r="I2605" s="245"/>
      <c r="J2605" s="245"/>
      <c r="K2605" s="245"/>
      <c r="L2605" s="246"/>
      <c r="M2605" s="245"/>
      <c r="N2605" s="245"/>
      <c r="O2605" s="245"/>
      <c r="P2605" s="245"/>
      <c r="Q2605" s="247"/>
      <c r="R2605" s="247"/>
      <c r="S2605" s="247"/>
      <c r="T2605" s="245"/>
      <c r="U2605" s="245"/>
      <c r="V2605" s="241"/>
      <c r="W2605" s="241"/>
      <c r="X2605" s="241"/>
    </row>
    <row r="2606" spans="1:24" ht="13.5" customHeight="1" x14ac:dyDescent="0.3">
      <c r="A2606" s="245"/>
      <c r="B2606" s="246"/>
      <c r="C2606" s="245"/>
      <c r="D2606" s="245"/>
      <c r="E2606" s="245"/>
      <c r="F2606" s="245"/>
      <c r="G2606" s="245"/>
      <c r="H2606" s="245"/>
      <c r="I2606" s="245"/>
      <c r="J2606" s="245"/>
      <c r="K2606" s="245"/>
      <c r="L2606" s="246"/>
      <c r="M2606" s="245"/>
      <c r="N2606" s="245"/>
      <c r="O2606" s="245"/>
      <c r="P2606" s="245"/>
      <c r="Q2606" s="247"/>
      <c r="R2606" s="247"/>
      <c r="S2606" s="247"/>
      <c r="T2606" s="245"/>
      <c r="U2606" s="245"/>
      <c r="V2606" s="241"/>
      <c r="W2606" s="241"/>
      <c r="X2606" s="241"/>
    </row>
    <row r="2607" spans="1:24" ht="13.5" customHeight="1" x14ac:dyDescent="0.3">
      <c r="A2607" s="245"/>
      <c r="B2607" s="246"/>
      <c r="C2607" s="245"/>
      <c r="D2607" s="245"/>
      <c r="E2607" s="245"/>
      <c r="F2607" s="245"/>
      <c r="G2607" s="245"/>
      <c r="H2607" s="245"/>
      <c r="I2607" s="245"/>
      <c r="J2607" s="245"/>
      <c r="K2607" s="245"/>
      <c r="L2607" s="246"/>
      <c r="M2607" s="245"/>
      <c r="N2607" s="245"/>
      <c r="O2607" s="245"/>
      <c r="P2607" s="245"/>
      <c r="Q2607" s="247"/>
      <c r="R2607" s="247"/>
      <c r="S2607" s="247"/>
      <c r="T2607" s="245"/>
      <c r="U2607" s="245"/>
      <c r="V2607" s="241"/>
      <c r="W2607" s="241"/>
      <c r="X2607" s="241"/>
    </row>
    <row r="2608" spans="1:24" ht="13.5" customHeight="1" x14ac:dyDescent="0.3">
      <c r="A2608" s="245"/>
      <c r="B2608" s="246"/>
      <c r="C2608" s="245"/>
      <c r="D2608" s="245"/>
      <c r="E2608" s="245"/>
      <c r="F2608" s="245"/>
      <c r="G2608" s="245"/>
      <c r="H2608" s="245"/>
      <c r="I2608" s="245"/>
      <c r="J2608" s="245"/>
      <c r="K2608" s="245"/>
      <c r="L2608" s="246"/>
      <c r="M2608" s="245"/>
      <c r="N2608" s="245"/>
      <c r="O2608" s="245"/>
      <c r="P2608" s="245"/>
      <c r="Q2608" s="247"/>
      <c r="R2608" s="247"/>
      <c r="S2608" s="247"/>
      <c r="T2608" s="245"/>
      <c r="U2608" s="245"/>
      <c r="V2608" s="241"/>
      <c r="W2608" s="241"/>
      <c r="X2608" s="241"/>
    </row>
    <row r="2609" spans="1:24" ht="13.5" customHeight="1" x14ac:dyDescent="0.3">
      <c r="A2609" s="245"/>
      <c r="B2609" s="246"/>
      <c r="C2609" s="245"/>
      <c r="D2609" s="245"/>
      <c r="E2609" s="245"/>
      <c r="F2609" s="245"/>
      <c r="G2609" s="245"/>
      <c r="H2609" s="245"/>
      <c r="I2609" s="245"/>
      <c r="J2609" s="245"/>
      <c r="K2609" s="245"/>
      <c r="L2609" s="246"/>
      <c r="M2609" s="245"/>
      <c r="N2609" s="245"/>
      <c r="O2609" s="245"/>
      <c r="P2609" s="245"/>
      <c r="Q2609" s="247"/>
      <c r="R2609" s="247"/>
      <c r="S2609" s="247"/>
      <c r="T2609" s="245"/>
      <c r="U2609" s="245"/>
      <c r="V2609" s="241"/>
      <c r="W2609" s="241"/>
      <c r="X2609" s="241"/>
    </row>
    <row r="2610" spans="1:24" ht="13.5" customHeight="1" x14ac:dyDescent="0.3">
      <c r="A2610" s="245"/>
      <c r="B2610" s="246"/>
      <c r="C2610" s="245"/>
      <c r="D2610" s="245"/>
      <c r="E2610" s="245"/>
      <c r="F2610" s="245"/>
      <c r="G2610" s="245"/>
      <c r="H2610" s="245"/>
      <c r="I2610" s="245"/>
      <c r="J2610" s="245"/>
      <c r="K2610" s="245"/>
      <c r="L2610" s="246"/>
      <c r="M2610" s="245"/>
      <c r="N2610" s="245"/>
      <c r="O2610" s="245"/>
      <c r="P2610" s="245"/>
      <c r="Q2610" s="247"/>
      <c r="R2610" s="247"/>
      <c r="S2610" s="247"/>
      <c r="T2610" s="245"/>
      <c r="U2610" s="245"/>
      <c r="V2610" s="241"/>
      <c r="W2610" s="241"/>
      <c r="X2610" s="241"/>
    </row>
    <row r="2611" spans="1:24" ht="13.5" customHeight="1" x14ac:dyDescent="0.3">
      <c r="A2611" s="245"/>
      <c r="B2611" s="246"/>
      <c r="C2611" s="245"/>
      <c r="D2611" s="245"/>
      <c r="E2611" s="245"/>
      <c r="F2611" s="245"/>
      <c r="G2611" s="245"/>
      <c r="H2611" s="245"/>
      <c r="I2611" s="245"/>
      <c r="J2611" s="245"/>
      <c r="K2611" s="245"/>
      <c r="L2611" s="246"/>
      <c r="M2611" s="245"/>
      <c r="N2611" s="245"/>
      <c r="O2611" s="245"/>
      <c r="P2611" s="245"/>
      <c r="Q2611" s="247"/>
      <c r="R2611" s="247"/>
      <c r="S2611" s="247"/>
      <c r="T2611" s="245"/>
      <c r="U2611" s="245"/>
      <c r="V2611" s="241"/>
      <c r="W2611" s="241"/>
      <c r="X2611" s="241"/>
    </row>
    <row r="2612" spans="1:24" ht="13.5" customHeight="1" x14ac:dyDescent="0.3">
      <c r="A2612" s="245"/>
      <c r="B2612" s="246"/>
      <c r="C2612" s="245"/>
      <c r="D2612" s="245"/>
      <c r="E2612" s="245"/>
      <c r="F2612" s="245"/>
      <c r="G2612" s="245"/>
      <c r="H2612" s="245"/>
      <c r="I2612" s="245"/>
      <c r="J2612" s="245"/>
      <c r="K2612" s="245"/>
      <c r="L2612" s="246"/>
      <c r="M2612" s="245"/>
      <c r="N2612" s="245"/>
      <c r="O2612" s="245"/>
      <c r="P2612" s="245"/>
      <c r="Q2612" s="247"/>
      <c r="R2612" s="247"/>
      <c r="S2612" s="247"/>
      <c r="T2612" s="245"/>
      <c r="U2612" s="245"/>
      <c r="V2612" s="241"/>
      <c r="W2612" s="241"/>
      <c r="X2612" s="241"/>
    </row>
    <row r="2613" spans="1:24" ht="13.5" customHeight="1" x14ac:dyDescent="0.3">
      <c r="A2613" s="245"/>
      <c r="B2613" s="246"/>
      <c r="C2613" s="245"/>
      <c r="D2613" s="245"/>
      <c r="E2613" s="245"/>
      <c r="F2613" s="245"/>
      <c r="G2613" s="245"/>
      <c r="H2613" s="245"/>
      <c r="I2613" s="245"/>
      <c r="J2613" s="245"/>
      <c r="K2613" s="245"/>
      <c r="L2613" s="246"/>
      <c r="M2613" s="245"/>
      <c r="N2613" s="245"/>
      <c r="O2613" s="245"/>
      <c r="P2613" s="245"/>
      <c r="Q2613" s="247"/>
      <c r="R2613" s="247"/>
      <c r="S2613" s="247"/>
      <c r="T2613" s="245"/>
      <c r="U2613" s="245"/>
      <c r="V2613" s="241"/>
      <c r="W2613" s="241"/>
      <c r="X2613" s="241"/>
    </row>
    <row r="2614" spans="1:24" ht="13.5" customHeight="1" x14ac:dyDescent="0.3">
      <c r="A2614" s="245"/>
      <c r="B2614" s="246"/>
      <c r="C2614" s="245"/>
      <c r="D2614" s="245"/>
      <c r="E2614" s="245"/>
      <c r="F2614" s="245"/>
      <c r="G2614" s="245"/>
      <c r="H2614" s="245"/>
      <c r="I2614" s="245"/>
      <c r="J2614" s="245"/>
      <c r="K2614" s="245"/>
      <c r="L2614" s="246"/>
      <c r="M2614" s="245"/>
      <c r="N2614" s="245"/>
      <c r="O2614" s="245"/>
      <c r="P2614" s="245"/>
      <c r="Q2614" s="247"/>
      <c r="R2614" s="247"/>
      <c r="S2614" s="247"/>
      <c r="T2614" s="245"/>
      <c r="U2614" s="245"/>
      <c r="V2614" s="241"/>
      <c r="W2614" s="241"/>
      <c r="X2614" s="241"/>
    </row>
    <row r="2615" spans="1:24" ht="13.5" customHeight="1" x14ac:dyDescent="0.3">
      <c r="A2615" s="245"/>
      <c r="B2615" s="246"/>
      <c r="C2615" s="245"/>
      <c r="D2615" s="245"/>
      <c r="E2615" s="245"/>
      <c r="F2615" s="245"/>
      <c r="G2615" s="245"/>
      <c r="H2615" s="245"/>
      <c r="I2615" s="245"/>
      <c r="J2615" s="245"/>
      <c r="K2615" s="245"/>
      <c r="L2615" s="246"/>
      <c r="M2615" s="245"/>
      <c r="N2615" s="245"/>
      <c r="O2615" s="245"/>
      <c r="P2615" s="245"/>
      <c r="Q2615" s="247"/>
      <c r="R2615" s="247"/>
      <c r="S2615" s="247"/>
      <c r="T2615" s="245"/>
      <c r="U2615" s="245"/>
      <c r="V2615" s="241"/>
      <c r="W2615" s="241"/>
      <c r="X2615" s="241"/>
    </row>
    <row r="2616" spans="1:24" ht="13.5" customHeight="1" x14ac:dyDescent="0.3">
      <c r="A2616" s="245"/>
      <c r="B2616" s="246"/>
      <c r="C2616" s="245"/>
      <c r="D2616" s="245"/>
      <c r="E2616" s="245"/>
      <c r="F2616" s="245"/>
      <c r="G2616" s="245"/>
      <c r="H2616" s="245"/>
      <c r="I2616" s="245"/>
      <c r="J2616" s="245"/>
      <c r="K2616" s="245"/>
      <c r="L2616" s="246"/>
      <c r="M2616" s="245"/>
      <c r="N2616" s="245"/>
      <c r="O2616" s="245"/>
      <c r="P2616" s="245"/>
      <c r="Q2616" s="247"/>
      <c r="R2616" s="247"/>
      <c r="S2616" s="247"/>
      <c r="T2616" s="245"/>
      <c r="U2616" s="245"/>
      <c r="V2616" s="241"/>
      <c r="W2616" s="241"/>
      <c r="X2616" s="241"/>
    </row>
    <row r="2617" spans="1:24" ht="13.5" customHeight="1" x14ac:dyDescent="0.3">
      <c r="A2617" s="245"/>
      <c r="B2617" s="246"/>
      <c r="C2617" s="245"/>
      <c r="D2617" s="245"/>
      <c r="E2617" s="245"/>
      <c r="F2617" s="245"/>
      <c r="G2617" s="245"/>
      <c r="H2617" s="245"/>
      <c r="I2617" s="245"/>
      <c r="J2617" s="245"/>
      <c r="K2617" s="245"/>
      <c r="L2617" s="246"/>
      <c r="M2617" s="245"/>
      <c r="N2617" s="245"/>
      <c r="O2617" s="245"/>
      <c r="P2617" s="245"/>
      <c r="Q2617" s="247"/>
      <c r="R2617" s="247"/>
      <c r="S2617" s="247"/>
      <c r="T2617" s="245"/>
      <c r="U2617" s="245"/>
      <c r="V2617" s="241"/>
      <c r="W2617" s="241"/>
      <c r="X2617" s="241"/>
    </row>
    <row r="2618" spans="1:24" ht="13.5" customHeight="1" x14ac:dyDescent="0.3">
      <c r="A2618" s="245"/>
      <c r="B2618" s="246"/>
      <c r="C2618" s="245"/>
      <c r="D2618" s="245"/>
      <c r="E2618" s="245"/>
      <c r="F2618" s="245"/>
      <c r="G2618" s="245"/>
      <c r="H2618" s="245"/>
      <c r="I2618" s="245"/>
      <c r="J2618" s="245"/>
      <c r="K2618" s="245"/>
      <c r="L2618" s="246"/>
      <c r="M2618" s="245"/>
      <c r="N2618" s="245"/>
      <c r="O2618" s="245"/>
      <c r="P2618" s="245"/>
      <c r="Q2618" s="247"/>
      <c r="R2618" s="247"/>
      <c r="S2618" s="247"/>
      <c r="T2618" s="245"/>
      <c r="U2618" s="245"/>
      <c r="V2618" s="241"/>
      <c r="W2618" s="241"/>
      <c r="X2618" s="241"/>
    </row>
    <row r="2619" spans="1:24" ht="13.5" customHeight="1" x14ac:dyDescent="0.3">
      <c r="A2619" s="245"/>
      <c r="B2619" s="246"/>
      <c r="C2619" s="245"/>
      <c r="D2619" s="245"/>
      <c r="E2619" s="245"/>
      <c r="F2619" s="245"/>
      <c r="G2619" s="245"/>
      <c r="H2619" s="245"/>
      <c r="I2619" s="245"/>
      <c r="J2619" s="245"/>
      <c r="K2619" s="245"/>
      <c r="L2619" s="246"/>
      <c r="M2619" s="245"/>
      <c r="N2619" s="245"/>
      <c r="O2619" s="245"/>
      <c r="P2619" s="245"/>
      <c r="Q2619" s="247"/>
      <c r="R2619" s="247"/>
      <c r="S2619" s="247"/>
      <c r="T2619" s="245"/>
      <c r="U2619" s="245"/>
      <c r="V2619" s="241"/>
      <c r="W2619" s="241"/>
      <c r="X2619" s="241"/>
    </row>
    <row r="2620" spans="1:24" ht="13.5" customHeight="1" x14ac:dyDescent="0.3">
      <c r="A2620" s="245"/>
      <c r="B2620" s="246"/>
      <c r="C2620" s="245"/>
      <c r="D2620" s="245"/>
      <c r="E2620" s="245"/>
      <c r="F2620" s="245"/>
      <c r="G2620" s="245"/>
      <c r="H2620" s="245"/>
      <c r="I2620" s="245"/>
      <c r="J2620" s="245"/>
      <c r="K2620" s="245"/>
      <c r="L2620" s="246"/>
      <c r="M2620" s="245"/>
      <c r="N2620" s="245"/>
      <c r="O2620" s="245"/>
      <c r="P2620" s="245"/>
      <c r="Q2620" s="247"/>
      <c r="R2620" s="247"/>
      <c r="S2620" s="247"/>
      <c r="T2620" s="245"/>
      <c r="U2620" s="245"/>
      <c r="V2620" s="241"/>
      <c r="W2620" s="241"/>
      <c r="X2620" s="241"/>
    </row>
    <row r="2621" spans="1:24" ht="13.5" customHeight="1" x14ac:dyDescent="0.3">
      <c r="A2621" s="245"/>
      <c r="B2621" s="246"/>
      <c r="C2621" s="245"/>
      <c r="D2621" s="245"/>
      <c r="E2621" s="245"/>
      <c r="F2621" s="245"/>
      <c r="G2621" s="245"/>
      <c r="H2621" s="245"/>
      <c r="I2621" s="245"/>
      <c r="J2621" s="245"/>
      <c r="K2621" s="245"/>
      <c r="L2621" s="246"/>
      <c r="M2621" s="245"/>
      <c r="N2621" s="245"/>
      <c r="O2621" s="245"/>
      <c r="P2621" s="245"/>
      <c r="Q2621" s="247"/>
      <c r="R2621" s="247"/>
      <c r="S2621" s="247"/>
      <c r="T2621" s="245"/>
      <c r="U2621" s="245"/>
      <c r="V2621" s="241"/>
      <c r="W2621" s="241"/>
      <c r="X2621" s="241"/>
    </row>
    <row r="2622" spans="1:24" ht="13.5" customHeight="1" x14ac:dyDescent="0.3">
      <c r="A2622" s="245"/>
      <c r="B2622" s="246"/>
      <c r="C2622" s="245"/>
      <c r="D2622" s="245"/>
      <c r="E2622" s="245"/>
      <c r="F2622" s="245"/>
      <c r="G2622" s="245"/>
      <c r="H2622" s="245"/>
      <c r="I2622" s="245"/>
      <c r="J2622" s="245"/>
      <c r="K2622" s="245"/>
      <c r="L2622" s="246"/>
      <c r="M2622" s="245"/>
      <c r="N2622" s="245"/>
      <c r="O2622" s="245"/>
      <c r="P2622" s="245"/>
      <c r="Q2622" s="247"/>
      <c r="R2622" s="247"/>
      <c r="S2622" s="247"/>
      <c r="T2622" s="245"/>
      <c r="U2622" s="245"/>
      <c r="V2622" s="241"/>
      <c r="W2622" s="241"/>
      <c r="X2622" s="241"/>
    </row>
    <row r="2623" spans="1:24" ht="13.5" customHeight="1" x14ac:dyDescent="0.3">
      <c r="A2623" s="245"/>
      <c r="B2623" s="246"/>
      <c r="C2623" s="245"/>
      <c r="D2623" s="245"/>
      <c r="E2623" s="245"/>
      <c r="F2623" s="245"/>
      <c r="G2623" s="245"/>
      <c r="H2623" s="245"/>
      <c r="I2623" s="245"/>
      <c r="J2623" s="245"/>
      <c r="K2623" s="245"/>
      <c r="L2623" s="246"/>
      <c r="M2623" s="245"/>
      <c r="N2623" s="245"/>
      <c r="O2623" s="245"/>
      <c r="P2623" s="245"/>
      <c r="Q2623" s="247"/>
      <c r="R2623" s="247"/>
      <c r="S2623" s="247"/>
      <c r="T2623" s="245"/>
      <c r="U2623" s="245"/>
      <c r="V2623" s="241"/>
      <c r="W2623" s="241"/>
      <c r="X2623" s="241"/>
    </row>
    <row r="2624" spans="1:24" ht="13.5" customHeight="1" x14ac:dyDescent="0.3">
      <c r="A2624" s="245"/>
      <c r="B2624" s="246"/>
      <c r="C2624" s="245"/>
      <c r="D2624" s="245"/>
      <c r="E2624" s="245"/>
      <c r="F2624" s="245"/>
      <c r="G2624" s="245"/>
      <c r="H2624" s="245"/>
      <c r="I2624" s="245"/>
      <c r="J2624" s="245"/>
      <c r="K2624" s="245"/>
      <c r="L2624" s="246"/>
      <c r="M2624" s="245"/>
      <c r="N2624" s="245"/>
      <c r="O2624" s="245"/>
      <c r="P2624" s="245"/>
      <c r="Q2624" s="247"/>
      <c r="R2624" s="247"/>
      <c r="S2624" s="247"/>
      <c r="T2624" s="245"/>
      <c r="U2624" s="245"/>
      <c r="V2624" s="241"/>
      <c r="W2624" s="241"/>
      <c r="X2624" s="241"/>
    </row>
    <row r="2625" spans="1:24" ht="13.5" customHeight="1" x14ac:dyDescent="0.3">
      <c r="A2625" s="245"/>
      <c r="B2625" s="246"/>
      <c r="C2625" s="245"/>
      <c r="D2625" s="245"/>
      <c r="E2625" s="245"/>
      <c r="F2625" s="245"/>
      <c r="G2625" s="245"/>
      <c r="H2625" s="245"/>
      <c r="I2625" s="245"/>
      <c r="J2625" s="245"/>
      <c r="K2625" s="245"/>
      <c r="L2625" s="246"/>
      <c r="M2625" s="245"/>
      <c r="N2625" s="245"/>
      <c r="O2625" s="245"/>
      <c r="P2625" s="245"/>
      <c r="Q2625" s="247"/>
      <c r="R2625" s="247"/>
      <c r="S2625" s="247"/>
      <c r="T2625" s="245"/>
      <c r="U2625" s="245"/>
      <c r="V2625" s="241"/>
      <c r="W2625" s="241"/>
      <c r="X2625" s="241"/>
    </row>
    <row r="2626" spans="1:24" ht="13.5" customHeight="1" x14ac:dyDescent="0.3">
      <c r="A2626" s="245"/>
      <c r="B2626" s="246"/>
      <c r="C2626" s="245"/>
      <c r="D2626" s="245"/>
      <c r="E2626" s="245"/>
      <c r="F2626" s="245"/>
      <c r="G2626" s="245"/>
      <c r="H2626" s="245"/>
      <c r="I2626" s="245"/>
      <c r="J2626" s="245"/>
      <c r="K2626" s="245"/>
      <c r="L2626" s="246"/>
      <c r="M2626" s="245"/>
      <c r="N2626" s="245"/>
      <c r="O2626" s="245"/>
      <c r="P2626" s="245"/>
      <c r="Q2626" s="247"/>
      <c r="R2626" s="247"/>
      <c r="S2626" s="247"/>
      <c r="T2626" s="245"/>
      <c r="U2626" s="245"/>
      <c r="V2626" s="241"/>
      <c r="W2626" s="241"/>
      <c r="X2626" s="241"/>
    </row>
    <row r="2627" spans="1:24" ht="13.5" customHeight="1" x14ac:dyDescent="0.3">
      <c r="A2627" s="245"/>
      <c r="B2627" s="246"/>
      <c r="C2627" s="245"/>
      <c r="D2627" s="245"/>
      <c r="E2627" s="245"/>
      <c r="F2627" s="245"/>
      <c r="G2627" s="245"/>
      <c r="H2627" s="245"/>
      <c r="I2627" s="245"/>
      <c r="J2627" s="245"/>
      <c r="K2627" s="245"/>
      <c r="L2627" s="246"/>
      <c r="M2627" s="245"/>
      <c r="N2627" s="245"/>
      <c r="O2627" s="245"/>
      <c r="P2627" s="245"/>
      <c r="Q2627" s="247"/>
      <c r="R2627" s="247"/>
      <c r="S2627" s="247"/>
      <c r="T2627" s="245"/>
      <c r="U2627" s="245"/>
      <c r="V2627" s="241"/>
      <c r="W2627" s="241"/>
      <c r="X2627" s="241"/>
    </row>
    <row r="2628" spans="1:24" ht="13.5" customHeight="1" x14ac:dyDescent="0.3">
      <c r="A2628" s="245"/>
      <c r="B2628" s="246"/>
      <c r="C2628" s="245"/>
      <c r="D2628" s="245"/>
      <c r="E2628" s="245"/>
      <c r="F2628" s="245"/>
      <c r="G2628" s="245"/>
      <c r="H2628" s="245"/>
      <c r="I2628" s="245"/>
      <c r="J2628" s="245"/>
      <c r="K2628" s="245"/>
      <c r="L2628" s="246"/>
      <c r="M2628" s="245"/>
      <c r="N2628" s="245"/>
      <c r="O2628" s="245"/>
      <c r="P2628" s="245"/>
      <c r="Q2628" s="247"/>
      <c r="R2628" s="247"/>
      <c r="S2628" s="247"/>
      <c r="T2628" s="245"/>
      <c r="U2628" s="245"/>
      <c r="V2628" s="241"/>
      <c r="W2628" s="241"/>
      <c r="X2628" s="241"/>
    </row>
    <row r="2629" spans="1:24" ht="13.5" customHeight="1" x14ac:dyDescent="0.3">
      <c r="A2629" s="245"/>
      <c r="B2629" s="246"/>
      <c r="C2629" s="245"/>
      <c r="D2629" s="245"/>
      <c r="E2629" s="245"/>
      <c r="F2629" s="245"/>
      <c r="G2629" s="245"/>
      <c r="H2629" s="245"/>
      <c r="I2629" s="245"/>
      <c r="J2629" s="245"/>
      <c r="K2629" s="245"/>
      <c r="L2629" s="246"/>
      <c r="M2629" s="245"/>
      <c r="N2629" s="245"/>
      <c r="O2629" s="245"/>
      <c r="P2629" s="245"/>
      <c r="Q2629" s="247"/>
      <c r="R2629" s="247"/>
      <c r="S2629" s="247"/>
      <c r="T2629" s="245"/>
      <c r="U2629" s="245"/>
      <c r="V2629" s="241"/>
      <c r="W2629" s="241"/>
      <c r="X2629" s="241"/>
    </row>
    <row r="2630" spans="1:24" ht="13.5" customHeight="1" x14ac:dyDescent="0.3">
      <c r="A2630" s="245"/>
      <c r="B2630" s="246"/>
      <c r="C2630" s="245"/>
      <c r="D2630" s="245"/>
      <c r="E2630" s="245"/>
      <c r="F2630" s="245"/>
      <c r="G2630" s="245"/>
      <c r="H2630" s="245"/>
      <c r="I2630" s="245"/>
      <c r="J2630" s="245"/>
      <c r="K2630" s="245"/>
      <c r="L2630" s="246"/>
      <c r="M2630" s="245"/>
      <c r="N2630" s="245"/>
      <c r="O2630" s="245"/>
      <c r="P2630" s="245"/>
      <c r="Q2630" s="247"/>
      <c r="R2630" s="247"/>
      <c r="S2630" s="247"/>
      <c r="T2630" s="245"/>
      <c r="U2630" s="245"/>
      <c r="V2630" s="241"/>
      <c r="W2630" s="241"/>
      <c r="X2630" s="241"/>
    </row>
    <row r="2631" spans="1:24" ht="13.5" customHeight="1" x14ac:dyDescent="0.3">
      <c r="A2631" s="245"/>
      <c r="B2631" s="246"/>
      <c r="C2631" s="245"/>
      <c r="D2631" s="245"/>
      <c r="E2631" s="245"/>
      <c r="F2631" s="245"/>
      <c r="G2631" s="245"/>
      <c r="H2631" s="245"/>
      <c r="I2631" s="245"/>
      <c r="J2631" s="245"/>
      <c r="K2631" s="245"/>
      <c r="L2631" s="246"/>
      <c r="M2631" s="245"/>
      <c r="N2631" s="245"/>
      <c r="O2631" s="245"/>
      <c r="P2631" s="245"/>
      <c r="Q2631" s="247"/>
      <c r="R2631" s="247"/>
      <c r="S2631" s="247"/>
      <c r="T2631" s="245"/>
      <c r="U2631" s="245"/>
      <c r="V2631" s="241"/>
      <c r="W2631" s="241"/>
      <c r="X2631" s="241"/>
    </row>
    <row r="2632" spans="1:24" ht="13.5" customHeight="1" x14ac:dyDescent="0.3">
      <c r="A2632" s="245"/>
      <c r="B2632" s="246"/>
      <c r="C2632" s="245"/>
      <c r="D2632" s="245"/>
      <c r="E2632" s="245"/>
      <c r="F2632" s="245"/>
      <c r="G2632" s="245"/>
      <c r="H2632" s="245"/>
      <c r="I2632" s="245"/>
      <c r="J2632" s="245"/>
      <c r="K2632" s="245"/>
      <c r="L2632" s="246"/>
      <c r="M2632" s="245"/>
      <c r="N2632" s="245"/>
      <c r="O2632" s="245"/>
      <c r="P2632" s="245"/>
      <c r="Q2632" s="247"/>
      <c r="R2632" s="247"/>
      <c r="S2632" s="247"/>
      <c r="T2632" s="245"/>
      <c r="U2632" s="245"/>
      <c r="V2632" s="241"/>
      <c r="W2632" s="241"/>
      <c r="X2632" s="241"/>
    </row>
    <row r="2633" spans="1:24" ht="13.5" customHeight="1" x14ac:dyDescent="0.3">
      <c r="A2633" s="245"/>
      <c r="B2633" s="246"/>
      <c r="C2633" s="245"/>
      <c r="D2633" s="245"/>
      <c r="E2633" s="245"/>
      <c r="F2633" s="245"/>
      <c r="G2633" s="245"/>
      <c r="H2633" s="245"/>
      <c r="I2633" s="245"/>
      <c r="J2633" s="245"/>
      <c r="K2633" s="245"/>
      <c r="L2633" s="246"/>
      <c r="M2633" s="245"/>
      <c r="N2633" s="245"/>
      <c r="O2633" s="245"/>
      <c r="P2633" s="245"/>
      <c r="Q2633" s="247"/>
      <c r="R2633" s="247"/>
      <c r="S2633" s="247"/>
      <c r="T2633" s="245"/>
      <c r="U2633" s="245"/>
      <c r="V2633" s="241"/>
      <c r="W2633" s="241"/>
      <c r="X2633" s="241"/>
    </row>
    <row r="2634" spans="1:24" ht="13.5" customHeight="1" x14ac:dyDescent="0.3">
      <c r="A2634" s="245"/>
      <c r="B2634" s="246"/>
      <c r="C2634" s="245"/>
      <c r="D2634" s="245"/>
      <c r="E2634" s="245"/>
      <c r="F2634" s="245"/>
      <c r="G2634" s="245"/>
      <c r="H2634" s="245"/>
      <c r="I2634" s="245"/>
      <c r="J2634" s="245"/>
      <c r="K2634" s="245"/>
      <c r="L2634" s="246"/>
      <c r="M2634" s="245"/>
      <c r="N2634" s="245"/>
      <c r="O2634" s="245"/>
      <c r="P2634" s="245"/>
      <c r="Q2634" s="247"/>
      <c r="R2634" s="247"/>
      <c r="S2634" s="247"/>
      <c r="T2634" s="245"/>
      <c r="U2634" s="245"/>
      <c r="V2634" s="241"/>
      <c r="W2634" s="241"/>
      <c r="X2634" s="241"/>
    </row>
    <row r="2635" spans="1:24" ht="13.5" customHeight="1" x14ac:dyDescent="0.3">
      <c r="A2635" s="245"/>
      <c r="B2635" s="246"/>
      <c r="C2635" s="245"/>
      <c r="D2635" s="245"/>
      <c r="E2635" s="245"/>
      <c r="F2635" s="245"/>
      <c r="G2635" s="245"/>
      <c r="H2635" s="245"/>
      <c r="I2635" s="245"/>
      <c r="J2635" s="245"/>
      <c r="K2635" s="245"/>
      <c r="L2635" s="246"/>
      <c r="M2635" s="245"/>
      <c r="N2635" s="245"/>
      <c r="O2635" s="245"/>
      <c r="P2635" s="245"/>
      <c r="Q2635" s="247"/>
      <c r="R2635" s="247"/>
      <c r="S2635" s="247"/>
      <c r="T2635" s="245"/>
      <c r="U2635" s="245"/>
      <c r="V2635" s="241"/>
      <c r="W2635" s="241"/>
      <c r="X2635" s="241"/>
    </row>
    <row r="2636" spans="1:24" ht="13.5" customHeight="1" x14ac:dyDescent="0.3">
      <c r="A2636" s="245"/>
      <c r="B2636" s="246"/>
      <c r="C2636" s="245"/>
      <c r="D2636" s="245"/>
      <c r="E2636" s="245"/>
      <c r="F2636" s="245"/>
      <c r="G2636" s="245"/>
      <c r="H2636" s="245"/>
      <c r="I2636" s="245"/>
      <c r="J2636" s="245"/>
      <c r="K2636" s="245"/>
      <c r="L2636" s="246"/>
      <c r="M2636" s="245"/>
      <c r="N2636" s="245"/>
      <c r="O2636" s="245"/>
      <c r="P2636" s="245"/>
      <c r="Q2636" s="247"/>
      <c r="R2636" s="247"/>
      <c r="S2636" s="247"/>
      <c r="T2636" s="245"/>
      <c r="U2636" s="245"/>
      <c r="V2636" s="241"/>
      <c r="W2636" s="241"/>
      <c r="X2636" s="241"/>
    </row>
    <row r="2637" spans="1:24" ht="13.5" customHeight="1" x14ac:dyDescent="0.3">
      <c r="A2637" s="245"/>
      <c r="B2637" s="246"/>
      <c r="C2637" s="245"/>
      <c r="D2637" s="245"/>
      <c r="E2637" s="245"/>
      <c r="F2637" s="245"/>
      <c r="G2637" s="245"/>
      <c r="H2637" s="245"/>
      <c r="I2637" s="245"/>
      <c r="J2637" s="245"/>
      <c r="K2637" s="245"/>
      <c r="L2637" s="246"/>
      <c r="M2637" s="245"/>
      <c r="N2637" s="245"/>
      <c r="O2637" s="245"/>
      <c r="P2637" s="245"/>
      <c r="Q2637" s="247"/>
      <c r="R2637" s="247"/>
      <c r="S2637" s="247"/>
      <c r="T2637" s="245"/>
      <c r="U2637" s="245"/>
      <c r="V2637" s="241"/>
      <c r="W2637" s="241"/>
      <c r="X2637" s="241"/>
    </row>
    <row r="2638" spans="1:24" ht="13.5" customHeight="1" x14ac:dyDescent="0.3">
      <c r="A2638" s="245"/>
      <c r="B2638" s="246"/>
      <c r="C2638" s="245"/>
      <c r="D2638" s="245"/>
      <c r="E2638" s="245"/>
      <c r="F2638" s="245"/>
      <c r="G2638" s="245"/>
      <c r="H2638" s="245"/>
      <c r="I2638" s="245"/>
      <c r="J2638" s="245"/>
      <c r="K2638" s="245"/>
      <c r="L2638" s="246"/>
      <c r="M2638" s="245"/>
      <c r="N2638" s="245"/>
      <c r="O2638" s="245"/>
      <c r="P2638" s="245"/>
      <c r="Q2638" s="247"/>
      <c r="R2638" s="247"/>
      <c r="S2638" s="247"/>
      <c r="T2638" s="245"/>
      <c r="U2638" s="245"/>
      <c r="V2638" s="241"/>
      <c r="W2638" s="241"/>
      <c r="X2638" s="241"/>
    </row>
    <row r="2639" spans="1:24" ht="13.5" customHeight="1" x14ac:dyDescent="0.3">
      <c r="A2639" s="245"/>
      <c r="B2639" s="246"/>
      <c r="C2639" s="245"/>
      <c r="D2639" s="245"/>
      <c r="E2639" s="245"/>
      <c r="F2639" s="245"/>
      <c r="G2639" s="245"/>
      <c r="H2639" s="245"/>
      <c r="I2639" s="245"/>
      <c r="J2639" s="245"/>
      <c r="K2639" s="245"/>
      <c r="L2639" s="246"/>
      <c r="M2639" s="245"/>
      <c r="N2639" s="245"/>
      <c r="O2639" s="245"/>
      <c r="P2639" s="245"/>
      <c r="Q2639" s="247"/>
      <c r="R2639" s="247"/>
      <c r="S2639" s="247"/>
      <c r="T2639" s="245"/>
      <c r="U2639" s="245"/>
      <c r="V2639" s="241"/>
      <c r="W2639" s="241"/>
      <c r="X2639" s="241"/>
    </row>
    <row r="2640" spans="1:24" ht="13.5" customHeight="1" x14ac:dyDescent="0.3">
      <c r="A2640" s="245"/>
      <c r="B2640" s="246"/>
      <c r="C2640" s="245"/>
      <c r="D2640" s="245"/>
      <c r="E2640" s="245"/>
      <c r="F2640" s="245"/>
      <c r="G2640" s="245"/>
      <c r="H2640" s="245"/>
      <c r="I2640" s="245"/>
      <c r="J2640" s="245"/>
      <c r="K2640" s="245"/>
      <c r="L2640" s="246"/>
      <c r="M2640" s="245"/>
      <c r="N2640" s="245"/>
      <c r="O2640" s="245"/>
      <c r="P2640" s="245"/>
      <c r="Q2640" s="247"/>
      <c r="R2640" s="247"/>
      <c r="S2640" s="247"/>
      <c r="T2640" s="245"/>
      <c r="U2640" s="245"/>
      <c r="V2640" s="241"/>
      <c r="W2640" s="241"/>
      <c r="X2640" s="241"/>
    </row>
    <row r="2641" spans="1:24" ht="13.5" customHeight="1" x14ac:dyDescent="0.3">
      <c r="A2641" s="245"/>
      <c r="B2641" s="246"/>
      <c r="C2641" s="245"/>
      <c r="D2641" s="245"/>
      <c r="E2641" s="245"/>
      <c r="F2641" s="245"/>
      <c r="G2641" s="245"/>
      <c r="H2641" s="245"/>
      <c r="I2641" s="245"/>
      <c r="J2641" s="245"/>
      <c r="K2641" s="245"/>
      <c r="L2641" s="246"/>
      <c r="M2641" s="245"/>
      <c r="N2641" s="245"/>
      <c r="O2641" s="245"/>
      <c r="P2641" s="245"/>
      <c r="Q2641" s="247"/>
      <c r="R2641" s="247"/>
      <c r="S2641" s="247"/>
      <c r="T2641" s="245"/>
      <c r="U2641" s="245"/>
      <c r="V2641" s="241"/>
      <c r="W2641" s="241"/>
      <c r="X2641" s="241"/>
    </row>
    <row r="2642" spans="1:24" ht="13.5" customHeight="1" x14ac:dyDescent="0.3">
      <c r="A2642" s="245"/>
      <c r="B2642" s="246"/>
      <c r="C2642" s="245"/>
      <c r="D2642" s="245"/>
      <c r="E2642" s="245"/>
      <c r="F2642" s="245"/>
      <c r="G2642" s="245"/>
      <c r="H2642" s="245"/>
      <c r="I2642" s="245"/>
      <c r="J2642" s="245"/>
      <c r="K2642" s="245"/>
      <c r="L2642" s="246"/>
      <c r="M2642" s="245"/>
      <c r="N2642" s="245"/>
      <c r="O2642" s="245"/>
      <c r="P2642" s="245"/>
      <c r="Q2642" s="247"/>
      <c r="R2642" s="247"/>
      <c r="S2642" s="247"/>
      <c r="T2642" s="245"/>
      <c r="U2642" s="245"/>
      <c r="V2642" s="241"/>
      <c r="W2642" s="241"/>
      <c r="X2642" s="241"/>
    </row>
    <row r="2643" spans="1:24" ht="13.5" customHeight="1" x14ac:dyDescent="0.3">
      <c r="A2643" s="245"/>
      <c r="B2643" s="246"/>
      <c r="C2643" s="245"/>
      <c r="D2643" s="245"/>
      <c r="E2643" s="245"/>
      <c r="F2643" s="245"/>
      <c r="G2643" s="245"/>
      <c r="H2643" s="245"/>
      <c r="I2643" s="245"/>
      <c r="J2643" s="245"/>
      <c r="K2643" s="245"/>
      <c r="L2643" s="246"/>
      <c r="M2643" s="245"/>
      <c r="N2643" s="245"/>
      <c r="O2643" s="245"/>
      <c r="P2643" s="245"/>
      <c r="Q2643" s="247"/>
      <c r="R2643" s="247"/>
      <c r="S2643" s="247"/>
      <c r="T2643" s="245"/>
      <c r="U2643" s="245"/>
      <c r="V2643" s="241"/>
      <c r="W2643" s="241"/>
      <c r="X2643" s="241"/>
    </row>
    <row r="2644" spans="1:24" ht="13.5" customHeight="1" x14ac:dyDescent="0.3">
      <c r="A2644" s="245"/>
      <c r="B2644" s="246"/>
      <c r="C2644" s="245"/>
      <c r="D2644" s="245"/>
      <c r="E2644" s="245"/>
      <c r="F2644" s="245"/>
      <c r="G2644" s="245"/>
      <c r="H2644" s="245"/>
      <c r="I2644" s="245"/>
      <c r="J2644" s="245"/>
      <c r="K2644" s="245"/>
      <c r="L2644" s="246"/>
      <c r="M2644" s="245"/>
      <c r="N2644" s="245"/>
      <c r="O2644" s="245"/>
      <c r="P2644" s="245"/>
      <c r="Q2644" s="247"/>
      <c r="R2644" s="247"/>
      <c r="S2644" s="247"/>
      <c r="T2644" s="245"/>
      <c r="U2644" s="245"/>
      <c r="V2644" s="241"/>
      <c r="W2644" s="241"/>
      <c r="X2644" s="241"/>
    </row>
    <row r="2645" spans="1:24" ht="13.5" customHeight="1" x14ac:dyDescent="0.3">
      <c r="A2645" s="245"/>
      <c r="B2645" s="246"/>
      <c r="C2645" s="245"/>
      <c r="D2645" s="245"/>
      <c r="E2645" s="245"/>
      <c r="F2645" s="245"/>
      <c r="G2645" s="245"/>
      <c r="H2645" s="245"/>
      <c r="I2645" s="245"/>
      <c r="J2645" s="245"/>
      <c r="K2645" s="245"/>
      <c r="L2645" s="246"/>
      <c r="M2645" s="245"/>
      <c r="N2645" s="245"/>
      <c r="O2645" s="245"/>
      <c r="P2645" s="245"/>
      <c r="Q2645" s="247"/>
      <c r="R2645" s="247"/>
      <c r="S2645" s="247"/>
      <c r="T2645" s="245"/>
      <c r="U2645" s="245"/>
      <c r="V2645" s="241"/>
      <c r="W2645" s="241"/>
      <c r="X2645" s="241"/>
    </row>
    <row r="2646" spans="1:24" ht="13.5" customHeight="1" x14ac:dyDescent="0.3">
      <c r="A2646" s="245"/>
      <c r="B2646" s="246"/>
      <c r="C2646" s="245"/>
      <c r="D2646" s="245"/>
      <c r="E2646" s="245"/>
      <c r="F2646" s="245"/>
      <c r="G2646" s="245"/>
      <c r="H2646" s="245"/>
      <c r="I2646" s="245"/>
      <c r="J2646" s="245"/>
      <c r="K2646" s="245"/>
      <c r="L2646" s="246"/>
      <c r="M2646" s="245"/>
      <c r="N2646" s="245"/>
      <c r="O2646" s="245"/>
      <c r="P2646" s="245"/>
      <c r="Q2646" s="247"/>
      <c r="R2646" s="247"/>
      <c r="S2646" s="247"/>
      <c r="T2646" s="245"/>
      <c r="U2646" s="245"/>
      <c r="V2646" s="241"/>
      <c r="W2646" s="241"/>
      <c r="X2646" s="241"/>
    </row>
    <row r="2647" spans="1:24" ht="13.5" customHeight="1" x14ac:dyDescent="0.3">
      <c r="A2647" s="245"/>
      <c r="B2647" s="246"/>
      <c r="C2647" s="245"/>
      <c r="D2647" s="245"/>
      <c r="E2647" s="245"/>
      <c r="F2647" s="245"/>
      <c r="G2647" s="245"/>
      <c r="H2647" s="245"/>
      <c r="I2647" s="245"/>
      <c r="J2647" s="245"/>
      <c r="K2647" s="245"/>
      <c r="L2647" s="246"/>
      <c r="M2647" s="245"/>
      <c r="N2647" s="245"/>
      <c r="O2647" s="245"/>
      <c r="P2647" s="245"/>
      <c r="Q2647" s="247"/>
      <c r="R2647" s="247"/>
      <c r="S2647" s="247"/>
      <c r="T2647" s="245"/>
      <c r="U2647" s="245"/>
      <c r="V2647" s="241"/>
      <c r="W2647" s="241"/>
      <c r="X2647" s="241"/>
    </row>
    <row r="2648" spans="1:24" ht="13.5" customHeight="1" x14ac:dyDescent="0.3">
      <c r="A2648" s="245"/>
      <c r="B2648" s="246"/>
      <c r="C2648" s="245"/>
      <c r="D2648" s="245"/>
      <c r="E2648" s="245"/>
      <c r="F2648" s="245"/>
      <c r="G2648" s="245"/>
      <c r="H2648" s="245"/>
      <c r="I2648" s="245"/>
      <c r="J2648" s="245"/>
      <c r="K2648" s="245"/>
      <c r="L2648" s="246"/>
      <c r="M2648" s="245"/>
      <c r="N2648" s="245"/>
      <c r="O2648" s="245"/>
      <c r="P2648" s="245"/>
      <c r="Q2648" s="247"/>
      <c r="R2648" s="247"/>
      <c r="S2648" s="247"/>
      <c r="T2648" s="245"/>
      <c r="U2648" s="245"/>
      <c r="V2648" s="241"/>
      <c r="W2648" s="241"/>
      <c r="X2648" s="241"/>
    </row>
    <row r="2649" spans="1:24" ht="13.5" customHeight="1" x14ac:dyDescent="0.3">
      <c r="A2649" s="245"/>
      <c r="B2649" s="246"/>
      <c r="C2649" s="245"/>
      <c r="D2649" s="245"/>
      <c r="E2649" s="245"/>
      <c r="F2649" s="245"/>
      <c r="G2649" s="245"/>
      <c r="H2649" s="245"/>
      <c r="I2649" s="245"/>
      <c r="J2649" s="245"/>
      <c r="K2649" s="245"/>
      <c r="L2649" s="246"/>
      <c r="M2649" s="245"/>
      <c r="N2649" s="245"/>
      <c r="O2649" s="245"/>
      <c r="P2649" s="245"/>
      <c r="Q2649" s="247"/>
      <c r="R2649" s="247"/>
      <c r="S2649" s="247"/>
      <c r="T2649" s="245"/>
      <c r="U2649" s="245"/>
      <c r="V2649" s="241"/>
      <c r="W2649" s="241"/>
      <c r="X2649" s="241"/>
    </row>
    <row r="2650" spans="1:24" ht="13.5" customHeight="1" x14ac:dyDescent="0.3">
      <c r="A2650" s="245"/>
      <c r="B2650" s="246"/>
      <c r="C2650" s="245"/>
      <c r="D2650" s="245"/>
      <c r="E2650" s="245"/>
      <c r="F2650" s="245"/>
      <c r="G2650" s="245"/>
      <c r="H2650" s="245"/>
      <c r="I2650" s="245"/>
      <c r="J2650" s="245"/>
      <c r="K2650" s="245"/>
      <c r="L2650" s="246"/>
      <c r="M2650" s="245"/>
      <c r="N2650" s="245"/>
      <c r="O2650" s="245"/>
      <c r="P2650" s="245"/>
      <c r="Q2650" s="247"/>
      <c r="R2650" s="247"/>
      <c r="S2650" s="247"/>
      <c r="T2650" s="245"/>
      <c r="U2650" s="245"/>
      <c r="V2650" s="241"/>
      <c r="W2650" s="241"/>
      <c r="X2650" s="241"/>
    </row>
    <row r="2651" spans="1:24" ht="13.5" customHeight="1" x14ac:dyDescent="0.3">
      <c r="A2651" s="245"/>
      <c r="B2651" s="246"/>
      <c r="C2651" s="245"/>
      <c r="D2651" s="245"/>
      <c r="E2651" s="245"/>
      <c r="F2651" s="245"/>
      <c r="G2651" s="245"/>
      <c r="H2651" s="245"/>
      <c r="I2651" s="245"/>
      <c r="J2651" s="245"/>
      <c r="K2651" s="245"/>
      <c r="L2651" s="246"/>
      <c r="M2651" s="245"/>
      <c r="N2651" s="245"/>
      <c r="O2651" s="245"/>
      <c r="P2651" s="245"/>
      <c r="Q2651" s="247"/>
      <c r="R2651" s="247"/>
      <c r="S2651" s="247"/>
      <c r="T2651" s="245"/>
      <c r="U2651" s="245"/>
      <c r="V2651" s="241"/>
      <c r="W2651" s="241"/>
      <c r="X2651" s="241"/>
    </row>
    <row r="2652" spans="1:24" ht="13.5" customHeight="1" x14ac:dyDescent="0.3">
      <c r="A2652" s="245"/>
      <c r="B2652" s="246"/>
      <c r="C2652" s="245"/>
      <c r="D2652" s="245"/>
      <c r="E2652" s="245"/>
      <c r="F2652" s="245"/>
      <c r="G2652" s="245"/>
      <c r="H2652" s="245"/>
      <c r="I2652" s="245"/>
      <c r="J2652" s="245"/>
      <c r="K2652" s="245"/>
      <c r="L2652" s="246"/>
      <c r="M2652" s="245"/>
      <c r="N2652" s="245"/>
      <c r="O2652" s="245"/>
      <c r="P2652" s="245"/>
      <c r="Q2652" s="247"/>
      <c r="R2652" s="247"/>
      <c r="S2652" s="247"/>
      <c r="T2652" s="245"/>
      <c r="U2652" s="245"/>
      <c r="V2652" s="241"/>
      <c r="W2652" s="241"/>
      <c r="X2652" s="241"/>
    </row>
    <row r="2653" spans="1:24" ht="13.5" customHeight="1" x14ac:dyDescent="0.3">
      <c r="A2653" s="245"/>
      <c r="B2653" s="246"/>
      <c r="C2653" s="245"/>
      <c r="D2653" s="245"/>
      <c r="E2653" s="245"/>
      <c r="F2653" s="245"/>
      <c r="G2653" s="245"/>
      <c r="H2653" s="245"/>
      <c r="I2653" s="245"/>
      <c r="J2653" s="245"/>
      <c r="K2653" s="245"/>
      <c r="L2653" s="246"/>
      <c r="M2653" s="245"/>
      <c r="N2653" s="245"/>
      <c r="O2653" s="245"/>
      <c r="P2653" s="245"/>
      <c r="Q2653" s="247"/>
      <c r="R2653" s="247"/>
      <c r="S2653" s="247"/>
      <c r="T2653" s="245"/>
      <c r="U2653" s="245"/>
      <c r="V2653" s="241"/>
      <c r="W2653" s="241"/>
      <c r="X2653" s="241"/>
    </row>
    <row r="2654" spans="1:24" ht="13.5" customHeight="1" x14ac:dyDescent="0.3">
      <c r="A2654" s="245"/>
      <c r="B2654" s="246"/>
      <c r="C2654" s="245"/>
      <c r="D2654" s="245"/>
      <c r="E2654" s="245"/>
      <c r="F2654" s="245"/>
      <c r="G2654" s="245"/>
      <c r="H2654" s="245"/>
      <c r="I2654" s="245"/>
      <c r="J2654" s="245"/>
      <c r="K2654" s="245"/>
      <c r="L2654" s="246"/>
      <c r="M2654" s="245"/>
      <c r="N2654" s="245"/>
      <c r="O2654" s="245"/>
      <c r="P2654" s="245"/>
      <c r="Q2654" s="247"/>
      <c r="R2654" s="247"/>
      <c r="S2654" s="247"/>
      <c r="T2654" s="245"/>
      <c r="U2654" s="245"/>
      <c r="V2654" s="241"/>
      <c r="W2654" s="241"/>
      <c r="X2654" s="241"/>
    </row>
    <row r="2655" spans="1:24" ht="13.5" customHeight="1" x14ac:dyDescent="0.3">
      <c r="A2655" s="245"/>
      <c r="B2655" s="246"/>
      <c r="C2655" s="245"/>
      <c r="D2655" s="245"/>
      <c r="E2655" s="245"/>
      <c r="F2655" s="245"/>
      <c r="G2655" s="245"/>
      <c r="H2655" s="245"/>
      <c r="I2655" s="245"/>
      <c r="J2655" s="245"/>
      <c r="K2655" s="245"/>
      <c r="L2655" s="246"/>
      <c r="M2655" s="245"/>
      <c r="N2655" s="245"/>
      <c r="O2655" s="245"/>
      <c r="P2655" s="245"/>
      <c r="Q2655" s="247"/>
      <c r="R2655" s="247"/>
      <c r="S2655" s="247"/>
      <c r="T2655" s="245"/>
      <c r="U2655" s="245"/>
      <c r="V2655" s="241"/>
      <c r="W2655" s="241"/>
      <c r="X2655" s="241"/>
    </row>
    <row r="2656" spans="1:24" ht="13.5" customHeight="1" x14ac:dyDescent="0.3">
      <c r="A2656" s="245"/>
      <c r="B2656" s="246"/>
      <c r="C2656" s="245"/>
      <c r="D2656" s="245"/>
      <c r="E2656" s="245"/>
      <c r="F2656" s="245"/>
      <c r="G2656" s="245"/>
      <c r="H2656" s="245"/>
      <c r="I2656" s="245"/>
      <c r="J2656" s="245"/>
      <c r="K2656" s="245"/>
      <c r="L2656" s="246"/>
      <c r="M2656" s="245"/>
      <c r="N2656" s="245"/>
      <c r="O2656" s="245"/>
      <c r="P2656" s="245"/>
      <c r="Q2656" s="247"/>
      <c r="R2656" s="247"/>
      <c r="S2656" s="247"/>
      <c r="T2656" s="245"/>
      <c r="U2656" s="245"/>
      <c r="V2656" s="241"/>
      <c r="W2656" s="241"/>
      <c r="X2656" s="241"/>
    </row>
    <row r="2657" spans="1:24" ht="13.5" customHeight="1" x14ac:dyDescent="0.3">
      <c r="A2657" s="245"/>
      <c r="B2657" s="246"/>
      <c r="C2657" s="245"/>
      <c r="D2657" s="245"/>
      <c r="E2657" s="245"/>
      <c r="F2657" s="245"/>
      <c r="G2657" s="245"/>
      <c r="H2657" s="245"/>
      <c r="I2657" s="245"/>
      <c r="J2657" s="245"/>
      <c r="K2657" s="245"/>
      <c r="L2657" s="246"/>
      <c r="M2657" s="245"/>
      <c r="N2657" s="245"/>
      <c r="O2657" s="245"/>
      <c r="P2657" s="245"/>
      <c r="Q2657" s="247"/>
      <c r="R2657" s="247"/>
      <c r="S2657" s="247"/>
      <c r="T2657" s="245"/>
      <c r="U2657" s="245"/>
      <c r="V2657" s="241"/>
      <c r="W2657" s="241"/>
      <c r="X2657" s="241"/>
    </row>
    <row r="2658" spans="1:24" ht="13.5" customHeight="1" x14ac:dyDescent="0.3">
      <c r="A2658" s="245"/>
      <c r="B2658" s="246"/>
      <c r="C2658" s="245"/>
      <c r="D2658" s="245"/>
      <c r="E2658" s="245"/>
      <c r="F2658" s="245"/>
      <c r="G2658" s="245"/>
      <c r="H2658" s="245"/>
      <c r="I2658" s="245"/>
      <c r="J2658" s="245"/>
      <c r="K2658" s="245"/>
      <c r="L2658" s="246"/>
      <c r="M2658" s="245"/>
      <c r="N2658" s="245"/>
      <c r="O2658" s="245"/>
      <c r="P2658" s="245"/>
      <c r="Q2658" s="247"/>
      <c r="R2658" s="247"/>
      <c r="S2658" s="247"/>
      <c r="T2658" s="245"/>
      <c r="U2658" s="245"/>
      <c r="V2658" s="241"/>
      <c r="W2658" s="241"/>
      <c r="X2658" s="241"/>
    </row>
    <row r="2659" spans="1:24" ht="13.5" customHeight="1" x14ac:dyDescent="0.3">
      <c r="A2659" s="245"/>
      <c r="B2659" s="246"/>
      <c r="C2659" s="245"/>
      <c r="D2659" s="245"/>
      <c r="E2659" s="245"/>
      <c r="F2659" s="245"/>
      <c r="G2659" s="245"/>
      <c r="H2659" s="245"/>
      <c r="I2659" s="245"/>
      <c r="J2659" s="245"/>
      <c r="K2659" s="245"/>
      <c r="L2659" s="246"/>
      <c r="M2659" s="245"/>
      <c r="N2659" s="245"/>
      <c r="O2659" s="245"/>
      <c r="P2659" s="245"/>
      <c r="Q2659" s="247"/>
      <c r="R2659" s="247"/>
      <c r="S2659" s="247"/>
      <c r="T2659" s="245"/>
      <c r="U2659" s="245"/>
      <c r="V2659" s="241"/>
      <c r="W2659" s="241"/>
      <c r="X2659" s="241"/>
    </row>
    <row r="2660" spans="1:24" ht="13.5" customHeight="1" x14ac:dyDescent="0.3">
      <c r="A2660" s="245"/>
      <c r="B2660" s="246"/>
      <c r="C2660" s="245"/>
      <c r="D2660" s="245"/>
      <c r="E2660" s="245"/>
      <c r="F2660" s="245"/>
      <c r="G2660" s="245"/>
      <c r="H2660" s="245"/>
      <c r="I2660" s="245"/>
      <c r="J2660" s="245"/>
      <c r="K2660" s="245"/>
      <c r="L2660" s="246"/>
      <c r="M2660" s="245"/>
      <c r="N2660" s="245"/>
      <c r="O2660" s="245"/>
      <c r="P2660" s="245"/>
      <c r="Q2660" s="247"/>
      <c r="R2660" s="247"/>
      <c r="S2660" s="247"/>
      <c r="T2660" s="245"/>
      <c r="U2660" s="245"/>
      <c r="V2660" s="241"/>
      <c r="W2660" s="241"/>
      <c r="X2660" s="241"/>
    </row>
    <row r="2661" spans="1:24" ht="13.5" customHeight="1" x14ac:dyDescent="0.3">
      <c r="A2661" s="245"/>
      <c r="B2661" s="246"/>
      <c r="C2661" s="245"/>
      <c r="D2661" s="245"/>
      <c r="E2661" s="245"/>
      <c r="F2661" s="245"/>
      <c r="G2661" s="245"/>
      <c r="H2661" s="245"/>
      <c r="I2661" s="245"/>
      <c r="J2661" s="245"/>
      <c r="K2661" s="245"/>
      <c r="L2661" s="246"/>
      <c r="M2661" s="245"/>
      <c r="N2661" s="245"/>
      <c r="O2661" s="245"/>
      <c r="P2661" s="245"/>
      <c r="Q2661" s="247"/>
      <c r="R2661" s="247"/>
      <c r="S2661" s="247"/>
      <c r="T2661" s="245"/>
      <c r="U2661" s="245"/>
      <c r="V2661" s="241"/>
      <c r="W2661" s="241"/>
      <c r="X2661" s="241"/>
    </row>
    <row r="2662" spans="1:24" ht="13.5" customHeight="1" x14ac:dyDescent="0.3">
      <c r="A2662" s="245"/>
      <c r="B2662" s="246"/>
      <c r="C2662" s="245"/>
      <c r="D2662" s="245"/>
      <c r="E2662" s="245"/>
      <c r="F2662" s="245"/>
      <c r="G2662" s="245"/>
      <c r="H2662" s="245"/>
      <c r="I2662" s="245"/>
      <c r="J2662" s="245"/>
      <c r="K2662" s="245"/>
      <c r="L2662" s="246"/>
      <c r="M2662" s="245"/>
      <c r="N2662" s="245"/>
      <c r="O2662" s="245"/>
      <c r="P2662" s="245"/>
      <c r="Q2662" s="247"/>
      <c r="R2662" s="247"/>
      <c r="S2662" s="247"/>
      <c r="T2662" s="245"/>
      <c r="U2662" s="245"/>
      <c r="V2662" s="241"/>
      <c r="W2662" s="241"/>
      <c r="X2662" s="241"/>
    </row>
    <row r="2663" spans="1:24" ht="13.5" customHeight="1" x14ac:dyDescent="0.3">
      <c r="A2663" s="245"/>
      <c r="B2663" s="246"/>
      <c r="C2663" s="245"/>
      <c r="D2663" s="245"/>
      <c r="E2663" s="245"/>
      <c r="F2663" s="245"/>
      <c r="G2663" s="245"/>
      <c r="H2663" s="245"/>
      <c r="I2663" s="245"/>
      <c r="J2663" s="245"/>
      <c r="K2663" s="245"/>
      <c r="L2663" s="246"/>
      <c r="M2663" s="245"/>
      <c r="N2663" s="245"/>
      <c r="O2663" s="245"/>
      <c r="P2663" s="245"/>
      <c r="Q2663" s="247"/>
      <c r="R2663" s="247"/>
      <c r="S2663" s="247"/>
      <c r="T2663" s="245"/>
      <c r="U2663" s="245"/>
      <c r="V2663" s="241"/>
      <c r="W2663" s="241"/>
      <c r="X2663" s="241"/>
    </row>
    <row r="2664" spans="1:24" ht="13.5" customHeight="1" x14ac:dyDescent="0.3">
      <c r="A2664" s="245"/>
      <c r="B2664" s="246"/>
      <c r="C2664" s="245"/>
      <c r="D2664" s="245"/>
      <c r="E2664" s="245"/>
      <c r="F2664" s="245"/>
      <c r="G2664" s="245"/>
      <c r="H2664" s="245"/>
      <c r="I2664" s="245"/>
      <c r="J2664" s="245"/>
      <c r="K2664" s="245"/>
      <c r="L2664" s="246"/>
      <c r="M2664" s="245"/>
      <c r="N2664" s="245"/>
      <c r="O2664" s="245"/>
      <c r="P2664" s="245"/>
      <c r="Q2664" s="247"/>
      <c r="R2664" s="247"/>
      <c r="S2664" s="247"/>
      <c r="T2664" s="245"/>
      <c r="U2664" s="245"/>
      <c r="V2664" s="241"/>
      <c r="W2664" s="241"/>
      <c r="X2664" s="241"/>
    </row>
    <row r="2665" spans="1:24" ht="13.5" customHeight="1" x14ac:dyDescent="0.3">
      <c r="A2665" s="245"/>
      <c r="B2665" s="246"/>
      <c r="C2665" s="245"/>
      <c r="D2665" s="245"/>
      <c r="E2665" s="245"/>
      <c r="F2665" s="245"/>
      <c r="G2665" s="245"/>
      <c r="H2665" s="245"/>
      <c r="I2665" s="245"/>
      <c r="J2665" s="245"/>
      <c r="K2665" s="245"/>
      <c r="L2665" s="246"/>
      <c r="M2665" s="245"/>
      <c r="N2665" s="245"/>
      <c r="O2665" s="245"/>
      <c r="P2665" s="245"/>
      <c r="Q2665" s="247"/>
      <c r="R2665" s="247"/>
      <c r="S2665" s="247"/>
      <c r="T2665" s="245"/>
      <c r="U2665" s="245"/>
      <c r="V2665" s="241"/>
      <c r="W2665" s="241"/>
      <c r="X2665" s="241"/>
    </row>
    <row r="2666" spans="1:24" ht="13.5" customHeight="1" x14ac:dyDescent="0.3">
      <c r="A2666" s="245"/>
      <c r="B2666" s="246"/>
      <c r="C2666" s="245"/>
      <c r="D2666" s="245"/>
      <c r="E2666" s="245"/>
      <c r="F2666" s="245"/>
      <c r="G2666" s="245"/>
      <c r="H2666" s="245"/>
      <c r="I2666" s="245"/>
      <c r="J2666" s="245"/>
      <c r="K2666" s="245"/>
      <c r="L2666" s="246"/>
      <c r="M2666" s="245"/>
      <c r="N2666" s="245"/>
      <c r="O2666" s="245"/>
      <c r="P2666" s="245"/>
      <c r="Q2666" s="247"/>
      <c r="R2666" s="247"/>
      <c r="S2666" s="247"/>
      <c r="T2666" s="245"/>
      <c r="U2666" s="245"/>
      <c r="V2666" s="241"/>
      <c r="W2666" s="241"/>
      <c r="X2666" s="241"/>
    </row>
    <row r="2667" spans="1:24" ht="13.5" customHeight="1" x14ac:dyDescent="0.3">
      <c r="A2667" s="245"/>
      <c r="B2667" s="246"/>
      <c r="C2667" s="245"/>
      <c r="D2667" s="245"/>
      <c r="E2667" s="245"/>
      <c r="F2667" s="245"/>
      <c r="G2667" s="245"/>
      <c r="H2667" s="245"/>
      <c r="I2667" s="245"/>
      <c r="J2667" s="245"/>
      <c r="K2667" s="245"/>
      <c r="L2667" s="246"/>
      <c r="M2667" s="245"/>
      <c r="N2667" s="245"/>
      <c r="O2667" s="245"/>
      <c r="P2667" s="245"/>
      <c r="Q2667" s="247"/>
      <c r="R2667" s="247"/>
      <c r="S2667" s="247"/>
      <c r="T2667" s="245"/>
      <c r="U2667" s="245"/>
      <c r="V2667" s="241"/>
      <c r="W2667" s="241"/>
      <c r="X2667" s="241"/>
    </row>
    <row r="2668" spans="1:24" ht="13.5" customHeight="1" x14ac:dyDescent="0.3">
      <c r="A2668" s="245"/>
      <c r="B2668" s="246"/>
      <c r="C2668" s="245"/>
      <c r="D2668" s="245"/>
      <c r="E2668" s="245"/>
      <c r="F2668" s="245"/>
      <c r="G2668" s="245"/>
      <c r="H2668" s="245"/>
      <c r="I2668" s="245"/>
      <c r="J2668" s="245"/>
      <c r="K2668" s="245"/>
      <c r="L2668" s="246"/>
      <c r="M2668" s="245"/>
      <c r="N2668" s="245"/>
      <c r="O2668" s="245"/>
      <c r="P2668" s="245"/>
      <c r="Q2668" s="247"/>
      <c r="R2668" s="247"/>
      <c r="S2668" s="247"/>
      <c r="T2668" s="245"/>
      <c r="U2668" s="245"/>
      <c r="V2668" s="241"/>
      <c r="W2668" s="241"/>
      <c r="X2668" s="241"/>
    </row>
    <row r="2669" spans="1:24" ht="13.5" customHeight="1" x14ac:dyDescent="0.3">
      <c r="A2669" s="245"/>
      <c r="B2669" s="246"/>
      <c r="C2669" s="245"/>
      <c r="D2669" s="245"/>
      <c r="E2669" s="245"/>
      <c r="F2669" s="245"/>
      <c r="G2669" s="245"/>
      <c r="H2669" s="245"/>
      <c r="I2669" s="245"/>
      <c r="J2669" s="245"/>
      <c r="K2669" s="245"/>
      <c r="L2669" s="246"/>
      <c r="M2669" s="245"/>
      <c r="N2669" s="245"/>
      <c r="O2669" s="245"/>
      <c r="P2669" s="245"/>
      <c r="Q2669" s="247"/>
      <c r="R2669" s="247"/>
      <c r="S2669" s="247"/>
      <c r="T2669" s="245"/>
      <c r="U2669" s="245"/>
      <c r="V2669" s="241"/>
      <c r="W2669" s="241"/>
      <c r="X2669" s="241"/>
    </row>
    <row r="2670" spans="1:24" ht="13.5" customHeight="1" x14ac:dyDescent="0.3">
      <c r="A2670" s="245"/>
      <c r="B2670" s="246"/>
      <c r="C2670" s="245"/>
      <c r="D2670" s="245"/>
      <c r="E2670" s="245"/>
      <c r="F2670" s="245"/>
      <c r="G2670" s="245"/>
      <c r="H2670" s="245"/>
      <c r="I2670" s="245"/>
      <c r="J2670" s="245"/>
      <c r="K2670" s="245"/>
      <c r="L2670" s="246"/>
      <c r="M2670" s="245"/>
      <c r="N2670" s="245"/>
      <c r="O2670" s="245"/>
      <c r="P2670" s="245"/>
      <c r="Q2670" s="247"/>
      <c r="R2670" s="247"/>
      <c r="S2670" s="247"/>
      <c r="T2670" s="245"/>
      <c r="U2670" s="245"/>
      <c r="V2670" s="241"/>
      <c r="W2670" s="241"/>
      <c r="X2670" s="241"/>
    </row>
    <row r="2671" spans="1:24" ht="13.5" customHeight="1" x14ac:dyDescent="0.3">
      <c r="A2671" s="245"/>
      <c r="B2671" s="246"/>
      <c r="C2671" s="245"/>
      <c r="D2671" s="245"/>
      <c r="E2671" s="245"/>
      <c r="F2671" s="245"/>
      <c r="G2671" s="245"/>
      <c r="H2671" s="245"/>
      <c r="I2671" s="245"/>
      <c r="J2671" s="245"/>
      <c r="K2671" s="245"/>
      <c r="L2671" s="246"/>
      <c r="M2671" s="245"/>
      <c r="N2671" s="245"/>
      <c r="O2671" s="245"/>
      <c r="P2671" s="245"/>
      <c r="Q2671" s="247"/>
      <c r="R2671" s="247"/>
      <c r="S2671" s="247"/>
      <c r="T2671" s="245"/>
      <c r="U2671" s="245"/>
      <c r="V2671" s="241"/>
      <c r="W2671" s="241"/>
      <c r="X2671" s="241"/>
    </row>
    <row r="2672" spans="1:24" ht="13.5" customHeight="1" x14ac:dyDescent="0.3">
      <c r="A2672" s="245"/>
      <c r="B2672" s="246"/>
      <c r="C2672" s="245"/>
      <c r="D2672" s="245"/>
      <c r="E2672" s="245"/>
      <c r="F2672" s="245"/>
      <c r="G2672" s="245"/>
      <c r="H2672" s="245"/>
      <c r="I2672" s="245"/>
      <c r="J2672" s="245"/>
      <c r="K2672" s="245"/>
      <c r="L2672" s="246"/>
      <c r="M2672" s="245"/>
      <c r="N2672" s="245"/>
      <c r="O2672" s="245"/>
      <c r="P2672" s="245"/>
      <c r="Q2672" s="247"/>
      <c r="R2672" s="247"/>
      <c r="S2672" s="247"/>
      <c r="T2672" s="245"/>
      <c r="U2672" s="245"/>
      <c r="V2672" s="241"/>
      <c r="W2672" s="241"/>
      <c r="X2672" s="241"/>
    </row>
    <row r="2673" spans="1:24" ht="13.5" customHeight="1" x14ac:dyDescent="0.3">
      <c r="A2673" s="245"/>
      <c r="B2673" s="246"/>
      <c r="C2673" s="245"/>
      <c r="D2673" s="245"/>
      <c r="E2673" s="245"/>
      <c r="F2673" s="245"/>
      <c r="G2673" s="245"/>
      <c r="H2673" s="245"/>
      <c r="I2673" s="245"/>
      <c r="J2673" s="245"/>
      <c r="K2673" s="245"/>
      <c r="L2673" s="246"/>
      <c r="M2673" s="245"/>
      <c r="N2673" s="245"/>
      <c r="O2673" s="245"/>
      <c r="P2673" s="245"/>
      <c r="Q2673" s="247"/>
      <c r="R2673" s="247"/>
      <c r="S2673" s="247"/>
      <c r="T2673" s="245"/>
      <c r="U2673" s="245"/>
      <c r="V2673" s="241"/>
      <c r="W2673" s="241"/>
      <c r="X2673" s="241"/>
    </row>
    <row r="2674" spans="1:24" ht="13.5" customHeight="1" x14ac:dyDescent="0.3">
      <c r="A2674" s="245"/>
      <c r="B2674" s="246"/>
      <c r="C2674" s="245"/>
      <c r="D2674" s="245"/>
      <c r="E2674" s="245"/>
      <c r="F2674" s="245"/>
      <c r="G2674" s="245"/>
      <c r="H2674" s="245"/>
      <c r="I2674" s="245"/>
      <c r="J2674" s="245"/>
      <c r="K2674" s="245"/>
      <c r="L2674" s="246"/>
      <c r="M2674" s="245"/>
      <c r="N2674" s="245"/>
      <c r="O2674" s="245"/>
      <c r="P2674" s="245"/>
      <c r="Q2674" s="247"/>
      <c r="R2674" s="247"/>
      <c r="S2674" s="247"/>
      <c r="T2674" s="245"/>
      <c r="U2674" s="245"/>
      <c r="V2674" s="241"/>
      <c r="W2674" s="241"/>
      <c r="X2674" s="241"/>
    </row>
    <row r="2675" spans="1:24" ht="13.5" customHeight="1" x14ac:dyDescent="0.3">
      <c r="A2675" s="245"/>
      <c r="B2675" s="246"/>
      <c r="C2675" s="245"/>
      <c r="D2675" s="245"/>
      <c r="E2675" s="245"/>
      <c r="F2675" s="245"/>
      <c r="G2675" s="245"/>
      <c r="H2675" s="245"/>
      <c r="I2675" s="245"/>
      <c r="J2675" s="245"/>
      <c r="K2675" s="245"/>
      <c r="L2675" s="246"/>
      <c r="M2675" s="245"/>
      <c r="N2675" s="245"/>
      <c r="O2675" s="245"/>
      <c r="P2675" s="245"/>
      <c r="Q2675" s="247"/>
      <c r="R2675" s="247"/>
      <c r="S2675" s="247"/>
      <c r="T2675" s="245"/>
      <c r="U2675" s="245"/>
      <c r="V2675" s="241"/>
      <c r="W2675" s="241"/>
      <c r="X2675" s="241"/>
    </row>
    <row r="2676" spans="1:24" ht="13.5" customHeight="1" x14ac:dyDescent="0.3">
      <c r="A2676" s="245"/>
      <c r="B2676" s="246"/>
      <c r="C2676" s="245"/>
      <c r="D2676" s="245"/>
      <c r="E2676" s="245"/>
      <c r="F2676" s="245"/>
      <c r="G2676" s="245"/>
      <c r="H2676" s="245"/>
      <c r="I2676" s="245"/>
      <c r="J2676" s="245"/>
      <c r="K2676" s="245"/>
      <c r="L2676" s="246"/>
      <c r="M2676" s="245"/>
      <c r="N2676" s="245"/>
      <c r="O2676" s="245"/>
      <c r="P2676" s="245"/>
      <c r="Q2676" s="247"/>
      <c r="R2676" s="247"/>
      <c r="S2676" s="247"/>
      <c r="T2676" s="245"/>
      <c r="U2676" s="245"/>
      <c r="V2676" s="241"/>
      <c r="W2676" s="241"/>
      <c r="X2676" s="241"/>
    </row>
    <row r="2677" spans="1:24" ht="13.5" customHeight="1" x14ac:dyDescent="0.3">
      <c r="A2677" s="245"/>
      <c r="B2677" s="246"/>
      <c r="C2677" s="245"/>
      <c r="D2677" s="245"/>
      <c r="E2677" s="245"/>
      <c r="F2677" s="245"/>
      <c r="G2677" s="245"/>
      <c r="H2677" s="245"/>
      <c r="I2677" s="245"/>
      <c r="J2677" s="245"/>
      <c r="K2677" s="245"/>
      <c r="L2677" s="246"/>
      <c r="M2677" s="245"/>
      <c r="N2677" s="245"/>
      <c r="O2677" s="245"/>
      <c r="P2677" s="245"/>
      <c r="Q2677" s="247"/>
      <c r="R2677" s="247"/>
      <c r="S2677" s="247"/>
      <c r="T2677" s="245"/>
      <c r="U2677" s="245"/>
      <c r="V2677" s="241"/>
      <c r="W2677" s="241"/>
      <c r="X2677" s="241"/>
    </row>
    <row r="2678" spans="1:24" ht="13.5" customHeight="1" x14ac:dyDescent="0.3">
      <c r="A2678" s="245"/>
      <c r="B2678" s="246"/>
      <c r="C2678" s="245"/>
      <c r="D2678" s="245"/>
      <c r="E2678" s="245"/>
      <c r="F2678" s="245"/>
      <c r="G2678" s="245"/>
      <c r="H2678" s="245"/>
      <c r="I2678" s="245"/>
      <c r="J2678" s="245"/>
      <c r="K2678" s="245"/>
      <c r="L2678" s="246"/>
      <c r="M2678" s="245"/>
      <c r="N2678" s="245"/>
      <c r="O2678" s="245"/>
      <c r="P2678" s="245"/>
      <c r="Q2678" s="247"/>
      <c r="R2678" s="247"/>
      <c r="S2678" s="247"/>
      <c r="T2678" s="245"/>
      <c r="U2678" s="245"/>
      <c r="V2678" s="241"/>
      <c r="W2678" s="241"/>
      <c r="X2678" s="241"/>
    </row>
    <row r="2679" spans="1:24" ht="13.5" customHeight="1" x14ac:dyDescent="0.3">
      <c r="A2679" s="245"/>
      <c r="B2679" s="246"/>
      <c r="C2679" s="245"/>
      <c r="D2679" s="245"/>
      <c r="E2679" s="245"/>
      <c r="F2679" s="245"/>
      <c r="G2679" s="245"/>
      <c r="H2679" s="245"/>
      <c r="I2679" s="245"/>
      <c r="J2679" s="245"/>
      <c r="K2679" s="245"/>
      <c r="L2679" s="246"/>
      <c r="M2679" s="245"/>
      <c r="N2679" s="245"/>
      <c r="O2679" s="245"/>
      <c r="P2679" s="245"/>
      <c r="Q2679" s="247"/>
      <c r="R2679" s="247"/>
      <c r="S2679" s="247"/>
      <c r="T2679" s="245"/>
      <c r="U2679" s="245"/>
      <c r="V2679" s="241"/>
      <c r="W2679" s="241"/>
      <c r="X2679" s="241"/>
    </row>
    <row r="2680" spans="1:24" ht="13.5" customHeight="1" x14ac:dyDescent="0.3">
      <c r="A2680" s="245"/>
      <c r="B2680" s="246"/>
      <c r="C2680" s="245"/>
      <c r="D2680" s="245"/>
      <c r="E2680" s="245"/>
      <c r="F2680" s="245"/>
      <c r="G2680" s="245"/>
      <c r="H2680" s="245"/>
      <c r="I2680" s="245"/>
      <c r="J2680" s="245"/>
      <c r="K2680" s="245"/>
      <c r="L2680" s="246"/>
      <c r="M2680" s="245"/>
      <c r="N2680" s="245"/>
      <c r="O2680" s="245"/>
      <c r="P2680" s="245"/>
      <c r="Q2680" s="247"/>
      <c r="R2680" s="247"/>
      <c r="S2680" s="247"/>
      <c r="T2680" s="245"/>
      <c r="U2680" s="245"/>
      <c r="V2680" s="241"/>
      <c r="W2680" s="241"/>
      <c r="X2680" s="241"/>
    </row>
    <row r="2681" spans="1:24" ht="13.5" customHeight="1" x14ac:dyDescent="0.3">
      <c r="A2681" s="245"/>
      <c r="B2681" s="246"/>
      <c r="C2681" s="245"/>
      <c r="D2681" s="245"/>
      <c r="E2681" s="245"/>
      <c r="F2681" s="245"/>
      <c r="G2681" s="245"/>
      <c r="H2681" s="245"/>
      <c r="I2681" s="245"/>
      <c r="J2681" s="245"/>
      <c r="K2681" s="245"/>
      <c r="L2681" s="246"/>
      <c r="M2681" s="245"/>
      <c r="N2681" s="245"/>
      <c r="O2681" s="245"/>
      <c r="P2681" s="245"/>
      <c r="Q2681" s="247"/>
      <c r="R2681" s="247"/>
      <c r="S2681" s="247"/>
      <c r="T2681" s="245"/>
      <c r="U2681" s="245"/>
      <c r="V2681" s="241"/>
      <c r="W2681" s="241"/>
      <c r="X2681" s="241"/>
    </row>
    <row r="2682" spans="1:24" ht="13.5" customHeight="1" x14ac:dyDescent="0.3">
      <c r="A2682" s="245"/>
      <c r="B2682" s="246"/>
      <c r="C2682" s="245"/>
      <c r="D2682" s="245"/>
      <c r="E2682" s="245"/>
      <c r="F2682" s="245"/>
      <c r="G2682" s="245"/>
      <c r="H2682" s="245"/>
      <c r="I2682" s="245"/>
      <c r="J2682" s="245"/>
      <c r="K2682" s="245"/>
      <c r="L2682" s="246"/>
      <c r="M2682" s="245"/>
      <c r="N2682" s="245"/>
      <c r="O2682" s="245"/>
      <c r="P2682" s="245"/>
      <c r="Q2682" s="247"/>
      <c r="R2682" s="247"/>
      <c r="S2682" s="247"/>
      <c r="T2682" s="245"/>
      <c r="U2682" s="245"/>
      <c r="V2682" s="241"/>
      <c r="W2682" s="241"/>
      <c r="X2682" s="241"/>
    </row>
    <row r="2683" spans="1:24" ht="13.5" customHeight="1" x14ac:dyDescent="0.3">
      <c r="A2683" s="245"/>
      <c r="B2683" s="246"/>
      <c r="C2683" s="245"/>
      <c r="D2683" s="245"/>
      <c r="E2683" s="245"/>
      <c r="F2683" s="245"/>
      <c r="G2683" s="245"/>
      <c r="H2683" s="245"/>
      <c r="I2683" s="245"/>
      <c r="J2683" s="245"/>
      <c r="K2683" s="245"/>
      <c r="L2683" s="246"/>
      <c r="M2683" s="245"/>
      <c r="N2683" s="245"/>
      <c r="O2683" s="245"/>
      <c r="P2683" s="245"/>
      <c r="Q2683" s="247"/>
      <c r="R2683" s="247"/>
      <c r="S2683" s="247"/>
      <c r="T2683" s="245"/>
      <c r="U2683" s="245"/>
      <c r="V2683" s="241"/>
      <c r="W2683" s="241"/>
      <c r="X2683" s="241"/>
    </row>
    <row r="2684" spans="1:24" ht="13.5" customHeight="1" x14ac:dyDescent="0.3">
      <c r="A2684" s="245"/>
      <c r="B2684" s="246"/>
      <c r="C2684" s="245"/>
      <c r="D2684" s="245"/>
      <c r="E2684" s="245"/>
      <c r="F2684" s="245"/>
      <c r="G2684" s="245"/>
      <c r="H2684" s="245"/>
      <c r="I2684" s="245"/>
      <c r="J2684" s="245"/>
      <c r="K2684" s="245"/>
      <c r="L2684" s="246"/>
      <c r="M2684" s="245"/>
      <c r="N2684" s="245"/>
      <c r="O2684" s="245"/>
      <c r="P2684" s="245"/>
      <c r="Q2684" s="247"/>
      <c r="R2684" s="247"/>
      <c r="S2684" s="247"/>
      <c r="T2684" s="245"/>
      <c r="U2684" s="245"/>
      <c r="V2684" s="241"/>
      <c r="W2684" s="241"/>
      <c r="X2684" s="241"/>
    </row>
    <row r="2685" spans="1:24" ht="13.5" customHeight="1" x14ac:dyDescent="0.3">
      <c r="A2685" s="245"/>
      <c r="B2685" s="246"/>
      <c r="C2685" s="245"/>
      <c r="D2685" s="245"/>
      <c r="E2685" s="245"/>
      <c r="F2685" s="245"/>
      <c r="G2685" s="245"/>
      <c r="H2685" s="245"/>
      <c r="I2685" s="245"/>
      <c r="J2685" s="245"/>
      <c r="K2685" s="245"/>
      <c r="L2685" s="246"/>
      <c r="M2685" s="245"/>
      <c r="N2685" s="245"/>
      <c r="O2685" s="245"/>
      <c r="P2685" s="245"/>
      <c r="Q2685" s="247"/>
      <c r="R2685" s="247"/>
      <c r="S2685" s="247"/>
      <c r="T2685" s="245"/>
      <c r="U2685" s="245"/>
      <c r="V2685" s="241"/>
      <c r="W2685" s="241"/>
      <c r="X2685" s="241"/>
    </row>
    <row r="2686" spans="1:24" ht="13.5" customHeight="1" x14ac:dyDescent="0.3">
      <c r="A2686" s="245"/>
      <c r="B2686" s="246"/>
      <c r="C2686" s="245"/>
      <c r="D2686" s="245"/>
      <c r="E2686" s="245"/>
      <c r="F2686" s="245"/>
      <c r="G2686" s="245"/>
      <c r="H2686" s="245"/>
      <c r="I2686" s="245"/>
      <c r="J2686" s="245"/>
      <c r="K2686" s="245"/>
      <c r="L2686" s="246"/>
      <c r="M2686" s="245"/>
      <c r="N2686" s="245"/>
      <c r="O2686" s="245"/>
      <c r="P2686" s="245"/>
      <c r="Q2686" s="247"/>
      <c r="R2686" s="247"/>
      <c r="S2686" s="247"/>
      <c r="T2686" s="245"/>
      <c r="U2686" s="245"/>
      <c r="V2686" s="241"/>
      <c r="W2686" s="241"/>
      <c r="X2686" s="241"/>
    </row>
    <row r="2687" spans="1:24" ht="13.5" customHeight="1" x14ac:dyDescent="0.3">
      <c r="A2687" s="245"/>
      <c r="B2687" s="246"/>
      <c r="C2687" s="245"/>
      <c r="D2687" s="245"/>
      <c r="E2687" s="245"/>
      <c r="F2687" s="245"/>
      <c r="G2687" s="245"/>
      <c r="H2687" s="245"/>
      <c r="I2687" s="245"/>
      <c r="J2687" s="245"/>
      <c r="K2687" s="245"/>
      <c r="L2687" s="246"/>
      <c r="M2687" s="245"/>
      <c r="N2687" s="245"/>
      <c r="O2687" s="245"/>
      <c r="P2687" s="245"/>
      <c r="Q2687" s="247"/>
      <c r="R2687" s="247"/>
      <c r="S2687" s="247"/>
      <c r="T2687" s="245"/>
      <c r="U2687" s="245"/>
      <c r="V2687" s="241"/>
      <c r="W2687" s="241"/>
      <c r="X2687" s="241"/>
    </row>
    <row r="2688" spans="1:24" ht="13.5" customHeight="1" x14ac:dyDescent="0.3">
      <c r="A2688" s="245"/>
      <c r="B2688" s="246"/>
      <c r="C2688" s="245"/>
      <c r="D2688" s="245"/>
      <c r="E2688" s="245"/>
      <c r="F2688" s="245"/>
      <c r="G2688" s="245"/>
      <c r="H2688" s="245"/>
      <c r="I2688" s="245"/>
      <c r="J2688" s="245"/>
      <c r="K2688" s="245"/>
      <c r="L2688" s="246"/>
      <c r="M2688" s="245"/>
      <c r="N2688" s="245"/>
      <c r="O2688" s="245"/>
      <c r="P2688" s="245"/>
      <c r="Q2688" s="247"/>
      <c r="R2688" s="247"/>
      <c r="S2688" s="247"/>
      <c r="T2688" s="245"/>
      <c r="U2688" s="245"/>
      <c r="V2688" s="241"/>
      <c r="W2688" s="241"/>
      <c r="X2688" s="241"/>
    </row>
    <row r="2689" spans="1:24" ht="13.5" customHeight="1" x14ac:dyDescent="0.3">
      <c r="A2689" s="245"/>
      <c r="B2689" s="246"/>
      <c r="C2689" s="245"/>
      <c r="D2689" s="245"/>
      <c r="E2689" s="245"/>
      <c r="F2689" s="245"/>
      <c r="G2689" s="245"/>
      <c r="H2689" s="245"/>
      <c r="I2689" s="245"/>
      <c r="J2689" s="245"/>
      <c r="K2689" s="245"/>
      <c r="L2689" s="246"/>
      <c r="M2689" s="245"/>
      <c r="N2689" s="245"/>
      <c r="O2689" s="245"/>
      <c r="P2689" s="245"/>
      <c r="Q2689" s="247"/>
      <c r="R2689" s="247"/>
      <c r="S2689" s="247"/>
      <c r="T2689" s="245"/>
      <c r="U2689" s="245"/>
      <c r="V2689" s="241"/>
      <c r="W2689" s="241"/>
      <c r="X2689" s="241"/>
    </row>
    <row r="2690" spans="1:24" ht="13.5" customHeight="1" x14ac:dyDescent="0.3">
      <c r="A2690" s="245"/>
      <c r="B2690" s="246"/>
      <c r="C2690" s="245"/>
      <c r="D2690" s="245"/>
      <c r="E2690" s="245"/>
      <c r="F2690" s="245"/>
      <c r="G2690" s="245"/>
      <c r="H2690" s="245"/>
      <c r="I2690" s="245"/>
      <c r="J2690" s="245"/>
      <c r="K2690" s="245"/>
      <c r="L2690" s="246"/>
      <c r="M2690" s="245"/>
      <c r="N2690" s="245"/>
      <c r="O2690" s="245"/>
      <c r="P2690" s="245"/>
      <c r="Q2690" s="247"/>
      <c r="R2690" s="247"/>
      <c r="S2690" s="247"/>
      <c r="T2690" s="245"/>
      <c r="U2690" s="245"/>
      <c r="V2690" s="241"/>
      <c r="W2690" s="241"/>
      <c r="X2690" s="241"/>
    </row>
    <row r="2691" spans="1:24" ht="13.5" customHeight="1" x14ac:dyDescent="0.3">
      <c r="A2691" s="245"/>
      <c r="B2691" s="246"/>
      <c r="C2691" s="245"/>
      <c r="D2691" s="245"/>
      <c r="E2691" s="245"/>
      <c r="F2691" s="245"/>
      <c r="G2691" s="245"/>
      <c r="H2691" s="245"/>
      <c r="I2691" s="245"/>
      <c r="J2691" s="245"/>
      <c r="K2691" s="245"/>
      <c r="L2691" s="246"/>
      <c r="M2691" s="245"/>
      <c r="N2691" s="245"/>
      <c r="O2691" s="245"/>
      <c r="P2691" s="245"/>
      <c r="Q2691" s="247"/>
      <c r="R2691" s="247"/>
      <c r="S2691" s="247"/>
      <c r="T2691" s="245"/>
      <c r="U2691" s="245"/>
      <c r="V2691" s="241"/>
      <c r="W2691" s="241"/>
      <c r="X2691" s="241"/>
    </row>
    <row r="2692" spans="1:24" ht="13.5" customHeight="1" x14ac:dyDescent="0.3">
      <c r="A2692" s="245"/>
      <c r="B2692" s="246"/>
      <c r="C2692" s="245"/>
      <c r="D2692" s="245"/>
      <c r="E2692" s="245"/>
      <c r="F2692" s="245"/>
      <c r="G2692" s="245"/>
      <c r="H2692" s="245"/>
      <c r="I2692" s="245"/>
      <c r="J2692" s="245"/>
      <c r="K2692" s="245"/>
      <c r="L2692" s="246"/>
      <c r="M2692" s="245"/>
      <c r="N2692" s="245"/>
      <c r="O2692" s="245"/>
      <c r="P2692" s="245"/>
      <c r="Q2692" s="247"/>
      <c r="R2692" s="247"/>
      <c r="S2692" s="247"/>
      <c r="T2692" s="245"/>
      <c r="U2692" s="245"/>
      <c r="V2692" s="241"/>
      <c r="W2692" s="241"/>
      <c r="X2692" s="241"/>
    </row>
    <row r="2693" spans="1:24" ht="13.5" customHeight="1" x14ac:dyDescent="0.3">
      <c r="A2693" s="245"/>
      <c r="B2693" s="246"/>
      <c r="C2693" s="245"/>
      <c r="D2693" s="245"/>
      <c r="E2693" s="245"/>
      <c r="F2693" s="245"/>
      <c r="G2693" s="245"/>
      <c r="H2693" s="245"/>
      <c r="I2693" s="245"/>
      <c r="J2693" s="245"/>
      <c r="K2693" s="245"/>
      <c r="L2693" s="246"/>
      <c r="M2693" s="245"/>
      <c r="N2693" s="245"/>
      <c r="O2693" s="245"/>
      <c r="P2693" s="245"/>
      <c r="Q2693" s="247"/>
      <c r="R2693" s="247"/>
      <c r="S2693" s="247"/>
      <c r="T2693" s="245"/>
      <c r="U2693" s="245"/>
      <c r="V2693" s="241"/>
      <c r="W2693" s="241"/>
      <c r="X2693" s="241"/>
    </row>
    <row r="2694" spans="1:24" ht="13.5" customHeight="1" x14ac:dyDescent="0.3">
      <c r="A2694" s="245"/>
      <c r="B2694" s="246"/>
      <c r="C2694" s="245"/>
      <c r="D2694" s="245"/>
      <c r="E2694" s="245"/>
      <c r="F2694" s="245"/>
      <c r="G2694" s="245"/>
      <c r="H2694" s="245"/>
      <c r="I2694" s="245"/>
      <c r="J2694" s="245"/>
      <c r="K2694" s="245"/>
      <c r="L2694" s="246"/>
      <c r="M2694" s="245"/>
      <c r="N2694" s="245"/>
      <c r="O2694" s="245"/>
      <c r="P2694" s="245"/>
      <c r="Q2694" s="247"/>
      <c r="R2694" s="247"/>
      <c r="S2694" s="247"/>
      <c r="T2694" s="245"/>
      <c r="U2694" s="245"/>
      <c r="V2694" s="241"/>
      <c r="W2694" s="241"/>
      <c r="X2694" s="241"/>
    </row>
    <row r="2695" spans="1:24" ht="13.5" customHeight="1" x14ac:dyDescent="0.3">
      <c r="A2695" s="245"/>
      <c r="B2695" s="246"/>
      <c r="C2695" s="245"/>
      <c r="D2695" s="245"/>
      <c r="E2695" s="245"/>
      <c r="F2695" s="245"/>
      <c r="G2695" s="245"/>
      <c r="H2695" s="245"/>
      <c r="I2695" s="245"/>
      <c r="J2695" s="245"/>
      <c r="K2695" s="245"/>
      <c r="L2695" s="246"/>
      <c r="M2695" s="245"/>
      <c r="N2695" s="245"/>
      <c r="O2695" s="245"/>
      <c r="P2695" s="245"/>
      <c r="Q2695" s="247"/>
      <c r="R2695" s="247"/>
      <c r="S2695" s="247"/>
      <c r="T2695" s="245"/>
      <c r="U2695" s="245"/>
      <c r="V2695" s="241"/>
      <c r="W2695" s="241"/>
      <c r="X2695" s="241"/>
    </row>
    <row r="2696" spans="1:24" ht="13.5" customHeight="1" x14ac:dyDescent="0.3">
      <c r="A2696" s="245"/>
      <c r="B2696" s="246"/>
      <c r="C2696" s="245"/>
      <c r="D2696" s="245"/>
      <c r="E2696" s="245"/>
      <c r="F2696" s="245"/>
      <c r="G2696" s="245"/>
      <c r="H2696" s="245"/>
      <c r="I2696" s="245"/>
      <c r="J2696" s="245"/>
      <c r="K2696" s="245"/>
      <c r="L2696" s="246"/>
      <c r="M2696" s="245"/>
      <c r="N2696" s="245"/>
      <c r="O2696" s="245"/>
      <c r="P2696" s="245"/>
      <c r="Q2696" s="247"/>
      <c r="R2696" s="247"/>
      <c r="S2696" s="247"/>
      <c r="T2696" s="245"/>
      <c r="U2696" s="245"/>
      <c r="V2696" s="241"/>
      <c r="W2696" s="241"/>
      <c r="X2696" s="241"/>
    </row>
    <row r="2697" spans="1:24" ht="13.5" customHeight="1" x14ac:dyDescent="0.3">
      <c r="A2697" s="245"/>
      <c r="B2697" s="246"/>
      <c r="C2697" s="245"/>
      <c r="D2697" s="245"/>
      <c r="E2697" s="245"/>
      <c r="F2697" s="245"/>
      <c r="G2697" s="245"/>
      <c r="H2697" s="245"/>
      <c r="I2697" s="245"/>
      <c r="J2697" s="245"/>
      <c r="K2697" s="245"/>
      <c r="L2697" s="246"/>
      <c r="M2697" s="245"/>
      <c r="N2697" s="245"/>
      <c r="O2697" s="245"/>
      <c r="P2697" s="245"/>
      <c r="Q2697" s="247"/>
      <c r="R2697" s="247"/>
      <c r="S2697" s="247"/>
      <c r="T2697" s="245"/>
      <c r="U2697" s="245"/>
      <c r="V2697" s="241"/>
      <c r="W2697" s="241"/>
      <c r="X2697" s="241"/>
    </row>
    <row r="2698" spans="1:24" ht="13.5" customHeight="1" x14ac:dyDescent="0.3">
      <c r="A2698" s="245"/>
      <c r="B2698" s="246"/>
      <c r="C2698" s="245"/>
      <c r="D2698" s="245"/>
      <c r="E2698" s="245"/>
      <c r="F2698" s="245"/>
      <c r="G2698" s="245"/>
      <c r="H2698" s="245"/>
      <c r="I2698" s="245"/>
      <c r="J2698" s="245"/>
      <c r="K2698" s="245"/>
      <c r="L2698" s="246"/>
      <c r="M2698" s="245"/>
      <c r="N2698" s="245"/>
      <c r="O2698" s="245"/>
      <c r="P2698" s="245"/>
      <c r="Q2698" s="247"/>
      <c r="R2698" s="247"/>
      <c r="S2698" s="247"/>
      <c r="T2698" s="245"/>
      <c r="U2698" s="245"/>
      <c r="V2698" s="241"/>
      <c r="W2698" s="241"/>
      <c r="X2698" s="241"/>
    </row>
    <row r="2699" spans="1:24" ht="13.5" customHeight="1" x14ac:dyDescent="0.3">
      <c r="A2699" s="245"/>
      <c r="B2699" s="246"/>
      <c r="C2699" s="245"/>
      <c r="D2699" s="245"/>
      <c r="E2699" s="245"/>
      <c r="F2699" s="245"/>
      <c r="G2699" s="245"/>
      <c r="H2699" s="245"/>
      <c r="I2699" s="245"/>
      <c r="J2699" s="245"/>
      <c r="K2699" s="245"/>
      <c r="L2699" s="246"/>
      <c r="M2699" s="245"/>
      <c r="N2699" s="245"/>
      <c r="O2699" s="245"/>
      <c r="P2699" s="245"/>
      <c r="Q2699" s="247"/>
      <c r="R2699" s="247"/>
      <c r="S2699" s="247"/>
      <c r="T2699" s="245"/>
      <c r="U2699" s="245"/>
      <c r="V2699" s="241"/>
      <c r="W2699" s="241"/>
      <c r="X2699" s="241"/>
    </row>
    <row r="2700" spans="1:24" ht="13.5" customHeight="1" x14ac:dyDescent="0.3">
      <c r="A2700" s="245"/>
      <c r="B2700" s="246"/>
      <c r="C2700" s="245"/>
      <c r="D2700" s="245"/>
      <c r="E2700" s="245"/>
      <c r="F2700" s="245"/>
      <c r="G2700" s="245"/>
      <c r="H2700" s="245"/>
      <c r="I2700" s="245"/>
      <c r="J2700" s="245"/>
      <c r="K2700" s="245"/>
      <c r="L2700" s="246"/>
      <c r="M2700" s="245"/>
      <c r="N2700" s="245"/>
      <c r="O2700" s="245"/>
      <c r="P2700" s="245"/>
      <c r="Q2700" s="247"/>
      <c r="R2700" s="247"/>
      <c r="S2700" s="247"/>
      <c r="T2700" s="245"/>
      <c r="U2700" s="245"/>
      <c r="V2700" s="241"/>
      <c r="W2700" s="241"/>
      <c r="X2700" s="241"/>
    </row>
    <row r="2701" spans="1:24" ht="13.5" customHeight="1" x14ac:dyDescent="0.3">
      <c r="A2701" s="245"/>
      <c r="B2701" s="246"/>
      <c r="C2701" s="245"/>
      <c r="D2701" s="245"/>
      <c r="E2701" s="245"/>
      <c r="F2701" s="245"/>
      <c r="G2701" s="245"/>
      <c r="H2701" s="245"/>
      <c r="I2701" s="245"/>
      <c r="J2701" s="245"/>
      <c r="K2701" s="245"/>
      <c r="L2701" s="246"/>
      <c r="M2701" s="245"/>
      <c r="N2701" s="245"/>
      <c r="O2701" s="245"/>
      <c r="P2701" s="245"/>
      <c r="Q2701" s="247"/>
      <c r="R2701" s="247"/>
      <c r="S2701" s="247"/>
      <c r="T2701" s="245"/>
      <c r="U2701" s="245"/>
      <c r="V2701" s="241"/>
      <c r="W2701" s="241"/>
      <c r="X2701" s="241"/>
    </row>
    <row r="2702" spans="1:24" ht="13.5" customHeight="1" x14ac:dyDescent="0.3">
      <c r="A2702" s="245"/>
      <c r="B2702" s="246"/>
      <c r="C2702" s="245"/>
      <c r="D2702" s="245"/>
      <c r="E2702" s="245"/>
      <c r="F2702" s="245"/>
      <c r="G2702" s="245"/>
      <c r="H2702" s="245"/>
      <c r="I2702" s="245"/>
      <c r="J2702" s="245"/>
      <c r="K2702" s="245"/>
      <c r="L2702" s="246"/>
      <c r="M2702" s="245"/>
      <c r="N2702" s="245"/>
      <c r="O2702" s="245"/>
      <c r="P2702" s="245"/>
      <c r="Q2702" s="247"/>
      <c r="R2702" s="247"/>
      <c r="S2702" s="247"/>
      <c r="T2702" s="245"/>
      <c r="U2702" s="245"/>
      <c r="V2702" s="241"/>
      <c r="W2702" s="241"/>
      <c r="X2702" s="241"/>
    </row>
    <row r="2703" spans="1:24" ht="13.5" customHeight="1" x14ac:dyDescent="0.3">
      <c r="A2703" s="245"/>
      <c r="B2703" s="246"/>
      <c r="C2703" s="245"/>
      <c r="D2703" s="245"/>
      <c r="E2703" s="245"/>
      <c r="F2703" s="245"/>
      <c r="G2703" s="245"/>
      <c r="H2703" s="245"/>
      <c r="I2703" s="245"/>
      <c r="J2703" s="245"/>
      <c r="K2703" s="245"/>
      <c r="L2703" s="246"/>
      <c r="M2703" s="245"/>
      <c r="N2703" s="245"/>
      <c r="O2703" s="245"/>
      <c r="P2703" s="245"/>
      <c r="Q2703" s="247"/>
      <c r="R2703" s="247"/>
      <c r="S2703" s="247"/>
      <c r="T2703" s="245"/>
      <c r="U2703" s="245"/>
      <c r="V2703" s="241"/>
      <c r="W2703" s="241"/>
      <c r="X2703" s="241"/>
    </row>
    <row r="2704" spans="1:24" ht="13.5" customHeight="1" x14ac:dyDescent="0.3">
      <c r="A2704" s="245"/>
      <c r="B2704" s="246"/>
      <c r="C2704" s="245"/>
      <c r="D2704" s="245"/>
      <c r="E2704" s="245"/>
      <c r="F2704" s="245"/>
      <c r="G2704" s="245"/>
      <c r="H2704" s="245"/>
      <c r="I2704" s="245"/>
      <c r="J2704" s="245"/>
      <c r="K2704" s="245"/>
      <c r="L2704" s="246"/>
      <c r="M2704" s="245"/>
      <c r="N2704" s="245"/>
      <c r="O2704" s="245"/>
      <c r="P2704" s="245"/>
      <c r="Q2704" s="247"/>
      <c r="R2704" s="247"/>
      <c r="S2704" s="247"/>
      <c r="T2704" s="245"/>
      <c r="U2704" s="245"/>
      <c r="V2704" s="241"/>
      <c r="W2704" s="241"/>
      <c r="X2704" s="241"/>
    </row>
    <row r="2705" spans="1:24" ht="13.5" customHeight="1" x14ac:dyDescent="0.3">
      <c r="A2705" s="245"/>
      <c r="B2705" s="246"/>
      <c r="C2705" s="245"/>
      <c r="D2705" s="245"/>
      <c r="E2705" s="245"/>
      <c r="F2705" s="245"/>
      <c r="G2705" s="245"/>
      <c r="H2705" s="245"/>
      <c r="I2705" s="245"/>
      <c r="J2705" s="245"/>
      <c r="K2705" s="245"/>
      <c r="L2705" s="246"/>
      <c r="M2705" s="245"/>
      <c r="N2705" s="245"/>
      <c r="O2705" s="245"/>
      <c r="P2705" s="245"/>
      <c r="Q2705" s="247"/>
      <c r="R2705" s="247"/>
      <c r="S2705" s="247"/>
      <c r="T2705" s="245"/>
      <c r="U2705" s="245"/>
      <c r="V2705" s="241"/>
      <c r="W2705" s="241"/>
      <c r="X2705" s="241"/>
    </row>
    <row r="2706" spans="1:24" ht="13.5" customHeight="1" x14ac:dyDescent="0.3">
      <c r="A2706" s="245"/>
      <c r="B2706" s="246"/>
      <c r="C2706" s="245"/>
      <c r="D2706" s="245"/>
      <c r="E2706" s="245"/>
      <c r="F2706" s="245"/>
      <c r="G2706" s="245"/>
      <c r="H2706" s="245"/>
      <c r="I2706" s="245"/>
      <c r="J2706" s="245"/>
      <c r="K2706" s="245"/>
      <c r="L2706" s="246"/>
      <c r="M2706" s="245"/>
      <c r="N2706" s="245"/>
      <c r="O2706" s="245"/>
      <c r="P2706" s="245"/>
      <c r="Q2706" s="247"/>
      <c r="R2706" s="247"/>
      <c r="S2706" s="247"/>
      <c r="T2706" s="245"/>
      <c r="U2706" s="245"/>
      <c r="V2706" s="241"/>
      <c r="W2706" s="241"/>
      <c r="X2706" s="241"/>
    </row>
    <row r="2707" spans="1:24" ht="13.5" customHeight="1" x14ac:dyDescent="0.3">
      <c r="A2707" s="245"/>
      <c r="B2707" s="246"/>
      <c r="C2707" s="245"/>
      <c r="D2707" s="245"/>
      <c r="E2707" s="245"/>
      <c r="F2707" s="245"/>
      <c r="G2707" s="245"/>
      <c r="H2707" s="245"/>
      <c r="I2707" s="245"/>
      <c r="J2707" s="245"/>
      <c r="K2707" s="245"/>
      <c r="L2707" s="246"/>
      <c r="M2707" s="245"/>
      <c r="N2707" s="245"/>
      <c r="O2707" s="245"/>
      <c r="P2707" s="245"/>
      <c r="Q2707" s="247"/>
      <c r="R2707" s="247"/>
      <c r="S2707" s="247"/>
      <c r="T2707" s="245"/>
      <c r="U2707" s="245"/>
      <c r="V2707" s="241"/>
      <c r="W2707" s="241"/>
      <c r="X2707" s="241"/>
    </row>
    <row r="2708" spans="1:24" ht="13.5" customHeight="1" x14ac:dyDescent="0.3">
      <c r="A2708" s="245"/>
      <c r="B2708" s="246"/>
      <c r="C2708" s="245"/>
      <c r="D2708" s="245"/>
      <c r="E2708" s="245"/>
      <c r="F2708" s="245"/>
      <c r="G2708" s="245"/>
      <c r="H2708" s="245"/>
      <c r="I2708" s="245"/>
      <c r="J2708" s="245"/>
      <c r="K2708" s="245"/>
      <c r="L2708" s="246"/>
      <c r="M2708" s="245"/>
      <c r="N2708" s="245"/>
      <c r="O2708" s="245"/>
      <c r="P2708" s="245"/>
      <c r="Q2708" s="247"/>
      <c r="R2708" s="247"/>
      <c r="S2708" s="247"/>
      <c r="T2708" s="245"/>
      <c r="U2708" s="245"/>
      <c r="V2708" s="241"/>
      <c r="W2708" s="241"/>
      <c r="X2708" s="241"/>
    </row>
    <row r="2709" spans="1:24" ht="13.5" customHeight="1" x14ac:dyDescent="0.3">
      <c r="A2709" s="245"/>
      <c r="B2709" s="246"/>
      <c r="C2709" s="245"/>
      <c r="D2709" s="245"/>
      <c r="E2709" s="245"/>
      <c r="F2709" s="245"/>
      <c r="G2709" s="245"/>
      <c r="H2709" s="245"/>
      <c r="I2709" s="245"/>
      <c r="J2709" s="245"/>
      <c r="K2709" s="245"/>
      <c r="L2709" s="246"/>
      <c r="M2709" s="245"/>
      <c r="N2709" s="245"/>
      <c r="O2709" s="245"/>
      <c r="P2709" s="245"/>
      <c r="Q2709" s="247"/>
      <c r="R2709" s="247"/>
      <c r="S2709" s="247"/>
      <c r="T2709" s="245"/>
      <c r="U2709" s="245"/>
      <c r="V2709" s="241"/>
      <c r="W2709" s="241"/>
      <c r="X2709" s="241"/>
    </row>
    <row r="2710" spans="1:24" ht="13.5" customHeight="1" x14ac:dyDescent="0.3">
      <c r="A2710" s="245"/>
      <c r="B2710" s="246"/>
      <c r="C2710" s="245"/>
      <c r="D2710" s="245"/>
      <c r="E2710" s="245"/>
      <c r="F2710" s="245"/>
      <c r="G2710" s="245"/>
      <c r="H2710" s="245"/>
      <c r="I2710" s="245"/>
      <c r="J2710" s="245"/>
      <c r="K2710" s="245"/>
      <c r="L2710" s="246"/>
      <c r="M2710" s="245"/>
      <c r="N2710" s="245"/>
      <c r="O2710" s="245"/>
      <c r="P2710" s="245"/>
      <c r="Q2710" s="247"/>
      <c r="R2710" s="247"/>
      <c r="S2710" s="247"/>
      <c r="T2710" s="245"/>
      <c r="U2710" s="245"/>
      <c r="V2710" s="241"/>
      <c r="W2710" s="241"/>
      <c r="X2710" s="241"/>
    </row>
    <row r="2711" spans="1:24" ht="13.5" customHeight="1" x14ac:dyDescent="0.3">
      <c r="A2711" s="245"/>
      <c r="B2711" s="246"/>
      <c r="C2711" s="245"/>
      <c r="D2711" s="245"/>
      <c r="E2711" s="245"/>
      <c r="F2711" s="245"/>
      <c r="G2711" s="245"/>
      <c r="H2711" s="245"/>
      <c r="I2711" s="245"/>
      <c r="J2711" s="245"/>
      <c r="K2711" s="245"/>
      <c r="L2711" s="246"/>
      <c r="M2711" s="245"/>
      <c r="N2711" s="245"/>
      <c r="O2711" s="245"/>
      <c r="P2711" s="245"/>
      <c r="Q2711" s="247"/>
      <c r="R2711" s="247"/>
      <c r="S2711" s="247"/>
      <c r="T2711" s="245"/>
      <c r="U2711" s="245"/>
      <c r="V2711" s="241"/>
      <c r="W2711" s="241"/>
      <c r="X2711" s="241"/>
    </row>
    <row r="2712" spans="1:24" ht="13.5" customHeight="1" x14ac:dyDescent="0.3">
      <c r="A2712" s="245"/>
      <c r="B2712" s="246"/>
      <c r="C2712" s="245"/>
      <c r="D2712" s="245"/>
      <c r="E2712" s="245"/>
      <c r="F2712" s="245"/>
      <c r="G2712" s="245"/>
      <c r="H2712" s="245"/>
      <c r="I2712" s="245"/>
      <c r="J2712" s="245"/>
      <c r="K2712" s="245"/>
      <c r="L2712" s="246"/>
      <c r="M2712" s="245"/>
      <c r="N2712" s="245"/>
      <c r="O2712" s="245"/>
      <c r="P2712" s="245"/>
      <c r="Q2712" s="247"/>
      <c r="R2712" s="247"/>
      <c r="S2712" s="247"/>
      <c r="T2712" s="245"/>
      <c r="U2712" s="245"/>
      <c r="V2712" s="241"/>
      <c r="W2712" s="241"/>
      <c r="X2712" s="241"/>
    </row>
    <row r="2713" spans="1:24" ht="13.5" customHeight="1" x14ac:dyDescent="0.3">
      <c r="A2713" s="245"/>
      <c r="B2713" s="246"/>
      <c r="C2713" s="245"/>
      <c r="D2713" s="245"/>
      <c r="E2713" s="245"/>
      <c r="F2713" s="245"/>
      <c r="G2713" s="245"/>
      <c r="H2713" s="245"/>
      <c r="I2713" s="245"/>
      <c r="J2713" s="245"/>
      <c r="K2713" s="245"/>
      <c r="L2713" s="246"/>
      <c r="M2713" s="245"/>
      <c r="N2713" s="245"/>
      <c r="O2713" s="245"/>
      <c r="P2713" s="245"/>
      <c r="Q2713" s="247"/>
      <c r="R2713" s="247"/>
      <c r="S2713" s="247"/>
      <c r="T2713" s="245"/>
      <c r="U2713" s="245"/>
      <c r="V2713" s="241"/>
      <c r="W2713" s="241"/>
      <c r="X2713" s="241"/>
    </row>
    <row r="2714" spans="1:24" ht="13.5" customHeight="1" x14ac:dyDescent="0.3">
      <c r="A2714" s="245"/>
      <c r="B2714" s="246"/>
      <c r="C2714" s="245"/>
      <c r="D2714" s="245"/>
      <c r="E2714" s="245"/>
      <c r="F2714" s="245"/>
      <c r="G2714" s="245"/>
      <c r="H2714" s="245"/>
      <c r="I2714" s="245"/>
      <c r="J2714" s="245"/>
      <c r="K2714" s="245"/>
      <c r="L2714" s="246"/>
      <c r="M2714" s="245"/>
      <c r="N2714" s="245"/>
      <c r="O2714" s="245"/>
      <c r="P2714" s="245"/>
      <c r="Q2714" s="247"/>
      <c r="R2714" s="247"/>
      <c r="S2714" s="247"/>
      <c r="T2714" s="245"/>
      <c r="U2714" s="245"/>
      <c r="V2714" s="241"/>
      <c r="W2714" s="241"/>
      <c r="X2714" s="241"/>
    </row>
    <row r="2715" spans="1:24" ht="13.5" customHeight="1" x14ac:dyDescent="0.3">
      <c r="A2715" s="245"/>
      <c r="B2715" s="246"/>
      <c r="C2715" s="245"/>
      <c r="D2715" s="245"/>
      <c r="E2715" s="245"/>
      <c r="F2715" s="245"/>
      <c r="G2715" s="245"/>
      <c r="H2715" s="245"/>
      <c r="I2715" s="245"/>
      <c r="J2715" s="245"/>
      <c r="K2715" s="245"/>
      <c r="L2715" s="246"/>
      <c r="M2715" s="245"/>
      <c r="N2715" s="245"/>
      <c r="O2715" s="245"/>
      <c r="P2715" s="245"/>
      <c r="Q2715" s="247"/>
      <c r="R2715" s="247"/>
      <c r="S2715" s="247"/>
      <c r="T2715" s="245"/>
      <c r="U2715" s="245"/>
      <c r="V2715" s="241"/>
      <c r="W2715" s="241"/>
      <c r="X2715" s="241"/>
    </row>
    <row r="2716" spans="1:24" ht="13.5" customHeight="1" x14ac:dyDescent="0.3">
      <c r="A2716" s="245"/>
      <c r="B2716" s="246"/>
      <c r="C2716" s="245"/>
      <c r="D2716" s="245"/>
      <c r="E2716" s="245"/>
      <c r="F2716" s="245"/>
      <c r="G2716" s="245"/>
      <c r="H2716" s="245"/>
      <c r="I2716" s="245"/>
      <c r="J2716" s="245"/>
      <c r="K2716" s="245"/>
      <c r="L2716" s="246"/>
      <c r="M2716" s="245"/>
      <c r="N2716" s="245"/>
      <c r="O2716" s="245"/>
      <c r="P2716" s="245"/>
      <c r="Q2716" s="247"/>
      <c r="R2716" s="247"/>
      <c r="S2716" s="247"/>
      <c r="T2716" s="245"/>
      <c r="U2716" s="245"/>
      <c r="V2716" s="241"/>
      <c r="W2716" s="241"/>
      <c r="X2716" s="241"/>
    </row>
    <row r="2717" spans="1:24" ht="13.5" customHeight="1" x14ac:dyDescent="0.3">
      <c r="A2717" s="245"/>
      <c r="B2717" s="246"/>
      <c r="C2717" s="245"/>
      <c r="D2717" s="245"/>
      <c r="E2717" s="245"/>
      <c r="F2717" s="245"/>
      <c r="G2717" s="245"/>
      <c r="H2717" s="245"/>
      <c r="I2717" s="245"/>
      <c r="J2717" s="245"/>
      <c r="K2717" s="245"/>
      <c r="L2717" s="246"/>
      <c r="M2717" s="245"/>
      <c r="N2717" s="245"/>
      <c r="O2717" s="245"/>
      <c r="P2717" s="245"/>
      <c r="Q2717" s="247"/>
      <c r="R2717" s="247"/>
      <c r="S2717" s="247"/>
      <c r="T2717" s="245"/>
      <c r="U2717" s="245"/>
      <c r="V2717" s="241"/>
      <c r="W2717" s="241"/>
      <c r="X2717" s="241"/>
    </row>
    <row r="2718" spans="1:24" ht="13.5" customHeight="1" x14ac:dyDescent="0.3">
      <c r="A2718" s="245"/>
      <c r="B2718" s="246"/>
      <c r="C2718" s="245"/>
      <c r="D2718" s="245"/>
      <c r="E2718" s="245"/>
      <c r="F2718" s="245"/>
      <c r="G2718" s="245"/>
      <c r="H2718" s="245"/>
      <c r="I2718" s="245"/>
      <c r="J2718" s="245"/>
      <c r="K2718" s="245"/>
      <c r="L2718" s="246"/>
      <c r="M2718" s="245"/>
      <c r="N2718" s="245"/>
      <c r="O2718" s="245"/>
      <c r="P2718" s="245"/>
      <c r="Q2718" s="247"/>
      <c r="R2718" s="247"/>
      <c r="S2718" s="247"/>
      <c r="T2718" s="245"/>
      <c r="U2718" s="245"/>
      <c r="V2718" s="241"/>
      <c r="W2718" s="241"/>
      <c r="X2718" s="241"/>
    </row>
    <row r="2719" spans="1:24" ht="13.5" customHeight="1" x14ac:dyDescent="0.3">
      <c r="A2719" s="245"/>
      <c r="B2719" s="246"/>
      <c r="C2719" s="245"/>
      <c r="D2719" s="245"/>
      <c r="E2719" s="245"/>
      <c r="F2719" s="245"/>
      <c r="G2719" s="245"/>
      <c r="H2719" s="245"/>
      <c r="I2719" s="245"/>
      <c r="J2719" s="245"/>
      <c r="K2719" s="245"/>
      <c r="L2719" s="246"/>
      <c r="M2719" s="245"/>
      <c r="N2719" s="245"/>
      <c r="O2719" s="245"/>
      <c r="P2719" s="245"/>
      <c r="Q2719" s="247"/>
      <c r="R2719" s="247"/>
      <c r="S2719" s="247"/>
      <c r="T2719" s="245"/>
      <c r="U2719" s="245"/>
      <c r="V2719" s="241"/>
      <c r="W2719" s="241"/>
      <c r="X2719" s="241"/>
    </row>
    <row r="2720" spans="1:24" ht="13.5" customHeight="1" x14ac:dyDescent="0.3">
      <c r="A2720" s="245"/>
      <c r="B2720" s="246"/>
      <c r="C2720" s="245"/>
      <c r="D2720" s="245"/>
      <c r="E2720" s="245"/>
      <c r="F2720" s="245"/>
      <c r="G2720" s="245"/>
      <c r="H2720" s="245"/>
      <c r="I2720" s="245"/>
      <c r="J2720" s="245"/>
      <c r="K2720" s="245"/>
      <c r="L2720" s="246"/>
      <c r="M2720" s="245"/>
      <c r="N2720" s="245"/>
      <c r="O2720" s="245"/>
      <c r="P2720" s="245"/>
      <c r="Q2720" s="247"/>
      <c r="R2720" s="247"/>
      <c r="S2720" s="247"/>
      <c r="T2720" s="245"/>
      <c r="U2720" s="245"/>
      <c r="V2720" s="241"/>
      <c r="W2720" s="241"/>
      <c r="X2720" s="241"/>
    </row>
    <row r="2721" spans="1:24" ht="13.5" customHeight="1" x14ac:dyDescent="0.3">
      <c r="A2721" s="245"/>
      <c r="B2721" s="246"/>
      <c r="C2721" s="245"/>
      <c r="D2721" s="245"/>
      <c r="E2721" s="245"/>
      <c r="F2721" s="245"/>
      <c r="G2721" s="245"/>
      <c r="H2721" s="245"/>
      <c r="I2721" s="245"/>
      <c r="J2721" s="245"/>
      <c r="K2721" s="245"/>
      <c r="L2721" s="246"/>
      <c r="M2721" s="245"/>
      <c r="N2721" s="245"/>
      <c r="O2721" s="245"/>
      <c r="P2721" s="245"/>
      <c r="Q2721" s="247"/>
      <c r="R2721" s="247"/>
      <c r="S2721" s="247"/>
      <c r="T2721" s="245"/>
      <c r="U2721" s="245"/>
      <c r="V2721" s="241"/>
      <c r="W2721" s="241"/>
      <c r="X2721" s="241"/>
    </row>
    <row r="2722" spans="1:24" ht="13.5" customHeight="1" x14ac:dyDescent="0.3">
      <c r="A2722" s="245"/>
      <c r="B2722" s="246"/>
      <c r="C2722" s="245"/>
      <c r="D2722" s="245"/>
      <c r="E2722" s="245"/>
      <c r="F2722" s="245"/>
      <c r="G2722" s="245"/>
      <c r="H2722" s="245"/>
      <c r="I2722" s="245"/>
      <c r="J2722" s="245"/>
      <c r="K2722" s="245"/>
      <c r="L2722" s="246"/>
      <c r="M2722" s="245"/>
      <c r="N2722" s="245"/>
      <c r="O2722" s="245"/>
      <c r="P2722" s="245"/>
      <c r="Q2722" s="247"/>
      <c r="R2722" s="247"/>
      <c r="S2722" s="247"/>
      <c r="T2722" s="245"/>
      <c r="U2722" s="245"/>
      <c r="V2722" s="241"/>
      <c r="W2722" s="241"/>
      <c r="X2722" s="241"/>
    </row>
    <row r="2723" spans="1:24" ht="13.5" customHeight="1" x14ac:dyDescent="0.3">
      <c r="A2723" s="245"/>
      <c r="B2723" s="246"/>
      <c r="C2723" s="245"/>
      <c r="D2723" s="245"/>
      <c r="E2723" s="245"/>
      <c r="F2723" s="245"/>
      <c r="G2723" s="245"/>
      <c r="H2723" s="245"/>
      <c r="I2723" s="245"/>
      <c r="J2723" s="245"/>
      <c r="K2723" s="245"/>
      <c r="L2723" s="246"/>
      <c r="M2723" s="245"/>
      <c r="N2723" s="245"/>
      <c r="O2723" s="245"/>
      <c r="P2723" s="245"/>
      <c r="Q2723" s="247"/>
      <c r="R2723" s="247"/>
      <c r="S2723" s="247"/>
      <c r="T2723" s="245"/>
      <c r="U2723" s="245"/>
      <c r="V2723" s="241"/>
      <c r="W2723" s="241"/>
      <c r="X2723" s="241"/>
    </row>
    <row r="2724" spans="1:24" ht="13.5" customHeight="1" x14ac:dyDescent="0.3">
      <c r="A2724" s="245"/>
      <c r="B2724" s="246"/>
      <c r="C2724" s="245"/>
      <c r="D2724" s="245"/>
      <c r="E2724" s="245"/>
      <c r="F2724" s="245"/>
      <c r="G2724" s="245"/>
      <c r="H2724" s="245"/>
      <c r="I2724" s="245"/>
      <c r="J2724" s="245"/>
      <c r="K2724" s="245"/>
      <c r="L2724" s="246"/>
      <c r="M2724" s="245"/>
      <c r="N2724" s="245"/>
      <c r="O2724" s="245"/>
      <c r="P2724" s="245"/>
      <c r="Q2724" s="247"/>
      <c r="R2724" s="247"/>
      <c r="S2724" s="247"/>
      <c r="T2724" s="245"/>
      <c r="U2724" s="245"/>
      <c r="V2724" s="241"/>
      <c r="W2724" s="241"/>
      <c r="X2724" s="241"/>
    </row>
    <row r="2725" spans="1:24" ht="13.5" customHeight="1" x14ac:dyDescent="0.3">
      <c r="A2725" s="245"/>
      <c r="B2725" s="246"/>
      <c r="C2725" s="245"/>
      <c r="D2725" s="245"/>
      <c r="E2725" s="245"/>
      <c r="F2725" s="245"/>
      <c r="G2725" s="245"/>
      <c r="H2725" s="245"/>
      <c r="I2725" s="245"/>
      <c r="J2725" s="245"/>
      <c r="K2725" s="245"/>
      <c r="L2725" s="246"/>
      <c r="M2725" s="245"/>
      <c r="N2725" s="245"/>
      <c r="O2725" s="245"/>
      <c r="P2725" s="245"/>
      <c r="Q2725" s="247"/>
      <c r="R2725" s="247"/>
      <c r="S2725" s="247"/>
      <c r="T2725" s="245"/>
      <c r="U2725" s="245"/>
      <c r="V2725" s="241"/>
      <c r="W2725" s="241"/>
      <c r="X2725" s="241"/>
    </row>
    <row r="2726" spans="1:24" ht="13.5" customHeight="1" x14ac:dyDescent="0.3">
      <c r="A2726" s="245"/>
      <c r="B2726" s="246"/>
      <c r="C2726" s="245"/>
      <c r="D2726" s="245"/>
      <c r="E2726" s="245"/>
      <c r="F2726" s="245"/>
      <c r="G2726" s="245"/>
      <c r="H2726" s="245"/>
      <c r="I2726" s="245"/>
      <c r="J2726" s="245"/>
      <c r="K2726" s="245"/>
      <c r="L2726" s="246"/>
      <c r="M2726" s="245"/>
      <c r="N2726" s="245"/>
      <c r="O2726" s="245"/>
      <c r="P2726" s="245"/>
      <c r="Q2726" s="247"/>
      <c r="R2726" s="247"/>
      <c r="S2726" s="247"/>
      <c r="T2726" s="245"/>
      <c r="U2726" s="245"/>
      <c r="V2726" s="241"/>
      <c r="W2726" s="241"/>
      <c r="X2726" s="241"/>
    </row>
    <row r="2727" spans="1:24" ht="13.5" customHeight="1" x14ac:dyDescent="0.3">
      <c r="A2727" s="245"/>
      <c r="B2727" s="246"/>
      <c r="C2727" s="245"/>
      <c r="D2727" s="245"/>
      <c r="E2727" s="245"/>
      <c r="F2727" s="245"/>
      <c r="G2727" s="245"/>
      <c r="H2727" s="245"/>
      <c r="I2727" s="245"/>
      <c r="J2727" s="245"/>
      <c r="K2727" s="245"/>
      <c r="L2727" s="246"/>
      <c r="M2727" s="245"/>
      <c r="N2727" s="245"/>
      <c r="O2727" s="245"/>
      <c r="P2727" s="245"/>
      <c r="Q2727" s="247"/>
      <c r="R2727" s="247"/>
      <c r="S2727" s="247"/>
      <c r="T2727" s="245"/>
      <c r="U2727" s="245"/>
      <c r="V2727" s="241"/>
      <c r="W2727" s="241"/>
      <c r="X2727" s="241"/>
    </row>
    <row r="2728" spans="1:24" ht="13.5" customHeight="1" x14ac:dyDescent="0.3">
      <c r="A2728" s="245"/>
      <c r="B2728" s="246"/>
      <c r="C2728" s="245"/>
      <c r="D2728" s="245"/>
      <c r="E2728" s="245"/>
      <c r="F2728" s="245"/>
      <c r="G2728" s="245"/>
      <c r="H2728" s="245"/>
      <c r="I2728" s="245"/>
      <c r="J2728" s="245"/>
      <c r="K2728" s="245"/>
      <c r="L2728" s="246"/>
      <c r="M2728" s="245"/>
      <c r="N2728" s="245"/>
      <c r="O2728" s="245"/>
      <c r="P2728" s="245"/>
      <c r="Q2728" s="247"/>
      <c r="R2728" s="247"/>
      <c r="S2728" s="247"/>
      <c r="T2728" s="245"/>
      <c r="U2728" s="245"/>
      <c r="V2728" s="241"/>
      <c r="W2728" s="241"/>
      <c r="X2728" s="241"/>
    </row>
    <row r="2729" spans="1:24" ht="13.5" customHeight="1" x14ac:dyDescent="0.3">
      <c r="A2729" s="245"/>
      <c r="B2729" s="246"/>
      <c r="C2729" s="245"/>
      <c r="D2729" s="245"/>
      <c r="E2729" s="245"/>
      <c r="F2729" s="245"/>
      <c r="G2729" s="245"/>
      <c r="H2729" s="245"/>
      <c r="I2729" s="245"/>
      <c r="J2729" s="245"/>
      <c r="K2729" s="245"/>
      <c r="L2729" s="246"/>
      <c r="M2729" s="245"/>
      <c r="N2729" s="245"/>
      <c r="O2729" s="245"/>
      <c r="P2729" s="245"/>
      <c r="Q2729" s="247"/>
      <c r="R2729" s="247"/>
      <c r="S2729" s="247"/>
      <c r="T2729" s="245"/>
      <c r="U2729" s="245"/>
      <c r="V2729" s="241"/>
      <c r="W2729" s="241"/>
      <c r="X2729" s="241"/>
    </row>
    <row r="2730" spans="1:24" ht="13.5" customHeight="1" x14ac:dyDescent="0.3">
      <c r="A2730" s="245"/>
      <c r="B2730" s="246"/>
      <c r="C2730" s="245"/>
      <c r="D2730" s="245"/>
      <c r="E2730" s="245"/>
      <c r="F2730" s="245"/>
      <c r="G2730" s="245"/>
      <c r="H2730" s="245"/>
      <c r="I2730" s="245"/>
      <c r="J2730" s="245"/>
      <c r="K2730" s="245"/>
      <c r="L2730" s="246"/>
      <c r="M2730" s="245"/>
      <c r="N2730" s="245"/>
      <c r="O2730" s="245"/>
      <c r="P2730" s="245"/>
      <c r="Q2730" s="247"/>
      <c r="R2730" s="247"/>
      <c r="S2730" s="247"/>
      <c r="T2730" s="245"/>
      <c r="U2730" s="245"/>
      <c r="V2730" s="241"/>
      <c r="W2730" s="241"/>
      <c r="X2730" s="241"/>
    </row>
    <row r="2731" spans="1:24" ht="13.5" customHeight="1" x14ac:dyDescent="0.3">
      <c r="A2731" s="245"/>
      <c r="B2731" s="246"/>
      <c r="C2731" s="245"/>
      <c r="D2731" s="245"/>
      <c r="E2731" s="245"/>
      <c r="F2731" s="245"/>
      <c r="G2731" s="245"/>
      <c r="H2731" s="245"/>
      <c r="I2731" s="245"/>
      <c r="J2731" s="245"/>
      <c r="K2731" s="245"/>
      <c r="L2731" s="246"/>
      <c r="M2731" s="245"/>
      <c r="N2731" s="245"/>
      <c r="O2731" s="245"/>
      <c r="P2731" s="245"/>
      <c r="Q2731" s="247"/>
      <c r="R2731" s="247"/>
      <c r="S2731" s="247"/>
      <c r="T2731" s="245"/>
      <c r="U2731" s="245"/>
      <c r="V2731" s="241"/>
      <c r="W2731" s="241"/>
      <c r="X2731" s="241"/>
    </row>
    <row r="2732" spans="1:24" ht="13.5" customHeight="1" x14ac:dyDescent="0.3">
      <c r="A2732" s="245"/>
      <c r="B2732" s="246"/>
      <c r="C2732" s="245"/>
      <c r="D2732" s="245"/>
      <c r="E2732" s="245"/>
      <c r="F2732" s="245"/>
      <c r="G2732" s="245"/>
      <c r="H2732" s="245"/>
      <c r="I2732" s="245"/>
      <c r="J2732" s="245"/>
      <c r="K2732" s="245"/>
      <c r="L2732" s="246"/>
      <c r="M2732" s="245"/>
      <c r="N2732" s="245"/>
      <c r="O2732" s="245"/>
      <c r="P2732" s="245"/>
      <c r="Q2732" s="247"/>
      <c r="R2732" s="247"/>
      <c r="S2732" s="247"/>
      <c r="T2732" s="245"/>
      <c r="U2732" s="245"/>
      <c r="V2732" s="241"/>
      <c r="W2732" s="241"/>
      <c r="X2732" s="241"/>
    </row>
    <row r="2733" spans="1:24" ht="13.5" customHeight="1" x14ac:dyDescent="0.3">
      <c r="A2733" s="245"/>
      <c r="B2733" s="246"/>
      <c r="C2733" s="245"/>
      <c r="D2733" s="245"/>
      <c r="E2733" s="245"/>
      <c r="F2733" s="245"/>
      <c r="G2733" s="245"/>
      <c r="H2733" s="245"/>
      <c r="I2733" s="245"/>
      <c r="J2733" s="245"/>
      <c r="K2733" s="245"/>
      <c r="L2733" s="246"/>
      <c r="M2733" s="245"/>
      <c r="N2733" s="245"/>
      <c r="O2733" s="245"/>
      <c r="P2733" s="245"/>
      <c r="Q2733" s="247"/>
      <c r="R2733" s="247"/>
      <c r="S2733" s="247"/>
      <c r="T2733" s="245"/>
      <c r="U2733" s="245"/>
      <c r="V2733" s="241"/>
      <c r="W2733" s="241"/>
      <c r="X2733" s="241"/>
    </row>
    <row r="2734" spans="1:24" ht="13.5" customHeight="1" x14ac:dyDescent="0.3">
      <c r="A2734" s="245"/>
      <c r="B2734" s="246"/>
      <c r="C2734" s="245"/>
      <c r="D2734" s="245"/>
      <c r="E2734" s="245"/>
      <c r="F2734" s="245"/>
      <c r="G2734" s="245"/>
      <c r="H2734" s="245"/>
      <c r="I2734" s="245"/>
      <c r="J2734" s="245"/>
      <c r="K2734" s="245"/>
      <c r="L2734" s="246"/>
      <c r="M2734" s="245"/>
      <c r="N2734" s="245"/>
      <c r="O2734" s="245"/>
      <c r="P2734" s="245"/>
      <c r="Q2734" s="247"/>
      <c r="R2734" s="247"/>
      <c r="S2734" s="247"/>
      <c r="T2734" s="245"/>
      <c r="U2734" s="245"/>
      <c r="V2734" s="241"/>
      <c r="W2734" s="241"/>
      <c r="X2734" s="241"/>
    </row>
    <row r="2735" spans="1:24" ht="13.5" customHeight="1" x14ac:dyDescent="0.3">
      <c r="A2735" s="245"/>
      <c r="B2735" s="246"/>
      <c r="C2735" s="245"/>
      <c r="D2735" s="245"/>
      <c r="E2735" s="245"/>
      <c r="F2735" s="245"/>
      <c r="G2735" s="245"/>
      <c r="H2735" s="245"/>
      <c r="I2735" s="245"/>
      <c r="J2735" s="245"/>
      <c r="K2735" s="245"/>
      <c r="L2735" s="246"/>
      <c r="M2735" s="245"/>
      <c r="N2735" s="245"/>
      <c r="O2735" s="245"/>
      <c r="P2735" s="245"/>
      <c r="Q2735" s="247"/>
      <c r="R2735" s="247"/>
      <c r="S2735" s="247"/>
      <c r="T2735" s="245"/>
      <c r="U2735" s="245"/>
      <c r="V2735" s="241"/>
      <c r="W2735" s="241"/>
      <c r="X2735" s="241"/>
    </row>
    <row r="2736" spans="1:24" ht="13.5" customHeight="1" x14ac:dyDescent="0.3">
      <c r="A2736" s="245"/>
      <c r="B2736" s="246"/>
      <c r="C2736" s="245"/>
      <c r="D2736" s="245"/>
      <c r="E2736" s="245"/>
      <c r="F2736" s="245"/>
      <c r="G2736" s="245"/>
      <c r="H2736" s="245"/>
      <c r="I2736" s="245"/>
      <c r="J2736" s="245"/>
      <c r="K2736" s="245"/>
      <c r="L2736" s="246"/>
      <c r="M2736" s="245"/>
      <c r="N2736" s="245"/>
      <c r="O2736" s="245"/>
      <c r="P2736" s="245"/>
      <c r="Q2736" s="247"/>
      <c r="R2736" s="247"/>
      <c r="S2736" s="247"/>
      <c r="T2736" s="245"/>
      <c r="U2736" s="245"/>
      <c r="V2736" s="241"/>
      <c r="W2736" s="241"/>
      <c r="X2736" s="241"/>
    </row>
    <row r="2737" spans="1:24" ht="13.5" customHeight="1" x14ac:dyDescent="0.3">
      <c r="A2737" s="245"/>
      <c r="B2737" s="246"/>
      <c r="C2737" s="245"/>
      <c r="D2737" s="245"/>
      <c r="E2737" s="245"/>
      <c r="F2737" s="245"/>
      <c r="G2737" s="245"/>
      <c r="H2737" s="245"/>
      <c r="I2737" s="245"/>
      <c r="J2737" s="245"/>
      <c r="K2737" s="245"/>
      <c r="L2737" s="246"/>
      <c r="M2737" s="245"/>
      <c r="N2737" s="245"/>
      <c r="O2737" s="245"/>
      <c r="P2737" s="245"/>
      <c r="Q2737" s="247"/>
      <c r="R2737" s="247"/>
      <c r="S2737" s="247"/>
      <c r="T2737" s="245"/>
      <c r="U2737" s="245"/>
      <c r="V2737" s="241"/>
      <c r="W2737" s="241"/>
      <c r="X2737" s="241"/>
    </row>
    <row r="2738" spans="1:24" ht="13.5" customHeight="1" x14ac:dyDescent="0.3">
      <c r="A2738" s="245"/>
      <c r="B2738" s="246"/>
      <c r="C2738" s="245"/>
      <c r="D2738" s="245"/>
      <c r="E2738" s="245"/>
      <c r="F2738" s="245"/>
      <c r="G2738" s="245"/>
      <c r="H2738" s="245"/>
      <c r="I2738" s="245"/>
      <c r="J2738" s="245"/>
      <c r="K2738" s="245"/>
      <c r="L2738" s="246"/>
      <c r="M2738" s="245"/>
      <c r="N2738" s="245"/>
      <c r="O2738" s="245"/>
      <c r="P2738" s="245"/>
      <c r="Q2738" s="247"/>
      <c r="R2738" s="247"/>
      <c r="S2738" s="247"/>
      <c r="T2738" s="245"/>
      <c r="U2738" s="245"/>
      <c r="V2738" s="241"/>
      <c r="W2738" s="241"/>
      <c r="X2738" s="241"/>
    </row>
    <row r="2739" spans="1:24" ht="13.5" customHeight="1" x14ac:dyDescent="0.3">
      <c r="A2739" s="245"/>
      <c r="B2739" s="246"/>
      <c r="C2739" s="245"/>
      <c r="D2739" s="245"/>
      <c r="E2739" s="245"/>
      <c r="F2739" s="245"/>
      <c r="G2739" s="245"/>
      <c r="H2739" s="245"/>
      <c r="I2739" s="245"/>
      <c r="J2739" s="245"/>
      <c r="K2739" s="245"/>
      <c r="L2739" s="246"/>
      <c r="M2739" s="245"/>
      <c r="N2739" s="245"/>
      <c r="O2739" s="245"/>
      <c r="P2739" s="245"/>
      <c r="Q2739" s="247"/>
      <c r="R2739" s="247"/>
      <c r="S2739" s="247"/>
      <c r="T2739" s="245"/>
      <c r="U2739" s="245"/>
      <c r="V2739" s="241"/>
      <c r="W2739" s="241"/>
      <c r="X2739" s="241"/>
    </row>
    <row r="2740" spans="1:24" ht="13.5" customHeight="1" x14ac:dyDescent="0.3">
      <c r="A2740" s="245"/>
      <c r="B2740" s="246"/>
      <c r="C2740" s="245"/>
      <c r="D2740" s="245"/>
      <c r="E2740" s="245"/>
      <c r="F2740" s="245"/>
      <c r="G2740" s="245"/>
      <c r="H2740" s="245"/>
      <c r="I2740" s="245"/>
      <c r="J2740" s="245"/>
      <c r="K2740" s="245"/>
      <c r="L2740" s="246"/>
      <c r="M2740" s="245"/>
      <c r="N2740" s="245"/>
      <c r="O2740" s="245"/>
      <c r="P2740" s="245"/>
      <c r="Q2740" s="247"/>
      <c r="R2740" s="247"/>
      <c r="S2740" s="247"/>
      <c r="T2740" s="245"/>
      <c r="U2740" s="245"/>
      <c r="V2740" s="241"/>
      <c r="W2740" s="241"/>
      <c r="X2740" s="241"/>
    </row>
    <row r="2741" spans="1:24" ht="13.5" customHeight="1" x14ac:dyDescent="0.3">
      <c r="A2741" s="245"/>
      <c r="B2741" s="246"/>
      <c r="C2741" s="245"/>
      <c r="D2741" s="245"/>
      <c r="E2741" s="245"/>
      <c r="F2741" s="245"/>
      <c r="G2741" s="245"/>
      <c r="H2741" s="245"/>
      <c r="I2741" s="245"/>
      <c r="J2741" s="245"/>
      <c r="K2741" s="245"/>
      <c r="L2741" s="246"/>
      <c r="M2741" s="245"/>
      <c r="N2741" s="245"/>
      <c r="O2741" s="245"/>
      <c r="P2741" s="245"/>
      <c r="Q2741" s="247"/>
      <c r="R2741" s="247"/>
      <c r="S2741" s="247"/>
      <c r="T2741" s="245"/>
      <c r="U2741" s="245"/>
      <c r="V2741" s="241"/>
      <c r="W2741" s="241"/>
      <c r="X2741" s="241"/>
    </row>
    <row r="2742" spans="1:24" ht="13.5" customHeight="1" x14ac:dyDescent="0.3">
      <c r="A2742" s="245"/>
      <c r="B2742" s="246"/>
      <c r="C2742" s="245"/>
      <c r="D2742" s="245"/>
      <c r="E2742" s="245"/>
      <c r="F2742" s="245"/>
      <c r="G2742" s="245"/>
      <c r="H2742" s="245"/>
      <c r="I2742" s="245"/>
      <c r="J2742" s="245"/>
      <c r="K2742" s="245"/>
      <c r="L2742" s="246"/>
      <c r="M2742" s="245"/>
      <c r="N2742" s="245"/>
      <c r="O2742" s="245"/>
      <c r="P2742" s="245"/>
      <c r="Q2742" s="247"/>
      <c r="R2742" s="247"/>
      <c r="S2742" s="247"/>
      <c r="T2742" s="245"/>
      <c r="U2742" s="245"/>
      <c r="V2742" s="241"/>
      <c r="W2742" s="241"/>
      <c r="X2742" s="241"/>
    </row>
    <row r="2743" spans="1:24" ht="13.5" customHeight="1" x14ac:dyDescent="0.3">
      <c r="A2743" s="245"/>
      <c r="B2743" s="246"/>
      <c r="C2743" s="245"/>
      <c r="D2743" s="245"/>
      <c r="E2743" s="245"/>
      <c r="F2743" s="245"/>
      <c r="G2743" s="245"/>
      <c r="H2743" s="245"/>
      <c r="I2743" s="245"/>
      <c r="J2743" s="245"/>
      <c r="K2743" s="245"/>
      <c r="L2743" s="246"/>
      <c r="M2743" s="245"/>
      <c r="N2743" s="245"/>
      <c r="O2743" s="245"/>
      <c r="P2743" s="245"/>
      <c r="Q2743" s="247"/>
      <c r="R2743" s="247"/>
      <c r="S2743" s="247"/>
      <c r="T2743" s="245"/>
      <c r="U2743" s="245"/>
      <c r="V2743" s="241"/>
      <c r="W2743" s="241"/>
      <c r="X2743" s="241"/>
    </row>
    <row r="2744" spans="1:24" ht="13.5" customHeight="1" x14ac:dyDescent="0.3">
      <c r="A2744" s="245"/>
      <c r="B2744" s="246"/>
      <c r="C2744" s="245"/>
      <c r="D2744" s="245"/>
      <c r="E2744" s="245"/>
      <c r="F2744" s="245"/>
      <c r="G2744" s="245"/>
      <c r="H2744" s="245"/>
      <c r="I2744" s="245"/>
      <c r="J2744" s="245"/>
      <c r="K2744" s="245"/>
      <c r="L2744" s="246"/>
      <c r="M2744" s="245"/>
      <c r="N2744" s="245"/>
      <c r="O2744" s="245"/>
      <c r="P2744" s="245"/>
      <c r="Q2744" s="247"/>
      <c r="R2744" s="247"/>
      <c r="S2744" s="247"/>
      <c r="T2744" s="245"/>
      <c r="U2744" s="245"/>
      <c r="V2744" s="241"/>
      <c r="W2744" s="241"/>
      <c r="X2744" s="241"/>
    </row>
    <row r="2745" spans="1:24" ht="13.5" customHeight="1" x14ac:dyDescent="0.3">
      <c r="A2745" s="245"/>
      <c r="B2745" s="246"/>
      <c r="C2745" s="245"/>
      <c r="D2745" s="245"/>
      <c r="E2745" s="245"/>
      <c r="F2745" s="245"/>
      <c r="G2745" s="245"/>
      <c r="H2745" s="245"/>
      <c r="I2745" s="245"/>
      <c r="J2745" s="245"/>
      <c r="K2745" s="245"/>
      <c r="L2745" s="246"/>
      <c r="M2745" s="245"/>
      <c r="N2745" s="245"/>
      <c r="O2745" s="245"/>
      <c r="P2745" s="245"/>
      <c r="Q2745" s="247"/>
      <c r="R2745" s="247"/>
      <c r="S2745" s="247"/>
      <c r="T2745" s="245"/>
      <c r="U2745" s="245"/>
      <c r="V2745" s="241"/>
      <c r="W2745" s="241"/>
      <c r="X2745" s="241"/>
    </row>
    <row r="2746" spans="1:24" ht="13.5" customHeight="1" x14ac:dyDescent="0.3">
      <c r="A2746" s="245"/>
      <c r="B2746" s="246"/>
      <c r="C2746" s="245"/>
      <c r="D2746" s="245"/>
      <c r="E2746" s="245"/>
      <c r="F2746" s="245"/>
      <c r="G2746" s="245"/>
      <c r="H2746" s="245"/>
      <c r="I2746" s="245"/>
      <c r="J2746" s="245"/>
      <c r="K2746" s="245"/>
      <c r="L2746" s="246"/>
      <c r="M2746" s="245"/>
      <c r="N2746" s="245"/>
      <c r="O2746" s="245"/>
      <c r="P2746" s="245"/>
      <c r="Q2746" s="247"/>
      <c r="R2746" s="247"/>
      <c r="S2746" s="247"/>
      <c r="T2746" s="245"/>
      <c r="U2746" s="245"/>
      <c r="V2746" s="241"/>
      <c r="W2746" s="241"/>
      <c r="X2746" s="241"/>
    </row>
    <row r="2747" spans="1:24" ht="13.5" customHeight="1" x14ac:dyDescent="0.3">
      <c r="A2747" s="245"/>
      <c r="B2747" s="246"/>
      <c r="C2747" s="245"/>
      <c r="D2747" s="245"/>
      <c r="E2747" s="245"/>
      <c r="F2747" s="245"/>
      <c r="G2747" s="245"/>
      <c r="H2747" s="245"/>
      <c r="I2747" s="245"/>
      <c r="J2747" s="245"/>
      <c r="K2747" s="245"/>
      <c r="L2747" s="246"/>
      <c r="M2747" s="245"/>
      <c r="N2747" s="245"/>
      <c r="O2747" s="245"/>
      <c r="P2747" s="245"/>
      <c r="Q2747" s="247"/>
      <c r="R2747" s="247"/>
      <c r="S2747" s="247"/>
      <c r="T2747" s="245"/>
      <c r="U2747" s="245"/>
      <c r="V2747" s="241"/>
      <c r="W2747" s="241"/>
      <c r="X2747" s="241"/>
    </row>
    <row r="2748" spans="1:24" ht="13.5" customHeight="1" x14ac:dyDescent="0.3">
      <c r="A2748" s="245"/>
      <c r="B2748" s="246"/>
      <c r="C2748" s="245"/>
      <c r="D2748" s="245"/>
      <c r="E2748" s="245"/>
      <c r="F2748" s="245"/>
      <c r="G2748" s="245"/>
      <c r="H2748" s="245"/>
      <c r="I2748" s="245"/>
      <c r="J2748" s="245"/>
      <c r="K2748" s="245"/>
      <c r="L2748" s="246"/>
      <c r="M2748" s="245"/>
      <c r="N2748" s="245"/>
      <c r="O2748" s="245"/>
      <c r="P2748" s="245"/>
      <c r="Q2748" s="247"/>
      <c r="R2748" s="247"/>
      <c r="S2748" s="247"/>
      <c r="T2748" s="245"/>
      <c r="U2748" s="245"/>
      <c r="V2748" s="241"/>
      <c r="W2748" s="241"/>
      <c r="X2748" s="241"/>
    </row>
    <row r="2749" spans="1:24" ht="13.5" customHeight="1" x14ac:dyDescent="0.3">
      <c r="A2749" s="245"/>
      <c r="B2749" s="246"/>
      <c r="C2749" s="245"/>
      <c r="D2749" s="245"/>
      <c r="E2749" s="245"/>
      <c r="F2749" s="245"/>
      <c r="G2749" s="245"/>
      <c r="H2749" s="245"/>
      <c r="I2749" s="245"/>
      <c r="J2749" s="245"/>
      <c r="K2749" s="245"/>
      <c r="L2749" s="246"/>
      <c r="M2749" s="245"/>
      <c r="N2749" s="245"/>
      <c r="O2749" s="245"/>
      <c r="P2749" s="245"/>
      <c r="Q2749" s="247"/>
      <c r="R2749" s="247"/>
      <c r="S2749" s="247"/>
      <c r="T2749" s="245"/>
      <c r="U2749" s="245"/>
      <c r="V2749" s="241"/>
      <c r="W2749" s="241"/>
      <c r="X2749" s="241"/>
    </row>
    <row r="2750" spans="1:24" ht="13.5" customHeight="1" x14ac:dyDescent="0.3">
      <c r="A2750" s="245"/>
      <c r="B2750" s="246"/>
      <c r="C2750" s="245"/>
      <c r="D2750" s="245"/>
      <c r="E2750" s="245"/>
      <c r="F2750" s="245"/>
      <c r="G2750" s="245"/>
      <c r="H2750" s="245"/>
      <c r="I2750" s="245"/>
      <c r="J2750" s="245"/>
      <c r="K2750" s="245"/>
      <c r="L2750" s="246"/>
      <c r="M2750" s="245"/>
      <c r="N2750" s="245"/>
      <c r="O2750" s="245"/>
      <c r="P2750" s="245"/>
      <c r="Q2750" s="247"/>
      <c r="R2750" s="247"/>
      <c r="S2750" s="247"/>
      <c r="T2750" s="245"/>
      <c r="U2750" s="245"/>
      <c r="V2750" s="241"/>
      <c r="W2750" s="241"/>
      <c r="X2750" s="241"/>
    </row>
    <row r="2751" spans="1:24" ht="13.5" customHeight="1" x14ac:dyDescent="0.3">
      <c r="A2751" s="245"/>
      <c r="B2751" s="246"/>
      <c r="C2751" s="245"/>
      <c r="D2751" s="245"/>
      <c r="E2751" s="245"/>
      <c r="F2751" s="245"/>
      <c r="G2751" s="245"/>
      <c r="H2751" s="245"/>
      <c r="I2751" s="245"/>
      <c r="J2751" s="245"/>
      <c r="K2751" s="245"/>
      <c r="L2751" s="246"/>
      <c r="M2751" s="245"/>
      <c r="N2751" s="245"/>
      <c r="O2751" s="245"/>
      <c r="P2751" s="245"/>
      <c r="Q2751" s="247"/>
      <c r="R2751" s="247"/>
      <c r="S2751" s="247"/>
      <c r="T2751" s="245"/>
      <c r="U2751" s="245"/>
      <c r="V2751" s="241"/>
      <c r="W2751" s="241"/>
      <c r="X2751" s="241"/>
    </row>
    <row r="2752" spans="1:24" ht="13.5" customHeight="1" x14ac:dyDescent="0.3">
      <c r="A2752" s="245"/>
      <c r="B2752" s="246"/>
      <c r="C2752" s="245"/>
      <c r="D2752" s="245"/>
      <c r="E2752" s="245"/>
      <c r="F2752" s="245"/>
      <c r="G2752" s="245"/>
      <c r="H2752" s="245"/>
      <c r="I2752" s="245"/>
      <c r="J2752" s="245"/>
      <c r="K2752" s="245"/>
      <c r="L2752" s="246"/>
      <c r="M2752" s="245"/>
      <c r="N2752" s="245"/>
      <c r="O2752" s="245"/>
      <c r="P2752" s="245"/>
      <c r="Q2752" s="247"/>
      <c r="R2752" s="247"/>
      <c r="S2752" s="247"/>
      <c r="T2752" s="245"/>
      <c r="U2752" s="245"/>
      <c r="V2752" s="241"/>
      <c r="W2752" s="241"/>
      <c r="X2752" s="241"/>
    </row>
    <row r="2753" spans="1:24" ht="13.5" customHeight="1" x14ac:dyDescent="0.3">
      <c r="A2753" s="245"/>
      <c r="B2753" s="246"/>
      <c r="C2753" s="245"/>
      <c r="D2753" s="245"/>
      <c r="E2753" s="245"/>
      <c r="F2753" s="245"/>
      <c r="G2753" s="245"/>
      <c r="H2753" s="245"/>
      <c r="I2753" s="245"/>
      <c r="J2753" s="245"/>
      <c r="K2753" s="245"/>
      <c r="L2753" s="246"/>
      <c r="M2753" s="245"/>
      <c r="N2753" s="245"/>
      <c r="O2753" s="245"/>
      <c r="P2753" s="245"/>
      <c r="Q2753" s="247"/>
      <c r="R2753" s="247"/>
      <c r="S2753" s="247"/>
      <c r="T2753" s="245"/>
      <c r="U2753" s="245"/>
      <c r="V2753" s="241"/>
      <c r="W2753" s="241"/>
      <c r="X2753" s="241"/>
    </row>
    <row r="2754" spans="1:24" ht="13.5" customHeight="1" x14ac:dyDescent="0.3">
      <c r="A2754" s="245"/>
      <c r="B2754" s="246"/>
      <c r="C2754" s="245"/>
      <c r="D2754" s="245"/>
      <c r="E2754" s="245"/>
      <c r="F2754" s="245"/>
      <c r="G2754" s="245"/>
      <c r="H2754" s="245"/>
      <c r="I2754" s="245"/>
      <c r="J2754" s="245"/>
      <c r="K2754" s="245"/>
      <c r="L2754" s="246"/>
      <c r="M2754" s="245"/>
      <c r="N2754" s="245"/>
      <c r="O2754" s="245"/>
      <c r="P2754" s="245"/>
      <c r="Q2754" s="247"/>
      <c r="R2754" s="247"/>
      <c r="S2754" s="247"/>
      <c r="T2754" s="245"/>
      <c r="U2754" s="245"/>
      <c r="V2754" s="241"/>
      <c r="W2754" s="241"/>
      <c r="X2754" s="241"/>
    </row>
    <row r="2755" spans="1:24" ht="13.5" customHeight="1" x14ac:dyDescent="0.3">
      <c r="A2755" s="245"/>
      <c r="B2755" s="246"/>
      <c r="C2755" s="245"/>
      <c r="D2755" s="245"/>
      <c r="E2755" s="245"/>
      <c r="F2755" s="245"/>
      <c r="G2755" s="245"/>
      <c r="H2755" s="245"/>
      <c r="I2755" s="245"/>
      <c r="J2755" s="245"/>
      <c r="K2755" s="245"/>
      <c r="L2755" s="246"/>
      <c r="M2755" s="245"/>
      <c r="N2755" s="245"/>
      <c r="O2755" s="245"/>
      <c r="P2755" s="245"/>
      <c r="Q2755" s="247"/>
      <c r="R2755" s="247"/>
      <c r="S2755" s="247"/>
      <c r="T2755" s="245"/>
      <c r="U2755" s="245"/>
      <c r="V2755" s="241"/>
      <c r="W2755" s="241"/>
      <c r="X2755" s="241"/>
    </row>
    <row r="2756" spans="1:24" ht="13.5" customHeight="1" x14ac:dyDescent="0.3">
      <c r="A2756" s="245"/>
      <c r="B2756" s="246"/>
      <c r="C2756" s="245"/>
      <c r="D2756" s="245"/>
      <c r="E2756" s="245"/>
      <c r="F2756" s="245"/>
      <c r="G2756" s="245"/>
      <c r="H2756" s="245"/>
      <c r="I2756" s="245"/>
      <c r="J2756" s="245"/>
      <c r="K2756" s="245"/>
      <c r="L2756" s="246"/>
      <c r="M2756" s="245"/>
      <c r="N2756" s="245"/>
      <c r="O2756" s="245"/>
      <c r="P2756" s="245"/>
      <c r="Q2756" s="247"/>
      <c r="R2756" s="247"/>
      <c r="S2756" s="247"/>
      <c r="T2756" s="245"/>
      <c r="U2756" s="245"/>
      <c r="V2756" s="241"/>
      <c r="W2756" s="241"/>
      <c r="X2756" s="241"/>
    </row>
    <row r="2757" spans="1:24" ht="13.5" customHeight="1" x14ac:dyDescent="0.3">
      <c r="A2757" s="245"/>
      <c r="B2757" s="246"/>
      <c r="C2757" s="245"/>
      <c r="D2757" s="245"/>
      <c r="E2757" s="245"/>
      <c r="F2757" s="245"/>
      <c r="G2757" s="245"/>
      <c r="H2757" s="245"/>
      <c r="I2757" s="245"/>
      <c r="J2757" s="245"/>
      <c r="K2757" s="245"/>
      <c r="L2757" s="246"/>
      <c r="M2757" s="245"/>
      <c r="N2757" s="245"/>
      <c r="O2757" s="245"/>
      <c r="P2757" s="245"/>
      <c r="Q2757" s="247"/>
      <c r="R2757" s="247"/>
      <c r="S2757" s="247"/>
      <c r="T2757" s="245"/>
      <c r="U2757" s="245"/>
      <c r="V2757" s="241"/>
      <c r="W2757" s="241"/>
      <c r="X2757" s="241"/>
    </row>
    <row r="2758" spans="1:24" ht="13.5" customHeight="1" x14ac:dyDescent="0.3">
      <c r="A2758" s="245"/>
      <c r="B2758" s="246"/>
      <c r="C2758" s="245"/>
      <c r="D2758" s="245"/>
      <c r="E2758" s="245"/>
      <c r="F2758" s="245"/>
      <c r="G2758" s="245"/>
      <c r="H2758" s="245"/>
      <c r="I2758" s="245"/>
      <c r="J2758" s="245"/>
      <c r="K2758" s="245"/>
      <c r="L2758" s="246"/>
      <c r="M2758" s="245"/>
      <c r="N2758" s="245"/>
      <c r="O2758" s="245"/>
      <c r="P2758" s="245"/>
      <c r="Q2758" s="247"/>
      <c r="R2758" s="247"/>
      <c r="S2758" s="247"/>
      <c r="T2758" s="245"/>
      <c r="U2758" s="245"/>
      <c r="V2758" s="241"/>
      <c r="W2758" s="241"/>
      <c r="X2758" s="241"/>
    </row>
    <row r="2759" spans="1:24" ht="13.5" customHeight="1" x14ac:dyDescent="0.3">
      <c r="A2759" s="245"/>
      <c r="B2759" s="246"/>
      <c r="C2759" s="245"/>
      <c r="D2759" s="245"/>
      <c r="E2759" s="245"/>
      <c r="F2759" s="245"/>
      <c r="G2759" s="245"/>
      <c r="H2759" s="245"/>
      <c r="I2759" s="245"/>
      <c r="J2759" s="245"/>
      <c r="K2759" s="245"/>
      <c r="L2759" s="246"/>
      <c r="M2759" s="245"/>
      <c r="N2759" s="245"/>
      <c r="O2759" s="245"/>
      <c r="P2759" s="245"/>
      <c r="Q2759" s="247"/>
      <c r="R2759" s="247"/>
      <c r="S2759" s="247"/>
      <c r="T2759" s="245"/>
      <c r="U2759" s="245"/>
      <c r="V2759" s="241"/>
      <c r="W2759" s="241"/>
      <c r="X2759" s="241"/>
    </row>
    <row r="2760" spans="1:24" ht="13.5" customHeight="1" x14ac:dyDescent="0.3">
      <c r="A2760" s="245"/>
      <c r="B2760" s="246"/>
      <c r="C2760" s="245"/>
      <c r="D2760" s="245"/>
      <c r="E2760" s="245"/>
      <c r="F2760" s="245"/>
      <c r="G2760" s="245"/>
      <c r="H2760" s="245"/>
      <c r="I2760" s="245"/>
      <c r="J2760" s="245"/>
      <c r="K2760" s="245"/>
      <c r="L2760" s="246"/>
      <c r="M2760" s="245"/>
      <c r="N2760" s="245"/>
      <c r="O2760" s="245"/>
      <c r="P2760" s="245"/>
      <c r="Q2760" s="247"/>
      <c r="R2760" s="247"/>
      <c r="S2760" s="247"/>
      <c r="T2760" s="245"/>
      <c r="U2760" s="245"/>
      <c r="V2760" s="241"/>
      <c r="W2760" s="241"/>
      <c r="X2760" s="241"/>
    </row>
    <row r="2761" spans="1:24" ht="13.5" customHeight="1" x14ac:dyDescent="0.3">
      <c r="A2761" s="245"/>
      <c r="B2761" s="246"/>
      <c r="C2761" s="245"/>
      <c r="D2761" s="245"/>
      <c r="E2761" s="245"/>
      <c r="F2761" s="245"/>
      <c r="G2761" s="245"/>
      <c r="H2761" s="245"/>
      <c r="I2761" s="245"/>
      <c r="J2761" s="245"/>
      <c r="K2761" s="245"/>
      <c r="L2761" s="246"/>
      <c r="M2761" s="245"/>
      <c r="N2761" s="245"/>
      <c r="O2761" s="245"/>
      <c r="P2761" s="245"/>
      <c r="Q2761" s="247"/>
      <c r="R2761" s="247"/>
      <c r="S2761" s="247"/>
      <c r="T2761" s="245"/>
      <c r="U2761" s="245"/>
      <c r="V2761" s="241"/>
      <c r="W2761" s="241"/>
      <c r="X2761" s="241"/>
    </row>
    <row r="2762" spans="1:24" ht="13.5" customHeight="1" x14ac:dyDescent="0.3">
      <c r="A2762" s="245"/>
      <c r="B2762" s="246"/>
      <c r="C2762" s="245"/>
      <c r="D2762" s="245"/>
      <c r="E2762" s="245"/>
      <c r="F2762" s="245"/>
      <c r="G2762" s="245"/>
      <c r="H2762" s="245"/>
      <c r="I2762" s="245"/>
      <c r="J2762" s="245"/>
      <c r="K2762" s="245"/>
      <c r="L2762" s="246"/>
      <c r="M2762" s="245"/>
      <c r="N2762" s="245"/>
      <c r="O2762" s="245"/>
      <c r="P2762" s="245"/>
      <c r="Q2762" s="247"/>
      <c r="R2762" s="247"/>
      <c r="S2762" s="247"/>
      <c r="T2762" s="245"/>
      <c r="U2762" s="245"/>
      <c r="V2762" s="241"/>
      <c r="W2762" s="241"/>
      <c r="X2762" s="241"/>
    </row>
    <row r="2763" spans="1:24" ht="13.5" customHeight="1" x14ac:dyDescent="0.3">
      <c r="A2763" s="245"/>
      <c r="B2763" s="246"/>
      <c r="C2763" s="245"/>
      <c r="D2763" s="245"/>
      <c r="E2763" s="245"/>
      <c r="F2763" s="245"/>
      <c r="G2763" s="245"/>
      <c r="H2763" s="245"/>
      <c r="I2763" s="245"/>
      <c r="J2763" s="245"/>
      <c r="K2763" s="245"/>
      <c r="L2763" s="246"/>
      <c r="M2763" s="245"/>
      <c r="N2763" s="245"/>
      <c r="O2763" s="245"/>
      <c r="P2763" s="245"/>
      <c r="Q2763" s="247"/>
      <c r="R2763" s="247"/>
      <c r="S2763" s="247"/>
      <c r="T2763" s="245"/>
      <c r="U2763" s="245"/>
      <c r="V2763" s="241"/>
      <c r="W2763" s="241"/>
      <c r="X2763" s="241"/>
    </row>
    <row r="2764" spans="1:24" ht="13.5" customHeight="1" x14ac:dyDescent="0.3">
      <c r="A2764" s="245"/>
      <c r="B2764" s="246"/>
      <c r="C2764" s="245"/>
      <c r="D2764" s="245"/>
      <c r="E2764" s="245"/>
      <c r="F2764" s="245"/>
      <c r="G2764" s="245"/>
      <c r="H2764" s="245"/>
      <c r="I2764" s="245"/>
      <c r="J2764" s="245"/>
      <c r="K2764" s="245"/>
      <c r="L2764" s="246"/>
      <c r="M2764" s="245"/>
      <c r="N2764" s="245"/>
      <c r="O2764" s="245"/>
      <c r="P2764" s="245"/>
      <c r="Q2764" s="247"/>
      <c r="R2764" s="247"/>
      <c r="S2764" s="247"/>
      <c r="T2764" s="245"/>
      <c r="U2764" s="245"/>
      <c r="V2764" s="241"/>
      <c r="W2764" s="241"/>
      <c r="X2764" s="241"/>
    </row>
    <row r="2765" spans="1:24" ht="13.5" customHeight="1" x14ac:dyDescent="0.3">
      <c r="A2765" s="245"/>
      <c r="B2765" s="246"/>
      <c r="C2765" s="245"/>
      <c r="D2765" s="245"/>
      <c r="E2765" s="245"/>
      <c r="F2765" s="245"/>
      <c r="G2765" s="245"/>
      <c r="H2765" s="245"/>
      <c r="I2765" s="245"/>
      <c r="J2765" s="245"/>
      <c r="K2765" s="245"/>
      <c r="L2765" s="246"/>
      <c r="M2765" s="245"/>
      <c r="N2765" s="245"/>
      <c r="O2765" s="245"/>
      <c r="P2765" s="245"/>
      <c r="Q2765" s="247"/>
      <c r="R2765" s="247"/>
      <c r="S2765" s="247"/>
      <c r="T2765" s="245"/>
      <c r="U2765" s="245"/>
      <c r="V2765" s="241"/>
      <c r="W2765" s="241"/>
      <c r="X2765" s="241"/>
    </row>
    <row r="2766" spans="1:24" ht="13.5" customHeight="1" x14ac:dyDescent="0.3">
      <c r="A2766" s="245"/>
      <c r="B2766" s="246"/>
      <c r="C2766" s="245"/>
      <c r="D2766" s="245"/>
      <c r="E2766" s="245"/>
      <c r="F2766" s="245"/>
      <c r="G2766" s="245"/>
      <c r="H2766" s="245"/>
      <c r="I2766" s="245"/>
      <c r="J2766" s="245"/>
      <c r="K2766" s="245"/>
      <c r="L2766" s="246"/>
      <c r="M2766" s="245"/>
      <c r="N2766" s="245"/>
      <c r="O2766" s="245"/>
      <c r="P2766" s="245"/>
      <c r="Q2766" s="247"/>
      <c r="R2766" s="247"/>
      <c r="S2766" s="247"/>
      <c r="T2766" s="245"/>
      <c r="U2766" s="245"/>
      <c r="V2766" s="241"/>
      <c r="W2766" s="241"/>
      <c r="X2766" s="241"/>
    </row>
    <row r="2767" spans="1:24" ht="13.5" customHeight="1" x14ac:dyDescent="0.3">
      <c r="A2767" s="245"/>
      <c r="B2767" s="246"/>
      <c r="C2767" s="245"/>
      <c r="D2767" s="245"/>
      <c r="E2767" s="245"/>
      <c r="F2767" s="245"/>
      <c r="G2767" s="245"/>
      <c r="H2767" s="245"/>
      <c r="I2767" s="245"/>
      <c r="J2767" s="245"/>
      <c r="K2767" s="245"/>
      <c r="L2767" s="246"/>
      <c r="M2767" s="245"/>
      <c r="N2767" s="245"/>
      <c r="O2767" s="245"/>
      <c r="P2767" s="245"/>
      <c r="Q2767" s="247"/>
      <c r="R2767" s="247"/>
      <c r="S2767" s="247"/>
      <c r="T2767" s="245"/>
      <c r="U2767" s="245"/>
      <c r="V2767" s="241"/>
      <c r="W2767" s="241"/>
      <c r="X2767" s="241"/>
    </row>
    <row r="2768" spans="1:24" ht="13.5" customHeight="1" x14ac:dyDescent="0.3">
      <c r="A2768" s="245"/>
      <c r="B2768" s="246"/>
      <c r="C2768" s="245"/>
      <c r="D2768" s="245"/>
      <c r="E2768" s="245"/>
      <c r="F2768" s="245"/>
      <c r="G2768" s="245"/>
      <c r="H2768" s="245"/>
      <c r="I2768" s="245"/>
      <c r="J2768" s="245"/>
      <c r="K2768" s="245"/>
      <c r="L2768" s="246"/>
      <c r="M2768" s="245"/>
      <c r="N2768" s="245"/>
      <c r="O2768" s="245"/>
      <c r="P2768" s="245"/>
      <c r="Q2768" s="247"/>
      <c r="R2768" s="247"/>
      <c r="S2768" s="247"/>
      <c r="T2768" s="245"/>
      <c r="U2768" s="245"/>
      <c r="V2768" s="241"/>
      <c r="W2768" s="241"/>
      <c r="X2768" s="241"/>
    </row>
    <row r="2769" spans="1:24" ht="13.5" customHeight="1" x14ac:dyDescent="0.3">
      <c r="A2769" s="245"/>
      <c r="B2769" s="246"/>
      <c r="C2769" s="245"/>
      <c r="D2769" s="245"/>
      <c r="E2769" s="245"/>
      <c r="F2769" s="245"/>
      <c r="G2769" s="245"/>
      <c r="H2769" s="245"/>
      <c r="I2769" s="245"/>
      <c r="J2769" s="245"/>
      <c r="K2769" s="245"/>
      <c r="L2769" s="246"/>
      <c r="M2769" s="245"/>
      <c r="N2769" s="245"/>
      <c r="O2769" s="245"/>
      <c r="P2769" s="245"/>
      <c r="Q2769" s="247"/>
      <c r="R2769" s="247"/>
      <c r="S2769" s="247"/>
      <c r="T2769" s="245"/>
      <c r="U2769" s="245"/>
      <c r="V2769" s="241"/>
      <c r="W2769" s="241"/>
      <c r="X2769" s="241"/>
    </row>
    <row r="2770" spans="1:24" ht="13.5" customHeight="1" x14ac:dyDescent="0.3">
      <c r="A2770" s="245"/>
      <c r="B2770" s="246"/>
      <c r="C2770" s="245"/>
      <c r="D2770" s="245"/>
      <c r="E2770" s="245"/>
      <c r="F2770" s="245"/>
      <c r="G2770" s="245"/>
      <c r="H2770" s="245"/>
      <c r="I2770" s="245"/>
      <c r="J2770" s="245"/>
      <c r="K2770" s="245"/>
      <c r="L2770" s="246"/>
      <c r="M2770" s="245"/>
      <c r="N2770" s="245"/>
      <c r="O2770" s="245"/>
      <c r="P2770" s="245"/>
      <c r="Q2770" s="247"/>
      <c r="R2770" s="247"/>
      <c r="S2770" s="247"/>
      <c r="T2770" s="245"/>
      <c r="U2770" s="245"/>
      <c r="V2770" s="241"/>
      <c r="W2770" s="241"/>
      <c r="X2770" s="241"/>
    </row>
    <row r="2771" spans="1:24" ht="13.5" customHeight="1" x14ac:dyDescent="0.3">
      <c r="A2771" s="245"/>
      <c r="B2771" s="246"/>
      <c r="C2771" s="245"/>
      <c r="D2771" s="245"/>
      <c r="E2771" s="245"/>
      <c r="F2771" s="245"/>
      <c r="G2771" s="245"/>
      <c r="H2771" s="245"/>
      <c r="I2771" s="245"/>
      <c r="J2771" s="245"/>
      <c r="K2771" s="245"/>
      <c r="L2771" s="246"/>
      <c r="M2771" s="245"/>
      <c r="N2771" s="245"/>
      <c r="O2771" s="245"/>
      <c r="P2771" s="245"/>
      <c r="Q2771" s="247"/>
      <c r="R2771" s="247"/>
      <c r="S2771" s="247"/>
      <c r="T2771" s="245"/>
      <c r="U2771" s="245"/>
      <c r="V2771" s="241"/>
      <c r="W2771" s="241"/>
      <c r="X2771" s="241"/>
    </row>
    <row r="2772" spans="1:24" ht="13.5" customHeight="1" x14ac:dyDescent="0.3">
      <c r="A2772" s="245"/>
      <c r="B2772" s="246"/>
      <c r="C2772" s="245"/>
      <c r="D2772" s="245"/>
      <c r="E2772" s="245"/>
      <c r="F2772" s="245"/>
      <c r="G2772" s="245"/>
      <c r="H2772" s="245"/>
      <c r="I2772" s="245"/>
      <c r="J2772" s="245"/>
      <c r="K2772" s="245"/>
      <c r="L2772" s="246"/>
      <c r="M2772" s="245"/>
      <c r="N2772" s="245"/>
      <c r="O2772" s="245"/>
      <c r="P2772" s="245"/>
      <c r="Q2772" s="247"/>
      <c r="R2772" s="247"/>
      <c r="S2772" s="247"/>
      <c r="T2772" s="245"/>
      <c r="U2772" s="245"/>
      <c r="V2772" s="241"/>
      <c r="W2772" s="241"/>
      <c r="X2772" s="241"/>
    </row>
    <row r="2773" spans="1:24" ht="13.5" customHeight="1" x14ac:dyDescent="0.3">
      <c r="A2773" s="245"/>
      <c r="B2773" s="246"/>
      <c r="C2773" s="245"/>
      <c r="D2773" s="245"/>
      <c r="E2773" s="245"/>
      <c r="F2773" s="245"/>
      <c r="G2773" s="245"/>
      <c r="H2773" s="245"/>
      <c r="I2773" s="245"/>
      <c r="J2773" s="245"/>
      <c r="K2773" s="245"/>
      <c r="L2773" s="246"/>
      <c r="M2773" s="245"/>
      <c r="N2773" s="245"/>
      <c r="O2773" s="245"/>
      <c r="P2773" s="245"/>
      <c r="Q2773" s="247"/>
      <c r="R2773" s="247"/>
      <c r="S2773" s="247"/>
      <c r="T2773" s="245"/>
      <c r="U2773" s="245"/>
      <c r="V2773" s="241"/>
      <c r="W2773" s="241"/>
      <c r="X2773" s="241"/>
    </row>
    <row r="2774" spans="1:24" ht="13.5" customHeight="1" x14ac:dyDescent="0.3">
      <c r="A2774" s="245"/>
      <c r="B2774" s="246"/>
      <c r="C2774" s="245"/>
      <c r="D2774" s="245"/>
      <c r="E2774" s="245"/>
      <c r="F2774" s="245"/>
      <c r="G2774" s="245"/>
      <c r="H2774" s="245"/>
      <c r="I2774" s="245"/>
      <c r="J2774" s="245"/>
      <c r="K2774" s="245"/>
      <c r="L2774" s="246"/>
      <c r="M2774" s="245"/>
      <c r="N2774" s="245"/>
      <c r="O2774" s="245"/>
      <c r="P2774" s="245"/>
      <c r="Q2774" s="247"/>
      <c r="R2774" s="247"/>
      <c r="S2774" s="247"/>
      <c r="T2774" s="245"/>
      <c r="U2774" s="245"/>
      <c r="V2774" s="241"/>
      <c r="W2774" s="241"/>
      <c r="X2774" s="241"/>
    </row>
    <row r="2775" spans="1:24" ht="13.5" customHeight="1" x14ac:dyDescent="0.3">
      <c r="A2775" s="245"/>
      <c r="B2775" s="246"/>
      <c r="C2775" s="245"/>
      <c r="D2775" s="245"/>
      <c r="E2775" s="245"/>
      <c r="F2775" s="245"/>
      <c r="G2775" s="245"/>
      <c r="H2775" s="245"/>
      <c r="I2775" s="245"/>
      <c r="J2775" s="245"/>
      <c r="K2775" s="245"/>
      <c r="L2775" s="246"/>
      <c r="M2775" s="245"/>
      <c r="N2775" s="245"/>
      <c r="O2775" s="245"/>
      <c r="P2775" s="245"/>
      <c r="Q2775" s="247"/>
      <c r="R2775" s="247"/>
      <c r="S2775" s="247"/>
      <c r="T2775" s="245"/>
      <c r="U2775" s="245"/>
      <c r="V2775" s="241"/>
      <c r="W2775" s="241"/>
      <c r="X2775" s="241"/>
    </row>
    <row r="2776" spans="1:24" ht="13.5" customHeight="1" x14ac:dyDescent="0.3">
      <c r="A2776" s="245"/>
      <c r="B2776" s="246"/>
      <c r="C2776" s="245"/>
      <c r="D2776" s="245"/>
      <c r="E2776" s="245"/>
      <c r="F2776" s="245"/>
      <c r="G2776" s="245"/>
      <c r="H2776" s="245"/>
      <c r="I2776" s="245"/>
      <c r="J2776" s="245"/>
      <c r="K2776" s="245"/>
      <c r="L2776" s="246"/>
      <c r="M2776" s="245"/>
      <c r="N2776" s="245"/>
      <c r="O2776" s="245"/>
      <c r="P2776" s="245"/>
      <c r="Q2776" s="247"/>
      <c r="R2776" s="247"/>
      <c r="S2776" s="247"/>
      <c r="T2776" s="245"/>
      <c r="U2776" s="245"/>
      <c r="V2776" s="241"/>
      <c r="W2776" s="241"/>
      <c r="X2776" s="241"/>
    </row>
    <row r="2777" spans="1:24" ht="13.5" customHeight="1" x14ac:dyDescent="0.3">
      <c r="A2777" s="245"/>
      <c r="B2777" s="246"/>
      <c r="C2777" s="245"/>
      <c r="D2777" s="245"/>
      <c r="E2777" s="245"/>
      <c r="F2777" s="245"/>
      <c r="G2777" s="245"/>
      <c r="H2777" s="245"/>
      <c r="I2777" s="245"/>
      <c r="J2777" s="245"/>
      <c r="K2777" s="245"/>
      <c r="L2777" s="246"/>
      <c r="M2777" s="245"/>
      <c r="N2777" s="245"/>
      <c r="O2777" s="245"/>
      <c r="P2777" s="245"/>
      <c r="Q2777" s="247"/>
      <c r="R2777" s="247"/>
      <c r="S2777" s="247"/>
      <c r="T2777" s="245"/>
      <c r="U2777" s="245"/>
      <c r="V2777" s="241"/>
      <c r="W2777" s="241"/>
      <c r="X2777" s="241"/>
    </row>
    <row r="2778" spans="1:24" ht="13.5" customHeight="1" x14ac:dyDescent="0.3">
      <c r="A2778" s="245"/>
      <c r="B2778" s="246"/>
      <c r="C2778" s="245"/>
      <c r="D2778" s="245"/>
      <c r="E2778" s="245"/>
      <c r="F2778" s="245"/>
      <c r="G2778" s="245"/>
      <c r="H2778" s="245"/>
      <c r="I2778" s="245"/>
      <c r="J2778" s="245"/>
      <c r="K2778" s="245"/>
      <c r="L2778" s="246"/>
      <c r="M2778" s="245"/>
      <c r="N2778" s="245"/>
      <c r="O2778" s="245"/>
      <c r="P2778" s="245"/>
      <c r="Q2778" s="247"/>
      <c r="R2778" s="247"/>
      <c r="S2778" s="247"/>
      <c r="T2778" s="245"/>
      <c r="U2778" s="245"/>
      <c r="V2778" s="241"/>
      <c r="W2778" s="241"/>
      <c r="X2778" s="241"/>
    </row>
    <row r="2779" spans="1:24" ht="13.5" customHeight="1" x14ac:dyDescent="0.3">
      <c r="A2779" s="245"/>
      <c r="B2779" s="246"/>
      <c r="C2779" s="245"/>
      <c r="D2779" s="245"/>
      <c r="E2779" s="245"/>
      <c r="F2779" s="245"/>
      <c r="G2779" s="245"/>
      <c r="H2779" s="245"/>
      <c r="I2779" s="245"/>
      <c r="J2779" s="245"/>
      <c r="K2779" s="245"/>
      <c r="L2779" s="246"/>
      <c r="M2779" s="245"/>
      <c r="N2779" s="245"/>
      <c r="O2779" s="245"/>
      <c r="P2779" s="245"/>
      <c r="Q2779" s="247"/>
      <c r="R2779" s="247"/>
      <c r="S2779" s="247"/>
      <c r="T2779" s="245"/>
      <c r="U2779" s="245"/>
      <c r="V2779" s="241"/>
      <c r="W2779" s="241"/>
      <c r="X2779" s="241"/>
    </row>
    <row r="2780" spans="1:24" ht="13.5" customHeight="1" x14ac:dyDescent="0.3">
      <c r="A2780" s="245"/>
      <c r="B2780" s="246"/>
      <c r="C2780" s="245"/>
      <c r="D2780" s="245"/>
      <c r="E2780" s="245"/>
      <c r="F2780" s="245"/>
      <c r="G2780" s="245"/>
      <c r="H2780" s="245"/>
      <c r="I2780" s="245"/>
      <c r="J2780" s="245"/>
      <c r="K2780" s="245"/>
      <c r="L2780" s="246"/>
      <c r="M2780" s="245"/>
      <c r="N2780" s="245"/>
      <c r="O2780" s="245"/>
      <c r="P2780" s="245"/>
      <c r="Q2780" s="247"/>
      <c r="R2780" s="247"/>
      <c r="S2780" s="247"/>
      <c r="T2780" s="245"/>
      <c r="U2780" s="245"/>
      <c r="V2780" s="241"/>
      <c r="W2780" s="241"/>
      <c r="X2780" s="241"/>
    </row>
    <row r="2781" spans="1:24" ht="13.5" customHeight="1" x14ac:dyDescent="0.3">
      <c r="A2781" s="245"/>
      <c r="B2781" s="246"/>
      <c r="C2781" s="245"/>
      <c r="D2781" s="245"/>
      <c r="E2781" s="245"/>
      <c r="F2781" s="245"/>
      <c r="G2781" s="245"/>
      <c r="H2781" s="245"/>
      <c r="I2781" s="245"/>
      <c r="J2781" s="245"/>
      <c r="K2781" s="245"/>
      <c r="L2781" s="246"/>
      <c r="M2781" s="245"/>
      <c r="N2781" s="245"/>
      <c r="O2781" s="245"/>
      <c r="P2781" s="245"/>
      <c r="Q2781" s="247"/>
      <c r="R2781" s="247"/>
      <c r="S2781" s="247"/>
      <c r="T2781" s="245"/>
      <c r="U2781" s="245"/>
      <c r="V2781" s="241"/>
      <c r="W2781" s="241"/>
      <c r="X2781" s="241"/>
    </row>
    <row r="2782" spans="1:24" ht="13.5" customHeight="1" x14ac:dyDescent="0.3">
      <c r="A2782" s="245"/>
      <c r="B2782" s="246"/>
      <c r="C2782" s="245"/>
      <c r="D2782" s="245"/>
      <c r="E2782" s="245"/>
      <c r="F2782" s="245"/>
      <c r="G2782" s="245"/>
      <c r="H2782" s="245"/>
      <c r="I2782" s="245"/>
      <c r="J2782" s="245"/>
      <c r="K2782" s="245"/>
      <c r="L2782" s="246"/>
      <c r="M2782" s="245"/>
      <c r="N2782" s="245"/>
      <c r="O2782" s="245"/>
      <c r="P2782" s="245"/>
      <c r="Q2782" s="247"/>
      <c r="R2782" s="247"/>
      <c r="S2782" s="247"/>
      <c r="T2782" s="245"/>
      <c r="U2782" s="245"/>
      <c r="V2782" s="241"/>
      <c r="W2782" s="241"/>
      <c r="X2782" s="241"/>
    </row>
    <row r="2783" spans="1:24" ht="13.5" customHeight="1" x14ac:dyDescent="0.3">
      <c r="A2783" s="245"/>
      <c r="B2783" s="246"/>
      <c r="C2783" s="245"/>
      <c r="D2783" s="245"/>
      <c r="E2783" s="245"/>
      <c r="F2783" s="245"/>
      <c r="G2783" s="245"/>
      <c r="H2783" s="245"/>
      <c r="I2783" s="245"/>
      <c r="J2783" s="245"/>
      <c r="K2783" s="245"/>
      <c r="L2783" s="246"/>
      <c r="M2783" s="245"/>
      <c r="N2783" s="245"/>
      <c r="O2783" s="245"/>
      <c r="P2783" s="245"/>
      <c r="Q2783" s="247"/>
      <c r="R2783" s="247"/>
      <c r="S2783" s="247"/>
      <c r="T2783" s="245"/>
      <c r="U2783" s="245"/>
      <c r="V2783" s="241"/>
      <c r="W2783" s="241"/>
      <c r="X2783" s="241"/>
    </row>
    <row r="2784" spans="1:24" ht="13.5" customHeight="1" x14ac:dyDescent="0.3">
      <c r="A2784" s="245"/>
      <c r="B2784" s="246"/>
      <c r="C2784" s="245"/>
      <c r="D2784" s="245"/>
      <c r="E2784" s="245"/>
      <c r="F2784" s="245"/>
      <c r="G2784" s="245"/>
      <c r="H2784" s="245"/>
      <c r="I2784" s="245"/>
      <c r="J2784" s="245"/>
      <c r="K2784" s="245"/>
      <c r="L2784" s="246"/>
      <c r="M2784" s="245"/>
      <c r="N2784" s="245"/>
      <c r="O2784" s="245"/>
      <c r="P2784" s="245"/>
      <c r="Q2784" s="247"/>
      <c r="R2784" s="247"/>
      <c r="S2784" s="247"/>
      <c r="T2784" s="245"/>
      <c r="U2784" s="245"/>
      <c r="V2784" s="241"/>
      <c r="W2784" s="241"/>
      <c r="X2784" s="241"/>
    </row>
    <row r="2785" spans="1:24" ht="13.5" customHeight="1" x14ac:dyDescent="0.3">
      <c r="A2785" s="245"/>
      <c r="B2785" s="246"/>
      <c r="C2785" s="245"/>
      <c r="D2785" s="245"/>
      <c r="E2785" s="245"/>
      <c r="F2785" s="245"/>
      <c r="G2785" s="245"/>
      <c r="H2785" s="245"/>
      <c r="I2785" s="245"/>
      <c r="J2785" s="245"/>
      <c r="K2785" s="245"/>
      <c r="L2785" s="246"/>
      <c r="M2785" s="245"/>
      <c r="N2785" s="245"/>
      <c r="O2785" s="245"/>
      <c r="P2785" s="245"/>
      <c r="Q2785" s="247"/>
      <c r="R2785" s="247"/>
      <c r="S2785" s="247"/>
      <c r="T2785" s="245"/>
      <c r="U2785" s="245"/>
      <c r="V2785" s="241"/>
      <c r="W2785" s="241"/>
      <c r="X2785" s="241"/>
    </row>
    <row r="2786" spans="1:24" ht="13.5" customHeight="1" x14ac:dyDescent="0.3">
      <c r="A2786" s="245"/>
      <c r="B2786" s="246"/>
      <c r="C2786" s="245"/>
      <c r="D2786" s="245"/>
      <c r="E2786" s="245"/>
      <c r="F2786" s="245"/>
      <c r="G2786" s="245"/>
      <c r="H2786" s="245"/>
      <c r="I2786" s="245"/>
      <c r="J2786" s="245"/>
      <c r="K2786" s="245"/>
      <c r="L2786" s="246"/>
      <c r="M2786" s="245"/>
      <c r="N2786" s="245"/>
      <c r="O2786" s="245"/>
      <c r="P2786" s="245"/>
      <c r="Q2786" s="247"/>
      <c r="R2786" s="247"/>
      <c r="S2786" s="247"/>
      <c r="T2786" s="245"/>
      <c r="U2786" s="245"/>
      <c r="V2786" s="241"/>
      <c r="W2786" s="241"/>
      <c r="X2786" s="241"/>
    </row>
    <row r="2787" spans="1:24" ht="13.5" customHeight="1" x14ac:dyDescent="0.3">
      <c r="A2787" s="245"/>
      <c r="B2787" s="246"/>
      <c r="C2787" s="245"/>
      <c r="D2787" s="245"/>
      <c r="E2787" s="245"/>
      <c r="F2787" s="245"/>
      <c r="G2787" s="245"/>
      <c r="H2787" s="245"/>
      <c r="I2787" s="245"/>
      <c r="J2787" s="245"/>
      <c r="K2787" s="245"/>
      <c r="L2787" s="246"/>
      <c r="M2787" s="245"/>
      <c r="N2787" s="245"/>
      <c r="O2787" s="245"/>
      <c r="P2787" s="245"/>
      <c r="Q2787" s="247"/>
      <c r="R2787" s="247"/>
      <c r="S2787" s="247"/>
      <c r="T2787" s="245"/>
      <c r="U2787" s="245"/>
      <c r="V2787" s="241"/>
      <c r="W2787" s="241"/>
      <c r="X2787" s="241"/>
    </row>
    <row r="2788" spans="1:24" ht="13.5" customHeight="1" x14ac:dyDescent="0.3">
      <c r="A2788" s="245"/>
      <c r="B2788" s="246"/>
      <c r="C2788" s="245"/>
      <c r="D2788" s="245"/>
      <c r="E2788" s="245"/>
      <c r="F2788" s="245"/>
      <c r="G2788" s="245"/>
      <c r="H2788" s="245"/>
      <c r="I2788" s="245"/>
      <c r="J2788" s="245"/>
      <c r="K2788" s="245"/>
      <c r="L2788" s="246"/>
      <c r="M2788" s="245"/>
      <c r="N2788" s="245"/>
      <c r="O2788" s="245"/>
      <c r="P2788" s="245"/>
      <c r="Q2788" s="247"/>
      <c r="R2788" s="247"/>
      <c r="S2788" s="247"/>
      <c r="T2788" s="245"/>
      <c r="U2788" s="245"/>
      <c r="V2788" s="241"/>
      <c r="W2788" s="241"/>
      <c r="X2788" s="241"/>
    </row>
    <row r="2789" spans="1:24" ht="13.5" customHeight="1" x14ac:dyDescent="0.3">
      <c r="A2789" s="245"/>
      <c r="B2789" s="246"/>
      <c r="C2789" s="245"/>
      <c r="D2789" s="245"/>
      <c r="E2789" s="245"/>
      <c r="F2789" s="245"/>
      <c r="G2789" s="245"/>
      <c r="H2789" s="245"/>
      <c r="I2789" s="245"/>
      <c r="J2789" s="245"/>
      <c r="K2789" s="245"/>
      <c r="L2789" s="246"/>
      <c r="M2789" s="245"/>
      <c r="N2789" s="245"/>
      <c r="O2789" s="245"/>
      <c r="P2789" s="245"/>
      <c r="Q2789" s="247"/>
      <c r="R2789" s="247"/>
      <c r="S2789" s="247"/>
      <c r="T2789" s="245"/>
      <c r="U2789" s="245"/>
      <c r="V2789" s="241"/>
      <c r="W2789" s="241"/>
      <c r="X2789" s="241"/>
    </row>
    <row r="2790" spans="1:24" ht="13.5" customHeight="1" x14ac:dyDescent="0.3">
      <c r="A2790" s="245"/>
      <c r="B2790" s="246"/>
      <c r="C2790" s="245"/>
      <c r="D2790" s="245"/>
      <c r="E2790" s="245"/>
      <c r="F2790" s="245"/>
      <c r="G2790" s="245"/>
      <c r="H2790" s="245"/>
      <c r="I2790" s="245"/>
      <c r="J2790" s="245"/>
      <c r="K2790" s="245"/>
      <c r="L2790" s="246"/>
      <c r="M2790" s="245"/>
      <c r="N2790" s="245"/>
      <c r="O2790" s="245"/>
      <c r="P2790" s="245"/>
      <c r="Q2790" s="247"/>
      <c r="R2790" s="247"/>
      <c r="S2790" s="247"/>
      <c r="T2790" s="245"/>
      <c r="U2790" s="245"/>
      <c r="V2790" s="241"/>
      <c r="W2790" s="241"/>
      <c r="X2790" s="241"/>
    </row>
    <row r="2791" spans="1:24" ht="13.5" customHeight="1" x14ac:dyDescent="0.3">
      <c r="A2791" s="245"/>
      <c r="B2791" s="246"/>
      <c r="C2791" s="245"/>
      <c r="D2791" s="245"/>
      <c r="E2791" s="245"/>
      <c r="F2791" s="245"/>
      <c r="G2791" s="245"/>
      <c r="H2791" s="245"/>
      <c r="I2791" s="245"/>
      <c r="J2791" s="245"/>
      <c r="K2791" s="245"/>
      <c r="L2791" s="246"/>
      <c r="M2791" s="245"/>
      <c r="N2791" s="245"/>
      <c r="O2791" s="245"/>
      <c r="P2791" s="245"/>
      <c r="Q2791" s="247"/>
      <c r="R2791" s="247"/>
      <c r="S2791" s="247"/>
      <c r="T2791" s="245"/>
      <c r="U2791" s="245"/>
      <c r="V2791" s="241"/>
      <c r="W2791" s="241"/>
      <c r="X2791" s="241"/>
    </row>
    <row r="2792" spans="1:24" ht="13.5" customHeight="1" x14ac:dyDescent="0.3">
      <c r="A2792" s="245"/>
      <c r="B2792" s="246"/>
      <c r="C2792" s="245"/>
      <c r="D2792" s="245"/>
      <c r="E2792" s="245"/>
      <c r="F2792" s="245"/>
      <c r="G2792" s="245"/>
      <c r="H2792" s="245"/>
      <c r="I2792" s="245"/>
      <c r="J2792" s="245"/>
      <c r="K2792" s="245"/>
      <c r="L2792" s="246"/>
      <c r="M2792" s="245"/>
      <c r="N2792" s="245"/>
      <c r="O2792" s="245"/>
      <c r="P2792" s="245"/>
      <c r="Q2792" s="247"/>
      <c r="R2792" s="247"/>
      <c r="S2792" s="247"/>
      <c r="T2792" s="245"/>
      <c r="U2792" s="245"/>
      <c r="V2792" s="241"/>
      <c r="W2792" s="241"/>
      <c r="X2792" s="241"/>
    </row>
    <row r="2793" spans="1:24" ht="13.5" customHeight="1" x14ac:dyDescent="0.3">
      <c r="A2793" s="245"/>
      <c r="B2793" s="246"/>
      <c r="C2793" s="245"/>
      <c r="D2793" s="245"/>
      <c r="E2793" s="245"/>
      <c r="F2793" s="245"/>
      <c r="G2793" s="245"/>
      <c r="H2793" s="245"/>
      <c r="I2793" s="245"/>
      <c r="J2793" s="245"/>
      <c r="K2793" s="245"/>
      <c r="L2793" s="246"/>
      <c r="M2793" s="245"/>
      <c r="N2793" s="245"/>
      <c r="O2793" s="245"/>
      <c r="P2793" s="245"/>
      <c r="Q2793" s="247"/>
      <c r="R2793" s="247"/>
      <c r="S2793" s="247"/>
      <c r="T2793" s="245"/>
      <c r="U2793" s="245"/>
      <c r="V2793" s="241"/>
      <c r="W2793" s="241"/>
      <c r="X2793" s="241"/>
    </row>
    <row r="2794" spans="1:24" ht="13.5" customHeight="1" x14ac:dyDescent="0.3">
      <c r="A2794" s="245"/>
      <c r="B2794" s="246"/>
      <c r="C2794" s="245"/>
      <c r="D2794" s="245"/>
      <c r="E2794" s="245"/>
      <c r="F2794" s="245"/>
      <c r="G2794" s="245"/>
      <c r="H2794" s="245"/>
      <c r="I2794" s="245"/>
      <c r="J2794" s="245"/>
      <c r="K2794" s="245"/>
      <c r="L2794" s="246"/>
      <c r="M2794" s="245"/>
      <c r="N2794" s="245"/>
      <c r="O2794" s="245"/>
      <c r="P2794" s="245"/>
      <c r="Q2794" s="247"/>
      <c r="R2794" s="247"/>
      <c r="S2794" s="247"/>
      <c r="T2794" s="245"/>
      <c r="U2794" s="245"/>
      <c r="V2794" s="241"/>
      <c r="W2794" s="241"/>
      <c r="X2794" s="241"/>
    </row>
    <row r="2795" spans="1:24" ht="13.5" customHeight="1" x14ac:dyDescent="0.3">
      <c r="A2795" s="245"/>
      <c r="B2795" s="246"/>
      <c r="C2795" s="245"/>
      <c r="D2795" s="245"/>
      <c r="E2795" s="245"/>
      <c r="F2795" s="245"/>
      <c r="G2795" s="245"/>
      <c r="H2795" s="245"/>
      <c r="I2795" s="245"/>
      <c r="J2795" s="245"/>
      <c r="K2795" s="245"/>
      <c r="L2795" s="246"/>
      <c r="M2795" s="245"/>
      <c r="N2795" s="245"/>
      <c r="O2795" s="245"/>
      <c r="P2795" s="245"/>
      <c r="Q2795" s="247"/>
      <c r="R2795" s="247"/>
      <c r="S2795" s="247"/>
      <c r="T2795" s="245"/>
      <c r="U2795" s="245"/>
      <c r="V2795" s="241"/>
      <c r="W2795" s="241"/>
      <c r="X2795" s="241"/>
    </row>
    <row r="2796" spans="1:24" ht="13.5" customHeight="1" x14ac:dyDescent="0.3">
      <c r="A2796" s="245"/>
      <c r="B2796" s="246"/>
      <c r="C2796" s="245"/>
      <c r="D2796" s="245"/>
      <c r="E2796" s="245"/>
      <c r="F2796" s="245"/>
      <c r="G2796" s="245"/>
      <c r="H2796" s="245"/>
      <c r="I2796" s="245"/>
      <c r="J2796" s="245"/>
      <c r="K2796" s="245"/>
      <c r="L2796" s="246"/>
      <c r="M2796" s="245"/>
      <c r="N2796" s="245"/>
      <c r="O2796" s="245"/>
      <c r="P2796" s="245"/>
      <c r="Q2796" s="247"/>
      <c r="R2796" s="247"/>
      <c r="S2796" s="247"/>
      <c r="T2796" s="245"/>
      <c r="U2796" s="245"/>
      <c r="V2796" s="241"/>
      <c r="W2796" s="241"/>
      <c r="X2796" s="241"/>
    </row>
    <row r="2797" spans="1:24" ht="13.5" customHeight="1" x14ac:dyDescent="0.3">
      <c r="A2797" s="245"/>
      <c r="B2797" s="246"/>
      <c r="C2797" s="245"/>
      <c r="D2797" s="245"/>
      <c r="E2797" s="245"/>
      <c r="F2797" s="245"/>
      <c r="G2797" s="245"/>
      <c r="H2797" s="245"/>
      <c r="I2797" s="245"/>
      <c r="J2797" s="245"/>
      <c r="K2797" s="245"/>
      <c r="L2797" s="246"/>
      <c r="M2797" s="245"/>
      <c r="N2797" s="245"/>
      <c r="O2797" s="245"/>
      <c r="P2797" s="245"/>
      <c r="Q2797" s="247"/>
      <c r="R2797" s="247"/>
      <c r="S2797" s="247"/>
      <c r="T2797" s="245"/>
      <c r="U2797" s="245"/>
      <c r="V2797" s="241"/>
      <c r="W2797" s="241"/>
      <c r="X2797" s="241"/>
    </row>
    <row r="2798" spans="1:24" ht="13.5" customHeight="1" x14ac:dyDescent="0.3">
      <c r="A2798" s="245"/>
      <c r="B2798" s="246"/>
      <c r="C2798" s="245"/>
      <c r="D2798" s="245"/>
      <c r="E2798" s="245"/>
      <c r="F2798" s="245"/>
      <c r="G2798" s="245"/>
      <c r="H2798" s="245"/>
      <c r="I2798" s="245"/>
      <c r="J2798" s="245"/>
      <c r="K2798" s="245"/>
      <c r="L2798" s="246"/>
      <c r="M2798" s="245"/>
      <c r="N2798" s="245"/>
      <c r="O2798" s="245"/>
      <c r="P2798" s="245"/>
      <c r="Q2798" s="247"/>
      <c r="R2798" s="247"/>
      <c r="S2798" s="247"/>
      <c r="T2798" s="245"/>
      <c r="U2798" s="245"/>
      <c r="V2798" s="241"/>
      <c r="W2798" s="241"/>
      <c r="X2798" s="241"/>
    </row>
    <row r="2799" spans="1:24" ht="13.5" customHeight="1" x14ac:dyDescent="0.3">
      <c r="A2799" s="245"/>
      <c r="B2799" s="246"/>
      <c r="C2799" s="245"/>
      <c r="D2799" s="245"/>
      <c r="E2799" s="245"/>
      <c r="F2799" s="245"/>
      <c r="G2799" s="245"/>
      <c r="H2799" s="245"/>
      <c r="I2799" s="245"/>
      <c r="J2799" s="245"/>
      <c r="K2799" s="245"/>
      <c r="L2799" s="246"/>
      <c r="M2799" s="245"/>
      <c r="N2799" s="245"/>
      <c r="O2799" s="245"/>
      <c r="P2799" s="245"/>
      <c r="Q2799" s="247"/>
      <c r="R2799" s="247"/>
      <c r="S2799" s="247"/>
      <c r="T2799" s="245"/>
      <c r="U2799" s="245"/>
      <c r="V2799" s="241"/>
      <c r="W2799" s="241"/>
      <c r="X2799" s="241"/>
    </row>
    <row r="2800" spans="1:24" ht="13.5" customHeight="1" x14ac:dyDescent="0.3">
      <c r="A2800" s="245"/>
      <c r="B2800" s="246"/>
      <c r="C2800" s="245"/>
      <c r="D2800" s="245"/>
      <c r="E2800" s="245"/>
      <c r="F2800" s="245"/>
      <c r="G2800" s="245"/>
      <c r="H2800" s="245"/>
      <c r="I2800" s="245"/>
      <c r="J2800" s="245"/>
      <c r="K2800" s="245"/>
      <c r="L2800" s="246"/>
      <c r="M2800" s="245"/>
      <c r="N2800" s="245"/>
      <c r="O2800" s="245"/>
      <c r="P2800" s="245"/>
      <c r="Q2800" s="247"/>
      <c r="R2800" s="247"/>
      <c r="S2800" s="247"/>
      <c r="T2800" s="245"/>
      <c r="U2800" s="245"/>
      <c r="V2800" s="241"/>
      <c r="W2800" s="241"/>
      <c r="X2800" s="241"/>
    </row>
    <row r="2801" spans="1:24" ht="13.5" customHeight="1" x14ac:dyDescent="0.3">
      <c r="A2801" s="245"/>
      <c r="B2801" s="246"/>
      <c r="C2801" s="245"/>
      <c r="D2801" s="245"/>
      <c r="E2801" s="245"/>
      <c r="F2801" s="245"/>
      <c r="G2801" s="245"/>
      <c r="H2801" s="245"/>
      <c r="I2801" s="245"/>
      <c r="J2801" s="245"/>
      <c r="K2801" s="245"/>
      <c r="L2801" s="246"/>
      <c r="M2801" s="245"/>
      <c r="N2801" s="245"/>
      <c r="O2801" s="245"/>
      <c r="P2801" s="245"/>
      <c r="Q2801" s="247"/>
      <c r="R2801" s="247"/>
      <c r="S2801" s="247"/>
      <c r="T2801" s="245"/>
      <c r="U2801" s="245"/>
      <c r="V2801" s="241"/>
      <c r="W2801" s="241"/>
      <c r="X2801" s="241"/>
    </row>
    <row r="2802" spans="1:24" ht="13.5" customHeight="1" x14ac:dyDescent="0.3">
      <c r="A2802" s="245"/>
      <c r="B2802" s="246"/>
      <c r="C2802" s="245"/>
      <c r="D2802" s="245"/>
      <c r="E2802" s="245"/>
      <c r="F2802" s="245"/>
      <c r="G2802" s="245"/>
      <c r="H2802" s="245"/>
      <c r="I2802" s="245"/>
      <c r="J2802" s="245"/>
      <c r="K2802" s="245"/>
      <c r="L2802" s="246"/>
      <c r="M2802" s="245"/>
      <c r="N2802" s="245"/>
      <c r="O2802" s="245"/>
      <c r="P2802" s="245"/>
      <c r="Q2802" s="247"/>
      <c r="R2802" s="247"/>
      <c r="S2802" s="247"/>
      <c r="T2802" s="245"/>
      <c r="U2802" s="245"/>
      <c r="V2802" s="241"/>
      <c r="W2802" s="241"/>
      <c r="X2802" s="241"/>
    </row>
    <row r="2803" spans="1:24" ht="13.5" customHeight="1" x14ac:dyDescent="0.3">
      <c r="A2803" s="245"/>
      <c r="B2803" s="246"/>
      <c r="C2803" s="245"/>
      <c r="D2803" s="245"/>
      <c r="E2803" s="245"/>
      <c r="F2803" s="245"/>
      <c r="G2803" s="245"/>
      <c r="H2803" s="245"/>
      <c r="I2803" s="245"/>
      <c r="J2803" s="245"/>
      <c r="K2803" s="245"/>
      <c r="L2803" s="246"/>
      <c r="M2803" s="245"/>
      <c r="N2803" s="245"/>
      <c r="O2803" s="245"/>
      <c r="P2803" s="245"/>
      <c r="Q2803" s="247"/>
      <c r="R2803" s="247"/>
      <c r="S2803" s="247"/>
      <c r="T2803" s="245"/>
      <c r="U2803" s="245"/>
      <c r="V2803" s="241"/>
      <c r="W2803" s="241"/>
      <c r="X2803" s="241"/>
    </row>
    <row r="2804" spans="1:24" ht="13.5" customHeight="1" x14ac:dyDescent="0.3">
      <c r="A2804" s="245"/>
      <c r="B2804" s="246"/>
      <c r="C2804" s="245"/>
      <c r="D2804" s="245"/>
      <c r="E2804" s="245"/>
      <c r="F2804" s="245"/>
      <c r="G2804" s="245"/>
      <c r="H2804" s="245"/>
      <c r="I2804" s="245"/>
      <c r="J2804" s="245"/>
      <c r="K2804" s="245"/>
      <c r="L2804" s="246"/>
      <c r="M2804" s="245"/>
      <c r="N2804" s="245"/>
      <c r="O2804" s="245"/>
      <c r="P2804" s="245"/>
      <c r="Q2804" s="247"/>
      <c r="R2804" s="247"/>
      <c r="S2804" s="247"/>
      <c r="T2804" s="245"/>
      <c r="U2804" s="245"/>
      <c r="V2804" s="241"/>
      <c r="W2804" s="241"/>
      <c r="X2804" s="241"/>
    </row>
    <row r="2805" spans="1:24" ht="13.5" customHeight="1" x14ac:dyDescent="0.3">
      <c r="A2805" s="245"/>
      <c r="B2805" s="246"/>
      <c r="C2805" s="245"/>
      <c r="D2805" s="245"/>
      <c r="E2805" s="245"/>
      <c r="F2805" s="245"/>
      <c r="G2805" s="245"/>
      <c r="H2805" s="245"/>
      <c r="I2805" s="245"/>
      <c r="J2805" s="245"/>
      <c r="K2805" s="245"/>
      <c r="L2805" s="246"/>
      <c r="M2805" s="245"/>
      <c r="N2805" s="245"/>
      <c r="O2805" s="245"/>
      <c r="P2805" s="245"/>
      <c r="Q2805" s="247"/>
      <c r="R2805" s="247"/>
      <c r="S2805" s="247"/>
      <c r="T2805" s="245"/>
      <c r="U2805" s="245"/>
      <c r="V2805" s="241"/>
      <c r="W2805" s="241"/>
      <c r="X2805" s="241"/>
    </row>
    <row r="2806" spans="1:24" ht="13.5" customHeight="1" x14ac:dyDescent="0.3">
      <c r="A2806" s="245"/>
      <c r="B2806" s="246"/>
      <c r="C2806" s="245"/>
      <c r="D2806" s="245"/>
      <c r="E2806" s="245"/>
      <c r="F2806" s="245"/>
      <c r="G2806" s="245"/>
      <c r="H2806" s="245"/>
      <c r="I2806" s="245"/>
      <c r="J2806" s="245"/>
      <c r="K2806" s="245"/>
      <c r="L2806" s="246"/>
      <c r="M2806" s="245"/>
      <c r="N2806" s="245"/>
      <c r="O2806" s="245"/>
      <c r="P2806" s="245"/>
      <c r="Q2806" s="247"/>
      <c r="R2806" s="247"/>
      <c r="S2806" s="247"/>
      <c r="T2806" s="245"/>
      <c r="U2806" s="245"/>
      <c r="V2806" s="241"/>
      <c r="W2806" s="241"/>
      <c r="X2806" s="241"/>
    </row>
    <row r="2807" spans="1:24" ht="13.5" customHeight="1" x14ac:dyDescent="0.3">
      <c r="A2807" s="245"/>
      <c r="B2807" s="246"/>
      <c r="C2807" s="245"/>
      <c r="D2807" s="245"/>
      <c r="E2807" s="245"/>
      <c r="F2807" s="245"/>
      <c r="G2807" s="245"/>
      <c r="H2807" s="245"/>
      <c r="I2807" s="245"/>
      <c r="J2807" s="245"/>
      <c r="K2807" s="245"/>
      <c r="L2807" s="246"/>
      <c r="M2807" s="245"/>
      <c r="N2807" s="245"/>
      <c r="O2807" s="245"/>
      <c r="P2807" s="245"/>
      <c r="Q2807" s="247"/>
      <c r="R2807" s="247"/>
      <c r="S2807" s="247"/>
      <c r="T2807" s="245"/>
      <c r="U2807" s="245"/>
      <c r="V2807" s="241"/>
      <c r="W2807" s="241"/>
      <c r="X2807" s="241"/>
    </row>
    <row r="2808" spans="1:24" ht="13.5" customHeight="1" x14ac:dyDescent="0.3">
      <c r="A2808" s="245"/>
      <c r="B2808" s="246"/>
      <c r="C2808" s="245"/>
      <c r="D2808" s="245"/>
      <c r="E2808" s="245"/>
      <c r="F2808" s="245"/>
      <c r="G2808" s="245"/>
      <c r="H2808" s="245"/>
      <c r="I2808" s="245"/>
      <c r="J2808" s="245"/>
      <c r="K2808" s="245"/>
      <c r="L2808" s="246"/>
      <c r="M2808" s="245"/>
      <c r="N2808" s="245"/>
      <c r="O2808" s="245"/>
      <c r="P2808" s="245"/>
      <c r="Q2808" s="247"/>
      <c r="R2808" s="247"/>
      <c r="S2808" s="247"/>
      <c r="T2808" s="245"/>
      <c r="U2808" s="245"/>
      <c r="V2808" s="241"/>
      <c r="W2808" s="241"/>
      <c r="X2808" s="241"/>
    </row>
    <row r="2809" spans="1:24" ht="13.5" customHeight="1" x14ac:dyDescent="0.3">
      <c r="A2809" s="245"/>
      <c r="B2809" s="246"/>
      <c r="C2809" s="245"/>
      <c r="D2809" s="245"/>
      <c r="E2809" s="245"/>
      <c r="F2809" s="245"/>
      <c r="G2809" s="245"/>
      <c r="H2809" s="245"/>
      <c r="I2809" s="245"/>
      <c r="J2809" s="245"/>
      <c r="K2809" s="245"/>
      <c r="L2809" s="246"/>
      <c r="M2809" s="245"/>
      <c r="N2809" s="245"/>
      <c r="O2809" s="245"/>
      <c r="P2809" s="245"/>
      <c r="Q2809" s="247"/>
      <c r="R2809" s="247"/>
      <c r="S2809" s="247"/>
      <c r="T2809" s="245"/>
      <c r="U2809" s="245"/>
      <c r="V2809" s="241"/>
      <c r="W2809" s="241"/>
      <c r="X2809" s="241"/>
    </row>
    <row r="2810" spans="1:24" ht="13.5" customHeight="1" x14ac:dyDescent="0.3">
      <c r="A2810" s="245"/>
      <c r="B2810" s="246"/>
      <c r="C2810" s="245"/>
      <c r="D2810" s="245"/>
      <c r="E2810" s="245"/>
      <c r="F2810" s="245"/>
      <c r="G2810" s="245"/>
      <c r="H2810" s="245"/>
      <c r="I2810" s="245"/>
      <c r="J2810" s="245"/>
      <c r="K2810" s="245"/>
      <c r="L2810" s="246"/>
      <c r="M2810" s="245"/>
      <c r="N2810" s="245"/>
      <c r="O2810" s="245"/>
      <c r="P2810" s="245"/>
      <c r="Q2810" s="247"/>
      <c r="R2810" s="247"/>
      <c r="S2810" s="247"/>
      <c r="T2810" s="245"/>
      <c r="U2810" s="245"/>
      <c r="V2810" s="241"/>
      <c r="W2810" s="241"/>
      <c r="X2810" s="241"/>
    </row>
    <row r="2811" spans="1:24" ht="13.5" customHeight="1" x14ac:dyDescent="0.3">
      <c r="A2811" s="245"/>
      <c r="B2811" s="246"/>
      <c r="C2811" s="245"/>
      <c r="D2811" s="245"/>
      <c r="E2811" s="245"/>
      <c r="F2811" s="245"/>
      <c r="G2811" s="245"/>
      <c r="H2811" s="245"/>
      <c r="I2811" s="245"/>
      <c r="J2811" s="245"/>
      <c r="K2811" s="245"/>
      <c r="L2811" s="246"/>
      <c r="M2811" s="245"/>
      <c r="N2811" s="245"/>
      <c r="O2811" s="245"/>
      <c r="P2811" s="245"/>
      <c r="Q2811" s="247"/>
      <c r="R2811" s="247"/>
      <c r="S2811" s="247"/>
      <c r="T2811" s="245"/>
      <c r="U2811" s="245"/>
      <c r="V2811" s="241"/>
      <c r="W2811" s="241"/>
      <c r="X2811" s="241"/>
    </row>
    <row r="2812" spans="1:24" ht="13.5" customHeight="1" x14ac:dyDescent="0.3">
      <c r="A2812" s="245"/>
      <c r="B2812" s="246"/>
      <c r="C2812" s="245"/>
      <c r="D2812" s="245"/>
      <c r="E2812" s="245"/>
      <c r="F2812" s="245"/>
      <c r="G2812" s="245"/>
      <c r="H2812" s="245"/>
      <c r="I2812" s="245"/>
      <c r="J2812" s="245"/>
      <c r="K2812" s="245"/>
      <c r="L2812" s="246"/>
      <c r="M2812" s="245"/>
      <c r="N2812" s="245"/>
      <c r="O2812" s="245"/>
      <c r="P2812" s="245"/>
      <c r="Q2812" s="247"/>
      <c r="R2812" s="247"/>
      <c r="S2812" s="247"/>
      <c r="T2812" s="245"/>
      <c r="U2812" s="245"/>
      <c r="V2812" s="241"/>
      <c r="W2812" s="241"/>
      <c r="X2812" s="241"/>
    </row>
    <row r="2813" spans="1:24" ht="13.5" customHeight="1" x14ac:dyDescent="0.3">
      <c r="A2813" s="245"/>
      <c r="B2813" s="246"/>
      <c r="C2813" s="245"/>
      <c r="D2813" s="245"/>
      <c r="E2813" s="245"/>
      <c r="F2813" s="245"/>
      <c r="G2813" s="245"/>
      <c r="H2813" s="245"/>
      <c r="I2813" s="245"/>
      <c r="J2813" s="245"/>
      <c r="K2813" s="245"/>
      <c r="L2813" s="246"/>
      <c r="M2813" s="245"/>
      <c r="N2813" s="245"/>
      <c r="O2813" s="245"/>
      <c r="P2813" s="245"/>
      <c r="Q2813" s="247"/>
      <c r="R2813" s="247"/>
      <c r="S2813" s="247"/>
      <c r="T2813" s="245"/>
      <c r="U2813" s="245"/>
      <c r="V2813" s="241"/>
      <c r="W2813" s="241"/>
      <c r="X2813" s="241"/>
    </row>
    <row r="2814" spans="1:24" ht="13.5" customHeight="1" x14ac:dyDescent="0.3">
      <c r="A2814" s="245"/>
      <c r="B2814" s="246"/>
      <c r="C2814" s="245"/>
      <c r="D2814" s="245"/>
      <c r="E2814" s="245"/>
      <c r="F2814" s="245"/>
      <c r="G2814" s="245"/>
      <c r="H2814" s="245"/>
      <c r="I2814" s="245"/>
      <c r="J2814" s="245"/>
      <c r="K2814" s="245"/>
      <c r="L2814" s="246"/>
      <c r="M2814" s="245"/>
      <c r="N2814" s="245"/>
      <c r="O2814" s="245"/>
      <c r="P2814" s="245"/>
      <c r="Q2814" s="247"/>
      <c r="R2814" s="247"/>
      <c r="S2814" s="247"/>
      <c r="T2814" s="245"/>
      <c r="U2814" s="245"/>
      <c r="V2814" s="241"/>
      <c r="W2814" s="241"/>
      <c r="X2814" s="241"/>
    </row>
    <row r="2815" spans="1:24" ht="13.5" customHeight="1" x14ac:dyDescent="0.3">
      <c r="A2815" s="245"/>
      <c r="B2815" s="246"/>
      <c r="C2815" s="245"/>
      <c r="D2815" s="245"/>
      <c r="E2815" s="245"/>
      <c r="F2815" s="245"/>
      <c r="G2815" s="245"/>
      <c r="H2815" s="245"/>
      <c r="I2815" s="245"/>
      <c r="J2815" s="245"/>
      <c r="K2815" s="245"/>
      <c r="L2815" s="246"/>
      <c r="M2815" s="245"/>
      <c r="N2815" s="245"/>
      <c r="O2815" s="245"/>
      <c r="P2815" s="245"/>
      <c r="Q2815" s="247"/>
      <c r="R2815" s="247"/>
      <c r="S2815" s="247"/>
      <c r="T2815" s="245"/>
      <c r="U2815" s="245"/>
      <c r="V2815" s="241"/>
      <c r="W2815" s="241"/>
      <c r="X2815" s="241"/>
    </row>
    <row r="2816" spans="1:24" ht="13.5" customHeight="1" x14ac:dyDescent="0.3">
      <c r="A2816" s="245"/>
      <c r="B2816" s="246"/>
      <c r="C2816" s="245"/>
      <c r="D2816" s="245"/>
      <c r="E2816" s="245"/>
      <c r="F2816" s="245"/>
      <c r="G2816" s="245"/>
      <c r="H2816" s="245"/>
      <c r="I2816" s="245"/>
      <c r="J2816" s="245"/>
      <c r="K2816" s="245"/>
      <c r="L2816" s="246"/>
      <c r="M2816" s="245"/>
      <c r="N2816" s="245"/>
      <c r="O2816" s="245"/>
      <c r="P2816" s="245"/>
      <c r="Q2816" s="247"/>
      <c r="R2816" s="247"/>
      <c r="S2816" s="247"/>
      <c r="T2816" s="245"/>
      <c r="U2816" s="245"/>
      <c r="V2816" s="241"/>
      <c r="W2816" s="241"/>
      <c r="X2816" s="241"/>
    </row>
    <row r="2817" spans="1:24" ht="13.5" customHeight="1" x14ac:dyDescent="0.3">
      <c r="A2817" s="245"/>
      <c r="B2817" s="246"/>
      <c r="C2817" s="245"/>
      <c r="D2817" s="245"/>
      <c r="E2817" s="245"/>
      <c r="F2817" s="245"/>
      <c r="G2817" s="245"/>
      <c r="H2817" s="245"/>
      <c r="I2817" s="245"/>
      <c r="J2817" s="245"/>
      <c r="K2817" s="245"/>
      <c r="L2817" s="246"/>
      <c r="M2817" s="245"/>
      <c r="N2817" s="245"/>
      <c r="O2817" s="245"/>
      <c r="P2817" s="245"/>
      <c r="Q2817" s="247"/>
      <c r="R2817" s="247"/>
      <c r="S2817" s="247"/>
      <c r="T2817" s="245"/>
      <c r="U2817" s="245"/>
      <c r="V2817" s="241"/>
      <c r="W2817" s="241"/>
      <c r="X2817" s="241"/>
    </row>
    <row r="2818" spans="1:24" ht="13.5" customHeight="1" x14ac:dyDescent="0.3">
      <c r="A2818" s="245"/>
      <c r="B2818" s="246"/>
      <c r="C2818" s="245"/>
      <c r="D2818" s="245"/>
      <c r="E2818" s="245"/>
      <c r="F2818" s="245"/>
      <c r="G2818" s="245"/>
      <c r="H2818" s="245"/>
      <c r="I2818" s="245"/>
      <c r="J2818" s="245"/>
      <c r="K2818" s="245"/>
      <c r="L2818" s="246"/>
      <c r="M2818" s="245"/>
      <c r="N2818" s="245"/>
      <c r="O2818" s="245"/>
      <c r="P2818" s="245"/>
      <c r="Q2818" s="247"/>
      <c r="R2818" s="247"/>
      <c r="S2818" s="247"/>
      <c r="T2818" s="245"/>
      <c r="U2818" s="245"/>
      <c r="V2818" s="241"/>
      <c r="W2818" s="241"/>
      <c r="X2818" s="241"/>
    </row>
    <row r="2819" spans="1:24" ht="13.5" customHeight="1" x14ac:dyDescent="0.3">
      <c r="A2819" s="245"/>
      <c r="B2819" s="246"/>
      <c r="C2819" s="245"/>
      <c r="D2819" s="245"/>
      <c r="E2819" s="245"/>
      <c r="F2819" s="245"/>
      <c r="G2819" s="245"/>
      <c r="H2819" s="245"/>
      <c r="I2819" s="245"/>
      <c r="J2819" s="245"/>
      <c r="K2819" s="245"/>
      <c r="L2819" s="246"/>
      <c r="M2819" s="245"/>
      <c r="N2819" s="245"/>
      <c r="O2819" s="245"/>
      <c r="P2819" s="245"/>
      <c r="Q2819" s="247"/>
      <c r="R2819" s="247"/>
      <c r="S2819" s="247"/>
      <c r="T2819" s="245"/>
      <c r="U2819" s="245"/>
      <c r="V2819" s="241"/>
      <c r="W2819" s="241"/>
      <c r="X2819" s="241"/>
    </row>
    <row r="2820" spans="1:24" ht="13.5" customHeight="1" x14ac:dyDescent="0.3">
      <c r="A2820" s="245"/>
      <c r="B2820" s="246"/>
      <c r="C2820" s="245"/>
      <c r="D2820" s="245"/>
      <c r="E2820" s="245"/>
      <c r="F2820" s="245"/>
      <c r="G2820" s="245"/>
      <c r="H2820" s="245"/>
      <c r="I2820" s="245"/>
      <c r="J2820" s="245"/>
      <c r="K2820" s="245"/>
      <c r="L2820" s="246"/>
      <c r="M2820" s="245"/>
      <c r="N2820" s="245"/>
      <c r="O2820" s="245"/>
      <c r="P2820" s="245"/>
      <c r="Q2820" s="247"/>
      <c r="R2820" s="247"/>
      <c r="S2820" s="247"/>
      <c r="T2820" s="245"/>
      <c r="U2820" s="245"/>
      <c r="V2820" s="241"/>
      <c r="W2820" s="241"/>
      <c r="X2820" s="241"/>
    </row>
    <row r="2821" spans="1:24" ht="13.5" customHeight="1" x14ac:dyDescent="0.3">
      <c r="A2821" s="245"/>
      <c r="B2821" s="246"/>
      <c r="C2821" s="245"/>
      <c r="D2821" s="245"/>
      <c r="E2821" s="245"/>
      <c r="F2821" s="245"/>
      <c r="G2821" s="245"/>
      <c r="H2821" s="245"/>
      <c r="I2821" s="245"/>
      <c r="J2821" s="245"/>
      <c r="K2821" s="245"/>
      <c r="L2821" s="246"/>
      <c r="M2821" s="245"/>
      <c r="N2821" s="245"/>
      <c r="O2821" s="245"/>
      <c r="P2821" s="245"/>
      <c r="Q2821" s="247"/>
      <c r="R2821" s="247"/>
      <c r="S2821" s="247"/>
      <c r="T2821" s="245"/>
      <c r="U2821" s="245"/>
      <c r="V2821" s="241"/>
      <c r="W2821" s="241"/>
      <c r="X2821" s="241"/>
    </row>
    <row r="2822" spans="1:24" ht="13.5" customHeight="1" x14ac:dyDescent="0.3">
      <c r="A2822" s="245"/>
      <c r="B2822" s="246"/>
      <c r="C2822" s="245"/>
      <c r="D2822" s="245"/>
      <c r="E2822" s="245"/>
      <c r="F2822" s="245"/>
      <c r="G2822" s="245"/>
      <c r="H2822" s="245"/>
      <c r="I2822" s="245"/>
      <c r="J2822" s="245"/>
      <c r="K2822" s="245"/>
      <c r="L2822" s="246"/>
      <c r="M2822" s="245"/>
      <c r="N2822" s="245"/>
      <c r="O2822" s="245"/>
      <c r="P2822" s="245"/>
      <c r="Q2822" s="247"/>
      <c r="R2822" s="247"/>
      <c r="S2822" s="247"/>
      <c r="T2822" s="245"/>
      <c r="U2822" s="245"/>
      <c r="V2822" s="241"/>
      <c r="W2822" s="241"/>
      <c r="X2822" s="241"/>
    </row>
    <row r="2823" spans="1:24" ht="13.5" customHeight="1" x14ac:dyDescent="0.3">
      <c r="A2823" s="245"/>
      <c r="B2823" s="246"/>
      <c r="C2823" s="245"/>
      <c r="D2823" s="245"/>
      <c r="E2823" s="245"/>
      <c r="F2823" s="245"/>
      <c r="G2823" s="245"/>
      <c r="H2823" s="245"/>
      <c r="I2823" s="245"/>
      <c r="J2823" s="245"/>
      <c r="K2823" s="245"/>
      <c r="L2823" s="246"/>
      <c r="M2823" s="245"/>
      <c r="N2823" s="245"/>
      <c r="O2823" s="245"/>
      <c r="P2823" s="245"/>
      <c r="Q2823" s="247"/>
      <c r="R2823" s="247"/>
      <c r="S2823" s="247"/>
      <c r="T2823" s="245"/>
      <c r="U2823" s="245"/>
      <c r="V2823" s="241"/>
      <c r="W2823" s="241"/>
      <c r="X2823" s="241"/>
    </row>
    <row r="2824" spans="1:24" ht="13.5" customHeight="1" x14ac:dyDescent="0.3">
      <c r="A2824" s="245"/>
      <c r="B2824" s="246"/>
      <c r="C2824" s="245"/>
      <c r="D2824" s="245"/>
      <c r="E2824" s="245"/>
      <c r="F2824" s="245"/>
      <c r="G2824" s="245"/>
      <c r="H2824" s="245"/>
      <c r="I2824" s="245"/>
      <c r="J2824" s="245"/>
      <c r="K2824" s="245"/>
      <c r="L2824" s="246"/>
      <c r="M2824" s="245"/>
      <c r="N2824" s="245"/>
      <c r="O2824" s="245"/>
      <c r="P2824" s="245"/>
      <c r="Q2824" s="247"/>
      <c r="R2824" s="247"/>
      <c r="S2824" s="247"/>
      <c r="T2824" s="245"/>
      <c r="U2824" s="245"/>
      <c r="V2824" s="241"/>
      <c r="W2824" s="241"/>
      <c r="X2824" s="241"/>
    </row>
    <row r="2825" spans="1:24" ht="13.5" customHeight="1" x14ac:dyDescent="0.3">
      <c r="A2825" s="245"/>
      <c r="B2825" s="246"/>
      <c r="C2825" s="245"/>
      <c r="D2825" s="245"/>
      <c r="E2825" s="245"/>
      <c r="F2825" s="245"/>
      <c r="G2825" s="245"/>
      <c r="H2825" s="245"/>
      <c r="I2825" s="245"/>
      <c r="J2825" s="245"/>
      <c r="K2825" s="245"/>
      <c r="L2825" s="246"/>
      <c r="M2825" s="245"/>
      <c r="N2825" s="245"/>
      <c r="O2825" s="245"/>
      <c r="P2825" s="245"/>
      <c r="Q2825" s="247"/>
      <c r="R2825" s="247"/>
      <c r="S2825" s="247"/>
      <c r="T2825" s="245"/>
      <c r="U2825" s="245"/>
      <c r="V2825" s="241"/>
      <c r="W2825" s="241"/>
      <c r="X2825" s="241"/>
    </row>
    <row r="2826" spans="1:24" ht="13.5" customHeight="1" x14ac:dyDescent="0.3">
      <c r="A2826" s="245"/>
      <c r="B2826" s="246"/>
      <c r="C2826" s="245"/>
      <c r="D2826" s="245"/>
      <c r="E2826" s="245"/>
      <c r="F2826" s="245"/>
      <c r="G2826" s="245"/>
      <c r="H2826" s="245"/>
      <c r="I2826" s="245"/>
      <c r="J2826" s="245"/>
      <c r="K2826" s="245"/>
      <c r="L2826" s="246"/>
      <c r="M2826" s="245"/>
      <c r="N2826" s="245"/>
      <c r="O2826" s="245"/>
      <c r="P2826" s="245"/>
      <c r="Q2826" s="247"/>
      <c r="R2826" s="247"/>
      <c r="S2826" s="247"/>
      <c r="T2826" s="245"/>
      <c r="U2826" s="245"/>
      <c r="V2826" s="241"/>
      <c r="W2826" s="241"/>
      <c r="X2826" s="241"/>
    </row>
    <row r="2827" spans="1:24" ht="13.5" customHeight="1" x14ac:dyDescent="0.3">
      <c r="A2827" s="245"/>
      <c r="B2827" s="246"/>
      <c r="C2827" s="245"/>
      <c r="D2827" s="245"/>
      <c r="E2827" s="245"/>
      <c r="F2827" s="245"/>
      <c r="G2827" s="245"/>
      <c r="H2827" s="245"/>
      <c r="I2827" s="245"/>
      <c r="J2827" s="245"/>
      <c r="K2827" s="245"/>
      <c r="L2827" s="246"/>
      <c r="M2827" s="245"/>
      <c r="N2827" s="245"/>
      <c r="O2827" s="245"/>
      <c r="P2827" s="245"/>
      <c r="Q2827" s="247"/>
      <c r="R2827" s="247"/>
      <c r="S2827" s="247"/>
      <c r="T2827" s="245"/>
      <c r="U2827" s="245"/>
      <c r="V2827" s="241"/>
      <c r="W2827" s="241"/>
      <c r="X2827" s="241"/>
    </row>
    <row r="2828" spans="1:24" ht="13.5" customHeight="1" x14ac:dyDescent="0.3">
      <c r="A2828" s="245"/>
      <c r="B2828" s="246"/>
      <c r="C2828" s="245"/>
      <c r="D2828" s="245"/>
      <c r="E2828" s="245"/>
      <c r="F2828" s="245"/>
      <c r="G2828" s="245"/>
      <c r="H2828" s="245"/>
      <c r="I2828" s="245"/>
      <c r="J2828" s="245"/>
      <c r="K2828" s="245"/>
      <c r="L2828" s="246"/>
      <c r="M2828" s="245"/>
      <c r="N2828" s="245"/>
      <c r="O2828" s="245"/>
      <c r="P2828" s="245"/>
      <c r="Q2828" s="247"/>
      <c r="R2828" s="247"/>
      <c r="S2828" s="247"/>
      <c r="T2828" s="245"/>
      <c r="U2828" s="245"/>
      <c r="V2828" s="241"/>
      <c r="W2828" s="241"/>
      <c r="X2828" s="241"/>
    </row>
    <row r="2829" spans="1:24" ht="13.5" customHeight="1" x14ac:dyDescent="0.3">
      <c r="A2829" s="245"/>
      <c r="B2829" s="246"/>
      <c r="C2829" s="245"/>
      <c r="D2829" s="245"/>
      <c r="E2829" s="245"/>
      <c r="F2829" s="245"/>
      <c r="G2829" s="245"/>
      <c r="H2829" s="245"/>
      <c r="I2829" s="245"/>
      <c r="J2829" s="245"/>
      <c r="K2829" s="245"/>
      <c r="L2829" s="246"/>
      <c r="M2829" s="245"/>
      <c r="N2829" s="245"/>
      <c r="O2829" s="245"/>
      <c r="P2829" s="245"/>
      <c r="Q2829" s="247"/>
      <c r="R2829" s="247"/>
      <c r="S2829" s="247"/>
      <c r="T2829" s="245"/>
      <c r="U2829" s="245"/>
      <c r="V2829" s="241"/>
      <c r="W2829" s="241"/>
      <c r="X2829" s="241"/>
    </row>
    <row r="2830" spans="1:24" ht="13.5" customHeight="1" x14ac:dyDescent="0.3">
      <c r="A2830" s="245"/>
      <c r="B2830" s="246"/>
      <c r="C2830" s="245"/>
      <c r="D2830" s="245"/>
      <c r="E2830" s="245"/>
      <c r="F2830" s="245"/>
      <c r="G2830" s="245"/>
      <c r="H2830" s="245"/>
      <c r="I2830" s="245"/>
      <c r="J2830" s="245"/>
      <c r="K2830" s="245"/>
      <c r="L2830" s="246"/>
      <c r="M2830" s="245"/>
      <c r="N2830" s="245"/>
      <c r="O2830" s="245"/>
      <c r="P2830" s="245"/>
      <c r="Q2830" s="247"/>
      <c r="R2830" s="247"/>
      <c r="S2830" s="247"/>
      <c r="T2830" s="245"/>
      <c r="U2830" s="245"/>
      <c r="V2830" s="241"/>
      <c r="W2830" s="241"/>
      <c r="X2830" s="241"/>
    </row>
    <row r="2831" spans="1:24" ht="13.5" customHeight="1" x14ac:dyDescent="0.3">
      <c r="A2831" s="245"/>
      <c r="B2831" s="246"/>
      <c r="C2831" s="245"/>
      <c r="D2831" s="245"/>
      <c r="E2831" s="245"/>
      <c r="F2831" s="245"/>
      <c r="G2831" s="245"/>
      <c r="H2831" s="245"/>
      <c r="I2831" s="245"/>
      <c r="J2831" s="245"/>
      <c r="K2831" s="245"/>
      <c r="L2831" s="246"/>
      <c r="M2831" s="245"/>
      <c r="N2831" s="245"/>
      <c r="O2831" s="245"/>
      <c r="P2831" s="245"/>
      <c r="Q2831" s="247"/>
      <c r="R2831" s="247"/>
      <c r="S2831" s="247"/>
      <c r="T2831" s="245"/>
      <c r="U2831" s="245"/>
      <c r="V2831" s="241"/>
      <c r="W2831" s="241"/>
      <c r="X2831" s="241"/>
    </row>
    <row r="2832" spans="1:24" ht="13.5" customHeight="1" x14ac:dyDescent="0.3">
      <c r="A2832" s="245"/>
      <c r="B2832" s="246"/>
      <c r="C2832" s="245"/>
      <c r="D2832" s="245"/>
      <c r="E2832" s="245"/>
      <c r="F2832" s="245"/>
      <c r="G2832" s="245"/>
      <c r="H2832" s="245"/>
      <c r="I2832" s="245"/>
      <c r="J2832" s="245"/>
      <c r="K2832" s="245"/>
      <c r="L2832" s="246"/>
      <c r="M2832" s="245"/>
      <c r="N2832" s="245"/>
      <c r="O2832" s="245"/>
      <c r="P2832" s="245"/>
      <c r="Q2832" s="247"/>
      <c r="R2832" s="247"/>
      <c r="S2832" s="247"/>
      <c r="T2832" s="245"/>
      <c r="U2832" s="245"/>
      <c r="V2832" s="241"/>
      <c r="W2832" s="241"/>
      <c r="X2832" s="241"/>
    </row>
    <row r="2833" spans="1:24" ht="13.5" customHeight="1" x14ac:dyDescent="0.3">
      <c r="A2833" s="245"/>
      <c r="B2833" s="246"/>
      <c r="C2833" s="245"/>
      <c r="D2833" s="245"/>
      <c r="E2833" s="245"/>
      <c r="F2833" s="245"/>
      <c r="G2833" s="245"/>
      <c r="H2833" s="245"/>
      <c r="I2833" s="245"/>
      <c r="J2833" s="245"/>
      <c r="K2833" s="245"/>
      <c r="L2833" s="246"/>
      <c r="M2833" s="245"/>
      <c r="N2833" s="245"/>
      <c r="O2833" s="245"/>
      <c r="P2833" s="245"/>
      <c r="Q2833" s="247"/>
      <c r="R2833" s="247"/>
      <c r="S2833" s="247"/>
      <c r="T2833" s="245"/>
      <c r="U2833" s="245"/>
      <c r="V2833" s="241"/>
      <c r="W2833" s="241"/>
      <c r="X2833" s="241"/>
    </row>
    <row r="2834" spans="1:24" ht="13.5" customHeight="1" x14ac:dyDescent="0.3">
      <c r="A2834" s="245"/>
      <c r="B2834" s="246"/>
      <c r="C2834" s="245"/>
      <c r="D2834" s="245"/>
      <c r="E2834" s="245"/>
      <c r="F2834" s="245"/>
      <c r="G2834" s="245"/>
      <c r="H2834" s="245"/>
      <c r="I2834" s="245"/>
      <c r="J2834" s="245"/>
      <c r="K2834" s="245"/>
      <c r="L2834" s="246"/>
      <c r="M2834" s="245"/>
      <c r="N2834" s="245"/>
      <c r="O2834" s="245"/>
      <c r="P2834" s="245"/>
      <c r="Q2834" s="247"/>
      <c r="R2834" s="247"/>
      <c r="S2834" s="247"/>
      <c r="T2834" s="245"/>
      <c r="U2834" s="245"/>
      <c r="V2834" s="241"/>
      <c r="W2834" s="241"/>
      <c r="X2834" s="241"/>
    </row>
    <row r="2835" spans="1:24" ht="13.5" customHeight="1" x14ac:dyDescent="0.3">
      <c r="A2835" s="245"/>
      <c r="B2835" s="246"/>
      <c r="C2835" s="245"/>
      <c r="D2835" s="245"/>
      <c r="E2835" s="245"/>
      <c r="F2835" s="245"/>
      <c r="G2835" s="245"/>
      <c r="H2835" s="245"/>
      <c r="I2835" s="245"/>
      <c r="J2835" s="245"/>
      <c r="K2835" s="245"/>
      <c r="L2835" s="246"/>
      <c r="M2835" s="245"/>
      <c r="N2835" s="245"/>
      <c r="O2835" s="245"/>
      <c r="P2835" s="245"/>
      <c r="Q2835" s="247"/>
      <c r="R2835" s="247"/>
      <c r="S2835" s="247"/>
      <c r="T2835" s="245"/>
      <c r="U2835" s="245"/>
      <c r="V2835" s="241"/>
      <c r="W2835" s="241"/>
      <c r="X2835" s="241"/>
    </row>
    <row r="2836" spans="1:24" ht="13.5" customHeight="1" x14ac:dyDescent="0.3">
      <c r="A2836" s="245"/>
      <c r="B2836" s="246"/>
      <c r="C2836" s="245"/>
      <c r="D2836" s="245"/>
      <c r="E2836" s="245"/>
      <c r="F2836" s="245"/>
      <c r="G2836" s="245"/>
      <c r="H2836" s="245"/>
      <c r="I2836" s="245"/>
      <c r="J2836" s="245"/>
      <c r="K2836" s="245"/>
      <c r="L2836" s="246"/>
      <c r="M2836" s="245"/>
      <c r="N2836" s="245"/>
      <c r="O2836" s="245"/>
      <c r="P2836" s="245"/>
      <c r="Q2836" s="247"/>
      <c r="R2836" s="247"/>
      <c r="S2836" s="247"/>
      <c r="T2836" s="245"/>
      <c r="U2836" s="245"/>
      <c r="V2836" s="241"/>
      <c r="W2836" s="241"/>
      <c r="X2836" s="241"/>
    </row>
    <row r="2837" spans="1:24" ht="13.5" customHeight="1" x14ac:dyDescent="0.3">
      <c r="A2837" s="245"/>
      <c r="B2837" s="246"/>
      <c r="C2837" s="245"/>
      <c r="D2837" s="245"/>
      <c r="E2837" s="245"/>
      <c r="F2837" s="245"/>
      <c r="G2837" s="245"/>
      <c r="H2837" s="245"/>
      <c r="I2837" s="245"/>
      <c r="J2837" s="245"/>
      <c r="K2837" s="245"/>
      <c r="L2837" s="246"/>
      <c r="M2837" s="245"/>
      <c r="N2837" s="245"/>
      <c r="O2837" s="245"/>
      <c r="P2837" s="245"/>
      <c r="Q2837" s="247"/>
      <c r="R2837" s="247"/>
      <c r="S2837" s="247"/>
      <c r="T2837" s="245"/>
      <c r="U2837" s="245"/>
      <c r="V2837" s="241"/>
      <c r="W2837" s="241"/>
      <c r="X2837" s="241"/>
    </row>
    <row r="2838" spans="1:24" ht="13.5" customHeight="1" x14ac:dyDescent="0.3">
      <c r="A2838" s="245"/>
      <c r="B2838" s="246"/>
      <c r="C2838" s="245"/>
      <c r="D2838" s="245"/>
      <c r="E2838" s="245"/>
      <c r="F2838" s="245"/>
      <c r="G2838" s="245"/>
      <c r="H2838" s="245"/>
      <c r="I2838" s="245"/>
      <c r="J2838" s="245"/>
      <c r="K2838" s="245"/>
      <c r="L2838" s="246"/>
      <c r="M2838" s="245"/>
      <c r="N2838" s="245"/>
      <c r="O2838" s="245"/>
      <c r="P2838" s="245"/>
      <c r="Q2838" s="247"/>
      <c r="R2838" s="247"/>
      <c r="S2838" s="247"/>
      <c r="T2838" s="245"/>
      <c r="U2838" s="245"/>
      <c r="V2838" s="241"/>
      <c r="W2838" s="241"/>
      <c r="X2838" s="241"/>
    </row>
    <row r="2839" spans="1:24" ht="13.5" customHeight="1" x14ac:dyDescent="0.3">
      <c r="A2839" s="245"/>
      <c r="B2839" s="246"/>
      <c r="C2839" s="245"/>
      <c r="D2839" s="245"/>
      <c r="E2839" s="245"/>
      <c r="F2839" s="245"/>
      <c r="G2839" s="245"/>
      <c r="H2839" s="245"/>
      <c r="I2839" s="245"/>
      <c r="J2839" s="245"/>
      <c r="K2839" s="245"/>
      <c r="L2839" s="246"/>
      <c r="M2839" s="245"/>
      <c r="N2839" s="245"/>
      <c r="O2839" s="245"/>
      <c r="P2839" s="245"/>
      <c r="Q2839" s="247"/>
      <c r="R2839" s="247"/>
      <c r="S2839" s="247"/>
      <c r="T2839" s="245"/>
      <c r="U2839" s="245"/>
      <c r="V2839" s="241"/>
      <c r="W2839" s="241"/>
      <c r="X2839" s="241"/>
    </row>
    <row r="2840" spans="1:24" ht="13.5" customHeight="1" x14ac:dyDescent="0.3">
      <c r="A2840" s="245"/>
      <c r="B2840" s="246"/>
      <c r="C2840" s="245"/>
      <c r="D2840" s="245"/>
      <c r="E2840" s="245"/>
      <c r="F2840" s="245"/>
      <c r="G2840" s="245"/>
      <c r="H2840" s="245"/>
      <c r="I2840" s="245"/>
      <c r="J2840" s="245"/>
      <c r="K2840" s="245"/>
      <c r="L2840" s="246"/>
      <c r="M2840" s="245"/>
      <c r="N2840" s="245"/>
      <c r="O2840" s="245"/>
      <c r="P2840" s="245"/>
      <c r="Q2840" s="247"/>
      <c r="R2840" s="247"/>
      <c r="S2840" s="247"/>
      <c r="T2840" s="245"/>
      <c r="U2840" s="245"/>
      <c r="V2840" s="241"/>
      <c r="W2840" s="241"/>
      <c r="X2840" s="241"/>
    </row>
    <row r="2841" spans="1:24" ht="13.5" customHeight="1" x14ac:dyDescent="0.3">
      <c r="A2841" s="245"/>
      <c r="B2841" s="246"/>
      <c r="C2841" s="245"/>
      <c r="D2841" s="245"/>
      <c r="E2841" s="245"/>
      <c r="F2841" s="245"/>
      <c r="G2841" s="245"/>
      <c r="H2841" s="245"/>
      <c r="I2841" s="245"/>
      <c r="J2841" s="245"/>
      <c r="K2841" s="245"/>
      <c r="L2841" s="246"/>
      <c r="M2841" s="245"/>
      <c r="N2841" s="245"/>
      <c r="O2841" s="245"/>
      <c r="P2841" s="245"/>
      <c r="Q2841" s="247"/>
      <c r="R2841" s="247"/>
      <c r="S2841" s="247"/>
      <c r="T2841" s="245"/>
      <c r="U2841" s="245"/>
      <c r="V2841" s="241"/>
      <c r="W2841" s="241"/>
      <c r="X2841" s="241"/>
    </row>
    <row r="2842" spans="1:24" ht="13.5" customHeight="1" x14ac:dyDescent="0.3">
      <c r="A2842" s="245"/>
      <c r="B2842" s="246"/>
      <c r="C2842" s="245"/>
      <c r="D2842" s="245"/>
      <c r="E2842" s="245"/>
      <c r="F2842" s="245"/>
      <c r="G2842" s="245"/>
      <c r="H2842" s="245"/>
      <c r="I2842" s="245"/>
      <c r="J2842" s="245"/>
      <c r="K2842" s="245"/>
      <c r="L2842" s="246"/>
      <c r="M2842" s="245"/>
      <c r="N2842" s="245"/>
      <c r="O2842" s="245"/>
      <c r="P2842" s="245"/>
      <c r="Q2842" s="247"/>
      <c r="R2842" s="247"/>
      <c r="S2842" s="247"/>
      <c r="T2842" s="245"/>
      <c r="U2842" s="245"/>
      <c r="V2842" s="241"/>
      <c r="W2842" s="241"/>
      <c r="X2842" s="241"/>
    </row>
    <row r="2843" spans="1:24" ht="13.5" customHeight="1" x14ac:dyDescent="0.3">
      <c r="A2843" s="245"/>
      <c r="B2843" s="246"/>
      <c r="C2843" s="245"/>
      <c r="D2843" s="245"/>
      <c r="E2843" s="245"/>
      <c r="F2843" s="245"/>
      <c r="G2843" s="245"/>
      <c r="H2843" s="245"/>
      <c r="I2843" s="245"/>
      <c r="J2843" s="245"/>
      <c r="K2843" s="245"/>
      <c r="L2843" s="246"/>
      <c r="M2843" s="245"/>
      <c r="N2843" s="245"/>
      <c r="O2843" s="245"/>
      <c r="P2843" s="245"/>
      <c r="Q2843" s="247"/>
      <c r="R2843" s="247"/>
      <c r="S2843" s="247"/>
      <c r="T2843" s="245"/>
      <c r="U2843" s="245"/>
      <c r="V2843" s="241"/>
      <c r="W2843" s="241"/>
      <c r="X2843" s="241"/>
    </row>
    <row r="2844" spans="1:24" ht="13.5" customHeight="1" x14ac:dyDescent="0.3">
      <c r="A2844" s="245"/>
      <c r="B2844" s="246"/>
      <c r="C2844" s="245"/>
      <c r="D2844" s="245"/>
      <c r="E2844" s="245"/>
      <c r="F2844" s="245"/>
      <c r="G2844" s="245"/>
      <c r="H2844" s="245"/>
      <c r="I2844" s="245"/>
      <c r="J2844" s="245"/>
      <c r="K2844" s="245"/>
      <c r="L2844" s="246"/>
      <c r="M2844" s="245"/>
      <c r="N2844" s="245"/>
      <c r="O2844" s="245"/>
      <c r="P2844" s="245"/>
      <c r="Q2844" s="247"/>
      <c r="R2844" s="247"/>
      <c r="S2844" s="247"/>
      <c r="T2844" s="245"/>
      <c r="U2844" s="245"/>
      <c r="V2844" s="241"/>
      <c r="W2844" s="241"/>
      <c r="X2844" s="241"/>
    </row>
    <row r="2845" spans="1:24" ht="13.5" customHeight="1" x14ac:dyDescent="0.3">
      <c r="A2845" s="245"/>
      <c r="B2845" s="246"/>
      <c r="C2845" s="245"/>
      <c r="D2845" s="245"/>
      <c r="E2845" s="245"/>
      <c r="F2845" s="245"/>
      <c r="G2845" s="245"/>
      <c r="H2845" s="245"/>
      <c r="I2845" s="245"/>
      <c r="J2845" s="245"/>
      <c r="K2845" s="245"/>
      <c r="L2845" s="246"/>
      <c r="M2845" s="245"/>
      <c r="N2845" s="245"/>
      <c r="O2845" s="245"/>
      <c r="P2845" s="245"/>
      <c r="Q2845" s="247"/>
      <c r="R2845" s="247"/>
      <c r="S2845" s="247"/>
      <c r="T2845" s="245"/>
      <c r="U2845" s="245"/>
      <c r="V2845" s="241"/>
      <c r="W2845" s="241"/>
      <c r="X2845" s="241"/>
    </row>
    <row r="2846" spans="1:24" ht="13.5" customHeight="1" x14ac:dyDescent="0.3">
      <c r="A2846" s="245"/>
      <c r="B2846" s="246"/>
      <c r="C2846" s="245"/>
      <c r="D2846" s="245"/>
      <c r="E2846" s="245"/>
      <c r="F2846" s="245"/>
      <c r="G2846" s="245"/>
      <c r="H2846" s="245"/>
      <c r="I2846" s="245"/>
      <c r="J2846" s="245"/>
      <c r="K2846" s="245"/>
      <c r="L2846" s="246"/>
      <c r="M2846" s="245"/>
      <c r="N2846" s="245"/>
      <c r="O2846" s="245"/>
      <c r="P2846" s="245"/>
      <c r="Q2846" s="247"/>
      <c r="R2846" s="247"/>
      <c r="S2846" s="247"/>
      <c r="T2846" s="245"/>
      <c r="U2846" s="245"/>
      <c r="V2846" s="241"/>
      <c r="W2846" s="241"/>
      <c r="X2846" s="241"/>
    </row>
    <row r="2847" spans="1:24" ht="13.5" customHeight="1" x14ac:dyDescent="0.3">
      <c r="A2847" s="245"/>
      <c r="B2847" s="246"/>
      <c r="C2847" s="245"/>
      <c r="D2847" s="245"/>
      <c r="E2847" s="245"/>
      <c r="F2847" s="245"/>
      <c r="G2847" s="245"/>
      <c r="H2847" s="245"/>
      <c r="I2847" s="245"/>
      <c r="J2847" s="245"/>
      <c r="K2847" s="245"/>
      <c r="L2847" s="246"/>
      <c r="M2847" s="245"/>
      <c r="N2847" s="245"/>
      <c r="O2847" s="245"/>
      <c r="P2847" s="245"/>
      <c r="Q2847" s="247"/>
      <c r="R2847" s="247"/>
      <c r="S2847" s="247"/>
      <c r="T2847" s="245"/>
      <c r="U2847" s="245"/>
      <c r="V2847" s="241"/>
      <c r="W2847" s="241"/>
      <c r="X2847" s="241"/>
    </row>
    <row r="2848" spans="1:24" ht="13.5" customHeight="1" x14ac:dyDescent="0.3">
      <c r="A2848" s="245"/>
      <c r="B2848" s="246"/>
      <c r="C2848" s="245"/>
      <c r="D2848" s="245"/>
      <c r="E2848" s="245"/>
      <c r="F2848" s="245"/>
      <c r="G2848" s="245"/>
      <c r="H2848" s="245"/>
      <c r="I2848" s="245"/>
      <c r="J2848" s="245"/>
      <c r="K2848" s="245"/>
      <c r="L2848" s="246"/>
      <c r="M2848" s="245"/>
      <c r="N2848" s="245"/>
      <c r="O2848" s="245"/>
      <c r="P2848" s="245"/>
      <c r="Q2848" s="247"/>
      <c r="R2848" s="247"/>
      <c r="S2848" s="247"/>
      <c r="T2848" s="245"/>
      <c r="U2848" s="245"/>
      <c r="V2848" s="241"/>
      <c r="W2848" s="241"/>
      <c r="X2848" s="241"/>
    </row>
    <row r="2849" spans="1:24" ht="13.5" customHeight="1" x14ac:dyDescent="0.3">
      <c r="A2849" s="245"/>
      <c r="B2849" s="246"/>
      <c r="C2849" s="245"/>
      <c r="D2849" s="245"/>
      <c r="E2849" s="245"/>
      <c r="F2849" s="245"/>
      <c r="G2849" s="245"/>
      <c r="H2849" s="245"/>
      <c r="I2849" s="245"/>
      <c r="J2849" s="245"/>
      <c r="K2849" s="245"/>
      <c r="L2849" s="246"/>
      <c r="M2849" s="245"/>
      <c r="N2849" s="245"/>
      <c r="O2849" s="245"/>
      <c r="P2849" s="245"/>
      <c r="Q2849" s="247"/>
      <c r="R2849" s="247"/>
      <c r="S2849" s="247"/>
      <c r="T2849" s="245"/>
      <c r="U2849" s="245"/>
      <c r="V2849" s="241"/>
      <c r="W2849" s="241"/>
      <c r="X2849" s="241"/>
    </row>
    <row r="2850" spans="1:24" ht="13.5" customHeight="1" x14ac:dyDescent="0.3">
      <c r="A2850" s="245"/>
      <c r="B2850" s="246"/>
      <c r="C2850" s="245"/>
      <c r="D2850" s="245"/>
      <c r="E2850" s="245"/>
      <c r="F2850" s="245"/>
      <c r="G2850" s="245"/>
      <c r="H2850" s="245"/>
      <c r="I2850" s="245"/>
      <c r="J2850" s="245"/>
      <c r="K2850" s="245"/>
      <c r="L2850" s="246"/>
      <c r="M2850" s="245"/>
      <c r="N2850" s="245"/>
      <c r="O2850" s="245"/>
      <c r="P2850" s="245"/>
      <c r="Q2850" s="247"/>
      <c r="R2850" s="247"/>
      <c r="S2850" s="247"/>
      <c r="T2850" s="245"/>
      <c r="U2850" s="245"/>
      <c r="V2850" s="241"/>
      <c r="W2850" s="241"/>
      <c r="X2850" s="241"/>
    </row>
    <row r="2851" spans="1:24" ht="13.5" customHeight="1" x14ac:dyDescent="0.3">
      <c r="A2851" s="245"/>
      <c r="B2851" s="246"/>
      <c r="C2851" s="245"/>
      <c r="D2851" s="245"/>
      <c r="E2851" s="245"/>
      <c r="F2851" s="245"/>
      <c r="G2851" s="245"/>
      <c r="H2851" s="245"/>
      <c r="I2851" s="245"/>
      <c r="J2851" s="245"/>
      <c r="K2851" s="245"/>
      <c r="L2851" s="246"/>
      <c r="M2851" s="245"/>
      <c r="N2851" s="245"/>
      <c r="O2851" s="245"/>
      <c r="P2851" s="245"/>
      <c r="Q2851" s="247"/>
      <c r="R2851" s="247"/>
      <c r="S2851" s="247"/>
      <c r="T2851" s="245"/>
      <c r="U2851" s="245"/>
      <c r="V2851" s="241"/>
      <c r="W2851" s="241"/>
      <c r="X2851" s="241"/>
    </row>
    <row r="2852" spans="1:24" ht="13.5" customHeight="1" x14ac:dyDescent="0.3">
      <c r="A2852" s="245"/>
      <c r="B2852" s="246"/>
      <c r="C2852" s="245"/>
      <c r="D2852" s="245"/>
      <c r="E2852" s="245"/>
      <c r="F2852" s="245"/>
      <c r="G2852" s="245"/>
      <c r="H2852" s="245"/>
      <c r="I2852" s="245"/>
      <c r="J2852" s="245"/>
      <c r="K2852" s="245"/>
      <c r="L2852" s="246"/>
      <c r="M2852" s="245"/>
      <c r="N2852" s="245"/>
      <c r="O2852" s="245"/>
      <c r="P2852" s="245"/>
      <c r="Q2852" s="247"/>
      <c r="R2852" s="247"/>
      <c r="S2852" s="247"/>
      <c r="T2852" s="245"/>
      <c r="U2852" s="245"/>
      <c r="V2852" s="241"/>
      <c r="W2852" s="241"/>
      <c r="X2852" s="241"/>
    </row>
    <row r="2853" spans="1:24" ht="13.5" customHeight="1" x14ac:dyDescent="0.3">
      <c r="A2853" s="245"/>
      <c r="B2853" s="246"/>
      <c r="C2853" s="245"/>
      <c r="D2853" s="245"/>
      <c r="E2853" s="245"/>
      <c r="F2853" s="245"/>
      <c r="G2853" s="245"/>
      <c r="H2853" s="245"/>
      <c r="I2853" s="245"/>
      <c r="J2853" s="245"/>
      <c r="K2853" s="245"/>
      <c r="L2853" s="246"/>
      <c r="M2853" s="245"/>
      <c r="N2853" s="245"/>
      <c r="O2853" s="245"/>
      <c r="P2853" s="245"/>
      <c r="Q2853" s="247"/>
      <c r="R2853" s="247"/>
      <c r="S2853" s="247"/>
      <c r="T2853" s="245"/>
      <c r="U2853" s="245"/>
      <c r="V2853" s="241"/>
      <c r="W2853" s="241"/>
      <c r="X2853" s="241"/>
    </row>
    <row r="2854" spans="1:24" ht="13.5" customHeight="1" x14ac:dyDescent="0.3">
      <c r="A2854" s="245"/>
      <c r="B2854" s="246"/>
      <c r="C2854" s="245"/>
      <c r="D2854" s="245"/>
      <c r="E2854" s="245"/>
      <c r="F2854" s="245"/>
      <c r="G2854" s="245"/>
      <c r="H2854" s="245"/>
      <c r="I2854" s="245"/>
      <c r="J2854" s="245"/>
      <c r="K2854" s="245"/>
      <c r="L2854" s="246"/>
      <c r="M2854" s="245"/>
      <c r="N2854" s="245"/>
      <c r="O2854" s="245"/>
      <c r="P2854" s="245"/>
      <c r="Q2854" s="247"/>
      <c r="R2854" s="247"/>
      <c r="S2854" s="247"/>
      <c r="T2854" s="245"/>
      <c r="U2854" s="245"/>
      <c r="V2854" s="241"/>
      <c r="W2854" s="241"/>
      <c r="X2854" s="241"/>
    </row>
    <row r="2855" spans="1:24" ht="13.5" customHeight="1" x14ac:dyDescent="0.3">
      <c r="A2855" s="245"/>
      <c r="B2855" s="246"/>
      <c r="C2855" s="245"/>
      <c r="D2855" s="245"/>
      <c r="E2855" s="245"/>
      <c r="F2855" s="245"/>
      <c r="G2855" s="245"/>
      <c r="H2855" s="245"/>
      <c r="I2855" s="245"/>
      <c r="J2855" s="245"/>
      <c r="K2855" s="245"/>
      <c r="L2855" s="246"/>
      <c r="M2855" s="245"/>
      <c r="N2855" s="245"/>
      <c r="O2855" s="245"/>
      <c r="P2855" s="245"/>
      <c r="Q2855" s="247"/>
      <c r="R2855" s="247"/>
      <c r="S2855" s="247"/>
      <c r="T2855" s="245"/>
      <c r="U2855" s="245"/>
      <c r="V2855" s="241"/>
      <c r="W2855" s="241"/>
      <c r="X2855" s="241"/>
    </row>
    <row r="2856" spans="1:24" ht="13.5" customHeight="1" x14ac:dyDescent="0.3">
      <c r="A2856" s="245"/>
      <c r="B2856" s="246"/>
      <c r="C2856" s="245"/>
      <c r="D2856" s="245"/>
      <c r="E2856" s="245"/>
      <c r="F2856" s="245"/>
      <c r="G2856" s="245"/>
      <c r="H2856" s="245"/>
      <c r="I2856" s="245"/>
      <c r="J2856" s="245"/>
      <c r="K2856" s="245"/>
      <c r="L2856" s="246"/>
      <c r="M2856" s="245"/>
      <c r="N2856" s="245"/>
      <c r="O2856" s="245"/>
      <c r="P2856" s="245"/>
      <c r="Q2856" s="247"/>
      <c r="R2856" s="247"/>
      <c r="S2856" s="247"/>
      <c r="T2856" s="245"/>
      <c r="U2856" s="245"/>
      <c r="V2856" s="241"/>
      <c r="W2856" s="241"/>
      <c r="X2856" s="241"/>
    </row>
    <row r="2857" spans="1:24" ht="13.5" customHeight="1" x14ac:dyDescent="0.3">
      <c r="A2857" s="245"/>
      <c r="B2857" s="246"/>
      <c r="C2857" s="245"/>
      <c r="D2857" s="245"/>
      <c r="E2857" s="245"/>
      <c r="F2857" s="245"/>
      <c r="G2857" s="245"/>
      <c r="H2857" s="245"/>
      <c r="I2857" s="245"/>
      <c r="J2857" s="245"/>
      <c r="K2857" s="245"/>
      <c r="L2857" s="246"/>
      <c r="M2857" s="245"/>
      <c r="N2857" s="245"/>
      <c r="O2857" s="245"/>
      <c r="P2857" s="245"/>
      <c r="Q2857" s="247"/>
      <c r="R2857" s="247"/>
      <c r="S2857" s="247"/>
      <c r="T2857" s="245"/>
      <c r="U2857" s="245"/>
      <c r="V2857" s="241"/>
      <c r="W2857" s="241"/>
      <c r="X2857" s="241"/>
    </row>
    <row r="2858" spans="1:24" ht="13.5" customHeight="1" x14ac:dyDescent="0.3">
      <c r="A2858" s="245"/>
      <c r="B2858" s="246"/>
      <c r="C2858" s="245"/>
      <c r="D2858" s="245"/>
      <c r="E2858" s="245"/>
      <c r="F2858" s="245"/>
      <c r="G2858" s="245"/>
      <c r="H2858" s="245"/>
      <c r="I2858" s="245"/>
      <c r="J2858" s="245"/>
      <c r="K2858" s="245"/>
      <c r="L2858" s="246"/>
      <c r="M2858" s="245"/>
      <c r="N2858" s="245"/>
      <c r="O2858" s="245"/>
      <c r="P2858" s="245"/>
      <c r="Q2858" s="247"/>
      <c r="R2858" s="247"/>
      <c r="S2858" s="247"/>
      <c r="T2858" s="245"/>
      <c r="U2858" s="245"/>
      <c r="V2858" s="241"/>
      <c r="W2858" s="241"/>
      <c r="X2858" s="241"/>
    </row>
    <row r="2859" spans="1:24" ht="13.5" customHeight="1" x14ac:dyDescent="0.3">
      <c r="A2859" s="245"/>
      <c r="B2859" s="246"/>
      <c r="C2859" s="245"/>
      <c r="D2859" s="245"/>
      <c r="E2859" s="245"/>
      <c r="F2859" s="245"/>
      <c r="G2859" s="245"/>
      <c r="H2859" s="245"/>
      <c r="I2859" s="245"/>
      <c r="J2859" s="245"/>
      <c r="K2859" s="245"/>
      <c r="L2859" s="246"/>
      <c r="M2859" s="245"/>
      <c r="N2859" s="245"/>
      <c r="O2859" s="245"/>
      <c r="P2859" s="245"/>
      <c r="Q2859" s="247"/>
      <c r="R2859" s="247"/>
      <c r="S2859" s="247"/>
      <c r="T2859" s="245"/>
      <c r="U2859" s="245"/>
      <c r="V2859" s="241"/>
      <c r="W2859" s="241"/>
      <c r="X2859" s="241"/>
    </row>
    <row r="2860" spans="1:24" ht="13.5" customHeight="1" x14ac:dyDescent="0.3">
      <c r="A2860" s="245"/>
      <c r="B2860" s="246"/>
      <c r="C2860" s="245"/>
      <c r="D2860" s="245"/>
      <c r="E2860" s="245"/>
      <c r="F2860" s="245"/>
      <c r="G2860" s="245"/>
      <c r="H2860" s="245"/>
      <c r="I2860" s="245"/>
      <c r="J2860" s="245"/>
      <c r="K2860" s="245"/>
      <c r="L2860" s="246"/>
      <c r="M2860" s="245"/>
      <c r="N2860" s="245"/>
      <c r="O2860" s="245"/>
      <c r="P2860" s="245"/>
      <c r="Q2860" s="247"/>
      <c r="R2860" s="247"/>
      <c r="S2860" s="247"/>
      <c r="T2860" s="245"/>
      <c r="U2860" s="245"/>
      <c r="V2860" s="241"/>
      <c r="W2860" s="241"/>
      <c r="X2860" s="241"/>
    </row>
    <row r="2861" spans="1:24" ht="13.5" customHeight="1" x14ac:dyDescent="0.3">
      <c r="A2861" s="245"/>
      <c r="B2861" s="246"/>
      <c r="C2861" s="245"/>
      <c r="D2861" s="245"/>
      <c r="E2861" s="245"/>
      <c r="F2861" s="245"/>
      <c r="G2861" s="245"/>
      <c r="H2861" s="245"/>
      <c r="I2861" s="245"/>
      <c r="J2861" s="245"/>
      <c r="K2861" s="245"/>
      <c r="L2861" s="246"/>
      <c r="M2861" s="245"/>
      <c r="N2861" s="245"/>
      <c r="O2861" s="245"/>
      <c r="P2861" s="245"/>
      <c r="Q2861" s="247"/>
      <c r="R2861" s="247"/>
      <c r="S2861" s="247"/>
      <c r="T2861" s="245"/>
      <c r="U2861" s="245"/>
      <c r="V2861" s="241"/>
      <c r="W2861" s="241"/>
      <c r="X2861" s="241"/>
    </row>
    <row r="2862" spans="1:24" ht="13.5" customHeight="1" x14ac:dyDescent="0.3">
      <c r="A2862" s="245"/>
      <c r="B2862" s="246"/>
      <c r="C2862" s="245"/>
      <c r="D2862" s="245"/>
      <c r="E2862" s="245"/>
      <c r="F2862" s="245"/>
      <c r="G2862" s="245"/>
      <c r="H2862" s="245"/>
      <c r="I2862" s="245"/>
      <c r="J2862" s="245"/>
      <c r="K2862" s="245"/>
      <c r="L2862" s="246"/>
      <c r="M2862" s="245"/>
      <c r="N2862" s="245"/>
      <c r="O2862" s="245"/>
      <c r="P2862" s="245"/>
      <c r="Q2862" s="247"/>
      <c r="R2862" s="247"/>
      <c r="S2862" s="247"/>
      <c r="T2862" s="245"/>
      <c r="U2862" s="245"/>
      <c r="V2862" s="241"/>
      <c r="W2862" s="241"/>
      <c r="X2862" s="241"/>
    </row>
    <row r="2863" spans="1:24" ht="13.5" customHeight="1" x14ac:dyDescent="0.3">
      <c r="A2863" s="245"/>
      <c r="B2863" s="246"/>
      <c r="C2863" s="245"/>
      <c r="D2863" s="245"/>
      <c r="E2863" s="245"/>
      <c r="F2863" s="245"/>
      <c r="G2863" s="245"/>
      <c r="H2863" s="245"/>
      <c r="I2863" s="245"/>
      <c r="J2863" s="245"/>
      <c r="K2863" s="245"/>
      <c r="L2863" s="246"/>
      <c r="M2863" s="245"/>
      <c r="N2863" s="245"/>
      <c r="O2863" s="245"/>
      <c r="P2863" s="245"/>
      <c r="Q2863" s="247"/>
      <c r="R2863" s="247"/>
      <c r="S2863" s="247"/>
      <c r="T2863" s="245"/>
      <c r="U2863" s="245"/>
      <c r="V2863" s="241"/>
      <c r="W2863" s="241"/>
      <c r="X2863" s="241"/>
    </row>
    <row r="2864" spans="1:24" ht="13.5" customHeight="1" x14ac:dyDescent="0.3">
      <c r="A2864" s="245"/>
      <c r="B2864" s="246"/>
      <c r="C2864" s="245"/>
      <c r="D2864" s="245"/>
      <c r="E2864" s="245"/>
      <c r="F2864" s="245"/>
      <c r="G2864" s="245"/>
      <c r="H2864" s="245"/>
      <c r="I2864" s="245"/>
      <c r="J2864" s="245"/>
      <c r="K2864" s="245"/>
      <c r="L2864" s="246"/>
      <c r="M2864" s="245"/>
      <c r="N2864" s="245"/>
      <c r="O2864" s="245"/>
      <c r="P2864" s="245"/>
      <c r="Q2864" s="247"/>
      <c r="R2864" s="247"/>
      <c r="S2864" s="247"/>
      <c r="T2864" s="245"/>
      <c r="U2864" s="245"/>
      <c r="V2864" s="241"/>
      <c r="W2864" s="241"/>
      <c r="X2864" s="241"/>
    </row>
    <row r="2865" spans="1:24" ht="13.5" customHeight="1" x14ac:dyDescent="0.3">
      <c r="A2865" s="245"/>
      <c r="B2865" s="246"/>
      <c r="C2865" s="245"/>
      <c r="D2865" s="245"/>
      <c r="E2865" s="245"/>
      <c r="F2865" s="245"/>
      <c r="G2865" s="245"/>
      <c r="H2865" s="245"/>
      <c r="I2865" s="245"/>
      <c r="J2865" s="245"/>
      <c r="K2865" s="245"/>
      <c r="L2865" s="246"/>
      <c r="M2865" s="245"/>
      <c r="N2865" s="245"/>
      <c r="O2865" s="245"/>
      <c r="P2865" s="245"/>
      <c r="Q2865" s="247"/>
      <c r="R2865" s="247"/>
      <c r="S2865" s="247"/>
      <c r="T2865" s="245"/>
      <c r="U2865" s="245"/>
      <c r="V2865" s="241"/>
      <c r="W2865" s="241"/>
      <c r="X2865" s="241"/>
    </row>
    <row r="2866" spans="1:24" ht="13.5" customHeight="1" x14ac:dyDescent="0.3">
      <c r="A2866" s="245"/>
      <c r="B2866" s="246"/>
      <c r="C2866" s="245"/>
      <c r="D2866" s="245"/>
      <c r="E2866" s="245"/>
      <c r="F2866" s="245"/>
      <c r="G2866" s="245"/>
      <c r="H2866" s="245"/>
      <c r="I2866" s="245"/>
      <c r="J2866" s="245"/>
      <c r="K2866" s="245"/>
      <c r="L2866" s="246"/>
      <c r="M2866" s="245"/>
      <c r="N2866" s="245"/>
      <c r="O2866" s="245"/>
      <c r="P2866" s="245"/>
      <c r="Q2866" s="247"/>
      <c r="R2866" s="247"/>
      <c r="S2866" s="247"/>
      <c r="T2866" s="245"/>
      <c r="U2866" s="245"/>
      <c r="V2866" s="241"/>
      <c r="W2866" s="241"/>
      <c r="X2866" s="241"/>
    </row>
    <row r="2867" spans="1:24" ht="13.5" customHeight="1" x14ac:dyDescent="0.3">
      <c r="A2867" s="245"/>
      <c r="B2867" s="246"/>
      <c r="C2867" s="245"/>
      <c r="D2867" s="245"/>
      <c r="E2867" s="245"/>
      <c r="F2867" s="245"/>
      <c r="G2867" s="245"/>
      <c r="H2867" s="245"/>
      <c r="I2867" s="245"/>
      <c r="J2867" s="245"/>
      <c r="K2867" s="245"/>
      <c r="L2867" s="246"/>
      <c r="M2867" s="245"/>
      <c r="N2867" s="245"/>
      <c r="O2867" s="245"/>
      <c r="P2867" s="245"/>
      <c r="Q2867" s="247"/>
      <c r="R2867" s="247"/>
      <c r="S2867" s="247"/>
      <c r="T2867" s="245"/>
      <c r="U2867" s="245"/>
      <c r="V2867" s="241"/>
      <c r="W2867" s="241"/>
      <c r="X2867" s="241"/>
    </row>
    <row r="2868" spans="1:24" ht="13.5" customHeight="1" x14ac:dyDescent="0.3">
      <c r="A2868" s="245"/>
      <c r="B2868" s="246"/>
      <c r="C2868" s="245"/>
      <c r="D2868" s="245"/>
      <c r="E2868" s="245"/>
      <c r="F2868" s="245"/>
      <c r="G2868" s="245"/>
      <c r="H2868" s="245"/>
      <c r="I2868" s="245"/>
      <c r="J2868" s="245"/>
      <c r="K2868" s="245"/>
      <c r="L2868" s="246"/>
      <c r="M2868" s="245"/>
      <c r="N2868" s="245"/>
      <c r="O2868" s="245"/>
      <c r="P2868" s="245"/>
      <c r="Q2868" s="247"/>
      <c r="R2868" s="247"/>
      <c r="S2868" s="247"/>
      <c r="T2868" s="245"/>
      <c r="U2868" s="245"/>
      <c r="V2868" s="241"/>
      <c r="W2868" s="241"/>
      <c r="X2868" s="241"/>
    </row>
    <row r="2869" spans="1:24" ht="13.5" customHeight="1" x14ac:dyDescent="0.3">
      <c r="A2869" s="245"/>
      <c r="B2869" s="246"/>
      <c r="C2869" s="245"/>
      <c r="D2869" s="245"/>
      <c r="E2869" s="245"/>
      <c r="F2869" s="245"/>
      <c r="G2869" s="245"/>
      <c r="H2869" s="245"/>
      <c r="I2869" s="245"/>
      <c r="J2869" s="245"/>
      <c r="K2869" s="245"/>
      <c r="L2869" s="246"/>
      <c r="M2869" s="245"/>
      <c r="N2869" s="245"/>
      <c r="O2869" s="245"/>
      <c r="P2869" s="245"/>
      <c r="Q2869" s="247"/>
      <c r="R2869" s="247"/>
      <c r="S2869" s="247"/>
      <c r="T2869" s="245"/>
      <c r="U2869" s="245"/>
      <c r="V2869" s="241"/>
      <c r="W2869" s="241"/>
      <c r="X2869" s="241"/>
    </row>
    <row r="2870" spans="1:24" ht="13.5" customHeight="1" x14ac:dyDescent="0.3">
      <c r="A2870" s="245"/>
      <c r="B2870" s="246"/>
      <c r="C2870" s="245"/>
      <c r="D2870" s="245"/>
      <c r="E2870" s="245"/>
      <c r="F2870" s="245"/>
      <c r="G2870" s="245"/>
      <c r="H2870" s="245"/>
      <c r="I2870" s="245"/>
      <c r="J2870" s="245"/>
      <c r="K2870" s="245"/>
      <c r="L2870" s="246"/>
      <c r="M2870" s="245"/>
      <c r="N2870" s="245"/>
      <c r="O2870" s="245"/>
      <c r="P2870" s="245"/>
      <c r="Q2870" s="247"/>
      <c r="R2870" s="247"/>
      <c r="S2870" s="247"/>
      <c r="T2870" s="245"/>
      <c r="U2870" s="245"/>
      <c r="V2870" s="241"/>
      <c r="W2870" s="241"/>
      <c r="X2870" s="241"/>
    </row>
    <row r="2871" spans="1:24" ht="13.5" customHeight="1" x14ac:dyDescent="0.3">
      <c r="A2871" s="245"/>
      <c r="B2871" s="246"/>
      <c r="C2871" s="245"/>
      <c r="D2871" s="245"/>
      <c r="E2871" s="245"/>
      <c r="F2871" s="245"/>
      <c r="G2871" s="245"/>
      <c r="H2871" s="245"/>
      <c r="I2871" s="245"/>
      <c r="J2871" s="245"/>
      <c r="K2871" s="245"/>
      <c r="L2871" s="246"/>
      <c r="M2871" s="245"/>
      <c r="N2871" s="245"/>
      <c r="O2871" s="245"/>
      <c r="P2871" s="245"/>
      <c r="Q2871" s="247"/>
      <c r="R2871" s="247"/>
      <c r="S2871" s="247"/>
      <c r="T2871" s="245"/>
      <c r="U2871" s="245"/>
      <c r="V2871" s="241"/>
      <c r="W2871" s="241"/>
      <c r="X2871" s="241"/>
    </row>
    <row r="2872" spans="1:24" ht="13.5" customHeight="1" x14ac:dyDescent="0.3">
      <c r="A2872" s="245"/>
      <c r="B2872" s="246"/>
      <c r="C2872" s="245"/>
      <c r="D2872" s="245"/>
      <c r="E2872" s="245"/>
      <c r="F2872" s="245"/>
      <c r="G2872" s="245"/>
      <c r="H2872" s="245"/>
      <c r="I2872" s="245"/>
      <c r="J2872" s="245"/>
      <c r="K2872" s="245"/>
      <c r="L2872" s="246"/>
      <c r="M2872" s="245"/>
      <c r="N2872" s="245"/>
      <c r="O2872" s="245"/>
      <c r="P2872" s="245"/>
      <c r="Q2872" s="247"/>
      <c r="R2872" s="247"/>
      <c r="S2872" s="247"/>
      <c r="T2872" s="245"/>
      <c r="U2872" s="245"/>
      <c r="V2872" s="241"/>
      <c r="W2872" s="241"/>
      <c r="X2872" s="241"/>
    </row>
    <row r="2873" spans="1:24" ht="13.5" customHeight="1" x14ac:dyDescent="0.3">
      <c r="A2873" s="245"/>
      <c r="B2873" s="246"/>
      <c r="C2873" s="245"/>
      <c r="D2873" s="245"/>
      <c r="E2873" s="245"/>
      <c r="F2873" s="245"/>
      <c r="G2873" s="245"/>
      <c r="H2873" s="245"/>
      <c r="I2873" s="245"/>
      <c r="J2873" s="245"/>
      <c r="K2873" s="245"/>
      <c r="L2873" s="246"/>
      <c r="M2873" s="245"/>
      <c r="N2873" s="245"/>
      <c r="O2873" s="245"/>
      <c r="P2873" s="245"/>
      <c r="Q2873" s="247"/>
      <c r="R2873" s="247"/>
      <c r="S2873" s="247"/>
      <c r="T2873" s="245"/>
      <c r="U2873" s="245"/>
      <c r="V2873" s="241"/>
      <c r="W2873" s="241"/>
      <c r="X2873" s="241"/>
    </row>
    <row r="2874" spans="1:24" ht="13.5" customHeight="1" x14ac:dyDescent="0.3">
      <c r="A2874" s="245"/>
      <c r="B2874" s="246"/>
      <c r="C2874" s="245"/>
      <c r="D2874" s="245"/>
      <c r="E2874" s="245"/>
      <c r="F2874" s="245"/>
      <c r="G2874" s="245"/>
      <c r="H2874" s="245"/>
      <c r="I2874" s="245"/>
      <c r="J2874" s="245"/>
      <c r="K2874" s="245"/>
      <c r="L2874" s="246"/>
      <c r="M2874" s="245"/>
      <c r="N2874" s="245"/>
      <c r="O2874" s="245"/>
      <c r="P2874" s="245"/>
      <c r="Q2874" s="247"/>
      <c r="R2874" s="247"/>
      <c r="S2874" s="247"/>
      <c r="T2874" s="245"/>
      <c r="U2874" s="245"/>
      <c r="V2874" s="241"/>
      <c r="W2874" s="241"/>
      <c r="X2874" s="241"/>
    </row>
    <row r="2875" spans="1:24" ht="13.5" customHeight="1" x14ac:dyDescent="0.3">
      <c r="A2875" s="245"/>
      <c r="B2875" s="246"/>
      <c r="C2875" s="245"/>
      <c r="D2875" s="245"/>
      <c r="E2875" s="245"/>
      <c r="F2875" s="245"/>
      <c r="G2875" s="245"/>
      <c r="H2875" s="245"/>
      <c r="I2875" s="245"/>
      <c r="J2875" s="245"/>
      <c r="K2875" s="245"/>
      <c r="L2875" s="246"/>
      <c r="M2875" s="245"/>
      <c r="N2875" s="245"/>
      <c r="O2875" s="245"/>
      <c r="P2875" s="245"/>
      <c r="Q2875" s="247"/>
      <c r="R2875" s="247"/>
      <c r="S2875" s="247"/>
      <c r="T2875" s="245"/>
      <c r="U2875" s="245"/>
      <c r="V2875" s="241"/>
      <c r="W2875" s="241"/>
      <c r="X2875" s="241"/>
    </row>
    <row r="2876" spans="1:24" ht="13.5" customHeight="1" x14ac:dyDescent="0.3">
      <c r="A2876" s="245"/>
      <c r="B2876" s="246"/>
      <c r="C2876" s="245"/>
      <c r="D2876" s="245"/>
      <c r="E2876" s="245"/>
      <c r="F2876" s="245"/>
      <c r="G2876" s="245"/>
      <c r="H2876" s="245"/>
      <c r="I2876" s="245"/>
      <c r="J2876" s="245"/>
      <c r="K2876" s="245"/>
      <c r="L2876" s="246"/>
      <c r="M2876" s="245"/>
      <c r="N2876" s="245"/>
      <c r="O2876" s="245"/>
      <c r="P2876" s="245"/>
      <c r="Q2876" s="247"/>
      <c r="R2876" s="247"/>
      <c r="S2876" s="247"/>
      <c r="T2876" s="245"/>
      <c r="U2876" s="245"/>
      <c r="V2876" s="241"/>
      <c r="W2876" s="241"/>
      <c r="X2876" s="241"/>
    </row>
    <row r="2877" spans="1:24" ht="13.5" customHeight="1" x14ac:dyDescent="0.3">
      <c r="A2877" s="245"/>
      <c r="B2877" s="246"/>
      <c r="C2877" s="245"/>
      <c r="D2877" s="245"/>
      <c r="E2877" s="245"/>
      <c r="F2877" s="245"/>
      <c r="G2877" s="245"/>
      <c r="H2877" s="245"/>
      <c r="I2877" s="245"/>
      <c r="J2877" s="245"/>
      <c r="K2877" s="245"/>
      <c r="L2877" s="246"/>
      <c r="M2877" s="245"/>
      <c r="N2877" s="245"/>
      <c r="O2877" s="245"/>
      <c r="P2877" s="245"/>
      <c r="Q2877" s="247"/>
      <c r="R2877" s="247"/>
      <c r="S2877" s="247"/>
      <c r="T2877" s="245"/>
      <c r="U2877" s="245"/>
      <c r="V2877" s="241"/>
      <c r="W2877" s="241"/>
      <c r="X2877" s="241"/>
    </row>
    <row r="2878" spans="1:24" ht="13.5" customHeight="1" x14ac:dyDescent="0.3">
      <c r="A2878" s="245"/>
      <c r="B2878" s="246"/>
      <c r="C2878" s="245"/>
      <c r="D2878" s="245"/>
      <c r="E2878" s="245"/>
      <c r="F2878" s="245"/>
      <c r="G2878" s="245"/>
      <c r="H2878" s="245"/>
      <c r="I2878" s="245"/>
      <c r="J2878" s="245"/>
      <c r="K2878" s="245"/>
      <c r="L2878" s="246"/>
      <c r="M2878" s="245"/>
      <c r="N2878" s="245"/>
      <c r="O2878" s="245"/>
      <c r="P2878" s="245"/>
      <c r="Q2878" s="247"/>
      <c r="R2878" s="247"/>
      <c r="S2878" s="247"/>
      <c r="T2878" s="245"/>
      <c r="U2878" s="245"/>
      <c r="V2878" s="241"/>
      <c r="W2878" s="241"/>
      <c r="X2878" s="241"/>
    </row>
    <row r="2879" spans="1:24" ht="13.5" customHeight="1" x14ac:dyDescent="0.3">
      <c r="A2879" s="245"/>
      <c r="B2879" s="246"/>
      <c r="C2879" s="245"/>
      <c r="D2879" s="245"/>
      <c r="E2879" s="245"/>
      <c r="F2879" s="245"/>
      <c r="G2879" s="245"/>
      <c r="H2879" s="245"/>
      <c r="I2879" s="245"/>
      <c r="J2879" s="245"/>
      <c r="K2879" s="245"/>
      <c r="L2879" s="246"/>
      <c r="M2879" s="245"/>
      <c r="N2879" s="245"/>
      <c r="O2879" s="245"/>
      <c r="P2879" s="245"/>
      <c r="Q2879" s="247"/>
      <c r="R2879" s="247"/>
      <c r="S2879" s="247"/>
      <c r="T2879" s="245"/>
      <c r="U2879" s="245"/>
      <c r="V2879" s="241"/>
      <c r="W2879" s="241"/>
      <c r="X2879" s="241"/>
    </row>
    <row r="2880" spans="1:24" ht="13.5" customHeight="1" x14ac:dyDescent="0.3">
      <c r="A2880" s="245"/>
      <c r="B2880" s="246"/>
      <c r="C2880" s="245"/>
      <c r="D2880" s="245"/>
      <c r="E2880" s="245"/>
      <c r="F2880" s="245"/>
      <c r="G2880" s="245"/>
      <c r="H2880" s="245"/>
      <c r="I2880" s="245"/>
      <c r="J2880" s="245"/>
      <c r="K2880" s="245"/>
      <c r="L2880" s="246"/>
      <c r="M2880" s="245"/>
      <c r="N2880" s="245"/>
      <c r="O2880" s="245"/>
      <c r="P2880" s="245"/>
      <c r="Q2880" s="247"/>
      <c r="R2880" s="247"/>
      <c r="S2880" s="247"/>
      <c r="T2880" s="245"/>
      <c r="U2880" s="245"/>
      <c r="V2880" s="241"/>
      <c r="W2880" s="241"/>
      <c r="X2880" s="241"/>
    </row>
    <row r="2881" spans="1:24" ht="13.5" customHeight="1" x14ac:dyDescent="0.3">
      <c r="A2881" s="245"/>
      <c r="B2881" s="246"/>
      <c r="C2881" s="245"/>
      <c r="D2881" s="245"/>
      <c r="E2881" s="245"/>
      <c r="F2881" s="245"/>
      <c r="G2881" s="245"/>
      <c r="H2881" s="245"/>
      <c r="I2881" s="245"/>
      <c r="J2881" s="245"/>
      <c r="K2881" s="245"/>
      <c r="L2881" s="246"/>
      <c r="M2881" s="245"/>
      <c r="N2881" s="245"/>
      <c r="O2881" s="245"/>
      <c r="P2881" s="245"/>
      <c r="Q2881" s="247"/>
      <c r="R2881" s="247"/>
      <c r="S2881" s="247"/>
      <c r="T2881" s="245"/>
      <c r="U2881" s="245"/>
      <c r="V2881" s="241"/>
      <c r="W2881" s="241"/>
      <c r="X2881" s="241"/>
    </row>
    <row r="2882" spans="1:24" ht="13.5" customHeight="1" x14ac:dyDescent="0.3">
      <c r="A2882" s="245"/>
      <c r="B2882" s="246"/>
      <c r="C2882" s="245"/>
      <c r="D2882" s="245"/>
      <c r="E2882" s="245"/>
      <c r="F2882" s="245"/>
      <c r="G2882" s="245"/>
      <c r="H2882" s="245"/>
      <c r="I2882" s="245"/>
      <c r="J2882" s="245"/>
      <c r="K2882" s="245"/>
      <c r="L2882" s="246"/>
      <c r="M2882" s="245"/>
      <c r="N2882" s="245"/>
      <c r="O2882" s="245"/>
      <c r="P2882" s="245"/>
      <c r="Q2882" s="247"/>
      <c r="R2882" s="247"/>
      <c r="S2882" s="247"/>
      <c r="T2882" s="245"/>
      <c r="U2882" s="245"/>
      <c r="V2882" s="241"/>
      <c r="W2882" s="241"/>
      <c r="X2882" s="241"/>
    </row>
    <row r="2883" spans="1:24" ht="13.5" customHeight="1" x14ac:dyDescent="0.3">
      <c r="A2883" s="245"/>
      <c r="B2883" s="246"/>
      <c r="C2883" s="245"/>
      <c r="D2883" s="245"/>
      <c r="E2883" s="245"/>
      <c r="F2883" s="245"/>
      <c r="G2883" s="245"/>
      <c r="H2883" s="245"/>
      <c r="I2883" s="245"/>
      <c r="J2883" s="245"/>
      <c r="K2883" s="245"/>
      <c r="L2883" s="246"/>
      <c r="M2883" s="245"/>
      <c r="N2883" s="245"/>
      <c r="O2883" s="245"/>
      <c r="P2883" s="245"/>
      <c r="Q2883" s="247"/>
      <c r="R2883" s="247"/>
      <c r="S2883" s="247"/>
      <c r="T2883" s="245"/>
      <c r="U2883" s="245"/>
      <c r="V2883" s="241"/>
      <c r="W2883" s="241"/>
      <c r="X2883" s="241"/>
    </row>
    <row r="2884" spans="1:24" ht="13.5" customHeight="1" x14ac:dyDescent="0.3">
      <c r="A2884" s="245"/>
      <c r="B2884" s="246"/>
      <c r="C2884" s="245"/>
      <c r="D2884" s="245"/>
      <c r="E2884" s="245"/>
      <c r="F2884" s="245"/>
      <c r="G2884" s="245"/>
      <c r="H2884" s="245"/>
      <c r="I2884" s="245"/>
      <c r="J2884" s="245"/>
      <c r="K2884" s="245"/>
      <c r="L2884" s="246"/>
      <c r="M2884" s="245"/>
      <c r="N2884" s="245"/>
      <c r="O2884" s="245"/>
      <c r="P2884" s="245"/>
      <c r="Q2884" s="247"/>
      <c r="R2884" s="247"/>
      <c r="S2884" s="247"/>
      <c r="T2884" s="245"/>
      <c r="U2884" s="245"/>
      <c r="V2884" s="241"/>
      <c r="W2884" s="241"/>
      <c r="X2884" s="241"/>
    </row>
    <row r="2885" spans="1:24" ht="13.5" customHeight="1" x14ac:dyDescent="0.3">
      <c r="A2885" s="245"/>
      <c r="B2885" s="246"/>
      <c r="C2885" s="245"/>
      <c r="D2885" s="245"/>
      <c r="E2885" s="245"/>
      <c r="F2885" s="245"/>
      <c r="G2885" s="245"/>
      <c r="H2885" s="245"/>
      <c r="I2885" s="245"/>
      <c r="J2885" s="245"/>
      <c r="K2885" s="245"/>
      <c r="L2885" s="246"/>
      <c r="M2885" s="245"/>
      <c r="N2885" s="245"/>
      <c r="O2885" s="245"/>
      <c r="P2885" s="245"/>
      <c r="Q2885" s="247"/>
      <c r="R2885" s="247"/>
      <c r="S2885" s="247"/>
      <c r="T2885" s="245"/>
      <c r="U2885" s="245"/>
      <c r="V2885" s="241"/>
      <c r="W2885" s="241"/>
      <c r="X2885" s="241"/>
    </row>
    <row r="2886" spans="1:24" ht="13.5" customHeight="1" x14ac:dyDescent="0.3">
      <c r="A2886" s="245"/>
      <c r="B2886" s="246"/>
      <c r="C2886" s="245"/>
      <c r="D2886" s="245"/>
      <c r="E2886" s="245"/>
      <c r="F2886" s="245"/>
      <c r="G2886" s="245"/>
      <c r="H2886" s="245"/>
      <c r="I2886" s="245"/>
      <c r="J2886" s="245"/>
      <c r="K2886" s="245"/>
      <c r="L2886" s="246"/>
      <c r="M2886" s="245"/>
      <c r="N2886" s="245"/>
      <c r="O2886" s="245"/>
      <c r="P2886" s="245"/>
      <c r="Q2886" s="247"/>
      <c r="R2886" s="247"/>
      <c r="S2886" s="247"/>
      <c r="T2886" s="245"/>
      <c r="U2886" s="245"/>
      <c r="V2886" s="241"/>
      <c r="W2886" s="241"/>
      <c r="X2886" s="241"/>
    </row>
    <row r="2887" spans="1:24" ht="13.5" customHeight="1" x14ac:dyDescent="0.3">
      <c r="A2887" s="245"/>
      <c r="B2887" s="246"/>
      <c r="C2887" s="245"/>
      <c r="D2887" s="245"/>
      <c r="E2887" s="245"/>
      <c r="F2887" s="245"/>
      <c r="G2887" s="245"/>
      <c r="H2887" s="245"/>
      <c r="I2887" s="245"/>
      <c r="J2887" s="245"/>
      <c r="K2887" s="245"/>
      <c r="L2887" s="246"/>
      <c r="M2887" s="245"/>
      <c r="N2887" s="245"/>
      <c r="O2887" s="245"/>
      <c r="P2887" s="245"/>
      <c r="Q2887" s="247"/>
      <c r="R2887" s="247"/>
      <c r="S2887" s="247"/>
      <c r="T2887" s="245"/>
      <c r="U2887" s="245"/>
      <c r="V2887" s="241"/>
      <c r="W2887" s="241"/>
      <c r="X2887" s="241"/>
    </row>
    <row r="2888" spans="1:24" ht="13.5" customHeight="1" x14ac:dyDescent="0.3">
      <c r="A2888" s="245"/>
      <c r="B2888" s="246"/>
      <c r="C2888" s="245"/>
      <c r="D2888" s="245"/>
      <c r="E2888" s="245"/>
      <c r="F2888" s="245"/>
      <c r="G2888" s="245"/>
      <c r="H2888" s="245"/>
      <c r="I2888" s="245"/>
      <c r="J2888" s="245"/>
      <c r="K2888" s="245"/>
      <c r="L2888" s="246"/>
      <c r="M2888" s="245"/>
      <c r="N2888" s="245"/>
      <c r="O2888" s="245"/>
      <c r="P2888" s="245"/>
      <c r="Q2888" s="247"/>
      <c r="R2888" s="247"/>
      <c r="S2888" s="247"/>
      <c r="T2888" s="245"/>
      <c r="U2888" s="245"/>
      <c r="V2888" s="241"/>
      <c r="W2888" s="241"/>
      <c r="X2888" s="241"/>
    </row>
    <row r="2889" spans="1:24" ht="13.5" customHeight="1" x14ac:dyDescent="0.3">
      <c r="A2889" s="245"/>
      <c r="B2889" s="246"/>
      <c r="C2889" s="245"/>
      <c r="D2889" s="245"/>
      <c r="E2889" s="245"/>
      <c r="F2889" s="245"/>
      <c r="G2889" s="245"/>
      <c r="H2889" s="245"/>
      <c r="I2889" s="245"/>
      <c r="J2889" s="245"/>
      <c r="K2889" s="245"/>
      <c r="L2889" s="246"/>
      <c r="M2889" s="245"/>
      <c r="N2889" s="245"/>
      <c r="O2889" s="245"/>
      <c r="P2889" s="245"/>
      <c r="Q2889" s="247"/>
      <c r="R2889" s="247"/>
      <c r="S2889" s="247"/>
      <c r="T2889" s="245"/>
      <c r="U2889" s="245"/>
      <c r="V2889" s="241"/>
      <c r="W2889" s="241"/>
      <c r="X2889" s="241"/>
    </row>
    <row r="2890" spans="1:24" ht="13.5" customHeight="1" x14ac:dyDescent="0.3">
      <c r="A2890" s="245"/>
      <c r="B2890" s="246"/>
      <c r="C2890" s="245"/>
      <c r="D2890" s="245"/>
      <c r="E2890" s="245"/>
      <c r="F2890" s="245"/>
      <c r="G2890" s="245"/>
      <c r="H2890" s="245"/>
      <c r="I2890" s="245"/>
      <c r="J2890" s="245"/>
      <c r="K2890" s="245"/>
      <c r="L2890" s="246"/>
      <c r="M2890" s="245"/>
      <c r="N2890" s="245"/>
      <c r="O2890" s="245"/>
      <c r="P2890" s="245"/>
      <c r="Q2890" s="247"/>
      <c r="R2890" s="247"/>
      <c r="S2890" s="247"/>
      <c r="T2890" s="245"/>
      <c r="U2890" s="245"/>
      <c r="V2890" s="241"/>
      <c r="W2890" s="241"/>
      <c r="X2890" s="241"/>
    </row>
    <row r="2891" spans="1:24" ht="13.5" customHeight="1" x14ac:dyDescent="0.3">
      <c r="A2891" s="245"/>
      <c r="B2891" s="246"/>
      <c r="C2891" s="245"/>
      <c r="D2891" s="245"/>
      <c r="E2891" s="245"/>
      <c r="F2891" s="245"/>
      <c r="G2891" s="245"/>
      <c r="H2891" s="245"/>
      <c r="I2891" s="245"/>
      <c r="J2891" s="245"/>
      <c r="K2891" s="245"/>
      <c r="L2891" s="246"/>
      <c r="M2891" s="245"/>
      <c r="N2891" s="245"/>
      <c r="O2891" s="245"/>
      <c r="P2891" s="245"/>
      <c r="Q2891" s="247"/>
      <c r="R2891" s="247"/>
      <c r="S2891" s="247"/>
      <c r="T2891" s="245"/>
      <c r="U2891" s="245"/>
      <c r="V2891" s="241"/>
      <c r="W2891" s="241"/>
      <c r="X2891" s="241"/>
    </row>
    <row r="2892" spans="1:24" ht="13.5" customHeight="1" x14ac:dyDescent="0.3">
      <c r="A2892" s="245"/>
      <c r="B2892" s="246"/>
      <c r="C2892" s="245"/>
      <c r="D2892" s="245"/>
      <c r="E2892" s="245"/>
      <c r="F2892" s="245"/>
      <c r="G2892" s="245"/>
      <c r="H2892" s="245"/>
      <c r="I2892" s="245"/>
      <c r="J2892" s="245"/>
      <c r="K2892" s="245"/>
      <c r="L2892" s="246"/>
      <c r="M2892" s="245"/>
      <c r="N2892" s="245"/>
      <c r="O2892" s="245"/>
      <c r="P2892" s="245"/>
      <c r="Q2892" s="247"/>
      <c r="R2892" s="247"/>
      <c r="S2892" s="247"/>
      <c r="T2892" s="245"/>
      <c r="U2892" s="245"/>
      <c r="V2892" s="241"/>
      <c r="W2892" s="241"/>
      <c r="X2892" s="241"/>
    </row>
    <row r="2893" spans="1:24" ht="13.5" customHeight="1" x14ac:dyDescent="0.3">
      <c r="A2893" s="245"/>
      <c r="B2893" s="246"/>
      <c r="C2893" s="245"/>
      <c r="D2893" s="245"/>
      <c r="E2893" s="245"/>
      <c r="F2893" s="245"/>
      <c r="G2893" s="245"/>
      <c r="H2893" s="245"/>
      <c r="I2893" s="245"/>
      <c r="J2893" s="245"/>
      <c r="K2893" s="245"/>
      <c r="L2893" s="246"/>
      <c r="M2893" s="245"/>
      <c r="N2893" s="245"/>
      <c r="O2893" s="245"/>
      <c r="P2893" s="245"/>
      <c r="Q2893" s="247"/>
      <c r="R2893" s="247"/>
      <c r="S2893" s="247"/>
      <c r="T2893" s="245"/>
      <c r="U2893" s="245"/>
      <c r="V2893" s="241"/>
      <c r="W2893" s="241"/>
      <c r="X2893" s="241"/>
    </row>
    <row r="2894" spans="1:24" ht="13.5" customHeight="1" x14ac:dyDescent="0.3">
      <c r="A2894" s="245"/>
      <c r="B2894" s="246"/>
      <c r="C2894" s="245"/>
      <c r="D2894" s="245"/>
      <c r="E2894" s="245"/>
      <c r="F2894" s="245"/>
      <c r="G2894" s="245"/>
      <c r="H2894" s="245"/>
      <c r="I2894" s="245"/>
      <c r="J2894" s="245"/>
      <c r="K2894" s="245"/>
      <c r="L2894" s="246"/>
      <c r="M2894" s="245"/>
      <c r="N2894" s="245"/>
      <c r="O2894" s="245"/>
      <c r="P2894" s="245"/>
      <c r="Q2894" s="247"/>
      <c r="R2894" s="247"/>
      <c r="S2894" s="247"/>
      <c r="T2894" s="245"/>
      <c r="U2894" s="245"/>
      <c r="V2894" s="241"/>
      <c r="W2894" s="241"/>
      <c r="X2894" s="241"/>
    </row>
    <row r="2895" spans="1:24" ht="13.5" customHeight="1" x14ac:dyDescent="0.3">
      <c r="A2895" s="245"/>
      <c r="B2895" s="246"/>
      <c r="C2895" s="245"/>
      <c r="D2895" s="245"/>
      <c r="E2895" s="245"/>
      <c r="F2895" s="245"/>
      <c r="G2895" s="245"/>
      <c r="H2895" s="245"/>
      <c r="I2895" s="245"/>
      <c r="J2895" s="245"/>
      <c r="K2895" s="245"/>
      <c r="L2895" s="246"/>
      <c r="M2895" s="245"/>
      <c r="N2895" s="245"/>
      <c r="O2895" s="245"/>
      <c r="P2895" s="245"/>
      <c r="Q2895" s="247"/>
      <c r="R2895" s="247"/>
      <c r="S2895" s="247"/>
      <c r="T2895" s="245"/>
      <c r="U2895" s="245"/>
      <c r="V2895" s="241"/>
      <c r="W2895" s="241"/>
      <c r="X2895" s="241"/>
    </row>
    <row r="2896" spans="1:24" ht="13.5" customHeight="1" x14ac:dyDescent="0.3">
      <c r="A2896" s="245"/>
      <c r="B2896" s="246"/>
      <c r="C2896" s="245"/>
      <c r="D2896" s="245"/>
      <c r="E2896" s="245"/>
      <c r="F2896" s="245"/>
      <c r="G2896" s="245"/>
      <c r="H2896" s="245"/>
      <c r="I2896" s="245"/>
      <c r="J2896" s="245"/>
      <c r="K2896" s="245"/>
      <c r="L2896" s="246"/>
      <c r="M2896" s="245"/>
      <c r="N2896" s="245"/>
      <c r="O2896" s="245"/>
      <c r="P2896" s="245"/>
      <c r="Q2896" s="247"/>
      <c r="R2896" s="247"/>
      <c r="S2896" s="247"/>
      <c r="T2896" s="245"/>
      <c r="U2896" s="245"/>
      <c r="V2896" s="241"/>
      <c r="W2896" s="241"/>
      <c r="X2896" s="241"/>
    </row>
    <row r="2897" spans="1:24" ht="13.5" customHeight="1" x14ac:dyDescent="0.3">
      <c r="A2897" s="245"/>
      <c r="B2897" s="246"/>
      <c r="C2897" s="245"/>
      <c r="D2897" s="245"/>
      <c r="E2897" s="245"/>
      <c r="F2897" s="245"/>
      <c r="G2897" s="245"/>
      <c r="H2897" s="245"/>
      <c r="I2897" s="245"/>
      <c r="J2897" s="245"/>
      <c r="K2897" s="245"/>
      <c r="L2897" s="246"/>
      <c r="M2897" s="245"/>
      <c r="N2897" s="245"/>
      <c r="O2897" s="245"/>
      <c r="P2897" s="245"/>
      <c r="Q2897" s="247"/>
      <c r="R2897" s="247"/>
      <c r="S2897" s="247"/>
      <c r="T2897" s="245"/>
      <c r="U2897" s="245"/>
      <c r="V2897" s="241"/>
      <c r="W2897" s="241"/>
      <c r="X2897" s="241"/>
    </row>
    <row r="2898" spans="1:24" ht="13.5" customHeight="1" x14ac:dyDescent="0.3">
      <c r="A2898" s="245"/>
      <c r="B2898" s="246"/>
      <c r="C2898" s="245"/>
      <c r="D2898" s="245"/>
      <c r="E2898" s="245"/>
      <c r="F2898" s="245"/>
      <c r="G2898" s="245"/>
      <c r="H2898" s="245"/>
      <c r="I2898" s="245"/>
      <c r="J2898" s="245"/>
      <c r="K2898" s="245"/>
      <c r="L2898" s="246"/>
      <c r="M2898" s="245"/>
      <c r="N2898" s="245"/>
      <c r="O2898" s="245"/>
      <c r="P2898" s="245"/>
      <c r="Q2898" s="247"/>
      <c r="R2898" s="247"/>
      <c r="S2898" s="247"/>
      <c r="T2898" s="245"/>
      <c r="U2898" s="245"/>
      <c r="V2898" s="241"/>
      <c r="W2898" s="241"/>
      <c r="X2898" s="241"/>
    </row>
    <row r="2899" spans="1:24" ht="13.5" customHeight="1" x14ac:dyDescent="0.3">
      <c r="A2899" s="245"/>
      <c r="B2899" s="246"/>
      <c r="C2899" s="245"/>
      <c r="D2899" s="245"/>
      <c r="E2899" s="245"/>
      <c r="F2899" s="245"/>
      <c r="G2899" s="245"/>
      <c r="H2899" s="245"/>
      <c r="I2899" s="245"/>
      <c r="J2899" s="245"/>
      <c r="K2899" s="245"/>
      <c r="L2899" s="246"/>
      <c r="M2899" s="245"/>
      <c r="N2899" s="245"/>
      <c r="O2899" s="245"/>
      <c r="P2899" s="245"/>
      <c r="Q2899" s="247"/>
      <c r="R2899" s="247"/>
      <c r="S2899" s="247"/>
      <c r="T2899" s="245"/>
      <c r="U2899" s="245"/>
      <c r="V2899" s="241"/>
      <c r="W2899" s="241"/>
      <c r="X2899" s="241"/>
    </row>
    <row r="2900" spans="1:24" ht="13.5" customHeight="1" x14ac:dyDescent="0.3">
      <c r="A2900" s="245"/>
      <c r="B2900" s="246"/>
      <c r="C2900" s="245"/>
      <c r="D2900" s="245"/>
      <c r="E2900" s="245"/>
      <c r="F2900" s="245"/>
      <c r="G2900" s="245"/>
      <c r="H2900" s="245"/>
      <c r="I2900" s="245"/>
      <c r="J2900" s="245"/>
      <c r="K2900" s="245"/>
      <c r="L2900" s="246"/>
      <c r="M2900" s="245"/>
      <c r="N2900" s="245"/>
      <c r="O2900" s="245"/>
      <c r="P2900" s="245"/>
      <c r="Q2900" s="247"/>
      <c r="R2900" s="247"/>
      <c r="S2900" s="247"/>
      <c r="T2900" s="245"/>
      <c r="U2900" s="245"/>
      <c r="V2900" s="241"/>
      <c r="W2900" s="241"/>
      <c r="X2900" s="241"/>
    </row>
    <row r="2901" spans="1:24" ht="13.5" customHeight="1" x14ac:dyDescent="0.3">
      <c r="A2901" s="245"/>
      <c r="B2901" s="246"/>
      <c r="C2901" s="245"/>
      <c r="D2901" s="245"/>
      <c r="E2901" s="245"/>
      <c r="F2901" s="245"/>
      <c r="G2901" s="245"/>
      <c r="H2901" s="245"/>
      <c r="I2901" s="245"/>
      <c r="J2901" s="245"/>
      <c r="K2901" s="245"/>
      <c r="L2901" s="246"/>
      <c r="M2901" s="245"/>
      <c r="N2901" s="245"/>
      <c r="O2901" s="245"/>
      <c r="P2901" s="245"/>
      <c r="Q2901" s="247"/>
      <c r="R2901" s="247"/>
      <c r="S2901" s="247"/>
      <c r="T2901" s="245"/>
      <c r="U2901" s="245"/>
      <c r="V2901" s="241"/>
      <c r="W2901" s="241"/>
      <c r="X2901" s="241"/>
    </row>
    <row r="2902" spans="1:24" ht="13.5" customHeight="1" x14ac:dyDescent="0.3">
      <c r="A2902" s="245"/>
      <c r="B2902" s="246"/>
      <c r="C2902" s="245"/>
      <c r="D2902" s="245"/>
      <c r="E2902" s="245"/>
      <c r="F2902" s="245"/>
      <c r="G2902" s="245"/>
      <c r="H2902" s="245"/>
      <c r="I2902" s="245"/>
      <c r="J2902" s="245"/>
      <c r="K2902" s="245"/>
      <c r="L2902" s="246"/>
      <c r="M2902" s="245"/>
      <c r="N2902" s="245"/>
      <c r="O2902" s="245"/>
      <c r="P2902" s="245"/>
      <c r="Q2902" s="247"/>
      <c r="R2902" s="247"/>
      <c r="S2902" s="247"/>
      <c r="T2902" s="245"/>
      <c r="U2902" s="245"/>
      <c r="V2902" s="241"/>
      <c r="W2902" s="241"/>
      <c r="X2902" s="241"/>
    </row>
    <row r="2903" spans="1:24" ht="13.5" customHeight="1" x14ac:dyDescent="0.3">
      <c r="A2903" s="245"/>
      <c r="B2903" s="246"/>
      <c r="C2903" s="245"/>
      <c r="D2903" s="245"/>
      <c r="E2903" s="245"/>
      <c r="F2903" s="245"/>
      <c r="G2903" s="245"/>
      <c r="H2903" s="245"/>
      <c r="I2903" s="245"/>
      <c r="J2903" s="245"/>
      <c r="K2903" s="245"/>
      <c r="L2903" s="246"/>
      <c r="M2903" s="245"/>
      <c r="N2903" s="245"/>
      <c r="O2903" s="245"/>
      <c r="P2903" s="245"/>
      <c r="Q2903" s="247"/>
      <c r="R2903" s="247"/>
      <c r="S2903" s="247"/>
      <c r="T2903" s="245"/>
      <c r="U2903" s="245"/>
      <c r="V2903" s="241"/>
      <c r="W2903" s="241"/>
      <c r="X2903" s="241"/>
    </row>
    <row r="2904" spans="1:24" ht="13.5" customHeight="1" x14ac:dyDescent="0.3">
      <c r="A2904" s="245"/>
      <c r="B2904" s="246"/>
      <c r="C2904" s="245"/>
      <c r="D2904" s="245"/>
      <c r="E2904" s="245"/>
      <c r="F2904" s="245"/>
      <c r="G2904" s="245"/>
      <c r="H2904" s="245"/>
      <c r="I2904" s="245"/>
      <c r="J2904" s="245"/>
      <c r="K2904" s="245"/>
      <c r="L2904" s="246"/>
      <c r="M2904" s="245"/>
      <c r="N2904" s="245"/>
      <c r="O2904" s="245"/>
      <c r="P2904" s="245"/>
      <c r="Q2904" s="247"/>
      <c r="R2904" s="247"/>
      <c r="S2904" s="247"/>
      <c r="T2904" s="245"/>
      <c r="U2904" s="245"/>
      <c r="V2904" s="241"/>
      <c r="W2904" s="241"/>
      <c r="X2904" s="241"/>
    </row>
    <row r="2905" spans="1:24" ht="13.5" customHeight="1" x14ac:dyDescent="0.3">
      <c r="A2905" s="245"/>
      <c r="B2905" s="246"/>
      <c r="C2905" s="245"/>
      <c r="D2905" s="245"/>
      <c r="E2905" s="245"/>
      <c r="F2905" s="245"/>
      <c r="G2905" s="245"/>
      <c r="H2905" s="245"/>
      <c r="I2905" s="245"/>
      <c r="J2905" s="245"/>
      <c r="K2905" s="245"/>
      <c r="L2905" s="246"/>
      <c r="M2905" s="245"/>
      <c r="N2905" s="245"/>
      <c r="O2905" s="245"/>
      <c r="P2905" s="245"/>
      <c r="Q2905" s="247"/>
      <c r="R2905" s="247"/>
      <c r="S2905" s="247"/>
      <c r="T2905" s="245"/>
      <c r="U2905" s="245"/>
      <c r="V2905" s="241"/>
      <c r="W2905" s="241"/>
      <c r="X2905" s="241"/>
    </row>
    <row r="2906" spans="1:24" ht="13.5" customHeight="1" x14ac:dyDescent="0.3">
      <c r="A2906" s="245"/>
      <c r="B2906" s="246"/>
      <c r="C2906" s="245"/>
      <c r="D2906" s="245"/>
      <c r="E2906" s="245"/>
      <c r="F2906" s="245"/>
      <c r="G2906" s="245"/>
      <c r="H2906" s="245"/>
      <c r="I2906" s="245"/>
      <c r="J2906" s="245"/>
      <c r="K2906" s="245"/>
      <c r="L2906" s="246"/>
      <c r="M2906" s="245"/>
      <c r="N2906" s="245"/>
      <c r="O2906" s="245"/>
      <c r="P2906" s="245"/>
      <c r="Q2906" s="247"/>
      <c r="R2906" s="247"/>
      <c r="S2906" s="247"/>
      <c r="T2906" s="245"/>
      <c r="U2906" s="245"/>
      <c r="V2906" s="241"/>
      <c r="W2906" s="241"/>
      <c r="X2906" s="241"/>
    </row>
    <row r="2907" spans="1:24" ht="13.5" customHeight="1" x14ac:dyDescent="0.3">
      <c r="A2907" s="245"/>
      <c r="B2907" s="246"/>
      <c r="C2907" s="245"/>
      <c r="D2907" s="245"/>
      <c r="E2907" s="245"/>
      <c r="F2907" s="245"/>
      <c r="G2907" s="245"/>
      <c r="H2907" s="245"/>
      <c r="I2907" s="245"/>
      <c r="J2907" s="245"/>
      <c r="K2907" s="245"/>
      <c r="L2907" s="246"/>
      <c r="M2907" s="245"/>
      <c r="N2907" s="245"/>
      <c r="O2907" s="245"/>
      <c r="P2907" s="245"/>
      <c r="Q2907" s="247"/>
      <c r="R2907" s="247"/>
      <c r="S2907" s="247"/>
      <c r="T2907" s="245"/>
      <c r="U2907" s="245"/>
      <c r="V2907" s="241"/>
      <c r="W2907" s="241"/>
      <c r="X2907" s="241"/>
    </row>
    <row r="2908" spans="1:24" ht="13.5" customHeight="1" x14ac:dyDescent="0.3">
      <c r="A2908" s="245"/>
      <c r="B2908" s="246"/>
      <c r="C2908" s="245"/>
      <c r="D2908" s="245"/>
      <c r="E2908" s="245"/>
      <c r="F2908" s="245"/>
      <c r="G2908" s="245"/>
      <c r="H2908" s="245"/>
      <c r="I2908" s="245"/>
      <c r="J2908" s="245"/>
      <c r="K2908" s="245"/>
      <c r="L2908" s="246"/>
      <c r="M2908" s="245"/>
      <c r="N2908" s="245"/>
      <c r="O2908" s="245"/>
      <c r="P2908" s="245"/>
      <c r="Q2908" s="247"/>
      <c r="R2908" s="247"/>
      <c r="S2908" s="247"/>
      <c r="T2908" s="245"/>
      <c r="U2908" s="245"/>
      <c r="V2908" s="241"/>
      <c r="W2908" s="241"/>
      <c r="X2908" s="241"/>
    </row>
    <row r="2909" spans="1:24" ht="13.5" customHeight="1" x14ac:dyDescent="0.3">
      <c r="A2909" s="245"/>
      <c r="B2909" s="246"/>
      <c r="C2909" s="245"/>
      <c r="D2909" s="245"/>
      <c r="E2909" s="245"/>
      <c r="F2909" s="245"/>
      <c r="G2909" s="245"/>
      <c r="H2909" s="245"/>
      <c r="I2909" s="245"/>
      <c r="J2909" s="245"/>
      <c r="K2909" s="245"/>
      <c r="L2909" s="246"/>
      <c r="M2909" s="245"/>
      <c r="N2909" s="245"/>
      <c r="O2909" s="245"/>
      <c r="P2909" s="245"/>
      <c r="Q2909" s="247"/>
      <c r="R2909" s="247"/>
      <c r="S2909" s="247"/>
      <c r="T2909" s="245"/>
      <c r="U2909" s="245"/>
      <c r="V2909" s="241"/>
      <c r="W2909" s="241"/>
      <c r="X2909" s="241"/>
    </row>
    <row r="2910" spans="1:24" ht="13.5" customHeight="1" x14ac:dyDescent="0.3">
      <c r="A2910" s="245"/>
      <c r="B2910" s="246"/>
      <c r="C2910" s="245"/>
      <c r="D2910" s="245"/>
      <c r="E2910" s="245"/>
      <c r="F2910" s="245"/>
      <c r="G2910" s="245"/>
      <c r="H2910" s="245"/>
      <c r="I2910" s="245"/>
      <c r="J2910" s="245"/>
      <c r="K2910" s="245"/>
      <c r="L2910" s="246"/>
      <c r="M2910" s="245"/>
      <c r="N2910" s="245"/>
      <c r="O2910" s="245"/>
      <c r="P2910" s="245"/>
      <c r="Q2910" s="247"/>
      <c r="R2910" s="247"/>
      <c r="S2910" s="247"/>
      <c r="T2910" s="245"/>
      <c r="U2910" s="245"/>
      <c r="V2910" s="241"/>
      <c r="W2910" s="241"/>
      <c r="X2910" s="241"/>
    </row>
    <row r="2911" spans="1:24" ht="13.5" customHeight="1" x14ac:dyDescent="0.3">
      <c r="A2911" s="245"/>
      <c r="B2911" s="246"/>
      <c r="C2911" s="245"/>
      <c r="D2911" s="245"/>
      <c r="E2911" s="245"/>
      <c r="F2911" s="245"/>
      <c r="G2911" s="245"/>
      <c r="H2911" s="245"/>
      <c r="I2911" s="245"/>
      <c r="J2911" s="245"/>
      <c r="K2911" s="245"/>
      <c r="L2911" s="246"/>
      <c r="M2911" s="245"/>
      <c r="N2911" s="245"/>
      <c r="O2911" s="245"/>
      <c r="P2911" s="245"/>
      <c r="Q2911" s="247"/>
      <c r="R2911" s="247"/>
      <c r="S2911" s="247"/>
      <c r="T2911" s="245"/>
      <c r="U2911" s="245"/>
      <c r="V2911" s="241"/>
      <c r="W2911" s="241"/>
      <c r="X2911" s="241"/>
    </row>
    <row r="2912" spans="1:24" ht="13.5" customHeight="1" x14ac:dyDescent="0.3">
      <c r="A2912" s="245"/>
      <c r="B2912" s="246"/>
      <c r="C2912" s="245"/>
      <c r="D2912" s="245"/>
      <c r="E2912" s="245"/>
      <c r="F2912" s="245"/>
      <c r="G2912" s="245"/>
      <c r="H2912" s="245"/>
      <c r="I2912" s="245"/>
      <c r="J2912" s="245"/>
      <c r="K2912" s="245"/>
      <c r="L2912" s="246"/>
      <c r="M2912" s="245"/>
      <c r="N2912" s="245"/>
      <c r="O2912" s="245"/>
      <c r="P2912" s="245"/>
      <c r="Q2912" s="247"/>
      <c r="R2912" s="247"/>
      <c r="S2912" s="247"/>
      <c r="T2912" s="245"/>
      <c r="U2912" s="245"/>
      <c r="V2912" s="241"/>
      <c r="W2912" s="241"/>
      <c r="X2912" s="241"/>
    </row>
    <row r="2913" spans="1:24" ht="13.5" customHeight="1" x14ac:dyDescent="0.3">
      <c r="A2913" s="245"/>
      <c r="B2913" s="246"/>
      <c r="C2913" s="245"/>
      <c r="D2913" s="245"/>
      <c r="E2913" s="245"/>
      <c r="F2913" s="245"/>
      <c r="G2913" s="245"/>
      <c r="H2913" s="245"/>
      <c r="I2913" s="245"/>
      <c r="J2913" s="245"/>
      <c r="K2913" s="245"/>
      <c r="L2913" s="246"/>
      <c r="M2913" s="245"/>
      <c r="N2913" s="245"/>
      <c r="O2913" s="245"/>
      <c r="P2913" s="245"/>
      <c r="Q2913" s="247"/>
      <c r="R2913" s="247"/>
      <c r="S2913" s="247"/>
      <c r="T2913" s="245"/>
      <c r="U2913" s="245"/>
      <c r="V2913" s="241"/>
      <c r="W2913" s="241"/>
      <c r="X2913" s="241"/>
    </row>
    <row r="2914" spans="1:24" ht="13.5" customHeight="1" x14ac:dyDescent="0.3">
      <c r="A2914" s="245"/>
      <c r="B2914" s="246"/>
      <c r="C2914" s="245"/>
      <c r="D2914" s="245"/>
      <c r="E2914" s="245"/>
      <c r="F2914" s="245"/>
      <c r="G2914" s="245"/>
      <c r="H2914" s="245"/>
      <c r="I2914" s="245"/>
      <c r="J2914" s="245"/>
      <c r="K2914" s="245"/>
      <c r="L2914" s="246"/>
      <c r="M2914" s="245"/>
      <c r="N2914" s="245"/>
      <c r="O2914" s="245"/>
      <c r="P2914" s="245"/>
      <c r="Q2914" s="247"/>
      <c r="R2914" s="247"/>
      <c r="S2914" s="247"/>
      <c r="T2914" s="245"/>
      <c r="U2914" s="245"/>
      <c r="V2914" s="241"/>
      <c r="W2914" s="241"/>
      <c r="X2914" s="241"/>
    </row>
    <row r="2915" spans="1:24" ht="13.5" customHeight="1" x14ac:dyDescent="0.3">
      <c r="A2915" s="245"/>
      <c r="B2915" s="246"/>
      <c r="C2915" s="245"/>
      <c r="D2915" s="245"/>
      <c r="E2915" s="245"/>
      <c r="F2915" s="245"/>
      <c r="G2915" s="245"/>
      <c r="H2915" s="245"/>
      <c r="I2915" s="245"/>
      <c r="J2915" s="245"/>
      <c r="K2915" s="245"/>
      <c r="L2915" s="246"/>
      <c r="M2915" s="245"/>
      <c r="N2915" s="245"/>
      <c r="O2915" s="245"/>
      <c r="P2915" s="245"/>
      <c r="Q2915" s="247"/>
      <c r="R2915" s="247"/>
      <c r="S2915" s="247"/>
      <c r="T2915" s="245"/>
      <c r="U2915" s="245"/>
      <c r="V2915" s="241"/>
      <c r="W2915" s="241"/>
      <c r="X2915" s="241"/>
    </row>
    <row r="2916" spans="1:24" ht="13.5" customHeight="1" x14ac:dyDescent="0.3">
      <c r="A2916" s="245"/>
      <c r="B2916" s="246"/>
      <c r="C2916" s="245"/>
      <c r="D2916" s="245"/>
      <c r="E2916" s="245"/>
      <c r="F2916" s="245"/>
      <c r="G2916" s="245"/>
      <c r="H2916" s="245"/>
      <c r="I2916" s="245"/>
      <c r="J2916" s="245"/>
      <c r="K2916" s="245"/>
      <c r="L2916" s="246"/>
      <c r="M2916" s="245"/>
      <c r="N2916" s="245"/>
      <c r="O2916" s="245"/>
      <c r="P2916" s="245"/>
      <c r="Q2916" s="247"/>
      <c r="R2916" s="247"/>
      <c r="S2916" s="247"/>
      <c r="T2916" s="245"/>
      <c r="U2916" s="245"/>
      <c r="V2916" s="241"/>
      <c r="W2916" s="241"/>
      <c r="X2916" s="241"/>
    </row>
    <row r="2917" spans="1:24" ht="13.5" customHeight="1" x14ac:dyDescent="0.3">
      <c r="A2917" s="245"/>
      <c r="B2917" s="246"/>
      <c r="C2917" s="245"/>
      <c r="D2917" s="245"/>
      <c r="E2917" s="245"/>
      <c r="F2917" s="245"/>
      <c r="G2917" s="245"/>
      <c r="H2917" s="245"/>
      <c r="I2917" s="245"/>
      <c r="J2917" s="245"/>
      <c r="K2917" s="245"/>
      <c r="L2917" s="246"/>
      <c r="M2917" s="245"/>
      <c r="N2917" s="245"/>
      <c r="O2917" s="245"/>
      <c r="P2917" s="245"/>
      <c r="Q2917" s="247"/>
      <c r="R2917" s="247"/>
      <c r="S2917" s="247"/>
      <c r="T2917" s="245"/>
      <c r="U2917" s="245"/>
      <c r="V2917" s="241"/>
      <c r="W2917" s="241"/>
      <c r="X2917" s="241"/>
    </row>
    <row r="2918" spans="1:24" ht="13.5" customHeight="1" x14ac:dyDescent="0.3">
      <c r="A2918" s="245"/>
      <c r="B2918" s="246"/>
      <c r="C2918" s="245"/>
      <c r="D2918" s="245"/>
      <c r="E2918" s="245"/>
      <c r="F2918" s="245"/>
      <c r="G2918" s="245"/>
      <c r="H2918" s="245"/>
      <c r="I2918" s="245"/>
      <c r="J2918" s="245"/>
      <c r="K2918" s="245"/>
      <c r="L2918" s="246"/>
      <c r="M2918" s="245"/>
      <c r="N2918" s="245"/>
      <c r="O2918" s="245"/>
      <c r="P2918" s="245"/>
      <c r="Q2918" s="247"/>
      <c r="R2918" s="247"/>
      <c r="S2918" s="247"/>
      <c r="T2918" s="245"/>
      <c r="U2918" s="245"/>
      <c r="V2918" s="241"/>
      <c r="W2918" s="241"/>
      <c r="X2918" s="241"/>
    </row>
    <row r="2919" spans="1:24" ht="13.5" customHeight="1" x14ac:dyDescent="0.3">
      <c r="A2919" s="245"/>
      <c r="B2919" s="246"/>
      <c r="C2919" s="245"/>
      <c r="D2919" s="245"/>
      <c r="E2919" s="245"/>
      <c r="F2919" s="245"/>
      <c r="G2919" s="245"/>
      <c r="H2919" s="245"/>
      <c r="I2919" s="245"/>
      <c r="J2919" s="245"/>
      <c r="K2919" s="245"/>
      <c r="L2919" s="246"/>
      <c r="M2919" s="245"/>
      <c r="N2919" s="245"/>
      <c r="O2919" s="245"/>
      <c r="P2919" s="245"/>
      <c r="Q2919" s="247"/>
      <c r="R2919" s="247"/>
      <c r="S2919" s="247"/>
      <c r="T2919" s="245"/>
      <c r="U2919" s="245"/>
      <c r="V2919" s="241"/>
      <c r="W2919" s="241"/>
      <c r="X2919" s="241"/>
    </row>
    <row r="2920" spans="1:24" ht="13.5" customHeight="1" x14ac:dyDescent="0.3">
      <c r="A2920" s="245"/>
      <c r="B2920" s="246"/>
      <c r="C2920" s="245"/>
      <c r="D2920" s="245"/>
      <c r="E2920" s="245"/>
      <c r="F2920" s="245"/>
      <c r="G2920" s="245"/>
      <c r="H2920" s="245"/>
      <c r="I2920" s="245"/>
      <c r="J2920" s="245"/>
      <c r="K2920" s="245"/>
      <c r="L2920" s="246"/>
      <c r="M2920" s="245"/>
      <c r="N2920" s="245"/>
      <c r="O2920" s="245"/>
      <c r="P2920" s="245"/>
      <c r="Q2920" s="247"/>
      <c r="R2920" s="247"/>
      <c r="S2920" s="247"/>
      <c r="T2920" s="245"/>
      <c r="U2920" s="245"/>
      <c r="V2920" s="241"/>
      <c r="W2920" s="241"/>
      <c r="X2920" s="241"/>
    </row>
    <row r="2921" spans="1:24" ht="13.5" customHeight="1" x14ac:dyDescent="0.3">
      <c r="A2921" s="245"/>
      <c r="B2921" s="246"/>
      <c r="C2921" s="245"/>
      <c r="D2921" s="245"/>
      <c r="E2921" s="245"/>
      <c r="F2921" s="245"/>
      <c r="G2921" s="245"/>
      <c r="H2921" s="245"/>
      <c r="I2921" s="245"/>
      <c r="J2921" s="245"/>
      <c r="K2921" s="245"/>
      <c r="L2921" s="246"/>
      <c r="M2921" s="245"/>
      <c r="N2921" s="245"/>
      <c r="O2921" s="245"/>
      <c r="P2921" s="245"/>
      <c r="Q2921" s="247"/>
      <c r="R2921" s="247"/>
      <c r="S2921" s="247"/>
      <c r="T2921" s="245"/>
      <c r="U2921" s="245"/>
      <c r="V2921" s="241"/>
      <c r="W2921" s="241"/>
      <c r="X2921" s="241"/>
    </row>
    <row r="2922" spans="1:24" ht="13.5" customHeight="1" x14ac:dyDescent="0.3">
      <c r="A2922" s="245"/>
      <c r="B2922" s="246"/>
      <c r="C2922" s="245"/>
      <c r="D2922" s="245"/>
      <c r="E2922" s="245"/>
      <c r="F2922" s="245"/>
      <c r="G2922" s="245"/>
      <c r="H2922" s="245"/>
      <c r="I2922" s="245"/>
      <c r="J2922" s="245"/>
      <c r="K2922" s="245"/>
      <c r="L2922" s="246"/>
      <c r="M2922" s="245"/>
      <c r="N2922" s="245"/>
      <c r="O2922" s="245"/>
      <c r="P2922" s="245"/>
      <c r="Q2922" s="247"/>
      <c r="R2922" s="247"/>
      <c r="S2922" s="247"/>
      <c r="T2922" s="245"/>
      <c r="U2922" s="245"/>
      <c r="V2922" s="241"/>
      <c r="W2922" s="241"/>
      <c r="X2922" s="241"/>
    </row>
    <row r="2923" spans="1:24" ht="13.5" customHeight="1" x14ac:dyDescent="0.3">
      <c r="A2923" s="245"/>
      <c r="B2923" s="246"/>
      <c r="C2923" s="245"/>
      <c r="D2923" s="245"/>
      <c r="E2923" s="245"/>
      <c r="F2923" s="245"/>
      <c r="G2923" s="245"/>
      <c r="H2923" s="245"/>
      <c r="I2923" s="245"/>
      <c r="J2923" s="245"/>
      <c r="K2923" s="245"/>
      <c r="L2923" s="246"/>
      <c r="M2923" s="245"/>
      <c r="N2923" s="245"/>
      <c r="O2923" s="245"/>
      <c r="P2923" s="245"/>
      <c r="Q2923" s="247"/>
      <c r="R2923" s="247"/>
      <c r="S2923" s="247"/>
      <c r="T2923" s="245"/>
      <c r="U2923" s="245"/>
      <c r="V2923" s="241"/>
      <c r="W2923" s="241"/>
      <c r="X2923" s="241"/>
    </row>
    <row r="2924" spans="1:24" ht="13.5" customHeight="1" x14ac:dyDescent="0.3">
      <c r="A2924" s="245"/>
      <c r="B2924" s="246"/>
      <c r="C2924" s="245"/>
      <c r="D2924" s="245"/>
      <c r="E2924" s="245"/>
      <c r="F2924" s="245"/>
      <c r="G2924" s="245"/>
      <c r="H2924" s="245"/>
      <c r="I2924" s="245"/>
      <c r="J2924" s="245"/>
      <c r="K2924" s="245"/>
      <c r="L2924" s="246"/>
      <c r="M2924" s="245"/>
      <c r="N2924" s="245"/>
      <c r="O2924" s="245"/>
      <c r="P2924" s="245"/>
      <c r="Q2924" s="247"/>
      <c r="R2924" s="247"/>
      <c r="S2924" s="247"/>
      <c r="T2924" s="245"/>
      <c r="U2924" s="245"/>
      <c r="V2924" s="241"/>
      <c r="W2924" s="241"/>
      <c r="X2924" s="241"/>
    </row>
    <row r="2925" spans="1:24" ht="13.5" customHeight="1" x14ac:dyDescent="0.3">
      <c r="A2925" s="245"/>
      <c r="B2925" s="246"/>
      <c r="C2925" s="245"/>
      <c r="D2925" s="245"/>
      <c r="E2925" s="245"/>
      <c r="F2925" s="245"/>
      <c r="G2925" s="245"/>
      <c r="H2925" s="245"/>
      <c r="I2925" s="245"/>
      <c r="J2925" s="245"/>
      <c r="K2925" s="245"/>
      <c r="L2925" s="246"/>
      <c r="M2925" s="245"/>
      <c r="N2925" s="245"/>
      <c r="O2925" s="245"/>
      <c r="P2925" s="245"/>
      <c r="Q2925" s="247"/>
      <c r="R2925" s="247"/>
      <c r="S2925" s="247"/>
      <c r="T2925" s="245"/>
      <c r="U2925" s="245"/>
      <c r="V2925" s="241"/>
      <c r="W2925" s="241"/>
      <c r="X2925" s="241"/>
    </row>
    <row r="2926" spans="1:24" ht="13.5" customHeight="1" x14ac:dyDescent="0.3">
      <c r="A2926" s="245"/>
      <c r="B2926" s="246"/>
      <c r="C2926" s="245"/>
      <c r="D2926" s="245"/>
      <c r="E2926" s="245"/>
      <c r="F2926" s="245"/>
      <c r="G2926" s="245"/>
      <c r="H2926" s="245"/>
      <c r="I2926" s="245"/>
      <c r="J2926" s="245"/>
      <c r="K2926" s="245"/>
      <c r="L2926" s="246"/>
      <c r="M2926" s="245"/>
      <c r="N2926" s="245"/>
      <c r="O2926" s="245"/>
      <c r="P2926" s="245"/>
      <c r="Q2926" s="247"/>
      <c r="R2926" s="247"/>
      <c r="S2926" s="247"/>
      <c r="T2926" s="245"/>
      <c r="U2926" s="245"/>
      <c r="V2926" s="241"/>
      <c r="W2926" s="241"/>
      <c r="X2926" s="241"/>
    </row>
    <row r="2927" spans="1:24" ht="13.5" customHeight="1" x14ac:dyDescent="0.3">
      <c r="A2927" s="245"/>
      <c r="B2927" s="246"/>
      <c r="C2927" s="245"/>
      <c r="D2927" s="245"/>
      <c r="E2927" s="245"/>
      <c r="F2927" s="245"/>
      <c r="G2927" s="245"/>
      <c r="H2927" s="245"/>
      <c r="I2927" s="245"/>
      <c r="J2927" s="245"/>
      <c r="K2927" s="245"/>
      <c r="L2927" s="246"/>
      <c r="M2927" s="245"/>
      <c r="N2927" s="245"/>
      <c r="O2927" s="245"/>
      <c r="P2927" s="245"/>
      <c r="Q2927" s="247"/>
      <c r="R2927" s="247"/>
      <c r="S2927" s="247"/>
      <c r="T2927" s="245"/>
      <c r="U2927" s="245"/>
      <c r="V2927" s="241"/>
      <c r="W2927" s="241"/>
      <c r="X2927" s="241"/>
    </row>
    <row r="2928" spans="1:24" ht="13.5" customHeight="1" x14ac:dyDescent="0.3">
      <c r="A2928" s="245"/>
      <c r="B2928" s="246"/>
      <c r="C2928" s="245"/>
      <c r="D2928" s="245"/>
      <c r="E2928" s="245"/>
      <c r="F2928" s="245"/>
      <c r="G2928" s="245"/>
      <c r="H2928" s="245"/>
      <c r="I2928" s="245"/>
      <c r="J2928" s="245"/>
      <c r="K2928" s="245"/>
      <c r="L2928" s="246"/>
      <c r="M2928" s="245"/>
      <c r="N2928" s="245"/>
      <c r="O2928" s="245"/>
      <c r="P2928" s="245"/>
      <c r="Q2928" s="247"/>
      <c r="R2928" s="247"/>
      <c r="S2928" s="247"/>
      <c r="T2928" s="245"/>
      <c r="U2928" s="245"/>
      <c r="V2928" s="241"/>
      <c r="W2928" s="241"/>
      <c r="X2928" s="241"/>
    </row>
    <row r="2929" spans="1:24" ht="13.5" customHeight="1" x14ac:dyDescent="0.3">
      <c r="A2929" s="245"/>
      <c r="B2929" s="246"/>
      <c r="C2929" s="245"/>
      <c r="D2929" s="245"/>
      <c r="E2929" s="245"/>
      <c r="F2929" s="245"/>
      <c r="G2929" s="245"/>
      <c r="H2929" s="245"/>
      <c r="I2929" s="245"/>
      <c r="J2929" s="245"/>
      <c r="K2929" s="245"/>
      <c r="L2929" s="246"/>
      <c r="M2929" s="245"/>
      <c r="N2929" s="245"/>
      <c r="O2929" s="245"/>
      <c r="P2929" s="245"/>
      <c r="Q2929" s="247"/>
      <c r="R2929" s="247"/>
      <c r="S2929" s="247"/>
      <c r="T2929" s="245"/>
      <c r="U2929" s="245"/>
      <c r="V2929" s="241"/>
      <c r="W2929" s="241"/>
      <c r="X2929" s="241"/>
    </row>
    <row r="2930" spans="1:24" ht="13.5" customHeight="1" x14ac:dyDescent="0.3">
      <c r="A2930" s="245"/>
      <c r="B2930" s="246"/>
      <c r="C2930" s="245"/>
      <c r="D2930" s="245"/>
      <c r="E2930" s="245"/>
      <c r="F2930" s="245"/>
      <c r="G2930" s="245"/>
      <c r="H2930" s="245"/>
      <c r="I2930" s="245"/>
      <c r="J2930" s="245"/>
      <c r="K2930" s="245"/>
      <c r="L2930" s="246"/>
      <c r="M2930" s="245"/>
      <c r="N2930" s="245"/>
      <c r="O2930" s="245"/>
      <c r="P2930" s="245"/>
      <c r="Q2930" s="247"/>
      <c r="R2930" s="247"/>
      <c r="S2930" s="247"/>
      <c r="T2930" s="245"/>
      <c r="U2930" s="245"/>
      <c r="V2930" s="241"/>
      <c r="W2930" s="241"/>
      <c r="X2930" s="241"/>
    </row>
    <row r="2931" spans="1:24" ht="13.5" customHeight="1" x14ac:dyDescent="0.3">
      <c r="A2931" s="245"/>
      <c r="B2931" s="246"/>
      <c r="C2931" s="245"/>
      <c r="D2931" s="245"/>
      <c r="E2931" s="245"/>
      <c r="F2931" s="245"/>
      <c r="G2931" s="245"/>
      <c r="H2931" s="245"/>
      <c r="I2931" s="245"/>
      <c r="J2931" s="245"/>
      <c r="K2931" s="245"/>
      <c r="L2931" s="246"/>
      <c r="M2931" s="245"/>
      <c r="N2931" s="245"/>
      <c r="O2931" s="245"/>
      <c r="P2931" s="245"/>
      <c r="Q2931" s="247"/>
      <c r="R2931" s="247"/>
      <c r="S2931" s="247"/>
      <c r="T2931" s="245"/>
      <c r="U2931" s="245"/>
      <c r="V2931" s="241"/>
      <c r="W2931" s="241"/>
      <c r="X2931" s="241"/>
    </row>
    <row r="2932" spans="1:24" ht="13.5" customHeight="1" x14ac:dyDescent="0.3">
      <c r="A2932" s="245"/>
      <c r="B2932" s="246"/>
      <c r="C2932" s="245"/>
      <c r="D2932" s="245"/>
      <c r="E2932" s="245"/>
      <c r="F2932" s="245"/>
      <c r="G2932" s="245"/>
      <c r="H2932" s="245"/>
      <c r="I2932" s="245"/>
      <c r="J2932" s="245"/>
      <c r="K2932" s="245"/>
      <c r="L2932" s="246"/>
      <c r="M2932" s="245"/>
      <c r="N2932" s="245"/>
      <c r="O2932" s="245"/>
      <c r="P2932" s="245"/>
      <c r="Q2932" s="247"/>
      <c r="R2932" s="247"/>
      <c r="S2932" s="247"/>
      <c r="T2932" s="245"/>
      <c r="U2932" s="245"/>
      <c r="V2932" s="241"/>
      <c r="W2932" s="241"/>
      <c r="X2932" s="241"/>
    </row>
    <row r="2933" spans="1:24" ht="13.5" customHeight="1" x14ac:dyDescent="0.3">
      <c r="A2933" s="245"/>
      <c r="B2933" s="246"/>
      <c r="C2933" s="245"/>
      <c r="D2933" s="245"/>
      <c r="E2933" s="245"/>
      <c r="F2933" s="245"/>
      <c r="G2933" s="245"/>
      <c r="H2933" s="245"/>
      <c r="I2933" s="245"/>
      <c r="J2933" s="245"/>
      <c r="K2933" s="245"/>
      <c r="L2933" s="246"/>
      <c r="M2933" s="245"/>
      <c r="N2933" s="245"/>
      <c r="O2933" s="245"/>
      <c r="P2933" s="245"/>
      <c r="Q2933" s="247"/>
      <c r="R2933" s="247"/>
      <c r="S2933" s="247"/>
      <c r="T2933" s="245"/>
      <c r="U2933" s="245"/>
      <c r="V2933" s="241"/>
      <c r="W2933" s="241"/>
      <c r="X2933" s="241"/>
    </row>
    <row r="2934" spans="1:24" ht="13.5" customHeight="1" x14ac:dyDescent="0.3">
      <c r="A2934" s="245"/>
      <c r="B2934" s="246"/>
      <c r="C2934" s="245"/>
      <c r="D2934" s="245"/>
      <c r="E2934" s="245"/>
      <c r="F2934" s="245"/>
      <c r="G2934" s="245"/>
      <c r="H2934" s="245"/>
      <c r="I2934" s="245"/>
      <c r="J2934" s="245"/>
      <c r="K2934" s="245"/>
      <c r="L2934" s="246"/>
      <c r="M2934" s="245"/>
      <c r="N2934" s="245"/>
      <c r="O2934" s="245"/>
      <c r="P2934" s="245"/>
      <c r="Q2934" s="247"/>
      <c r="R2934" s="247"/>
      <c r="S2934" s="247"/>
      <c r="T2934" s="245"/>
      <c r="U2934" s="245"/>
      <c r="V2934" s="241"/>
      <c r="W2934" s="241"/>
      <c r="X2934" s="241"/>
    </row>
    <row r="2935" spans="1:24" ht="13.5" customHeight="1" x14ac:dyDescent="0.3">
      <c r="A2935" s="245"/>
      <c r="B2935" s="246"/>
      <c r="C2935" s="245"/>
      <c r="D2935" s="245"/>
      <c r="E2935" s="245"/>
      <c r="F2935" s="245"/>
      <c r="G2935" s="245"/>
      <c r="H2935" s="245"/>
      <c r="I2935" s="245"/>
      <c r="J2935" s="245"/>
      <c r="K2935" s="245"/>
      <c r="L2935" s="246"/>
      <c r="M2935" s="245"/>
      <c r="N2935" s="245"/>
      <c r="O2935" s="245"/>
      <c r="P2935" s="245"/>
      <c r="Q2935" s="247"/>
      <c r="R2935" s="247"/>
      <c r="S2935" s="247"/>
      <c r="T2935" s="245"/>
      <c r="U2935" s="245"/>
      <c r="V2935" s="241"/>
      <c r="W2935" s="241"/>
      <c r="X2935" s="241"/>
    </row>
    <row r="2936" spans="1:24" ht="13.5" customHeight="1" x14ac:dyDescent="0.3">
      <c r="A2936" s="245"/>
      <c r="B2936" s="246"/>
      <c r="C2936" s="245"/>
      <c r="D2936" s="245"/>
      <c r="E2936" s="245"/>
      <c r="F2936" s="245"/>
      <c r="G2936" s="245"/>
      <c r="H2936" s="245"/>
      <c r="I2936" s="245"/>
      <c r="J2936" s="245"/>
      <c r="K2936" s="245"/>
      <c r="L2936" s="246"/>
      <c r="M2936" s="245"/>
      <c r="N2936" s="245"/>
      <c r="O2936" s="245"/>
      <c r="P2936" s="245"/>
      <c r="Q2936" s="247"/>
      <c r="R2936" s="247"/>
      <c r="S2936" s="247"/>
      <c r="T2936" s="245"/>
      <c r="U2936" s="245"/>
      <c r="V2936" s="241"/>
      <c r="W2936" s="241"/>
      <c r="X2936" s="241"/>
    </row>
    <row r="2937" spans="1:24" ht="13.5" customHeight="1" x14ac:dyDescent="0.3">
      <c r="A2937" s="245"/>
      <c r="B2937" s="246"/>
      <c r="C2937" s="245"/>
      <c r="D2937" s="245"/>
      <c r="E2937" s="245"/>
      <c r="F2937" s="245"/>
      <c r="G2937" s="245"/>
      <c r="H2937" s="245"/>
      <c r="I2937" s="245"/>
      <c r="J2937" s="245"/>
      <c r="K2937" s="245"/>
      <c r="L2937" s="246"/>
      <c r="M2937" s="245"/>
      <c r="N2937" s="245"/>
      <c r="O2937" s="245"/>
      <c r="P2937" s="245"/>
      <c r="Q2937" s="247"/>
      <c r="R2937" s="247"/>
      <c r="S2937" s="247"/>
      <c r="T2937" s="245"/>
      <c r="U2937" s="245"/>
      <c r="V2937" s="241"/>
      <c r="W2937" s="241"/>
      <c r="X2937" s="241"/>
    </row>
    <row r="2938" spans="1:24" ht="13.5" customHeight="1" x14ac:dyDescent="0.3">
      <c r="A2938" s="245"/>
      <c r="B2938" s="246"/>
      <c r="C2938" s="245"/>
      <c r="D2938" s="245"/>
      <c r="E2938" s="245"/>
      <c r="F2938" s="245"/>
      <c r="G2938" s="245"/>
      <c r="H2938" s="245"/>
      <c r="I2938" s="245"/>
      <c r="J2938" s="245"/>
      <c r="K2938" s="245"/>
      <c r="L2938" s="246"/>
      <c r="M2938" s="245"/>
      <c r="N2938" s="245"/>
      <c r="O2938" s="245"/>
      <c r="P2938" s="245"/>
      <c r="Q2938" s="247"/>
      <c r="R2938" s="247"/>
      <c r="S2938" s="247"/>
      <c r="T2938" s="245"/>
      <c r="U2938" s="245"/>
      <c r="V2938" s="241"/>
      <c r="W2938" s="241"/>
      <c r="X2938" s="241"/>
    </row>
    <row r="2939" spans="1:24" ht="13.5" customHeight="1" x14ac:dyDescent="0.3">
      <c r="A2939" s="245"/>
      <c r="B2939" s="246"/>
      <c r="C2939" s="245"/>
      <c r="D2939" s="245"/>
      <c r="E2939" s="245"/>
      <c r="F2939" s="245"/>
      <c r="G2939" s="245"/>
      <c r="H2939" s="245"/>
      <c r="I2939" s="245"/>
      <c r="J2939" s="245"/>
      <c r="K2939" s="245"/>
      <c r="L2939" s="246"/>
      <c r="M2939" s="245"/>
      <c r="N2939" s="245"/>
      <c r="O2939" s="245"/>
      <c r="P2939" s="245"/>
      <c r="Q2939" s="247"/>
      <c r="R2939" s="247"/>
      <c r="S2939" s="247"/>
      <c r="T2939" s="245"/>
      <c r="U2939" s="245"/>
      <c r="V2939" s="241"/>
      <c r="W2939" s="241"/>
      <c r="X2939" s="241"/>
    </row>
    <row r="2940" spans="1:24" ht="13.5" customHeight="1" x14ac:dyDescent="0.3">
      <c r="A2940" s="245"/>
      <c r="B2940" s="246"/>
      <c r="C2940" s="245"/>
      <c r="D2940" s="245"/>
      <c r="E2940" s="245"/>
      <c r="F2940" s="245"/>
      <c r="G2940" s="245"/>
      <c r="H2940" s="245"/>
      <c r="I2940" s="245"/>
      <c r="J2940" s="245"/>
      <c r="K2940" s="245"/>
      <c r="L2940" s="246"/>
      <c r="M2940" s="245"/>
      <c r="N2940" s="245"/>
      <c r="O2940" s="245"/>
      <c r="P2940" s="245"/>
      <c r="Q2940" s="247"/>
      <c r="R2940" s="247"/>
      <c r="S2940" s="247"/>
      <c r="T2940" s="245"/>
      <c r="U2940" s="245"/>
      <c r="V2940" s="241"/>
      <c r="W2940" s="241"/>
      <c r="X2940" s="241"/>
    </row>
    <row r="2941" spans="1:24" ht="13.5" customHeight="1" x14ac:dyDescent="0.3">
      <c r="A2941" s="245"/>
      <c r="B2941" s="246"/>
      <c r="C2941" s="245"/>
      <c r="D2941" s="245"/>
      <c r="E2941" s="245"/>
      <c r="F2941" s="245"/>
      <c r="G2941" s="245"/>
      <c r="H2941" s="245"/>
      <c r="I2941" s="245"/>
      <c r="J2941" s="245"/>
      <c r="K2941" s="245"/>
      <c r="L2941" s="246"/>
      <c r="M2941" s="245"/>
      <c r="N2941" s="245"/>
      <c r="O2941" s="245"/>
      <c r="P2941" s="245"/>
      <c r="Q2941" s="247"/>
      <c r="R2941" s="247"/>
      <c r="S2941" s="247"/>
      <c r="T2941" s="245"/>
      <c r="U2941" s="245"/>
      <c r="V2941" s="241"/>
      <c r="W2941" s="241"/>
      <c r="X2941" s="241"/>
    </row>
    <row r="2942" spans="1:24" ht="13.5" customHeight="1" x14ac:dyDescent="0.3">
      <c r="A2942" s="245"/>
      <c r="B2942" s="246"/>
      <c r="C2942" s="245"/>
      <c r="D2942" s="245"/>
      <c r="E2942" s="245"/>
      <c r="F2942" s="245"/>
      <c r="G2942" s="245"/>
      <c r="H2942" s="245"/>
      <c r="I2942" s="245"/>
      <c r="J2942" s="245"/>
      <c r="K2942" s="245"/>
      <c r="L2942" s="246"/>
      <c r="M2942" s="245"/>
      <c r="N2942" s="245"/>
      <c r="O2942" s="245"/>
      <c r="P2942" s="245"/>
      <c r="Q2942" s="247"/>
      <c r="R2942" s="247"/>
      <c r="S2942" s="247"/>
      <c r="T2942" s="245"/>
      <c r="U2942" s="245"/>
      <c r="V2942" s="241"/>
      <c r="W2942" s="241"/>
      <c r="X2942" s="241"/>
    </row>
    <row r="2943" spans="1:24" ht="13.5" customHeight="1" x14ac:dyDescent="0.3">
      <c r="A2943" s="245"/>
      <c r="B2943" s="246"/>
      <c r="C2943" s="245"/>
      <c r="D2943" s="245"/>
      <c r="E2943" s="245"/>
      <c r="F2943" s="245"/>
      <c r="G2943" s="245"/>
      <c r="H2943" s="245"/>
      <c r="I2943" s="245"/>
      <c r="J2943" s="245"/>
      <c r="K2943" s="245"/>
      <c r="L2943" s="246"/>
      <c r="M2943" s="245"/>
      <c r="N2943" s="245"/>
      <c r="O2943" s="245"/>
      <c r="P2943" s="245"/>
      <c r="Q2943" s="247"/>
      <c r="R2943" s="247"/>
      <c r="S2943" s="247"/>
      <c r="T2943" s="245"/>
      <c r="U2943" s="245"/>
      <c r="V2943" s="241"/>
      <c r="W2943" s="241"/>
      <c r="X2943" s="241"/>
    </row>
    <row r="2944" spans="1:24" ht="13.5" customHeight="1" x14ac:dyDescent="0.3">
      <c r="A2944" s="245"/>
      <c r="B2944" s="246"/>
      <c r="C2944" s="245"/>
      <c r="D2944" s="245"/>
      <c r="E2944" s="245"/>
      <c r="F2944" s="245"/>
      <c r="G2944" s="245"/>
      <c r="H2944" s="245"/>
      <c r="I2944" s="245"/>
      <c r="J2944" s="245"/>
      <c r="K2944" s="245"/>
      <c r="L2944" s="246"/>
      <c r="M2944" s="245"/>
      <c r="N2944" s="245"/>
      <c r="O2944" s="245"/>
      <c r="P2944" s="245"/>
      <c r="Q2944" s="247"/>
      <c r="R2944" s="247"/>
      <c r="S2944" s="247"/>
      <c r="T2944" s="245"/>
      <c r="U2944" s="245"/>
      <c r="V2944" s="241"/>
      <c r="W2944" s="241"/>
      <c r="X2944" s="241"/>
    </row>
    <row r="2945" spans="1:24" ht="13.5" customHeight="1" x14ac:dyDescent="0.3">
      <c r="A2945" s="245"/>
      <c r="B2945" s="246"/>
      <c r="C2945" s="245"/>
      <c r="D2945" s="245"/>
      <c r="E2945" s="245"/>
      <c r="F2945" s="245"/>
      <c r="G2945" s="245"/>
      <c r="H2945" s="245"/>
      <c r="I2945" s="245"/>
      <c r="J2945" s="245"/>
      <c r="K2945" s="245"/>
      <c r="L2945" s="246"/>
      <c r="M2945" s="245"/>
      <c r="N2945" s="245"/>
      <c r="O2945" s="245"/>
      <c r="P2945" s="245"/>
      <c r="Q2945" s="247"/>
      <c r="R2945" s="247"/>
      <c r="S2945" s="247"/>
      <c r="T2945" s="245"/>
      <c r="U2945" s="245"/>
      <c r="V2945" s="241"/>
      <c r="W2945" s="241"/>
      <c r="X2945" s="241"/>
    </row>
    <row r="2946" spans="1:24" ht="13.5" customHeight="1" x14ac:dyDescent="0.3">
      <c r="A2946" s="245"/>
      <c r="B2946" s="246"/>
      <c r="C2946" s="245"/>
      <c r="D2946" s="245"/>
      <c r="E2946" s="245"/>
      <c r="F2946" s="245"/>
      <c r="G2946" s="245"/>
      <c r="H2946" s="245"/>
      <c r="I2946" s="245"/>
      <c r="J2946" s="245"/>
      <c r="K2946" s="245"/>
      <c r="L2946" s="246"/>
      <c r="M2946" s="245"/>
      <c r="N2946" s="245"/>
      <c r="O2946" s="245"/>
      <c r="P2946" s="245"/>
      <c r="Q2946" s="247"/>
      <c r="R2946" s="247"/>
      <c r="S2946" s="247"/>
      <c r="T2946" s="245"/>
      <c r="U2946" s="245"/>
      <c r="V2946" s="241"/>
      <c r="W2946" s="241"/>
      <c r="X2946" s="241"/>
    </row>
    <row r="2947" spans="1:24" ht="13.5" customHeight="1" x14ac:dyDescent="0.3">
      <c r="A2947" s="245"/>
      <c r="B2947" s="246"/>
      <c r="C2947" s="245"/>
      <c r="D2947" s="245"/>
      <c r="E2947" s="245"/>
      <c r="F2947" s="245"/>
      <c r="G2947" s="245"/>
      <c r="H2947" s="245"/>
      <c r="I2947" s="245"/>
      <c r="J2947" s="245"/>
      <c r="K2947" s="245"/>
      <c r="L2947" s="246"/>
      <c r="M2947" s="245"/>
      <c r="N2947" s="245"/>
      <c r="O2947" s="245"/>
      <c r="P2947" s="245"/>
      <c r="Q2947" s="247"/>
      <c r="R2947" s="247"/>
      <c r="S2947" s="247"/>
      <c r="T2947" s="245"/>
      <c r="U2947" s="245"/>
      <c r="V2947" s="241"/>
      <c r="W2947" s="241"/>
      <c r="X2947" s="241"/>
    </row>
    <row r="2948" spans="1:24" ht="13.5" customHeight="1" x14ac:dyDescent="0.3">
      <c r="A2948" s="245"/>
      <c r="B2948" s="246"/>
      <c r="C2948" s="245"/>
      <c r="D2948" s="245"/>
      <c r="E2948" s="245"/>
      <c r="F2948" s="245"/>
      <c r="G2948" s="245"/>
      <c r="H2948" s="245"/>
      <c r="I2948" s="245"/>
      <c r="J2948" s="245"/>
      <c r="K2948" s="245"/>
      <c r="L2948" s="246"/>
      <c r="M2948" s="245"/>
      <c r="N2948" s="245"/>
      <c r="O2948" s="245"/>
      <c r="P2948" s="245"/>
      <c r="Q2948" s="247"/>
      <c r="R2948" s="247"/>
      <c r="S2948" s="247"/>
      <c r="T2948" s="245"/>
      <c r="U2948" s="245"/>
      <c r="V2948" s="241"/>
      <c r="W2948" s="241"/>
      <c r="X2948" s="241"/>
    </row>
    <row r="2949" spans="1:24" ht="13.5" customHeight="1" x14ac:dyDescent="0.3">
      <c r="A2949" s="245"/>
      <c r="B2949" s="246"/>
      <c r="C2949" s="245"/>
      <c r="D2949" s="245"/>
      <c r="E2949" s="245"/>
      <c r="F2949" s="245"/>
      <c r="G2949" s="245"/>
      <c r="H2949" s="245"/>
      <c r="I2949" s="245"/>
      <c r="J2949" s="245"/>
      <c r="K2949" s="245"/>
      <c r="L2949" s="246"/>
      <c r="M2949" s="245"/>
      <c r="N2949" s="245"/>
      <c r="O2949" s="245"/>
      <c r="P2949" s="245"/>
      <c r="Q2949" s="247"/>
      <c r="R2949" s="247"/>
      <c r="S2949" s="247"/>
      <c r="T2949" s="245"/>
      <c r="U2949" s="245"/>
      <c r="V2949" s="241"/>
      <c r="W2949" s="241"/>
      <c r="X2949" s="241"/>
    </row>
    <row r="2950" spans="1:24" ht="13.5" customHeight="1" x14ac:dyDescent="0.3">
      <c r="A2950" s="245"/>
      <c r="B2950" s="246"/>
      <c r="C2950" s="245"/>
      <c r="D2950" s="245"/>
      <c r="E2950" s="245"/>
      <c r="F2950" s="245"/>
      <c r="G2950" s="245"/>
      <c r="H2950" s="245"/>
      <c r="I2950" s="245"/>
      <c r="J2950" s="245"/>
      <c r="K2950" s="245"/>
      <c r="L2950" s="246"/>
      <c r="M2950" s="245"/>
      <c r="N2950" s="245"/>
      <c r="O2950" s="245"/>
      <c r="P2950" s="245"/>
      <c r="Q2950" s="247"/>
      <c r="R2950" s="247"/>
      <c r="S2950" s="247"/>
      <c r="T2950" s="245"/>
      <c r="U2950" s="245"/>
      <c r="V2950" s="241"/>
      <c r="W2950" s="241"/>
      <c r="X2950" s="241"/>
    </row>
    <row r="2951" spans="1:24" ht="13.5" customHeight="1" x14ac:dyDescent="0.3">
      <c r="A2951" s="245"/>
      <c r="B2951" s="246"/>
      <c r="C2951" s="245"/>
      <c r="D2951" s="245"/>
      <c r="E2951" s="245"/>
      <c r="F2951" s="245"/>
      <c r="G2951" s="245"/>
      <c r="H2951" s="245"/>
      <c r="I2951" s="245"/>
      <c r="J2951" s="245"/>
      <c r="K2951" s="245"/>
      <c r="L2951" s="246"/>
      <c r="M2951" s="245"/>
      <c r="N2951" s="245"/>
      <c r="O2951" s="245"/>
      <c r="P2951" s="245"/>
      <c r="Q2951" s="247"/>
      <c r="R2951" s="247"/>
      <c r="S2951" s="247"/>
      <c r="T2951" s="245"/>
      <c r="U2951" s="245"/>
      <c r="V2951" s="241"/>
      <c r="W2951" s="241"/>
      <c r="X2951" s="241"/>
    </row>
    <row r="2952" spans="1:24" ht="13.5" customHeight="1" x14ac:dyDescent="0.3">
      <c r="A2952" s="245"/>
      <c r="B2952" s="246"/>
      <c r="C2952" s="245"/>
      <c r="D2952" s="245"/>
      <c r="E2952" s="245"/>
      <c r="F2952" s="245"/>
      <c r="G2952" s="245"/>
      <c r="H2952" s="245"/>
      <c r="I2952" s="245"/>
      <c r="J2952" s="245"/>
      <c r="K2952" s="245"/>
      <c r="L2952" s="246"/>
      <c r="M2952" s="245"/>
      <c r="N2952" s="245"/>
      <c r="O2952" s="245"/>
      <c r="P2952" s="245"/>
      <c r="Q2952" s="247"/>
      <c r="R2952" s="247"/>
      <c r="S2952" s="247"/>
      <c r="T2952" s="245"/>
      <c r="U2952" s="245"/>
      <c r="V2952" s="241"/>
      <c r="W2952" s="241"/>
      <c r="X2952" s="241"/>
    </row>
    <row r="2953" spans="1:24" ht="13.5" customHeight="1" x14ac:dyDescent="0.3">
      <c r="A2953" s="245"/>
      <c r="B2953" s="246"/>
      <c r="C2953" s="245"/>
      <c r="D2953" s="245"/>
      <c r="E2953" s="245"/>
      <c r="F2953" s="245"/>
      <c r="G2953" s="245"/>
      <c r="H2953" s="245"/>
      <c r="I2953" s="245"/>
      <c r="J2953" s="245"/>
      <c r="K2953" s="245"/>
      <c r="L2953" s="246"/>
      <c r="M2953" s="245"/>
      <c r="N2953" s="245"/>
      <c r="O2953" s="245"/>
      <c r="P2953" s="245"/>
      <c r="Q2953" s="247"/>
      <c r="R2953" s="247"/>
      <c r="S2953" s="247"/>
      <c r="T2953" s="245"/>
      <c r="U2953" s="245"/>
      <c r="V2953" s="241"/>
      <c r="W2953" s="241"/>
      <c r="X2953" s="241"/>
    </row>
    <row r="2954" spans="1:24" ht="13.5" customHeight="1" x14ac:dyDescent="0.3">
      <c r="A2954" s="245"/>
      <c r="B2954" s="246"/>
      <c r="C2954" s="245"/>
      <c r="D2954" s="245"/>
      <c r="E2954" s="245"/>
      <c r="F2954" s="245"/>
      <c r="G2954" s="245"/>
      <c r="H2954" s="245"/>
      <c r="I2954" s="245"/>
      <c r="J2954" s="245"/>
      <c r="K2954" s="245"/>
      <c r="L2954" s="246"/>
      <c r="M2954" s="245"/>
      <c r="N2954" s="245"/>
      <c r="O2954" s="245"/>
      <c r="P2954" s="245"/>
      <c r="Q2954" s="247"/>
      <c r="R2954" s="247"/>
      <c r="S2954" s="247"/>
      <c r="T2954" s="245"/>
      <c r="U2954" s="245"/>
      <c r="V2954" s="241"/>
      <c r="W2954" s="241"/>
      <c r="X2954" s="241"/>
    </row>
    <row r="2955" spans="1:24" ht="13.5" customHeight="1" x14ac:dyDescent="0.3">
      <c r="A2955" s="245"/>
      <c r="B2955" s="246"/>
      <c r="C2955" s="245"/>
      <c r="D2955" s="245"/>
      <c r="E2955" s="245"/>
      <c r="F2955" s="245"/>
      <c r="G2955" s="245"/>
      <c r="H2955" s="245"/>
      <c r="I2955" s="245"/>
      <c r="J2955" s="245"/>
      <c r="K2955" s="245"/>
      <c r="L2955" s="246"/>
      <c r="M2955" s="245"/>
      <c r="N2955" s="245"/>
      <c r="O2955" s="245"/>
      <c r="P2955" s="245"/>
      <c r="Q2955" s="247"/>
      <c r="R2955" s="247"/>
      <c r="S2955" s="247"/>
      <c r="T2955" s="245"/>
      <c r="U2955" s="245"/>
      <c r="V2955" s="241"/>
      <c r="W2955" s="241"/>
      <c r="X2955" s="241"/>
    </row>
    <row r="2956" spans="1:24" ht="13.5" customHeight="1" x14ac:dyDescent="0.3">
      <c r="A2956" s="245"/>
      <c r="B2956" s="246"/>
      <c r="C2956" s="245"/>
      <c r="D2956" s="245"/>
      <c r="E2956" s="245"/>
      <c r="F2956" s="245"/>
      <c r="G2956" s="245"/>
      <c r="H2956" s="245"/>
      <c r="I2956" s="245"/>
      <c r="J2956" s="245"/>
      <c r="K2956" s="245"/>
      <c r="L2956" s="246"/>
      <c r="M2956" s="245"/>
      <c r="N2956" s="245"/>
      <c r="O2956" s="245"/>
      <c r="P2956" s="245"/>
      <c r="Q2956" s="247"/>
      <c r="R2956" s="247"/>
      <c r="S2956" s="247"/>
      <c r="T2956" s="245"/>
      <c r="U2956" s="245"/>
      <c r="V2956" s="241"/>
      <c r="W2956" s="241"/>
      <c r="X2956" s="241"/>
    </row>
    <row r="2957" spans="1:24" ht="13.5" customHeight="1" x14ac:dyDescent="0.3">
      <c r="A2957" s="245"/>
      <c r="B2957" s="246"/>
      <c r="C2957" s="245"/>
      <c r="D2957" s="245"/>
      <c r="E2957" s="245"/>
      <c r="F2957" s="245"/>
      <c r="G2957" s="245"/>
      <c r="H2957" s="245"/>
      <c r="I2957" s="245"/>
      <c r="J2957" s="245"/>
      <c r="K2957" s="245"/>
      <c r="L2957" s="246"/>
      <c r="M2957" s="245"/>
      <c r="N2957" s="245"/>
      <c r="O2957" s="245"/>
      <c r="P2957" s="245"/>
      <c r="Q2957" s="247"/>
      <c r="R2957" s="247"/>
      <c r="S2957" s="247"/>
      <c r="T2957" s="245"/>
      <c r="U2957" s="245"/>
      <c r="V2957" s="241"/>
      <c r="W2957" s="241"/>
      <c r="X2957" s="241"/>
    </row>
    <row r="2958" spans="1:24" ht="13.5" customHeight="1" x14ac:dyDescent="0.3">
      <c r="A2958" s="245"/>
      <c r="B2958" s="246"/>
      <c r="C2958" s="245"/>
      <c r="D2958" s="245"/>
      <c r="E2958" s="245"/>
      <c r="F2958" s="245"/>
      <c r="G2958" s="245"/>
      <c r="H2958" s="245"/>
      <c r="I2958" s="245"/>
      <c r="J2958" s="245"/>
      <c r="K2958" s="245"/>
      <c r="L2958" s="246"/>
      <c r="M2958" s="245"/>
      <c r="N2958" s="245"/>
      <c r="O2958" s="245"/>
      <c r="P2958" s="245"/>
      <c r="Q2958" s="247"/>
      <c r="R2958" s="247"/>
      <c r="S2958" s="247"/>
      <c r="T2958" s="245"/>
      <c r="U2958" s="245"/>
      <c r="V2958" s="241"/>
      <c r="W2958" s="241"/>
      <c r="X2958" s="241"/>
    </row>
    <row r="2959" spans="1:24" ht="13.5" customHeight="1" x14ac:dyDescent="0.3">
      <c r="A2959" s="245"/>
      <c r="B2959" s="246"/>
      <c r="C2959" s="245"/>
      <c r="D2959" s="245"/>
      <c r="E2959" s="245"/>
      <c r="F2959" s="245"/>
      <c r="G2959" s="245"/>
      <c r="H2959" s="245"/>
      <c r="I2959" s="245"/>
      <c r="J2959" s="245"/>
      <c r="K2959" s="245"/>
      <c r="L2959" s="246"/>
      <c r="M2959" s="245"/>
      <c r="N2959" s="245"/>
      <c r="O2959" s="245"/>
      <c r="P2959" s="245"/>
      <c r="Q2959" s="247"/>
      <c r="R2959" s="247"/>
      <c r="S2959" s="247"/>
      <c r="T2959" s="245"/>
      <c r="U2959" s="245"/>
      <c r="V2959" s="241"/>
      <c r="W2959" s="241"/>
      <c r="X2959" s="241"/>
    </row>
    <row r="2960" spans="1:24" ht="13.5" customHeight="1" x14ac:dyDescent="0.3">
      <c r="A2960" s="245"/>
      <c r="B2960" s="246"/>
      <c r="C2960" s="245"/>
      <c r="D2960" s="245"/>
      <c r="E2960" s="245"/>
      <c r="F2960" s="245"/>
      <c r="G2960" s="245"/>
      <c r="H2960" s="245"/>
      <c r="I2960" s="245"/>
      <c r="J2960" s="245"/>
      <c r="K2960" s="245"/>
      <c r="L2960" s="246"/>
      <c r="M2960" s="245"/>
      <c r="N2960" s="245"/>
      <c r="O2960" s="245"/>
      <c r="P2960" s="245"/>
      <c r="Q2960" s="247"/>
      <c r="R2960" s="247"/>
      <c r="S2960" s="247"/>
      <c r="T2960" s="245"/>
      <c r="U2960" s="245"/>
      <c r="V2960" s="241"/>
      <c r="W2960" s="241"/>
      <c r="X2960" s="241"/>
    </row>
    <row r="2961" spans="1:24" ht="13.5" customHeight="1" x14ac:dyDescent="0.3">
      <c r="A2961" s="245"/>
      <c r="B2961" s="246"/>
      <c r="C2961" s="245"/>
      <c r="D2961" s="245"/>
      <c r="E2961" s="245"/>
      <c r="F2961" s="245"/>
      <c r="G2961" s="245"/>
      <c r="H2961" s="245"/>
      <c r="I2961" s="245"/>
      <c r="J2961" s="245"/>
      <c r="K2961" s="245"/>
      <c r="L2961" s="246"/>
      <c r="M2961" s="245"/>
      <c r="N2961" s="245"/>
      <c r="O2961" s="245"/>
      <c r="P2961" s="245"/>
      <c r="Q2961" s="247"/>
      <c r="R2961" s="247"/>
      <c r="S2961" s="247"/>
      <c r="T2961" s="245"/>
      <c r="U2961" s="245"/>
      <c r="V2961" s="241"/>
      <c r="W2961" s="241"/>
      <c r="X2961" s="241"/>
    </row>
    <row r="2962" spans="1:24" ht="13.5" customHeight="1" x14ac:dyDescent="0.3">
      <c r="A2962" s="245"/>
      <c r="B2962" s="246"/>
      <c r="C2962" s="245"/>
      <c r="D2962" s="245"/>
      <c r="E2962" s="245"/>
      <c r="F2962" s="245"/>
      <c r="G2962" s="245"/>
      <c r="H2962" s="245"/>
      <c r="I2962" s="245"/>
      <c r="J2962" s="245"/>
      <c r="K2962" s="245"/>
      <c r="L2962" s="246"/>
      <c r="M2962" s="245"/>
      <c r="N2962" s="245"/>
      <c r="O2962" s="245"/>
      <c r="P2962" s="245"/>
      <c r="Q2962" s="247"/>
      <c r="R2962" s="247"/>
      <c r="S2962" s="247"/>
      <c r="T2962" s="245"/>
      <c r="U2962" s="245"/>
      <c r="V2962" s="241"/>
      <c r="W2962" s="241"/>
      <c r="X2962" s="241"/>
    </row>
    <row r="2963" spans="1:24" ht="13.5" customHeight="1" x14ac:dyDescent="0.3">
      <c r="A2963" s="245"/>
      <c r="B2963" s="246"/>
      <c r="C2963" s="245"/>
      <c r="D2963" s="245"/>
      <c r="E2963" s="245"/>
      <c r="F2963" s="245"/>
      <c r="G2963" s="245"/>
      <c r="H2963" s="245"/>
      <c r="I2963" s="245"/>
      <c r="J2963" s="245"/>
      <c r="K2963" s="245"/>
      <c r="L2963" s="246"/>
      <c r="M2963" s="245"/>
      <c r="N2963" s="245"/>
      <c r="O2963" s="245"/>
      <c r="P2963" s="245"/>
      <c r="Q2963" s="247"/>
      <c r="R2963" s="247"/>
      <c r="S2963" s="247"/>
      <c r="T2963" s="245"/>
      <c r="U2963" s="245"/>
      <c r="V2963" s="241"/>
      <c r="W2963" s="241"/>
      <c r="X2963" s="241"/>
    </row>
    <row r="2964" spans="1:24" ht="13.5" customHeight="1" x14ac:dyDescent="0.3">
      <c r="A2964" s="245"/>
      <c r="B2964" s="246"/>
      <c r="C2964" s="245"/>
      <c r="D2964" s="245"/>
      <c r="E2964" s="245"/>
      <c r="F2964" s="245"/>
      <c r="G2964" s="245"/>
      <c r="H2964" s="245"/>
      <c r="I2964" s="245"/>
      <c r="J2964" s="245"/>
      <c r="K2964" s="245"/>
      <c r="L2964" s="246"/>
      <c r="M2964" s="245"/>
      <c r="N2964" s="245"/>
      <c r="O2964" s="245"/>
      <c r="P2964" s="245"/>
      <c r="Q2964" s="247"/>
      <c r="R2964" s="247"/>
      <c r="S2964" s="247"/>
      <c r="T2964" s="245"/>
      <c r="U2964" s="245"/>
      <c r="V2964" s="241"/>
      <c r="W2964" s="241"/>
      <c r="X2964" s="241"/>
    </row>
    <row r="2965" spans="1:24" ht="13.5" customHeight="1" x14ac:dyDescent="0.3">
      <c r="A2965" s="245"/>
      <c r="B2965" s="246"/>
      <c r="C2965" s="245"/>
      <c r="D2965" s="245"/>
      <c r="E2965" s="245"/>
      <c r="F2965" s="245"/>
      <c r="G2965" s="245"/>
      <c r="H2965" s="245"/>
      <c r="I2965" s="245"/>
      <c r="J2965" s="245"/>
      <c r="K2965" s="245"/>
      <c r="L2965" s="246"/>
      <c r="M2965" s="245"/>
      <c r="N2965" s="245"/>
      <c r="O2965" s="245"/>
      <c r="P2965" s="245"/>
      <c r="Q2965" s="247"/>
      <c r="R2965" s="247"/>
      <c r="S2965" s="247"/>
      <c r="T2965" s="245"/>
      <c r="U2965" s="245"/>
      <c r="V2965" s="241"/>
      <c r="W2965" s="241"/>
      <c r="X2965" s="241"/>
    </row>
    <row r="2966" spans="1:24" ht="13.5" customHeight="1" x14ac:dyDescent="0.3">
      <c r="A2966" s="245"/>
      <c r="B2966" s="246"/>
      <c r="C2966" s="245"/>
      <c r="D2966" s="245"/>
      <c r="E2966" s="245"/>
      <c r="F2966" s="245"/>
      <c r="G2966" s="245"/>
      <c r="H2966" s="245"/>
      <c r="I2966" s="245"/>
      <c r="J2966" s="245"/>
      <c r="K2966" s="245"/>
      <c r="L2966" s="246"/>
      <c r="M2966" s="245"/>
      <c r="N2966" s="245"/>
      <c r="O2966" s="245"/>
      <c r="P2966" s="245"/>
      <c r="Q2966" s="247"/>
      <c r="R2966" s="247"/>
      <c r="S2966" s="247"/>
      <c r="T2966" s="245"/>
      <c r="U2966" s="245"/>
      <c r="V2966" s="241"/>
      <c r="W2966" s="241"/>
      <c r="X2966" s="241"/>
    </row>
    <row r="2967" spans="1:24" ht="13.5" customHeight="1" x14ac:dyDescent="0.3">
      <c r="A2967" s="245"/>
      <c r="B2967" s="246"/>
      <c r="C2967" s="245"/>
      <c r="D2967" s="245"/>
      <c r="E2967" s="245"/>
      <c r="F2967" s="245"/>
      <c r="G2967" s="245"/>
      <c r="H2967" s="245"/>
      <c r="I2967" s="245"/>
      <c r="J2967" s="245"/>
      <c r="K2967" s="245"/>
      <c r="L2967" s="246"/>
      <c r="M2967" s="245"/>
      <c r="N2967" s="245"/>
      <c r="O2967" s="245"/>
      <c r="P2967" s="245"/>
      <c r="Q2967" s="247"/>
      <c r="R2967" s="247"/>
      <c r="S2967" s="247"/>
      <c r="T2967" s="245"/>
      <c r="U2967" s="245"/>
      <c r="V2967" s="241"/>
      <c r="W2967" s="241"/>
      <c r="X2967" s="241"/>
    </row>
    <row r="2968" spans="1:24" ht="13.5" customHeight="1" x14ac:dyDescent="0.3">
      <c r="A2968" s="245"/>
      <c r="B2968" s="246"/>
      <c r="C2968" s="245"/>
      <c r="D2968" s="245"/>
      <c r="E2968" s="245"/>
      <c r="F2968" s="245"/>
      <c r="G2968" s="245"/>
      <c r="H2968" s="245"/>
      <c r="I2968" s="245"/>
      <c r="J2968" s="245"/>
      <c r="K2968" s="245"/>
      <c r="L2968" s="246"/>
      <c r="M2968" s="245"/>
      <c r="N2968" s="245"/>
      <c r="O2968" s="245"/>
      <c r="P2968" s="245"/>
      <c r="Q2968" s="247"/>
      <c r="R2968" s="247"/>
      <c r="S2968" s="247"/>
      <c r="T2968" s="245"/>
      <c r="U2968" s="245"/>
      <c r="V2968" s="241"/>
      <c r="W2968" s="241"/>
      <c r="X2968" s="241"/>
    </row>
    <row r="2969" spans="1:24" ht="13.5" customHeight="1" x14ac:dyDescent="0.3">
      <c r="A2969" s="245"/>
      <c r="B2969" s="246"/>
      <c r="C2969" s="245"/>
      <c r="D2969" s="245"/>
      <c r="E2969" s="245"/>
      <c r="F2969" s="245"/>
      <c r="G2969" s="245"/>
      <c r="H2969" s="245"/>
      <c r="I2969" s="245"/>
      <c r="J2969" s="245"/>
      <c r="K2969" s="245"/>
      <c r="L2969" s="246"/>
      <c r="M2969" s="245"/>
      <c r="N2969" s="245"/>
      <c r="O2969" s="245"/>
      <c r="P2969" s="245"/>
      <c r="Q2969" s="247"/>
      <c r="R2969" s="247"/>
      <c r="S2969" s="247"/>
      <c r="T2969" s="245"/>
      <c r="U2969" s="245"/>
      <c r="V2969" s="241"/>
      <c r="W2969" s="241"/>
      <c r="X2969" s="241"/>
    </row>
    <row r="2970" spans="1:24" ht="13.5" customHeight="1" x14ac:dyDescent="0.3">
      <c r="A2970" s="245"/>
      <c r="B2970" s="246"/>
      <c r="C2970" s="245"/>
      <c r="D2970" s="245"/>
      <c r="E2970" s="245"/>
      <c r="F2970" s="245"/>
      <c r="G2970" s="245"/>
      <c r="H2970" s="245"/>
      <c r="I2970" s="245"/>
      <c r="J2970" s="245"/>
      <c r="K2970" s="245"/>
      <c r="L2970" s="246"/>
      <c r="M2970" s="245"/>
      <c r="N2970" s="245"/>
      <c r="O2970" s="245"/>
      <c r="P2970" s="245"/>
      <c r="Q2970" s="247"/>
      <c r="R2970" s="247"/>
      <c r="S2970" s="247"/>
      <c r="T2970" s="245"/>
      <c r="U2970" s="245"/>
      <c r="V2970" s="241"/>
      <c r="W2970" s="241"/>
      <c r="X2970" s="241"/>
    </row>
    <row r="2971" spans="1:24" ht="13.5" customHeight="1" x14ac:dyDescent="0.3">
      <c r="A2971" s="245"/>
      <c r="B2971" s="246"/>
      <c r="C2971" s="245"/>
      <c r="D2971" s="245"/>
      <c r="E2971" s="245"/>
      <c r="F2971" s="245"/>
      <c r="G2971" s="245"/>
      <c r="H2971" s="245"/>
      <c r="I2971" s="245"/>
      <c r="J2971" s="245"/>
      <c r="K2971" s="245"/>
      <c r="L2971" s="246"/>
      <c r="M2971" s="245"/>
      <c r="N2971" s="245"/>
      <c r="O2971" s="245"/>
      <c r="P2971" s="245"/>
      <c r="Q2971" s="247"/>
      <c r="R2971" s="247"/>
      <c r="S2971" s="247"/>
      <c r="T2971" s="245"/>
      <c r="U2971" s="245"/>
      <c r="V2971" s="241"/>
      <c r="W2971" s="241"/>
      <c r="X2971" s="241"/>
    </row>
    <row r="2972" spans="1:24" ht="13.5" customHeight="1" x14ac:dyDescent="0.3">
      <c r="A2972" s="245"/>
      <c r="B2972" s="246"/>
      <c r="C2972" s="245"/>
      <c r="D2972" s="245"/>
      <c r="E2972" s="245"/>
      <c r="F2972" s="245"/>
      <c r="G2972" s="245"/>
      <c r="H2972" s="245"/>
      <c r="I2972" s="245"/>
      <c r="J2972" s="245"/>
      <c r="K2972" s="245"/>
      <c r="L2972" s="246"/>
      <c r="M2972" s="245"/>
      <c r="N2972" s="245"/>
      <c r="O2972" s="245"/>
      <c r="P2972" s="245"/>
      <c r="Q2972" s="247"/>
      <c r="R2972" s="247"/>
      <c r="S2972" s="247"/>
      <c r="T2972" s="245"/>
      <c r="U2972" s="245"/>
      <c r="V2972" s="241"/>
      <c r="W2972" s="241"/>
      <c r="X2972" s="241"/>
    </row>
    <row r="2973" spans="1:24" ht="13.5" customHeight="1" x14ac:dyDescent="0.3">
      <c r="A2973" s="245"/>
      <c r="B2973" s="246"/>
      <c r="C2973" s="245"/>
      <c r="D2973" s="245"/>
      <c r="E2973" s="245"/>
      <c r="F2973" s="245"/>
      <c r="G2973" s="245"/>
      <c r="H2973" s="245"/>
      <c r="I2973" s="245"/>
      <c r="J2973" s="245"/>
      <c r="K2973" s="245"/>
      <c r="L2973" s="246"/>
      <c r="M2973" s="245"/>
      <c r="N2973" s="245"/>
      <c r="O2973" s="245"/>
      <c r="P2973" s="245"/>
      <c r="Q2973" s="247"/>
      <c r="R2973" s="247"/>
      <c r="S2973" s="247"/>
      <c r="T2973" s="245"/>
      <c r="U2973" s="245"/>
      <c r="V2973" s="241"/>
      <c r="W2973" s="241"/>
      <c r="X2973" s="241"/>
    </row>
    <row r="2974" spans="1:24" ht="13.5" customHeight="1" x14ac:dyDescent="0.3">
      <c r="A2974" s="245"/>
      <c r="B2974" s="246"/>
      <c r="C2974" s="245"/>
      <c r="D2974" s="245"/>
      <c r="E2974" s="245"/>
      <c r="F2974" s="245"/>
      <c r="G2974" s="245"/>
      <c r="H2974" s="245"/>
      <c r="I2974" s="245"/>
      <c r="J2974" s="245"/>
      <c r="K2974" s="245"/>
      <c r="L2974" s="246"/>
      <c r="M2974" s="245"/>
      <c r="N2974" s="245"/>
      <c r="O2974" s="245"/>
      <c r="P2974" s="245"/>
      <c r="Q2974" s="247"/>
      <c r="R2974" s="247"/>
      <c r="S2974" s="247"/>
      <c r="T2974" s="245"/>
      <c r="U2974" s="245"/>
      <c r="V2974" s="241"/>
      <c r="W2974" s="241"/>
      <c r="X2974" s="241"/>
    </row>
    <row r="2975" spans="1:24" ht="13.5" customHeight="1" x14ac:dyDescent="0.3">
      <c r="A2975" s="245"/>
      <c r="B2975" s="246"/>
      <c r="C2975" s="245"/>
      <c r="D2975" s="245"/>
      <c r="E2975" s="245"/>
      <c r="F2975" s="245"/>
      <c r="G2975" s="245"/>
      <c r="H2975" s="245"/>
      <c r="I2975" s="245"/>
      <c r="J2975" s="245"/>
      <c r="K2975" s="245"/>
      <c r="L2975" s="246"/>
      <c r="M2975" s="245"/>
      <c r="N2975" s="245"/>
      <c r="O2975" s="245"/>
      <c r="P2975" s="245"/>
      <c r="Q2975" s="247"/>
      <c r="R2975" s="247"/>
      <c r="S2975" s="247"/>
      <c r="T2975" s="245"/>
      <c r="U2975" s="245"/>
      <c r="V2975" s="241"/>
      <c r="W2975" s="241"/>
      <c r="X2975" s="241"/>
    </row>
    <row r="2976" spans="1:24" ht="13.5" customHeight="1" x14ac:dyDescent="0.3">
      <c r="A2976" s="245"/>
      <c r="B2976" s="246"/>
      <c r="C2976" s="245"/>
      <c r="D2976" s="245"/>
      <c r="E2976" s="245"/>
      <c r="F2976" s="245"/>
      <c r="G2976" s="245"/>
      <c r="H2976" s="245"/>
      <c r="I2976" s="245"/>
      <c r="J2976" s="245"/>
      <c r="K2976" s="245"/>
      <c r="L2976" s="246"/>
      <c r="M2976" s="245"/>
      <c r="N2976" s="245"/>
      <c r="O2976" s="245"/>
      <c r="P2976" s="245"/>
      <c r="Q2976" s="247"/>
      <c r="R2976" s="247"/>
      <c r="S2976" s="247"/>
      <c r="T2976" s="245"/>
      <c r="U2976" s="245"/>
      <c r="V2976" s="241"/>
      <c r="W2976" s="241"/>
      <c r="X2976" s="241"/>
    </row>
    <row r="2977" spans="1:24" ht="13.5" customHeight="1" x14ac:dyDescent="0.3">
      <c r="A2977" s="245"/>
      <c r="B2977" s="246"/>
      <c r="C2977" s="245"/>
      <c r="D2977" s="245"/>
      <c r="E2977" s="245"/>
      <c r="F2977" s="245"/>
      <c r="G2977" s="245"/>
      <c r="H2977" s="245"/>
      <c r="I2977" s="245"/>
      <c r="J2977" s="245"/>
      <c r="K2977" s="245"/>
      <c r="L2977" s="246"/>
      <c r="M2977" s="245"/>
      <c r="N2977" s="245"/>
      <c r="O2977" s="245"/>
      <c r="P2977" s="245"/>
      <c r="Q2977" s="247"/>
      <c r="R2977" s="247"/>
      <c r="S2977" s="247"/>
      <c r="T2977" s="245"/>
      <c r="U2977" s="245"/>
      <c r="V2977" s="241"/>
      <c r="W2977" s="241"/>
      <c r="X2977" s="241"/>
    </row>
    <row r="2978" spans="1:24" ht="13.5" customHeight="1" x14ac:dyDescent="0.3">
      <c r="A2978" s="245"/>
      <c r="B2978" s="246"/>
      <c r="C2978" s="245"/>
      <c r="D2978" s="245"/>
      <c r="E2978" s="245"/>
      <c r="F2978" s="245"/>
      <c r="G2978" s="245"/>
      <c r="H2978" s="245"/>
      <c r="I2978" s="245"/>
      <c r="J2978" s="245"/>
      <c r="K2978" s="245"/>
      <c r="L2978" s="246"/>
      <c r="M2978" s="245"/>
      <c r="N2978" s="245"/>
      <c r="O2978" s="245"/>
      <c r="P2978" s="245"/>
      <c r="Q2978" s="247"/>
      <c r="R2978" s="247"/>
      <c r="S2978" s="247"/>
      <c r="T2978" s="245"/>
      <c r="U2978" s="245"/>
      <c r="V2978" s="241"/>
      <c r="W2978" s="241"/>
      <c r="X2978" s="241"/>
    </row>
    <row r="2979" spans="1:24" ht="13.5" customHeight="1" x14ac:dyDescent="0.3">
      <c r="A2979" s="245"/>
      <c r="B2979" s="246"/>
      <c r="C2979" s="245"/>
      <c r="D2979" s="245"/>
      <c r="E2979" s="245"/>
      <c r="F2979" s="245"/>
      <c r="G2979" s="245"/>
      <c r="H2979" s="245"/>
      <c r="I2979" s="245"/>
      <c r="J2979" s="245"/>
      <c r="K2979" s="245"/>
      <c r="L2979" s="246"/>
      <c r="M2979" s="245"/>
      <c r="N2979" s="245"/>
      <c r="O2979" s="245"/>
      <c r="P2979" s="245"/>
      <c r="Q2979" s="247"/>
      <c r="R2979" s="247"/>
      <c r="S2979" s="247"/>
      <c r="T2979" s="245"/>
      <c r="U2979" s="245"/>
      <c r="V2979" s="241"/>
      <c r="W2979" s="241"/>
      <c r="X2979" s="241"/>
    </row>
    <row r="2980" spans="1:24" ht="13.5" customHeight="1" x14ac:dyDescent="0.3">
      <c r="A2980" s="245"/>
      <c r="B2980" s="246"/>
      <c r="C2980" s="245"/>
      <c r="D2980" s="245"/>
      <c r="E2980" s="245"/>
      <c r="F2980" s="245"/>
      <c r="G2980" s="245"/>
      <c r="H2980" s="245"/>
      <c r="I2980" s="245"/>
      <c r="J2980" s="245"/>
      <c r="K2980" s="245"/>
      <c r="L2980" s="246"/>
      <c r="M2980" s="245"/>
      <c r="N2980" s="245"/>
      <c r="O2980" s="245"/>
      <c r="P2980" s="245"/>
      <c r="Q2980" s="247"/>
      <c r="R2980" s="247"/>
      <c r="S2980" s="247"/>
      <c r="T2980" s="245"/>
      <c r="U2980" s="245"/>
      <c r="V2980" s="241"/>
      <c r="W2980" s="241"/>
      <c r="X2980" s="241"/>
    </row>
    <row r="2981" spans="1:24" ht="13.5" customHeight="1" x14ac:dyDescent="0.3">
      <c r="A2981" s="245"/>
      <c r="B2981" s="246"/>
      <c r="C2981" s="245"/>
      <c r="D2981" s="245"/>
      <c r="E2981" s="245"/>
      <c r="F2981" s="245"/>
      <c r="G2981" s="245"/>
      <c r="H2981" s="245"/>
      <c r="I2981" s="245"/>
      <c r="J2981" s="245"/>
      <c r="K2981" s="245"/>
      <c r="L2981" s="246"/>
      <c r="M2981" s="245"/>
      <c r="N2981" s="245"/>
      <c r="O2981" s="245"/>
      <c r="P2981" s="245"/>
      <c r="Q2981" s="247"/>
      <c r="R2981" s="247"/>
      <c r="S2981" s="247"/>
      <c r="T2981" s="245"/>
      <c r="U2981" s="245"/>
      <c r="V2981" s="241"/>
      <c r="W2981" s="241"/>
      <c r="X2981" s="241"/>
    </row>
    <row r="2982" spans="1:24" ht="13.5" customHeight="1" x14ac:dyDescent="0.3">
      <c r="A2982" s="245"/>
      <c r="B2982" s="246"/>
      <c r="C2982" s="245"/>
      <c r="D2982" s="245"/>
      <c r="E2982" s="245"/>
      <c r="F2982" s="245"/>
      <c r="G2982" s="245"/>
      <c r="H2982" s="245"/>
      <c r="I2982" s="245"/>
      <c r="J2982" s="245"/>
      <c r="K2982" s="245"/>
      <c r="L2982" s="246"/>
      <c r="M2982" s="245"/>
      <c r="N2982" s="245"/>
      <c r="O2982" s="245"/>
      <c r="P2982" s="245"/>
      <c r="Q2982" s="247"/>
      <c r="R2982" s="247"/>
      <c r="S2982" s="247"/>
      <c r="T2982" s="245"/>
      <c r="U2982" s="245"/>
      <c r="V2982" s="241"/>
      <c r="W2982" s="241"/>
      <c r="X2982" s="241"/>
    </row>
    <row r="2983" spans="1:24" ht="13.5" customHeight="1" x14ac:dyDescent="0.3">
      <c r="A2983" s="245"/>
      <c r="B2983" s="246"/>
      <c r="C2983" s="245"/>
      <c r="D2983" s="245"/>
      <c r="E2983" s="245"/>
      <c r="F2983" s="245"/>
      <c r="G2983" s="245"/>
      <c r="H2983" s="245"/>
      <c r="I2983" s="245"/>
      <c r="J2983" s="245"/>
      <c r="K2983" s="245"/>
      <c r="L2983" s="246"/>
      <c r="M2983" s="245"/>
      <c r="N2983" s="245"/>
      <c r="O2983" s="245"/>
      <c r="P2983" s="245"/>
      <c r="Q2983" s="247"/>
      <c r="R2983" s="247"/>
      <c r="S2983" s="247"/>
      <c r="T2983" s="245"/>
      <c r="U2983" s="245"/>
      <c r="V2983" s="241"/>
      <c r="W2983" s="241"/>
      <c r="X2983" s="241"/>
    </row>
    <row r="2984" spans="1:24" ht="13.5" customHeight="1" x14ac:dyDescent="0.3">
      <c r="A2984" s="245"/>
      <c r="B2984" s="246"/>
      <c r="C2984" s="245"/>
      <c r="D2984" s="245"/>
      <c r="E2984" s="245"/>
      <c r="F2984" s="245"/>
      <c r="G2984" s="245"/>
      <c r="H2984" s="245"/>
      <c r="I2984" s="245"/>
      <c r="J2984" s="245"/>
      <c r="K2984" s="245"/>
      <c r="L2984" s="246"/>
      <c r="M2984" s="245"/>
      <c r="N2984" s="245"/>
      <c r="O2984" s="245"/>
      <c r="P2984" s="245"/>
      <c r="Q2984" s="247"/>
      <c r="R2984" s="247"/>
      <c r="S2984" s="247"/>
      <c r="T2984" s="245"/>
      <c r="U2984" s="245"/>
      <c r="V2984" s="241"/>
      <c r="W2984" s="241"/>
      <c r="X2984" s="241"/>
    </row>
    <row r="2985" spans="1:24" ht="13.5" customHeight="1" x14ac:dyDescent="0.3">
      <c r="A2985" s="245"/>
      <c r="B2985" s="246"/>
      <c r="C2985" s="245"/>
      <c r="D2985" s="245"/>
      <c r="E2985" s="245"/>
      <c r="F2985" s="245"/>
      <c r="G2985" s="245"/>
      <c r="H2985" s="245"/>
      <c r="I2985" s="245"/>
      <c r="J2985" s="245"/>
      <c r="K2985" s="245"/>
      <c r="L2985" s="246"/>
      <c r="M2985" s="245"/>
      <c r="N2985" s="245"/>
      <c r="O2985" s="245"/>
      <c r="P2985" s="245"/>
      <c r="Q2985" s="247"/>
      <c r="R2985" s="247"/>
      <c r="S2985" s="247"/>
      <c r="T2985" s="245"/>
      <c r="U2985" s="245"/>
      <c r="V2985" s="241"/>
      <c r="W2985" s="241"/>
      <c r="X2985" s="241"/>
    </row>
    <row r="2986" spans="1:24" ht="13.5" customHeight="1" x14ac:dyDescent="0.3">
      <c r="A2986" s="245"/>
      <c r="B2986" s="246"/>
      <c r="C2986" s="245"/>
      <c r="D2986" s="245"/>
      <c r="E2986" s="245"/>
      <c r="F2986" s="245"/>
      <c r="G2986" s="245"/>
      <c r="H2986" s="245"/>
      <c r="I2986" s="245"/>
      <c r="J2986" s="245"/>
      <c r="K2986" s="245"/>
      <c r="L2986" s="246"/>
      <c r="M2986" s="245"/>
      <c r="N2986" s="245"/>
      <c r="O2986" s="245"/>
      <c r="P2986" s="245"/>
      <c r="Q2986" s="247"/>
      <c r="R2986" s="247"/>
      <c r="S2986" s="247"/>
      <c r="T2986" s="245"/>
      <c r="U2986" s="245"/>
      <c r="V2986" s="241"/>
      <c r="W2986" s="241"/>
      <c r="X2986" s="241"/>
    </row>
    <row r="2987" spans="1:24" ht="13.5" customHeight="1" x14ac:dyDescent="0.3">
      <c r="A2987" s="245"/>
      <c r="B2987" s="246"/>
      <c r="C2987" s="245"/>
      <c r="D2987" s="245"/>
      <c r="E2987" s="245"/>
      <c r="F2987" s="245"/>
      <c r="G2987" s="245"/>
      <c r="H2987" s="245"/>
      <c r="I2987" s="245"/>
      <c r="J2987" s="245"/>
      <c r="K2987" s="245"/>
      <c r="L2987" s="246"/>
      <c r="M2987" s="245"/>
      <c r="N2987" s="245"/>
      <c r="O2987" s="245"/>
      <c r="P2987" s="245"/>
      <c r="Q2987" s="247"/>
      <c r="R2987" s="247"/>
      <c r="S2987" s="247"/>
      <c r="T2987" s="245"/>
      <c r="U2987" s="245"/>
      <c r="V2987" s="241"/>
      <c r="W2987" s="241"/>
      <c r="X2987" s="241"/>
    </row>
    <row r="2988" spans="1:24" ht="13.5" customHeight="1" x14ac:dyDescent="0.3">
      <c r="A2988" s="245"/>
      <c r="B2988" s="246"/>
      <c r="C2988" s="245"/>
      <c r="D2988" s="245"/>
      <c r="E2988" s="245"/>
      <c r="F2988" s="245"/>
      <c r="G2988" s="245"/>
      <c r="H2988" s="245"/>
      <c r="I2988" s="245"/>
      <c r="J2988" s="245"/>
      <c r="K2988" s="245"/>
      <c r="L2988" s="246"/>
      <c r="M2988" s="245"/>
      <c r="N2988" s="245"/>
      <c r="O2988" s="245"/>
      <c r="P2988" s="245"/>
      <c r="Q2988" s="247"/>
      <c r="R2988" s="247"/>
      <c r="S2988" s="247"/>
      <c r="T2988" s="245"/>
      <c r="U2988" s="245"/>
      <c r="V2988" s="241"/>
      <c r="W2988" s="241"/>
      <c r="X2988" s="241"/>
    </row>
    <row r="2989" spans="1:24" ht="13.5" customHeight="1" x14ac:dyDescent="0.3">
      <c r="A2989" s="245"/>
      <c r="B2989" s="246"/>
      <c r="C2989" s="245"/>
      <c r="D2989" s="245"/>
      <c r="E2989" s="245"/>
      <c r="F2989" s="245"/>
      <c r="G2989" s="245"/>
      <c r="H2989" s="245"/>
      <c r="I2989" s="245"/>
      <c r="J2989" s="245"/>
      <c r="K2989" s="245"/>
      <c r="L2989" s="246"/>
      <c r="M2989" s="245"/>
      <c r="N2989" s="245"/>
      <c r="O2989" s="245"/>
      <c r="P2989" s="245"/>
      <c r="Q2989" s="247"/>
      <c r="R2989" s="247"/>
      <c r="S2989" s="247"/>
      <c r="T2989" s="245"/>
      <c r="U2989" s="245"/>
      <c r="V2989" s="241"/>
      <c r="W2989" s="241"/>
      <c r="X2989" s="241"/>
    </row>
    <row r="2990" spans="1:24" ht="13.5" customHeight="1" x14ac:dyDescent="0.3">
      <c r="A2990" s="245"/>
      <c r="B2990" s="246"/>
      <c r="C2990" s="245"/>
      <c r="D2990" s="245"/>
      <c r="E2990" s="245"/>
      <c r="F2990" s="245"/>
      <c r="G2990" s="245"/>
      <c r="H2990" s="245"/>
      <c r="I2990" s="245"/>
      <c r="J2990" s="245"/>
      <c r="K2990" s="245"/>
      <c r="L2990" s="246"/>
      <c r="M2990" s="245"/>
      <c r="N2990" s="245"/>
      <c r="O2990" s="245"/>
      <c r="P2990" s="245"/>
      <c r="Q2990" s="247"/>
      <c r="R2990" s="247"/>
      <c r="S2990" s="247"/>
      <c r="T2990" s="245"/>
      <c r="U2990" s="245"/>
      <c r="V2990" s="241"/>
      <c r="W2990" s="241"/>
      <c r="X2990" s="241"/>
    </row>
    <row r="2991" spans="1:24" ht="13.5" customHeight="1" x14ac:dyDescent="0.3">
      <c r="A2991" s="245"/>
      <c r="B2991" s="246"/>
      <c r="C2991" s="245"/>
      <c r="D2991" s="245"/>
      <c r="E2991" s="245"/>
      <c r="F2991" s="245"/>
      <c r="G2991" s="245"/>
      <c r="H2991" s="245"/>
      <c r="I2991" s="245"/>
      <c r="J2991" s="245"/>
      <c r="K2991" s="245"/>
      <c r="L2991" s="246"/>
      <c r="M2991" s="245"/>
      <c r="N2991" s="245"/>
      <c r="O2991" s="245"/>
      <c r="P2991" s="245"/>
      <c r="Q2991" s="247"/>
      <c r="R2991" s="247"/>
      <c r="S2991" s="247"/>
      <c r="T2991" s="245"/>
      <c r="U2991" s="245"/>
      <c r="V2991" s="241"/>
      <c r="W2991" s="241"/>
      <c r="X2991" s="241"/>
    </row>
    <row r="2992" spans="1:24" ht="13.5" customHeight="1" x14ac:dyDescent="0.3">
      <c r="A2992" s="245"/>
      <c r="B2992" s="246"/>
      <c r="C2992" s="245"/>
      <c r="D2992" s="245"/>
      <c r="E2992" s="245"/>
      <c r="F2992" s="245"/>
      <c r="G2992" s="245"/>
      <c r="H2992" s="245"/>
      <c r="I2992" s="245"/>
      <c r="J2992" s="245"/>
      <c r="K2992" s="245"/>
      <c r="L2992" s="246"/>
      <c r="M2992" s="245"/>
      <c r="N2992" s="245"/>
      <c r="O2992" s="245"/>
      <c r="P2992" s="245"/>
      <c r="Q2992" s="247"/>
      <c r="R2992" s="247"/>
      <c r="S2992" s="247"/>
      <c r="T2992" s="245"/>
      <c r="U2992" s="245"/>
      <c r="V2992" s="241"/>
      <c r="W2992" s="241"/>
      <c r="X2992" s="241"/>
    </row>
    <row r="2993" spans="1:24" ht="13.5" customHeight="1" x14ac:dyDescent="0.3">
      <c r="A2993" s="245"/>
      <c r="B2993" s="246"/>
      <c r="C2993" s="245"/>
      <c r="D2993" s="245"/>
      <c r="E2993" s="245"/>
      <c r="F2993" s="245"/>
      <c r="G2993" s="245"/>
      <c r="H2993" s="245"/>
      <c r="I2993" s="245"/>
      <c r="J2993" s="245"/>
      <c r="K2993" s="245"/>
      <c r="L2993" s="246"/>
      <c r="M2993" s="245"/>
      <c r="N2993" s="245"/>
      <c r="O2993" s="245"/>
      <c r="P2993" s="245"/>
      <c r="Q2993" s="247"/>
      <c r="R2993" s="247"/>
      <c r="S2993" s="247"/>
      <c r="T2993" s="245"/>
      <c r="U2993" s="245"/>
      <c r="V2993" s="241"/>
      <c r="W2993" s="241"/>
      <c r="X2993" s="241"/>
    </row>
    <row r="2994" spans="1:24" ht="13.5" customHeight="1" x14ac:dyDescent="0.3">
      <c r="A2994" s="245"/>
      <c r="B2994" s="246"/>
      <c r="C2994" s="245"/>
      <c r="D2994" s="245"/>
      <c r="E2994" s="245"/>
      <c r="F2994" s="245"/>
      <c r="G2994" s="245"/>
      <c r="H2994" s="245"/>
      <c r="I2994" s="245"/>
      <c r="J2994" s="245"/>
      <c r="K2994" s="245"/>
      <c r="L2994" s="246"/>
      <c r="M2994" s="245"/>
      <c r="N2994" s="245"/>
      <c r="O2994" s="245"/>
      <c r="P2994" s="245"/>
      <c r="Q2994" s="247"/>
      <c r="R2994" s="247"/>
      <c r="S2994" s="247"/>
      <c r="T2994" s="245"/>
      <c r="U2994" s="245"/>
      <c r="V2994" s="241"/>
      <c r="W2994" s="241"/>
      <c r="X2994" s="241"/>
    </row>
    <row r="2995" spans="1:24" ht="13.5" customHeight="1" x14ac:dyDescent="0.3">
      <c r="A2995" s="245"/>
      <c r="B2995" s="246"/>
      <c r="C2995" s="245"/>
      <c r="D2995" s="245"/>
      <c r="E2995" s="245"/>
      <c r="F2995" s="245"/>
      <c r="G2995" s="245"/>
      <c r="H2995" s="245"/>
      <c r="I2995" s="245"/>
      <c r="J2995" s="245"/>
      <c r="K2995" s="245"/>
      <c r="L2995" s="246"/>
      <c r="M2995" s="245"/>
      <c r="N2995" s="245"/>
      <c r="O2995" s="245"/>
      <c r="P2995" s="245"/>
      <c r="Q2995" s="247"/>
      <c r="R2995" s="247"/>
      <c r="S2995" s="247"/>
      <c r="T2995" s="245"/>
      <c r="U2995" s="245"/>
      <c r="V2995" s="241"/>
      <c r="W2995" s="241"/>
      <c r="X2995" s="241"/>
    </row>
    <row r="2996" spans="1:24" ht="13.5" customHeight="1" x14ac:dyDescent="0.3">
      <c r="A2996" s="245"/>
      <c r="B2996" s="246"/>
      <c r="C2996" s="245"/>
      <c r="D2996" s="245"/>
      <c r="E2996" s="245"/>
      <c r="F2996" s="245"/>
      <c r="G2996" s="245"/>
      <c r="H2996" s="245"/>
      <c r="I2996" s="245"/>
      <c r="J2996" s="245"/>
      <c r="K2996" s="245"/>
      <c r="L2996" s="246"/>
      <c r="M2996" s="245"/>
      <c r="N2996" s="245"/>
      <c r="O2996" s="245"/>
      <c r="P2996" s="245"/>
      <c r="Q2996" s="247"/>
      <c r="R2996" s="247"/>
      <c r="S2996" s="247"/>
      <c r="T2996" s="245"/>
      <c r="U2996" s="245"/>
      <c r="V2996" s="241"/>
      <c r="W2996" s="241"/>
      <c r="X2996" s="241"/>
    </row>
    <row r="2997" spans="1:24" ht="13.5" customHeight="1" x14ac:dyDescent="0.3">
      <c r="A2997" s="245"/>
      <c r="B2997" s="246"/>
      <c r="C2997" s="245"/>
      <c r="D2997" s="245"/>
      <c r="E2997" s="245"/>
      <c r="F2997" s="245"/>
      <c r="G2997" s="245"/>
      <c r="H2997" s="245"/>
      <c r="I2997" s="245"/>
      <c r="J2997" s="245"/>
      <c r="K2997" s="245"/>
      <c r="L2997" s="246"/>
      <c r="M2997" s="245"/>
      <c r="N2997" s="245"/>
      <c r="O2997" s="245"/>
      <c r="P2997" s="245"/>
      <c r="Q2997" s="247"/>
      <c r="R2997" s="247"/>
      <c r="S2997" s="247"/>
      <c r="T2997" s="245"/>
      <c r="U2997" s="245"/>
      <c r="V2997" s="241"/>
      <c r="W2997" s="241"/>
      <c r="X2997" s="241"/>
    </row>
    <row r="2998" spans="1:24" ht="13.5" customHeight="1" x14ac:dyDescent="0.3">
      <c r="A2998" s="245"/>
      <c r="B2998" s="246"/>
      <c r="C2998" s="245"/>
      <c r="D2998" s="245"/>
      <c r="E2998" s="245"/>
      <c r="F2998" s="245"/>
      <c r="G2998" s="245"/>
      <c r="H2998" s="245"/>
      <c r="I2998" s="245"/>
      <c r="J2998" s="245"/>
      <c r="K2998" s="245"/>
      <c r="L2998" s="246"/>
      <c r="M2998" s="245"/>
      <c r="N2998" s="245"/>
      <c r="O2998" s="245"/>
      <c r="P2998" s="245"/>
      <c r="Q2998" s="247"/>
      <c r="R2998" s="247"/>
      <c r="S2998" s="247"/>
      <c r="T2998" s="245"/>
      <c r="U2998" s="245"/>
      <c r="V2998" s="241"/>
      <c r="W2998" s="241"/>
      <c r="X2998" s="241"/>
    </row>
    <row r="2999" spans="1:24" ht="13.5" customHeight="1" x14ac:dyDescent="0.3">
      <c r="A2999" s="245"/>
      <c r="B2999" s="246"/>
      <c r="C2999" s="245"/>
      <c r="D2999" s="245"/>
      <c r="E2999" s="245"/>
      <c r="F2999" s="245"/>
      <c r="G2999" s="245"/>
      <c r="H2999" s="245"/>
      <c r="I2999" s="245"/>
      <c r="J2999" s="245"/>
      <c r="K2999" s="245"/>
      <c r="L2999" s="246"/>
      <c r="M2999" s="245"/>
      <c r="N2999" s="245"/>
      <c r="O2999" s="245"/>
      <c r="P2999" s="245"/>
      <c r="Q2999" s="247"/>
      <c r="R2999" s="247"/>
      <c r="S2999" s="247"/>
      <c r="T2999" s="245"/>
      <c r="U2999" s="245"/>
      <c r="V2999" s="241"/>
      <c r="W2999" s="241"/>
      <c r="X2999" s="241"/>
    </row>
    <row r="3000" spans="1:24" ht="13.5" customHeight="1" x14ac:dyDescent="0.3">
      <c r="A3000" s="245"/>
      <c r="B3000" s="246"/>
      <c r="C3000" s="245"/>
      <c r="D3000" s="245"/>
      <c r="E3000" s="245"/>
      <c r="F3000" s="245"/>
      <c r="G3000" s="245"/>
      <c r="H3000" s="245"/>
      <c r="I3000" s="245"/>
      <c r="J3000" s="245"/>
      <c r="K3000" s="245"/>
      <c r="L3000" s="246"/>
      <c r="M3000" s="245"/>
      <c r="N3000" s="245"/>
      <c r="O3000" s="245"/>
      <c r="P3000" s="245"/>
      <c r="Q3000" s="247"/>
      <c r="R3000" s="247"/>
      <c r="S3000" s="247"/>
      <c r="T3000" s="245"/>
      <c r="U3000" s="245"/>
      <c r="V3000" s="241"/>
      <c r="W3000" s="241"/>
      <c r="X3000" s="241"/>
    </row>
    <row r="3001" spans="1:24" ht="13.5" customHeight="1" x14ac:dyDescent="0.3">
      <c r="A3001" s="245"/>
      <c r="B3001" s="246"/>
      <c r="C3001" s="245"/>
      <c r="D3001" s="245"/>
      <c r="E3001" s="245"/>
      <c r="F3001" s="245"/>
      <c r="G3001" s="245"/>
      <c r="H3001" s="245"/>
      <c r="I3001" s="245"/>
      <c r="J3001" s="245"/>
      <c r="K3001" s="245"/>
      <c r="L3001" s="246"/>
      <c r="M3001" s="245"/>
      <c r="N3001" s="245"/>
      <c r="O3001" s="245"/>
      <c r="P3001" s="245"/>
      <c r="Q3001" s="247"/>
      <c r="R3001" s="247"/>
      <c r="S3001" s="247"/>
      <c r="T3001" s="245"/>
      <c r="U3001" s="245"/>
      <c r="V3001" s="241"/>
      <c r="W3001" s="241"/>
      <c r="X3001" s="241"/>
    </row>
    <row r="3002" spans="1:24" ht="13.5" customHeight="1" x14ac:dyDescent="0.3">
      <c r="A3002" s="245"/>
      <c r="B3002" s="246"/>
      <c r="C3002" s="245"/>
      <c r="D3002" s="245"/>
      <c r="E3002" s="245"/>
      <c r="F3002" s="245"/>
      <c r="G3002" s="245"/>
      <c r="H3002" s="245"/>
      <c r="I3002" s="245"/>
      <c r="J3002" s="245"/>
      <c r="K3002" s="245"/>
      <c r="L3002" s="246"/>
      <c r="M3002" s="245"/>
      <c r="N3002" s="245"/>
      <c r="O3002" s="245"/>
      <c r="P3002" s="245"/>
      <c r="Q3002" s="247"/>
      <c r="R3002" s="247"/>
      <c r="S3002" s="247"/>
      <c r="T3002" s="245"/>
      <c r="U3002" s="245"/>
      <c r="V3002" s="241"/>
      <c r="W3002" s="241"/>
      <c r="X3002" s="241"/>
    </row>
    <row r="3003" spans="1:24" ht="13.5" customHeight="1" x14ac:dyDescent="0.3">
      <c r="A3003" s="245"/>
      <c r="B3003" s="246"/>
      <c r="C3003" s="245"/>
      <c r="D3003" s="245"/>
      <c r="E3003" s="245"/>
      <c r="F3003" s="245"/>
      <c r="G3003" s="245"/>
      <c r="H3003" s="245"/>
      <c r="I3003" s="245"/>
      <c r="J3003" s="245"/>
      <c r="K3003" s="245"/>
      <c r="L3003" s="246"/>
      <c r="M3003" s="245"/>
      <c r="N3003" s="245"/>
      <c r="O3003" s="245"/>
      <c r="P3003" s="245"/>
      <c r="Q3003" s="247"/>
      <c r="R3003" s="247"/>
      <c r="S3003" s="247"/>
      <c r="T3003" s="245"/>
      <c r="U3003" s="245"/>
      <c r="V3003" s="241"/>
      <c r="W3003" s="241"/>
      <c r="X3003" s="241"/>
    </row>
    <row r="3004" spans="1:24" ht="13.5" customHeight="1" x14ac:dyDescent="0.3">
      <c r="A3004" s="245"/>
      <c r="B3004" s="246"/>
      <c r="C3004" s="245"/>
      <c r="D3004" s="245"/>
      <c r="E3004" s="245"/>
      <c r="F3004" s="245"/>
      <c r="G3004" s="245"/>
      <c r="H3004" s="245"/>
      <c r="I3004" s="245"/>
      <c r="J3004" s="245"/>
      <c r="K3004" s="245"/>
      <c r="L3004" s="246"/>
      <c r="M3004" s="245"/>
      <c r="N3004" s="245"/>
      <c r="O3004" s="245"/>
      <c r="P3004" s="245"/>
      <c r="Q3004" s="247"/>
      <c r="R3004" s="247"/>
      <c r="S3004" s="247"/>
      <c r="T3004" s="245"/>
      <c r="U3004" s="245"/>
      <c r="V3004" s="241"/>
      <c r="W3004" s="241"/>
      <c r="X3004" s="241"/>
    </row>
    <row r="3005" spans="1:24" ht="13.5" customHeight="1" x14ac:dyDescent="0.3">
      <c r="A3005" s="245"/>
      <c r="B3005" s="246"/>
      <c r="C3005" s="245"/>
      <c r="D3005" s="245"/>
      <c r="E3005" s="245"/>
      <c r="F3005" s="245"/>
      <c r="G3005" s="245"/>
      <c r="H3005" s="245"/>
      <c r="I3005" s="245"/>
      <c r="J3005" s="245"/>
      <c r="K3005" s="245"/>
      <c r="L3005" s="246"/>
      <c r="M3005" s="245"/>
      <c r="N3005" s="245"/>
      <c r="O3005" s="245"/>
      <c r="P3005" s="245"/>
      <c r="Q3005" s="247"/>
      <c r="R3005" s="247"/>
      <c r="S3005" s="247"/>
      <c r="T3005" s="245"/>
      <c r="U3005" s="245"/>
      <c r="V3005" s="241"/>
      <c r="W3005" s="241"/>
      <c r="X3005" s="241"/>
    </row>
    <row r="3006" spans="1:24" ht="13.5" customHeight="1" x14ac:dyDescent="0.3">
      <c r="A3006" s="245"/>
      <c r="B3006" s="246"/>
      <c r="C3006" s="245"/>
      <c r="D3006" s="245"/>
      <c r="E3006" s="245"/>
      <c r="F3006" s="245"/>
      <c r="G3006" s="245"/>
      <c r="H3006" s="245"/>
      <c r="I3006" s="245"/>
      <c r="J3006" s="245"/>
      <c r="K3006" s="245"/>
      <c r="L3006" s="246"/>
      <c r="M3006" s="245"/>
      <c r="N3006" s="245"/>
      <c r="O3006" s="245"/>
      <c r="P3006" s="245"/>
      <c r="Q3006" s="247"/>
      <c r="R3006" s="247"/>
      <c r="S3006" s="247"/>
      <c r="T3006" s="245"/>
      <c r="U3006" s="245"/>
      <c r="V3006" s="241"/>
      <c r="W3006" s="241"/>
      <c r="X3006" s="241"/>
    </row>
    <row r="3007" spans="1:24" ht="13.5" customHeight="1" x14ac:dyDescent="0.3">
      <c r="A3007" s="245"/>
      <c r="B3007" s="246"/>
      <c r="C3007" s="245"/>
      <c r="D3007" s="245"/>
      <c r="E3007" s="245"/>
      <c r="F3007" s="245"/>
      <c r="G3007" s="245"/>
      <c r="H3007" s="245"/>
      <c r="I3007" s="245"/>
      <c r="J3007" s="245"/>
      <c r="K3007" s="245"/>
      <c r="L3007" s="246"/>
      <c r="M3007" s="245"/>
      <c r="N3007" s="245"/>
      <c r="O3007" s="245"/>
      <c r="P3007" s="245"/>
      <c r="Q3007" s="247"/>
      <c r="R3007" s="247"/>
      <c r="S3007" s="247"/>
      <c r="T3007" s="245"/>
      <c r="U3007" s="245"/>
      <c r="V3007" s="241"/>
      <c r="W3007" s="241"/>
      <c r="X3007" s="241"/>
    </row>
    <row r="3008" spans="1:24" ht="13.5" customHeight="1" x14ac:dyDescent="0.3">
      <c r="A3008" s="245"/>
      <c r="B3008" s="246"/>
      <c r="C3008" s="245"/>
      <c r="D3008" s="245"/>
      <c r="E3008" s="245"/>
      <c r="F3008" s="245"/>
      <c r="G3008" s="245"/>
      <c r="H3008" s="245"/>
      <c r="I3008" s="245"/>
      <c r="J3008" s="245"/>
      <c r="K3008" s="245"/>
      <c r="L3008" s="246"/>
      <c r="M3008" s="245"/>
      <c r="N3008" s="245"/>
      <c r="O3008" s="245"/>
      <c r="P3008" s="245"/>
      <c r="Q3008" s="247"/>
      <c r="R3008" s="247"/>
      <c r="S3008" s="247"/>
      <c r="T3008" s="245"/>
      <c r="U3008" s="245"/>
      <c r="V3008" s="241"/>
      <c r="W3008" s="241"/>
      <c r="X3008" s="241"/>
    </row>
    <row r="3009" spans="1:24" ht="13.5" customHeight="1" x14ac:dyDescent="0.3">
      <c r="A3009" s="245"/>
      <c r="B3009" s="246"/>
      <c r="C3009" s="245"/>
      <c r="D3009" s="245"/>
      <c r="E3009" s="245"/>
      <c r="F3009" s="245"/>
      <c r="G3009" s="245"/>
      <c r="H3009" s="245"/>
      <c r="I3009" s="245"/>
      <c r="J3009" s="245"/>
      <c r="K3009" s="245"/>
      <c r="L3009" s="246"/>
      <c r="M3009" s="245"/>
      <c r="N3009" s="245"/>
      <c r="O3009" s="245"/>
      <c r="P3009" s="245"/>
      <c r="Q3009" s="247"/>
      <c r="R3009" s="247"/>
      <c r="S3009" s="247"/>
      <c r="T3009" s="245"/>
      <c r="U3009" s="245"/>
      <c r="V3009" s="241"/>
      <c r="W3009" s="241"/>
      <c r="X3009" s="241"/>
    </row>
    <row r="3010" spans="1:24" ht="13.5" customHeight="1" x14ac:dyDescent="0.3">
      <c r="A3010" s="245"/>
      <c r="B3010" s="246"/>
      <c r="C3010" s="245"/>
      <c r="D3010" s="245"/>
      <c r="E3010" s="245"/>
      <c r="F3010" s="245"/>
      <c r="G3010" s="245"/>
      <c r="H3010" s="245"/>
      <c r="I3010" s="245"/>
      <c r="J3010" s="245"/>
      <c r="K3010" s="245"/>
      <c r="L3010" s="246"/>
      <c r="M3010" s="245"/>
      <c r="N3010" s="245"/>
      <c r="O3010" s="245"/>
      <c r="P3010" s="245"/>
      <c r="Q3010" s="247"/>
      <c r="R3010" s="247"/>
      <c r="S3010" s="247"/>
      <c r="T3010" s="245"/>
      <c r="U3010" s="245"/>
      <c r="V3010" s="241"/>
      <c r="W3010" s="241"/>
      <c r="X3010" s="241"/>
    </row>
    <row r="3011" spans="1:24" ht="13.5" customHeight="1" x14ac:dyDescent="0.3">
      <c r="A3011" s="245"/>
      <c r="B3011" s="246"/>
      <c r="C3011" s="245"/>
      <c r="D3011" s="245"/>
      <c r="E3011" s="245"/>
      <c r="F3011" s="245"/>
      <c r="G3011" s="245"/>
      <c r="H3011" s="245"/>
      <c r="I3011" s="245"/>
      <c r="J3011" s="245"/>
      <c r="K3011" s="245"/>
      <c r="L3011" s="246"/>
      <c r="M3011" s="245"/>
      <c r="N3011" s="245"/>
      <c r="O3011" s="245"/>
      <c r="P3011" s="245"/>
      <c r="Q3011" s="247"/>
      <c r="R3011" s="247"/>
      <c r="S3011" s="247"/>
      <c r="T3011" s="245"/>
      <c r="U3011" s="245"/>
      <c r="V3011" s="241"/>
      <c r="W3011" s="241"/>
      <c r="X3011" s="241"/>
    </row>
    <row r="3012" spans="1:24" ht="13.5" customHeight="1" x14ac:dyDescent="0.3">
      <c r="A3012" s="245"/>
      <c r="B3012" s="246"/>
      <c r="C3012" s="245"/>
      <c r="D3012" s="245"/>
      <c r="E3012" s="245"/>
      <c r="F3012" s="245"/>
      <c r="G3012" s="245"/>
      <c r="H3012" s="245"/>
      <c r="I3012" s="245"/>
      <c r="J3012" s="245"/>
      <c r="K3012" s="245"/>
      <c r="L3012" s="246"/>
      <c r="M3012" s="245"/>
      <c r="N3012" s="245"/>
      <c r="O3012" s="245"/>
      <c r="P3012" s="245"/>
      <c r="Q3012" s="247"/>
      <c r="R3012" s="247"/>
      <c r="S3012" s="247"/>
      <c r="T3012" s="245"/>
      <c r="U3012" s="245"/>
      <c r="V3012" s="241"/>
      <c r="W3012" s="241"/>
      <c r="X3012" s="241"/>
    </row>
    <row r="3013" spans="1:24" ht="13.5" customHeight="1" x14ac:dyDescent="0.3">
      <c r="A3013" s="245"/>
      <c r="B3013" s="246"/>
      <c r="C3013" s="245"/>
      <c r="D3013" s="245"/>
      <c r="E3013" s="245"/>
      <c r="F3013" s="245"/>
      <c r="G3013" s="245"/>
      <c r="H3013" s="245"/>
      <c r="I3013" s="245"/>
      <c r="J3013" s="245"/>
      <c r="K3013" s="245"/>
      <c r="L3013" s="246"/>
      <c r="M3013" s="245"/>
      <c r="N3013" s="245"/>
      <c r="O3013" s="245"/>
      <c r="P3013" s="245"/>
      <c r="Q3013" s="247"/>
      <c r="R3013" s="247"/>
      <c r="S3013" s="247"/>
      <c r="T3013" s="245"/>
      <c r="U3013" s="245"/>
      <c r="V3013" s="241"/>
      <c r="W3013" s="241"/>
      <c r="X3013" s="241"/>
    </row>
    <row r="3014" spans="1:24" ht="13.5" customHeight="1" x14ac:dyDescent="0.3">
      <c r="A3014" s="245"/>
      <c r="B3014" s="246"/>
      <c r="C3014" s="245"/>
      <c r="D3014" s="245"/>
      <c r="E3014" s="245"/>
      <c r="F3014" s="245"/>
      <c r="G3014" s="245"/>
      <c r="H3014" s="245"/>
      <c r="I3014" s="245"/>
      <c r="J3014" s="245"/>
      <c r="K3014" s="245"/>
      <c r="L3014" s="246"/>
      <c r="M3014" s="245"/>
      <c r="N3014" s="245"/>
      <c r="O3014" s="245"/>
      <c r="P3014" s="245"/>
      <c r="Q3014" s="247"/>
      <c r="R3014" s="247"/>
      <c r="S3014" s="247"/>
      <c r="T3014" s="245"/>
      <c r="U3014" s="245"/>
      <c r="V3014" s="241"/>
      <c r="W3014" s="241"/>
      <c r="X3014" s="241"/>
    </row>
    <row r="3015" spans="1:24" ht="13.5" customHeight="1" x14ac:dyDescent="0.3">
      <c r="A3015" s="245"/>
      <c r="B3015" s="246"/>
      <c r="C3015" s="245"/>
      <c r="D3015" s="245"/>
      <c r="E3015" s="245"/>
      <c r="F3015" s="245"/>
      <c r="G3015" s="245"/>
      <c r="H3015" s="245"/>
      <c r="I3015" s="245"/>
      <c r="J3015" s="245"/>
      <c r="K3015" s="245"/>
      <c r="L3015" s="246"/>
      <c r="M3015" s="245"/>
      <c r="N3015" s="245"/>
      <c r="O3015" s="245"/>
      <c r="P3015" s="245"/>
      <c r="Q3015" s="247"/>
      <c r="R3015" s="247"/>
      <c r="S3015" s="247"/>
      <c r="T3015" s="245"/>
      <c r="U3015" s="245"/>
      <c r="V3015" s="241"/>
      <c r="W3015" s="241"/>
      <c r="X3015" s="241"/>
    </row>
    <row r="3016" spans="1:24" ht="13.5" customHeight="1" x14ac:dyDescent="0.3">
      <c r="A3016" s="245"/>
      <c r="B3016" s="246"/>
      <c r="C3016" s="245"/>
      <c r="D3016" s="245"/>
      <c r="E3016" s="245"/>
      <c r="F3016" s="245"/>
      <c r="G3016" s="245"/>
      <c r="H3016" s="245"/>
      <c r="I3016" s="245"/>
      <c r="J3016" s="245"/>
      <c r="K3016" s="245"/>
      <c r="L3016" s="246"/>
      <c r="M3016" s="245"/>
      <c r="N3016" s="245"/>
      <c r="O3016" s="245"/>
      <c r="P3016" s="245"/>
      <c r="Q3016" s="247"/>
      <c r="R3016" s="247"/>
      <c r="S3016" s="247"/>
      <c r="T3016" s="245"/>
      <c r="U3016" s="245"/>
      <c r="V3016" s="241"/>
      <c r="W3016" s="241"/>
      <c r="X3016" s="241"/>
    </row>
    <row r="3017" spans="1:24" ht="13.5" customHeight="1" x14ac:dyDescent="0.3">
      <c r="A3017" s="245"/>
      <c r="B3017" s="246"/>
      <c r="C3017" s="245"/>
      <c r="D3017" s="245"/>
      <c r="E3017" s="245"/>
      <c r="F3017" s="245"/>
      <c r="G3017" s="245"/>
      <c r="H3017" s="245"/>
      <c r="I3017" s="245"/>
      <c r="J3017" s="245"/>
      <c r="K3017" s="245"/>
      <c r="L3017" s="246"/>
      <c r="M3017" s="245"/>
      <c r="N3017" s="245"/>
      <c r="O3017" s="245"/>
      <c r="P3017" s="245"/>
      <c r="Q3017" s="247"/>
      <c r="R3017" s="247"/>
      <c r="S3017" s="247"/>
      <c r="T3017" s="245"/>
      <c r="U3017" s="245"/>
      <c r="V3017" s="241"/>
      <c r="W3017" s="241"/>
      <c r="X3017" s="241"/>
    </row>
    <row r="3018" spans="1:24" ht="13.5" customHeight="1" x14ac:dyDescent="0.3">
      <c r="A3018" s="245"/>
      <c r="B3018" s="246"/>
      <c r="C3018" s="245"/>
      <c r="D3018" s="245"/>
      <c r="E3018" s="245"/>
      <c r="F3018" s="245"/>
      <c r="G3018" s="245"/>
      <c r="H3018" s="245"/>
      <c r="I3018" s="245"/>
      <c r="J3018" s="245"/>
      <c r="K3018" s="245"/>
      <c r="L3018" s="246"/>
      <c r="M3018" s="245"/>
      <c r="N3018" s="245"/>
      <c r="O3018" s="245"/>
      <c r="P3018" s="245"/>
      <c r="Q3018" s="247"/>
      <c r="R3018" s="247"/>
      <c r="S3018" s="247"/>
      <c r="T3018" s="245"/>
      <c r="U3018" s="245"/>
      <c r="V3018" s="241"/>
      <c r="W3018" s="241"/>
      <c r="X3018" s="241"/>
    </row>
    <row r="3019" spans="1:24" ht="13.5" customHeight="1" x14ac:dyDescent="0.3">
      <c r="A3019" s="245"/>
      <c r="B3019" s="246"/>
      <c r="C3019" s="245"/>
      <c r="D3019" s="245"/>
      <c r="E3019" s="245"/>
      <c r="F3019" s="245"/>
      <c r="G3019" s="245"/>
      <c r="H3019" s="245"/>
      <c r="I3019" s="245"/>
      <c r="J3019" s="245"/>
      <c r="K3019" s="245"/>
      <c r="L3019" s="246"/>
      <c r="M3019" s="245"/>
      <c r="N3019" s="245"/>
      <c r="O3019" s="245"/>
      <c r="P3019" s="245"/>
      <c r="Q3019" s="247"/>
      <c r="R3019" s="247"/>
      <c r="S3019" s="247"/>
      <c r="T3019" s="245"/>
      <c r="U3019" s="245"/>
      <c r="V3019" s="241"/>
      <c r="W3019" s="241"/>
      <c r="X3019" s="241"/>
    </row>
    <row r="3020" spans="1:24" ht="13.5" customHeight="1" x14ac:dyDescent="0.3">
      <c r="A3020" s="245"/>
      <c r="B3020" s="246"/>
      <c r="C3020" s="245"/>
      <c r="D3020" s="245"/>
      <c r="E3020" s="245"/>
      <c r="F3020" s="245"/>
      <c r="G3020" s="245"/>
      <c r="H3020" s="245"/>
      <c r="I3020" s="245"/>
      <c r="J3020" s="245"/>
      <c r="K3020" s="245"/>
      <c r="L3020" s="246"/>
      <c r="M3020" s="245"/>
      <c r="N3020" s="245"/>
      <c r="O3020" s="245"/>
      <c r="P3020" s="245"/>
      <c r="Q3020" s="247"/>
      <c r="R3020" s="247"/>
      <c r="S3020" s="247"/>
      <c r="T3020" s="245"/>
      <c r="U3020" s="245"/>
      <c r="V3020" s="241"/>
      <c r="W3020" s="241"/>
      <c r="X3020" s="241"/>
    </row>
    <row r="3021" spans="1:24" ht="13.5" customHeight="1" x14ac:dyDescent="0.3">
      <c r="A3021" s="245"/>
      <c r="B3021" s="246"/>
      <c r="C3021" s="245"/>
      <c r="D3021" s="245"/>
      <c r="E3021" s="245"/>
      <c r="F3021" s="245"/>
      <c r="G3021" s="245"/>
      <c r="H3021" s="245"/>
      <c r="I3021" s="245"/>
      <c r="J3021" s="245"/>
      <c r="K3021" s="245"/>
      <c r="L3021" s="246"/>
      <c r="M3021" s="245"/>
      <c r="N3021" s="245"/>
      <c r="O3021" s="245"/>
      <c r="P3021" s="245"/>
      <c r="Q3021" s="247"/>
      <c r="R3021" s="247"/>
      <c r="S3021" s="247"/>
      <c r="T3021" s="245"/>
      <c r="U3021" s="245"/>
      <c r="V3021" s="241"/>
      <c r="W3021" s="241"/>
      <c r="X3021" s="241"/>
    </row>
    <row r="3022" spans="1:24" ht="13.5" customHeight="1" x14ac:dyDescent="0.3">
      <c r="A3022" s="245"/>
      <c r="B3022" s="246"/>
      <c r="C3022" s="245"/>
      <c r="D3022" s="245"/>
      <c r="E3022" s="245"/>
      <c r="F3022" s="245"/>
      <c r="G3022" s="245"/>
      <c r="H3022" s="245"/>
      <c r="I3022" s="245"/>
      <c r="J3022" s="245"/>
      <c r="K3022" s="245"/>
      <c r="L3022" s="246"/>
      <c r="M3022" s="245"/>
      <c r="N3022" s="245"/>
      <c r="O3022" s="245"/>
      <c r="P3022" s="245"/>
      <c r="Q3022" s="247"/>
      <c r="R3022" s="247"/>
      <c r="S3022" s="247"/>
      <c r="T3022" s="245"/>
      <c r="U3022" s="245"/>
      <c r="V3022" s="241"/>
      <c r="W3022" s="241"/>
      <c r="X3022" s="241"/>
    </row>
    <row r="3023" spans="1:24" ht="13.5" customHeight="1" x14ac:dyDescent="0.3">
      <c r="A3023" s="245"/>
      <c r="B3023" s="246"/>
      <c r="C3023" s="245"/>
      <c r="D3023" s="245"/>
      <c r="E3023" s="245"/>
      <c r="F3023" s="245"/>
      <c r="G3023" s="245"/>
      <c r="H3023" s="245"/>
      <c r="I3023" s="245"/>
      <c r="J3023" s="245"/>
      <c r="K3023" s="245"/>
      <c r="L3023" s="246"/>
      <c r="M3023" s="245"/>
      <c r="N3023" s="245"/>
      <c r="O3023" s="245"/>
      <c r="P3023" s="245"/>
      <c r="Q3023" s="247"/>
      <c r="R3023" s="247"/>
      <c r="S3023" s="247"/>
      <c r="T3023" s="245"/>
      <c r="U3023" s="245"/>
      <c r="V3023" s="241"/>
      <c r="W3023" s="241"/>
      <c r="X3023" s="241"/>
    </row>
    <row r="3024" spans="1:24" ht="13.5" customHeight="1" x14ac:dyDescent="0.3">
      <c r="A3024" s="245"/>
      <c r="B3024" s="246"/>
      <c r="C3024" s="245"/>
      <c r="D3024" s="245"/>
      <c r="E3024" s="245"/>
      <c r="F3024" s="245"/>
      <c r="G3024" s="245"/>
      <c r="H3024" s="245"/>
      <c r="I3024" s="245"/>
      <c r="J3024" s="245"/>
      <c r="K3024" s="245"/>
      <c r="L3024" s="246"/>
      <c r="M3024" s="245"/>
      <c r="N3024" s="245"/>
      <c r="O3024" s="245"/>
      <c r="P3024" s="245"/>
      <c r="Q3024" s="247"/>
      <c r="R3024" s="247"/>
      <c r="S3024" s="247"/>
      <c r="T3024" s="245"/>
      <c r="U3024" s="245"/>
      <c r="V3024" s="241"/>
      <c r="W3024" s="241"/>
      <c r="X3024" s="241"/>
    </row>
    <row r="3025" spans="1:24" ht="13.5" customHeight="1" x14ac:dyDescent="0.3">
      <c r="A3025" s="245"/>
      <c r="B3025" s="246"/>
      <c r="C3025" s="245"/>
      <c r="D3025" s="245"/>
      <c r="E3025" s="245"/>
      <c r="F3025" s="245"/>
      <c r="G3025" s="245"/>
      <c r="H3025" s="245"/>
      <c r="I3025" s="245"/>
      <c r="J3025" s="245"/>
      <c r="K3025" s="245"/>
      <c r="L3025" s="246"/>
      <c r="M3025" s="245"/>
      <c r="N3025" s="245"/>
      <c r="O3025" s="245"/>
      <c r="P3025" s="245"/>
      <c r="Q3025" s="247"/>
      <c r="R3025" s="247"/>
      <c r="S3025" s="247"/>
      <c r="T3025" s="245"/>
      <c r="U3025" s="245"/>
      <c r="V3025" s="241"/>
      <c r="W3025" s="241"/>
      <c r="X3025" s="241"/>
    </row>
    <row r="3026" spans="1:24" ht="13.5" customHeight="1" x14ac:dyDescent="0.3">
      <c r="A3026" s="245"/>
      <c r="B3026" s="246"/>
      <c r="C3026" s="245"/>
      <c r="D3026" s="245"/>
      <c r="E3026" s="245"/>
      <c r="F3026" s="245"/>
      <c r="G3026" s="245"/>
      <c r="H3026" s="245"/>
      <c r="I3026" s="245"/>
      <c r="J3026" s="245"/>
      <c r="K3026" s="245"/>
      <c r="L3026" s="246"/>
      <c r="M3026" s="245"/>
      <c r="N3026" s="245"/>
      <c r="O3026" s="245"/>
      <c r="P3026" s="245"/>
      <c r="Q3026" s="247"/>
      <c r="R3026" s="247"/>
      <c r="S3026" s="247"/>
      <c r="T3026" s="245"/>
      <c r="U3026" s="245"/>
      <c r="V3026" s="241"/>
      <c r="W3026" s="241"/>
      <c r="X3026" s="241"/>
    </row>
    <row r="3027" spans="1:24" ht="13.5" customHeight="1" x14ac:dyDescent="0.3">
      <c r="A3027" s="245"/>
      <c r="B3027" s="246"/>
      <c r="C3027" s="245"/>
      <c r="D3027" s="245"/>
      <c r="E3027" s="245"/>
      <c r="F3027" s="245"/>
      <c r="G3027" s="245"/>
      <c r="H3027" s="245"/>
      <c r="I3027" s="245"/>
      <c r="J3027" s="245"/>
      <c r="K3027" s="245"/>
      <c r="L3027" s="246"/>
      <c r="M3027" s="245"/>
      <c r="N3027" s="245"/>
      <c r="O3027" s="245"/>
      <c r="P3027" s="245"/>
      <c r="Q3027" s="247"/>
      <c r="R3027" s="247"/>
      <c r="S3027" s="247"/>
      <c r="T3027" s="245"/>
      <c r="U3027" s="245"/>
      <c r="V3027" s="241"/>
      <c r="W3027" s="241"/>
      <c r="X3027" s="241"/>
    </row>
    <row r="3028" spans="1:24" ht="13.5" customHeight="1" x14ac:dyDescent="0.3">
      <c r="A3028" s="245"/>
      <c r="B3028" s="246"/>
      <c r="C3028" s="245"/>
      <c r="D3028" s="245"/>
      <c r="E3028" s="245"/>
      <c r="F3028" s="245"/>
      <c r="G3028" s="245"/>
      <c r="H3028" s="245"/>
      <c r="I3028" s="245"/>
      <c r="J3028" s="245"/>
      <c r="K3028" s="245"/>
      <c r="L3028" s="246"/>
      <c r="M3028" s="245"/>
      <c r="N3028" s="245"/>
      <c r="O3028" s="245"/>
      <c r="P3028" s="245"/>
      <c r="Q3028" s="247"/>
      <c r="R3028" s="247"/>
      <c r="S3028" s="247"/>
      <c r="T3028" s="245"/>
      <c r="U3028" s="245"/>
      <c r="V3028" s="241"/>
      <c r="W3028" s="241"/>
      <c r="X3028" s="241"/>
    </row>
    <row r="3029" spans="1:24" ht="13.5" customHeight="1" x14ac:dyDescent="0.3">
      <c r="A3029" s="245"/>
      <c r="B3029" s="246"/>
      <c r="C3029" s="245"/>
      <c r="D3029" s="245"/>
      <c r="E3029" s="245"/>
      <c r="F3029" s="245"/>
      <c r="G3029" s="245"/>
      <c r="H3029" s="245"/>
      <c r="I3029" s="245"/>
      <c r="J3029" s="245"/>
      <c r="K3029" s="245"/>
      <c r="L3029" s="246"/>
      <c r="M3029" s="245"/>
      <c r="N3029" s="245"/>
      <c r="O3029" s="245"/>
      <c r="P3029" s="245"/>
      <c r="Q3029" s="247"/>
      <c r="R3029" s="247"/>
      <c r="S3029" s="247"/>
      <c r="T3029" s="245"/>
      <c r="U3029" s="245"/>
      <c r="V3029" s="241"/>
      <c r="W3029" s="241"/>
      <c r="X3029" s="241"/>
    </row>
    <row r="3030" spans="1:24" ht="13.5" customHeight="1" x14ac:dyDescent="0.3">
      <c r="A3030" s="245"/>
      <c r="B3030" s="246"/>
      <c r="C3030" s="245"/>
      <c r="D3030" s="245"/>
      <c r="E3030" s="245"/>
      <c r="F3030" s="245"/>
      <c r="G3030" s="245"/>
      <c r="H3030" s="245"/>
      <c r="I3030" s="245"/>
      <c r="J3030" s="245"/>
      <c r="K3030" s="245"/>
      <c r="L3030" s="246"/>
      <c r="M3030" s="245"/>
      <c r="N3030" s="245"/>
      <c r="O3030" s="245"/>
      <c r="P3030" s="245"/>
      <c r="Q3030" s="247"/>
      <c r="R3030" s="247"/>
      <c r="S3030" s="247"/>
      <c r="T3030" s="245"/>
      <c r="U3030" s="245"/>
      <c r="V3030" s="241"/>
      <c r="W3030" s="241"/>
      <c r="X3030" s="241"/>
    </row>
    <row r="3031" spans="1:24" ht="13.5" customHeight="1" x14ac:dyDescent="0.3">
      <c r="A3031" s="245"/>
      <c r="B3031" s="246"/>
      <c r="C3031" s="245"/>
      <c r="D3031" s="245"/>
      <c r="E3031" s="245"/>
      <c r="F3031" s="245"/>
      <c r="G3031" s="245"/>
      <c r="H3031" s="245"/>
      <c r="I3031" s="245"/>
      <c r="J3031" s="245"/>
      <c r="K3031" s="245"/>
      <c r="L3031" s="246"/>
      <c r="M3031" s="245"/>
      <c r="N3031" s="245"/>
      <c r="O3031" s="245"/>
      <c r="P3031" s="245"/>
      <c r="Q3031" s="247"/>
      <c r="R3031" s="247"/>
      <c r="S3031" s="247"/>
      <c r="T3031" s="245"/>
      <c r="U3031" s="245"/>
      <c r="V3031" s="241"/>
      <c r="W3031" s="241"/>
      <c r="X3031" s="241"/>
    </row>
    <row r="3032" spans="1:24" ht="13.5" customHeight="1" x14ac:dyDescent="0.3">
      <c r="A3032" s="245"/>
      <c r="B3032" s="246"/>
      <c r="C3032" s="245"/>
      <c r="D3032" s="245"/>
      <c r="E3032" s="245"/>
      <c r="F3032" s="245"/>
      <c r="G3032" s="245"/>
      <c r="H3032" s="245"/>
      <c r="I3032" s="245"/>
      <c r="J3032" s="245"/>
      <c r="K3032" s="245"/>
      <c r="L3032" s="246"/>
      <c r="M3032" s="245"/>
      <c r="N3032" s="245"/>
      <c r="O3032" s="245"/>
      <c r="P3032" s="245"/>
      <c r="Q3032" s="247"/>
      <c r="R3032" s="247"/>
      <c r="S3032" s="247"/>
      <c r="T3032" s="245"/>
      <c r="U3032" s="245"/>
      <c r="V3032" s="241"/>
      <c r="W3032" s="241"/>
      <c r="X3032" s="241"/>
    </row>
    <row r="3033" spans="1:24" ht="13.5" customHeight="1" x14ac:dyDescent="0.3">
      <c r="A3033" s="245"/>
      <c r="B3033" s="246"/>
      <c r="C3033" s="245"/>
      <c r="D3033" s="245"/>
      <c r="E3033" s="245"/>
      <c r="F3033" s="245"/>
      <c r="G3033" s="245"/>
      <c r="H3033" s="245"/>
      <c r="I3033" s="245"/>
      <c r="J3033" s="245"/>
      <c r="K3033" s="245"/>
      <c r="L3033" s="246"/>
      <c r="M3033" s="245"/>
      <c r="N3033" s="245"/>
      <c r="O3033" s="245"/>
      <c r="P3033" s="245"/>
      <c r="Q3033" s="247"/>
      <c r="R3033" s="247"/>
      <c r="S3033" s="247"/>
      <c r="T3033" s="245"/>
      <c r="U3033" s="245"/>
      <c r="V3033" s="241"/>
      <c r="W3033" s="241"/>
      <c r="X3033" s="241"/>
    </row>
    <row r="3034" spans="1:24" ht="13.5" customHeight="1" x14ac:dyDescent="0.3">
      <c r="A3034" s="245"/>
      <c r="B3034" s="246"/>
      <c r="C3034" s="245"/>
      <c r="D3034" s="245"/>
      <c r="E3034" s="245"/>
      <c r="F3034" s="245"/>
      <c r="G3034" s="245"/>
      <c r="H3034" s="245"/>
      <c r="I3034" s="245"/>
      <c r="J3034" s="245"/>
      <c r="K3034" s="245"/>
      <c r="L3034" s="246"/>
      <c r="M3034" s="245"/>
      <c r="N3034" s="245"/>
      <c r="O3034" s="245"/>
      <c r="P3034" s="245"/>
      <c r="Q3034" s="247"/>
      <c r="R3034" s="247"/>
      <c r="S3034" s="247"/>
      <c r="T3034" s="245"/>
      <c r="U3034" s="245"/>
      <c r="V3034" s="241"/>
      <c r="W3034" s="241"/>
      <c r="X3034" s="241"/>
    </row>
    <row r="3035" spans="1:24" ht="13.5" customHeight="1" x14ac:dyDescent="0.3">
      <c r="A3035" s="245"/>
      <c r="B3035" s="246"/>
      <c r="C3035" s="245"/>
      <c r="D3035" s="245"/>
      <c r="E3035" s="245"/>
      <c r="F3035" s="245"/>
      <c r="G3035" s="245"/>
      <c r="H3035" s="245"/>
      <c r="I3035" s="245"/>
      <c r="J3035" s="245"/>
      <c r="K3035" s="245"/>
      <c r="L3035" s="246"/>
      <c r="M3035" s="245"/>
      <c r="N3035" s="245"/>
      <c r="O3035" s="245"/>
      <c r="P3035" s="245"/>
      <c r="Q3035" s="247"/>
      <c r="R3035" s="247"/>
      <c r="S3035" s="247"/>
      <c r="T3035" s="245"/>
      <c r="U3035" s="245"/>
      <c r="V3035" s="241"/>
      <c r="W3035" s="241"/>
      <c r="X3035" s="241"/>
    </row>
    <row r="3036" spans="1:24" ht="13.5" customHeight="1" x14ac:dyDescent="0.3">
      <c r="A3036" s="245"/>
      <c r="B3036" s="246"/>
      <c r="C3036" s="245"/>
      <c r="D3036" s="245"/>
      <c r="E3036" s="245"/>
      <c r="F3036" s="245"/>
      <c r="G3036" s="245"/>
      <c r="H3036" s="245"/>
      <c r="I3036" s="245"/>
      <c r="J3036" s="245"/>
      <c r="K3036" s="245"/>
      <c r="L3036" s="246"/>
      <c r="M3036" s="245"/>
      <c r="N3036" s="245"/>
      <c r="O3036" s="245"/>
      <c r="P3036" s="245"/>
      <c r="Q3036" s="247"/>
      <c r="R3036" s="247"/>
      <c r="S3036" s="247"/>
      <c r="T3036" s="245"/>
      <c r="U3036" s="245"/>
      <c r="V3036" s="241"/>
      <c r="W3036" s="241"/>
      <c r="X3036" s="241"/>
    </row>
    <row r="3037" spans="1:24" ht="13.5" customHeight="1" x14ac:dyDescent="0.3">
      <c r="A3037" s="245"/>
      <c r="B3037" s="246"/>
      <c r="C3037" s="245"/>
      <c r="D3037" s="245"/>
      <c r="E3037" s="245"/>
      <c r="F3037" s="245"/>
      <c r="G3037" s="245"/>
      <c r="H3037" s="245"/>
      <c r="I3037" s="245"/>
      <c r="J3037" s="245"/>
      <c r="K3037" s="245"/>
      <c r="L3037" s="246"/>
      <c r="M3037" s="245"/>
      <c r="N3037" s="245"/>
      <c r="O3037" s="245"/>
      <c r="P3037" s="245"/>
      <c r="Q3037" s="247"/>
      <c r="R3037" s="247"/>
      <c r="S3037" s="247"/>
      <c r="T3037" s="245"/>
      <c r="U3037" s="245"/>
      <c r="V3037" s="241"/>
      <c r="W3037" s="241"/>
      <c r="X3037" s="241"/>
    </row>
    <row r="3038" spans="1:24" ht="13.5" customHeight="1" x14ac:dyDescent="0.3">
      <c r="A3038" s="245"/>
      <c r="B3038" s="246"/>
      <c r="C3038" s="245"/>
      <c r="D3038" s="245"/>
      <c r="E3038" s="245"/>
      <c r="F3038" s="245"/>
      <c r="G3038" s="245"/>
      <c r="H3038" s="245"/>
      <c r="I3038" s="245"/>
      <c r="J3038" s="245"/>
      <c r="K3038" s="245"/>
      <c r="L3038" s="246"/>
      <c r="M3038" s="245"/>
      <c r="N3038" s="245"/>
      <c r="O3038" s="245"/>
      <c r="P3038" s="245"/>
      <c r="Q3038" s="247"/>
      <c r="R3038" s="247"/>
      <c r="S3038" s="247"/>
      <c r="T3038" s="245"/>
      <c r="U3038" s="245"/>
      <c r="V3038" s="241"/>
      <c r="W3038" s="241"/>
      <c r="X3038" s="241"/>
    </row>
    <row r="3039" spans="1:24" ht="13.5" customHeight="1" x14ac:dyDescent="0.3">
      <c r="A3039" s="245"/>
      <c r="B3039" s="246"/>
      <c r="C3039" s="245"/>
      <c r="D3039" s="245"/>
      <c r="E3039" s="245"/>
      <c r="F3039" s="245"/>
      <c r="G3039" s="245"/>
      <c r="H3039" s="245"/>
      <c r="I3039" s="245"/>
      <c r="J3039" s="245"/>
      <c r="K3039" s="245"/>
      <c r="L3039" s="246"/>
      <c r="M3039" s="245"/>
      <c r="N3039" s="245"/>
      <c r="O3039" s="245"/>
      <c r="P3039" s="245"/>
      <c r="Q3039" s="247"/>
      <c r="R3039" s="247"/>
      <c r="S3039" s="247"/>
      <c r="T3039" s="245"/>
      <c r="U3039" s="245"/>
      <c r="V3039" s="241"/>
      <c r="W3039" s="241"/>
      <c r="X3039" s="241"/>
    </row>
    <row r="3040" spans="1:24" ht="13.5" customHeight="1" x14ac:dyDescent="0.3">
      <c r="A3040" s="245"/>
      <c r="B3040" s="246"/>
      <c r="C3040" s="245"/>
      <c r="D3040" s="245"/>
      <c r="E3040" s="245"/>
      <c r="F3040" s="245"/>
      <c r="G3040" s="245"/>
      <c r="H3040" s="245"/>
      <c r="I3040" s="245"/>
      <c r="J3040" s="245"/>
      <c r="K3040" s="245"/>
      <c r="L3040" s="246"/>
      <c r="M3040" s="245"/>
      <c r="N3040" s="245"/>
      <c r="O3040" s="245"/>
      <c r="P3040" s="245"/>
      <c r="Q3040" s="247"/>
      <c r="R3040" s="247"/>
      <c r="S3040" s="247"/>
      <c r="T3040" s="245"/>
      <c r="U3040" s="245"/>
      <c r="V3040" s="241"/>
      <c r="W3040" s="241"/>
      <c r="X3040" s="241"/>
    </row>
    <row r="3041" spans="1:24" ht="13.5" customHeight="1" x14ac:dyDescent="0.3">
      <c r="A3041" s="245"/>
      <c r="B3041" s="246"/>
      <c r="C3041" s="245"/>
      <c r="D3041" s="245"/>
      <c r="E3041" s="245"/>
      <c r="F3041" s="245"/>
      <c r="G3041" s="245"/>
      <c r="H3041" s="245"/>
      <c r="I3041" s="245"/>
      <c r="J3041" s="245"/>
      <c r="K3041" s="245"/>
      <c r="L3041" s="246"/>
      <c r="M3041" s="245"/>
      <c r="N3041" s="245"/>
      <c r="O3041" s="245"/>
      <c r="P3041" s="245"/>
      <c r="Q3041" s="247"/>
      <c r="R3041" s="247"/>
      <c r="S3041" s="247"/>
      <c r="T3041" s="245"/>
      <c r="U3041" s="245"/>
      <c r="V3041" s="241"/>
      <c r="W3041" s="241"/>
      <c r="X3041" s="241"/>
    </row>
    <row r="3042" spans="1:24" ht="13.5" customHeight="1" x14ac:dyDescent="0.3">
      <c r="A3042" s="245"/>
      <c r="B3042" s="246"/>
      <c r="C3042" s="245"/>
      <c r="D3042" s="245"/>
      <c r="E3042" s="245"/>
      <c r="F3042" s="245"/>
      <c r="G3042" s="245"/>
      <c r="H3042" s="245"/>
      <c r="I3042" s="245"/>
      <c r="J3042" s="245"/>
      <c r="K3042" s="245"/>
      <c r="L3042" s="246"/>
      <c r="M3042" s="245"/>
      <c r="N3042" s="245"/>
      <c r="O3042" s="245"/>
      <c r="P3042" s="245"/>
      <c r="Q3042" s="247"/>
      <c r="R3042" s="247"/>
      <c r="S3042" s="247"/>
      <c r="T3042" s="245"/>
      <c r="U3042" s="245"/>
      <c r="V3042" s="241"/>
      <c r="W3042" s="241"/>
      <c r="X3042" s="241"/>
    </row>
    <row r="3043" spans="1:24" ht="13.5" customHeight="1" x14ac:dyDescent="0.3">
      <c r="A3043" s="245"/>
      <c r="B3043" s="246"/>
      <c r="C3043" s="245"/>
      <c r="D3043" s="245"/>
      <c r="E3043" s="245"/>
      <c r="F3043" s="245"/>
      <c r="G3043" s="245"/>
      <c r="H3043" s="245"/>
      <c r="I3043" s="245"/>
      <c r="J3043" s="245"/>
      <c r="K3043" s="245"/>
      <c r="L3043" s="246"/>
      <c r="M3043" s="245"/>
      <c r="N3043" s="245"/>
      <c r="O3043" s="245"/>
      <c r="P3043" s="245"/>
      <c r="Q3043" s="247"/>
      <c r="R3043" s="247"/>
      <c r="S3043" s="247"/>
      <c r="T3043" s="245"/>
      <c r="U3043" s="245"/>
      <c r="V3043" s="241"/>
      <c r="W3043" s="241"/>
      <c r="X3043" s="241"/>
    </row>
    <row r="3044" spans="1:24" ht="13.5" customHeight="1" x14ac:dyDescent="0.3">
      <c r="A3044" s="245"/>
      <c r="B3044" s="246"/>
      <c r="C3044" s="245"/>
      <c r="D3044" s="245"/>
      <c r="E3044" s="245"/>
      <c r="F3044" s="245"/>
      <c r="G3044" s="245"/>
      <c r="H3044" s="245"/>
      <c r="I3044" s="245"/>
      <c r="J3044" s="245"/>
      <c r="K3044" s="245"/>
      <c r="L3044" s="246"/>
      <c r="M3044" s="245"/>
      <c r="N3044" s="245"/>
      <c r="O3044" s="245"/>
      <c r="P3044" s="245"/>
      <c r="Q3044" s="247"/>
      <c r="R3044" s="247"/>
      <c r="S3044" s="247"/>
      <c r="T3044" s="245"/>
      <c r="U3044" s="245"/>
      <c r="V3044" s="241"/>
      <c r="W3044" s="241"/>
      <c r="X3044" s="241"/>
    </row>
    <row r="3045" spans="1:24" ht="13.5" customHeight="1" x14ac:dyDescent="0.3">
      <c r="A3045" s="245"/>
      <c r="B3045" s="246"/>
      <c r="C3045" s="245"/>
      <c r="D3045" s="245"/>
      <c r="E3045" s="245"/>
      <c r="F3045" s="245"/>
      <c r="G3045" s="245"/>
      <c r="H3045" s="245"/>
      <c r="I3045" s="245"/>
      <c r="J3045" s="245"/>
      <c r="K3045" s="245"/>
      <c r="L3045" s="246"/>
      <c r="M3045" s="245"/>
      <c r="N3045" s="245"/>
      <c r="O3045" s="245"/>
      <c r="P3045" s="245"/>
      <c r="Q3045" s="247"/>
      <c r="R3045" s="247"/>
      <c r="S3045" s="247"/>
      <c r="T3045" s="245"/>
      <c r="U3045" s="245"/>
      <c r="V3045" s="241"/>
      <c r="W3045" s="241"/>
      <c r="X3045" s="241"/>
    </row>
    <row r="3046" spans="1:24" ht="13.5" customHeight="1" x14ac:dyDescent="0.3">
      <c r="A3046" s="245"/>
      <c r="B3046" s="246"/>
      <c r="C3046" s="245"/>
      <c r="D3046" s="245"/>
      <c r="E3046" s="245"/>
      <c r="F3046" s="245"/>
      <c r="G3046" s="245"/>
      <c r="H3046" s="245"/>
      <c r="I3046" s="245"/>
      <c r="J3046" s="245"/>
      <c r="K3046" s="245"/>
      <c r="L3046" s="246"/>
      <c r="M3046" s="245"/>
      <c r="N3046" s="245"/>
      <c r="O3046" s="245"/>
      <c r="P3046" s="245"/>
      <c r="Q3046" s="247"/>
      <c r="R3046" s="247"/>
      <c r="S3046" s="247"/>
      <c r="T3046" s="245"/>
      <c r="U3046" s="245"/>
      <c r="V3046" s="241"/>
      <c r="W3046" s="241"/>
      <c r="X3046" s="241"/>
    </row>
    <row r="3047" spans="1:24" ht="13.5" customHeight="1" x14ac:dyDescent="0.3">
      <c r="A3047" s="245"/>
      <c r="B3047" s="246"/>
      <c r="C3047" s="245"/>
      <c r="D3047" s="245"/>
      <c r="E3047" s="245"/>
      <c r="F3047" s="245"/>
      <c r="G3047" s="245"/>
      <c r="H3047" s="245"/>
      <c r="I3047" s="245"/>
      <c r="J3047" s="245"/>
      <c r="K3047" s="245"/>
      <c r="L3047" s="246"/>
      <c r="M3047" s="245"/>
      <c r="N3047" s="245"/>
      <c r="O3047" s="245"/>
      <c r="P3047" s="245"/>
      <c r="Q3047" s="247"/>
      <c r="R3047" s="247"/>
      <c r="S3047" s="247"/>
      <c r="T3047" s="245"/>
      <c r="U3047" s="245"/>
      <c r="V3047" s="241"/>
      <c r="W3047" s="241"/>
      <c r="X3047" s="241"/>
    </row>
    <row r="3048" spans="1:24" ht="13.5" customHeight="1" x14ac:dyDescent="0.3">
      <c r="A3048" s="245"/>
      <c r="B3048" s="246"/>
      <c r="C3048" s="245"/>
      <c r="D3048" s="245"/>
      <c r="E3048" s="245"/>
      <c r="F3048" s="245"/>
      <c r="G3048" s="245"/>
      <c r="H3048" s="245"/>
      <c r="I3048" s="245"/>
      <c r="J3048" s="245"/>
      <c r="K3048" s="245"/>
      <c r="L3048" s="246"/>
      <c r="M3048" s="245"/>
      <c r="N3048" s="245"/>
      <c r="O3048" s="245"/>
      <c r="P3048" s="245"/>
      <c r="Q3048" s="247"/>
      <c r="R3048" s="247"/>
      <c r="S3048" s="247"/>
      <c r="T3048" s="245"/>
      <c r="U3048" s="245"/>
      <c r="V3048" s="241"/>
      <c r="W3048" s="241"/>
      <c r="X3048" s="241"/>
    </row>
    <row r="3049" spans="1:24" ht="13.5" customHeight="1" x14ac:dyDescent="0.3">
      <c r="A3049" s="245"/>
      <c r="B3049" s="246"/>
      <c r="C3049" s="245"/>
      <c r="D3049" s="245"/>
      <c r="E3049" s="245"/>
      <c r="F3049" s="245"/>
      <c r="G3049" s="245"/>
      <c r="H3049" s="245"/>
      <c r="I3049" s="245"/>
      <c r="J3049" s="245"/>
      <c r="K3049" s="245"/>
      <c r="L3049" s="246"/>
      <c r="M3049" s="245"/>
      <c r="N3049" s="245"/>
      <c r="O3049" s="245"/>
      <c r="P3049" s="245"/>
      <c r="Q3049" s="247"/>
      <c r="R3049" s="247"/>
      <c r="S3049" s="247"/>
      <c r="T3049" s="245"/>
      <c r="U3049" s="245"/>
      <c r="V3049" s="241"/>
      <c r="W3049" s="241"/>
      <c r="X3049" s="241"/>
    </row>
    <row r="3050" spans="1:24" ht="13.5" customHeight="1" x14ac:dyDescent="0.3">
      <c r="A3050" s="245"/>
      <c r="B3050" s="246"/>
      <c r="C3050" s="245"/>
      <c r="D3050" s="245"/>
      <c r="E3050" s="245"/>
      <c r="F3050" s="245"/>
      <c r="G3050" s="245"/>
      <c r="H3050" s="245"/>
      <c r="I3050" s="245"/>
      <c r="J3050" s="245"/>
      <c r="K3050" s="245"/>
      <c r="L3050" s="246"/>
      <c r="M3050" s="245"/>
      <c r="N3050" s="245"/>
      <c r="O3050" s="245"/>
      <c r="P3050" s="245"/>
      <c r="Q3050" s="247"/>
      <c r="R3050" s="247"/>
      <c r="S3050" s="247"/>
      <c r="T3050" s="245"/>
      <c r="U3050" s="245"/>
      <c r="V3050" s="241"/>
      <c r="W3050" s="241"/>
      <c r="X3050" s="241"/>
    </row>
    <row r="3051" spans="1:24" ht="13.5" customHeight="1" x14ac:dyDescent="0.3">
      <c r="A3051" s="245"/>
      <c r="B3051" s="246"/>
      <c r="C3051" s="245"/>
      <c r="D3051" s="245"/>
      <c r="E3051" s="245"/>
      <c r="F3051" s="245"/>
      <c r="G3051" s="245"/>
      <c r="H3051" s="245"/>
      <c r="I3051" s="245"/>
      <c r="J3051" s="245"/>
      <c r="K3051" s="245"/>
      <c r="L3051" s="246"/>
      <c r="M3051" s="245"/>
      <c r="N3051" s="245"/>
      <c r="O3051" s="245"/>
      <c r="P3051" s="245"/>
      <c r="Q3051" s="247"/>
      <c r="R3051" s="247"/>
      <c r="S3051" s="247"/>
      <c r="T3051" s="245"/>
      <c r="U3051" s="245"/>
      <c r="V3051" s="241"/>
      <c r="W3051" s="241"/>
      <c r="X3051" s="241"/>
    </row>
    <row r="3052" spans="1:24" ht="13.5" customHeight="1" x14ac:dyDescent="0.3">
      <c r="A3052" s="245"/>
      <c r="B3052" s="246"/>
      <c r="C3052" s="245"/>
      <c r="D3052" s="245"/>
      <c r="E3052" s="245"/>
      <c r="F3052" s="245"/>
      <c r="G3052" s="245"/>
      <c r="H3052" s="245"/>
      <c r="I3052" s="245"/>
      <c r="J3052" s="245"/>
      <c r="K3052" s="245"/>
      <c r="L3052" s="246"/>
      <c r="M3052" s="245"/>
      <c r="N3052" s="245"/>
      <c r="O3052" s="245"/>
      <c r="P3052" s="245"/>
      <c r="Q3052" s="247"/>
      <c r="R3052" s="247"/>
      <c r="S3052" s="247"/>
      <c r="T3052" s="245"/>
      <c r="U3052" s="245"/>
      <c r="V3052" s="241"/>
      <c r="W3052" s="241"/>
      <c r="X3052" s="241"/>
    </row>
    <row r="3053" spans="1:24" ht="13.5" customHeight="1" x14ac:dyDescent="0.3">
      <c r="A3053" s="245"/>
      <c r="B3053" s="246"/>
      <c r="C3053" s="245"/>
      <c r="D3053" s="245"/>
      <c r="E3053" s="245"/>
      <c r="F3053" s="245"/>
      <c r="G3053" s="245"/>
      <c r="H3053" s="245"/>
      <c r="I3053" s="245"/>
      <c r="J3053" s="245"/>
      <c r="K3053" s="245"/>
      <c r="L3053" s="246"/>
      <c r="M3053" s="245"/>
      <c r="N3053" s="245"/>
      <c r="O3053" s="245"/>
      <c r="P3053" s="245"/>
      <c r="Q3053" s="247"/>
      <c r="R3053" s="247"/>
      <c r="S3053" s="247"/>
      <c r="T3053" s="245"/>
      <c r="U3053" s="245"/>
      <c r="V3053" s="241"/>
      <c r="W3053" s="241"/>
      <c r="X3053" s="241"/>
    </row>
    <row r="3054" spans="1:24" ht="13.5" customHeight="1" x14ac:dyDescent="0.3">
      <c r="A3054" s="245"/>
      <c r="B3054" s="246"/>
      <c r="C3054" s="245"/>
      <c r="D3054" s="245"/>
      <c r="E3054" s="245"/>
      <c r="F3054" s="245"/>
      <c r="G3054" s="245"/>
      <c r="H3054" s="245"/>
      <c r="I3054" s="245"/>
      <c r="J3054" s="245"/>
      <c r="K3054" s="245"/>
      <c r="L3054" s="246"/>
      <c r="M3054" s="245"/>
      <c r="N3054" s="245"/>
      <c r="O3054" s="245"/>
      <c r="P3054" s="245"/>
      <c r="Q3054" s="247"/>
      <c r="R3054" s="247"/>
      <c r="S3054" s="247"/>
      <c r="T3054" s="245"/>
      <c r="U3054" s="245"/>
      <c r="V3054" s="241"/>
      <c r="W3054" s="241"/>
      <c r="X3054" s="241"/>
    </row>
    <row r="3055" spans="1:24" ht="13.5" customHeight="1" x14ac:dyDescent="0.3">
      <c r="A3055" s="245"/>
      <c r="B3055" s="246"/>
      <c r="C3055" s="245"/>
      <c r="D3055" s="245"/>
      <c r="E3055" s="245"/>
      <c r="F3055" s="245"/>
      <c r="G3055" s="245"/>
      <c r="H3055" s="245"/>
      <c r="I3055" s="245"/>
      <c r="J3055" s="245"/>
      <c r="K3055" s="245"/>
      <c r="L3055" s="246"/>
      <c r="M3055" s="245"/>
      <c r="N3055" s="245"/>
      <c r="O3055" s="245"/>
      <c r="P3055" s="245"/>
      <c r="Q3055" s="247"/>
      <c r="R3055" s="247"/>
      <c r="S3055" s="247"/>
      <c r="T3055" s="245"/>
      <c r="U3055" s="245"/>
      <c r="V3055" s="241"/>
      <c r="W3055" s="241"/>
      <c r="X3055" s="241"/>
    </row>
    <row r="3056" spans="1:24" ht="13.5" customHeight="1" x14ac:dyDescent="0.3">
      <c r="A3056" s="245"/>
      <c r="B3056" s="246"/>
      <c r="C3056" s="245"/>
      <c r="D3056" s="245"/>
      <c r="E3056" s="245"/>
      <c r="F3056" s="245"/>
      <c r="G3056" s="245"/>
      <c r="H3056" s="245"/>
      <c r="I3056" s="245"/>
      <c r="J3056" s="245"/>
      <c r="K3056" s="245"/>
      <c r="L3056" s="246"/>
      <c r="M3056" s="245"/>
      <c r="N3056" s="245"/>
      <c r="O3056" s="245"/>
      <c r="P3056" s="245"/>
      <c r="Q3056" s="247"/>
      <c r="R3056" s="247"/>
      <c r="S3056" s="247"/>
      <c r="T3056" s="245"/>
      <c r="U3056" s="245"/>
      <c r="V3056" s="241"/>
      <c r="W3056" s="241"/>
      <c r="X3056" s="241"/>
    </row>
    <row r="3057" spans="1:24" ht="13.5" customHeight="1" x14ac:dyDescent="0.3">
      <c r="A3057" s="245"/>
      <c r="B3057" s="246"/>
      <c r="C3057" s="245"/>
      <c r="D3057" s="245"/>
      <c r="E3057" s="245"/>
      <c r="F3057" s="245"/>
      <c r="G3057" s="245"/>
      <c r="H3057" s="245"/>
      <c r="I3057" s="245"/>
      <c r="J3057" s="245"/>
      <c r="K3057" s="245"/>
      <c r="L3057" s="246"/>
      <c r="M3057" s="245"/>
      <c r="N3057" s="245"/>
      <c r="O3057" s="245"/>
      <c r="P3057" s="245"/>
      <c r="Q3057" s="247"/>
      <c r="R3057" s="247"/>
      <c r="S3057" s="247"/>
      <c r="T3057" s="245"/>
      <c r="U3057" s="245"/>
      <c r="V3057" s="241"/>
      <c r="W3057" s="241"/>
      <c r="X3057" s="241"/>
    </row>
    <row r="3058" spans="1:24" ht="13.5" customHeight="1" x14ac:dyDescent="0.3">
      <c r="A3058" s="245"/>
      <c r="B3058" s="246"/>
      <c r="C3058" s="245"/>
      <c r="D3058" s="245"/>
      <c r="E3058" s="245"/>
      <c r="F3058" s="245"/>
      <c r="G3058" s="245"/>
      <c r="H3058" s="245"/>
      <c r="I3058" s="245"/>
      <c r="J3058" s="245"/>
      <c r="K3058" s="245"/>
      <c r="L3058" s="246"/>
      <c r="M3058" s="245"/>
      <c r="N3058" s="245"/>
      <c r="O3058" s="245"/>
      <c r="P3058" s="245"/>
      <c r="Q3058" s="247"/>
      <c r="R3058" s="247"/>
      <c r="S3058" s="247"/>
      <c r="T3058" s="245"/>
      <c r="U3058" s="245"/>
      <c r="V3058" s="241"/>
      <c r="W3058" s="241"/>
      <c r="X3058" s="241"/>
    </row>
    <row r="3059" spans="1:24" ht="13.5" customHeight="1" x14ac:dyDescent="0.3">
      <c r="A3059" s="245"/>
      <c r="B3059" s="246"/>
      <c r="C3059" s="245"/>
      <c r="D3059" s="245"/>
      <c r="E3059" s="245"/>
      <c r="F3059" s="245"/>
      <c r="G3059" s="245"/>
      <c r="H3059" s="245"/>
      <c r="I3059" s="245"/>
      <c r="J3059" s="245"/>
      <c r="K3059" s="245"/>
      <c r="L3059" s="246"/>
      <c r="M3059" s="245"/>
      <c r="N3059" s="245"/>
      <c r="O3059" s="245"/>
      <c r="P3059" s="245"/>
      <c r="Q3059" s="247"/>
      <c r="R3059" s="247"/>
      <c r="S3059" s="247"/>
      <c r="T3059" s="245"/>
      <c r="U3059" s="245"/>
      <c r="V3059" s="241"/>
      <c r="W3059" s="241"/>
      <c r="X3059" s="241"/>
    </row>
    <row r="3060" spans="1:24" ht="13.5" customHeight="1" x14ac:dyDescent="0.3">
      <c r="A3060" s="245"/>
      <c r="B3060" s="246"/>
      <c r="C3060" s="245"/>
      <c r="D3060" s="245"/>
      <c r="E3060" s="245"/>
      <c r="F3060" s="245"/>
      <c r="G3060" s="245"/>
      <c r="H3060" s="245"/>
      <c r="I3060" s="245"/>
      <c r="J3060" s="245"/>
      <c r="K3060" s="245"/>
      <c r="L3060" s="246"/>
      <c r="M3060" s="245"/>
      <c r="N3060" s="245"/>
      <c r="O3060" s="245"/>
      <c r="P3060" s="245"/>
      <c r="Q3060" s="247"/>
      <c r="R3060" s="247"/>
      <c r="S3060" s="247"/>
      <c r="T3060" s="245"/>
      <c r="U3060" s="245"/>
      <c r="V3060" s="241"/>
      <c r="W3060" s="241"/>
      <c r="X3060" s="241"/>
    </row>
    <row r="3061" spans="1:24" ht="13.5" customHeight="1" x14ac:dyDescent="0.3">
      <c r="A3061" s="245"/>
      <c r="B3061" s="246"/>
      <c r="C3061" s="245"/>
      <c r="D3061" s="245"/>
      <c r="E3061" s="245"/>
      <c r="F3061" s="245"/>
      <c r="G3061" s="245"/>
      <c r="H3061" s="245"/>
      <c r="I3061" s="245"/>
      <c r="J3061" s="245"/>
      <c r="K3061" s="245"/>
      <c r="L3061" s="246"/>
      <c r="M3061" s="245"/>
      <c r="N3061" s="245"/>
      <c r="O3061" s="245"/>
      <c r="P3061" s="245"/>
      <c r="Q3061" s="247"/>
      <c r="R3061" s="247"/>
      <c r="S3061" s="247"/>
      <c r="T3061" s="245"/>
      <c r="U3061" s="245"/>
      <c r="V3061" s="241"/>
      <c r="W3061" s="241"/>
      <c r="X3061" s="241"/>
    </row>
    <row r="3062" spans="1:24" ht="13.5" customHeight="1" x14ac:dyDescent="0.3">
      <c r="A3062" s="245"/>
      <c r="B3062" s="246"/>
      <c r="C3062" s="245"/>
      <c r="D3062" s="245"/>
      <c r="E3062" s="245"/>
      <c r="F3062" s="245"/>
      <c r="G3062" s="245"/>
      <c r="H3062" s="245"/>
      <c r="I3062" s="245"/>
      <c r="J3062" s="245"/>
      <c r="K3062" s="245"/>
      <c r="L3062" s="246"/>
      <c r="M3062" s="245"/>
      <c r="N3062" s="245"/>
      <c r="O3062" s="245"/>
      <c r="P3062" s="245"/>
      <c r="Q3062" s="247"/>
      <c r="R3062" s="247"/>
      <c r="S3062" s="247"/>
      <c r="T3062" s="245"/>
      <c r="U3062" s="245"/>
      <c r="V3062" s="241"/>
      <c r="W3062" s="241"/>
      <c r="X3062" s="241"/>
    </row>
    <row r="3063" spans="1:24" ht="13.5" customHeight="1" x14ac:dyDescent="0.3">
      <c r="A3063" s="245"/>
      <c r="B3063" s="246"/>
      <c r="C3063" s="245"/>
      <c r="D3063" s="245"/>
      <c r="E3063" s="245"/>
      <c r="F3063" s="245"/>
      <c r="G3063" s="245"/>
      <c r="H3063" s="245"/>
      <c r="I3063" s="245"/>
      <c r="J3063" s="245"/>
      <c r="K3063" s="245"/>
      <c r="L3063" s="246"/>
      <c r="M3063" s="245"/>
      <c r="N3063" s="245"/>
      <c r="O3063" s="245"/>
      <c r="P3063" s="245"/>
      <c r="Q3063" s="247"/>
      <c r="R3063" s="247"/>
      <c r="S3063" s="247"/>
      <c r="T3063" s="245"/>
      <c r="U3063" s="245"/>
      <c r="V3063" s="241"/>
      <c r="W3063" s="241"/>
      <c r="X3063" s="241"/>
    </row>
    <row r="3064" spans="1:24" ht="13.5" customHeight="1" x14ac:dyDescent="0.3">
      <c r="A3064" s="245"/>
      <c r="B3064" s="246"/>
      <c r="C3064" s="245"/>
      <c r="D3064" s="245"/>
      <c r="E3064" s="245"/>
      <c r="F3064" s="245"/>
      <c r="G3064" s="245"/>
      <c r="H3064" s="245"/>
      <c r="I3064" s="245"/>
      <c r="J3064" s="245"/>
      <c r="K3064" s="245"/>
      <c r="L3064" s="246"/>
      <c r="M3064" s="245"/>
      <c r="N3064" s="245"/>
      <c r="O3064" s="245"/>
      <c r="P3064" s="245"/>
      <c r="Q3064" s="247"/>
      <c r="R3064" s="247"/>
      <c r="S3064" s="247"/>
      <c r="T3064" s="245"/>
      <c r="U3064" s="245"/>
      <c r="V3064" s="241"/>
      <c r="W3064" s="241"/>
      <c r="X3064" s="241"/>
    </row>
    <row r="3065" spans="1:24" ht="13.5" customHeight="1" x14ac:dyDescent="0.3">
      <c r="A3065" s="245"/>
      <c r="B3065" s="246"/>
      <c r="C3065" s="245"/>
      <c r="D3065" s="245"/>
      <c r="E3065" s="245"/>
      <c r="F3065" s="245"/>
      <c r="G3065" s="245"/>
      <c r="H3065" s="245"/>
      <c r="I3065" s="245"/>
      <c r="J3065" s="245"/>
      <c r="K3065" s="245"/>
      <c r="L3065" s="246"/>
      <c r="M3065" s="245"/>
      <c r="N3065" s="245"/>
      <c r="O3065" s="245"/>
      <c r="P3065" s="245"/>
      <c r="Q3065" s="247"/>
      <c r="R3065" s="247"/>
      <c r="S3065" s="247"/>
      <c r="T3065" s="245"/>
      <c r="U3065" s="245"/>
      <c r="V3065" s="241"/>
      <c r="W3065" s="241"/>
      <c r="X3065" s="241"/>
    </row>
    <row r="3066" spans="1:24" ht="13.5" customHeight="1" x14ac:dyDescent="0.3">
      <c r="A3066" s="245"/>
      <c r="B3066" s="246"/>
      <c r="C3066" s="245"/>
      <c r="D3066" s="245"/>
      <c r="E3066" s="245"/>
      <c r="F3066" s="245"/>
      <c r="G3066" s="245"/>
      <c r="H3066" s="245"/>
      <c r="I3066" s="245"/>
      <c r="J3066" s="245"/>
      <c r="K3066" s="245"/>
      <c r="L3066" s="246"/>
      <c r="M3066" s="245"/>
      <c r="N3066" s="245"/>
      <c r="O3066" s="245"/>
      <c r="P3066" s="245"/>
      <c r="Q3066" s="247"/>
      <c r="R3066" s="247"/>
      <c r="S3066" s="247"/>
      <c r="T3066" s="245"/>
      <c r="U3066" s="245"/>
      <c r="V3066" s="241"/>
      <c r="W3066" s="241"/>
      <c r="X3066" s="241"/>
    </row>
    <row r="3067" spans="1:24" ht="13.5" customHeight="1" x14ac:dyDescent="0.3">
      <c r="A3067" s="245"/>
      <c r="B3067" s="246"/>
      <c r="C3067" s="245"/>
      <c r="D3067" s="245"/>
      <c r="E3067" s="245"/>
      <c r="F3067" s="245"/>
      <c r="G3067" s="245"/>
      <c r="H3067" s="245"/>
      <c r="I3067" s="245"/>
      <c r="J3067" s="245"/>
      <c r="K3067" s="245"/>
      <c r="L3067" s="246"/>
      <c r="M3067" s="245"/>
      <c r="N3067" s="245"/>
      <c r="O3067" s="245"/>
      <c r="P3067" s="245"/>
      <c r="Q3067" s="247"/>
      <c r="R3067" s="247"/>
      <c r="S3067" s="247"/>
      <c r="T3067" s="245"/>
      <c r="U3067" s="245"/>
      <c r="V3067" s="241"/>
      <c r="W3067" s="241"/>
      <c r="X3067" s="241"/>
    </row>
    <row r="3068" spans="1:24" ht="13.5" customHeight="1" x14ac:dyDescent="0.3">
      <c r="A3068" s="245"/>
      <c r="B3068" s="246"/>
      <c r="C3068" s="245"/>
      <c r="D3068" s="245"/>
      <c r="E3068" s="245"/>
      <c r="F3068" s="245"/>
      <c r="G3068" s="245"/>
      <c r="H3068" s="245"/>
      <c r="I3068" s="245"/>
      <c r="J3068" s="245"/>
      <c r="K3068" s="245"/>
      <c r="L3068" s="246"/>
      <c r="M3068" s="245"/>
      <c r="N3068" s="245"/>
      <c r="O3068" s="245"/>
      <c r="P3068" s="245"/>
      <c r="Q3068" s="247"/>
      <c r="R3068" s="247"/>
      <c r="S3068" s="247"/>
      <c r="T3068" s="245"/>
      <c r="U3068" s="245"/>
      <c r="V3068" s="241"/>
      <c r="W3068" s="241"/>
      <c r="X3068" s="241"/>
    </row>
    <row r="3069" spans="1:24" ht="13.5" customHeight="1" x14ac:dyDescent="0.3">
      <c r="A3069" s="245"/>
      <c r="B3069" s="246"/>
      <c r="C3069" s="245"/>
      <c r="D3069" s="245"/>
      <c r="E3069" s="245"/>
      <c r="F3069" s="245"/>
      <c r="G3069" s="245"/>
      <c r="H3069" s="245"/>
      <c r="I3069" s="245"/>
      <c r="J3069" s="245"/>
      <c r="K3069" s="245"/>
      <c r="L3069" s="246"/>
      <c r="M3069" s="245"/>
      <c r="N3069" s="245"/>
      <c r="O3069" s="245"/>
      <c r="P3069" s="245"/>
      <c r="Q3069" s="247"/>
      <c r="R3069" s="247"/>
      <c r="S3069" s="247"/>
      <c r="T3069" s="245"/>
      <c r="U3069" s="245"/>
      <c r="V3069" s="241"/>
      <c r="W3069" s="241"/>
      <c r="X3069" s="241"/>
    </row>
    <row r="3070" spans="1:24" ht="13.5" customHeight="1" x14ac:dyDescent="0.3">
      <c r="A3070" s="245"/>
      <c r="B3070" s="246"/>
      <c r="C3070" s="245"/>
      <c r="D3070" s="245"/>
      <c r="E3070" s="245"/>
      <c r="F3070" s="245"/>
      <c r="G3070" s="245"/>
      <c r="H3070" s="245"/>
      <c r="I3070" s="245"/>
      <c r="J3070" s="245"/>
      <c r="K3070" s="245"/>
      <c r="L3070" s="246"/>
      <c r="M3070" s="245"/>
      <c r="N3070" s="245"/>
      <c r="O3070" s="245"/>
      <c r="P3070" s="245"/>
      <c r="Q3070" s="247"/>
      <c r="R3070" s="247"/>
      <c r="S3070" s="247"/>
      <c r="T3070" s="245"/>
      <c r="U3070" s="245"/>
      <c r="V3070" s="241"/>
      <c r="W3070" s="241"/>
      <c r="X3070" s="241"/>
    </row>
    <row r="3071" spans="1:24" ht="13.5" customHeight="1" x14ac:dyDescent="0.3">
      <c r="A3071" s="245"/>
      <c r="B3071" s="246"/>
      <c r="C3071" s="245"/>
      <c r="D3071" s="245"/>
      <c r="E3071" s="245"/>
      <c r="F3071" s="245"/>
      <c r="G3071" s="245"/>
      <c r="H3071" s="245"/>
      <c r="I3071" s="245"/>
      <c r="J3071" s="245"/>
      <c r="K3071" s="245"/>
      <c r="L3071" s="246"/>
      <c r="M3071" s="245"/>
      <c r="N3071" s="245"/>
      <c r="O3071" s="245"/>
      <c r="P3071" s="245"/>
      <c r="Q3071" s="247"/>
      <c r="R3071" s="247"/>
      <c r="S3071" s="247"/>
      <c r="T3071" s="245"/>
      <c r="U3071" s="245"/>
      <c r="V3071" s="241"/>
      <c r="W3071" s="241"/>
      <c r="X3071" s="241"/>
    </row>
    <row r="3072" spans="1:24" ht="13.5" customHeight="1" x14ac:dyDescent="0.3">
      <c r="A3072" s="245"/>
      <c r="B3072" s="246"/>
      <c r="C3072" s="245"/>
      <c r="D3072" s="245"/>
      <c r="E3072" s="245"/>
      <c r="F3072" s="245"/>
      <c r="G3072" s="245"/>
      <c r="H3072" s="245"/>
      <c r="I3072" s="245"/>
      <c r="J3072" s="245"/>
      <c r="K3072" s="245"/>
      <c r="L3072" s="246"/>
      <c r="M3072" s="245"/>
      <c r="N3072" s="245"/>
      <c r="O3072" s="245"/>
      <c r="P3072" s="245"/>
      <c r="Q3072" s="247"/>
      <c r="R3072" s="247"/>
      <c r="S3072" s="247"/>
      <c r="T3072" s="245"/>
      <c r="U3072" s="245"/>
      <c r="V3072" s="241"/>
      <c r="W3072" s="241"/>
      <c r="X3072" s="241"/>
    </row>
    <row r="3073" spans="1:24" ht="13.5" customHeight="1" x14ac:dyDescent="0.3">
      <c r="A3073" s="245"/>
      <c r="B3073" s="246"/>
      <c r="C3073" s="245"/>
      <c r="D3073" s="245"/>
      <c r="E3073" s="245"/>
      <c r="F3073" s="245"/>
      <c r="G3073" s="245"/>
      <c r="H3073" s="245"/>
      <c r="I3073" s="245"/>
      <c r="J3073" s="245"/>
      <c r="K3073" s="245"/>
      <c r="L3073" s="246"/>
      <c r="M3073" s="245"/>
      <c r="N3073" s="245"/>
      <c r="O3073" s="245"/>
      <c r="P3073" s="245"/>
      <c r="Q3073" s="247"/>
      <c r="R3073" s="247"/>
      <c r="S3073" s="247"/>
      <c r="T3073" s="245"/>
      <c r="U3073" s="245"/>
      <c r="V3073" s="241"/>
      <c r="W3073" s="241"/>
      <c r="X3073" s="241"/>
    </row>
    <row r="3074" spans="1:24" ht="13.5" customHeight="1" x14ac:dyDescent="0.3">
      <c r="A3074" s="245"/>
      <c r="B3074" s="246"/>
      <c r="C3074" s="245"/>
      <c r="D3074" s="245"/>
      <c r="E3074" s="245"/>
      <c r="F3074" s="245"/>
      <c r="G3074" s="245"/>
      <c r="H3074" s="245"/>
      <c r="I3074" s="245"/>
      <c r="J3074" s="245"/>
      <c r="K3074" s="245"/>
      <c r="L3074" s="246"/>
      <c r="M3074" s="245"/>
      <c r="N3074" s="245"/>
      <c r="O3074" s="245"/>
      <c r="P3074" s="245"/>
      <c r="Q3074" s="247"/>
      <c r="R3074" s="247"/>
      <c r="S3074" s="247"/>
      <c r="T3074" s="245"/>
      <c r="U3074" s="245"/>
      <c r="V3074" s="241"/>
      <c r="W3074" s="241"/>
      <c r="X3074" s="241"/>
    </row>
    <row r="3075" spans="1:24" ht="13.5" customHeight="1" x14ac:dyDescent="0.3">
      <c r="A3075" s="245"/>
      <c r="B3075" s="246"/>
      <c r="C3075" s="245"/>
      <c r="D3075" s="245"/>
      <c r="E3075" s="245"/>
      <c r="F3075" s="245"/>
      <c r="G3075" s="245"/>
      <c r="H3075" s="245"/>
      <c r="I3075" s="245"/>
      <c r="J3075" s="245"/>
      <c r="K3075" s="245"/>
      <c r="L3075" s="246"/>
      <c r="M3075" s="245"/>
      <c r="N3075" s="245"/>
      <c r="O3075" s="245"/>
      <c r="P3075" s="245"/>
      <c r="Q3075" s="247"/>
      <c r="R3075" s="247"/>
      <c r="S3075" s="247"/>
      <c r="T3075" s="245"/>
      <c r="U3075" s="245"/>
      <c r="V3075" s="241"/>
      <c r="W3075" s="241"/>
      <c r="X3075" s="241"/>
    </row>
    <row r="3076" spans="1:24" ht="13.5" customHeight="1" x14ac:dyDescent="0.3">
      <c r="A3076" s="245"/>
      <c r="B3076" s="246"/>
      <c r="C3076" s="245"/>
      <c r="D3076" s="245"/>
      <c r="E3076" s="245"/>
      <c r="F3076" s="245"/>
      <c r="G3076" s="245"/>
      <c r="H3076" s="245"/>
      <c r="I3076" s="245"/>
      <c r="J3076" s="245"/>
      <c r="K3076" s="245"/>
      <c r="L3076" s="246"/>
      <c r="M3076" s="245"/>
      <c r="N3076" s="245"/>
      <c r="O3076" s="245"/>
      <c r="P3076" s="245"/>
      <c r="Q3076" s="247"/>
      <c r="R3076" s="247"/>
      <c r="S3076" s="247"/>
      <c r="T3076" s="245"/>
      <c r="U3076" s="245"/>
      <c r="V3076" s="241"/>
      <c r="W3076" s="241"/>
      <c r="X3076" s="241"/>
    </row>
    <row r="3077" spans="1:24" ht="13.5" customHeight="1" x14ac:dyDescent="0.3">
      <c r="A3077" s="245"/>
      <c r="B3077" s="246"/>
      <c r="C3077" s="245"/>
      <c r="D3077" s="245"/>
      <c r="E3077" s="245"/>
      <c r="F3077" s="245"/>
      <c r="G3077" s="245"/>
      <c r="H3077" s="245"/>
      <c r="I3077" s="245"/>
      <c r="J3077" s="245"/>
      <c r="K3077" s="245"/>
      <c r="L3077" s="246"/>
      <c r="M3077" s="245"/>
      <c r="N3077" s="245"/>
      <c r="O3077" s="245"/>
      <c r="P3077" s="245"/>
      <c r="Q3077" s="247"/>
      <c r="R3077" s="247"/>
      <c r="S3077" s="247"/>
      <c r="T3077" s="245"/>
      <c r="U3077" s="245"/>
      <c r="V3077" s="241"/>
      <c r="W3077" s="241"/>
      <c r="X3077" s="241"/>
    </row>
    <row r="3078" spans="1:24" ht="13.5" customHeight="1" x14ac:dyDescent="0.3">
      <c r="A3078" s="245"/>
      <c r="B3078" s="246"/>
      <c r="C3078" s="245"/>
      <c r="D3078" s="245"/>
      <c r="E3078" s="245"/>
      <c r="F3078" s="245"/>
      <c r="G3078" s="245"/>
      <c r="H3078" s="245"/>
      <c r="I3078" s="245"/>
      <c r="J3078" s="245"/>
      <c r="K3078" s="245"/>
      <c r="L3078" s="246"/>
      <c r="M3078" s="245"/>
      <c r="N3078" s="245"/>
      <c r="O3078" s="245"/>
      <c r="P3078" s="245"/>
      <c r="Q3078" s="247"/>
      <c r="R3078" s="247"/>
      <c r="S3078" s="247"/>
      <c r="T3078" s="245"/>
      <c r="U3078" s="245"/>
      <c r="V3078" s="241"/>
      <c r="W3078" s="241"/>
      <c r="X3078" s="241"/>
    </row>
    <row r="3079" spans="1:24" ht="13.5" customHeight="1" x14ac:dyDescent="0.3">
      <c r="A3079" s="245"/>
      <c r="B3079" s="246"/>
      <c r="C3079" s="245"/>
      <c r="D3079" s="245"/>
      <c r="E3079" s="245"/>
      <c r="F3079" s="245"/>
      <c r="G3079" s="245"/>
      <c r="H3079" s="245"/>
      <c r="I3079" s="245"/>
      <c r="J3079" s="245"/>
      <c r="K3079" s="245"/>
      <c r="L3079" s="246"/>
      <c r="M3079" s="245"/>
      <c r="N3079" s="245"/>
      <c r="O3079" s="245"/>
      <c r="P3079" s="245"/>
      <c r="Q3079" s="247"/>
      <c r="R3079" s="247"/>
      <c r="S3079" s="247"/>
      <c r="T3079" s="245"/>
      <c r="U3079" s="245"/>
      <c r="V3079" s="241"/>
      <c r="W3079" s="241"/>
      <c r="X3079" s="241"/>
    </row>
    <row r="3080" spans="1:24" ht="13.5" customHeight="1" x14ac:dyDescent="0.3">
      <c r="A3080" s="245"/>
      <c r="B3080" s="246"/>
      <c r="C3080" s="245"/>
      <c r="D3080" s="245"/>
      <c r="E3080" s="245"/>
      <c r="F3080" s="245"/>
      <c r="G3080" s="245"/>
      <c r="H3080" s="245"/>
      <c r="I3080" s="245"/>
      <c r="J3080" s="245"/>
      <c r="K3080" s="245"/>
      <c r="L3080" s="246"/>
      <c r="M3080" s="245"/>
      <c r="N3080" s="245"/>
      <c r="O3080" s="245"/>
      <c r="P3080" s="245"/>
      <c r="Q3080" s="247"/>
      <c r="R3080" s="247"/>
      <c r="S3080" s="247"/>
      <c r="T3080" s="245"/>
      <c r="U3080" s="245"/>
      <c r="V3080" s="241"/>
      <c r="W3080" s="241"/>
      <c r="X3080" s="241"/>
    </row>
    <row r="3081" spans="1:24" ht="13.5" customHeight="1" x14ac:dyDescent="0.3">
      <c r="A3081" s="245"/>
      <c r="B3081" s="246"/>
      <c r="C3081" s="245"/>
      <c r="D3081" s="245"/>
      <c r="E3081" s="245"/>
      <c r="F3081" s="245"/>
      <c r="G3081" s="245"/>
      <c r="H3081" s="245"/>
      <c r="I3081" s="245"/>
      <c r="J3081" s="245"/>
      <c r="K3081" s="245"/>
      <c r="L3081" s="246"/>
      <c r="M3081" s="245"/>
      <c r="N3081" s="245"/>
      <c r="O3081" s="245"/>
      <c r="P3081" s="245"/>
      <c r="Q3081" s="247"/>
      <c r="R3081" s="247"/>
      <c r="S3081" s="247"/>
      <c r="T3081" s="245"/>
      <c r="U3081" s="245"/>
      <c r="V3081" s="241"/>
      <c r="W3081" s="241"/>
      <c r="X3081" s="241"/>
    </row>
    <row r="3082" spans="1:24" ht="13.5" customHeight="1" x14ac:dyDescent="0.3">
      <c r="A3082" s="245"/>
      <c r="B3082" s="246"/>
      <c r="C3082" s="245"/>
      <c r="D3082" s="245"/>
      <c r="E3082" s="245"/>
      <c r="F3082" s="245"/>
      <c r="G3082" s="245"/>
      <c r="H3082" s="245"/>
      <c r="I3082" s="245"/>
      <c r="J3082" s="245"/>
      <c r="K3082" s="245"/>
      <c r="L3082" s="246"/>
      <c r="M3082" s="245"/>
      <c r="N3082" s="245"/>
      <c r="O3082" s="245"/>
      <c r="P3082" s="245"/>
      <c r="Q3082" s="247"/>
      <c r="R3082" s="247"/>
      <c r="S3082" s="247"/>
      <c r="T3082" s="245"/>
      <c r="U3082" s="245"/>
      <c r="V3082" s="241"/>
      <c r="W3082" s="241"/>
      <c r="X3082" s="241"/>
    </row>
    <row r="3083" spans="1:24" ht="13.5" customHeight="1" x14ac:dyDescent="0.3">
      <c r="A3083" s="245"/>
      <c r="B3083" s="246"/>
      <c r="C3083" s="245"/>
      <c r="D3083" s="245"/>
      <c r="E3083" s="245"/>
      <c r="F3083" s="245"/>
      <c r="G3083" s="245"/>
      <c r="H3083" s="245"/>
      <c r="I3083" s="245"/>
      <c r="J3083" s="245"/>
      <c r="K3083" s="245"/>
      <c r="L3083" s="246"/>
      <c r="M3083" s="245"/>
      <c r="N3083" s="245"/>
      <c r="O3083" s="245"/>
      <c r="P3083" s="245"/>
      <c r="Q3083" s="247"/>
      <c r="R3083" s="247"/>
      <c r="S3083" s="247"/>
      <c r="T3083" s="245"/>
      <c r="U3083" s="245"/>
      <c r="V3083" s="241"/>
      <c r="W3083" s="241"/>
      <c r="X3083" s="241"/>
    </row>
    <row r="3084" spans="1:24" ht="13.5" customHeight="1" x14ac:dyDescent="0.3">
      <c r="A3084" s="245"/>
      <c r="B3084" s="246"/>
      <c r="C3084" s="245"/>
      <c r="D3084" s="245"/>
      <c r="E3084" s="245"/>
      <c r="F3084" s="245"/>
      <c r="G3084" s="245"/>
      <c r="H3084" s="245"/>
      <c r="I3084" s="245"/>
      <c r="J3084" s="245"/>
      <c r="K3084" s="245"/>
      <c r="L3084" s="246"/>
      <c r="M3084" s="245"/>
      <c r="N3084" s="245"/>
      <c r="O3084" s="245"/>
      <c r="P3084" s="245"/>
      <c r="Q3084" s="247"/>
      <c r="R3084" s="247"/>
      <c r="S3084" s="247"/>
      <c r="T3084" s="245"/>
      <c r="U3084" s="245"/>
      <c r="V3084" s="241"/>
      <c r="W3084" s="241"/>
      <c r="X3084" s="241"/>
    </row>
    <row r="3085" spans="1:24" ht="13.5" customHeight="1" x14ac:dyDescent="0.3">
      <c r="A3085" s="245"/>
      <c r="B3085" s="246"/>
      <c r="C3085" s="245"/>
      <c r="D3085" s="245"/>
      <c r="E3085" s="245"/>
      <c r="F3085" s="245"/>
      <c r="G3085" s="245"/>
      <c r="H3085" s="245"/>
      <c r="I3085" s="245"/>
      <c r="J3085" s="245"/>
      <c r="K3085" s="245"/>
      <c r="L3085" s="246"/>
      <c r="M3085" s="245"/>
      <c r="N3085" s="245"/>
      <c r="O3085" s="245"/>
      <c r="P3085" s="245"/>
      <c r="Q3085" s="247"/>
      <c r="R3085" s="247"/>
      <c r="S3085" s="247"/>
      <c r="T3085" s="245"/>
      <c r="U3085" s="245"/>
      <c r="V3085" s="241"/>
      <c r="W3085" s="241"/>
      <c r="X3085" s="241"/>
    </row>
    <row r="3086" spans="1:24" ht="13.5" customHeight="1" x14ac:dyDescent="0.3">
      <c r="A3086" s="245"/>
      <c r="B3086" s="246"/>
      <c r="C3086" s="245"/>
      <c r="D3086" s="245"/>
      <c r="E3086" s="245"/>
      <c r="F3086" s="245"/>
      <c r="G3086" s="245"/>
      <c r="H3086" s="245"/>
      <c r="I3086" s="245"/>
      <c r="J3086" s="245"/>
      <c r="K3086" s="245"/>
      <c r="L3086" s="246"/>
      <c r="M3086" s="245"/>
      <c r="N3086" s="245"/>
      <c r="O3086" s="245"/>
      <c r="P3086" s="245"/>
      <c r="Q3086" s="247"/>
      <c r="R3086" s="247"/>
      <c r="S3086" s="247"/>
      <c r="T3086" s="245"/>
      <c r="U3086" s="245"/>
      <c r="V3086" s="241"/>
      <c r="W3086" s="241"/>
      <c r="X3086" s="241"/>
    </row>
    <row r="3087" spans="1:24" ht="13.5" customHeight="1" x14ac:dyDescent="0.3">
      <c r="A3087" s="245"/>
      <c r="B3087" s="246"/>
      <c r="C3087" s="245"/>
      <c r="D3087" s="245"/>
      <c r="E3087" s="245"/>
      <c r="F3087" s="245"/>
      <c r="G3087" s="245"/>
      <c r="H3087" s="245"/>
      <c r="I3087" s="245"/>
      <c r="J3087" s="245"/>
      <c r="K3087" s="245"/>
      <c r="L3087" s="246"/>
      <c r="M3087" s="245"/>
      <c r="N3087" s="245"/>
      <c r="O3087" s="245"/>
      <c r="P3087" s="245"/>
      <c r="Q3087" s="247"/>
      <c r="R3087" s="247"/>
      <c r="S3087" s="247"/>
      <c r="T3087" s="245"/>
      <c r="U3087" s="245"/>
      <c r="V3087" s="241"/>
      <c r="W3087" s="241"/>
      <c r="X3087" s="241"/>
    </row>
    <row r="3088" spans="1:24" ht="13.5" customHeight="1" x14ac:dyDescent="0.3">
      <c r="A3088" s="245"/>
      <c r="B3088" s="246"/>
      <c r="C3088" s="245"/>
      <c r="D3088" s="245"/>
      <c r="E3088" s="245"/>
      <c r="F3088" s="245"/>
      <c r="G3088" s="245"/>
      <c r="H3088" s="245"/>
      <c r="I3088" s="245"/>
      <c r="J3088" s="245"/>
      <c r="K3088" s="245"/>
      <c r="L3088" s="246"/>
      <c r="M3088" s="245"/>
      <c r="N3088" s="245"/>
      <c r="O3088" s="245"/>
      <c r="P3088" s="245"/>
      <c r="Q3088" s="247"/>
      <c r="R3088" s="247"/>
      <c r="S3088" s="247"/>
      <c r="T3088" s="245"/>
      <c r="U3088" s="245"/>
      <c r="V3088" s="241"/>
      <c r="W3088" s="241"/>
      <c r="X3088" s="241"/>
    </row>
    <row r="3089" spans="1:24" ht="13.5" customHeight="1" x14ac:dyDescent="0.3">
      <c r="A3089" s="245"/>
      <c r="B3089" s="246"/>
      <c r="C3089" s="245"/>
      <c r="D3089" s="245"/>
      <c r="E3089" s="245"/>
      <c r="F3089" s="245"/>
      <c r="G3089" s="245"/>
      <c r="H3089" s="245"/>
      <c r="I3089" s="245"/>
      <c r="J3089" s="245"/>
      <c r="K3089" s="245"/>
      <c r="L3089" s="246"/>
      <c r="M3089" s="245"/>
      <c r="N3089" s="245"/>
      <c r="O3089" s="245"/>
      <c r="P3089" s="245"/>
      <c r="Q3089" s="247"/>
      <c r="R3089" s="247"/>
      <c r="S3089" s="247"/>
      <c r="T3089" s="245"/>
      <c r="U3089" s="245"/>
      <c r="V3089" s="241"/>
      <c r="W3089" s="241"/>
      <c r="X3089" s="241"/>
    </row>
    <row r="3090" spans="1:24" ht="13.5" customHeight="1" x14ac:dyDescent="0.3">
      <c r="A3090" s="245"/>
      <c r="B3090" s="246"/>
      <c r="C3090" s="245"/>
      <c r="D3090" s="245"/>
      <c r="E3090" s="245"/>
      <c r="F3090" s="245"/>
      <c r="G3090" s="245"/>
      <c r="H3090" s="245"/>
      <c r="I3090" s="245"/>
      <c r="J3090" s="245"/>
      <c r="K3090" s="245"/>
      <c r="L3090" s="246"/>
      <c r="M3090" s="245"/>
      <c r="N3090" s="245"/>
      <c r="O3090" s="245"/>
      <c r="P3090" s="245"/>
      <c r="Q3090" s="247"/>
      <c r="R3090" s="247"/>
      <c r="S3090" s="247"/>
      <c r="T3090" s="245"/>
      <c r="U3090" s="245"/>
      <c r="V3090" s="241"/>
      <c r="W3090" s="241"/>
      <c r="X3090" s="241"/>
    </row>
    <row r="3091" spans="1:24" ht="13.5" customHeight="1" x14ac:dyDescent="0.3">
      <c r="A3091" s="245"/>
      <c r="B3091" s="246"/>
      <c r="C3091" s="245"/>
      <c r="D3091" s="245"/>
      <c r="E3091" s="245"/>
      <c r="F3091" s="245"/>
      <c r="G3091" s="245"/>
      <c r="H3091" s="245"/>
      <c r="I3091" s="245"/>
      <c r="J3091" s="245"/>
      <c r="K3091" s="245"/>
      <c r="L3091" s="246"/>
      <c r="M3091" s="245"/>
      <c r="N3091" s="245"/>
      <c r="O3091" s="245"/>
      <c r="P3091" s="245"/>
      <c r="Q3091" s="247"/>
      <c r="R3091" s="247"/>
      <c r="S3091" s="247"/>
      <c r="T3091" s="245"/>
      <c r="U3091" s="245"/>
      <c r="V3091" s="241"/>
      <c r="W3091" s="241"/>
      <c r="X3091" s="241"/>
    </row>
    <row r="3092" spans="1:24" ht="13.5" customHeight="1" x14ac:dyDescent="0.3">
      <c r="A3092" s="245"/>
      <c r="B3092" s="246"/>
      <c r="C3092" s="245"/>
      <c r="D3092" s="245"/>
      <c r="E3092" s="245"/>
      <c r="F3092" s="245"/>
      <c r="G3092" s="245"/>
      <c r="H3092" s="245"/>
      <c r="I3092" s="245"/>
      <c r="J3092" s="245"/>
      <c r="K3092" s="245"/>
      <c r="L3092" s="246"/>
      <c r="M3092" s="245"/>
      <c r="N3092" s="245"/>
      <c r="O3092" s="245"/>
      <c r="P3092" s="245"/>
      <c r="Q3092" s="247"/>
      <c r="R3092" s="247"/>
      <c r="S3092" s="247"/>
      <c r="T3092" s="245"/>
      <c r="U3092" s="245"/>
      <c r="V3092" s="241"/>
      <c r="W3092" s="241"/>
      <c r="X3092" s="241"/>
    </row>
    <row r="3093" spans="1:24" ht="13.5" customHeight="1" x14ac:dyDescent="0.3">
      <c r="A3093" s="245"/>
      <c r="B3093" s="246"/>
      <c r="C3093" s="245"/>
      <c r="D3093" s="245"/>
      <c r="E3093" s="245"/>
      <c r="F3093" s="245"/>
      <c r="G3093" s="245"/>
      <c r="H3093" s="245"/>
      <c r="I3093" s="245"/>
      <c r="J3093" s="245"/>
      <c r="K3093" s="245"/>
      <c r="L3093" s="246"/>
      <c r="M3093" s="245"/>
      <c r="N3093" s="245"/>
      <c r="O3093" s="245"/>
      <c r="P3093" s="245"/>
      <c r="Q3093" s="247"/>
      <c r="R3093" s="247"/>
      <c r="S3093" s="247"/>
      <c r="T3093" s="245"/>
      <c r="U3093" s="245"/>
      <c r="V3093" s="241"/>
      <c r="W3093" s="241"/>
      <c r="X3093" s="241"/>
    </row>
    <row r="3094" spans="1:24" ht="13.5" customHeight="1" x14ac:dyDescent="0.3">
      <c r="A3094" s="245"/>
      <c r="B3094" s="246"/>
      <c r="C3094" s="245"/>
      <c r="D3094" s="245"/>
      <c r="E3094" s="245"/>
      <c r="F3094" s="245"/>
      <c r="G3094" s="245"/>
      <c r="H3094" s="245"/>
      <c r="I3094" s="245"/>
      <c r="J3094" s="245"/>
      <c r="K3094" s="245"/>
      <c r="L3094" s="246"/>
      <c r="M3094" s="245"/>
      <c r="N3094" s="245"/>
      <c r="O3094" s="245"/>
      <c r="P3094" s="245"/>
      <c r="Q3094" s="247"/>
      <c r="R3094" s="247"/>
      <c r="S3094" s="247"/>
      <c r="T3094" s="245"/>
      <c r="U3094" s="245"/>
      <c r="V3094" s="241"/>
      <c r="W3094" s="241"/>
      <c r="X3094" s="241"/>
    </row>
    <row r="3095" spans="1:24" ht="13.5" customHeight="1" x14ac:dyDescent="0.3">
      <c r="A3095" s="245"/>
      <c r="B3095" s="246"/>
      <c r="C3095" s="245"/>
      <c r="D3095" s="245"/>
      <c r="E3095" s="245"/>
      <c r="F3095" s="245"/>
      <c r="G3095" s="245"/>
      <c r="H3095" s="245"/>
      <c r="I3095" s="245"/>
      <c r="J3095" s="245"/>
      <c r="K3095" s="245"/>
      <c r="L3095" s="246"/>
      <c r="M3095" s="245"/>
      <c r="N3095" s="245"/>
      <c r="O3095" s="245"/>
      <c r="P3095" s="245"/>
      <c r="Q3095" s="247"/>
      <c r="R3095" s="247"/>
      <c r="S3095" s="247"/>
      <c r="T3095" s="245"/>
      <c r="U3095" s="245"/>
      <c r="V3095" s="241"/>
      <c r="W3095" s="241"/>
      <c r="X3095" s="241"/>
    </row>
    <row r="3096" spans="1:24" ht="13.5" customHeight="1" x14ac:dyDescent="0.3">
      <c r="A3096" s="245"/>
      <c r="B3096" s="246"/>
      <c r="C3096" s="245"/>
      <c r="D3096" s="245"/>
      <c r="E3096" s="245"/>
      <c r="F3096" s="245"/>
      <c r="G3096" s="245"/>
      <c r="H3096" s="245"/>
      <c r="I3096" s="245"/>
      <c r="J3096" s="245"/>
      <c r="K3096" s="245"/>
      <c r="L3096" s="246"/>
      <c r="M3096" s="245"/>
      <c r="N3096" s="245"/>
      <c r="O3096" s="245"/>
      <c r="P3096" s="245"/>
      <c r="Q3096" s="247"/>
      <c r="R3096" s="247"/>
      <c r="S3096" s="247"/>
      <c r="T3096" s="245"/>
      <c r="U3096" s="245"/>
      <c r="V3096" s="241"/>
      <c r="W3096" s="241"/>
      <c r="X3096" s="241"/>
    </row>
    <row r="3097" spans="1:24" ht="13.5" customHeight="1" x14ac:dyDescent="0.3">
      <c r="A3097" s="245"/>
      <c r="B3097" s="246"/>
      <c r="C3097" s="245"/>
      <c r="D3097" s="245"/>
      <c r="E3097" s="245"/>
      <c r="F3097" s="245"/>
      <c r="G3097" s="245"/>
      <c r="H3097" s="245"/>
      <c r="I3097" s="245"/>
      <c r="J3097" s="245"/>
      <c r="K3097" s="245"/>
      <c r="L3097" s="246"/>
      <c r="M3097" s="245"/>
      <c r="N3097" s="245"/>
      <c r="O3097" s="245"/>
      <c r="P3097" s="245"/>
      <c r="Q3097" s="247"/>
      <c r="R3097" s="247"/>
      <c r="S3097" s="247"/>
      <c r="T3097" s="245"/>
      <c r="U3097" s="245"/>
      <c r="V3097" s="241"/>
      <c r="W3097" s="241"/>
      <c r="X3097" s="241"/>
    </row>
    <row r="3098" spans="1:24" ht="13.5" customHeight="1" x14ac:dyDescent="0.3">
      <c r="A3098" s="245"/>
      <c r="B3098" s="246"/>
      <c r="C3098" s="245"/>
      <c r="D3098" s="245"/>
      <c r="E3098" s="245"/>
      <c r="F3098" s="245"/>
      <c r="G3098" s="245"/>
      <c r="H3098" s="245"/>
      <c r="I3098" s="245"/>
      <c r="J3098" s="245"/>
      <c r="K3098" s="245"/>
      <c r="L3098" s="246"/>
      <c r="M3098" s="245"/>
      <c r="N3098" s="245"/>
      <c r="O3098" s="245"/>
      <c r="P3098" s="245"/>
      <c r="Q3098" s="247"/>
      <c r="R3098" s="247"/>
      <c r="S3098" s="247"/>
      <c r="T3098" s="245"/>
      <c r="U3098" s="245"/>
      <c r="V3098" s="241"/>
      <c r="W3098" s="241"/>
      <c r="X3098" s="241"/>
    </row>
    <row r="3099" spans="1:24" ht="13.5" customHeight="1" x14ac:dyDescent="0.3">
      <c r="A3099" s="245"/>
      <c r="B3099" s="246"/>
      <c r="C3099" s="245"/>
      <c r="D3099" s="245"/>
      <c r="E3099" s="245"/>
      <c r="F3099" s="245"/>
      <c r="G3099" s="245"/>
      <c r="H3099" s="245"/>
      <c r="I3099" s="245"/>
      <c r="J3099" s="245"/>
      <c r="K3099" s="245"/>
      <c r="L3099" s="246"/>
      <c r="M3099" s="245"/>
      <c r="N3099" s="245"/>
      <c r="O3099" s="245"/>
      <c r="P3099" s="245"/>
      <c r="Q3099" s="247"/>
      <c r="R3099" s="247"/>
      <c r="S3099" s="247"/>
      <c r="T3099" s="245"/>
      <c r="U3099" s="245"/>
      <c r="V3099" s="241"/>
      <c r="W3099" s="241"/>
      <c r="X3099" s="241"/>
    </row>
    <row r="3100" spans="1:24" ht="13.5" customHeight="1" x14ac:dyDescent="0.3">
      <c r="A3100" s="245"/>
      <c r="B3100" s="246"/>
      <c r="C3100" s="245"/>
      <c r="D3100" s="245"/>
      <c r="E3100" s="245"/>
      <c r="F3100" s="245"/>
      <c r="G3100" s="245"/>
      <c r="H3100" s="245"/>
      <c r="I3100" s="245"/>
      <c r="J3100" s="245"/>
      <c r="K3100" s="245"/>
      <c r="L3100" s="246"/>
      <c r="M3100" s="245"/>
      <c r="N3100" s="245"/>
      <c r="O3100" s="245"/>
      <c r="P3100" s="245"/>
      <c r="Q3100" s="247"/>
      <c r="R3100" s="247"/>
      <c r="S3100" s="247"/>
      <c r="T3100" s="245"/>
      <c r="U3100" s="245"/>
      <c r="V3100" s="241"/>
      <c r="W3100" s="241"/>
      <c r="X3100" s="241"/>
    </row>
    <row r="3101" spans="1:24" ht="13.5" customHeight="1" x14ac:dyDescent="0.3">
      <c r="A3101" s="245"/>
      <c r="B3101" s="246"/>
      <c r="C3101" s="245"/>
      <c r="D3101" s="245"/>
      <c r="E3101" s="245"/>
      <c r="F3101" s="245"/>
      <c r="G3101" s="245"/>
      <c r="H3101" s="245"/>
      <c r="I3101" s="245"/>
      <c r="J3101" s="245"/>
      <c r="K3101" s="245"/>
      <c r="L3101" s="246"/>
      <c r="M3101" s="245"/>
      <c r="N3101" s="245"/>
      <c r="O3101" s="245"/>
      <c r="P3101" s="245"/>
      <c r="Q3101" s="247"/>
      <c r="R3101" s="247"/>
      <c r="S3101" s="247"/>
      <c r="T3101" s="245"/>
      <c r="U3101" s="245"/>
      <c r="V3101" s="241"/>
      <c r="W3101" s="241"/>
      <c r="X3101" s="241"/>
    </row>
    <row r="3102" spans="1:24" ht="13.5" customHeight="1" x14ac:dyDescent="0.3">
      <c r="A3102" s="245"/>
      <c r="B3102" s="246"/>
      <c r="C3102" s="245"/>
      <c r="D3102" s="245"/>
      <c r="E3102" s="245"/>
      <c r="F3102" s="245"/>
      <c r="G3102" s="245"/>
      <c r="H3102" s="245"/>
      <c r="I3102" s="245"/>
      <c r="J3102" s="245"/>
      <c r="K3102" s="245"/>
      <c r="L3102" s="246"/>
      <c r="M3102" s="245"/>
      <c r="N3102" s="245"/>
      <c r="O3102" s="245"/>
      <c r="P3102" s="245"/>
      <c r="Q3102" s="247"/>
      <c r="R3102" s="247"/>
      <c r="S3102" s="247"/>
      <c r="T3102" s="245"/>
      <c r="U3102" s="245"/>
      <c r="V3102" s="241"/>
      <c r="W3102" s="241"/>
      <c r="X3102" s="241"/>
    </row>
    <row r="3103" spans="1:24" ht="13.5" customHeight="1" x14ac:dyDescent="0.3">
      <c r="A3103" s="245"/>
      <c r="B3103" s="246"/>
      <c r="C3103" s="245"/>
      <c r="D3103" s="245"/>
      <c r="E3103" s="245"/>
      <c r="F3103" s="245"/>
      <c r="G3103" s="245"/>
      <c r="H3103" s="245"/>
      <c r="I3103" s="245"/>
      <c r="J3103" s="245"/>
      <c r="K3103" s="245"/>
      <c r="L3103" s="246"/>
      <c r="M3103" s="245"/>
      <c r="N3103" s="245"/>
      <c r="O3103" s="245"/>
      <c r="P3103" s="245"/>
      <c r="Q3103" s="247"/>
      <c r="R3103" s="247"/>
      <c r="S3103" s="247"/>
      <c r="T3103" s="245"/>
      <c r="U3103" s="245"/>
      <c r="V3103" s="241"/>
      <c r="W3103" s="241"/>
      <c r="X3103" s="241"/>
    </row>
    <row r="3104" spans="1:24" ht="13.5" customHeight="1" x14ac:dyDescent="0.3">
      <c r="A3104" s="245"/>
      <c r="B3104" s="246"/>
      <c r="C3104" s="245"/>
      <c r="D3104" s="245"/>
      <c r="E3104" s="245"/>
      <c r="F3104" s="245"/>
      <c r="G3104" s="245"/>
      <c r="H3104" s="245"/>
      <c r="I3104" s="245"/>
      <c r="J3104" s="245"/>
      <c r="K3104" s="245"/>
      <c r="L3104" s="246"/>
      <c r="M3104" s="245"/>
      <c r="N3104" s="245"/>
      <c r="O3104" s="245"/>
      <c r="P3104" s="245"/>
      <c r="Q3104" s="247"/>
      <c r="R3104" s="247"/>
      <c r="S3104" s="247"/>
      <c r="T3104" s="245"/>
      <c r="U3104" s="245"/>
      <c r="V3104" s="241"/>
      <c r="W3104" s="241"/>
      <c r="X3104" s="241"/>
    </row>
    <row r="3105" spans="1:24" ht="13.5" customHeight="1" x14ac:dyDescent="0.3">
      <c r="A3105" s="245"/>
      <c r="B3105" s="246"/>
      <c r="C3105" s="245"/>
      <c r="D3105" s="245"/>
      <c r="E3105" s="245"/>
      <c r="F3105" s="245"/>
      <c r="G3105" s="245"/>
      <c r="H3105" s="245"/>
      <c r="I3105" s="245"/>
      <c r="J3105" s="245"/>
      <c r="K3105" s="245"/>
      <c r="L3105" s="246"/>
      <c r="M3105" s="245"/>
      <c r="N3105" s="245"/>
      <c r="O3105" s="245"/>
      <c r="P3105" s="245"/>
      <c r="Q3105" s="247"/>
      <c r="R3105" s="247"/>
      <c r="S3105" s="247"/>
      <c r="T3105" s="245"/>
      <c r="U3105" s="245"/>
      <c r="V3105" s="241"/>
      <c r="W3105" s="241"/>
      <c r="X3105" s="241"/>
    </row>
    <row r="3106" spans="1:24" ht="13.5" customHeight="1" x14ac:dyDescent="0.3">
      <c r="A3106" s="245"/>
      <c r="B3106" s="246"/>
      <c r="C3106" s="245"/>
      <c r="D3106" s="245"/>
      <c r="E3106" s="245"/>
      <c r="F3106" s="245"/>
      <c r="G3106" s="245"/>
      <c r="H3106" s="245"/>
      <c r="I3106" s="245"/>
      <c r="J3106" s="245"/>
      <c r="K3106" s="245"/>
      <c r="L3106" s="246"/>
      <c r="M3106" s="245"/>
      <c r="N3106" s="245"/>
      <c r="O3106" s="245"/>
      <c r="P3106" s="245"/>
      <c r="Q3106" s="247"/>
      <c r="R3106" s="247"/>
      <c r="S3106" s="247"/>
      <c r="T3106" s="245"/>
      <c r="U3106" s="245"/>
      <c r="V3106" s="241"/>
      <c r="W3106" s="241"/>
      <c r="X3106" s="241"/>
    </row>
    <row r="3107" spans="1:24" ht="13.5" customHeight="1" x14ac:dyDescent="0.3">
      <c r="A3107" s="245"/>
      <c r="B3107" s="246"/>
      <c r="C3107" s="245"/>
      <c r="D3107" s="245"/>
      <c r="E3107" s="245"/>
      <c r="F3107" s="245"/>
      <c r="G3107" s="245"/>
      <c r="H3107" s="245"/>
      <c r="I3107" s="245"/>
      <c r="J3107" s="245"/>
      <c r="K3107" s="245"/>
      <c r="L3107" s="246"/>
      <c r="M3107" s="245"/>
      <c r="N3107" s="245"/>
      <c r="O3107" s="245"/>
      <c r="P3107" s="245"/>
      <c r="Q3107" s="247"/>
      <c r="R3107" s="247"/>
      <c r="S3107" s="247"/>
      <c r="T3107" s="245"/>
      <c r="U3107" s="245"/>
      <c r="V3107" s="241"/>
      <c r="W3107" s="241"/>
      <c r="X3107" s="241"/>
    </row>
    <row r="3108" spans="1:24" ht="13.5" customHeight="1" x14ac:dyDescent="0.3">
      <c r="A3108" s="245"/>
      <c r="B3108" s="246"/>
      <c r="C3108" s="245"/>
      <c r="D3108" s="245"/>
      <c r="E3108" s="245"/>
      <c r="F3108" s="245"/>
      <c r="G3108" s="245"/>
      <c r="H3108" s="245"/>
      <c r="I3108" s="245"/>
      <c r="J3108" s="245"/>
      <c r="K3108" s="245"/>
      <c r="L3108" s="246"/>
      <c r="M3108" s="245"/>
      <c r="N3108" s="245"/>
      <c r="O3108" s="245"/>
      <c r="P3108" s="245"/>
      <c r="Q3108" s="247"/>
      <c r="R3108" s="247"/>
      <c r="S3108" s="247"/>
      <c r="T3108" s="245"/>
      <c r="U3108" s="245"/>
      <c r="V3108" s="241"/>
      <c r="W3108" s="241"/>
      <c r="X3108" s="241"/>
    </row>
    <row r="3109" spans="1:24" ht="13.5" customHeight="1" x14ac:dyDescent="0.3">
      <c r="A3109" s="245"/>
      <c r="B3109" s="246"/>
      <c r="C3109" s="245"/>
      <c r="D3109" s="245"/>
      <c r="E3109" s="245"/>
      <c r="F3109" s="245"/>
      <c r="G3109" s="245"/>
      <c r="H3109" s="245"/>
      <c r="I3109" s="245"/>
      <c r="J3109" s="245"/>
      <c r="K3109" s="245"/>
      <c r="L3109" s="246"/>
      <c r="M3109" s="245"/>
      <c r="N3109" s="245"/>
      <c r="O3109" s="245"/>
      <c r="P3109" s="245"/>
      <c r="Q3109" s="247"/>
      <c r="R3109" s="247"/>
      <c r="S3109" s="247"/>
      <c r="T3109" s="245"/>
      <c r="U3109" s="245"/>
      <c r="V3109" s="241"/>
      <c r="W3109" s="241"/>
      <c r="X3109" s="241"/>
    </row>
    <row r="3110" spans="1:24" ht="13.5" customHeight="1" x14ac:dyDescent="0.3">
      <c r="A3110" s="245"/>
      <c r="B3110" s="246"/>
      <c r="C3110" s="245"/>
      <c r="D3110" s="245"/>
      <c r="E3110" s="245"/>
      <c r="F3110" s="245"/>
      <c r="G3110" s="245"/>
      <c r="H3110" s="245"/>
      <c r="I3110" s="245"/>
      <c r="J3110" s="245"/>
      <c r="K3110" s="245"/>
      <c r="L3110" s="246"/>
      <c r="M3110" s="245"/>
      <c r="N3110" s="245"/>
      <c r="O3110" s="245"/>
      <c r="P3110" s="245"/>
      <c r="Q3110" s="247"/>
      <c r="R3110" s="247"/>
      <c r="S3110" s="247"/>
      <c r="T3110" s="245"/>
      <c r="U3110" s="245"/>
      <c r="V3110" s="241"/>
      <c r="W3110" s="241"/>
      <c r="X3110" s="241"/>
    </row>
    <row r="3111" spans="1:24" ht="13.5" customHeight="1" x14ac:dyDescent="0.3">
      <c r="A3111" s="245"/>
      <c r="B3111" s="246"/>
      <c r="C3111" s="245"/>
      <c r="D3111" s="245"/>
      <c r="E3111" s="245"/>
      <c r="F3111" s="245"/>
      <c r="G3111" s="245"/>
      <c r="H3111" s="245"/>
      <c r="I3111" s="245"/>
      <c r="J3111" s="245"/>
      <c r="K3111" s="245"/>
      <c r="L3111" s="246"/>
      <c r="M3111" s="245"/>
      <c r="N3111" s="245"/>
      <c r="O3111" s="245"/>
      <c r="P3111" s="245"/>
      <c r="Q3111" s="247"/>
      <c r="R3111" s="247"/>
      <c r="S3111" s="247"/>
      <c r="T3111" s="245"/>
      <c r="U3111" s="245"/>
      <c r="V3111" s="241"/>
      <c r="W3111" s="241"/>
      <c r="X3111" s="241"/>
    </row>
    <row r="3112" spans="1:24" ht="13.5" customHeight="1" x14ac:dyDescent="0.3">
      <c r="A3112" s="245"/>
      <c r="B3112" s="246"/>
      <c r="C3112" s="245"/>
      <c r="D3112" s="245"/>
      <c r="E3112" s="245"/>
      <c r="F3112" s="245"/>
      <c r="G3112" s="245"/>
      <c r="H3112" s="245"/>
      <c r="I3112" s="245"/>
      <c r="J3112" s="245"/>
      <c r="K3112" s="245"/>
      <c r="L3112" s="246"/>
      <c r="M3112" s="245"/>
      <c r="N3112" s="245"/>
      <c r="O3112" s="245"/>
      <c r="P3112" s="245"/>
      <c r="Q3112" s="247"/>
      <c r="R3112" s="247"/>
      <c r="S3112" s="247"/>
      <c r="T3112" s="245"/>
      <c r="U3112" s="245"/>
      <c r="V3112" s="241"/>
      <c r="W3112" s="241"/>
      <c r="X3112" s="241"/>
    </row>
    <row r="3113" spans="1:24" ht="13.5" customHeight="1" x14ac:dyDescent="0.3">
      <c r="A3113" s="245"/>
      <c r="B3113" s="246"/>
      <c r="C3113" s="245"/>
      <c r="D3113" s="245"/>
      <c r="E3113" s="245"/>
      <c r="F3113" s="245"/>
      <c r="G3113" s="245"/>
      <c r="H3113" s="245"/>
      <c r="I3113" s="245"/>
      <c r="J3113" s="245"/>
      <c r="K3113" s="245"/>
      <c r="L3113" s="246"/>
      <c r="M3113" s="245"/>
      <c r="N3113" s="245"/>
      <c r="O3113" s="245"/>
      <c r="P3113" s="245"/>
      <c r="Q3113" s="247"/>
      <c r="R3113" s="247"/>
      <c r="S3113" s="247"/>
      <c r="T3113" s="245"/>
      <c r="U3113" s="245"/>
      <c r="V3113" s="241"/>
      <c r="W3113" s="241"/>
      <c r="X3113" s="241"/>
    </row>
    <row r="3114" spans="1:24" ht="13.5" customHeight="1" x14ac:dyDescent="0.3">
      <c r="A3114" s="245"/>
      <c r="B3114" s="246"/>
      <c r="C3114" s="245"/>
      <c r="D3114" s="245"/>
      <c r="E3114" s="245"/>
      <c r="F3114" s="245"/>
      <c r="G3114" s="245"/>
      <c r="H3114" s="245"/>
      <c r="I3114" s="245"/>
      <c r="J3114" s="245"/>
      <c r="K3114" s="245"/>
      <c r="L3114" s="246"/>
      <c r="M3114" s="245"/>
      <c r="N3114" s="245"/>
      <c r="O3114" s="245"/>
      <c r="P3114" s="245"/>
      <c r="Q3114" s="247"/>
      <c r="R3114" s="247"/>
      <c r="S3114" s="247"/>
      <c r="T3114" s="245"/>
      <c r="U3114" s="245"/>
      <c r="V3114" s="241"/>
      <c r="W3114" s="241"/>
      <c r="X3114" s="241"/>
    </row>
    <row r="3115" spans="1:24" ht="13.5" customHeight="1" x14ac:dyDescent="0.3">
      <c r="A3115" s="245"/>
      <c r="B3115" s="246"/>
      <c r="C3115" s="245"/>
      <c r="D3115" s="245"/>
      <c r="E3115" s="245"/>
      <c r="F3115" s="245"/>
      <c r="G3115" s="245"/>
      <c r="H3115" s="245"/>
      <c r="I3115" s="245"/>
      <c r="J3115" s="245"/>
      <c r="K3115" s="245"/>
      <c r="L3115" s="246"/>
      <c r="M3115" s="245"/>
      <c r="N3115" s="245"/>
      <c r="O3115" s="245"/>
      <c r="P3115" s="245"/>
      <c r="Q3115" s="247"/>
      <c r="R3115" s="247"/>
      <c r="S3115" s="247"/>
      <c r="T3115" s="245"/>
      <c r="U3115" s="245"/>
      <c r="V3115" s="241"/>
      <c r="W3115" s="241"/>
      <c r="X3115" s="241"/>
    </row>
    <row r="3116" spans="1:24" ht="13.5" customHeight="1" x14ac:dyDescent="0.3">
      <c r="A3116" s="245"/>
      <c r="B3116" s="246"/>
      <c r="C3116" s="245"/>
      <c r="D3116" s="245"/>
      <c r="E3116" s="245"/>
      <c r="F3116" s="245"/>
      <c r="G3116" s="245"/>
      <c r="H3116" s="245"/>
      <c r="I3116" s="245"/>
      <c r="J3116" s="245"/>
      <c r="K3116" s="245"/>
      <c r="L3116" s="246"/>
      <c r="M3116" s="245"/>
      <c r="N3116" s="245"/>
      <c r="O3116" s="245"/>
      <c r="P3116" s="245"/>
      <c r="Q3116" s="247"/>
      <c r="R3116" s="247"/>
      <c r="S3116" s="247"/>
      <c r="T3116" s="245"/>
      <c r="U3116" s="245"/>
      <c r="V3116" s="241"/>
      <c r="W3116" s="241"/>
      <c r="X3116" s="241"/>
    </row>
    <row r="3117" spans="1:24" ht="13.5" customHeight="1" x14ac:dyDescent="0.3">
      <c r="A3117" s="245"/>
      <c r="B3117" s="246"/>
      <c r="C3117" s="245"/>
      <c r="D3117" s="245"/>
      <c r="E3117" s="245"/>
      <c r="F3117" s="245"/>
      <c r="G3117" s="245"/>
      <c r="H3117" s="245"/>
      <c r="I3117" s="245"/>
      <c r="J3117" s="245"/>
      <c r="K3117" s="245"/>
      <c r="L3117" s="246"/>
      <c r="M3117" s="245"/>
      <c r="N3117" s="245"/>
      <c r="O3117" s="245"/>
      <c r="P3117" s="245"/>
      <c r="Q3117" s="247"/>
      <c r="R3117" s="247"/>
      <c r="S3117" s="247"/>
      <c r="T3117" s="245"/>
      <c r="U3117" s="245"/>
      <c r="V3117" s="241"/>
      <c r="W3117" s="241"/>
      <c r="X3117" s="241"/>
    </row>
    <row r="3118" spans="1:24" ht="13.5" customHeight="1" x14ac:dyDescent="0.3">
      <c r="A3118" s="245"/>
      <c r="B3118" s="246"/>
      <c r="C3118" s="245"/>
      <c r="D3118" s="245"/>
      <c r="E3118" s="245"/>
      <c r="F3118" s="245"/>
      <c r="G3118" s="245"/>
      <c r="H3118" s="245"/>
      <c r="I3118" s="245"/>
      <c r="J3118" s="245"/>
      <c r="K3118" s="245"/>
      <c r="L3118" s="246"/>
      <c r="M3118" s="245"/>
      <c r="N3118" s="245"/>
      <c r="O3118" s="245"/>
      <c r="P3118" s="245"/>
      <c r="Q3118" s="247"/>
      <c r="R3118" s="247"/>
      <c r="S3118" s="247"/>
      <c r="T3118" s="245"/>
      <c r="U3118" s="245"/>
      <c r="V3118" s="241"/>
      <c r="W3118" s="241"/>
      <c r="X3118" s="241"/>
    </row>
    <row r="3119" spans="1:24" ht="13.5" customHeight="1" x14ac:dyDescent="0.3">
      <c r="A3119" s="245"/>
      <c r="B3119" s="246"/>
      <c r="C3119" s="245"/>
      <c r="D3119" s="245"/>
      <c r="E3119" s="245"/>
      <c r="F3119" s="245"/>
      <c r="G3119" s="245"/>
      <c r="H3119" s="245"/>
      <c r="I3119" s="245"/>
      <c r="J3119" s="245"/>
      <c r="K3119" s="245"/>
      <c r="L3119" s="246"/>
      <c r="M3119" s="245"/>
      <c r="N3119" s="245"/>
      <c r="O3119" s="245"/>
      <c r="P3119" s="245"/>
      <c r="Q3119" s="247"/>
      <c r="R3119" s="247"/>
      <c r="S3119" s="247"/>
      <c r="T3119" s="245"/>
      <c r="U3119" s="245"/>
      <c r="V3119" s="241"/>
      <c r="W3119" s="241"/>
      <c r="X3119" s="241"/>
    </row>
    <row r="3120" spans="1:24" ht="13.5" customHeight="1" x14ac:dyDescent="0.3">
      <c r="A3120" s="245"/>
      <c r="B3120" s="246"/>
      <c r="C3120" s="245"/>
      <c r="D3120" s="245"/>
      <c r="E3120" s="245"/>
      <c r="F3120" s="245"/>
      <c r="G3120" s="245"/>
      <c r="H3120" s="245"/>
      <c r="I3120" s="245"/>
      <c r="J3120" s="245"/>
      <c r="K3120" s="245"/>
      <c r="L3120" s="246"/>
      <c r="M3120" s="245"/>
      <c r="N3120" s="245"/>
      <c r="O3120" s="245"/>
      <c r="P3120" s="245"/>
      <c r="Q3120" s="247"/>
      <c r="R3120" s="247"/>
      <c r="S3120" s="247"/>
      <c r="T3120" s="245"/>
      <c r="U3120" s="245"/>
      <c r="V3120" s="241"/>
      <c r="W3120" s="241"/>
      <c r="X3120" s="241"/>
    </row>
    <row r="3121" spans="1:24" ht="13.5" customHeight="1" x14ac:dyDescent="0.3">
      <c r="A3121" s="245"/>
      <c r="B3121" s="246"/>
      <c r="C3121" s="245"/>
      <c r="D3121" s="245"/>
      <c r="E3121" s="245"/>
      <c r="F3121" s="245"/>
      <c r="G3121" s="245"/>
      <c r="H3121" s="245"/>
      <c r="I3121" s="245"/>
      <c r="J3121" s="245"/>
      <c r="K3121" s="245"/>
      <c r="L3121" s="246"/>
      <c r="M3121" s="245"/>
      <c r="N3121" s="245"/>
      <c r="O3121" s="245"/>
      <c r="P3121" s="245"/>
      <c r="Q3121" s="247"/>
      <c r="R3121" s="247"/>
      <c r="S3121" s="247"/>
      <c r="T3121" s="245"/>
      <c r="U3121" s="245"/>
      <c r="V3121" s="241"/>
      <c r="W3121" s="241"/>
      <c r="X3121" s="241"/>
    </row>
    <row r="3122" spans="1:24" ht="13.5" customHeight="1" x14ac:dyDescent="0.3">
      <c r="A3122" s="245"/>
      <c r="B3122" s="246"/>
      <c r="C3122" s="245"/>
      <c r="D3122" s="245"/>
      <c r="E3122" s="245"/>
      <c r="F3122" s="245"/>
      <c r="G3122" s="245"/>
      <c r="H3122" s="245"/>
      <c r="I3122" s="245"/>
      <c r="J3122" s="245"/>
      <c r="K3122" s="245"/>
      <c r="L3122" s="246"/>
      <c r="M3122" s="245"/>
      <c r="N3122" s="245"/>
      <c r="O3122" s="245"/>
      <c r="P3122" s="245"/>
      <c r="Q3122" s="247"/>
      <c r="R3122" s="247"/>
      <c r="S3122" s="247"/>
      <c r="T3122" s="245"/>
      <c r="U3122" s="245"/>
      <c r="V3122" s="241"/>
      <c r="W3122" s="241"/>
      <c r="X3122" s="241"/>
    </row>
    <row r="3123" spans="1:24" ht="13.5" customHeight="1" x14ac:dyDescent="0.3">
      <c r="A3123" s="245"/>
      <c r="B3123" s="246"/>
      <c r="C3123" s="245"/>
      <c r="D3123" s="245"/>
      <c r="E3123" s="245"/>
      <c r="F3123" s="245"/>
      <c r="G3123" s="245"/>
      <c r="H3123" s="245"/>
      <c r="I3123" s="245"/>
      <c r="J3123" s="245"/>
      <c r="K3123" s="245"/>
      <c r="L3123" s="246"/>
      <c r="M3123" s="245"/>
      <c r="N3123" s="245"/>
      <c r="O3123" s="245"/>
      <c r="P3123" s="245"/>
      <c r="Q3123" s="247"/>
      <c r="R3123" s="247"/>
      <c r="S3123" s="247"/>
      <c r="T3123" s="245"/>
      <c r="U3123" s="245"/>
      <c r="V3123" s="241"/>
      <c r="W3123" s="241"/>
      <c r="X3123" s="241"/>
    </row>
    <row r="3124" spans="1:24" ht="13.5" customHeight="1" x14ac:dyDescent="0.3">
      <c r="A3124" s="245"/>
      <c r="B3124" s="246"/>
      <c r="C3124" s="245"/>
      <c r="D3124" s="245"/>
      <c r="E3124" s="245"/>
      <c r="F3124" s="245"/>
      <c r="G3124" s="245"/>
      <c r="H3124" s="245"/>
      <c r="I3124" s="245"/>
      <c r="J3124" s="245"/>
      <c r="K3124" s="245"/>
      <c r="L3124" s="246"/>
      <c r="M3124" s="245"/>
      <c r="N3124" s="245"/>
      <c r="O3124" s="245"/>
      <c r="P3124" s="245"/>
      <c r="Q3124" s="247"/>
      <c r="R3124" s="247"/>
      <c r="S3124" s="247"/>
      <c r="T3124" s="245"/>
      <c r="U3124" s="245"/>
      <c r="V3124" s="241"/>
      <c r="W3124" s="241"/>
      <c r="X3124" s="241"/>
    </row>
    <row r="3125" spans="1:24" ht="13.5" customHeight="1" x14ac:dyDescent="0.3">
      <c r="A3125" s="245"/>
      <c r="B3125" s="246"/>
      <c r="C3125" s="245"/>
      <c r="D3125" s="245"/>
      <c r="E3125" s="245"/>
      <c r="F3125" s="245"/>
      <c r="G3125" s="245"/>
      <c r="H3125" s="245"/>
      <c r="I3125" s="245"/>
      <c r="J3125" s="245"/>
      <c r="K3125" s="245"/>
      <c r="L3125" s="246"/>
      <c r="M3125" s="245"/>
      <c r="N3125" s="245"/>
      <c r="O3125" s="245"/>
      <c r="P3125" s="245"/>
      <c r="Q3125" s="247"/>
      <c r="R3125" s="247"/>
      <c r="S3125" s="247"/>
      <c r="T3125" s="245"/>
      <c r="U3125" s="245"/>
      <c r="V3125" s="241"/>
      <c r="W3125" s="241"/>
      <c r="X3125" s="241"/>
    </row>
    <row r="3126" spans="1:24" ht="13.5" customHeight="1" x14ac:dyDescent="0.3">
      <c r="A3126" s="245"/>
      <c r="B3126" s="246"/>
      <c r="C3126" s="245"/>
      <c r="D3126" s="245"/>
      <c r="E3126" s="245"/>
      <c r="F3126" s="245"/>
      <c r="G3126" s="245"/>
      <c r="H3126" s="245"/>
      <c r="I3126" s="245"/>
      <c r="J3126" s="245"/>
      <c r="K3126" s="245"/>
      <c r="L3126" s="246"/>
      <c r="M3126" s="245"/>
      <c r="N3126" s="245"/>
      <c r="O3126" s="245"/>
      <c r="P3126" s="245"/>
      <c r="Q3126" s="247"/>
      <c r="R3126" s="247"/>
      <c r="S3126" s="247"/>
      <c r="T3126" s="245"/>
      <c r="U3126" s="245"/>
      <c r="V3126" s="241"/>
      <c r="W3126" s="241"/>
      <c r="X3126" s="241"/>
    </row>
    <row r="3127" spans="1:24" ht="13.5" customHeight="1" x14ac:dyDescent="0.3">
      <c r="A3127" s="245"/>
      <c r="B3127" s="246"/>
      <c r="C3127" s="245"/>
      <c r="D3127" s="245"/>
      <c r="E3127" s="245"/>
      <c r="F3127" s="245"/>
      <c r="G3127" s="245"/>
      <c r="H3127" s="245"/>
      <c r="I3127" s="245"/>
      <c r="J3127" s="245"/>
      <c r="K3127" s="245"/>
      <c r="L3127" s="246"/>
      <c r="M3127" s="245"/>
      <c r="N3127" s="245"/>
      <c r="O3127" s="245"/>
      <c r="P3127" s="245"/>
      <c r="Q3127" s="247"/>
      <c r="R3127" s="247"/>
      <c r="S3127" s="247"/>
      <c r="T3127" s="245"/>
      <c r="U3127" s="245"/>
      <c r="V3127" s="241"/>
      <c r="W3127" s="241"/>
      <c r="X3127" s="241"/>
    </row>
    <row r="3128" spans="1:24" ht="13.5" customHeight="1" x14ac:dyDescent="0.3">
      <c r="A3128" s="245"/>
      <c r="B3128" s="246"/>
      <c r="C3128" s="245"/>
      <c r="D3128" s="245"/>
      <c r="E3128" s="245"/>
      <c r="F3128" s="245"/>
      <c r="G3128" s="245"/>
      <c r="H3128" s="245"/>
      <c r="I3128" s="245"/>
      <c r="J3128" s="245"/>
      <c r="K3128" s="245"/>
      <c r="L3128" s="246"/>
      <c r="M3128" s="245"/>
      <c r="N3128" s="245"/>
      <c r="O3128" s="245"/>
      <c r="P3128" s="245"/>
      <c r="Q3128" s="247"/>
      <c r="R3128" s="247"/>
      <c r="S3128" s="247"/>
      <c r="T3128" s="245"/>
      <c r="U3128" s="245"/>
      <c r="V3128" s="241"/>
      <c r="W3128" s="241"/>
      <c r="X3128" s="241"/>
    </row>
    <row r="3129" spans="1:24" ht="13.5" customHeight="1" x14ac:dyDescent="0.3">
      <c r="A3129" s="245"/>
      <c r="B3129" s="246"/>
      <c r="C3129" s="245"/>
      <c r="D3129" s="245"/>
      <c r="E3129" s="245"/>
      <c r="F3129" s="245"/>
      <c r="G3129" s="245"/>
      <c r="H3129" s="245"/>
      <c r="I3129" s="245"/>
      <c r="J3129" s="245"/>
      <c r="K3129" s="245"/>
      <c r="L3129" s="246"/>
      <c r="M3129" s="245"/>
      <c r="N3129" s="245"/>
      <c r="O3129" s="245"/>
      <c r="P3129" s="245"/>
      <c r="Q3129" s="247"/>
      <c r="R3129" s="247"/>
      <c r="S3129" s="247"/>
      <c r="T3129" s="245"/>
      <c r="U3129" s="245"/>
      <c r="V3129" s="241"/>
      <c r="W3129" s="241"/>
      <c r="X3129" s="241"/>
    </row>
    <row r="3130" spans="1:24" ht="13.5" customHeight="1" x14ac:dyDescent="0.3">
      <c r="A3130" s="245"/>
      <c r="B3130" s="246"/>
      <c r="C3130" s="245"/>
      <c r="D3130" s="245"/>
      <c r="E3130" s="245"/>
      <c r="F3130" s="245"/>
      <c r="G3130" s="245"/>
      <c r="H3130" s="245"/>
      <c r="I3130" s="245"/>
      <c r="J3130" s="245"/>
      <c r="K3130" s="245"/>
      <c r="L3130" s="246"/>
      <c r="M3130" s="245"/>
      <c r="N3130" s="245"/>
      <c r="O3130" s="245"/>
      <c r="P3130" s="245"/>
      <c r="Q3130" s="247"/>
      <c r="R3130" s="247"/>
      <c r="S3130" s="247"/>
      <c r="T3130" s="245"/>
      <c r="U3130" s="245"/>
      <c r="V3130" s="241"/>
      <c r="W3130" s="241"/>
      <c r="X3130" s="241"/>
    </row>
    <row r="3131" spans="1:24" ht="13.5" customHeight="1" x14ac:dyDescent="0.3">
      <c r="A3131" s="245"/>
      <c r="B3131" s="246"/>
      <c r="C3131" s="245"/>
      <c r="D3131" s="245"/>
      <c r="E3131" s="245"/>
      <c r="F3131" s="245"/>
      <c r="G3131" s="245"/>
      <c r="H3131" s="245"/>
      <c r="I3131" s="245"/>
      <c r="J3131" s="245"/>
      <c r="K3131" s="245"/>
      <c r="L3131" s="246"/>
      <c r="M3131" s="245"/>
      <c r="N3131" s="245"/>
      <c r="O3131" s="245"/>
      <c r="P3131" s="245"/>
      <c r="Q3131" s="247"/>
      <c r="R3131" s="247"/>
      <c r="S3131" s="247"/>
      <c r="T3131" s="245"/>
      <c r="U3131" s="245"/>
      <c r="V3131" s="241"/>
      <c r="W3131" s="241"/>
      <c r="X3131" s="241"/>
    </row>
    <row r="3132" spans="1:24" ht="13.5" customHeight="1" x14ac:dyDescent="0.3">
      <c r="A3132" s="245"/>
      <c r="B3132" s="246"/>
      <c r="C3132" s="245"/>
      <c r="D3132" s="245"/>
      <c r="E3132" s="245"/>
      <c r="F3132" s="245"/>
      <c r="G3132" s="245"/>
      <c r="H3132" s="245"/>
      <c r="I3132" s="245"/>
      <c r="J3132" s="245"/>
      <c r="K3132" s="245"/>
      <c r="L3132" s="246"/>
      <c r="M3132" s="245"/>
      <c r="N3132" s="245"/>
      <c r="O3132" s="245"/>
      <c r="P3132" s="245"/>
      <c r="Q3132" s="247"/>
      <c r="R3132" s="247"/>
      <c r="S3132" s="247"/>
      <c r="T3132" s="245"/>
      <c r="U3132" s="245"/>
      <c r="V3132" s="241"/>
      <c r="W3132" s="241"/>
      <c r="X3132" s="241"/>
    </row>
    <row r="3133" spans="1:24" ht="13.5" customHeight="1" x14ac:dyDescent="0.3">
      <c r="A3133" s="245"/>
      <c r="B3133" s="246"/>
      <c r="C3133" s="245"/>
      <c r="D3133" s="245"/>
      <c r="E3133" s="245"/>
      <c r="F3133" s="245"/>
      <c r="G3133" s="245"/>
      <c r="H3133" s="245"/>
      <c r="I3133" s="245"/>
      <c r="J3133" s="245"/>
      <c r="K3133" s="245"/>
      <c r="L3133" s="246"/>
      <c r="M3133" s="245"/>
      <c r="N3133" s="245"/>
      <c r="O3133" s="245"/>
      <c r="P3133" s="245"/>
      <c r="Q3133" s="247"/>
      <c r="R3133" s="247"/>
      <c r="S3133" s="247"/>
      <c r="T3133" s="245"/>
      <c r="U3133" s="245"/>
      <c r="V3133" s="241"/>
      <c r="W3133" s="241"/>
      <c r="X3133" s="241"/>
    </row>
    <row r="3134" spans="1:24" ht="13.5" customHeight="1" x14ac:dyDescent="0.3">
      <c r="A3134" s="245"/>
      <c r="B3134" s="246"/>
      <c r="C3134" s="245"/>
      <c r="D3134" s="245"/>
      <c r="E3134" s="245"/>
      <c r="F3134" s="245"/>
      <c r="G3134" s="245"/>
      <c r="H3134" s="245"/>
      <c r="I3134" s="245"/>
      <c r="J3134" s="245"/>
      <c r="K3134" s="245"/>
      <c r="L3134" s="246"/>
      <c r="M3134" s="245"/>
      <c r="N3134" s="245"/>
      <c r="O3134" s="245"/>
      <c r="P3134" s="245"/>
      <c r="Q3134" s="247"/>
      <c r="R3134" s="247"/>
      <c r="S3134" s="247"/>
      <c r="T3134" s="245"/>
      <c r="U3134" s="245"/>
      <c r="V3134" s="241"/>
      <c r="W3134" s="241"/>
      <c r="X3134" s="241"/>
    </row>
    <row r="3135" spans="1:24" ht="13.5" customHeight="1" x14ac:dyDescent="0.3">
      <c r="A3135" s="245"/>
      <c r="B3135" s="246"/>
      <c r="C3135" s="245"/>
      <c r="D3135" s="245"/>
      <c r="E3135" s="245"/>
      <c r="F3135" s="245"/>
      <c r="G3135" s="245"/>
      <c r="H3135" s="245"/>
      <c r="I3135" s="245"/>
      <c r="J3135" s="245"/>
      <c r="K3135" s="245"/>
      <c r="L3135" s="246"/>
      <c r="M3135" s="245"/>
      <c r="N3135" s="245"/>
      <c r="O3135" s="245"/>
      <c r="P3135" s="245"/>
      <c r="Q3135" s="247"/>
      <c r="R3135" s="247"/>
      <c r="S3135" s="247"/>
      <c r="T3135" s="245"/>
      <c r="U3135" s="245"/>
      <c r="V3135" s="241"/>
      <c r="W3135" s="241"/>
      <c r="X3135" s="241"/>
    </row>
    <row r="3136" spans="1:24" ht="13.5" customHeight="1" x14ac:dyDescent="0.3">
      <c r="A3136" s="245"/>
      <c r="B3136" s="246"/>
      <c r="C3136" s="245"/>
      <c r="D3136" s="245"/>
      <c r="E3136" s="245"/>
      <c r="F3136" s="245"/>
      <c r="G3136" s="245"/>
      <c r="H3136" s="245"/>
      <c r="I3136" s="245"/>
      <c r="J3136" s="245"/>
      <c r="K3136" s="245"/>
      <c r="L3136" s="246"/>
      <c r="M3136" s="245"/>
      <c r="N3136" s="245"/>
      <c r="O3136" s="245"/>
      <c r="P3136" s="245"/>
      <c r="Q3136" s="247"/>
      <c r="R3136" s="247"/>
      <c r="S3136" s="247"/>
      <c r="T3136" s="245"/>
      <c r="U3136" s="245"/>
      <c r="V3136" s="241"/>
      <c r="W3136" s="241"/>
      <c r="X3136" s="241"/>
    </row>
    <row r="3137" spans="1:24" ht="13.5" customHeight="1" x14ac:dyDescent="0.3">
      <c r="A3137" s="245"/>
      <c r="B3137" s="246"/>
      <c r="C3137" s="245"/>
      <c r="D3137" s="245"/>
      <c r="E3137" s="245"/>
      <c r="F3137" s="245"/>
      <c r="G3137" s="245"/>
      <c r="H3137" s="245"/>
      <c r="I3137" s="245"/>
      <c r="J3137" s="245"/>
      <c r="K3137" s="245"/>
      <c r="L3137" s="246"/>
      <c r="M3137" s="245"/>
      <c r="N3137" s="245"/>
      <c r="O3137" s="245"/>
      <c r="P3137" s="245"/>
      <c r="Q3137" s="247"/>
      <c r="R3137" s="247"/>
      <c r="S3137" s="247"/>
      <c r="T3137" s="245"/>
      <c r="U3137" s="245"/>
      <c r="V3137" s="241"/>
      <c r="W3137" s="241"/>
      <c r="X3137" s="241"/>
    </row>
    <row r="3138" spans="1:24" ht="13.5" customHeight="1" x14ac:dyDescent="0.3">
      <c r="A3138" s="245"/>
      <c r="B3138" s="246"/>
      <c r="C3138" s="245"/>
      <c r="D3138" s="245"/>
      <c r="E3138" s="245"/>
      <c r="F3138" s="245"/>
      <c r="G3138" s="245"/>
      <c r="H3138" s="245"/>
      <c r="I3138" s="245"/>
      <c r="J3138" s="245"/>
      <c r="K3138" s="245"/>
      <c r="L3138" s="246"/>
      <c r="M3138" s="245"/>
      <c r="N3138" s="245"/>
      <c r="O3138" s="245"/>
      <c r="P3138" s="245"/>
      <c r="Q3138" s="247"/>
      <c r="R3138" s="247"/>
      <c r="S3138" s="247"/>
      <c r="T3138" s="245"/>
      <c r="U3138" s="245"/>
      <c r="V3138" s="241"/>
      <c r="W3138" s="241"/>
      <c r="X3138" s="241"/>
    </row>
    <row r="3139" spans="1:24" ht="13.5" customHeight="1" x14ac:dyDescent="0.3">
      <c r="A3139" s="245"/>
      <c r="B3139" s="246"/>
      <c r="C3139" s="245"/>
      <c r="D3139" s="245"/>
      <c r="E3139" s="245"/>
      <c r="F3139" s="245"/>
      <c r="G3139" s="245"/>
      <c r="H3139" s="245"/>
      <c r="I3139" s="245"/>
      <c r="J3139" s="245"/>
      <c r="K3139" s="245"/>
      <c r="L3139" s="246"/>
      <c r="M3139" s="245"/>
      <c r="N3139" s="245"/>
      <c r="O3139" s="245"/>
      <c r="P3139" s="245"/>
      <c r="Q3139" s="247"/>
      <c r="R3139" s="247"/>
      <c r="S3139" s="247"/>
      <c r="T3139" s="245"/>
      <c r="U3139" s="245"/>
      <c r="V3139" s="241"/>
      <c r="W3139" s="241"/>
      <c r="X3139" s="241"/>
    </row>
    <row r="3140" spans="1:24" ht="13.5" customHeight="1" x14ac:dyDescent="0.3">
      <c r="A3140" s="245"/>
      <c r="B3140" s="246"/>
      <c r="C3140" s="245"/>
      <c r="D3140" s="245"/>
      <c r="E3140" s="245"/>
      <c r="F3140" s="245"/>
      <c r="G3140" s="245"/>
      <c r="H3140" s="245"/>
      <c r="I3140" s="245"/>
      <c r="J3140" s="245"/>
      <c r="K3140" s="245"/>
      <c r="L3140" s="246"/>
      <c r="M3140" s="245"/>
      <c r="N3140" s="245"/>
      <c r="O3140" s="245"/>
      <c r="P3140" s="245"/>
      <c r="Q3140" s="247"/>
      <c r="R3140" s="247"/>
      <c r="S3140" s="247"/>
      <c r="T3140" s="245"/>
      <c r="U3140" s="245"/>
      <c r="V3140" s="241"/>
      <c r="W3140" s="241"/>
      <c r="X3140" s="241"/>
    </row>
    <row r="3141" spans="1:24" ht="13.5" customHeight="1" x14ac:dyDescent="0.3">
      <c r="A3141" s="245"/>
      <c r="B3141" s="246"/>
      <c r="C3141" s="245"/>
      <c r="D3141" s="245"/>
      <c r="E3141" s="245"/>
      <c r="F3141" s="245"/>
      <c r="G3141" s="245"/>
      <c r="H3141" s="245"/>
      <c r="I3141" s="245"/>
      <c r="J3141" s="245"/>
      <c r="K3141" s="245"/>
      <c r="L3141" s="246"/>
      <c r="M3141" s="245"/>
      <c r="N3141" s="245"/>
      <c r="O3141" s="245"/>
      <c r="P3141" s="245"/>
      <c r="Q3141" s="247"/>
      <c r="R3141" s="247"/>
      <c r="S3141" s="247"/>
      <c r="T3141" s="245"/>
      <c r="U3141" s="245"/>
      <c r="V3141" s="241"/>
      <c r="W3141" s="241"/>
      <c r="X3141" s="241"/>
    </row>
    <row r="3142" spans="1:24" ht="13.5" customHeight="1" x14ac:dyDescent="0.3">
      <c r="A3142" s="245"/>
      <c r="B3142" s="246"/>
      <c r="C3142" s="245"/>
      <c r="D3142" s="245"/>
      <c r="E3142" s="245"/>
      <c r="F3142" s="245"/>
      <c r="G3142" s="245"/>
      <c r="H3142" s="245"/>
      <c r="I3142" s="245"/>
      <c r="J3142" s="245"/>
      <c r="K3142" s="245"/>
      <c r="L3142" s="246"/>
      <c r="M3142" s="245"/>
      <c r="N3142" s="245"/>
      <c r="O3142" s="245"/>
      <c r="P3142" s="245"/>
      <c r="Q3142" s="247"/>
      <c r="R3142" s="247"/>
      <c r="S3142" s="247"/>
      <c r="T3142" s="245"/>
      <c r="U3142" s="245"/>
      <c r="V3142" s="241"/>
      <c r="W3142" s="241"/>
      <c r="X3142" s="241"/>
    </row>
    <row r="3143" spans="1:24" ht="13.5" customHeight="1" x14ac:dyDescent="0.3">
      <c r="A3143" s="245"/>
      <c r="B3143" s="246"/>
      <c r="C3143" s="245"/>
      <c r="D3143" s="245"/>
      <c r="E3143" s="245"/>
      <c r="F3143" s="245"/>
      <c r="G3143" s="245"/>
      <c r="H3143" s="245"/>
      <c r="I3143" s="245"/>
      <c r="J3143" s="245"/>
      <c r="K3143" s="245"/>
      <c r="L3143" s="246"/>
      <c r="M3143" s="245"/>
      <c r="N3143" s="245"/>
      <c r="O3143" s="245"/>
      <c r="P3143" s="245"/>
      <c r="Q3143" s="247"/>
      <c r="R3143" s="247"/>
      <c r="S3143" s="247"/>
      <c r="T3143" s="245"/>
      <c r="U3143" s="245"/>
      <c r="V3143" s="241"/>
      <c r="W3143" s="241"/>
      <c r="X3143" s="241"/>
    </row>
    <row r="3144" spans="1:24" ht="13.5" customHeight="1" x14ac:dyDescent="0.3">
      <c r="A3144" s="245"/>
      <c r="B3144" s="246"/>
      <c r="C3144" s="245"/>
      <c r="D3144" s="245"/>
      <c r="E3144" s="245"/>
      <c r="F3144" s="245"/>
      <c r="G3144" s="245"/>
      <c r="H3144" s="245"/>
      <c r="I3144" s="245"/>
      <c r="J3144" s="245"/>
      <c r="K3144" s="245"/>
      <c r="L3144" s="246"/>
      <c r="M3144" s="245"/>
      <c r="N3144" s="245"/>
      <c r="O3144" s="245"/>
      <c r="P3144" s="245"/>
      <c r="Q3144" s="247"/>
      <c r="R3144" s="247"/>
      <c r="S3144" s="247"/>
      <c r="T3144" s="245"/>
      <c r="U3144" s="245"/>
      <c r="V3144" s="241"/>
      <c r="W3144" s="241"/>
      <c r="X3144" s="241"/>
    </row>
    <row r="3145" spans="1:24" ht="13.5" customHeight="1" x14ac:dyDescent="0.3">
      <c r="A3145" s="245"/>
      <c r="B3145" s="246"/>
      <c r="C3145" s="245"/>
      <c r="D3145" s="245"/>
      <c r="E3145" s="245"/>
      <c r="F3145" s="245"/>
      <c r="G3145" s="245"/>
      <c r="H3145" s="245"/>
      <c r="I3145" s="245"/>
      <c r="J3145" s="245"/>
      <c r="K3145" s="245"/>
      <c r="L3145" s="246"/>
      <c r="M3145" s="245"/>
      <c r="N3145" s="245"/>
      <c r="O3145" s="245"/>
      <c r="P3145" s="245"/>
      <c r="Q3145" s="247"/>
      <c r="R3145" s="247"/>
      <c r="S3145" s="247"/>
      <c r="T3145" s="245"/>
      <c r="U3145" s="245"/>
      <c r="V3145" s="241"/>
      <c r="W3145" s="241"/>
      <c r="X3145" s="241"/>
    </row>
    <row r="3146" spans="1:24" ht="13.5" customHeight="1" x14ac:dyDescent="0.3">
      <c r="A3146" s="245"/>
      <c r="B3146" s="246"/>
      <c r="C3146" s="245"/>
      <c r="D3146" s="245"/>
      <c r="E3146" s="245"/>
      <c r="F3146" s="245"/>
      <c r="G3146" s="245"/>
      <c r="H3146" s="245"/>
      <c r="I3146" s="245"/>
      <c r="J3146" s="245"/>
      <c r="K3146" s="245"/>
      <c r="L3146" s="246"/>
      <c r="M3146" s="245"/>
      <c r="N3146" s="245"/>
      <c r="O3146" s="245"/>
      <c r="P3146" s="245"/>
      <c r="Q3146" s="247"/>
      <c r="R3146" s="247"/>
      <c r="S3146" s="247"/>
      <c r="T3146" s="245"/>
      <c r="U3146" s="245"/>
      <c r="V3146" s="241"/>
      <c r="W3146" s="241"/>
      <c r="X3146" s="241"/>
    </row>
    <row r="3147" spans="1:24" ht="13.5" customHeight="1" x14ac:dyDescent="0.3">
      <c r="A3147" s="245"/>
      <c r="B3147" s="246"/>
      <c r="C3147" s="245"/>
      <c r="D3147" s="245"/>
      <c r="E3147" s="245"/>
      <c r="F3147" s="245"/>
      <c r="G3147" s="245"/>
      <c r="H3147" s="245"/>
      <c r="I3147" s="245"/>
      <c r="J3147" s="245"/>
      <c r="K3147" s="245"/>
      <c r="L3147" s="246"/>
      <c r="M3147" s="245"/>
      <c r="N3147" s="245"/>
      <c r="O3147" s="245"/>
      <c r="P3147" s="245"/>
      <c r="Q3147" s="247"/>
      <c r="R3147" s="247"/>
      <c r="S3147" s="247"/>
      <c r="T3147" s="245"/>
      <c r="U3147" s="245"/>
      <c r="V3147" s="241"/>
      <c r="W3147" s="241"/>
      <c r="X3147" s="241"/>
    </row>
    <row r="3148" spans="1:24" ht="13.5" customHeight="1" x14ac:dyDescent="0.3">
      <c r="A3148" s="245"/>
      <c r="B3148" s="246"/>
      <c r="C3148" s="245"/>
      <c r="D3148" s="245"/>
      <c r="E3148" s="245"/>
      <c r="F3148" s="245"/>
      <c r="G3148" s="245"/>
      <c r="H3148" s="245"/>
      <c r="I3148" s="245"/>
      <c r="J3148" s="245"/>
      <c r="K3148" s="245"/>
      <c r="L3148" s="246"/>
      <c r="M3148" s="245"/>
      <c r="N3148" s="245"/>
      <c r="O3148" s="245"/>
      <c r="P3148" s="245"/>
      <c r="Q3148" s="247"/>
      <c r="R3148" s="247"/>
      <c r="S3148" s="247"/>
      <c r="T3148" s="245"/>
      <c r="U3148" s="245"/>
      <c r="V3148" s="241"/>
      <c r="W3148" s="241"/>
      <c r="X3148" s="241"/>
    </row>
    <row r="3149" spans="1:24" ht="13.5" customHeight="1" x14ac:dyDescent="0.3">
      <c r="A3149" s="245"/>
      <c r="B3149" s="246"/>
      <c r="C3149" s="245"/>
      <c r="D3149" s="245"/>
      <c r="E3149" s="245"/>
      <c r="F3149" s="245"/>
      <c r="G3149" s="245"/>
      <c r="H3149" s="245"/>
      <c r="I3149" s="245"/>
      <c r="J3149" s="245"/>
      <c r="K3149" s="245"/>
      <c r="L3149" s="246"/>
      <c r="M3149" s="245"/>
      <c r="N3149" s="245"/>
      <c r="O3149" s="245"/>
      <c r="P3149" s="245"/>
      <c r="Q3149" s="247"/>
      <c r="R3149" s="247"/>
      <c r="S3149" s="247"/>
      <c r="T3149" s="245"/>
      <c r="U3149" s="245"/>
      <c r="V3149" s="241"/>
      <c r="W3149" s="241"/>
      <c r="X3149" s="241"/>
    </row>
    <row r="3150" spans="1:24" ht="13.5" customHeight="1" x14ac:dyDescent="0.3">
      <c r="A3150" s="245"/>
      <c r="B3150" s="246"/>
      <c r="C3150" s="245"/>
      <c r="D3150" s="245"/>
      <c r="E3150" s="245"/>
      <c r="F3150" s="245"/>
      <c r="G3150" s="245"/>
      <c r="H3150" s="245"/>
      <c r="I3150" s="245"/>
      <c r="J3150" s="245"/>
      <c r="K3150" s="245"/>
      <c r="L3150" s="246"/>
      <c r="M3150" s="245"/>
      <c r="N3150" s="245"/>
      <c r="O3150" s="245"/>
      <c r="P3150" s="245"/>
      <c r="Q3150" s="247"/>
      <c r="R3150" s="247"/>
      <c r="S3150" s="247"/>
      <c r="T3150" s="245"/>
      <c r="U3150" s="245"/>
      <c r="V3150" s="241"/>
      <c r="W3150" s="241"/>
      <c r="X3150" s="241"/>
    </row>
    <row r="3151" spans="1:24" ht="13.5" customHeight="1" x14ac:dyDescent="0.3">
      <c r="A3151" s="245"/>
      <c r="B3151" s="246"/>
      <c r="C3151" s="245"/>
      <c r="D3151" s="245"/>
      <c r="E3151" s="245"/>
      <c r="F3151" s="245"/>
      <c r="G3151" s="245"/>
      <c r="H3151" s="245"/>
      <c r="I3151" s="245"/>
      <c r="J3151" s="245"/>
      <c r="K3151" s="245"/>
      <c r="L3151" s="246"/>
      <c r="M3151" s="245"/>
      <c r="N3151" s="245"/>
      <c r="O3151" s="245"/>
      <c r="P3151" s="245"/>
      <c r="Q3151" s="247"/>
      <c r="R3151" s="247"/>
      <c r="S3151" s="247"/>
      <c r="T3151" s="245"/>
      <c r="U3151" s="245"/>
      <c r="V3151" s="241"/>
      <c r="W3151" s="241"/>
      <c r="X3151" s="241"/>
    </row>
    <row r="3152" spans="1:24" ht="13.5" customHeight="1" x14ac:dyDescent="0.3">
      <c r="A3152" s="245"/>
      <c r="B3152" s="246"/>
      <c r="C3152" s="245"/>
      <c r="D3152" s="245"/>
      <c r="E3152" s="245"/>
      <c r="F3152" s="245"/>
      <c r="G3152" s="245"/>
      <c r="H3152" s="245"/>
      <c r="I3152" s="245"/>
      <c r="J3152" s="245"/>
      <c r="K3152" s="245"/>
      <c r="L3152" s="246"/>
      <c r="M3152" s="245"/>
      <c r="N3152" s="245"/>
      <c r="O3152" s="245"/>
      <c r="P3152" s="245"/>
      <c r="Q3152" s="247"/>
      <c r="R3152" s="247"/>
      <c r="S3152" s="247"/>
      <c r="T3152" s="245"/>
      <c r="U3152" s="245"/>
      <c r="V3152" s="241"/>
      <c r="W3152" s="241"/>
      <c r="X3152" s="241"/>
    </row>
    <row r="3153" spans="1:24" ht="13.5" customHeight="1" x14ac:dyDescent="0.3">
      <c r="A3153" s="245"/>
      <c r="B3153" s="246"/>
      <c r="C3153" s="245"/>
      <c r="D3153" s="245"/>
      <c r="E3153" s="245"/>
      <c r="F3153" s="245"/>
      <c r="G3153" s="245"/>
      <c r="H3153" s="245"/>
      <c r="I3153" s="245"/>
      <c r="J3153" s="245"/>
      <c r="K3153" s="245"/>
      <c r="L3153" s="246"/>
      <c r="M3153" s="245"/>
      <c r="N3153" s="245"/>
      <c r="O3153" s="245"/>
      <c r="P3153" s="245"/>
      <c r="Q3153" s="247"/>
      <c r="R3153" s="247"/>
      <c r="S3153" s="247"/>
      <c r="T3153" s="245"/>
      <c r="U3153" s="245"/>
      <c r="V3153" s="241"/>
      <c r="W3153" s="241"/>
      <c r="X3153" s="241"/>
    </row>
    <row r="3154" spans="1:24" ht="13.5" customHeight="1" x14ac:dyDescent="0.3">
      <c r="A3154" s="245"/>
      <c r="B3154" s="246"/>
      <c r="C3154" s="245"/>
      <c r="D3154" s="245"/>
      <c r="E3154" s="245"/>
      <c r="F3154" s="245"/>
      <c r="G3154" s="245"/>
      <c r="H3154" s="245"/>
      <c r="I3154" s="245"/>
      <c r="J3154" s="245"/>
      <c r="K3154" s="245"/>
      <c r="L3154" s="246"/>
      <c r="M3154" s="245"/>
      <c r="N3154" s="245"/>
      <c r="O3154" s="245"/>
      <c r="P3154" s="245"/>
      <c r="Q3154" s="247"/>
      <c r="R3154" s="247"/>
      <c r="S3154" s="247"/>
      <c r="T3154" s="245"/>
      <c r="U3154" s="245"/>
      <c r="V3154" s="241"/>
      <c r="W3154" s="241"/>
      <c r="X3154" s="241"/>
    </row>
    <row r="3155" spans="1:24" ht="13.5" customHeight="1" x14ac:dyDescent="0.3">
      <c r="A3155" s="245"/>
      <c r="B3155" s="246"/>
      <c r="C3155" s="245"/>
      <c r="D3155" s="245"/>
      <c r="E3155" s="245"/>
      <c r="F3155" s="245"/>
      <c r="G3155" s="245"/>
      <c r="H3155" s="245"/>
      <c r="I3155" s="245"/>
      <c r="J3155" s="245"/>
      <c r="K3155" s="245"/>
      <c r="L3155" s="246"/>
      <c r="M3155" s="245"/>
      <c r="N3155" s="245"/>
      <c r="O3155" s="245"/>
      <c r="P3155" s="245"/>
      <c r="Q3155" s="247"/>
      <c r="R3155" s="247"/>
      <c r="S3155" s="247"/>
      <c r="T3155" s="245"/>
      <c r="U3155" s="245"/>
      <c r="V3155" s="241"/>
      <c r="W3155" s="241"/>
      <c r="X3155" s="241"/>
    </row>
    <row r="3156" spans="1:24" ht="13.5" customHeight="1" x14ac:dyDescent="0.3">
      <c r="A3156" s="245"/>
      <c r="B3156" s="246"/>
      <c r="C3156" s="245"/>
      <c r="D3156" s="245"/>
      <c r="E3156" s="245"/>
      <c r="F3156" s="245"/>
      <c r="G3156" s="245"/>
      <c r="H3156" s="245"/>
      <c r="I3156" s="245"/>
      <c r="J3156" s="245"/>
      <c r="K3156" s="245"/>
      <c r="L3156" s="246"/>
      <c r="M3156" s="245"/>
      <c r="N3156" s="245"/>
      <c r="O3156" s="245"/>
      <c r="P3156" s="245"/>
      <c r="Q3156" s="247"/>
      <c r="R3156" s="247"/>
      <c r="S3156" s="247"/>
      <c r="T3156" s="245"/>
      <c r="U3156" s="245"/>
      <c r="V3156" s="241"/>
      <c r="W3156" s="241"/>
      <c r="X3156" s="241"/>
    </row>
    <row r="3157" spans="1:24" ht="13.5" customHeight="1" x14ac:dyDescent="0.3">
      <c r="A3157" s="245"/>
      <c r="B3157" s="246"/>
      <c r="C3157" s="245"/>
      <c r="D3157" s="245"/>
      <c r="E3157" s="245"/>
      <c r="F3157" s="245"/>
      <c r="G3157" s="245"/>
      <c r="H3157" s="245"/>
      <c r="I3157" s="245"/>
      <c r="J3157" s="245"/>
      <c r="K3157" s="245"/>
      <c r="L3157" s="246"/>
      <c r="M3157" s="245"/>
      <c r="N3157" s="245"/>
      <c r="O3157" s="245"/>
      <c r="P3157" s="245"/>
      <c r="Q3157" s="247"/>
      <c r="R3157" s="247"/>
      <c r="S3157" s="247"/>
      <c r="T3157" s="245"/>
      <c r="U3157" s="245"/>
      <c r="V3157" s="241"/>
      <c r="W3157" s="241"/>
      <c r="X3157" s="241"/>
    </row>
    <row r="3158" spans="1:24" ht="13.5" customHeight="1" x14ac:dyDescent="0.3">
      <c r="A3158" s="245"/>
      <c r="B3158" s="246"/>
      <c r="C3158" s="245"/>
      <c r="D3158" s="245"/>
      <c r="E3158" s="245"/>
      <c r="F3158" s="245"/>
      <c r="G3158" s="245"/>
      <c r="H3158" s="245"/>
      <c r="I3158" s="245"/>
      <c r="J3158" s="245"/>
      <c r="K3158" s="245"/>
      <c r="L3158" s="246"/>
      <c r="M3158" s="245"/>
      <c r="N3158" s="245"/>
      <c r="O3158" s="245"/>
      <c r="P3158" s="245"/>
      <c r="Q3158" s="247"/>
      <c r="R3158" s="247"/>
      <c r="S3158" s="247"/>
      <c r="T3158" s="245"/>
      <c r="U3158" s="245"/>
      <c r="V3158" s="241"/>
      <c r="W3158" s="241"/>
      <c r="X3158" s="241"/>
    </row>
    <row r="3159" spans="1:24" ht="13.5" customHeight="1" x14ac:dyDescent="0.3">
      <c r="A3159" s="245"/>
      <c r="B3159" s="246"/>
      <c r="C3159" s="245"/>
      <c r="D3159" s="245"/>
      <c r="E3159" s="245"/>
      <c r="F3159" s="245"/>
      <c r="G3159" s="245"/>
      <c r="H3159" s="245"/>
      <c r="I3159" s="245"/>
      <c r="J3159" s="245"/>
      <c r="K3159" s="245"/>
      <c r="L3159" s="246"/>
      <c r="M3159" s="245"/>
      <c r="N3159" s="245"/>
      <c r="O3159" s="245"/>
      <c r="P3159" s="245"/>
      <c r="Q3159" s="247"/>
      <c r="R3159" s="247"/>
      <c r="S3159" s="247"/>
      <c r="T3159" s="245"/>
      <c r="U3159" s="245"/>
      <c r="V3159" s="241"/>
      <c r="W3159" s="241"/>
      <c r="X3159" s="241"/>
    </row>
    <row r="3160" spans="1:24" ht="13.5" customHeight="1" x14ac:dyDescent="0.3">
      <c r="A3160" s="245"/>
      <c r="B3160" s="246"/>
      <c r="C3160" s="245"/>
      <c r="D3160" s="245"/>
      <c r="E3160" s="245"/>
      <c r="F3160" s="245"/>
      <c r="G3160" s="245"/>
      <c r="H3160" s="245"/>
      <c r="I3160" s="245"/>
      <c r="J3160" s="245"/>
      <c r="K3160" s="245"/>
      <c r="L3160" s="246"/>
      <c r="M3160" s="245"/>
      <c r="N3160" s="245"/>
      <c r="O3160" s="245"/>
      <c r="P3160" s="245"/>
      <c r="Q3160" s="247"/>
      <c r="R3160" s="247"/>
      <c r="S3160" s="247"/>
      <c r="T3160" s="245"/>
      <c r="U3160" s="245"/>
      <c r="V3160" s="241"/>
      <c r="W3160" s="241"/>
      <c r="X3160" s="241"/>
    </row>
    <row r="3161" spans="1:24" ht="13.5" customHeight="1" x14ac:dyDescent="0.3">
      <c r="A3161" s="245"/>
      <c r="B3161" s="246"/>
      <c r="C3161" s="245"/>
      <c r="D3161" s="245"/>
      <c r="E3161" s="245"/>
      <c r="F3161" s="245"/>
      <c r="G3161" s="245"/>
      <c r="H3161" s="245"/>
      <c r="I3161" s="245"/>
      <c r="J3161" s="245"/>
      <c r="K3161" s="245"/>
      <c r="L3161" s="246"/>
      <c r="M3161" s="245"/>
      <c r="N3161" s="245"/>
      <c r="O3161" s="245"/>
      <c r="P3161" s="245"/>
      <c r="Q3161" s="247"/>
      <c r="R3161" s="247"/>
      <c r="S3161" s="247"/>
      <c r="T3161" s="245"/>
      <c r="U3161" s="245"/>
      <c r="V3161" s="241"/>
      <c r="W3161" s="241"/>
      <c r="X3161" s="241"/>
    </row>
    <row r="3162" spans="1:24" ht="13.5" customHeight="1" x14ac:dyDescent="0.3">
      <c r="A3162" s="245"/>
      <c r="B3162" s="246"/>
      <c r="C3162" s="245"/>
      <c r="D3162" s="245"/>
      <c r="E3162" s="245"/>
      <c r="F3162" s="245"/>
      <c r="G3162" s="245"/>
      <c r="H3162" s="245"/>
      <c r="I3162" s="245"/>
      <c r="J3162" s="245"/>
      <c r="K3162" s="245"/>
      <c r="L3162" s="246"/>
      <c r="M3162" s="245"/>
      <c r="N3162" s="245"/>
      <c r="O3162" s="245"/>
      <c r="P3162" s="245"/>
      <c r="Q3162" s="247"/>
      <c r="R3162" s="247"/>
      <c r="S3162" s="247"/>
      <c r="T3162" s="245"/>
      <c r="U3162" s="245"/>
      <c r="V3162" s="241"/>
      <c r="W3162" s="241"/>
      <c r="X3162" s="241"/>
    </row>
    <row r="3163" spans="1:24" ht="13.5" customHeight="1" x14ac:dyDescent="0.3">
      <c r="A3163" s="245"/>
      <c r="B3163" s="246"/>
      <c r="C3163" s="245"/>
      <c r="D3163" s="245"/>
      <c r="E3163" s="245"/>
      <c r="F3163" s="245"/>
      <c r="G3163" s="245"/>
      <c r="H3163" s="245"/>
      <c r="I3163" s="245"/>
      <c r="J3163" s="245"/>
      <c r="K3163" s="245"/>
      <c r="L3163" s="246"/>
      <c r="M3163" s="245"/>
      <c r="N3163" s="245"/>
      <c r="O3163" s="245"/>
      <c r="P3163" s="245"/>
      <c r="Q3163" s="247"/>
      <c r="R3163" s="247"/>
      <c r="S3163" s="247"/>
      <c r="T3163" s="245"/>
      <c r="U3163" s="245"/>
      <c r="V3163" s="241"/>
      <c r="W3163" s="241"/>
      <c r="X3163" s="241"/>
    </row>
    <row r="3164" spans="1:24" ht="13.5" customHeight="1" x14ac:dyDescent="0.3">
      <c r="A3164" s="245"/>
      <c r="B3164" s="246"/>
      <c r="C3164" s="245"/>
      <c r="D3164" s="245"/>
      <c r="E3164" s="245"/>
      <c r="F3164" s="245"/>
      <c r="G3164" s="245"/>
      <c r="H3164" s="245"/>
      <c r="I3164" s="245"/>
      <c r="J3164" s="245"/>
      <c r="K3164" s="245"/>
      <c r="L3164" s="246"/>
      <c r="M3164" s="245"/>
      <c r="N3164" s="245"/>
      <c r="O3164" s="245"/>
      <c r="P3164" s="245"/>
      <c r="Q3164" s="247"/>
      <c r="R3164" s="247"/>
      <c r="S3164" s="247"/>
      <c r="T3164" s="245"/>
      <c r="U3164" s="245"/>
      <c r="V3164" s="241"/>
      <c r="W3164" s="241"/>
      <c r="X3164" s="241"/>
    </row>
    <row r="3165" spans="1:24" ht="13.5" customHeight="1" x14ac:dyDescent="0.3">
      <c r="A3165" s="245"/>
      <c r="B3165" s="246"/>
      <c r="C3165" s="245"/>
      <c r="D3165" s="245"/>
      <c r="E3165" s="245"/>
      <c r="F3165" s="245"/>
      <c r="G3165" s="245"/>
      <c r="H3165" s="245"/>
      <c r="I3165" s="245"/>
      <c r="J3165" s="245"/>
      <c r="K3165" s="245"/>
      <c r="L3165" s="246"/>
      <c r="M3165" s="245"/>
      <c r="N3165" s="245"/>
      <c r="O3165" s="245"/>
      <c r="P3165" s="245"/>
      <c r="Q3165" s="247"/>
      <c r="R3165" s="247"/>
      <c r="S3165" s="247"/>
      <c r="T3165" s="245"/>
      <c r="U3165" s="245"/>
      <c r="V3165" s="241"/>
      <c r="W3165" s="241"/>
      <c r="X3165" s="241"/>
    </row>
    <row r="3166" spans="1:24" ht="13.5" customHeight="1" x14ac:dyDescent="0.3">
      <c r="A3166" s="245"/>
      <c r="B3166" s="246"/>
      <c r="C3166" s="245"/>
      <c r="D3166" s="245"/>
      <c r="E3166" s="245"/>
      <c r="F3166" s="245"/>
      <c r="G3166" s="245"/>
      <c r="H3166" s="245"/>
      <c r="I3166" s="245"/>
      <c r="J3166" s="245"/>
      <c r="K3166" s="245"/>
      <c r="L3166" s="246"/>
      <c r="M3166" s="245"/>
      <c r="N3166" s="245"/>
      <c r="O3166" s="245"/>
      <c r="P3166" s="245"/>
      <c r="Q3166" s="247"/>
      <c r="R3166" s="247"/>
      <c r="S3166" s="247"/>
      <c r="T3166" s="245"/>
      <c r="U3166" s="245"/>
      <c r="V3166" s="241"/>
      <c r="W3166" s="241"/>
      <c r="X3166" s="241"/>
    </row>
    <row r="3167" spans="1:24" ht="13.5" customHeight="1" x14ac:dyDescent="0.3">
      <c r="A3167" s="245"/>
      <c r="B3167" s="246"/>
      <c r="C3167" s="245"/>
      <c r="D3167" s="245"/>
      <c r="E3167" s="245"/>
      <c r="F3167" s="245"/>
      <c r="G3167" s="245"/>
      <c r="H3167" s="245"/>
      <c r="I3167" s="245"/>
      <c r="J3167" s="245"/>
      <c r="K3167" s="245"/>
      <c r="L3167" s="246"/>
      <c r="M3167" s="245"/>
      <c r="N3167" s="245"/>
      <c r="O3167" s="245"/>
      <c r="P3167" s="245"/>
      <c r="Q3167" s="247"/>
      <c r="R3167" s="247"/>
      <c r="S3167" s="247"/>
      <c r="T3167" s="245"/>
      <c r="U3167" s="245"/>
      <c r="V3167" s="241"/>
      <c r="W3167" s="241"/>
      <c r="X3167" s="241"/>
    </row>
    <row r="3168" spans="1:24" ht="13.5" customHeight="1" x14ac:dyDescent="0.3">
      <c r="A3168" s="245"/>
      <c r="B3168" s="246"/>
      <c r="C3168" s="245"/>
      <c r="D3168" s="245"/>
      <c r="E3168" s="245"/>
      <c r="F3168" s="245"/>
      <c r="G3168" s="245"/>
      <c r="H3168" s="245"/>
      <c r="I3168" s="245"/>
      <c r="J3168" s="245"/>
      <c r="K3168" s="245"/>
      <c r="L3168" s="246"/>
      <c r="M3168" s="245"/>
      <c r="N3168" s="245"/>
      <c r="O3168" s="245"/>
      <c r="P3168" s="245"/>
      <c r="Q3168" s="247"/>
      <c r="R3168" s="247"/>
      <c r="S3168" s="247"/>
      <c r="T3168" s="245"/>
      <c r="U3168" s="245"/>
      <c r="V3168" s="241"/>
      <c r="W3168" s="241"/>
      <c r="X3168" s="241"/>
    </row>
    <row r="3169" spans="1:24" ht="13.5" customHeight="1" x14ac:dyDescent="0.3">
      <c r="A3169" s="245"/>
      <c r="B3169" s="246"/>
      <c r="C3169" s="245"/>
      <c r="D3169" s="245"/>
      <c r="E3169" s="245"/>
      <c r="F3169" s="245"/>
      <c r="G3169" s="245"/>
      <c r="H3169" s="245"/>
      <c r="I3169" s="245"/>
      <c r="J3169" s="245"/>
      <c r="K3169" s="245"/>
      <c r="L3169" s="246"/>
      <c r="M3169" s="245"/>
      <c r="N3169" s="245"/>
      <c r="O3169" s="245"/>
      <c r="P3169" s="245"/>
      <c r="Q3169" s="247"/>
      <c r="R3169" s="247"/>
      <c r="S3169" s="247"/>
      <c r="T3169" s="245"/>
      <c r="U3169" s="245"/>
      <c r="V3169" s="241"/>
      <c r="W3169" s="241"/>
      <c r="X3169" s="241"/>
    </row>
    <row r="3170" spans="1:24" ht="13.5" customHeight="1" x14ac:dyDescent="0.3">
      <c r="A3170" s="245"/>
      <c r="B3170" s="246"/>
      <c r="C3170" s="245"/>
      <c r="D3170" s="245"/>
      <c r="E3170" s="245"/>
      <c r="F3170" s="245"/>
      <c r="G3170" s="245"/>
      <c r="H3170" s="245"/>
      <c r="I3170" s="245"/>
      <c r="J3170" s="245"/>
      <c r="K3170" s="245"/>
      <c r="L3170" s="246"/>
      <c r="M3170" s="245"/>
      <c r="N3170" s="245"/>
      <c r="O3170" s="245"/>
      <c r="P3170" s="245"/>
      <c r="Q3170" s="247"/>
      <c r="R3170" s="247"/>
      <c r="S3170" s="247"/>
      <c r="T3170" s="245"/>
      <c r="U3170" s="245"/>
      <c r="V3170" s="241"/>
      <c r="W3170" s="241"/>
      <c r="X3170" s="241"/>
    </row>
    <row r="3171" spans="1:24" ht="13.5" customHeight="1" x14ac:dyDescent="0.3">
      <c r="A3171" s="245"/>
      <c r="B3171" s="246"/>
      <c r="C3171" s="245"/>
      <c r="D3171" s="245"/>
      <c r="E3171" s="245"/>
      <c r="F3171" s="245"/>
      <c r="G3171" s="245"/>
      <c r="H3171" s="245"/>
      <c r="I3171" s="245"/>
      <c r="J3171" s="245"/>
      <c r="K3171" s="245"/>
      <c r="L3171" s="246"/>
      <c r="M3171" s="245"/>
      <c r="N3171" s="245"/>
      <c r="O3171" s="245"/>
      <c r="P3171" s="245"/>
      <c r="Q3171" s="247"/>
      <c r="R3171" s="247"/>
      <c r="S3171" s="247"/>
      <c r="T3171" s="245"/>
      <c r="U3171" s="245"/>
      <c r="V3171" s="241"/>
      <c r="W3171" s="241"/>
      <c r="X3171" s="241"/>
    </row>
    <row r="3172" spans="1:24" ht="13.5" customHeight="1" x14ac:dyDescent="0.3">
      <c r="A3172" s="245"/>
      <c r="B3172" s="246"/>
      <c r="C3172" s="245"/>
      <c r="D3172" s="245"/>
      <c r="E3172" s="245"/>
      <c r="F3172" s="245"/>
      <c r="G3172" s="245"/>
      <c r="H3172" s="245"/>
      <c r="I3172" s="245"/>
      <c r="J3172" s="245"/>
      <c r="K3172" s="245"/>
      <c r="L3172" s="246"/>
      <c r="M3172" s="245"/>
      <c r="N3172" s="245"/>
      <c r="O3172" s="245"/>
      <c r="P3172" s="245"/>
      <c r="Q3172" s="247"/>
      <c r="R3172" s="247"/>
      <c r="S3172" s="247"/>
      <c r="T3172" s="245"/>
      <c r="U3172" s="245"/>
      <c r="V3172" s="241"/>
      <c r="W3172" s="241"/>
      <c r="X3172" s="241"/>
    </row>
    <row r="3173" spans="1:24" ht="13.5" customHeight="1" x14ac:dyDescent="0.3">
      <c r="A3173" s="245"/>
      <c r="B3173" s="246"/>
      <c r="C3173" s="245"/>
      <c r="D3173" s="245"/>
      <c r="E3173" s="245"/>
      <c r="F3173" s="245"/>
      <c r="G3173" s="245"/>
      <c r="H3173" s="245"/>
      <c r="I3173" s="245"/>
      <c r="J3173" s="245"/>
      <c r="K3173" s="245"/>
      <c r="L3173" s="246"/>
      <c r="M3173" s="245"/>
      <c r="N3173" s="245"/>
      <c r="O3173" s="245"/>
      <c r="P3173" s="245"/>
      <c r="Q3173" s="247"/>
      <c r="R3173" s="247"/>
      <c r="S3173" s="247"/>
      <c r="T3173" s="245"/>
      <c r="U3173" s="245"/>
      <c r="V3173" s="241"/>
      <c r="W3173" s="241"/>
      <c r="X3173" s="241"/>
    </row>
    <row r="3174" spans="1:24" ht="13.5" customHeight="1" x14ac:dyDescent="0.3">
      <c r="A3174" s="245"/>
      <c r="B3174" s="246"/>
      <c r="C3174" s="245"/>
      <c r="D3174" s="245"/>
      <c r="E3174" s="245"/>
      <c r="F3174" s="245"/>
      <c r="G3174" s="245"/>
      <c r="H3174" s="245"/>
      <c r="I3174" s="245"/>
      <c r="J3174" s="245"/>
      <c r="K3174" s="245"/>
      <c r="L3174" s="246"/>
      <c r="M3174" s="245"/>
      <c r="N3174" s="245"/>
      <c r="O3174" s="245"/>
      <c r="P3174" s="245"/>
      <c r="Q3174" s="247"/>
      <c r="R3174" s="247"/>
      <c r="S3174" s="247"/>
      <c r="T3174" s="245"/>
      <c r="U3174" s="245"/>
      <c r="V3174" s="241"/>
      <c r="W3174" s="241"/>
      <c r="X3174" s="241"/>
    </row>
    <row r="3175" spans="1:24" ht="13.5" customHeight="1" x14ac:dyDescent="0.3">
      <c r="A3175" s="245"/>
      <c r="B3175" s="246"/>
      <c r="C3175" s="245"/>
      <c r="D3175" s="245"/>
      <c r="E3175" s="245"/>
      <c r="F3175" s="245"/>
      <c r="G3175" s="245"/>
      <c r="H3175" s="245"/>
      <c r="I3175" s="245"/>
      <c r="J3175" s="245"/>
      <c r="K3175" s="245"/>
      <c r="L3175" s="246"/>
      <c r="M3175" s="245"/>
      <c r="N3175" s="245"/>
      <c r="O3175" s="245"/>
      <c r="P3175" s="245"/>
      <c r="Q3175" s="247"/>
      <c r="R3175" s="247"/>
      <c r="S3175" s="247"/>
      <c r="T3175" s="245"/>
      <c r="U3175" s="245"/>
      <c r="V3175" s="241"/>
      <c r="W3175" s="241"/>
      <c r="X3175" s="241"/>
    </row>
    <row r="3176" spans="1:24" ht="13.5" customHeight="1" x14ac:dyDescent="0.3">
      <c r="A3176" s="245"/>
      <c r="B3176" s="246"/>
      <c r="C3176" s="245"/>
      <c r="D3176" s="245"/>
      <c r="E3176" s="245"/>
      <c r="F3176" s="245"/>
      <c r="G3176" s="245"/>
      <c r="H3176" s="245"/>
      <c r="I3176" s="245"/>
      <c r="J3176" s="245"/>
      <c r="K3176" s="245"/>
      <c r="L3176" s="246"/>
      <c r="M3176" s="245"/>
      <c r="N3176" s="245"/>
      <c r="O3176" s="245"/>
      <c r="P3176" s="245"/>
      <c r="Q3176" s="247"/>
      <c r="R3176" s="247"/>
      <c r="S3176" s="247"/>
      <c r="T3176" s="245"/>
      <c r="U3176" s="245"/>
      <c r="V3176" s="241"/>
      <c r="W3176" s="241"/>
      <c r="X3176" s="241"/>
    </row>
    <row r="3177" spans="1:24" ht="13.5" customHeight="1" x14ac:dyDescent="0.3">
      <c r="A3177" s="245"/>
      <c r="B3177" s="246"/>
      <c r="C3177" s="245"/>
      <c r="D3177" s="245"/>
      <c r="E3177" s="245"/>
      <c r="F3177" s="245"/>
      <c r="G3177" s="245"/>
      <c r="H3177" s="245"/>
      <c r="I3177" s="245"/>
      <c r="J3177" s="245"/>
      <c r="K3177" s="245"/>
      <c r="L3177" s="246"/>
      <c r="M3177" s="245"/>
      <c r="N3177" s="245"/>
      <c r="O3177" s="245"/>
      <c r="P3177" s="245"/>
      <c r="Q3177" s="247"/>
      <c r="R3177" s="247"/>
      <c r="S3177" s="247"/>
      <c r="T3177" s="245"/>
      <c r="U3177" s="245"/>
      <c r="V3177" s="241"/>
      <c r="W3177" s="241"/>
      <c r="X3177" s="241"/>
    </row>
    <row r="3178" spans="1:24" ht="13.5" customHeight="1" x14ac:dyDescent="0.3">
      <c r="A3178" s="245"/>
      <c r="B3178" s="246"/>
      <c r="C3178" s="245"/>
      <c r="D3178" s="245"/>
      <c r="E3178" s="245"/>
      <c r="F3178" s="245"/>
      <c r="G3178" s="245"/>
      <c r="H3178" s="245"/>
      <c r="I3178" s="245"/>
      <c r="J3178" s="245"/>
      <c r="K3178" s="245"/>
      <c r="L3178" s="246"/>
      <c r="M3178" s="245"/>
      <c r="N3178" s="245"/>
      <c r="O3178" s="245"/>
      <c r="P3178" s="245"/>
      <c r="Q3178" s="247"/>
      <c r="R3178" s="247"/>
      <c r="S3178" s="247"/>
      <c r="T3178" s="245"/>
      <c r="U3178" s="245"/>
      <c r="V3178" s="241"/>
      <c r="W3178" s="241"/>
      <c r="X3178" s="241"/>
    </row>
    <row r="3179" spans="1:24" ht="13.5" customHeight="1" x14ac:dyDescent="0.3">
      <c r="A3179" s="245"/>
      <c r="B3179" s="246"/>
      <c r="C3179" s="245"/>
      <c r="D3179" s="245"/>
      <c r="E3179" s="245"/>
      <c r="F3179" s="245"/>
      <c r="G3179" s="245"/>
      <c r="H3179" s="245"/>
      <c r="I3179" s="245"/>
      <c r="J3179" s="245"/>
      <c r="K3179" s="245"/>
      <c r="L3179" s="246"/>
      <c r="M3179" s="245"/>
      <c r="N3179" s="245"/>
      <c r="O3179" s="245"/>
      <c r="P3179" s="245"/>
      <c r="Q3179" s="247"/>
      <c r="R3179" s="247"/>
      <c r="S3179" s="247"/>
      <c r="T3179" s="245"/>
      <c r="U3179" s="245"/>
      <c r="V3179" s="241"/>
      <c r="W3179" s="241"/>
      <c r="X3179" s="241"/>
    </row>
    <row r="3180" spans="1:24" ht="13.5" customHeight="1" x14ac:dyDescent="0.3">
      <c r="A3180" s="245"/>
      <c r="B3180" s="246"/>
      <c r="C3180" s="245"/>
      <c r="D3180" s="245"/>
      <c r="E3180" s="245"/>
      <c r="F3180" s="245"/>
      <c r="G3180" s="245"/>
      <c r="H3180" s="245"/>
      <c r="I3180" s="245"/>
      <c r="J3180" s="245"/>
      <c r="K3180" s="245"/>
      <c r="L3180" s="246"/>
      <c r="M3180" s="245"/>
      <c r="N3180" s="245"/>
      <c r="O3180" s="245"/>
      <c r="P3180" s="245"/>
      <c r="Q3180" s="247"/>
      <c r="R3180" s="247"/>
      <c r="S3180" s="247"/>
      <c r="T3180" s="245"/>
      <c r="U3180" s="245"/>
      <c r="V3180" s="241"/>
      <c r="W3180" s="241"/>
      <c r="X3180" s="241"/>
    </row>
    <row r="3181" spans="1:24" ht="13.5" customHeight="1" x14ac:dyDescent="0.3">
      <c r="A3181" s="245"/>
      <c r="B3181" s="246"/>
      <c r="C3181" s="245"/>
      <c r="D3181" s="245"/>
      <c r="E3181" s="245"/>
      <c r="F3181" s="245"/>
      <c r="G3181" s="245"/>
      <c r="H3181" s="245"/>
      <c r="I3181" s="245"/>
      <c r="J3181" s="245"/>
      <c r="K3181" s="245"/>
      <c r="L3181" s="246"/>
      <c r="M3181" s="245"/>
      <c r="N3181" s="245"/>
      <c r="O3181" s="245"/>
      <c r="P3181" s="245"/>
      <c r="Q3181" s="247"/>
      <c r="R3181" s="247"/>
      <c r="S3181" s="247"/>
      <c r="T3181" s="245"/>
      <c r="U3181" s="245"/>
      <c r="V3181" s="241"/>
      <c r="W3181" s="241"/>
      <c r="X3181" s="241"/>
    </row>
    <row r="3182" spans="1:24" ht="13.5" customHeight="1" x14ac:dyDescent="0.3">
      <c r="A3182" s="245"/>
      <c r="B3182" s="246"/>
      <c r="C3182" s="245"/>
      <c r="D3182" s="245"/>
      <c r="E3182" s="245"/>
      <c r="F3182" s="245"/>
      <c r="G3182" s="245"/>
      <c r="H3182" s="245"/>
      <c r="I3182" s="245"/>
      <c r="J3182" s="245"/>
      <c r="K3182" s="245"/>
      <c r="L3182" s="246"/>
      <c r="M3182" s="245"/>
      <c r="N3182" s="245"/>
      <c r="O3182" s="245"/>
      <c r="P3182" s="245"/>
      <c r="Q3182" s="247"/>
      <c r="R3182" s="247"/>
      <c r="S3182" s="247"/>
      <c r="T3182" s="245"/>
      <c r="U3182" s="245"/>
      <c r="V3182" s="241"/>
      <c r="W3182" s="241"/>
      <c r="X3182" s="241"/>
    </row>
    <row r="3183" spans="1:24" ht="13.5" customHeight="1" x14ac:dyDescent="0.3">
      <c r="A3183" s="245"/>
      <c r="B3183" s="246"/>
      <c r="C3183" s="245"/>
      <c r="D3183" s="245"/>
      <c r="E3183" s="245"/>
      <c r="F3183" s="245"/>
      <c r="G3183" s="245"/>
      <c r="H3183" s="245"/>
      <c r="I3183" s="245"/>
      <c r="J3183" s="245"/>
      <c r="K3183" s="245"/>
      <c r="L3183" s="246"/>
      <c r="M3183" s="245"/>
      <c r="N3183" s="245"/>
      <c r="O3183" s="245"/>
      <c r="P3183" s="245"/>
      <c r="Q3183" s="247"/>
      <c r="R3183" s="247"/>
      <c r="S3183" s="247"/>
      <c r="T3183" s="245"/>
      <c r="U3183" s="245"/>
      <c r="V3183" s="241"/>
      <c r="W3183" s="241"/>
      <c r="X3183" s="241"/>
    </row>
    <row r="3184" spans="1:24" ht="13.5" customHeight="1" x14ac:dyDescent="0.3">
      <c r="A3184" s="245"/>
      <c r="B3184" s="246"/>
      <c r="C3184" s="245"/>
      <c r="D3184" s="245"/>
      <c r="E3184" s="245"/>
      <c r="F3184" s="245"/>
      <c r="G3184" s="245"/>
      <c r="H3184" s="245"/>
      <c r="I3184" s="245"/>
      <c r="J3184" s="245"/>
      <c r="K3184" s="245"/>
      <c r="L3184" s="246"/>
      <c r="M3184" s="245"/>
      <c r="N3184" s="245"/>
      <c r="O3184" s="245"/>
      <c r="P3184" s="245"/>
      <c r="Q3184" s="247"/>
      <c r="R3184" s="247"/>
      <c r="S3184" s="247"/>
      <c r="T3184" s="245"/>
      <c r="U3184" s="245"/>
      <c r="V3184" s="241"/>
      <c r="W3184" s="241"/>
      <c r="X3184" s="241"/>
    </row>
    <row r="3185" spans="1:24" ht="13.5" customHeight="1" x14ac:dyDescent="0.3">
      <c r="A3185" s="245"/>
      <c r="B3185" s="246"/>
      <c r="C3185" s="245"/>
      <c r="D3185" s="245"/>
      <c r="E3185" s="245"/>
      <c r="F3185" s="245"/>
      <c r="G3185" s="245"/>
      <c r="H3185" s="245"/>
      <c r="I3185" s="245"/>
      <c r="J3185" s="245"/>
      <c r="K3185" s="245"/>
      <c r="L3185" s="246"/>
      <c r="M3185" s="245"/>
      <c r="N3185" s="245"/>
      <c r="O3185" s="245"/>
      <c r="P3185" s="245"/>
      <c r="Q3185" s="247"/>
      <c r="R3185" s="247"/>
      <c r="S3185" s="247"/>
      <c r="T3185" s="245"/>
      <c r="U3185" s="245"/>
      <c r="V3185" s="241"/>
      <c r="W3185" s="241"/>
      <c r="X3185" s="241"/>
    </row>
    <row r="3186" spans="1:24" ht="13.5" customHeight="1" x14ac:dyDescent="0.3">
      <c r="A3186" s="245"/>
      <c r="B3186" s="246"/>
      <c r="C3186" s="245"/>
      <c r="D3186" s="245"/>
      <c r="E3186" s="245"/>
      <c r="F3186" s="245"/>
      <c r="G3186" s="245"/>
      <c r="H3186" s="245"/>
      <c r="I3186" s="245"/>
      <c r="J3186" s="245"/>
      <c r="K3186" s="245"/>
      <c r="L3186" s="246"/>
      <c r="M3186" s="245"/>
      <c r="N3186" s="245"/>
      <c r="O3186" s="245"/>
      <c r="P3186" s="245"/>
      <c r="Q3186" s="247"/>
      <c r="R3186" s="247"/>
      <c r="S3186" s="247"/>
      <c r="T3186" s="245"/>
      <c r="U3186" s="245"/>
      <c r="V3186" s="241"/>
      <c r="W3186" s="241"/>
      <c r="X3186" s="241"/>
    </row>
    <row r="3187" spans="1:24" ht="13.5" customHeight="1" x14ac:dyDescent="0.3">
      <c r="A3187" s="245"/>
      <c r="B3187" s="246"/>
      <c r="C3187" s="245"/>
      <c r="D3187" s="245"/>
      <c r="E3187" s="245"/>
      <c r="F3187" s="245"/>
      <c r="G3187" s="245"/>
      <c r="H3187" s="245"/>
      <c r="I3187" s="245"/>
      <c r="J3187" s="245"/>
      <c r="K3187" s="245"/>
      <c r="L3187" s="246"/>
      <c r="M3187" s="245"/>
      <c r="N3187" s="245"/>
      <c r="O3187" s="245"/>
      <c r="P3187" s="245"/>
      <c r="Q3187" s="247"/>
      <c r="R3187" s="247"/>
      <c r="S3187" s="247"/>
      <c r="T3187" s="245"/>
      <c r="U3187" s="245"/>
      <c r="V3187" s="241"/>
      <c r="W3187" s="241"/>
      <c r="X3187" s="241"/>
    </row>
    <row r="3188" spans="1:24" ht="13.5" customHeight="1" x14ac:dyDescent="0.3">
      <c r="A3188" s="245"/>
      <c r="B3188" s="246"/>
      <c r="C3188" s="245"/>
      <c r="D3188" s="245"/>
      <c r="E3188" s="245"/>
      <c r="F3188" s="245"/>
      <c r="G3188" s="245"/>
      <c r="H3188" s="245"/>
      <c r="I3188" s="245"/>
      <c r="J3188" s="245"/>
      <c r="K3188" s="245"/>
      <c r="L3188" s="246"/>
      <c r="M3188" s="245"/>
      <c r="N3188" s="245"/>
      <c r="O3188" s="245"/>
      <c r="P3188" s="245"/>
      <c r="Q3188" s="247"/>
      <c r="R3188" s="247"/>
      <c r="S3188" s="247"/>
      <c r="T3188" s="245"/>
      <c r="U3188" s="245"/>
      <c r="V3188" s="241"/>
      <c r="W3188" s="241"/>
      <c r="X3188" s="241"/>
    </row>
    <row r="3189" spans="1:24" ht="13.5" customHeight="1" x14ac:dyDescent="0.3">
      <c r="A3189" s="245"/>
      <c r="B3189" s="246"/>
      <c r="C3189" s="245"/>
      <c r="D3189" s="245"/>
      <c r="E3189" s="245"/>
      <c r="F3189" s="245"/>
      <c r="G3189" s="245"/>
      <c r="H3189" s="245"/>
      <c r="I3189" s="245"/>
      <c r="J3189" s="245"/>
      <c r="K3189" s="245"/>
      <c r="L3189" s="246"/>
      <c r="M3189" s="245"/>
      <c r="N3189" s="245"/>
      <c r="O3189" s="245"/>
      <c r="P3189" s="245"/>
      <c r="Q3189" s="247"/>
      <c r="R3189" s="247"/>
      <c r="S3189" s="247"/>
      <c r="T3189" s="245"/>
      <c r="U3189" s="245"/>
      <c r="V3189" s="241"/>
      <c r="W3189" s="241"/>
      <c r="X3189" s="241"/>
    </row>
    <row r="3190" spans="1:24" ht="13.5" customHeight="1" x14ac:dyDescent="0.3">
      <c r="A3190" s="245"/>
      <c r="B3190" s="246"/>
      <c r="C3190" s="245"/>
      <c r="D3190" s="245"/>
      <c r="E3190" s="245"/>
      <c r="F3190" s="245"/>
      <c r="G3190" s="245"/>
      <c r="H3190" s="245"/>
      <c r="I3190" s="245"/>
      <c r="J3190" s="245"/>
      <c r="K3190" s="245"/>
      <c r="L3190" s="246"/>
      <c r="M3190" s="245"/>
      <c r="N3190" s="245"/>
      <c r="O3190" s="245"/>
      <c r="P3190" s="245"/>
      <c r="Q3190" s="247"/>
      <c r="R3190" s="247"/>
      <c r="S3190" s="247"/>
      <c r="T3190" s="245"/>
      <c r="U3190" s="245"/>
      <c r="V3190" s="241"/>
      <c r="W3190" s="241"/>
      <c r="X3190" s="241"/>
    </row>
    <row r="3191" spans="1:24" ht="13.5" customHeight="1" x14ac:dyDescent="0.3">
      <c r="A3191" s="245"/>
      <c r="B3191" s="246"/>
      <c r="C3191" s="245"/>
      <c r="D3191" s="245"/>
      <c r="E3191" s="245"/>
      <c r="F3191" s="245"/>
      <c r="G3191" s="245"/>
      <c r="H3191" s="245"/>
      <c r="I3191" s="245"/>
      <c r="J3191" s="245"/>
      <c r="K3191" s="245"/>
      <c r="L3191" s="246"/>
      <c r="M3191" s="245"/>
      <c r="N3191" s="245"/>
      <c r="O3191" s="245"/>
      <c r="P3191" s="245"/>
      <c r="Q3191" s="247"/>
      <c r="R3191" s="247"/>
      <c r="S3191" s="247"/>
      <c r="T3191" s="245"/>
      <c r="U3191" s="245"/>
      <c r="V3191" s="241"/>
      <c r="W3191" s="241"/>
      <c r="X3191" s="241"/>
    </row>
    <row r="3192" spans="1:24" ht="13.5" customHeight="1" x14ac:dyDescent="0.3">
      <c r="A3192" s="245"/>
      <c r="B3192" s="246"/>
      <c r="C3192" s="245"/>
      <c r="D3192" s="245"/>
      <c r="E3192" s="245"/>
      <c r="F3192" s="245"/>
      <c r="G3192" s="245"/>
      <c r="H3192" s="245"/>
      <c r="I3192" s="245"/>
      <c r="J3192" s="245"/>
      <c r="K3192" s="245"/>
      <c r="L3192" s="246"/>
      <c r="M3192" s="245"/>
      <c r="N3192" s="245"/>
      <c r="O3192" s="245"/>
      <c r="P3192" s="245"/>
      <c r="Q3192" s="247"/>
      <c r="R3192" s="247"/>
      <c r="S3192" s="247"/>
      <c r="T3192" s="245"/>
      <c r="U3192" s="245"/>
      <c r="V3192" s="241"/>
      <c r="W3192" s="241"/>
      <c r="X3192" s="241"/>
    </row>
    <row r="3193" spans="1:24" ht="13.5" customHeight="1" x14ac:dyDescent="0.3">
      <c r="A3193" s="245"/>
      <c r="B3193" s="246"/>
      <c r="C3193" s="245"/>
      <c r="D3193" s="245"/>
      <c r="E3193" s="245"/>
      <c r="F3193" s="245"/>
      <c r="G3193" s="245"/>
      <c r="H3193" s="245"/>
      <c r="I3193" s="245"/>
      <c r="J3193" s="245"/>
      <c r="K3193" s="245"/>
      <c r="L3193" s="246"/>
      <c r="M3193" s="245"/>
      <c r="N3193" s="245"/>
      <c r="O3193" s="245"/>
      <c r="P3193" s="245"/>
      <c r="Q3193" s="247"/>
      <c r="R3193" s="247"/>
      <c r="S3193" s="247"/>
      <c r="T3193" s="245"/>
      <c r="U3193" s="245"/>
      <c r="V3193" s="241"/>
      <c r="W3193" s="241"/>
      <c r="X3193" s="241"/>
    </row>
    <row r="3194" spans="1:24" ht="13.5" customHeight="1" x14ac:dyDescent="0.3">
      <c r="A3194" s="245"/>
      <c r="B3194" s="246"/>
      <c r="C3194" s="245"/>
      <c r="D3194" s="245"/>
      <c r="E3194" s="245"/>
      <c r="F3194" s="245"/>
      <c r="G3194" s="245"/>
      <c r="H3194" s="245"/>
      <c r="I3194" s="245"/>
      <c r="J3194" s="245"/>
      <c r="K3194" s="245"/>
      <c r="L3194" s="246"/>
      <c r="M3194" s="245"/>
      <c r="N3194" s="245"/>
      <c r="O3194" s="245"/>
      <c r="P3194" s="245"/>
      <c r="Q3194" s="247"/>
      <c r="R3194" s="247"/>
      <c r="S3194" s="247"/>
      <c r="T3194" s="245"/>
      <c r="U3194" s="245"/>
      <c r="V3194" s="241"/>
      <c r="W3194" s="241"/>
      <c r="X3194" s="241"/>
    </row>
    <row r="3195" spans="1:24" ht="13.5" customHeight="1" x14ac:dyDescent="0.3">
      <c r="A3195" s="245"/>
      <c r="B3195" s="246"/>
      <c r="C3195" s="245"/>
      <c r="D3195" s="245"/>
      <c r="E3195" s="245"/>
      <c r="F3195" s="245"/>
      <c r="G3195" s="245"/>
      <c r="H3195" s="245"/>
      <c r="I3195" s="245"/>
      <c r="J3195" s="245"/>
      <c r="K3195" s="245"/>
      <c r="L3195" s="246"/>
      <c r="M3195" s="245"/>
      <c r="N3195" s="245"/>
      <c r="O3195" s="245"/>
      <c r="P3195" s="245"/>
      <c r="Q3195" s="247"/>
      <c r="R3195" s="247"/>
      <c r="S3195" s="247"/>
      <c r="T3195" s="245"/>
      <c r="U3195" s="245"/>
      <c r="V3195" s="241"/>
      <c r="W3195" s="241"/>
      <c r="X3195" s="241"/>
    </row>
    <row r="3196" spans="1:24" ht="13.5" customHeight="1" x14ac:dyDescent="0.3">
      <c r="A3196" s="245"/>
      <c r="B3196" s="246"/>
      <c r="C3196" s="245"/>
      <c r="D3196" s="245"/>
      <c r="E3196" s="245"/>
      <c r="F3196" s="245"/>
      <c r="G3196" s="245"/>
      <c r="H3196" s="245"/>
      <c r="I3196" s="245"/>
      <c r="J3196" s="245"/>
      <c r="K3196" s="245"/>
      <c r="L3196" s="246"/>
      <c r="M3196" s="245"/>
      <c r="N3196" s="245"/>
      <c r="O3196" s="245"/>
      <c r="P3196" s="245"/>
      <c r="Q3196" s="247"/>
      <c r="R3196" s="247"/>
      <c r="S3196" s="247"/>
      <c r="T3196" s="245"/>
      <c r="U3196" s="245"/>
      <c r="V3196" s="241"/>
      <c r="W3196" s="241"/>
      <c r="X3196" s="241"/>
    </row>
    <row r="3197" spans="1:24" ht="13.5" customHeight="1" x14ac:dyDescent="0.3">
      <c r="A3197" s="245"/>
      <c r="B3197" s="246"/>
      <c r="C3197" s="245"/>
      <c r="D3197" s="245"/>
      <c r="E3197" s="245"/>
      <c r="F3197" s="245"/>
      <c r="G3197" s="245"/>
      <c r="H3197" s="245"/>
      <c r="I3197" s="245"/>
      <c r="J3197" s="245"/>
      <c r="K3197" s="245"/>
      <c r="L3197" s="246"/>
      <c r="M3197" s="245"/>
      <c r="N3197" s="245"/>
      <c r="O3197" s="245"/>
      <c r="P3197" s="245"/>
      <c r="Q3197" s="247"/>
      <c r="R3197" s="247"/>
      <c r="S3197" s="247"/>
      <c r="T3197" s="245"/>
      <c r="U3197" s="245"/>
      <c r="V3197" s="241"/>
      <c r="W3197" s="241"/>
      <c r="X3197" s="241"/>
    </row>
    <row r="3198" spans="1:24" ht="13.5" customHeight="1" x14ac:dyDescent="0.3">
      <c r="A3198" s="245"/>
      <c r="B3198" s="246"/>
      <c r="C3198" s="245"/>
      <c r="D3198" s="245"/>
      <c r="E3198" s="245"/>
      <c r="F3198" s="245"/>
      <c r="G3198" s="245"/>
      <c r="H3198" s="245"/>
      <c r="I3198" s="245"/>
      <c r="J3198" s="245"/>
      <c r="K3198" s="245"/>
      <c r="L3198" s="246"/>
      <c r="M3198" s="245"/>
      <c r="N3198" s="245"/>
      <c r="O3198" s="245"/>
      <c r="P3198" s="245"/>
      <c r="Q3198" s="247"/>
      <c r="R3198" s="247"/>
      <c r="S3198" s="247"/>
      <c r="T3198" s="245"/>
      <c r="U3198" s="245"/>
      <c r="V3198" s="241"/>
      <c r="W3198" s="241"/>
      <c r="X3198" s="241"/>
    </row>
    <row r="3199" spans="1:24" ht="13.5" customHeight="1" x14ac:dyDescent="0.3">
      <c r="A3199" s="245"/>
      <c r="B3199" s="246"/>
      <c r="C3199" s="245"/>
      <c r="D3199" s="245"/>
      <c r="E3199" s="245"/>
      <c r="F3199" s="245"/>
      <c r="G3199" s="245"/>
      <c r="H3199" s="245"/>
      <c r="I3199" s="245"/>
      <c r="J3199" s="245"/>
      <c r="K3199" s="245"/>
      <c r="L3199" s="246"/>
      <c r="M3199" s="245"/>
      <c r="N3199" s="245"/>
      <c r="O3199" s="245"/>
      <c r="P3199" s="245"/>
      <c r="Q3199" s="247"/>
      <c r="R3199" s="247"/>
      <c r="S3199" s="247"/>
      <c r="T3199" s="245"/>
      <c r="U3199" s="245"/>
      <c r="V3199" s="241"/>
      <c r="W3199" s="241"/>
      <c r="X3199" s="241"/>
    </row>
    <row r="3200" spans="1:24" ht="13.5" customHeight="1" x14ac:dyDescent="0.3">
      <c r="A3200" s="245"/>
      <c r="B3200" s="246"/>
      <c r="C3200" s="245"/>
      <c r="D3200" s="245"/>
      <c r="E3200" s="245"/>
      <c r="F3200" s="245"/>
      <c r="G3200" s="245"/>
      <c r="H3200" s="245"/>
      <c r="I3200" s="245"/>
      <c r="J3200" s="245"/>
      <c r="K3200" s="245"/>
      <c r="L3200" s="246"/>
      <c r="M3200" s="245"/>
      <c r="N3200" s="245"/>
      <c r="O3200" s="245"/>
      <c r="P3200" s="245"/>
      <c r="Q3200" s="247"/>
      <c r="R3200" s="247"/>
      <c r="S3200" s="247"/>
      <c r="T3200" s="245"/>
      <c r="U3200" s="245"/>
      <c r="V3200" s="241"/>
      <c r="W3200" s="241"/>
      <c r="X3200" s="241"/>
    </row>
    <row r="3201" spans="1:24" ht="13.5" customHeight="1" x14ac:dyDescent="0.3">
      <c r="A3201" s="245"/>
      <c r="B3201" s="246"/>
      <c r="C3201" s="245"/>
      <c r="D3201" s="245"/>
      <c r="E3201" s="245"/>
      <c r="F3201" s="245"/>
      <c r="G3201" s="245"/>
      <c r="H3201" s="245"/>
      <c r="I3201" s="245"/>
      <c r="J3201" s="245"/>
      <c r="K3201" s="245"/>
      <c r="L3201" s="246"/>
      <c r="M3201" s="245"/>
      <c r="N3201" s="245"/>
      <c r="O3201" s="245"/>
      <c r="P3201" s="245"/>
      <c r="Q3201" s="247"/>
      <c r="R3201" s="247"/>
      <c r="S3201" s="247"/>
      <c r="T3201" s="245"/>
      <c r="U3201" s="245"/>
      <c r="V3201" s="241"/>
      <c r="W3201" s="241"/>
      <c r="X3201" s="241"/>
    </row>
    <row r="3202" spans="1:24" ht="13.5" customHeight="1" x14ac:dyDescent="0.3">
      <c r="A3202" s="245"/>
      <c r="B3202" s="246"/>
      <c r="C3202" s="245"/>
      <c r="D3202" s="245"/>
      <c r="E3202" s="245"/>
      <c r="F3202" s="245"/>
      <c r="G3202" s="245"/>
      <c r="H3202" s="245"/>
      <c r="I3202" s="245"/>
      <c r="J3202" s="245"/>
      <c r="K3202" s="245"/>
      <c r="L3202" s="246"/>
      <c r="M3202" s="245"/>
      <c r="N3202" s="245"/>
      <c r="O3202" s="245"/>
      <c r="P3202" s="245"/>
      <c r="Q3202" s="247"/>
      <c r="R3202" s="247"/>
      <c r="S3202" s="247"/>
      <c r="T3202" s="245"/>
      <c r="U3202" s="245"/>
      <c r="V3202" s="241"/>
      <c r="W3202" s="241"/>
      <c r="X3202" s="241"/>
    </row>
    <row r="3203" spans="1:24" ht="13.5" customHeight="1" x14ac:dyDescent="0.3">
      <c r="A3203" s="245"/>
      <c r="B3203" s="246"/>
      <c r="C3203" s="245"/>
      <c r="D3203" s="245"/>
      <c r="E3203" s="245"/>
      <c r="F3203" s="245"/>
      <c r="G3203" s="245"/>
      <c r="H3203" s="245"/>
      <c r="I3203" s="245"/>
      <c r="J3203" s="245"/>
      <c r="K3203" s="245"/>
      <c r="L3203" s="246"/>
      <c r="M3203" s="245"/>
      <c r="N3203" s="245"/>
      <c r="O3203" s="245"/>
      <c r="P3203" s="245"/>
      <c r="Q3203" s="247"/>
      <c r="R3203" s="247"/>
      <c r="S3203" s="247"/>
      <c r="T3203" s="245"/>
      <c r="U3203" s="245"/>
      <c r="V3203" s="241"/>
      <c r="W3203" s="241"/>
      <c r="X3203" s="241"/>
    </row>
    <row r="3204" spans="1:24" ht="13.5" customHeight="1" x14ac:dyDescent="0.3">
      <c r="A3204" s="245"/>
      <c r="B3204" s="246"/>
      <c r="C3204" s="245"/>
      <c r="D3204" s="245"/>
      <c r="E3204" s="245"/>
      <c r="F3204" s="245"/>
      <c r="G3204" s="245"/>
      <c r="H3204" s="245"/>
      <c r="I3204" s="245"/>
      <c r="J3204" s="245"/>
      <c r="K3204" s="245"/>
      <c r="L3204" s="246"/>
      <c r="M3204" s="245"/>
      <c r="N3204" s="245"/>
      <c r="O3204" s="245"/>
      <c r="P3204" s="245"/>
      <c r="Q3204" s="247"/>
      <c r="R3204" s="247"/>
      <c r="S3204" s="247"/>
      <c r="T3204" s="245"/>
      <c r="U3204" s="245"/>
      <c r="V3204" s="241"/>
      <c r="W3204" s="241"/>
      <c r="X3204" s="241"/>
    </row>
    <row r="3205" spans="1:24" ht="13.5" customHeight="1" x14ac:dyDescent="0.3">
      <c r="A3205" s="245"/>
      <c r="B3205" s="246"/>
      <c r="C3205" s="245"/>
      <c r="D3205" s="245"/>
      <c r="E3205" s="245"/>
      <c r="F3205" s="245"/>
      <c r="G3205" s="245"/>
      <c r="H3205" s="245"/>
      <c r="I3205" s="245"/>
      <c r="J3205" s="245"/>
      <c r="K3205" s="245"/>
      <c r="L3205" s="246"/>
      <c r="M3205" s="245"/>
      <c r="N3205" s="245"/>
      <c r="O3205" s="245"/>
      <c r="P3205" s="245"/>
      <c r="Q3205" s="247"/>
      <c r="R3205" s="247"/>
      <c r="S3205" s="247"/>
      <c r="T3205" s="245"/>
      <c r="U3205" s="245"/>
      <c r="V3205" s="241"/>
      <c r="W3205" s="241"/>
      <c r="X3205" s="241"/>
    </row>
    <row r="3206" spans="1:24" ht="13.5" customHeight="1" x14ac:dyDescent="0.3">
      <c r="A3206" s="245"/>
      <c r="B3206" s="246"/>
      <c r="C3206" s="245"/>
      <c r="D3206" s="245"/>
      <c r="E3206" s="245"/>
      <c r="F3206" s="245"/>
      <c r="G3206" s="245"/>
      <c r="H3206" s="245"/>
      <c r="I3206" s="245"/>
      <c r="J3206" s="245"/>
      <c r="K3206" s="245"/>
      <c r="L3206" s="246"/>
      <c r="M3206" s="245"/>
      <c r="N3206" s="245"/>
      <c r="O3206" s="245"/>
      <c r="P3206" s="245"/>
      <c r="Q3206" s="247"/>
      <c r="R3206" s="247"/>
      <c r="S3206" s="247"/>
      <c r="T3206" s="245"/>
      <c r="U3206" s="245"/>
      <c r="V3206" s="241"/>
      <c r="W3206" s="241"/>
      <c r="X3206" s="241"/>
    </row>
    <row r="3207" spans="1:24" ht="13.5" customHeight="1" x14ac:dyDescent="0.3">
      <c r="A3207" s="245"/>
      <c r="B3207" s="246"/>
      <c r="C3207" s="245"/>
      <c r="D3207" s="245"/>
      <c r="E3207" s="245"/>
      <c r="F3207" s="245"/>
      <c r="G3207" s="245"/>
      <c r="H3207" s="245"/>
      <c r="I3207" s="245"/>
      <c r="J3207" s="245"/>
      <c r="K3207" s="245"/>
      <c r="L3207" s="246"/>
      <c r="M3207" s="245"/>
      <c r="N3207" s="245"/>
      <c r="O3207" s="245"/>
      <c r="P3207" s="245"/>
      <c r="Q3207" s="247"/>
      <c r="R3207" s="247"/>
      <c r="S3207" s="247"/>
      <c r="T3207" s="245"/>
      <c r="U3207" s="245"/>
      <c r="V3207" s="241"/>
      <c r="W3207" s="241"/>
      <c r="X3207" s="241"/>
    </row>
    <row r="3208" spans="1:24" ht="13.5" customHeight="1" x14ac:dyDescent="0.3">
      <c r="A3208" s="245"/>
      <c r="B3208" s="246"/>
      <c r="C3208" s="245"/>
      <c r="D3208" s="245"/>
      <c r="E3208" s="245"/>
      <c r="F3208" s="245"/>
      <c r="G3208" s="245"/>
      <c r="H3208" s="245"/>
      <c r="I3208" s="245"/>
      <c r="J3208" s="245"/>
      <c r="K3208" s="245"/>
      <c r="L3208" s="246"/>
      <c r="M3208" s="245"/>
      <c r="N3208" s="245"/>
      <c r="O3208" s="245"/>
      <c r="P3208" s="245"/>
      <c r="Q3208" s="247"/>
      <c r="R3208" s="247"/>
      <c r="S3208" s="247"/>
      <c r="T3208" s="245"/>
      <c r="U3208" s="245"/>
      <c r="V3208" s="241"/>
      <c r="W3208" s="241"/>
      <c r="X3208" s="241"/>
    </row>
    <row r="3209" spans="1:24" ht="13.5" customHeight="1" x14ac:dyDescent="0.3">
      <c r="A3209" s="245"/>
      <c r="B3209" s="246"/>
      <c r="C3209" s="245"/>
      <c r="D3209" s="245"/>
      <c r="E3209" s="245"/>
      <c r="F3209" s="245"/>
      <c r="G3209" s="245"/>
      <c r="H3209" s="245"/>
      <c r="I3209" s="245"/>
      <c r="J3209" s="245"/>
      <c r="K3209" s="245"/>
      <c r="L3209" s="246"/>
      <c r="M3209" s="245"/>
      <c r="N3209" s="245"/>
      <c r="O3209" s="245"/>
      <c r="P3209" s="245"/>
      <c r="Q3209" s="247"/>
      <c r="R3209" s="247"/>
      <c r="S3209" s="247"/>
      <c r="T3209" s="245"/>
      <c r="U3209" s="245"/>
      <c r="V3209" s="241"/>
      <c r="W3209" s="241"/>
      <c r="X3209" s="241"/>
    </row>
    <row r="3210" spans="1:24" ht="13.5" customHeight="1" x14ac:dyDescent="0.3">
      <c r="A3210" s="245"/>
      <c r="B3210" s="246"/>
      <c r="C3210" s="245"/>
      <c r="D3210" s="245"/>
      <c r="E3210" s="245"/>
      <c r="F3210" s="245"/>
      <c r="G3210" s="245"/>
      <c r="H3210" s="245"/>
      <c r="I3210" s="245"/>
      <c r="J3210" s="245"/>
      <c r="K3210" s="245"/>
      <c r="L3210" s="246"/>
      <c r="M3210" s="245"/>
      <c r="N3210" s="245"/>
      <c r="O3210" s="245"/>
      <c r="P3210" s="245"/>
      <c r="Q3210" s="247"/>
      <c r="R3210" s="247"/>
      <c r="S3210" s="247"/>
      <c r="T3210" s="245"/>
      <c r="U3210" s="245"/>
      <c r="V3210" s="241"/>
      <c r="W3210" s="241"/>
      <c r="X3210" s="241"/>
    </row>
    <row r="3211" spans="1:24" ht="13.5" customHeight="1" x14ac:dyDescent="0.3">
      <c r="A3211" s="245"/>
      <c r="B3211" s="246"/>
      <c r="C3211" s="245"/>
      <c r="D3211" s="245"/>
      <c r="E3211" s="245"/>
      <c r="F3211" s="245"/>
      <c r="G3211" s="245"/>
      <c r="H3211" s="245"/>
      <c r="I3211" s="245"/>
      <c r="J3211" s="245"/>
      <c r="K3211" s="245"/>
      <c r="L3211" s="246"/>
      <c r="M3211" s="245"/>
      <c r="N3211" s="245"/>
      <c r="O3211" s="245"/>
      <c r="P3211" s="245"/>
      <c r="Q3211" s="247"/>
      <c r="R3211" s="247"/>
      <c r="S3211" s="247"/>
      <c r="T3211" s="245"/>
      <c r="U3211" s="245"/>
      <c r="V3211" s="241"/>
      <c r="W3211" s="241"/>
      <c r="X3211" s="241"/>
    </row>
    <row r="3212" spans="1:24" ht="13.5" customHeight="1" x14ac:dyDescent="0.3">
      <c r="A3212" s="245"/>
      <c r="B3212" s="246"/>
      <c r="C3212" s="245"/>
      <c r="D3212" s="245"/>
      <c r="E3212" s="245"/>
      <c r="F3212" s="245"/>
      <c r="G3212" s="245"/>
      <c r="H3212" s="245"/>
      <c r="I3212" s="245"/>
      <c r="J3212" s="245"/>
      <c r="K3212" s="245"/>
      <c r="L3212" s="246"/>
      <c r="M3212" s="245"/>
      <c r="N3212" s="245"/>
      <c r="O3212" s="245"/>
      <c r="P3212" s="245"/>
      <c r="Q3212" s="247"/>
      <c r="R3212" s="247"/>
      <c r="S3212" s="247"/>
      <c r="T3212" s="245"/>
      <c r="U3212" s="245"/>
      <c r="V3212" s="241"/>
      <c r="W3212" s="241"/>
      <c r="X3212" s="241"/>
    </row>
    <row r="3213" spans="1:24" ht="13.5" customHeight="1" x14ac:dyDescent="0.3">
      <c r="A3213" s="245"/>
      <c r="B3213" s="246"/>
      <c r="C3213" s="245"/>
      <c r="D3213" s="245"/>
      <c r="E3213" s="245"/>
      <c r="F3213" s="245"/>
      <c r="G3213" s="245"/>
      <c r="H3213" s="245"/>
      <c r="I3213" s="245"/>
      <c r="J3213" s="245"/>
      <c r="K3213" s="245"/>
      <c r="L3213" s="246"/>
      <c r="M3213" s="245"/>
      <c r="N3213" s="245"/>
      <c r="O3213" s="245"/>
      <c r="P3213" s="245"/>
      <c r="Q3213" s="247"/>
      <c r="R3213" s="247"/>
      <c r="S3213" s="247"/>
      <c r="T3213" s="245"/>
      <c r="U3213" s="245"/>
      <c r="V3213" s="241"/>
      <c r="W3213" s="241"/>
      <c r="X3213" s="241"/>
    </row>
    <row r="3214" spans="1:24" ht="13.5" customHeight="1" x14ac:dyDescent="0.3">
      <c r="A3214" s="245"/>
      <c r="B3214" s="246"/>
      <c r="C3214" s="245"/>
      <c r="D3214" s="245"/>
      <c r="E3214" s="245"/>
      <c r="F3214" s="245"/>
      <c r="G3214" s="245"/>
      <c r="H3214" s="245"/>
      <c r="I3214" s="245"/>
      <c r="J3214" s="245"/>
      <c r="K3214" s="245"/>
      <c r="L3214" s="246"/>
      <c r="M3214" s="245"/>
      <c r="N3214" s="245"/>
      <c r="O3214" s="245"/>
      <c r="P3214" s="245"/>
      <c r="Q3214" s="247"/>
      <c r="R3214" s="247"/>
      <c r="S3214" s="247"/>
      <c r="T3214" s="245"/>
      <c r="U3214" s="245"/>
      <c r="V3214" s="241"/>
      <c r="W3214" s="241"/>
      <c r="X3214" s="241"/>
    </row>
    <row r="3215" spans="1:24" ht="13.5" customHeight="1" x14ac:dyDescent="0.3">
      <c r="A3215" s="245"/>
      <c r="B3215" s="246"/>
      <c r="C3215" s="245"/>
      <c r="D3215" s="245"/>
      <c r="E3215" s="245"/>
      <c r="F3215" s="245"/>
      <c r="G3215" s="245"/>
      <c r="H3215" s="245"/>
      <c r="I3215" s="245"/>
      <c r="J3215" s="245"/>
      <c r="K3215" s="245"/>
      <c r="L3215" s="246"/>
      <c r="M3215" s="245"/>
      <c r="N3215" s="245"/>
      <c r="O3215" s="245"/>
      <c r="P3215" s="245"/>
      <c r="Q3215" s="247"/>
      <c r="R3215" s="247"/>
      <c r="S3215" s="247"/>
      <c r="T3215" s="245"/>
      <c r="U3215" s="245"/>
      <c r="V3215" s="241"/>
      <c r="W3215" s="241"/>
      <c r="X3215" s="241"/>
    </row>
    <row r="3216" spans="1:24" ht="13.5" customHeight="1" x14ac:dyDescent="0.3">
      <c r="A3216" s="245"/>
      <c r="B3216" s="246"/>
      <c r="C3216" s="245"/>
      <c r="D3216" s="245"/>
      <c r="E3216" s="245"/>
      <c r="F3216" s="245"/>
      <c r="G3216" s="245"/>
      <c r="H3216" s="245"/>
      <c r="I3216" s="245"/>
      <c r="J3216" s="245"/>
      <c r="K3216" s="245"/>
      <c r="L3216" s="246"/>
      <c r="M3216" s="245"/>
      <c r="N3216" s="245"/>
      <c r="O3216" s="245"/>
      <c r="P3216" s="245"/>
      <c r="Q3216" s="247"/>
      <c r="R3216" s="247"/>
      <c r="S3216" s="247"/>
      <c r="T3216" s="245"/>
      <c r="U3216" s="245"/>
      <c r="V3216" s="241"/>
      <c r="W3216" s="241"/>
      <c r="X3216" s="241"/>
    </row>
    <row r="3217" spans="1:24" ht="13.5" customHeight="1" x14ac:dyDescent="0.3">
      <c r="A3217" s="245"/>
      <c r="B3217" s="246"/>
      <c r="C3217" s="245"/>
      <c r="D3217" s="245"/>
      <c r="E3217" s="245"/>
      <c r="F3217" s="245"/>
      <c r="G3217" s="245"/>
      <c r="H3217" s="245"/>
      <c r="I3217" s="245"/>
      <c r="J3217" s="245"/>
      <c r="K3217" s="245"/>
      <c r="L3217" s="246"/>
      <c r="M3217" s="245"/>
      <c r="N3217" s="245"/>
      <c r="O3217" s="245"/>
      <c r="P3217" s="245"/>
      <c r="Q3217" s="247"/>
      <c r="R3217" s="247"/>
      <c r="S3217" s="247"/>
      <c r="T3217" s="245"/>
      <c r="U3217" s="245"/>
      <c r="V3217" s="241"/>
      <c r="W3217" s="241"/>
      <c r="X3217" s="241"/>
    </row>
    <row r="3218" spans="1:24" ht="13.5" customHeight="1" x14ac:dyDescent="0.3">
      <c r="A3218" s="245"/>
      <c r="B3218" s="246"/>
      <c r="C3218" s="245"/>
      <c r="D3218" s="245"/>
      <c r="E3218" s="245"/>
      <c r="F3218" s="245"/>
      <c r="G3218" s="245"/>
      <c r="H3218" s="245"/>
      <c r="I3218" s="245"/>
      <c r="J3218" s="245"/>
      <c r="K3218" s="245"/>
      <c r="L3218" s="246"/>
      <c r="M3218" s="245"/>
      <c r="N3218" s="245"/>
      <c r="O3218" s="245"/>
      <c r="P3218" s="245"/>
      <c r="Q3218" s="247"/>
      <c r="R3218" s="247"/>
      <c r="S3218" s="247"/>
      <c r="T3218" s="245"/>
      <c r="U3218" s="245"/>
      <c r="V3218" s="241"/>
      <c r="W3218" s="241"/>
      <c r="X3218" s="241"/>
    </row>
    <row r="3219" spans="1:24" ht="13.5" customHeight="1" x14ac:dyDescent="0.3">
      <c r="A3219" s="245"/>
      <c r="B3219" s="246"/>
      <c r="C3219" s="245"/>
      <c r="D3219" s="245"/>
      <c r="E3219" s="245"/>
      <c r="F3219" s="245"/>
      <c r="G3219" s="245"/>
      <c r="H3219" s="245"/>
      <c r="I3219" s="245"/>
      <c r="J3219" s="245"/>
      <c r="K3219" s="245"/>
      <c r="L3219" s="246"/>
      <c r="M3219" s="245"/>
      <c r="N3219" s="245"/>
      <c r="O3219" s="245"/>
      <c r="P3219" s="245"/>
      <c r="Q3219" s="247"/>
      <c r="R3219" s="247"/>
      <c r="S3219" s="247"/>
      <c r="T3219" s="245"/>
      <c r="U3219" s="245"/>
      <c r="V3219" s="241"/>
      <c r="W3219" s="241"/>
      <c r="X3219" s="241"/>
    </row>
    <row r="3220" spans="1:24" ht="13.5" customHeight="1" x14ac:dyDescent="0.3">
      <c r="A3220" s="245"/>
      <c r="B3220" s="246"/>
      <c r="C3220" s="245"/>
      <c r="D3220" s="245"/>
      <c r="E3220" s="245"/>
      <c r="F3220" s="245"/>
      <c r="G3220" s="245"/>
      <c r="H3220" s="245"/>
      <c r="I3220" s="245"/>
      <c r="J3220" s="245"/>
      <c r="K3220" s="245"/>
      <c r="L3220" s="246"/>
      <c r="M3220" s="245"/>
      <c r="N3220" s="245"/>
      <c r="O3220" s="245"/>
      <c r="P3220" s="245"/>
      <c r="Q3220" s="247"/>
      <c r="R3220" s="247"/>
      <c r="S3220" s="247"/>
      <c r="T3220" s="245"/>
      <c r="U3220" s="245"/>
      <c r="V3220" s="241"/>
      <c r="W3220" s="241"/>
      <c r="X3220" s="241"/>
    </row>
    <row r="3221" spans="1:24" ht="13.5" customHeight="1" x14ac:dyDescent="0.3">
      <c r="A3221" s="245"/>
      <c r="B3221" s="246"/>
      <c r="C3221" s="245"/>
      <c r="D3221" s="245"/>
      <c r="E3221" s="245"/>
      <c r="F3221" s="245"/>
      <c r="G3221" s="245"/>
      <c r="H3221" s="245"/>
      <c r="I3221" s="245"/>
      <c r="J3221" s="245"/>
      <c r="K3221" s="245"/>
      <c r="L3221" s="246"/>
      <c r="M3221" s="245"/>
      <c r="N3221" s="245"/>
      <c r="O3221" s="245"/>
      <c r="P3221" s="245"/>
      <c r="Q3221" s="247"/>
      <c r="R3221" s="247"/>
      <c r="S3221" s="247"/>
      <c r="T3221" s="245"/>
      <c r="U3221" s="245"/>
      <c r="V3221" s="241"/>
      <c r="W3221" s="241"/>
      <c r="X3221" s="241"/>
    </row>
    <row r="3222" spans="1:24" ht="13.5" customHeight="1" x14ac:dyDescent="0.3">
      <c r="A3222" s="245"/>
      <c r="B3222" s="246"/>
      <c r="C3222" s="245"/>
      <c r="D3222" s="245"/>
      <c r="E3222" s="245"/>
      <c r="F3222" s="245"/>
      <c r="G3222" s="245"/>
      <c r="H3222" s="245"/>
      <c r="I3222" s="245"/>
      <c r="J3222" s="245"/>
      <c r="K3222" s="245"/>
      <c r="L3222" s="246"/>
      <c r="M3222" s="245"/>
      <c r="N3222" s="245"/>
      <c r="O3222" s="245"/>
      <c r="P3222" s="245"/>
      <c r="Q3222" s="247"/>
      <c r="R3222" s="247"/>
      <c r="S3222" s="247"/>
      <c r="T3222" s="245"/>
      <c r="U3222" s="245"/>
      <c r="V3222" s="241"/>
      <c r="W3222" s="241"/>
      <c r="X3222" s="241"/>
    </row>
    <row r="3223" spans="1:24" ht="13.5" customHeight="1" x14ac:dyDescent="0.3">
      <c r="A3223" s="245"/>
      <c r="B3223" s="246"/>
      <c r="C3223" s="245"/>
      <c r="D3223" s="245"/>
      <c r="E3223" s="245"/>
      <c r="F3223" s="245"/>
      <c r="G3223" s="245"/>
      <c r="H3223" s="245"/>
      <c r="I3223" s="245"/>
      <c r="J3223" s="245"/>
      <c r="K3223" s="245"/>
      <c r="L3223" s="246"/>
      <c r="M3223" s="245"/>
      <c r="N3223" s="245"/>
      <c r="O3223" s="245"/>
      <c r="P3223" s="245"/>
      <c r="Q3223" s="247"/>
      <c r="R3223" s="247"/>
      <c r="S3223" s="247"/>
      <c r="T3223" s="245"/>
      <c r="U3223" s="245"/>
      <c r="V3223" s="241"/>
      <c r="W3223" s="241"/>
      <c r="X3223" s="241"/>
    </row>
    <row r="3224" spans="1:24" ht="13.5" customHeight="1" x14ac:dyDescent="0.3">
      <c r="A3224" s="245"/>
      <c r="B3224" s="246"/>
      <c r="C3224" s="245"/>
      <c r="D3224" s="245"/>
      <c r="E3224" s="245"/>
      <c r="F3224" s="245"/>
      <c r="G3224" s="245"/>
      <c r="H3224" s="245"/>
      <c r="I3224" s="245"/>
      <c r="J3224" s="245"/>
      <c r="K3224" s="245"/>
      <c r="L3224" s="246"/>
      <c r="M3224" s="245"/>
      <c r="N3224" s="245"/>
      <c r="O3224" s="245"/>
      <c r="P3224" s="245"/>
      <c r="Q3224" s="247"/>
      <c r="R3224" s="247"/>
      <c r="S3224" s="247"/>
      <c r="T3224" s="245"/>
      <c r="U3224" s="245"/>
      <c r="V3224" s="241"/>
      <c r="W3224" s="241"/>
      <c r="X3224" s="241"/>
    </row>
    <row r="3225" spans="1:24" ht="13.5" customHeight="1" x14ac:dyDescent="0.3">
      <c r="A3225" s="245"/>
      <c r="B3225" s="246"/>
      <c r="C3225" s="245"/>
      <c r="D3225" s="245"/>
      <c r="E3225" s="245"/>
      <c r="F3225" s="245"/>
      <c r="G3225" s="245"/>
      <c r="H3225" s="245"/>
      <c r="I3225" s="245"/>
      <c r="J3225" s="245"/>
      <c r="K3225" s="245"/>
      <c r="L3225" s="246"/>
      <c r="M3225" s="245"/>
      <c r="N3225" s="245"/>
      <c r="O3225" s="245"/>
      <c r="P3225" s="245"/>
      <c r="Q3225" s="247"/>
      <c r="R3225" s="247"/>
      <c r="S3225" s="247"/>
      <c r="T3225" s="245"/>
      <c r="U3225" s="245"/>
      <c r="V3225" s="241"/>
      <c r="W3225" s="241"/>
      <c r="X3225" s="241"/>
    </row>
    <row r="3226" spans="1:24" ht="13.5" customHeight="1" x14ac:dyDescent="0.3">
      <c r="A3226" s="245"/>
      <c r="B3226" s="246"/>
      <c r="C3226" s="245"/>
      <c r="D3226" s="245"/>
      <c r="E3226" s="245"/>
      <c r="F3226" s="245"/>
      <c r="G3226" s="245"/>
      <c r="H3226" s="245"/>
      <c r="I3226" s="245"/>
      <c r="J3226" s="245"/>
      <c r="K3226" s="245"/>
      <c r="L3226" s="246"/>
      <c r="M3226" s="245"/>
      <c r="N3226" s="245"/>
      <c r="O3226" s="245"/>
      <c r="P3226" s="245"/>
      <c r="Q3226" s="247"/>
      <c r="R3226" s="247"/>
      <c r="S3226" s="247"/>
      <c r="T3226" s="245"/>
      <c r="U3226" s="245"/>
      <c r="V3226" s="241"/>
      <c r="W3226" s="241"/>
      <c r="X3226" s="241"/>
    </row>
    <row r="3227" spans="1:24" ht="13.5" customHeight="1" x14ac:dyDescent="0.3">
      <c r="A3227" s="245"/>
      <c r="B3227" s="246"/>
      <c r="C3227" s="245"/>
      <c r="D3227" s="245"/>
      <c r="E3227" s="245"/>
      <c r="F3227" s="245"/>
      <c r="G3227" s="245"/>
      <c r="H3227" s="245"/>
      <c r="I3227" s="245"/>
      <c r="J3227" s="245"/>
      <c r="K3227" s="245"/>
      <c r="L3227" s="246"/>
      <c r="M3227" s="245"/>
      <c r="N3227" s="245"/>
      <c r="O3227" s="245"/>
      <c r="P3227" s="245"/>
      <c r="Q3227" s="247"/>
      <c r="R3227" s="247"/>
      <c r="S3227" s="247"/>
      <c r="T3227" s="245"/>
      <c r="U3227" s="245"/>
      <c r="V3227" s="241"/>
      <c r="W3227" s="241"/>
      <c r="X3227" s="241"/>
    </row>
    <row r="3228" spans="1:24" ht="13.5" customHeight="1" x14ac:dyDescent="0.3">
      <c r="A3228" s="245"/>
      <c r="B3228" s="246"/>
      <c r="C3228" s="245"/>
      <c r="D3228" s="245"/>
      <c r="E3228" s="245"/>
      <c r="F3228" s="245"/>
      <c r="G3228" s="245"/>
      <c r="H3228" s="245"/>
      <c r="I3228" s="245"/>
      <c r="J3228" s="245"/>
      <c r="K3228" s="245"/>
      <c r="L3228" s="246"/>
      <c r="M3228" s="245"/>
      <c r="N3228" s="245"/>
      <c r="O3228" s="245"/>
      <c r="P3228" s="245"/>
      <c r="Q3228" s="247"/>
      <c r="R3228" s="247"/>
      <c r="S3228" s="247"/>
      <c r="T3228" s="245"/>
      <c r="U3228" s="245"/>
      <c r="V3228" s="241"/>
      <c r="W3228" s="241"/>
      <c r="X3228" s="241"/>
    </row>
    <row r="3229" spans="1:24" ht="13.5" customHeight="1" x14ac:dyDescent="0.3">
      <c r="A3229" s="245"/>
      <c r="B3229" s="246"/>
      <c r="C3229" s="245"/>
      <c r="D3229" s="245"/>
      <c r="E3229" s="245"/>
      <c r="F3229" s="245"/>
      <c r="G3229" s="245"/>
      <c r="H3229" s="245"/>
      <c r="I3229" s="245"/>
      <c r="J3229" s="245"/>
      <c r="K3229" s="245"/>
      <c r="L3229" s="246"/>
      <c r="M3229" s="245"/>
      <c r="N3229" s="245"/>
      <c r="O3229" s="245"/>
      <c r="P3229" s="245"/>
      <c r="Q3229" s="247"/>
      <c r="R3229" s="247"/>
      <c r="S3229" s="247"/>
      <c r="T3229" s="245"/>
      <c r="U3229" s="245"/>
      <c r="V3229" s="241"/>
      <c r="W3229" s="241"/>
      <c r="X3229" s="241"/>
    </row>
    <row r="3230" spans="1:24" ht="13.5" customHeight="1" x14ac:dyDescent="0.3">
      <c r="A3230" s="245"/>
      <c r="B3230" s="246"/>
      <c r="C3230" s="245"/>
      <c r="D3230" s="245"/>
      <c r="E3230" s="245"/>
      <c r="F3230" s="245"/>
      <c r="G3230" s="245"/>
      <c r="H3230" s="245"/>
      <c r="I3230" s="245"/>
      <c r="J3230" s="245"/>
      <c r="K3230" s="245"/>
      <c r="L3230" s="246"/>
      <c r="M3230" s="245"/>
      <c r="N3230" s="245"/>
      <c r="O3230" s="245"/>
      <c r="P3230" s="245"/>
      <c r="Q3230" s="247"/>
      <c r="R3230" s="247"/>
      <c r="S3230" s="247"/>
      <c r="T3230" s="245"/>
      <c r="U3230" s="245"/>
      <c r="V3230" s="241"/>
      <c r="W3230" s="241"/>
      <c r="X3230" s="241"/>
    </row>
    <row r="3231" spans="1:24" ht="13.5" customHeight="1" x14ac:dyDescent="0.3">
      <c r="A3231" s="245"/>
      <c r="B3231" s="246"/>
      <c r="C3231" s="245"/>
      <c r="D3231" s="245"/>
      <c r="E3231" s="245"/>
      <c r="F3231" s="245"/>
      <c r="G3231" s="245"/>
      <c r="H3231" s="245"/>
      <c r="I3231" s="245"/>
      <c r="J3231" s="245"/>
      <c r="K3231" s="245"/>
      <c r="L3231" s="246"/>
      <c r="M3231" s="245"/>
      <c r="N3231" s="245"/>
      <c r="O3231" s="245"/>
      <c r="P3231" s="245"/>
      <c r="Q3231" s="247"/>
      <c r="R3231" s="247"/>
      <c r="S3231" s="247"/>
      <c r="T3231" s="245"/>
      <c r="U3231" s="245"/>
      <c r="V3231" s="241"/>
      <c r="W3231" s="241"/>
      <c r="X3231" s="241"/>
    </row>
    <row r="3232" spans="1:24" ht="13.5" customHeight="1" x14ac:dyDescent="0.3">
      <c r="A3232" s="245"/>
      <c r="B3232" s="246"/>
      <c r="C3232" s="245"/>
      <c r="D3232" s="245"/>
      <c r="E3232" s="245"/>
      <c r="F3232" s="245"/>
      <c r="G3232" s="245"/>
      <c r="H3232" s="245"/>
      <c r="I3232" s="245"/>
      <c r="J3232" s="245"/>
      <c r="K3232" s="245"/>
      <c r="L3232" s="246"/>
      <c r="M3232" s="245"/>
      <c r="N3232" s="245"/>
      <c r="O3232" s="245"/>
      <c r="P3232" s="245"/>
      <c r="Q3232" s="247"/>
      <c r="R3232" s="247"/>
      <c r="S3232" s="247"/>
      <c r="T3232" s="245"/>
      <c r="U3232" s="245"/>
      <c r="V3232" s="241"/>
      <c r="W3232" s="241"/>
      <c r="X3232" s="241"/>
    </row>
    <row r="3233" spans="1:24" ht="13.5" customHeight="1" x14ac:dyDescent="0.3">
      <c r="A3233" s="245"/>
      <c r="B3233" s="246"/>
      <c r="C3233" s="245"/>
      <c r="D3233" s="245"/>
      <c r="E3233" s="245"/>
      <c r="F3233" s="245"/>
      <c r="G3233" s="245"/>
      <c r="H3233" s="245"/>
      <c r="I3233" s="245"/>
      <c r="J3233" s="245"/>
      <c r="K3233" s="245"/>
      <c r="L3233" s="246"/>
      <c r="M3233" s="245"/>
      <c r="N3233" s="245"/>
      <c r="O3233" s="245"/>
      <c r="P3233" s="245"/>
      <c r="Q3233" s="247"/>
      <c r="R3233" s="247"/>
      <c r="S3233" s="247"/>
      <c r="T3233" s="245"/>
      <c r="U3233" s="245"/>
      <c r="V3233" s="241"/>
      <c r="W3233" s="241"/>
      <c r="X3233" s="241"/>
    </row>
    <row r="3234" spans="1:24" ht="13.5" customHeight="1" x14ac:dyDescent="0.3">
      <c r="A3234" s="245"/>
      <c r="B3234" s="246"/>
      <c r="C3234" s="245"/>
      <c r="D3234" s="245"/>
      <c r="E3234" s="245"/>
      <c r="F3234" s="245"/>
      <c r="G3234" s="245"/>
      <c r="H3234" s="245"/>
      <c r="I3234" s="245"/>
      <c r="J3234" s="245"/>
      <c r="K3234" s="245"/>
      <c r="L3234" s="246"/>
      <c r="M3234" s="245"/>
      <c r="N3234" s="245"/>
      <c r="O3234" s="245"/>
      <c r="P3234" s="245"/>
      <c r="Q3234" s="247"/>
      <c r="R3234" s="247"/>
      <c r="S3234" s="247"/>
      <c r="T3234" s="245"/>
      <c r="U3234" s="245"/>
      <c r="V3234" s="241"/>
      <c r="W3234" s="241"/>
      <c r="X3234" s="241"/>
    </row>
    <row r="3235" spans="1:24" ht="13.5" customHeight="1" x14ac:dyDescent="0.3">
      <c r="A3235" s="245"/>
      <c r="B3235" s="246"/>
      <c r="C3235" s="245"/>
      <c r="D3235" s="245"/>
      <c r="E3235" s="245"/>
      <c r="F3235" s="245"/>
      <c r="G3235" s="245"/>
      <c r="H3235" s="245"/>
      <c r="I3235" s="245"/>
      <c r="J3235" s="245"/>
      <c r="K3235" s="245"/>
      <c r="L3235" s="246"/>
      <c r="M3235" s="245"/>
      <c r="N3235" s="245"/>
      <c r="O3235" s="245"/>
      <c r="P3235" s="245"/>
      <c r="Q3235" s="247"/>
      <c r="R3235" s="247"/>
      <c r="S3235" s="247"/>
      <c r="T3235" s="245"/>
      <c r="U3235" s="245"/>
      <c r="V3235" s="241"/>
      <c r="W3235" s="241"/>
      <c r="X3235" s="241"/>
    </row>
    <row r="3236" spans="1:24" ht="13.5" customHeight="1" x14ac:dyDescent="0.3">
      <c r="A3236" s="245"/>
      <c r="B3236" s="246"/>
      <c r="C3236" s="245"/>
      <c r="D3236" s="245"/>
      <c r="E3236" s="245"/>
      <c r="F3236" s="245"/>
      <c r="G3236" s="245"/>
      <c r="H3236" s="245"/>
      <c r="I3236" s="245"/>
      <c r="J3236" s="245"/>
      <c r="K3236" s="245"/>
      <c r="L3236" s="246"/>
      <c r="M3236" s="245"/>
      <c r="N3236" s="245"/>
      <c r="O3236" s="245"/>
      <c r="P3236" s="245"/>
      <c r="Q3236" s="247"/>
      <c r="R3236" s="247"/>
      <c r="S3236" s="247"/>
      <c r="T3236" s="245"/>
      <c r="U3236" s="245"/>
      <c r="V3236" s="241"/>
      <c r="W3236" s="241"/>
      <c r="X3236" s="241"/>
    </row>
    <row r="3237" spans="1:24" ht="13.5" customHeight="1" x14ac:dyDescent="0.3">
      <c r="A3237" s="245"/>
      <c r="B3237" s="246"/>
      <c r="C3237" s="245"/>
      <c r="D3237" s="245"/>
      <c r="E3237" s="245"/>
      <c r="F3237" s="245"/>
      <c r="G3237" s="245"/>
      <c r="H3237" s="245"/>
      <c r="I3237" s="245"/>
      <c r="J3237" s="245"/>
      <c r="K3237" s="245"/>
      <c r="L3237" s="246"/>
      <c r="M3237" s="245"/>
      <c r="N3237" s="245"/>
      <c r="O3237" s="245"/>
      <c r="P3237" s="245"/>
      <c r="Q3237" s="247"/>
      <c r="R3237" s="247"/>
      <c r="S3237" s="247"/>
      <c r="T3237" s="245"/>
      <c r="U3237" s="245"/>
      <c r="V3237" s="241"/>
      <c r="W3237" s="241"/>
      <c r="X3237" s="241"/>
    </row>
    <row r="3238" spans="1:24" ht="13.5" customHeight="1" x14ac:dyDescent="0.3">
      <c r="A3238" s="245"/>
      <c r="B3238" s="246"/>
      <c r="C3238" s="245"/>
      <c r="D3238" s="245"/>
      <c r="E3238" s="245"/>
      <c r="F3238" s="245"/>
      <c r="G3238" s="245"/>
      <c r="H3238" s="245"/>
      <c r="I3238" s="245"/>
      <c r="J3238" s="245"/>
      <c r="K3238" s="245"/>
      <c r="L3238" s="246"/>
      <c r="M3238" s="245"/>
      <c r="N3238" s="245"/>
      <c r="O3238" s="245"/>
      <c r="P3238" s="245"/>
      <c r="Q3238" s="247"/>
      <c r="R3238" s="247"/>
      <c r="S3238" s="247"/>
      <c r="T3238" s="245"/>
      <c r="U3238" s="245"/>
      <c r="V3238" s="241"/>
      <c r="W3238" s="241"/>
      <c r="X3238" s="241"/>
    </row>
    <row r="3239" spans="1:24" ht="13.5" customHeight="1" x14ac:dyDescent="0.3">
      <c r="A3239" s="245"/>
      <c r="B3239" s="246"/>
      <c r="C3239" s="245"/>
      <c r="D3239" s="245"/>
      <c r="E3239" s="245"/>
      <c r="F3239" s="245"/>
      <c r="G3239" s="245"/>
      <c r="H3239" s="245"/>
      <c r="I3239" s="245"/>
      <c r="J3239" s="245"/>
      <c r="K3239" s="245"/>
      <c r="L3239" s="246"/>
      <c r="M3239" s="245"/>
      <c r="N3239" s="245"/>
      <c r="O3239" s="245"/>
      <c r="P3239" s="245"/>
      <c r="Q3239" s="247"/>
      <c r="R3239" s="247"/>
      <c r="S3239" s="247"/>
      <c r="T3239" s="245"/>
      <c r="U3239" s="245"/>
      <c r="V3239" s="241"/>
      <c r="W3239" s="241"/>
      <c r="X3239" s="241"/>
    </row>
    <row r="3240" spans="1:24" ht="13.5" customHeight="1" x14ac:dyDescent="0.3">
      <c r="A3240" s="245"/>
      <c r="B3240" s="246"/>
      <c r="C3240" s="245"/>
      <c r="D3240" s="245"/>
      <c r="E3240" s="245"/>
      <c r="F3240" s="245"/>
      <c r="G3240" s="245"/>
      <c r="H3240" s="245"/>
      <c r="I3240" s="245"/>
      <c r="J3240" s="245"/>
      <c r="K3240" s="245"/>
      <c r="L3240" s="246"/>
      <c r="M3240" s="245"/>
      <c r="N3240" s="245"/>
      <c r="O3240" s="245"/>
      <c r="P3240" s="245"/>
      <c r="Q3240" s="247"/>
      <c r="R3240" s="247"/>
      <c r="S3240" s="247"/>
      <c r="T3240" s="245"/>
      <c r="U3240" s="245"/>
      <c r="V3240" s="241"/>
      <c r="W3240" s="241"/>
      <c r="X3240" s="241"/>
    </row>
    <row r="3241" spans="1:24" ht="13.5" customHeight="1" x14ac:dyDescent="0.3">
      <c r="A3241" s="245"/>
      <c r="B3241" s="246"/>
      <c r="C3241" s="245"/>
      <c r="D3241" s="245"/>
      <c r="E3241" s="245"/>
      <c r="F3241" s="245"/>
      <c r="G3241" s="245"/>
      <c r="H3241" s="245"/>
      <c r="I3241" s="245"/>
      <c r="J3241" s="245"/>
      <c r="K3241" s="245"/>
      <c r="L3241" s="246"/>
      <c r="M3241" s="245"/>
      <c r="N3241" s="245"/>
      <c r="O3241" s="245"/>
      <c r="P3241" s="245"/>
      <c r="Q3241" s="247"/>
      <c r="R3241" s="247"/>
      <c r="S3241" s="247"/>
      <c r="T3241" s="245"/>
      <c r="U3241" s="245"/>
      <c r="V3241" s="241"/>
      <c r="W3241" s="241"/>
      <c r="X3241" s="241"/>
    </row>
    <row r="3242" spans="1:24" ht="13.5" customHeight="1" x14ac:dyDescent="0.3">
      <c r="A3242" s="245"/>
      <c r="B3242" s="246"/>
      <c r="C3242" s="245"/>
      <c r="D3242" s="245"/>
      <c r="E3242" s="245"/>
      <c r="F3242" s="245"/>
      <c r="G3242" s="245"/>
      <c r="H3242" s="245"/>
      <c r="I3242" s="245"/>
      <c r="J3242" s="245"/>
      <c r="K3242" s="245"/>
      <c r="L3242" s="246"/>
      <c r="M3242" s="245"/>
      <c r="N3242" s="245"/>
      <c r="O3242" s="245"/>
      <c r="P3242" s="245"/>
      <c r="Q3242" s="247"/>
      <c r="R3242" s="247"/>
      <c r="S3242" s="247"/>
      <c r="T3242" s="245"/>
      <c r="U3242" s="245"/>
      <c r="V3242" s="241"/>
      <c r="W3242" s="241"/>
      <c r="X3242" s="241"/>
    </row>
    <row r="3243" spans="1:24" ht="13.5" customHeight="1" x14ac:dyDescent="0.3">
      <c r="A3243" s="245"/>
      <c r="B3243" s="246"/>
      <c r="C3243" s="245"/>
      <c r="D3243" s="245"/>
      <c r="E3243" s="245"/>
      <c r="F3243" s="245"/>
      <c r="G3243" s="245"/>
      <c r="H3243" s="245"/>
      <c r="I3243" s="245"/>
      <c r="J3243" s="245"/>
      <c r="K3243" s="245"/>
      <c r="L3243" s="246"/>
      <c r="M3243" s="245"/>
      <c r="N3243" s="245"/>
      <c r="O3243" s="245"/>
      <c r="P3243" s="245"/>
      <c r="Q3243" s="247"/>
      <c r="R3243" s="247"/>
      <c r="S3243" s="247"/>
      <c r="T3243" s="245"/>
      <c r="U3243" s="245"/>
      <c r="V3243" s="241"/>
      <c r="W3243" s="241"/>
      <c r="X3243" s="241"/>
    </row>
    <row r="3244" spans="1:24" ht="13.5" customHeight="1" x14ac:dyDescent="0.3">
      <c r="A3244" s="245"/>
      <c r="B3244" s="246"/>
      <c r="C3244" s="245"/>
      <c r="D3244" s="245"/>
      <c r="E3244" s="245"/>
      <c r="F3244" s="245"/>
      <c r="G3244" s="245"/>
      <c r="H3244" s="245"/>
      <c r="I3244" s="245"/>
      <c r="J3244" s="245"/>
      <c r="K3244" s="245"/>
      <c r="L3244" s="246"/>
      <c r="M3244" s="245"/>
      <c r="N3244" s="245"/>
      <c r="O3244" s="245"/>
      <c r="P3244" s="245"/>
      <c r="Q3244" s="247"/>
      <c r="R3244" s="247"/>
      <c r="S3244" s="247"/>
      <c r="T3244" s="245"/>
      <c r="U3244" s="245"/>
      <c r="V3244" s="241"/>
      <c r="W3244" s="241"/>
      <c r="X3244" s="241"/>
    </row>
    <row r="3245" spans="1:24" ht="13.5" customHeight="1" x14ac:dyDescent="0.3">
      <c r="A3245" s="245"/>
      <c r="B3245" s="246"/>
      <c r="C3245" s="245"/>
      <c r="D3245" s="245"/>
      <c r="E3245" s="245"/>
      <c r="F3245" s="245"/>
      <c r="G3245" s="245"/>
      <c r="H3245" s="245"/>
      <c r="I3245" s="245"/>
      <c r="J3245" s="245"/>
      <c r="K3245" s="245"/>
      <c r="L3245" s="246"/>
      <c r="M3245" s="245"/>
      <c r="N3245" s="245"/>
      <c r="O3245" s="245"/>
      <c r="P3245" s="245"/>
      <c r="Q3245" s="247"/>
      <c r="R3245" s="247"/>
      <c r="S3245" s="247"/>
      <c r="T3245" s="245"/>
      <c r="U3245" s="245"/>
      <c r="V3245" s="241"/>
      <c r="W3245" s="241"/>
      <c r="X3245" s="241"/>
    </row>
    <row r="3246" spans="1:24" ht="13.5" customHeight="1" x14ac:dyDescent="0.3">
      <c r="A3246" s="245"/>
      <c r="B3246" s="246"/>
      <c r="C3246" s="245"/>
      <c r="D3246" s="245"/>
      <c r="E3246" s="245"/>
      <c r="F3246" s="245"/>
      <c r="G3246" s="245"/>
      <c r="H3246" s="245"/>
      <c r="I3246" s="245"/>
      <c r="J3246" s="245"/>
      <c r="K3246" s="245"/>
      <c r="L3246" s="246"/>
      <c r="M3246" s="245"/>
      <c r="N3246" s="245"/>
      <c r="O3246" s="245"/>
      <c r="P3246" s="245"/>
      <c r="Q3246" s="247"/>
      <c r="R3246" s="247"/>
      <c r="S3246" s="247"/>
      <c r="T3246" s="245"/>
      <c r="U3246" s="245"/>
      <c r="V3246" s="241"/>
      <c r="W3246" s="241"/>
      <c r="X3246" s="241"/>
    </row>
    <row r="3247" spans="1:24" ht="13.5" customHeight="1" x14ac:dyDescent="0.3">
      <c r="A3247" s="245"/>
      <c r="B3247" s="246"/>
      <c r="C3247" s="245"/>
      <c r="D3247" s="245"/>
      <c r="E3247" s="245"/>
      <c r="F3247" s="245"/>
      <c r="G3247" s="245"/>
      <c r="H3247" s="245"/>
      <c r="I3247" s="245"/>
      <c r="J3247" s="245"/>
      <c r="K3247" s="245"/>
      <c r="L3247" s="246"/>
      <c r="M3247" s="245"/>
      <c r="N3247" s="245"/>
      <c r="O3247" s="245"/>
      <c r="P3247" s="245"/>
      <c r="Q3247" s="247"/>
      <c r="R3247" s="247"/>
      <c r="S3247" s="247"/>
      <c r="T3247" s="245"/>
      <c r="U3247" s="245"/>
      <c r="V3247" s="241"/>
      <c r="W3247" s="241"/>
      <c r="X3247" s="241"/>
    </row>
    <row r="3248" spans="1:24" ht="13.5" customHeight="1" x14ac:dyDescent="0.3">
      <c r="A3248" s="245"/>
      <c r="B3248" s="246"/>
      <c r="C3248" s="245"/>
      <c r="D3248" s="245"/>
      <c r="E3248" s="245"/>
      <c r="F3248" s="245"/>
      <c r="G3248" s="245"/>
      <c r="H3248" s="245"/>
      <c r="I3248" s="245"/>
      <c r="J3248" s="245"/>
      <c r="K3248" s="245"/>
      <c r="L3248" s="246"/>
      <c r="M3248" s="245"/>
      <c r="N3248" s="245"/>
      <c r="O3248" s="245"/>
      <c r="P3248" s="245"/>
      <c r="Q3248" s="247"/>
      <c r="R3248" s="247"/>
      <c r="S3248" s="247"/>
      <c r="T3248" s="245"/>
      <c r="U3248" s="245"/>
      <c r="V3248" s="241"/>
      <c r="W3248" s="241"/>
      <c r="X3248" s="241"/>
    </row>
    <row r="3249" spans="1:24" ht="13.5" customHeight="1" x14ac:dyDescent="0.3">
      <c r="A3249" s="245"/>
      <c r="B3249" s="246"/>
      <c r="C3249" s="245"/>
      <c r="D3249" s="245"/>
      <c r="E3249" s="245"/>
      <c r="F3249" s="245"/>
      <c r="G3249" s="245"/>
      <c r="H3249" s="245"/>
      <c r="I3249" s="245"/>
      <c r="J3249" s="245"/>
      <c r="K3249" s="245"/>
      <c r="L3249" s="246"/>
      <c r="M3249" s="245"/>
      <c r="N3249" s="245"/>
      <c r="O3249" s="245"/>
      <c r="P3249" s="245"/>
      <c r="Q3249" s="247"/>
      <c r="R3249" s="247"/>
      <c r="S3249" s="247"/>
      <c r="T3249" s="245"/>
      <c r="U3249" s="245"/>
      <c r="V3249" s="241"/>
      <c r="W3249" s="241"/>
      <c r="X3249" s="241"/>
    </row>
    <row r="3250" spans="1:24" ht="13.5" customHeight="1" x14ac:dyDescent="0.3">
      <c r="A3250" s="245"/>
      <c r="B3250" s="246"/>
      <c r="C3250" s="245"/>
      <c r="D3250" s="245"/>
      <c r="E3250" s="245"/>
      <c r="F3250" s="245"/>
      <c r="G3250" s="245"/>
      <c r="H3250" s="245"/>
      <c r="I3250" s="245"/>
      <c r="J3250" s="245"/>
      <c r="K3250" s="245"/>
      <c r="L3250" s="246"/>
      <c r="M3250" s="245"/>
      <c r="N3250" s="245"/>
      <c r="O3250" s="245"/>
      <c r="P3250" s="245"/>
      <c r="Q3250" s="247"/>
      <c r="R3250" s="247"/>
      <c r="S3250" s="247"/>
      <c r="T3250" s="245"/>
      <c r="U3250" s="245"/>
      <c r="V3250" s="241"/>
      <c r="W3250" s="241"/>
      <c r="X3250" s="241"/>
    </row>
    <row r="3251" spans="1:24" ht="13.5" customHeight="1" x14ac:dyDescent="0.3">
      <c r="A3251" s="245"/>
      <c r="B3251" s="246"/>
      <c r="C3251" s="245"/>
      <c r="D3251" s="245"/>
      <c r="E3251" s="245"/>
      <c r="F3251" s="245"/>
      <c r="G3251" s="245"/>
      <c r="H3251" s="245"/>
      <c r="I3251" s="245"/>
      <c r="J3251" s="245"/>
      <c r="K3251" s="245"/>
      <c r="L3251" s="246"/>
      <c r="M3251" s="245"/>
      <c r="N3251" s="245"/>
      <c r="O3251" s="245"/>
      <c r="P3251" s="245"/>
      <c r="Q3251" s="247"/>
      <c r="R3251" s="247"/>
      <c r="S3251" s="247"/>
      <c r="T3251" s="245"/>
      <c r="U3251" s="245"/>
      <c r="V3251" s="241"/>
      <c r="W3251" s="241"/>
      <c r="X3251" s="241"/>
    </row>
    <row r="3252" spans="1:24" ht="13.5" customHeight="1" x14ac:dyDescent="0.3">
      <c r="A3252" s="245"/>
      <c r="B3252" s="246"/>
      <c r="C3252" s="245"/>
      <c r="D3252" s="245"/>
      <c r="E3252" s="245"/>
      <c r="F3252" s="245"/>
      <c r="G3252" s="245"/>
      <c r="H3252" s="245"/>
      <c r="I3252" s="245"/>
      <c r="J3252" s="245"/>
      <c r="K3252" s="245"/>
      <c r="L3252" s="246"/>
      <c r="M3252" s="245"/>
      <c r="N3252" s="245"/>
      <c r="O3252" s="245"/>
      <c r="P3252" s="245"/>
      <c r="Q3252" s="247"/>
      <c r="R3252" s="247"/>
      <c r="S3252" s="247"/>
      <c r="T3252" s="245"/>
      <c r="U3252" s="245"/>
      <c r="V3252" s="241"/>
      <c r="W3252" s="241"/>
      <c r="X3252" s="241"/>
    </row>
    <row r="3253" spans="1:24" ht="13.5" customHeight="1" x14ac:dyDescent="0.3">
      <c r="A3253" s="245"/>
      <c r="B3253" s="246"/>
      <c r="C3253" s="245"/>
      <c r="D3253" s="245"/>
      <c r="E3253" s="245"/>
      <c r="F3253" s="245"/>
      <c r="G3253" s="245"/>
      <c r="H3253" s="245"/>
      <c r="I3253" s="245"/>
      <c r="J3253" s="245"/>
      <c r="K3253" s="245"/>
      <c r="L3253" s="246"/>
      <c r="M3253" s="245"/>
      <c r="N3253" s="245"/>
      <c r="O3253" s="245"/>
      <c r="P3253" s="245"/>
      <c r="Q3253" s="247"/>
      <c r="R3253" s="247"/>
      <c r="S3253" s="247"/>
      <c r="T3253" s="245"/>
      <c r="U3253" s="245"/>
      <c r="V3253" s="241"/>
      <c r="W3253" s="241"/>
      <c r="X3253" s="241"/>
    </row>
    <row r="3254" spans="1:24" ht="13.5" customHeight="1" x14ac:dyDescent="0.3">
      <c r="A3254" s="245"/>
      <c r="B3254" s="246"/>
      <c r="C3254" s="245"/>
      <c r="D3254" s="245"/>
      <c r="E3254" s="245"/>
      <c r="F3254" s="245"/>
      <c r="G3254" s="245"/>
      <c r="H3254" s="245"/>
      <c r="I3254" s="245"/>
      <c r="J3254" s="245"/>
      <c r="K3254" s="245"/>
      <c r="L3254" s="246"/>
      <c r="M3254" s="245"/>
      <c r="N3254" s="245"/>
      <c r="O3254" s="245"/>
      <c r="P3254" s="245"/>
      <c r="Q3254" s="247"/>
      <c r="R3254" s="247"/>
      <c r="S3254" s="247"/>
      <c r="T3254" s="245"/>
      <c r="U3254" s="245"/>
      <c r="V3254" s="241"/>
      <c r="W3254" s="241"/>
      <c r="X3254" s="241"/>
    </row>
    <row r="3255" spans="1:24" ht="13.5" customHeight="1" x14ac:dyDescent="0.3">
      <c r="A3255" s="245"/>
      <c r="B3255" s="246"/>
      <c r="C3255" s="245"/>
      <c r="D3255" s="245"/>
      <c r="E3255" s="245"/>
      <c r="F3255" s="245"/>
      <c r="G3255" s="245"/>
      <c r="H3255" s="245"/>
      <c r="I3255" s="245"/>
      <c r="J3255" s="245"/>
      <c r="K3255" s="245"/>
      <c r="L3255" s="246"/>
      <c r="M3255" s="245"/>
      <c r="N3255" s="245"/>
      <c r="O3255" s="245"/>
      <c r="P3255" s="245"/>
      <c r="Q3255" s="247"/>
      <c r="R3255" s="247"/>
      <c r="S3255" s="247"/>
      <c r="T3255" s="245"/>
      <c r="U3255" s="245"/>
      <c r="V3255" s="241"/>
      <c r="W3255" s="241"/>
      <c r="X3255" s="241"/>
    </row>
    <row r="3256" spans="1:24" ht="13.5" customHeight="1" x14ac:dyDescent="0.3">
      <c r="A3256" s="245"/>
      <c r="B3256" s="246"/>
      <c r="C3256" s="245"/>
      <c r="D3256" s="245"/>
      <c r="E3256" s="245"/>
      <c r="F3256" s="245"/>
      <c r="G3256" s="245"/>
      <c r="H3256" s="245"/>
      <c r="I3256" s="245"/>
      <c r="J3256" s="245"/>
      <c r="K3256" s="245"/>
      <c r="L3256" s="246"/>
      <c r="M3256" s="245"/>
      <c r="N3256" s="245"/>
      <c r="O3256" s="245"/>
      <c r="P3256" s="245"/>
      <c r="Q3256" s="247"/>
      <c r="R3256" s="247"/>
      <c r="S3256" s="247"/>
      <c r="T3256" s="245"/>
      <c r="U3256" s="245"/>
      <c r="V3256" s="241"/>
      <c r="W3256" s="241"/>
      <c r="X3256" s="241"/>
    </row>
    <row r="3257" spans="1:24" ht="13.5" customHeight="1" x14ac:dyDescent="0.3">
      <c r="A3257" s="245"/>
      <c r="B3257" s="246"/>
      <c r="C3257" s="245"/>
      <c r="D3257" s="245"/>
      <c r="E3257" s="245"/>
      <c r="F3257" s="245"/>
      <c r="G3257" s="245"/>
      <c r="H3257" s="245"/>
      <c r="I3257" s="245"/>
      <c r="J3257" s="245"/>
      <c r="K3257" s="245"/>
      <c r="L3257" s="246"/>
      <c r="M3257" s="245"/>
      <c r="N3257" s="245"/>
      <c r="O3257" s="245"/>
      <c r="P3257" s="245"/>
      <c r="Q3257" s="247"/>
      <c r="R3257" s="247"/>
      <c r="S3257" s="247"/>
      <c r="T3257" s="245"/>
      <c r="U3257" s="245"/>
      <c r="V3257" s="241"/>
      <c r="W3257" s="241"/>
      <c r="X3257" s="241"/>
    </row>
    <row r="3258" spans="1:24" ht="13.5" customHeight="1" x14ac:dyDescent="0.3">
      <c r="A3258" s="245"/>
      <c r="B3258" s="246"/>
      <c r="C3258" s="245"/>
      <c r="D3258" s="245"/>
      <c r="E3258" s="245"/>
      <c r="F3258" s="245"/>
      <c r="G3258" s="245"/>
      <c r="H3258" s="245"/>
      <c r="I3258" s="245"/>
      <c r="J3258" s="245"/>
      <c r="K3258" s="245"/>
      <c r="L3258" s="246"/>
      <c r="M3258" s="245"/>
      <c r="N3258" s="245"/>
      <c r="O3258" s="245"/>
      <c r="P3258" s="245"/>
      <c r="Q3258" s="247"/>
      <c r="R3258" s="247"/>
      <c r="S3258" s="247"/>
      <c r="T3258" s="245"/>
      <c r="U3258" s="245"/>
      <c r="V3258" s="241"/>
      <c r="W3258" s="241"/>
      <c r="X3258" s="241"/>
    </row>
    <row r="3259" spans="1:24" ht="13.5" customHeight="1" x14ac:dyDescent="0.3">
      <c r="A3259" s="245"/>
      <c r="B3259" s="246"/>
      <c r="C3259" s="245"/>
      <c r="D3259" s="245"/>
      <c r="E3259" s="245"/>
      <c r="F3259" s="245"/>
      <c r="G3259" s="245"/>
      <c r="H3259" s="245"/>
      <c r="I3259" s="245"/>
      <c r="J3259" s="245"/>
      <c r="K3259" s="245"/>
      <c r="L3259" s="246"/>
      <c r="M3259" s="245"/>
      <c r="N3259" s="245"/>
      <c r="O3259" s="245"/>
      <c r="P3259" s="245"/>
      <c r="Q3259" s="247"/>
      <c r="R3259" s="247"/>
      <c r="S3259" s="247"/>
      <c r="T3259" s="245"/>
      <c r="U3259" s="245"/>
      <c r="V3259" s="241"/>
      <c r="W3259" s="241"/>
      <c r="X3259" s="241"/>
    </row>
    <row r="3260" spans="1:24" ht="13.5" customHeight="1" x14ac:dyDescent="0.3">
      <c r="A3260" s="245"/>
      <c r="B3260" s="246"/>
      <c r="C3260" s="245"/>
      <c r="D3260" s="245"/>
      <c r="E3260" s="245"/>
      <c r="F3260" s="245"/>
      <c r="G3260" s="245"/>
      <c r="H3260" s="245"/>
      <c r="I3260" s="245"/>
      <c r="J3260" s="245"/>
      <c r="K3260" s="245"/>
      <c r="L3260" s="246"/>
      <c r="M3260" s="245"/>
      <c r="N3260" s="245"/>
      <c r="O3260" s="245"/>
      <c r="P3260" s="245"/>
      <c r="Q3260" s="247"/>
      <c r="R3260" s="247"/>
      <c r="S3260" s="247"/>
      <c r="T3260" s="245"/>
      <c r="U3260" s="245"/>
      <c r="V3260" s="241"/>
      <c r="W3260" s="241"/>
      <c r="X3260" s="241"/>
    </row>
    <row r="3261" spans="1:24" ht="13.5" customHeight="1" x14ac:dyDescent="0.3">
      <c r="A3261" s="245"/>
      <c r="B3261" s="246"/>
      <c r="C3261" s="245"/>
      <c r="D3261" s="245"/>
      <c r="E3261" s="245"/>
      <c r="F3261" s="245"/>
      <c r="G3261" s="245"/>
      <c r="H3261" s="245"/>
      <c r="I3261" s="245"/>
      <c r="J3261" s="245"/>
      <c r="K3261" s="245"/>
      <c r="L3261" s="246"/>
      <c r="M3261" s="245"/>
      <c r="N3261" s="245"/>
      <c r="O3261" s="245"/>
      <c r="P3261" s="245"/>
      <c r="Q3261" s="247"/>
      <c r="R3261" s="247"/>
      <c r="S3261" s="247"/>
      <c r="T3261" s="245"/>
      <c r="U3261" s="245"/>
      <c r="V3261" s="241"/>
      <c r="W3261" s="241"/>
      <c r="X3261" s="241"/>
    </row>
    <row r="3262" spans="1:24" ht="13.5" customHeight="1" x14ac:dyDescent="0.3">
      <c r="A3262" s="245"/>
      <c r="B3262" s="246"/>
      <c r="C3262" s="245"/>
      <c r="D3262" s="245"/>
      <c r="E3262" s="245"/>
      <c r="F3262" s="245"/>
      <c r="G3262" s="245"/>
      <c r="H3262" s="245"/>
      <c r="I3262" s="245"/>
      <c r="J3262" s="245"/>
      <c r="K3262" s="245"/>
      <c r="L3262" s="246"/>
      <c r="M3262" s="245"/>
      <c r="N3262" s="245"/>
      <c r="O3262" s="245"/>
      <c r="P3262" s="245"/>
      <c r="Q3262" s="247"/>
      <c r="R3262" s="247"/>
      <c r="S3262" s="247"/>
      <c r="T3262" s="245"/>
      <c r="U3262" s="245"/>
      <c r="V3262" s="241"/>
      <c r="W3262" s="241"/>
      <c r="X3262" s="241"/>
    </row>
    <row r="3263" spans="1:24" ht="13.5" customHeight="1" x14ac:dyDescent="0.3">
      <c r="A3263" s="245"/>
      <c r="B3263" s="246"/>
      <c r="C3263" s="245"/>
      <c r="D3263" s="245"/>
      <c r="E3263" s="245"/>
      <c r="F3263" s="245"/>
      <c r="G3263" s="245"/>
      <c r="H3263" s="245"/>
      <c r="I3263" s="245"/>
      <c r="J3263" s="245"/>
      <c r="K3263" s="245"/>
      <c r="L3263" s="246"/>
      <c r="M3263" s="245"/>
      <c r="N3263" s="245"/>
      <c r="O3263" s="245"/>
      <c r="P3263" s="245"/>
      <c r="Q3263" s="247"/>
      <c r="R3263" s="247"/>
      <c r="S3263" s="247"/>
      <c r="T3263" s="245"/>
      <c r="U3263" s="245"/>
      <c r="V3263" s="241"/>
      <c r="W3263" s="241"/>
      <c r="X3263" s="241"/>
    </row>
    <row r="3264" spans="1:24" ht="13.5" customHeight="1" x14ac:dyDescent="0.3">
      <c r="A3264" s="245"/>
      <c r="B3264" s="246"/>
      <c r="C3264" s="245"/>
      <c r="D3264" s="245"/>
      <c r="E3264" s="245"/>
      <c r="F3264" s="245"/>
      <c r="G3264" s="245"/>
      <c r="H3264" s="245"/>
      <c r="I3264" s="245"/>
      <c r="J3264" s="245"/>
      <c r="K3264" s="245"/>
      <c r="L3264" s="246"/>
      <c r="M3264" s="245"/>
      <c r="N3264" s="245"/>
      <c r="O3264" s="245"/>
      <c r="P3264" s="245"/>
      <c r="Q3264" s="247"/>
      <c r="R3264" s="247"/>
      <c r="S3264" s="247"/>
      <c r="T3264" s="245"/>
      <c r="U3264" s="245"/>
      <c r="V3264" s="241"/>
      <c r="W3264" s="241"/>
      <c r="X3264" s="241"/>
    </row>
    <row r="3265" spans="1:24" ht="13.5" customHeight="1" x14ac:dyDescent="0.3">
      <c r="A3265" s="245"/>
      <c r="B3265" s="246"/>
      <c r="C3265" s="245"/>
      <c r="D3265" s="245"/>
      <c r="E3265" s="245"/>
      <c r="F3265" s="245"/>
      <c r="G3265" s="245"/>
      <c r="H3265" s="245"/>
      <c r="I3265" s="245"/>
      <c r="J3265" s="245"/>
      <c r="K3265" s="245"/>
      <c r="L3265" s="246"/>
      <c r="M3265" s="245"/>
      <c r="N3265" s="245"/>
      <c r="O3265" s="245"/>
      <c r="P3265" s="245"/>
      <c r="Q3265" s="247"/>
      <c r="R3265" s="247"/>
      <c r="S3265" s="247"/>
      <c r="T3265" s="245"/>
      <c r="U3265" s="245"/>
      <c r="V3265" s="241"/>
      <c r="W3265" s="241"/>
      <c r="X3265" s="241"/>
    </row>
    <row r="3266" spans="1:24" ht="13.5" customHeight="1" x14ac:dyDescent="0.3">
      <c r="A3266" s="245"/>
      <c r="B3266" s="246"/>
      <c r="C3266" s="245"/>
      <c r="D3266" s="245"/>
      <c r="E3266" s="245"/>
      <c r="F3266" s="245"/>
      <c r="G3266" s="245"/>
      <c r="H3266" s="245"/>
      <c r="I3266" s="245"/>
      <c r="J3266" s="245"/>
      <c r="K3266" s="245"/>
      <c r="L3266" s="246"/>
      <c r="M3266" s="245"/>
      <c r="N3266" s="245"/>
      <c r="O3266" s="245"/>
      <c r="P3266" s="245"/>
      <c r="Q3266" s="247"/>
      <c r="R3266" s="247"/>
      <c r="S3266" s="247"/>
      <c r="T3266" s="245"/>
      <c r="U3266" s="245"/>
      <c r="V3266" s="241"/>
      <c r="W3266" s="241"/>
      <c r="X3266" s="241"/>
    </row>
    <row r="3267" spans="1:24" ht="13.5" customHeight="1" x14ac:dyDescent="0.3">
      <c r="A3267" s="245"/>
      <c r="B3267" s="246"/>
      <c r="C3267" s="245"/>
      <c r="D3267" s="245"/>
      <c r="E3267" s="245"/>
      <c r="F3267" s="245"/>
      <c r="G3267" s="245"/>
      <c r="H3267" s="245"/>
      <c r="I3267" s="245"/>
      <c r="J3267" s="245"/>
      <c r="K3267" s="245"/>
      <c r="L3267" s="246"/>
      <c r="M3267" s="245"/>
      <c r="N3267" s="245"/>
      <c r="O3267" s="245"/>
      <c r="P3267" s="245"/>
      <c r="Q3267" s="247"/>
      <c r="R3267" s="247"/>
      <c r="S3267" s="247"/>
      <c r="T3267" s="245"/>
      <c r="U3267" s="245"/>
      <c r="V3267" s="241"/>
      <c r="W3267" s="241"/>
      <c r="X3267" s="241"/>
    </row>
    <row r="3268" spans="1:24" ht="13.5" customHeight="1" x14ac:dyDescent="0.3">
      <c r="A3268" s="245"/>
      <c r="B3268" s="246"/>
      <c r="C3268" s="245"/>
      <c r="D3268" s="245"/>
      <c r="E3268" s="245"/>
      <c r="F3268" s="245"/>
      <c r="G3268" s="245"/>
      <c r="H3268" s="245"/>
      <c r="I3268" s="245"/>
      <c r="J3268" s="245"/>
      <c r="K3268" s="245"/>
      <c r="L3268" s="246"/>
      <c r="M3268" s="245"/>
      <c r="N3268" s="245"/>
      <c r="O3268" s="245"/>
      <c r="P3268" s="245"/>
      <c r="Q3268" s="247"/>
      <c r="R3268" s="247"/>
      <c r="S3268" s="247"/>
      <c r="T3268" s="245"/>
      <c r="U3268" s="245"/>
      <c r="V3268" s="241"/>
      <c r="W3268" s="241"/>
      <c r="X3268" s="241"/>
    </row>
    <row r="3269" spans="1:24" ht="13.5" customHeight="1" x14ac:dyDescent="0.3">
      <c r="A3269" s="245"/>
      <c r="B3269" s="246"/>
      <c r="C3269" s="245"/>
      <c r="D3269" s="245"/>
      <c r="E3269" s="245"/>
      <c r="F3269" s="245"/>
      <c r="G3269" s="245"/>
      <c r="H3269" s="245"/>
      <c r="I3269" s="245"/>
      <c r="J3269" s="245"/>
      <c r="K3269" s="245"/>
      <c r="L3269" s="246"/>
      <c r="M3269" s="245"/>
      <c r="N3269" s="245"/>
      <c r="O3269" s="245"/>
      <c r="P3269" s="245"/>
      <c r="Q3269" s="247"/>
      <c r="R3269" s="247"/>
      <c r="S3269" s="247"/>
      <c r="T3269" s="245"/>
      <c r="U3269" s="245"/>
      <c r="V3269" s="241"/>
      <c r="W3269" s="241"/>
      <c r="X3269" s="241"/>
    </row>
    <row r="3270" spans="1:24" ht="13.5" customHeight="1" x14ac:dyDescent="0.3">
      <c r="A3270" s="245"/>
      <c r="B3270" s="246"/>
      <c r="C3270" s="245"/>
      <c r="D3270" s="245"/>
      <c r="E3270" s="245"/>
      <c r="F3270" s="245"/>
      <c r="G3270" s="245"/>
      <c r="H3270" s="245"/>
      <c r="I3270" s="245"/>
      <c r="J3270" s="245"/>
      <c r="K3270" s="245"/>
      <c r="L3270" s="246"/>
      <c r="M3270" s="245"/>
      <c r="N3270" s="245"/>
      <c r="O3270" s="245"/>
      <c r="P3270" s="245"/>
      <c r="Q3270" s="247"/>
      <c r="R3270" s="247"/>
      <c r="S3270" s="247"/>
      <c r="T3270" s="245"/>
      <c r="U3270" s="245"/>
      <c r="V3270" s="241"/>
      <c r="W3270" s="241"/>
      <c r="X3270" s="241"/>
    </row>
    <row r="3271" spans="1:24" ht="13.5" customHeight="1" x14ac:dyDescent="0.3">
      <c r="A3271" s="245"/>
      <c r="B3271" s="246"/>
      <c r="C3271" s="245"/>
      <c r="D3271" s="245"/>
      <c r="E3271" s="245"/>
      <c r="F3271" s="245"/>
      <c r="G3271" s="245"/>
      <c r="H3271" s="245"/>
      <c r="I3271" s="245"/>
      <c r="J3271" s="245"/>
      <c r="K3271" s="245"/>
      <c r="L3271" s="246"/>
      <c r="M3271" s="245"/>
      <c r="N3271" s="245"/>
      <c r="O3271" s="245"/>
      <c r="P3271" s="245"/>
      <c r="Q3271" s="247"/>
      <c r="R3271" s="247"/>
      <c r="S3271" s="247"/>
      <c r="T3271" s="245"/>
      <c r="U3271" s="245"/>
      <c r="V3271" s="241"/>
      <c r="W3271" s="241"/>
      <c r="X3271" s="241"/>
    </row>
    <row r="3272" spans="1:24" ht="13.5" customHeight="1" x14ac:dyDescent="0.3">
      <c r="A3272" s="245"/>
      <c r="B3272" s="246"/>
      <c r="C3272" s="245"/>
      <c r="D3272" s="245"/>
      <c r="E3272" s="245"/>
      <c r="F3272" s="245"/>
      <c r="G3272" s="245"/>
      <c r="H3272" s="245"/>
      <c r="I3272" s="245"/>
      <c r="J3272" s="245"/>
      <c r="K3272" s="245"/>
      <c r="L3272" s="246"/>
      <c r="M3272" s="245"/>
      <c r="N3272" s="245"/>
      <c r="O3272" s="245"/>
      <c r="P3272" s="245"/>
      <c r="Q3272" s="247"/>
      <c r="R3272" s="247"/>
      <c r="S3272" s="247"/>
      <c r="T3272" s="245"/>
      <c r="U3272" s="245"/>
      <c r="V3272" s="241"/>
      <c r="W3272" s="241"/>
      <c r="X3272" s="241"/>
    </row>
    <row r="3273" spans="1:24" ht="13.5" customHeight="1" x14ac:dyDescent="0.3">
      <c r="A3273" s="245"/>
      <c r="B3273" s="246"/>
      <c r="C3273" s="245"/>
      <c r="D3273" s="245"/>
      <c r="E3273" s="245"/>
      <c r="F3273" s="245"/>
      <c r="G3273" s="245"/>
      <c r="H3273" s="245"/>
      <c r="I3273" s="245"/>
      <c r="J3273" s="245"/>
      <c r="K3273" s="245"/>
      <c r="L3273" s="246"/>
      <c r="M3273" s="245"/>
      <c r="N3273" s="245"/>
      <c r="O3273" s="245"/>
      <c r="P3273" s="245"/>
      <c r="Q3273" s="247"/>
      <c r="R3273" s="247"/>
      <c r="S3273" s="247"/>
      <c r="T3273" s="245"/>
      <c r="U3273" s="245"/>
      <c r="V3273" s="241"/>
      <c r="W3273" s="241"/>
      <c r="X3273" s="241"/>
    </row>
    <row r="3274" spans="1:24" ht="13.5" customHeight="1" x14ac:dyDescent="0.3">
      <c r="A3274" s="245"/>
      <c r="B3274" s="246"/>
      <c r="C3274" s="245"/>
      <c r="D3274" s="245"/>
      <c r="E3274" s="245"/>
      <c r="F3274" s="245"/>
      <c r="G3274" s="245"/>
      <c r="H3274" s="245"/>
      <c r="I3274" s="245"/>
      <c r="J3274" s="245"/>
      <c r="K3274" s="245"/>
      <c r="L3274" s="246"/>
      <c r="M3274" s="245"/>
      <c r="N3274" s="245"/>
      <c r="O3274" s="245"/>
      <c r="P3274" s="245"/>
      <c r="Q3274" s="247"/>
      <c r="R3274" s="247"/>
      <c r="S3274" s="247"/>
      <c r="T3274" s="245"/>
      <c r="U3274" s="245"/>
      <c r="V3274" s="241"/>
      <c r="W3274" s="241"/>
      <c r="X3274" s="241"/>
    </row>
    <row r="3275" spans="1:24" ht="13.5" customHeight="1" x14ac:dyDescent="0.3">
      <c r="A3275" s="245"/>
      <c r="B3275" s="246"/>
      <c r="C3275" s="245"/>
      <c r="D3275" s="245"/>
      <c r="E3275" s="245"/>
      <c r="F3275" s="245"/>
      <c r="G3275" s="245"/>
      <c r="H3275" s="245"/>
      <c r="I3275" s="245"/>
      <c r="J3275" s="245"/>
      <c r="K3275" s="245"/>
      <c r="L3275" s="246"/>
      <c r="M3275" s="245"/>
      <c r="N3275" s="245"/>
      <c r="O3275" s="245"/>
      <c r="P3275" s="245"/>
      <c r="Q3275" s="247"/>
      <c r="R3275" s="247"/>
      <c r="S3275" s="247"/>
      <c r="T3275" s="245"/>
      <c r="U3275" s="245"/>
      <c r="V3275" s="241"/>
      <c r="W3275" s="241"/>
      <c r="X3275" s="241"/>
    </row>
    <row r="3276" spans="1:24" ht="13.5" customHeight="1" x14ac:dyDescent="0.3">
      <c r="A3276" s="245"/>
      <c r="B3276" s="246"/>
      <c r="C3276" s="245"/>
      <c r="D3276" s="245"/>
      <c r="E3276" s="245"/>
      <c r="F3276" s="245"/>
      <c r="G3276" s="245"/>
      <c r="H3276" s="245"/>
      <c r="I3276" s="245"/>
      <c r="J3276" s="245"/>
      <c r="K3276" s="245"/>
      <c r="L3276" s="246"/>
      <c r="M3276" s="245"/>
      <c r="N3276" s="245"/>
      <c r="O3276" s="245"/>
      <c r="P3276" s="245"/>
      <c r="Q3276" s="247"/>
      <c r="R3276" s="247"/>
      <c r="S3276" s="247"/>
      <c r="T3276" s="245"/>
      <c r="U3276" s="245"/>
      <c r="V3276" s="241"/>
      <c r="W3276" s="241"/>
      <c r="X3276" s="241"/>
    </row>
    <row r="3277" spans="1:24" ht="13.5" customHeight="1" x14ac:dyDescent="0.3">
      <c r="A3277" s="245"/>
      <c r="B3277" s="246"/>
      <c r="C3277" s="245"/>
      <c r="D3277" s="245"/>
      <c r="E3277" s="245"/>
      <c r="F3277" s="245"/>
      <c r="G3277" s="245"/>
      <c r="H3277" s="245"/>
      <c r="I3277" s="245"/>
      <c r="J3277" s="245"/>
      <c r="K3277" s="245"/>
      <c r="L3277" s="246"/>
      <c r="M3277" s="245"/>
      <c r="N3277" s="245"/>
      <c r="O3277" s="245"/>
      <c r="P3277" s="245"/>
      <c r="Q3277" s="247"/>
      <c r="R3277" s="247"/>
      <c r="S3277" s="247"/>
      <c r="T3277" s="245"/>
      <c r="U3277" s="245"/>
      <c r="V3277" s="241"/>
      <c r="W3277" s="241"/>
      <c r="X3277" s="241"/>
    </row>
    <row r="3278" spans="1:24" ht="13.5" customHeight="1" x14ac:dyDescent="0.3">
      <c r="A3278" s="245"/>
      <c r="B3278" s="246"/>
      <c r="C3278" s="245"/>
      <c r="D3278" s="245"/>
      <c r="E3278" s="245"/>
      <c r="F3278" s="245"/>
      <c r="G3278" s="245"/>
      <c r="H3278" s="245"/>
      <c r="I3278" s="245"/>
      <c r="J3278" s="245"/>
      <c r="K3278" s="245"/>
      <c r="L3278" s="246"/>
      <c r="M3278" s="245"/>
      <c r="N3278" s="245"/>
      <c r="O3278" s="245"/>
      <c r="P3278" s="245"/>
      <c r="Q3278" s="247"/>
      <c r="R3278" s="247"/>
      <c r="S3278" s="247"/>
      <c r="T3278" s="245"/>
      <c r="U3278" s="245"/>
      <c r="V3278" s="241"/>
      <c r="W3278" s="241"/>
      <c r="X3278" s="241"/>
    </row>
    <row r="3279" spans="1:24" ht="13.5" customHeight="1" x14ac:dyDescent="0.3">
      <c r="A3279" s="245"/>
      <c r="B3279" s="246"/>
      <c r="C3279" s="245"/>
      <c r="D3279" s="245"/>
      <c r="E3279" s="245"/>
      <c r="F3279" s="245"/>
      <c r="G3279" s="245"/>
      <c r="H3279" s="245"/>
      <c r="I3279" s="245"/>
      <c r="J3279" s="245"/>
      <c r="K3279" s="245"/>
      <c r="L3279" s="246"/>
      <c r="M3279" s="245"/>
      <c r="N3279" s="245"/>
      <c r="O3279" s="245"/>
      <c r="P3279" s="245"/>
      <c r="Q3279" s="247"/>
      <c r="R3279" s="247"/>
      <c r="S3279" s="247"/>
      <c r="T3279" s="245"/>
      <c r="U3279" s="245"/>
      <c r="V3279" s="241"/>
      <c r="W3279" s="241"/>
      <c r="X3279" s="241"/>
    </row>
    <row r="3280" spans="1:24" ht="13.5" customHeight="1" x14ac:dyDescent="0.3">
      <c r="A3280" s="245"/>
      <c r="B3280" s="246"/>
      <c r="C3280" s="245"/>
      <c r="D3280" s="245"/>
      <c r="E3280" s="245"/>
      <c r="F3280" s="245"/>
      <c r="G3280" s="245"/>
      <c r="H3280" s="245"/>
      <c r="I3280" s="245"/>
      <c r="J3280" s="245"/>
      <c r="K3280" s="245"/>
      <c r="L3280" s="246"/>
      <c r="M3280" s="245"/>
      <c r="N3280" s="245"/>
      <c r="O3280" s="245"/>
      <c r="P3280" s="245"/>
      <c r="Q3280" s="247"/>
      <c r="R3280" s="247"/>
      <c r="S3280" s="247"/>
      <c r="T3280" s="245"/>
      <c r="U3280" s="245"/>
      <c r="V3280" s="241"/>
      <c r="W3280" s="241"/>
      <c r="X3280" s="241"/>
    </row>
    <row r="3281" spans="1:24" ht="13.5" customHeight="1" x14ac:dyDescent="0.3">
      <c r="A3281" s="245"/>
      <c r="B3281" s="246"/>
      <c r="C3281" s="245"/>
      <c r="D3281" s="245"/>
      <c r="E3281" s="245"/>
      <c r="F3281" s="245"/>
      <c r="G3281" s="245"/>
      <c r="H3281" s="245"/>
      <c r="I3281" s="245"/>
      <c r="J3281" s="245"/>
      <c r="K3281" s="245"/>
      <c r="L3281" s="246"/>
      <c r="M3281" s="245"/>
      <c r="N3281" s="245"/>
      <c r="O3281" s="245"/>
      <c r="P3281" s="245"/>
      <c r="Q3281" s="247"/>
      <c r="R3281" s="247"/>
      <c r="S3281" s="247"/>
      <c r="T3281" s="245"/>
      <c r="U3281" s="245"/>
      <c r="V3281" s="241"/>
      <c r="W3281" s="241"/>
      <c r="X3281" s="241"/>
    </row>
    <row r="3282" spans="1:24" ht="13.5" customHeight="1" x14ac:dyDescent="0.3">
      <c r="A3282" s="245"/>
      <c r="B3282" s="246"/>
      <c r="C3282" s="245"/>
      <c r="D3282" s="245"/>
      <c r="E3282" s="245"/>
      <c r="F3282" s="245"/>
      <c r="G3282" s="245"/>
      <c r="H3282" s="245"/>
      <c r="I3282" s="245"/>
      <c r="J3282" s="245"/>
      <c r="K3282" s="245"/>
      <c r="L3282" s="246"/>
      <c r="M3282" s="245"/>
      <c r="N3282" s="245"/>
      <c r="O3282" s="245"/>
      <c r="P3282" s="245"/>
      <c r="Q3282" s="247"/>
      <c r="R3282" s="247"/>
      <c r="S3282" s="247"/>
      <c r="T3282" s="245"/>
      <c r="U3282" s="245"/>
      <c r="V3282" s="241"/>
      <c r="W3282" s="241"/>
      <c r="X3282" s="241"/>
    </row>
    <row r="3283" spans="1:24" ht="13.5" customHeight="1" x14ac:dyDescent="0.3">
      <c r="A3283" s="245"/>
      <c r="B3283" s="246"/>
      <c r="C3283" s="245"/>
      <c r="D3283" s="245"/>
      <c r="E3283" s="245"/>
      <c r="F3283" s="245"/>
      <c r="G3283" s="245"/>
      <c r="H3283" s="245"/>
      <c r="I3283" s="245"/>
      <c r="J3283" s="245"/>
      <c r="K3283" s="245"/>
      <c r="L3283" s="246"/>
      <c r="M3283" s="245"/>
      <c r="N3283" s="245"/>
      <c r="O3283" s="245"/>
      <c r="P3283" s="245"/>
      <c r="Q3283" s="247"/>
      <c r="R3283" s="247"/>
      <c r="S3283" s="247"/>
      <c r="T3283" s="245"/>
      <c r="U3283" s="245"/>
      <c r="V3283" s="241"/>
      <c r="W3283" s="241"/>
      <c r="X3283" s="241"/>
    </row>
    <row r="3284" spans="1:24" ht="13.5" customHeight="1" x14ac:dyDescent="0.3">
      <c r="A3284" s="245"/>
      <c r="B3284" s="246"/>
      <c r="C3284" s="245"/>
      <c r="D3284" s="245"/>
      <c r="E3284" s="245"/>
      <c r="F3284" s="245"/>
      <c r="G3284" s="245"/>
      <c r="H3284" s="245"/>
      <c r="I3284" s="245"/>
      <c r="J3284" s="245"/>
      <c r="K3284" s="245"/>
      <c r="L3284" s="246"/>
      <c r="M3284" s="245"/>
      <c r="N3284" s="245"/>
      <c r="O3284" s="245"/>
      <c r="P3284" s="245"/>
      <c r="Q3284" s="247"/>
      <c r="R3284" s="247"/>
      <c r="S3284" s="247"/>
      <c r="T3284" s="245"/>
      <c r="U3284" s="245"/>
      <c r="V3284" s="241"/>
      <c r="W3284" s="241"/>
      <c r="X3284" s="241"/>
    </row>
    <row r="3285" spans="1:24" ht="13.5" customHeight="1" x14ac:dyDescent="0.3">
      <c r="A3285" s="245"/>
      <c r="B3285" s="246"/>
      <c r="C3285" s="245"/>
      <c r="D3285" s="245"/>
      <c r="E3285" s="245"/>
      <c r="F3285" s="245"/>
      <c r="G3285" s="245"/>
      <c r="H3285" s="245"/>
      <c r="I3285" s="245"/>
      <c r="J3285" s="245"/>
      <c r="K3285" s="245"/>
      <c r="L3285" s="246"/>
      <c r="M3285" s="245"/>
      <c r="N3285" s="245"/>
      <c r="O3285" s="245"/>
      <c r="P3285" s="245"/>
      <c r="Q3285" s="247"/>
      <c r="R3285" s="247"/>
      <c r="S3285" s="247"/>
      <c r="T3285" s="245"/>
      <c r="U3285" s="245"/>
      <c r="V3285" s="241"/>
      <c r="W3285" s="241"/>
      <c r="X3285" s="241"/>
    </row>
    <row r="3286" spans="1:24" ht="13.5" customHeight="1" x14ac:dyDescent="0.3">
      <c r="A3286" s="245"/>
      <c r="B3286" s="246"/>
      <c r="C3286" s="245"/>
      <c r="D3286" s="245"/>
      <c r="E3286" s="245"/>
      <c r="F3286" s="245"/>
      <c r="G3286" s="245"/>
      <c r="H3286" s="245"/>
      <c r="I3286" s="245"/>
      <c r="J3286" s="245"/>
      <c r="K3286" s="245"/>
      <c r="L3286" s="246"/>
      <c r="M3286" s="245"/>
      <c r="N3286" s="245"/>
      <c r="O3286" s="245"/>
      <c r="P3286" s="245"/>
      <c r="Q3286" s="247"/>
      <c r="R3286" s="247"/>
      <c r="S3286" s="247"/>
      <c r="T3286" s="245"/>
      <c r="U3286" s="245"/>
      <c r="V3286" s="241"/>
      <c r="W3286" s="241"/>
      <c r="X3286" s="241"/>
    </row>
    <row r="3287" spans="1:24" ht="13.5" customHeight="1" x14ac:dyDescent="0.3">
      <c r="A3287" s="245"/>
      <c r="B3287" s="246"/>
      <c r="C3287" s="245"/>
      <c r="D3287" s="245"/>
      <c r="E3287" s="245"/>
      <c r="F3287" s="245"/>
      <c r="G3287" s="245"/>
      <c r="H3287" s="245"/>
      <c r="I3287" s="245"/>
      <c r="J3287" s="245"/>
      <c r="K3287" s="245"/>
      <c r="L3287" s="246"/>
      <c r="M3287" s="245"/>
      <c r="N3287" s="245"/>
      <c r="O3287" s="245"/>
      <c r="P3287" s="245"/>
      <c r="Q3287" s="247"/>
      <c r="R3287" s="247"/>
      <c r="S3287" s="247"/>
      <c r="T3287" s="245"/>
      <c r="U3287" s="245"/>
      <c r="V3287" s="241"/>
      <c r="W3287" s="241"/>
      <c r="X3287" s="241"/>
    </row>
    <row r="3288" spans="1:24" ht="13.5" customHeight="1" x14ac:dyDescent="0.3">
      <c r="A3288" s="245"/>
      <c r="B3288" s="246"/>
      <c r="C3288" s="245"/>
      <c r="D3288" s="245"/>
      <c r="E3288" s="245"/>
      <c r="F3288" s="245"/>
      <c r="G3288" s="245"/>
      <c r="H3288" s="245"/>
      <c r="I3288" s="245"/>
      <c r="J3288" s="245"/>
      <c r="K3288" s="245"/>
      <c r="L3288" s="246"/>
      <c r="M3288" s="245"/>
      <c r="N3288" s="245"/>
      <c r="O3288" s="245"/>
      <c r="P3288" s="245"/>
      <c r="Q3288" s="247"/>
      <c r="R3288" s="247"/>
      <c r="S3288" s="247"/>
      <c r="T3288" s="245"/>
      <c r="U3288" s="245"/>
      <c r="V3288" s="241"/>
      <c r="W3288" s="241"/>
      <c r="X3288" s="241"/>
    </row>
    <row r="3289" spans="1:24" ht="13.5" customHeight="1" x14ac:dyDescent="0.3">
      <c r="A3289" s="245"/>
      <c r="B3289" s="246"/>
      <c r="C3289" s="245"/>
      <c r="D3289" s="245"/>
      <c r="E3289" s="245"/>
      <c r="F3289" s="245"/>
      <c r="G3289" s="245"/>
      <c r="H3289" s="245"/>
      <c r="I3289" s="245"/>
      <c r="J3289" s="245"/>
      <c r="K3289" s="245"/>
      <c r="L3289" s="246"/>
      <c r="M3289" s="245"/>
      <c r="N3289" s="245"/>
      <c r="O3289" s="245"/>
      <c r="P3289" s="245"/>
      <c r="Q3289" s="247"/>
      <c r="R3289" s="247"/>
      <c r="S3289" s="247"/>
      <c r="T3289" s="245"/>
      <c r="U3289" s="245"/>
      <c r="V3289" s="241"/>
      <c r="W3289" s="241"/>
      <c r="X3289" s="241"/>
    </row>
    <row r="3290" spans="1:24" ht="13.5" customHeight="1" x14ac:dyDescent="0.3">
      <c r="A3290" s="245"/>
      <c r="B3290" s="246"/>
      <c r="C3290" s="245"/>
      <c r="D3290" s="245"/>
      <c r="E3290" s="245"/>
      <c r="F3290" s="245"/>
      <c r="G3290" s="245"/>
      <c r="H3290" s="245"/>
      <c r="I3290" s="245"/>
      <c r="J3290" s="245"/>
      <c r="K3290" s="245"/>
      <c r="L3290" s="246"/>
      <c r="M3290" s="245"/>
      <c r="N3290" s="245"/>
      <c r="O3290" s="245"/>
      <c r="P3290" s="245"/>
      <c r="Q3290" s="247"/>
      <c r="R3290" s="247"/>
      <c r="S3290" s="247"/>
      <c r="T3290" s="245"/>
      <c r="U3290" s="245"/>
      <c r="V3290" s="241"/>
      <c r="W3290" s="241"/>
      <c r="X3290" s="241"/>
    </row>
    <row r="3291" spans="1:24" ht="13.5" customHeight="1" x14ac:dyDescent="0.3">
      <c r="A3291" s="245"/>
      <c r="B3291" s="246"/>
      <c r="C3291" s="245"/>
      <c r="D3291" s="245"/>
      <c r="E3291" s="245"/>
      <c r="F3291" s="245"/>
      <c r="G3291" s="245"/>
      <c r="H3291" s="245"/>
      <c r="I3291" s="245"/>
      <c r="J3291" s="245"/>
      <c r="K3291" s="245"/>
      <c r="L3291" s="246"/>
      <c r="M3291" s="245"/>
      <c r="N3291" s="245"/>
      <c r="O3291" s="245"/>
      <c r="P3291" s="245"/>
      <c r="Q3291" s="247"/>
      <c r="R3291" s="247"/>
      <c r="S3291" s="247"/>
      <c r="T3291" s="245"/>
      <c r="U3291" s="245"/>
      <c r="V3291" s="241"/>
      <c r="W3291" s="241"/>
      <c r="X3291" s="241"/>
    </row>
    <row r="3292" spans="1:24" ht="13.5" customHeight="1" x14ac:dyDescent="0.3">
      <c r="A3292" s="245"/>
      <c r="B3292" s="246"/>
      <c r="C3292" s="245"/>
      <c r="D3292" s="245"/>
      <c r="E3292" s="245"/>
      <c r="F3292" s="245"/>
      <c r="G3292" s="245"/>
      <c r="H3292" s="245"/>
      <c r="I3292" s="245"/>
      <c r="J3292" s="245"/>
      <c r="K3292" s="245"/>
      <c r="L3292" s="246"/>
      <c r="M3292" s="245"/>
      <c r="N3292" s="245"/>
      <c r="O3292" s="245"/>
      <c r="P3292" s="245"/>
      <c r="Q3292" s="247"/>
      <c r="R3292" s="247"/>
      <c r="S3292" s="247"/>
      <c r="T3292" s="245"/>
      <c r="U3292" s="245"/>
      <c r="V3292" s="241"/>
      <c r="W3292" s="241"/>
      <c r="X3292" s="241"/>
    </row>
    <row r="3293" spans="1:24" ht="13.5" customHeight="1" x14ac:dyDescent="0.3">
      <c r="A3293" s="245"/>
      <c r="B3293" s="246"/>
      <c r="C3293" s="245"/>
      <c r="D3293" s="245"/>
      <c r="E3293" s="245"/>
      <c r="F3293" s="245"/>
      <c r="G3293" s="245"/>
      <c r="H3293" s="245"/>
      <c r="I3293" s="245"/>
      <c r="J3293" s="245"/>
      <c r="K3293" s="245"/>
      <c r="L3293" s="246"/>
      <c r="M3293" s="245"/>
      <c r="N3293" s="245"/>
      <c r="O3293" s="245"/>
      <c r="P3293" s="245"/>
      <c r="Q3293" s="247"/>
      <c r="R3293" s="247"/>
      <c r="S3293" s="247"/>
      <c r="T3293" s="245"/>
      <c r="U3293" s="245"/>
      <c r="V3293" s="241"/>
      <c r="W3293" s="241"/>
      <c r="X3293" s="241"/>
    </row>
    <row r="3294" spans="1:24" ht="13.5" customHeight="1" x14ac:dyDescent="0.3">
      <c r="A3294" s="245"/>
      <c r="B3294" s="246"/>
      <c r="C3294" s="245"/>
      <c r="D3294" s="245"/>
      <c r="E3294" s="245"/>
      <c r="F3294" s="245"/>
      <c r="G3294" s="245"/>
      <c r="H3294" s="245"/>
      <c r="I3294" s="245"/>
      <c r="J3294" s="245"/>
      <c r="K3294" s="245"/>
      <c r="L3294" s="246"/>
      <c r="M3294" s="245"/>
      <c r="N3294" s="245"/>
      <c r="O3294" s="245"/>
      <c r="P3294" s="245"/>
      <c r="Q3294" s="247"/>
      <c r="R3294" s="247"/>
      <c r="S3294" s="247"/>
      <c r="T3294" s="245"/>
      <c r="U3294" s="245"/>
      <c r="V3294" s="241"/>
      <c r="W3294" s="241"/>
      <c r="X3294" s="241"/>
    </row>
    <row r="3295" spans="1:24" ht="13.5" customHeight="1" x14ac:dyDescent="0.3">
      <c r="A3295" s="245"/>
      <c r="B3295" s="246"/>
      <c r="C3295" s="245"/>
      <c r="D3295" s="245"/>
      <c r="E3295" s="245"/>
      <c r="F3295" s="245"/>
      <c r="G3295" s="245"/>
      <c r="H3295" s="245"/>
      <c r="I3295" s="245"/>
      <c r="J3295" s="245"/>
      <c r="K3295" s="245"/>
      <c r="L3295" s="246"/>
      <c r="M3295" s="245"/>
      <c r="N3295" s="245"/>
      <c r="O3295" s="245"/>
      <c r="P3295" s="245"/>
      <c r="Q3295" s="247"/>
      <c r="R3295" s="247"/>
      <c r="S3295" s="247"/>
      <c r="T3295" s="245"/>
      <c r="U3295" s="245"/>
      <c r="V3295" s="241"/>
      <c r="W3295" s="241"/>
      <c r="X3295" s="241"/>
    </row>
    <row r="3296" spans="1:24" ht="13.5" customHeight="1" x14ac:dyDescent="0.3">
      <c r="A3296" s="245"/>
      <c r="B3296" s="246"/>
      <c r="C3296" s="245"/>
      <c r="D3296" s="245"/>
      <c r="E3296" s="245"/>
      <c r="F3296" s="245"/>
      <c r="G3296" s="245"/>
      <c r="H3296" s="245"/>
      <c r="I3296" s="245"/>
      <c r="J3296" s="245"/>
      <c r="K3296" s="245"/>
      <c r="L3296" s="246"/>
      <c r="M3296" s="245"/>
      <c r="N3296" s="245"/>
      <c r="O3296" s="245"/>
      <c r="P3296" s="245"/>
      <c r="Q3296" s="247"/>
      <c r="R3296" s="247"/>
      <c r="S3296" s="247"/>
      <c r="T3296" s="245"/>
      <c r="U3296" s="245"/>
      <c r="V3296" s="241"/>
      <c r="W3296" s="241"/>
      <c r="X3296" s="241"/>
    </row>
    <row r="3297" spans="1:24" ht="13.5" customHeight="1" x14ac:dyDescent="0.3">
      <c r="A3297" s="245"/>
      <c r="B3297" s="246"/>
      <c r="C3297" s="245"/>
      <c r="D3297" s="245"/>
      <c r="E3297" s="245"/>
      <c r="F3297" s="245"/>
      <c r="G3297" s="245"/>
      <c r="H3297" s="245"/>
      <c r="I3297" s="245"/>
      <c r="J3297" s="245"/>
      <c r="K3297" s="245"/>
      <c r="L3297" s="246"/>
      <c r="M3297" s="245"/>
      <c r="N3297" s="245"/>
      <c r="O3297" s="245"/>
      <c r="P3297" s="245"/>
      <c r="Q3297" s="247"/>
      <c r="R3297" s="247"/>
      <c r="S3297" s="247"/>
      <c r="T3297" s="245"/>
      <c r="U3297" s="245"/>
      <c r="V3297" s="241"/>
      <c r="W3297" s="241"/>
      <c r="X3297" s="241"/>
    </row>
    <row r="3298" spans="1:24" ht="13.5" customHeight="1" x14ac:dyDescent="0.3">
      <c r="A3298" s="245"/>
      <c r="B3298" s="246"/>
      <c r="C3298" s="245"/>
      <c r="D3298" s="245"/>
      <c r="E3298" s="245"/>
      <c r="F3298" s="245"/>
      <c r="G3298" s="245"/>
      <c r="H3298" s="245"/>
      <c r="I3298" s="245"/>
      <c r="J3298" s="245"/>
      <c r="K3298" s="245"/>
      <c r="L3298" s="246"/>
      <c r="M3298" s="245"/>
      <c r="N3298" s="245"/>
      <c r="O3298" s="245"/>
      <c r="P3298" s="245"/>
      <c r="Q3298" s="247"/>
      <c r="R3298" s="247"/>
      <c r="S3298" s="247"/>
      <c r="T3298" s="245"/>
      <c r="U3298" s="245"/>
      <c r="V3298" s="241"/>
      <c r="W3298" s="241"/>
      <c r="X3298" s="241"/>
    </row>
    <row r="3299" spans="1:24" ht="13.5" customHeight="1" x14ac:dyDescent="0.3">
      <c r="A3299" s="245"/>
      <c r="B3299" s="246"/>
      <c r="C3299" s="245"/>
      <c r="D3299" s="245"/>
      <c r="E3299" s="245"/>
      <c r="F3299" s="245"/>
      <c r="G3299" s="245"/>
      <c r="H3299" s="245"/>
      <c r="I3299" s="245"/>
      <c r="J3299" s="245"/>
      <c r="K3299" s="245"/>
      <c r="L3299" s="246"/>
      <c r="M3299" s="245"/>
      <c r="N3299" s="245"/>
      <c r="O3299" s="245"/>
      <c r="P3299" s="245"/>
      <c r="Q3299" s="247"/>
      <c r="R3299" s="247"/>
      <c r="S3299" s="247"/>
      <c r="T3299" s="245"/>
      <c r="U3299" s="245"/>
      <c r="V3299" s="241"/>
      <c r="W3299" s="241"/>
      <c r="X3299" s="241"/>
    </row>
    <row r="3300" spans="1:24" ht="13.5" customHeight="1" x14ac:dyDescent="0.3">
      <c r="A3300" s="245"/>
      <c r="B3300" s="246"/>
      <c r="C3300" s="245"/>
      <c r="D3300" s="245"/>
      <c r="E3300" s="245"/>
      <c r="F3300" s="245"/>
      <c r="G3300" s="245"/>
      <c r="H3300" s="245"/>
      <c r="I3300" s="245"/>
      <c r="J3300" s="245"/>
      <c r="K3300" s="245"/>
      <c r="L3300" s="246"/>
      <c r="M3300" s="245"/>
      <c r="N3300" s="245"/>
      <c r="O3300" s="245"/>
      <c r="P3300" s="245"/>
      <c r="Q3300" s="247"/>
      <c r="R3300" s="247"/>
      <c r="S3300" s="247"/>
      <c r="T3300" s="245"/>
      <c r="U3300" s="245"/>
      <c r="V3300" s="241"/>
      <c r="W3300" s="241"/>
      <c r="X3300" s="241"/>
    </row>
    <row r="3301" spans="1:24" ht="13.5" customHeight="1" x14ac:dyDescent="0.3">
      <c r="A3301" s="245"/>
      <c r="B3301" s="246"/>
      <c r="C3301" s="245"/>
      <c r="D3301" s="245"/>
      <c r="E3301" s="245"/>
      <c r="F3301" s="245"/>
      <c r="G3301" s="245"/>
      <c r="H3301" s="245"/>
      <c r="I3301" s="245"/>
      <c r="J3301" s="245"/>
      <c r="K3301" s="245"/>
      <c r="L3301" s="246"/>
      <c r="M3301" s="245"/>
      <c r="N3301" s="245"/>
      <c r="O3301" s="245"/>
      <c r="P3301" s="245"/>
      <c r="Q3301" s="247"/>
      <c r="R3301" s="247"/>
      <c r="S3301" s="247"/>
      <c r="T3301" s="245"/>
      <c r="U3301" s="245"/>
      <c r="V3301" s="241"/>
      <c r="W3301" s="241"/>
      <c r="X3301" s="241"/>
    </row>
    <row r="3302" spans="1:24" ht="13.5" customHeight="1" x14ac:dyDescent="0.3">
      <c r="A3302" s="245"/>
      <c r="B3302" s="246"/>
      <c r="C3302" s="245"/>
      <c r="D3302" s="245"/>
      <c r="E3302" s="245"/>
      <c r="F3302" s="245"/>
      <c r="G3302" s="245"/>
      <c r="H3302" s="245"/>
      <c r="I3302" s="245"/>
      <c r="J3302" s="245"/>
      <c r="K3302" s="245"/>
      <c r="L3302" s="246"/>
      <c r="M3302" s="245"/>
      <c r="N3302" s="245"/>
      <c r="O3302" s="245"/>
      <c r="P3302" s="245"/>
      <c r="Q3302" s="247"/>
      <c r="R3302" s="247"/>
      <c r="S3302" s="247"/>
      <c r="T3302" s="245"/>
      <c r="U3302" s="245"/>
      <c r="V3302" s="241"/>
      <c r="W3302" s="241"/>
      <c r="X3302" s="241"/>
    </row>
    <row r="3303" spans="1:24" ht="13.5" customHeight="1" x14ac:dyDescent="0.3">
      <c r="A3303" s="245"/>
      <c r="B3303" s="246"/>
      <c r="C3303" s="245"/>
      <c r="D3303" s="245"/>
      <c r="E3303" s="245"/>
      <c r="F3303" s="245"/>
      <c r="G3303" s="245"/>
      <c r="H3303" s="245"/>
      <c r="I3303" s="245"/>
      <c r="J3303" s="245"/>
      <c r="K3303" s="245"/>
      <c r="L3303" s="246"/>
      <c r="M3303" s="245"/>
      <c r="N3303" s="245"/>
      <c r="O3303" s="245"/>
      <c r="P3303" s="245"/>
      <c r="Q3303" s="247"/>
      <c r="R3303" s="247"/>
      <c r="S3303" s="247"/>
      <c r="T3303" s="245"/>
      <c r="U3303" s="245"/>
      <c r="V3303" s="241"/>
      <c r="W3303" s="241"/>
      <c r="X3303" s="241"/>
    </row>
    <row r="3304" spans="1:24" ht="13.5" customHeight="1" x14ac:dyDescent="0.3">
      <c r="A3304" s="245"/>
      <c r="B3304" s="246"/>
      <c r="C3304" s="245"/>
      <c r="D3304" s="245"/>
      <c r="E3304" s="245"/>
      <c r="F3304" s="245"/>
      <c r="G3304" s="245"/>
      <c r="H3304" s="245"/>
      <c r="I3304" s="245"/>
      <c r="J3304" s="245"/>
      <c r="K3304" s="245"/>
      <c r="L3304" s="246"/>
      <c r="M3304" s="245"/>
      <c r="N3304" s="245"/>
      <c r="O3304" s="245"/>
      <c r="P3304" s="245"/>
      <c r="Q3304" s="247"/>
      <c r="R3304" s="247"/>
      <c r="S3304" s="247"/>
      <c r="T3304" s="245"/>
      <c r="U3304" s="245"/>
      <c r="V3304" s="241"/>
      <c r="W3304" s="241"/>
      <c r="X3304" s="241"/>
    </row>
    <row r="3305" spans="1:24" ht="13.5" customHeight="1" x14ac:dyDescent="0.3">
      <c r="A3305" s="245"/>
      <c r="B3305" s="246"/>
      <c r="C3305" s="245"/>
      <c r="D3305" s="245"/>
      <c r="E3305" s="245"/>
      <c r="F3305" s="245"/>
      <c r="G3305" s="245"/>
      <c r="H3305" s="245"/>
      <c r="I3305" s="245"/>
      <c r="J3305" s="245"/>
      <c r="K3305" s="245"/>
      <c r="L3305" s="246"/>
      <c r="M3305" s="245"/>
      <c r="N3305" s="245"/>
      <c r="O3305" s="245"/>
      <c r="P3305" s="245"/>
      <c r="Q3305" s="247"/>
      <c r="R3305" s="247"/>
      <c r="S3305" s="247"/>
      <c r="T3305" s="245"/>
      <c r="U3305" s="245"/>
      <c r="V3305" s="241"/>
      <c r="W3305" s="241"/>
      <c r="X3305" s="241"/>
    </row>
    <row r="3306" spans="1:24" ht="13.5" customHeight="1" x14ac:dyDescent="0.3">
      <c r="A3306" s="245"/>
      <c r="B3306" s="246"/>
      <c r="C3306" s="245"/>
      <c r="D3306" s="245"/>
      <c r="E3306" s="245"/>
      <c r="F3306" s="245"/>
      <c r="G3306" s="245"/>
      <c r="H3306" s="245"/>
      <c r="I3306" s="245"/>
      <c r="J3306" s="245"/>
      <c r="K3306" s="245"/>
      <c r="L3306" s="246"/>
      <c r="M3306" s="245"/>
      <c r="N3306" s="245"/>
      <c r="O3306" s="245"/>
      <c r="P3306" s="245"/>
      <c r="Q3306" s="247"/>
      <c r="R3306" s="247"/>
      <c r="S3306" s="247"/>
      <c r="T3306" s="245"/>
      <c r="U3306" s="245"/>
      <c r="V3306" s="241"/>
      <c r="W3306" s="241"/>
      <c r="X3306" s="241"/>
    </row>
    <row r="3307" spans="1:24" ht="13.5" customHeight="1" x14ac:dyDescent="0.3">
      <c r="A3307" s="245"/>
      <c r="B3307" s="246"/>
      <c r="C3307" s="245"/>
      <c r="D3307" s="245"/>
      <c r="E3307" s="245"/>
      <c r="F3307" s="245"/>
      <c r="G3307" s="245"/>
      <c r="H3307" s="245"/>
      <c r="I3307" s="245"/>
      <c r="J3307" s="245"/>
      <c r="K3307" s="245"/>
      <c r="L3307" s="246"/>
      <c r="M3307" s="245"/>
      <c r="N3307" s="245"/>
      <c r="O3307" s="245"/>
      <c r="P3307" s="245"/>
      <c r="Q3307" s="247"/>
      <c r="R3307" s="247"/>
      <c r="S3307" s="247"/>
      <c r="T3307" s="245"/>
      <c r="U3307" s="245"/>
      <c r="V3307" s="241"/>
      <c r="W3307" s="241"/>
      <c r="X3307" s="241"/>
    </row>
    <row r="3308" spans="1:24" ht="13.5" customHeight="1" x14ac:dyDescent="0.3">
      <c r="A3308" s="245"/>
      <c r="B3308" s="246"/>
      <c r="C3308" s="245"/>
      <c r="D3308" s="245"/>
      <c r="E3308" s="245"/>
      <c r="F3308" s="245"/>
      <c r="G3308" s="245"/>
      <c r="H3308" s="245"/>
      <c r="I3308" s="245"/>
      <c r="J3308" s="245"/>
      <c r="K3308" s="245"/>
      <c r="L3308" s="246"/>
      <c r="M3308" s="245"/>
      <c r="N3308" s="245"/>
      <c r="O3308" s="245"/>
      <c r="P3308" s="245"/>
      <c r="Q3308" s="247"/>
      <c r="R3308" s="247"/>
      <c r="S3308" s="247"/>
      <c r="T3308" s="245"/>
      <c r="U3308" s="245"/>
      <c r="V3308" s="241"/>
      <c r="W3308" s="241"/>
      <c r="X3308" s="241"/>
    </row>
    <row r="3309" spans="1:24" ht="13.5" customHeight="1" x14ac:dyDescent="0.3">
      <c r="A3309" s="245"/>
      <c r="B3309" s="246"/>
      <c r="C3309" s="245"/>
      <c r="D3309" s="245"/>
      <c r="E3309" s="245"/>
      <c r="F3309" s="245"/>
      <c r="G3309" s="245"/>
      <c r="H3309" s="245"/>
      <c r="I3309" s="245"/>
      <c r="J3309" s="245"/>
      <c r="K3309" s="245"/>
      <c r="L3309" s="246"/>
      <c r="M3309" s="245"/>
      <c r="N3309" s="245"/>
      <c r="O3309" s="245"/>
      <c r="P3309" s="245"/>
      <c r="Q3309" s="247"/>
      <c r="R3309" s="247"/>
      <c r="S3309" s="247"/>
      <c r="T3309" s="245"/>
      <c r="U3309" s="245"/>
      <c r="V3309" s="241"/>
      <c r="W3309" s="241"/>
      <c r="X3309" s="241"/>
    </row>
    <row r="3310" spans="1:24" ht="13.5" customHeight="1" x14ac:dyDescent="0.3">
      <c r="A3310" s="245"/>
      <c r="B3310" s="246"/>
      <c r="C3310" s="245"/>
      <c r="D3310" s="245"/>
      <c r="E3310" s="245"/>
      <c r="F3310" s="245"/>
      <c r="G3310" s="245"/>
      <c r="H3310" s="245"/>
      <c r="I3310" s="245"/>
      <c r="J3310" s="245"/>
      <c r="K3310" s="245"/>
      <c r="L3310" s="246"/>
      <c r="M3310" s="245"/>
      <c r="N3310" s="245"/>
      <c r="O3310" s="245"/>
      <c r="P3310" s="245"/>
      <c r="Q3310" s="247"/>
      <c r="R3310" s="247"/>
      <c r="S3310" s="247"/>
      <c r="T3310" s="245"/>
      <c r="U3310" s="245"/>
      <c r="V3310" s="241"/>
      <c r="W3310" s="241"/>
      <c r="X3310" s="241"/>
    </row>
    <row r="3311" spans="1:24" ht="13.5" customHeight="1" x14ac:dyDescent="0.3">
      <c r="A3311" s="245"/>
      <c r="B3311" s="246"/>
      <c r="C3311" s="245"/>
      <c r="D3311" s="245"/>
      <c r="E3311" s="245"/>
      <c r="F3311" s="245"/>
      <c r="G3311" s="245"/>
      <c r="H3311" s="245"/>
      <c r="I3311" s="245"/>
      <c r="J3311" s="245"/>
      <c r="K3311" s="245"/>
      <c r="L3311" s="246"/>
      <c r="M3311" s="245"/>
      <c r="N3311" s="245"/>
      <c r="O3311" s="245"/>
      <c r="P3311" s="245"/>
      <c r="Q3311" s="247"/>
      <c r="R3311" s="247"/>
      <c r="S3311" s="247"/>
      <c r="T3311" s="245"/>
      <c r="U3311" s="245"/>
      <c r="V3311" s="241"/>
      <c r="W3311" s="241"/>
      <c r="X3311" s="241"/>
    </row>
    <row r="3312" spans="1:24" ht="13.5" customHeight="1" x14ac:dyDescent="0.3">
      <c r="A3312" s="245"/>
      <c r="B3312" s="246"/>
      <c r="C3312" s="245"/>
      <c r="D3312" s="245"/>
      <c r="E3312" s="245"/>
      <c r="F3312" s="245"/>
      <c r="G3312" s="245"/>
      <c r="H3312" s="245"/>
      <c r="I3312" s="245"/>
      <c r="J3312" s="245"/>
      <c r="K3312" s="245"/>
      <c r="L3312" s="246"/>
      <c r="M3312" s="245"/>
      <c r="N3312" s="245"/>
      <c r="O3312" s="245"/>
      <c r="P3312" s="245"/>
      <c r="Q3312" s="247"/>
      <c r="R3312" s="247"/>
      <c r="S3312" s="247"/>
      <c r="T3312" s="245"/>
      <c r="U3312" s="245"/>
      <c r="V3312" s="241"/>
      <c r="W3312" s="241"/>
      <c r="X3312" s="241"/>
    </row>
    <row r="3313" spans="1:24" ht="13.5" customHeight="1" x14ac:dyDescent="0.3">
      <c r="A3313" s="245"/>
      <c r="B3313" s="246"/>
      <c r="C3313" s="245"/>
      <c r="D3313" s="245"/>
      <c r="E3313" s="245"/>
      <c r="F3313" s="245"/>
      <c r="G3313" s="245"/>
      <c r="H3313" s="245"/>
      <c r="I3313" s="245"/>
      <c r="J3313" s="245"/>
      <c r="K3313" s="245"/>
      <c r="L3313" s="246"/>
      <c r="M3313" s="245"/>
      <c r="N3313" s="245"/>
      <c r="O3313" s="245"/>
      <c r="P3313" s="245"/>
      <c r="Q3313" s="247"/>
      <c r="R3313" s="247"/>
      <c r="S3313" s="247"/>
      <c r="T3313" s="245"/>
      <c r="U3313" s="245"/>
      <c r="V3313" s="241"/>
      <c r="W3313" s="241"/>
      <c r="X3313" s="241"/>
    </row>
    <row r="3314" spans="1:24" ht="13.5" customHeight="1" x14ac:dyDescent="0.3">
      <c r="A3314" s="245"/>
      <c r="B3314" s="246"/>
      <c r="C3314" s="245"/>
      <c r="D3314" s="245"/>
      <c r="E3314" s="245"/>
      <c r="F3314" s="245"/>
      <c r="G3314" s="245"/>
      <c r="H3314" s="245"/>
      <c r="I3314" s="245"/>
      <c r="J3314" s="245"/>
      <c r="K3314" s="245"/>
      <c r="L3314" s="246"/>
      <c r="M3314" s="245"/>
      <c r="N3314" s="245"/>
      <c r="O3314" s="245"/>
      <c r="P3314" s="245"/>
      <c r="Q3314" s="247"/>
      <c r="R3314" s="247"/>
      <c r="S3314" s="247"/>
      <c r="T3314" s="245"/>
      <c r="U3314" s="245"/>
      <c r="V3314" s="241"/>
      <c r="W3314" s="241"/>
      <c r="X3314" s="241"/>
    </row>
    <row r="3315" spans="1:24" ht="13.5" customHeight="1" x14ac:dyDescent="0.3">
      <c r="A3315" s="245"/>
      <c r="B3315" s="246"/>
      <c r="C3315" s="245"/>
      <c r="D3315" s="245"/>
      <c r="E3315" s="245"/>
      <c r="F3315" s="245"/>
      <c r="G3315" s="245"/>
      <c r="H3315" s="245"/>
      <c r="I3315" s="245"/>
      <c r="J3315" s="245"/>
      <c r="K3315" s="245"/>
      <c r="L3315" s="246"/>
      <c r="M3315" s="245"/>
      <c r="N3315" s="245"/>
      <c r="O3315" s="245"/>
      <c r="P3315" s="245"/>
      <c r="Q3315" s="247"/>
      <c r="R3315" s="247"/>
      <c r="S3315" s="247"/>
      <c r="T3315" s="245"/>
      <c r="U3315" s="245"/>
      <c r="V3315" s="241"/>
      <c r="W3315" s="241"/>
      <c r="X3315" s="241"/>
    </row>
    <row r="3316" spans="1:24" ht="13.5" customHeight="1" x14ac:dyDescent="0.3">
      <c r="A3316" s="245"/>
      <c r="B3316" s="246"/>
      <c r="C3316" s="245"/>
      <c r="D3316" s="245"/>
      <c r="E3316" s="245"/>
      <c r="F3316" s="245"/>
      <c r="G3316" s="245"/>
      <c r="H3316" s="245"/>
      <c r="I3316" s="245"/>
      <c r="J3316" s="245"/>
      <c r="K3316" s="245"/>
      <c r="L3316" s="246"/>
      <c r="M3316" s="245"/>
      <c r="N3316" s="245"/>
      <c r="O3316" s="245"/>
      <c r="P3316" s="245"/>
      <c r="Q3316" s="247"/>
      <c r="R3316" s="247"/>
      <c r="S3316" s="247"/>
      <c r="T3316" s="245"/>
      <c r="U3316" s="245"/>
      <c r="V3316" s="241"/>
      <c r="W3316" s="241"/>
      <c r="X3316" s="241"/>
    </row>
    <row r="3317" spans="1:24" ht="13.5" customHeight="1" x14ac:dyDescent="0.3">
      <c r="A3317" s="245"/>
      <c r="B3317" s="246"/>
      <c r="C3317" s="245"/>
      <c r="D3317" s="245"/>
      <c r="E3317" s="245"/>
      <c r="F3317" s="245"/>
      <c r="G3317" s="245"/>
      <c r="H3317" s="245"/>
      <c r="I3317" s="245"/>
      <c r="J3317" s="245"/>
      <c r="K3317" s="245"/>
      <c r="L3317" s="246"/>
      <c r="M3317" s="245"/>
      <c r="N3317" s="245"/>
      <c r="O3317" s="245"/>
      <c r="P3317" s="245"/>
      <c r="Q3317" s="247"/>
      <c r="R3317" s="247"/>
      <c r="S3317" s="247"/>
      <c r="T3317" s="245"/>
      <c r="U3317" s="245"/>
      <c r="V3317" s="241"/>
      <c r="W3317" s="241"/>
      <c r="X3317" s="241"/>
    </row>
    <row r="3318" spans="1:24" ht="13.5" customHeight="1" x14ac:dyDescent="0.3">
      <c r="A3318" s="245"/>
      <c r="B3318" s="246"/>
      <c r="C3318" s="245"/>
      <c r="D3318" s="245"/>
      <c r="E3318" s="245"/>
      <c r="F3318" s="245"/>
      <c r="G3318" s="245"/>
      <c r="H3318" s="245"/>
      <c r="I3318" s="245"/>
      <c r="J3318" s="245"/>
      <c r="K3318" s="245"/>
      <c r="L3318" s="246"/>
      <c r="M3318" s="245"/>
      <c r="N3318" s="245"/>
      <c r="O3318" s="245"/>
      <c r="P3318" s="245"/>
      <c r="Q3318" s="247"/>
      <c r="R3318" s="247"/>
      <c r="S3318" s="247"/>
      <c r="T3318" s="245"/>
      <c r="U3318" s="245"/>
      <c r="V3318" s="241"/>
      <c r="W3318" s="241"/>
      <c r="X3318" s="241"/>
    </row>
    <row r="3319" spans="1:24" ht="13.5" customHeight="1" x14ac:dyDescent="0.3">
      <c r="A3319" s="245"/>
      <c r="B3319" s="246"/>
      <c r="C3319" s="245"/>
      <c r="D3319" s="245"/>
      <c r="E3319" s="245"/>
      <c r="F3319" s="245"/>
      <c r="G3319" s="245"/>
      <c r="H3319" s="245"/>
      <c r="I3319" s="245"/>
      <c r="J3319" s="245"/>
      <c r="K3319" s="245"/>
      <c r="L3319" s="246"/>
      <c r="M3319" s="245"/>
      <c r="N3319" s="245"/>
      <c r="O3319" s="245"/>
      <c r="P3319" s="245"/>
      <c r="Q3319" s="247"/>
      <c r="R3319" s="247"/>
      <c r="S3319" s="247"/>
      <c r="T3319" s="245"/>
      <c r="U3319" s="245"/>
      <c r="V3319" s="241"/>
      <c r="W3319" s="241"/>
      <c r="X3319" s="241"/>
    </row>
    <row r="3320" spans="1:24" ht="13.5" customHeight="1" x14ac:dyDescent="0.3">
      <c r="A3320" s="245"/>
      <c r="B3320" s="246"/>
      <c r="C3320" s="245"/>
      <c r="D3320" s="245"/>
      <c r="E3320" s="245"/>
      <c r="F3320" s="245"/>
      <c r="G3320" s="245"/>
      <c r="H3320" s="245"/>
      <c r="I3320" s="245"/>
      <c r="J3320" s="245"/>
      <c r="K3320" s="245"/>
      <c r="L3320" s="246"/>
      <c r="M3320" s="245"/>
      <c r="N3320" s="245"/>
      <c r="O3320" s="245"/>
      <c r="P3320" s="245"/>
      <c r="Q3320" s="247"/>
      <c r="R3320" s="247"/>
      <c r="S3320" s="247"/>
      <c r="T3320" s="245"/>
      <c r="U3320" s="245"/>
      <c r="V3320" s="241"/>
      <c r="W3320" s="241"/>
      <c r="X3320" s="241"/>
    </row>
    <row r="3321" spans="1:24" ht="13.5" customHeight="1" x14ac:dyDescent="0.3">
      <c r="A3321" s="245"/>
      <c r="B3321" s="246"/>
      <c r="C3321" s="245"/>
      <c r="D3321" s="245"/>
      <c r="E3321" s="245"/>
      <c r="F3321" s="245"/>
      <c r="G3321" s="245"/>
      <c r="H3321" s="245"/>
      <c r="I3321" s="245"/>
      <c r="J3321" s="245"/>
      <c r="K3321" s="245"/>
      <c r="L3321" s="246"/>
      <c r="M3321" s="245"/>
      <c r="N3321" s="245"/>
      <c r="O3321" s="245"/>
      <c r="P3321" s="245"/>
      <c r="Q3321" s="247"/>
      <c r="R3321" s="247"/>
      <c r="S3321" s="247"/>
      <c r="T3321" s="245"/>
      <c r="U3321" s="245"/>
      <c r="V3321" s="241"/>
      <c r="W3321" s="241"/>
      <c r="X3321" s="241"/>
    </row>
    <row r="3322" spans="1:24" ht="13.5" customHeight="1" x14ac:dyDescent="0.3">
      <c r="A3322" s="245"/>
      <c r="B3322" s="246"/>
      <c r="C3322" s="245"/>
      <c r="D3322" s="245"/>
      <c r="E3322" s="245"/>
      <c r="F3322" s="245"/>
      <c r="G3322" s="245"/>
      <c r="H3322" s="245"/>
      <c r="I3322" s="245"/>
      <c r="J3322" s="245"/>
      <c r="K3322" s="245"/>
      <c r="L3322" s="246"/>
      <c r="M3322" s="245"/>
      <c r="N3322" s="245"/>
      <c r="O3322" s="245"/>
      <c r="P3322" s="245"/>
      <c r="Q3322" s="247"/>
      <c r="R3322" s="247"/>
      <c r="S3322" s="247"/>
      <c r="T3322" s="245"/>
      <c r="U3322" s="245"/>
      <c r="V3322" s="241"/>
      <c r="W3322" s="241"/>
      <c r="X3322" s="241"/>
    </row>
    <row r="3323" spans="1:24" ht="13.5" customHeight="1" x14ac:dyDescent="0.3">
      <c r="A3323" s="245"/>
      <c r="B3323" s="246"/>
      <c r="C3323" s="245"/>
      <c r="D3323" s="245"/>
      <c r="E3323" s="245"/>
      <c r="F3323" s="245"/>
      <c r="G3323" s="245"/>
      <c r="H3323" s="245"/>
      <c r="I3323" s="245"/>
      <c r="J3323" s="245"/>
      <c r="K3323" s="245"/>
      <c r="L3323" s="246"/>
      <c r="M3323" s="245"/>
      <c r="N3323" s="245"/>
      <c r="O3323" s="245"/>
      <c r="P3323" s="245"/>
      <c r="Q3323" s="247"/>
      <c r="R3323" s="247"/>
      <c r="S3323" s="247"/>
      <c r="T3323" s="245"/>
      <c r="U3323" s="245"/>
      <c r="V3323" s="241"/>
      <c r="W3323" s="241"/>
      <c r="X3323" s="241"/>
    </row>
    <row r="3324" spans="1:24" ht="13.5" customHeight="1" x14ac:dyDescent="0.3">
      <c r="A3324" s="245"/>
      <c r="B3324" s="246"/>
      <c r="C3324" s="245"/>
      <c r="D3324" s="245"/>
      <c r="E3324" s="245"/>
      <c r="F3324" s="245"/>
      <c r="G3324" s="245"/>
      <c r="H3324" s="245"/>
      <c r="I3324" s="245"/>
      <c r="J3324" s="245"/>
      <c r="K3324" s="245"/>
      <c r="L3324" s="246"/>
      <c r="M3324" s="245"/>
      <c r="N3324" s="245"/>
      <c r="O3324" s="245"/>
      <c r="P3324" s="245"/>
      <c r="Q3324" s="247"/>
      <c r="R3324" s="247"/>
      <c r="S3324" s="247"/>
      <c r="T3324" s="245"/>
      <c r="U3324" s="245"/>
      <c r="V3324" s="241"/>
      <c r="W3324" s="241"/>
      <c r="X3324" s="241"/>
    </row>
    <row r="3325" spans="1:24" ht="13.5" customHeight="1" x14ac:dyDescent="0.3">
      <c r="A3325" s="245"/>
      <c r="B3325" s="246"/>
      <c r="C3325" s="245"/>
      <c r="D3325" s="245"/>
      <c r="E3325" s="245"/>
      <c r="F3325" s="245"/>
      <c r="G3325" s="245"/>
      <c r="H3325" s="245"/>
      <c r="I3325" s="245"/>
      <c r="J3325" s="245"/>
      <c r="K3325" s="245"/>
      <c r="L3325" s="246"/>
      <c r="M3325" s="245"/>
      <c r="N3325" s="245"/>
      <c r="O3325" s="245"/>
      <c r="P3325" s="245"/>
      <c r="Q3325" s="247"/>
      <c r="R3325" s="247"/>
      <c r="S3325" s="247"/>
      <c r="T3325" s="245"/>
      <c r="U3325" s="245"/>
      <c r="V3325" s="241"/>
      <c r="W3325" s="241"/>
      <c r="X3325" s="241"/>
    </row>
    <row r="3326" spans="1:24" ht="13.5" customHeight="1" x14ac:dyDescent="0.3">
      <c r="A3326" s="245"/>
      <c r="B3326" s="246"/>
      <c r="C3326" s="245"/>
      <c r="D3326" s="245"/>
      <c r="E3326" s="245"/>
      <c r="F3326" s="245"/>
      <c r="G3326" s="245"/>
      <c r="H3326" s="245"/>
      <c r="I3326" s="245"/>
      <c r="J3326" s="245"/>
      <c r="K3326" s="245"/>
      <c r="L3326" s="246"/>
      <c r="M3326" s="245"/>
      <c r="N3326" s="245"/>
      <c r="O3326" s="245"/>
      <c r="P3326" s="245"/>
      <c r="Q3326" s="247"/>
      <c r="R3326" s="247"/>
      <c r="S3326" s="247"/>
      <c r="T3326" s="245"/>
      <c r="U3326" s="245"/>
      <c r="V3326" s="241"/>
      <c r="W3326" s="241"/>
      <c r="X3326" s="241"/>
    </row>
    <row r="3327" spans="1:24" ht="13.5" customHeight="1" x14ac:dyDescent="0.3">
      <c r="A3327" s="245"/>
      <c r="B3327" s="246"/>
      <c r="C3327" s="245"/>
      <c r="D3327" s="245"/>
      <c r="E3327" s="245"/>
      <c r="F3327" s="245"/>
      <c r="G3327" s="245"/>
      <c r="H3327" s="245"/>
      <c r="I3327" s="245"/>
      <c r="J3327" s="245"/>
      <c r="K3327" s="245"/>
      <c r="L3327" s="246"/>
      <c r="M3327" s="245"/>
      <c r="N3327" s="245"/>
      <c r="O3327" s="245"/>
      <c r="P3327" s="245"/>
      <c r="Q3327" s="247"/>
      <c r="R3327" s="247"/>
      <c r="S3327" s="247"/>
      <c r="T3327" s="245"/>
      <c r="U3327" s="245"/>
      <c r="V3327" s="241"/>
      <c r="W3327" s="241"/>
      <c r="X3327" s="241"/>
    </row>
    <row r="3328" spans="1:24" ht="13.5" customHeight="1" x14ac:dyDescent="0.3">
      <c r="A3328" s="245"/>
      <c r="B3328" s="246"/>
      <c r="C3328" s="245"/>
      <c r="D3328" s="245"/>
      <c r="E3328" s="245"/>
      <c r="F3328" s="245"/>
      <c r="G3328" s="245"/>
      <c r="H3328" s="245"/>
      <c r="I3328" s="245"/>
      <c r="J3328" s="245"/>
      <c r="K3328" s="245"/>
      <c r="L3328" s="246"/>
      <c r="M3328" s="245"/>
      <c r="N3328" s="245"/>
      <c r="O3328" s="245"/>
      <c r="P3328" s="245"/>
      <c r="Q3328" s="247"/>
      <c r="R3328" s="247"/>
      <c r="S3328" s="247"/>
      <c r="T3328" s="245"/>
      <c r="U3328" s="245"/>
      <c r="V3328" s="241"/>
      <c r="W3328" s="241"/>
      <c r="X3328" s="241"/>
    </row>
    <row r="3329" spans="1:24" ht="13.5" customHeight="1" x14ac:dyDescent="0.3">
      <c r="A3329" s="245"/>
      <c r="B3329" s="246"/>
      <c r="C3329" s="245"/>
      <c r="D3329" s="245"/>
      <c r="E3329" s="245"/>
      <c r="F3329" s="245"/>
      <c r="G3329" s="245"/>
      <c r="H3329" s="245"/>
      <c r="I3329" s="245"/>
      <c r="J3329" s="245"/>
      <c r="K3329" s="245"/>
      <c r="L3329" s="246"/>
      <c r="M3329" s="245"/>
      <c r="N3329" s="245"/>
      <c r="O3329" s="245"/>
      <c r="P3329" s="245"/>
      <c r="Q3329" s="247"/>
      <c r="R3329" s="247"/>
      <c r="S3329" s="247"/>
      <c r="T3329" s="245"/>
      <c r="U3329" s="245"/>
      <c r="V3329" s="241"/>
      <c r="W3329" s="241"/>
      <c r="X3329" s="241"/>
    </row>
    <row r="3330" spans="1:24" ht="13.5" customHeight="1" x14ac:dyDescent="0.3">
      <c r="A3330" s="245"/>
      <c r="B3330" s="246"/>
      <c r="C3330" s="245"/>
      <c r="D3330" s="245"/>
      <c r="E3330" s="245"/>
      <c r="F3330" s="245"/>
      <c r="G3330" s="245"/>
      <c r="H3330" s="245"/>
      <c r="I3330" s="245"/>
      <c r="J3330" s="245"/>
      <c r="K3330" s="245"/>
      <c r="L3330" s="246"/>
      <c r="M3330" s="245"/>
      <c r="N3330" s="245"/>
      <c r="O3330" s="245"/>
      <c r="P3330" s="245"/>
      <c r="Q3330" s="247"/>
      <c r="R3330" s="247"/>
      <c r="S3330" s="247"/>
      <c r="T3330" s="245"/>
      <c r="U3330" s="245"/>
      <c r="V3330" s="241"/>
      <c r="W3330" s="241"/>
      <c r="X3330" s="241"/>
    </row>
    <row r="3331" spans="1:24" ht="13.5" customHeight="1" x14ac:dyDescent="0.3">
      <c r="A3331" s="245"/>
      <c r="B3331" s="246"/>
      <c r="C3331" s="245"/>
      <c r="D3331" s="245"/>
      <c r="E3331" s="245"/>
      <c r="F3331" s="245"/>
      <c r="G3331" s="245"/>
      <c r="H3331" s="245"/>
      <c r="I3331" s="245"/>
      <c r="J3331" s="245"/>
      <c r="K3331" s="245"/>
      <c r="L3331" s="246"/>
      <c r="M3331" s="245"/>
      <c r="N3331" s="245"/>
      <c r="O3331" s="245"/>
      <c r="P3331" s="245"/>
      <c r="Q3331" s="247"/>
      <c r="R3331" s="247"/>
      <c r="S3331" s="247"/>
      <c r="T3331" s="245"/>
      <c r="U3331" s="245"/>
      <c r="V3331" s="241"/>
      <c r="W3331" s="241"/>
      <c r="X3331" s="241"/>
    </row>
    <row r="3332" spans="1:24" ht="13.5" customHeight="1" x14ac:dyDescent="0.3">
      <c r="A3332" s="245"/>
      <c r="B3332" s="246"/>
      <c r="C3332" s="245"/>
      <c r="D3332" s="245"/>
      <c r="E3332" s="245"/>
      <c r="F3332" s="245"/>
      <c r="G3332" s="245"/>
      <c r="H3332" s="245"/>
      <c r="I3332" s="245"/>
      <c r="J3332" s="245"/>
      <c r="K3332" s="245"/>
      <c r="L3332" s="246"/>
      <c r="M3332" s="245"/>
      <c r="N3332" s="245"/>
      <c r="O3332" s="245"/>
      <c r="P3332" s="245"/>
      <c r="Q3332" s="247"/>
      <c r="R3332" s="247"/>
      <c r="S3332" s="247"/>
      <c r="T3332" s="245"/>
      <c r="U3332" s="245"/>
      <c r="V3332" s="241"/>
      <c r="W3332" s="241"/>
      <c r="X3332" s="241"/>
    </row>
    <row r="3333" spans="1:24" ht="13.5" customHeight="1" x14ac:dyDescent="0.3">
      <c r="A3333" s="245"/>
      <c r="B3333" s="246"/>
      <c r="C3333" s="245"/>
      <c r="D3333" s="245"/>
      <c r="E3333" s="245"/>
      <c r="F3333" s="245"/>
      <c r="G3333" s="245"/>
      <c r="H3333" s="245"/>
      <c r="I3333" s="245"/>
      <c r="J3333" s="245"/>
      <c r="K3333" s="245"/>
      <c r="L3333" s="246"/>
      <c r="M3333" s="245"/>
      <c r="N3333" s="245"/>
      <c r="O3333" s="245"/>
      <c r="P3333" s="245"/>
      <c r="Q3333" s="247"/>
      <c r="R3333" s="247"/>
      <c r="S3333" s="247"/>
      <c r="T3333" s="245"/>
      <c r="U3333" s="245"/>
      <c r="V3333" s="241"/>
      <c r="W3333" s="241"/>
      <c r="X3333" s="241"/>
    </row>
    <row r="3334" spans="1:24" ht="13.5" customHeight="1" x14ac:dyDescent="0.3">
      <c r="A3334" s="245"/>
      <c r="B3334" s="246"/>
      <c r="C3334" s="245"/>
      <c r="D3334" s="245"/>
      <c r="E3334" s="245"/>
      <c r="F3334" s="245"/>
      <c r="G3334" s="245"/>
      <c r="H3334" s="245"/>
      <c r="I3334" s="245"/>
      <c r="J3334" s="245"/>
      <c r="K3334" s="245"/>
      <c r="L3334" s="246"/>
      <c r="M3334" s="245"/>
      <c r="N3334" s="245"/>
      <c r="O3334" s="245"/>
      <c r="P3334" s="245"/>
      <c r="Q3334" s="247"/>
      <c r="R3334" s="247"/>
      <c r="S3334" s="247"/>
      <c r="T3334" s="245"/>
      <c r="U3334" s="245"/>
      <c r="V3334" s="241"/>
      <c r="W3334" s="241"/>
      <c r="X3334" s="241"/>
    </row>
    <row r="3335" spans="1:24" ht="13.5" customHeight="1" x14ac:dyDescent="0.3">
      <c r="A3335" s="245"/>
      <c r="B3335" s="246"/>
      <c r="C3335" s="245"/>
      <c r="D3335" s="245"/>
      <c r="E3335" s="245"/>
      <c r="F3335" s="245"/>
      <c r="G3335" s="245"/>
      <c r="H3335" s="245"/>
      <c r="I3335" s="245"/>
      <c r="J3335" s="245"/>
      <c r="K3335" s="245"/>
      <c r="L3335" s="246"/>
      <c r="M3335" s="245"/>
      <c r="N3335" s="245"/>
      <c r="O3335" s="245"/>
      <c r="P3335" s="245"/>
      <c r="Q3335" s="247"/>
      <c r="R3335" s="247"/>
      <c r="S3335" s="247"/>
      <c r="T3335" s="245"/>
      <c r="U3335" s="245"/>
      <c r="V3335" s="241"/>
      <c r="W3335" s="241"/>
      <c r="X3335" s="241"/>
    </row>
    <row r="3336" spans="1:24" ht="13.5" customHeight="1" x14ac:dyDescent="0.3">
      <c r="A3336" s="245"/>
      <c r="B3336" s="246"/>
      <c r="C3336" s="245"/>
      <c r="D3336" s="245"/>
      <c r="E3336" s="245"/>
      <c r="F3336" s="245"/>
      <c r="G3336" s="245"/>
      <c r="H3336" s="245"/>
      <c r="I3336" s="245"/>
      <c r="J3336" s="245"/>
      <c r="K3336" s="245"/>
      <c r="L3336" s="246"/>
      <c r="M3336" s="245"/>
      <c r="N3336" s="245"/>
      <c r="O3336" s="245"/>
      <c r="P3336" s="245"/>
      <c r="Q3336" s="247"/>
      <c r="R3336" s="247"/>
      <c r="S3336" s="247"/>
      <c r="T3336" s="245"/>
      <c r="U3336" s="245"/>
      <c r="V3336" s="241"/>
      <c r="W3336" s="241"/>
      <c r="X3336" s="241"/>
    </row>
    <row r="3337" spans="1:24" ht="13.5" customHeight="1" x14ac:dyDescent="0.3">
      <c r="A3337" s="245"/>
      <c r="B3337" s="246"/>
      <c r="C3337" s="245"/>
      <c r="D3337" s="245"/>
      <c r="E3337" s="245"/>
      <c r="F3337" s="245"/>
      <c r="G3337" s="245"/>
      <c r="H3337" s="245"/>
      <c r="I3337" s="245"/>
      <c r="J3337" s="245"/>
      <c r="K3337" s="245"/>
      <c r="L3337" s="246"/>
      <c r="M3337" s="245"/>
      <c r="N3337" s="245"/>
      <c r="O3337" s="245"/>
      <c r="P3337" s="245"/>
      <c r="Q3337" s="247"/>
      <c r="R3337" s="247"/>
      <c r="S3337" s="247"/>
      <c r="T3337" s="245"/>
      <c r="U3337" s="245"/>
      <c r="V3337" s="241"/>
      <c r="W3337" s="241"/>
      <c r="X3337" s="241"/>
    </row>
    <row r="3338" spans="1:24" ht="13.5" customHeight="1" x14ac:dyDescent="0.3">
      <c r="A3338" s="245"/>
      <c r="B3338" s="246"/>
      <c r="C3338" s="245"/>
      <c r="D3338" s="245"/>
      <c r="E3338" s="245"/>
      <c r="F3338" s="245"/>
      <c r="G3338" s="245"/>
      <c r="H3338" s="245"/>
      <c r="I3338" s="245"/>
      <c r="J3338" s="245"/>
      <c r="K3338" s="245"/>
      <c r="L3338" s="246"/>
      <c r="M3338" s="245"/>
      <c r="N3338" s="245"/>
      <c r="O3338" s="245"/>
      <c r="P3338" s="245"/>
      <c r="Q3338" s="247"/>
      <c r="R3338" s="247"/>
      <c r="S3338" s="247"/>
      <c r="T3338" s="245"/>
      <c r="U3338" s="245"/>
      <c r="V3338" s="241"/>
      <c r="W3338" s="241"/>
      <c r="X3338" s="241"/>
    </row>
    <row r="3339" spans="1:24" ht="13.5" customHeight="1" x14ac:dyDescent="0.3">
      <c r="A3339" s="245"/>
      <c r="B3339" s="246"/>
      <c r="C3339" s="245"/>
      <c r="D3339" s="245"/>
      <c r="E3339" s="245"/>
      <c r="F3339" s="245"/>
      <c r="G3339" s="245"/>
      <c r="H3339" s="245"/>
      <c r="I3339" s="245"/>
      <c r="J3339" s="245"/>
      <c r="K3339" s="245"/>
      <c r="L3339" s="246"/>
      <c r="M3339" s="245"/>
      <c r="N3339" s="245"/>
      <c r="O3339" s="245"/>
      <c r="P3339" s="245"/>
      <c r="Q3339" s="247"/>
      <c r="R3339" s="247"/>
      <c r="S3339" s="247"/>
      <c r="T3339" s="245"/>
      <c r="U3339" s="245"/>
      <c r="V3339" s="241"/>
      <c r="W3339" s="241"/>
      <c r="X3339" s="241"/>
    </row>
    <row r="3340" spans="1:24" ht="13.5" customHeight="1" x14ac:dyDescent="0.3">
      <c r="A3340" s="245"/>
      <c r="B3340" s="246"/>
      <c r="C3340" s="245"/>
      <c r="D3340" s="245"/>
      <c r="E3340" s="245"/>
      <c r="F3340" s="245"/>
      <c r="G3340" s="245"/>
      <c r="H3340" s="245"/>
      <c r="I3340" s="245"/>
      <c r="J3340" s="245"/>
      <c r="K3340" s="245"/>
      <c r="L3340" s="246"/>
      <c r="M3340" s="245"/>
      <c r="N3340" s="245"/>
      <c r="O3340" s="245"/>
      <c r="P3340" s="245"/>
      <c r="Q3340" s="247"/>
      <c r="R3340" s="247"/>
      <c r="S3340" s="247"/>
      <c r="T3340" s="245"/>
      <c r="U3340" s="245"/>
      <c r="V3340" s="241"/>
      <c r="W3340" s="241"/>
      <c r="X3340" s="241"/>
    </row>
    <row r="3341" spans="1:24" ht="13.5" customHeight="1" x14ac:dyDescent="0.3">
      <c r="A3341" s="245"/>
      <c r="B3341" s="246"/>
      <c r="C3341" s="245"/>
      <c r="D3341" s="245"/>
      <c r="E3341" s="245"/>
      <c r="F3341" s="245"/>
      <c r="G3341" s="245"/>
      <c r="H3341" s="245"/>
      <c r="I3341" s="245"/>
      <c r="J3341" s="245"/>
      <c r="K3341" s="245"/>
      <c r="L3341" s="246"/>
      <c r="M3341" s="245"/>
      <c r="N3341" s="245"/>
      <c r="O3341" s="245"/>
      <c r="P3341" s="245"/>
      <c r="Q3341" s="247"/>
      <c r="R3341" s="247"/>
      <c r="S3341" s="247"/>
      <c r="T3341" s="245"/>
      <c r="U3341" s="245"/>
      <c r="V3341" s="241"/>
      <c r="W3341" s="241"/>
      <c r="X3341" s="241"/>
    </row>
    <row r="3342" spans="1:24" ht="13.5" customHeight="1" x14ac:dyDescent="0.3">
      <c r="A3342" s="245"/>
      <c r="B3342" s="246"/>
      <c r="C3342" s="245"/>
      <c r="D3342" s="245"/>
      <c r="E3342" s="245"/>
      <c r="F3342" s="245"/>
      <c r="G3342" s="245"/>
      <c r="H3342" s="245"/>
      <c r="I3342" s="245"/>
      <c r="J3342" s="245"/>
      <c r="K3342" s="245"/>
      <c r="L3342" s="246"/>
      <c r="M3342" s="245"/>
      <c r="N3342" s="245"/>
      <c r="O3342" s="245"/>
      <c r="P3342" s="245"/>
      <c r="Q3342" s="247"/>
      <c r="R3342" s="247"/>
      <c r="S3342" s="247"/>
      <c r="T3342" s="245"/>
      <c r="U3342" s="245"/>
      <c r="V3342" s="241"/>
      <c r="W3342" s="241"/>
      <c r="X3342" s="241"/>
    </row>
    <row r="3343" spans="1:24" ht="13.5" customHeight="1" x14ac:dyDescent="0.3">
      <c r="A3343" s="245"/>
      <c r="B3343" s="246"/>
      <c r="C3343" s="245"/>
      <c r="D3343" s="245"/>
      <c r="E3343" s="245"/>
      <c r="F3343" s="245"/>
      <c r="G3343" s="245"/>
      <c r="H3343" s="245"/>
      <c r="I3343" s="245"/>
      <c r="J3343" s="245"/>
      <c r="K3343" s="245"/>
      <c r="L3343" s="246"/>
      <c r="M3343" s="245"/>
      <c r="N3343" s="245"/>
      <c r="O3343" s="245"/>
      <c r="P3343" s="245"/>
      <c r="Q3343" s="247"/>
      <c r="R3343" s="247"/>
      <c r="S3343" s="247"/>
      <c r="T3343" s="245"/>
      <c r="U3343" s="245"/>
      <c r="V3343" s="241"/>
      <c r="W3343" s="241"/>
      <c r="X3343" s="241"/>
    </row>
    <row r="3344" spans="1:24" ht="13.5" customHeight="1" x14ac:dyDescent="0.3">
      <c r="A3344" s="245"/>
      <c r="B3344" s="246"/>
      <c r="C3344" s="245"/>
      <c r="D3344" s="245"/>
      <c r="E3344" s="245"/>
      <c r="F3344" s="245"/>
      <c r="G3344" s="245"/>
      <c r="H3344" s="245"/>
      <c r="I3344" s="245"/>
      <c r="J3344" s="245"/>
      <c r="K3344" s="245"/>
      <c r="L3344" s="246"/>
      <c r="M3344" s="245"/>
      <c r="N3344" s="245"/>
      <c r="O3344" s="245"/>
      <c r="P3344" s="245"/>
      <c r="Q3344" s="247"/>
      <c r="R3344" s="247"/>
      <c r="S3344" s="247"/>
      <c r="T3344" s="245"/>
      <c r="U3344" s="245"/>
      <c r="V3344" s="241"/>
      <c r="W3344" s="241"/>
      <c r="X3344" s="241"/>
    </row>
    <row r="3345" spans="1:24" ht="13.5" customHeight="1" x14ac:dyDescent="0.3">
      <c r="A3345" s="245"/>
      <c r="B3345" s="246"/>
      <c r="C3345" s="245"/>
      <c r="D3345" s="245"/>
      <c r="E3345" s="245"/>
      <c r="F3345" s="245"/>
      <c r="G3345" s="245"/>
      <c r="H3345" s="245"/>
      <c r="I3345" s="245"/>
      <c r="J3345" s="245"/>
      <c r="K3345" s="245"/>
      <c r="L3345" s="246"/>
      <c r="M3345" s="245"/>
      <c r="N3345" s="245"/>
      <c r="O3345" s="245"/>
      <c r="P3345" s="245"/>
      <c r="Q3345" s="247"/>
      <c r="R3345" s="247"/>
      <c r="S3345" s="247"/>
      <c r="T3345" s="245"/>
      <c r="U3345" s="245"/>
      <c r="V3345" s="241"/>
      <c r="W3345" s="241"/>
      <c r="X3345" s="241"/>
    </row>
    <row r="3346" spans="1:24" ht="13.5" customHeight="1" x14ac:dyDescent="0.3">
      <c r="A3346" s="245"/>
      <c r="B3346" s="246"/>
      <c r="C3346" s="245"/>
      <c r="D3346" s="245"/>
      <c r="E3346" s="245"/>
      <c r="F3346" s="245"/>
      <c r="G3346" s="245"/>
      <c r="H3346" s="245"/>
      <c r="I3346" s="245"/>
      <c r="J3346" s="245"/>
      <c r="K3346" s="245"/>
      <c r="L3346" s="246"/>
      <c r="M3346" s="245"/>
      <c r="N3346" s="245"/>
      <c r="O3346" s="245"/>
      <c r="P3346" s="245"/>
      <c r="Q3346" s="247"/>
      <c r="R3346" s="247"/>
      <c r="S3346" s="247"/>
      <c r="T3346" s="245"/>
      <c r="U3346" s="245"/>
      <c r="V3346" s="241"/>
      <c r="W3346" s="241"/>
      <c r="X3346" s="241"/>
    </row>
    <row r="3347" spans="1:24" ht="13.5" customHeight="1" x14ac:dyDescent="0.3">
      <c r="A3347" s="245"/>
      <c r="B3347" s="246"/>
      <c r="C3347" s="245"/>
      <c r="D3347" s="245"/>
      <c r="E3347" s="245"/>
      <c r="F3347" s="245"/>
      <c r="G3347" s="245"/>
      <c r="H3347" s="245"/>
      <c r="I3347" s="245"/>
      <c r="J3347" s="245"/>
      <c r="K3347" s="245"/>
      <c r="L3347" s="246"/>
      <c r="M3347" s="245"/>
      <c r="N3347" s="245"/>
      <c r="O3347" s="245"/>
      <c r="P3347" s="245"/>
      <c r="Q3347" s="247"/>
      <c r="R3347" s="247"/>
      <c r="S3347" s="247"/>
      <c r="T3347" s="245"/>
      <c r="U3347" s="245"/>
      <c r="V3347" s="241"/>
      <c r="W3347" s="241"/>
      <c r="X3347" s="241"/>
    </row>
    <row r="3348" spans="1:24" ht="13.5" customHeight="1" x14ac:dyDescent="0.3">
      <c r="A3348" s="245"/>
      <c r="B3348" s="246"/>
      <c r="C3348" s="245"/>
      <c r="D3348" s="245"/>
      <c r="E3348" s="245"/>
      <c r="F3348" s="245"/>
      <c r="G3348" s="245"/>
      <c r="H3348" s="245"/>
      <c r="I3348" s="245"/>
      <c r="J3348" s="245"/>
      <c r="K3348" s="245"/>
      <c r="L3348" s="246"/>
      <c r="M3348" s="245"/>
      <c r="N3348" s="245"/>
      <c r="O3348" s="245"/>
      <c r="P3348" s="245"/>
      <c r="Q3348" s="247"/>
      <c r="R3348" s="247"/>
      <c r="S3348" s="247"/>
      <c r="T3348" s="245"/>
      <c r="U3348" s="245"/>
      <c r="V3348" s="241"/>
      <c r="W3348" s="241"/>
      <c r="X3348" s="241"/>
    </row>
    <row r="3349" spans="1:24" ht="13.5" customHeight="1" x14ac:dyDescent="0.3">
      <c r="A3349" s="245"/>
      <c r="B3349" s="246"/>
      <c r="C3349" s="245"/>
      <c r="D3349" s="245"/>
      <c r="E3349" s="245"/>
      <c r="F3349" s="245"/>
      <c r="G3349" s="245"/>
      <c r="H3349" s="245"/>
      <c r="I3349" s="245"/>
      <c r="J3349" s="245"/>
      <c r="K3349" s="245"/>
      <c r="L3349" s="246"/>
      <c r="M3349" s="245"/>
      <c r="N3349" s="245"/>
      <c r="O3349" s="245"/>
      <c r="P3349" s="245"/>
      <c r="Q3349" s="247"/>
      <c r="R3349" s="247"/>
      <c r="S3349" s="247"/>
      <c r="T3349" s="245"/>
      <c r="U3349" s="245"/>
      <c r="V3349" s="241"/>
      <c r="W3349" s="241"/>
      <c r="X3349" s="241"/>
    </row>
    <row r="3350" spans="1:24" ht="13.5" customHeight="1" x14ac:dyDescent="0.3">
      <c r="A3350" s="245"/>
      <c r="B3350" s="246"/>
      <c r="C3350" s="245"/>
      <c r="D3350" s="245"/>
      <c r="E3350" s="245"/>
      <c r="F3350" s="245"/>
      <c r="G3350" s="245"/>
      <c r="H3350" s="245"/>
      <c r="I3350" s="245"/>
      <c r="J3350" s="245"/>
      <c r="K3350" s="245"/>
      <c r="L3350" s="246"/>
      <c r="M3350" s="245"/>
      <c r="N3350" s="245"/>
      <c r="O3350" s="245"/>
      <c r="P3350" s="245"/>
      <c r="Q3350" s="247"/>
      <c r="R3350" s="247"/>
      <c r="S3350" s="247"/>
      <c r="T3350" s="245"/>
      <c r="U3350" s="245"/>
      <c r="V3350" s="241"/>
      <c r="W3350" s="241"/>
      <c r="X3350" s="241"/>
    </row>
    <row r="3351" spans="1:24" ht="13.5" customHeight="1" x14ac:dyDescent="0.3">
      <c r="A3351" s="245"/>
      <c r="B3351" s="246"/>
      <c r="C3351" s="245"/>
      <c r="D3351" s="245"/>
      <c r="E3351" s="245"/>
      <c r="F3351" s="245"/>
      <c r="G3351" s="245"/>
      <c r="H3351" s="245"/>
      <c r="I3351" s="245"/>
      <c r="J3351" s="245"/>
      <c r="K3351" s="245"/>
      <c r="L3351" s="246"/>
      <c r="M3351" s="245"/>
      <c r="N3351" s="245"/>
      <c r="O3351" s="245"/>
      <c r="P3351" s="245"/>
      <c r="Q3351" s="247"/>
      <c r="R3351" s="247"/>
      <c r="S3351" s="247"/>
      <c r="T3351" s="245"/>
      <c r="U3351" s="245"/>
      <c r="V3351" s="241"/>
      <c r="W3351" s="241"/>
      <c r="X3351" s="241"/>
    </row>
    <row r="3352" spans="1:24" ht="13.5" customHeight="1" x14ac:dyDescent="0.3">
      <c r="A3352" s="245"/>
      <c r="B3352" s="246"/>
      <c r="C3352" s="245"/>
      <c r="D3352" s="245"/>
      <c r="E3352" s="245"/>
      <c r="F3352" s="245"/>
      <c r="G3352" s="245"/>
      <c r="H3352" s="245"/>
      <c r="I3352" s="245"/>
      <c r="J3352" s="245"/>
      <c r="K3352" s="245"/>
      <c r="L3352" s="246"/>
      <c r="M3352" s="245"/>
      <c r="N3352" s="245"/>
      <c r="O3352" s="245"/>
      <c r="P3352" s="245"/>
      <c r="Q3352" s="247"/>
      <c r="R3352" s="247"/>
      <c r="S3352" s="247"/>
      <c r="T3352" s="245"/>
      <c r="U3352" s="245"/>
      <c r="V3352" s="241"/>
      <c r="W3352" s="241"/>
      <c r="X3352" s="241"/>
    </row>
    <row r="3353" spans="1:24" ht="13.5" customHeight="1" x14ac:dyDescent="0.3">
      <c r="A3353" s="245"/>
      <c r="B3353" s="246"/>
      <c r="C3353" s="245"/>
      <c r="D3353" s="245"/>
      <c r="E3353" s="245"/>
      <c r="F3353" s="245"/>
      <c r="G3353" s="245"/>
      <c r="H3353" s="245"/>
      <c r="I3353" s="245"/>
      <c r="J3353" s="245"/>
      <c r="K3353" s="245"/>
      <c r="L3353" s="246"/>
      <c r="M3353" s="245"/>
      <c r="N3353" s="245"/>
      <c r="O3353" s="245"/>
      <c r="P3353" s="245"/>
      <c r="Q3353" s="247"/>
      <c r="R3353" s="247"/>
      <c r="S3353" s="247"/>
      <c r="T3353" s="245"/>
      <c r="U3353" s="245"/>
      <c r="V3353" s="241"/>
      <c r="W3353" s="241"/>
      <c r="X3353" s="241"/>
    </row>
    <row r="3354" spans="1:24" ht="13.5" customHeight="1" x14ac:dyDescent="0.3">
      <c r="A3354" s="245"/>
      <c r="B3354" s="246"/>
      <c r="C3354" s="245"/>
      <c r="D3354" s="245"/>
      <c r="E3354" s="245"/>
      <c r="F3354" s="245"/>
      <c r="G3354" s="245"/>
      <c r="H3354" s="245"/>
      <c r="I3354" s="245"/>
      <c r="J3354" s="245"/>
      <c r="K3354" s="245"/>
      <c r="L3354" s="246"/>
      <c r="M3354" s="245"/>
      <c r="N3354" s="245"/>
      <c r="O3354" s="245"/>
      <c r="P3354" s="245"/>
      <c r="Q3354" s="247"/>
      <c r="R3354" s="247"/>
      <c r="S3354" s="247"/>
      <c r="T3354" s="245"/>
      <c r="U3354" s="245"/>
      <c r="V3354" s="241"/>
      <c r="W3354" s="241"/>
      <c r="X3354" s="241"/>
    </row>
    <row r="3355" spans="1:24" ht="13.5" customHeight="1" x14ac:dyDescent="0.3">
      <c r="A3355" s="245"/>
      <c r="B3355" s="246"/>
      <c r="C3355" s="245"/>
      <c r="D3355" s="245"/>
      <c r="E3355" s="245"/>
      <c r="F3355" s="245"/>
      <c r="G3355" s="245"/>
      <c r="H3355" s="245"/>
      <c r="I3355" s="245"/>
      <c r="J3355" s="245"/>
      <c r="K3355" s="245"/>
      <c r="L3355" s="246"/>
      <c r="M3355" s="245"/>
      <c r="N3355" s="245"/>
      <c r="O3355" s="245"/>
      <c r="P3355" s="245"/>
      <c r="Q3355" s="247"/>
      <c r="R3355" s="247"/>
      <c r="S3355" s="247"/>
      <c r="T3355" s="245"/>
      <c r="U3355" s="245"/>
      <c r="V3355" s="241"/>
      <c r="W3355" s="241"/>
      <c r="X3355" s="241"/>
    </row>
    <row r="3356" spans="1:24" ht="13.5" customHeight="1" x14ac:dyDescent="0.3">
      <c r="A3356" s="245"/>
      <c r="B3356" s="246"/>
      <c r="C3356" s="245"/>
      <c r="D3356" s="245"/>
      <c r="E3356" s="245"/>
      <c r="F3356" s="245"/>
      <c r="G3356" s="245"/>
      <c r="H3356" s="245"/>
      <c r="I3356" s="245"/>
      <c r="J3356" s="245"/>
      <c r="K3356" s="245"/>
      <c r="L3356" s="246"/>
      <c r="M3356" s="245"/>
      <c r="N3356" s="245"/>
      <c r="O3356" s="245"/>
      <c r="P3356" s="245"/>
      <c r="Q3356" s="247"/>
      <c r="R3356" s="247"/>
      <c r="S3356" s="247"/>
      <c r="T3356" s="245"/>
      <c r="U3356" s="245"/>
      <c r="V3356" s="241"/>
      <c r="W3356" s="241"/>
      <c r="X3356" s="241"/>
    </row>
    <row r="3357" spans="1:24" ht="13.5" customHeight="1" x14ac:dyDescent="0.3">
      <c r="A3357" s="245"/>
      <c r="B3357" s="246"/>
      <c r="C3357" s="245"/>
      <c r="D3357" s="245"/>
      <c r="E3357" s="245"/>
      <c r="F3357" s="245"/>
      <c r="G3357" s="245"/>
      <c r="H3357" s="245"/>
      <c r="I3357" s="245"/>
      <c r="J3357" s="245"/>
      <c r="K3357" s="245"/>
      <c r="L3357" s="246"/>
      <c r="M3357" s="245"/>
      <c r="N3357" s="245"/>
      <c r="O3357" s="245"/>
      <c r="P3357" s="245"/>
      <c r="Q3357" s="247"/>
      <c r="R3357" s="247"/>
      <c r="S3357" s="247"/>
      <c r="T3357" s="245"/>
      <c r="U3357" s="245"/>
      <c r="V3357" s="241"/>
      <c r="W3357" s="241"/>
      <c r="X3357" s="241"/>
    </row>
    <row r="3358" spans="1:24" ht="13.5" customHeight="1" x14ac:dyDescent="0.3">
      <c r="A3358" s="245"/>
      <c r="B3358" s="246"/>
      <c r="C3358" s="245"/>
      <c r="D3358" s="245"/>
      <c r="E3358" s="245"/>
      <c r="F3358" s="245"/>
      <c r="G3358" s="245"/>
      <c r="H3358" s="245"/>
      <c r="I3358" s="245"/>
      <c r="J3358" s="245"/>
      <c r="K3358" s="245"/>
      <c r="L3358" s="246"/>
      <c r="M3358" s="245"/>
      <c r="N3358" s="245"/>
      <c r="O3358" s="245"/>
      <c r="P3358" s="245"/>
      <c r="Q3358" s="247"/>
      <c r="R3358" s="247"/>
      <c r="S3358" s="247"/>
      <c r="T3358" s="245"/>
      <c r="U3358" s="245"/>
      <c r="V3358" s="241"/>
      <c r="W3358" s="241"/>
      <c r="X3358" s="241"/>
    </row>
    <row r="3359" spans="1:24" ht="13.5" customHeight="1" x14ac:dyDescent="0.3">
      <c r="A3359" s="245"/>
      <c r="B3359" s="246"/>
      <c r="C3359" s="245"/>
      <c r="D3359" s="245"/>
      <c r="E3359" s="245"/>
      <c r="F3359" s="245"/>
      <c r="G3359" s="245"/>
      <c r="H3359" s="245"/>
      <c r="I3359" s="245"/>
      <c r="J3359" s="245"/>
      <c r="K3359" s="245"/>
      <c r="L3359" s="246"/>
      <c r="M3359" s="245"/>
      <c r="N3359" s="245"/>
      <c r="O3359" s="245"/>
      <c r="P3359" s="245"/>
      <c r="Q3359" s="247"/>
      <c r="R3359" s="247"/>
      <c r="S3359" s="247"/>
      <c r="T3359" s="245"/>
      <c r="U3359" s="245"/>
      <c r="V3359" s="241"/>
      <c r="W3359" s="241"/>
      <c r="X3359" s="241"/>
    </row>
    <row r="3360" spans="1:24" ht="13.5" customHeight="1" x14ac:dyDescent="0.3">
      <c r="A3360" s="245"/>
      <c r="B3360" s="246"/>
      <c r="C3360" s="245"/>
      <c r="D3360" s="245"/>
      <c r="E3360" s="245"/>
      <c r="F3360" s="245"/>
      <c r="G3360" s="245"/>
      <c r="H3360" s="245"/>
      <c r="I3360" s="245"/>
      <c r="J3360" s="245"/>
      <c r="K3360" s="245"/>
      <c r="L3360" s="246"/>
      <c r="M3360" s="245"/>
      <c r="N3360" s="245"/>
      <c r="O3360" s="245"/>
      <c r="P3360" s="245"/>
      <c r="Q3360" s="247"/>
      <c r="R3360" s="247"/>
      <c r="S3360" s="247"/>
      <c r="T3360" s="245"/>
      <c r="U3360" s="245"/>
      <c r="V3360" s="241"/>
      <c r="W3360" s="241"/>
      <c r="X3360" s="241"/>
    </row>
    <row r="3361" spans="1:24" ht="13.5" customHeight="1" x14ac:dyDescent="0.3">
      <c r="A3361" s="245"/>
      <c r="B3361" s="246"/>
      <c r="C3361" s="245"/>
      <c r="D3361" s="245"/>
      <c r="E3361" s="245"/>
      <c r="F3361" s="245"/>
      <c r="G3361" s="245"/>
      <c r="H3361" s="245"/>
      <c r="I3361" s="245"/>
      <c r="J3361" s="245"/>
      <c r="K3361" s="245"/>
      <c r="L3361" s="246"/>
      <c r="M3361" s="245"/>
      <c r="N3361" s="245"/>
      <c r="O3361" s="245"/>
      <c r="P3361" s="245"/>
      <c r="Q3361" s="247"/>
      <c r="R3361" s="247"/>
      <c r="S3361" s="247"/>
      <c r="T3361" s="245"/>
      <c r="U3361" s="245"/>
      <c r="V3361" s="241"/>
      <c r="W3361" s="241"/>
      <c r="X3361" s="241"/>
    </row>
    <row r="3362" spans="1:24" ht="13.5" customHeight="1" x14ac:dyDescent="0.3">
      <c r="A3362" s="245"/>
      <c r="B3362" s="246"/>
      <c r="C3362" s="245"/>
      <c r="D3362" s="245"/>
      <c r="E3362" s="245"/>
      <c r="F3362" s="245"/>
      <c r="G3362" s="245"/>
      <c r="H3362" s="245"/>
      <c r="I3362" s="245"/>
      <c r="J3362" s="245"/>
      <c r="K3362" s="245"/>
      <c r="L3362" s="246"/>
      <c r="M3362" s="245"/>
      <c r="N3362" s="245"/>
      <c r="O3362" s="245"/>
      <c r="P3362" s="245"/>
      <c r="Q3362" s="247"/>
      <c r="R3362" s="247"/>
      <c r="S3362" s="247"/>
      <c r="T3362" s="245"/>
      <c r="U3362" s="245"/>
      <c r="V3362" s="241"/>
      <c r="W3362" s="241"/>
      <c r="X3362" s="241"/>
    </row>
    <row r="3363" spans="1:24" ht="13.5" customHeight="1" x14ac:dyDescent="0.3">
      <c r="A3363" s="245"/>
      <c r="B3363" s="246"/>
      <c r="C3363" s="245"/>
      <c r="D3363" s="245"/>
      <c r="E3363" s="245"/>
      <c r="F3363" s="245"/>
      <c r="G3363" s="245"/>
      <c r="H3363" s="245"/>
      <c r="I3363" s="245"/>
      <c r="J3363" s="245"/>
      <c r="K3363" s="245"/>
      <c r="L3363" s="246"/>
      <c r="M3363" s="245"/>
      <c r="N3363" s="245"/>
      <c r="O3363" s="245"/>
      <c r="P3363" s="245"/>
      <c r="Q3363" s="247"/>
      <c r="R3363" s="247"/>
      <c r="S3363" s="247"/>
      <c r="T3363" s="245"/>
      <c r="U3363" s="245"/>
      <c r="V3363" s="241"/>
      <c r="W3363" s="241"/>
      <c r="X3363" s="241"/>
    </row>
    <row r="3364" spans="1:24" ht="13.5" customHeight="1" x14ac:dyDescent="0.3">
      <c r="A3364" s="245"/>
      <c r="B3364" s="246"/>
      <c r="C3364" s="245"/>
      <c r="D3364" s="245"/>
      <c r="E3364" s="245"/>
      <c r="F3364" s="245"/>
      <c r="G3364" s="245"/>
      <c r="H3364" s="245"/>
      <c r="I3364" s="245"/>
      <c r="J3364" s="245"/>
      <c r="K3364" s="245"/>
      <c r="L3364" s="246"/>
      <c r="M3364" s="245"/>
      <c r="N3364" s="245"/>
      <c r="O3364" s="245"/>
      <c r="P3364" s="245"/>
      <c r="Q3364" s="247"/>
      <c r="R3364" s="247"/>
      <c r="S3364" s="247"/>
      <c r="T3364" s="245"/>
      <c r="U3364" s="245"/>
      <c r="V3364" s="241"/>
      <c r="W3364" s="241"/>
      <c r="X3364" s="241"/>
    </row>
    <row r="3365" spans="1:24" ht="13.5" customHeight="1" x14ac:dyDescent="0.3">
      <c r="A3365" s="245"/>
      <c r="B3365" s="246"/>
      <c r="C3365" s="245"/>
      <c r="D3365" s="245"/>
      <c r="E3365" s="245"/>
      <c r="F3365" s="245"/>
      <c r="G3365" s="245"/>
      <c r="H3365" s="245"/>
      <c r="I3365" s="245"/>
      <c r="J3365" s="245"/>
      <c r="K3365" s="245"/>
      <c r="L3365" s="246"/>
      <c r="M3365" s="245"/>
      <c r="N3365" s="245"/>
      <c r="O3365" s="245"/>
      <c r="P3365" s="245"/>
      <c r="Q3365" s="247"/>
      <c r="R3365" s="247"/>
      <c r="S3365" s="247"/>
      <c r="T3365" s="245"/>
      <c r="U3365" s="245"/>
      <c r="V3365" s="241"/>
      <c r="W3365" s="241"/>
      <c r="X3365" s="241"/>
    </row>
    <row r="3366" spans="1:24" ht="13.5" customHeight="1" x14ac:dyDescent="0.3">
      <c r="A3366" s="245"/>
      <c r="B3366" s="246"/>
      <c r="C3366" s="245"/>
      <c r="D3366" s="245"/>
      <c r="E3366" s="245"/>
      <c r="F3366" s="245"/>
      <c r="G3366" s="245"/>
      <c r="H3366" s="245"/>
      <c r="I3366" s="245"/>
      <c r="J3366" s="245"/>
      <c r="K3366" s="245"/>
      <c r="L3366" s="246"/>
      <c r="M3366" s="245"/>
      <c r="N3366" s="245"/>
      <c r="O3366" s="245"/>
      <c r="P3366" s="245"/>
      <c r="Q3366" s="247"/>
      <c r="R3366" s="247"/>
      <c r="S3366" s="247"/>
      <c r="T3366" s="245"/>
      <c r="U3366" s="245"/>
      <c r="V3366" s="241"/>
      <c r="W3366" s="241"/>
      <c r="X3366" s="241"/>
    </row>
    <row r="3367" spans="1:24" ht="13.5" customHeight="1" x14ac:dyDescent="0.3">
      <c r="A3367" s="245"/>
      <c r="B3367" s="246"/>
      <c r="C3367" s="245"/>
      <c r="D3367" s="245"/>
      <c r="E3367" s="245"/>
      <c r="F3367" s="245"/>
      <c r="G3367" s="245"/>
      <c r="H3367" s="245"/>
      <c r="I3367" s="245"/>
      <c r="J3367" s="245"/>
      <c r="K3367" s="245"/>
      <c r="L3367" s="246"/>
      <c r="M3367" s="245"/>
      <c r="N3367" s="245"/>
      <c r="O3367" s="245"/>
      <c r="P3367" s="245"/>
      <c r="Q3367" s="247"/>
      <c r="R3367" s="247"/>
      <c r="S3367" s="247"/>
      <c r="T3367" s="245"/>
      <c r="U3367" s="245"/>
      <c r="V3367" s="241"/>
      <c r="W3367" s="241"/>
      <c r="X3367" s="241"/>
    </row>
    <row r="3368" spans="1:24" ht="13.5" customHeight="1" x14ac:dyDescent="0.3">
      <c r="A3368" s="245"/>
      <c r="B3368" s="246"/>
      <c r="C3368" s="245"/>
      <c r="D3368" s="245"/>
      <c r="E3368" s="245"/>
      <c r="F3368" s="245"/>
      <c r="G3368" s="245"/>
      <c r="H3368" s="245"/>
      <c r="I3368" s="245"/>
      <c r="J3368" s="245"/>
      <c r="K3368" s="245"/>
      <c r="L3368" s="246"/>
      <c r="M3368" s="245"/>
      <c r="N3368" s="245"/>
      <c r="O3368" s="245"/>
      <c r="P3368" s="245"/>
      <c r="Q3368" s="247"/>
      <c r="R3368" s="247"/>
      <c r="S3368" s="247"/>
      <c r="T3368" s="245"/>
      <c r="U3368" s="245"/>
      <c r="V3368" s="241"/>
      <c r="W3368" s="241"/>
      <c r="X3368" s="241"/>
    </row>
    <row r="3369" spans="1:24" ht="13.5" customHeight="1" x14ac:dyDescent="0.3">
      <c r="A3369" s="245"/>
      <c r="B3369" s="246"/>
      <c r="C3369" s="245"/>
      <c r="D3369" s="245"/>
      <c r="E3369" s="245"/>
      <c r="F3369" s="245"/>
      <c r="G3369" s="245"/>
      <c r="H3369" s="245"/>
      <c r="I3369" s="245"/>
      <c r="J3369" s="245"/>
      <c r="K3369" s="245"/>
      <c r="L3369" s="246"/>
      <c r="M3369" s="245"/>
      <c r="N3369" s="245"/>
      <c r="O3369" s="245"/>
      <c r="P3369" s="245"/>
      <c r="Q3369" s="247"/>
      <c r="R3369" s="247"/>
      <c r="S3369" s="247"/>
      <c r="T3369" s="245"/>
      <c r="U3369" s="245"/>
      <c r="V3369" s="241"/>
      <c r="W3369" s="241"/>
      <c r="X3369" s="241"/>
    </row>
    <row r="3370" spans="1:24" ht="13.5" customHeight="1" x14ac:dyDescent="0.3">
      <c r="A3370" s="245"/>
      <c r="B3370" s="246"/>
      <c r="C3370" s="245"/>
      <c r="D3370" s="245"/>
      <c r="E3370" s="245"/>
      <c r="F3370" s="245"/>
      <c r="G3370" s="245"/>
      <c r="H3370" s="245"/>
      <c r="I3370" s="245"/>
      <c r="J3370" s="245"/>
      <c r="K3370" s="245"/>
      <c r="L3370" s="246"/>
      <c r="M3370" s="245"/>
      <c r="N3370" s="245"/>
      <c r="O3370" s="245"/>
      <c r="P3370" s="245"/>
      <c r="Q3370" s="247"/>
      <c r="R3370" s="247"/>
      <c r="S3370" s="247"/>
      <c r="T3370" s="245"/>
      <c r="U3370" s="245"/>
      <c r="V3370" s="241"/>
      <c r="W3370" s="241"/>
      <c r="X3370" s="241"/>
    </row>
    <row r="3371" spans="1:24" ht="13.5" customHeight="1" x14ac:dyDescent="0.3">
      <c r="A3371" s="245"/>
      <c r="B3371" s="246"/>
      <c r="C3371" s="245"/>
      <c r="D3371" s="245"/>
      <c r="E3371" s="245"/>
      <c r="F3371" s="245"/>
      <c r="G3371" s="245"/>
      <c r="H3371" s="245"/>
      <c r="I3371" s="245"/>
      <c r="J3371" s="245"/>
      <c r="K3371" s="245"/>
      <c r="L3371" s="246"/>
      <c r="M3371" s="245"/>
      <c r="N3371" s="245"/>
      <c r="O3371" s="245"/>
      <c r="P3371" s="245"/>
      <c r="Q3371" s="247"/>
      <c r="R3371" s="247"/>
      <c r="S3371" s="247"/>
      <c r="T3371" s="245"/>
      <c r="U3371" s="245"/>
      <c r="V3371" s="241"/>
      <c r="W3371" s="241"/>
      <c r="X3371" s="241"/>
    </row>
    <row r="3372" spans="1:24" ht="13.5" customHeight="1" x14ac:dyDescent="0.3">
      <c r="A3372" s="245"/>
      <c r="B3372" s="246"/>
      <c r="C3372" s="245"/>
      <c r="D3372" s="245"/>
      <c r="E3372" s="245"/>
      <c r="F3372" s="245"/>
      <c r="G3372" s="245"/>
      <c r="H3372" s="245"/>
      <c r="I3372" s="245"/>
      <c r="J3372" s="245"/>
      <c r="K3372" s="245"/>
      <c r="L3372" s="246"/>
      <c r="M3372" s="245"/>
      <c r="N3372" s="245"/>
      <c r="O3372" s="245"/>
      <c r="P3372" s="245"/>
      <c r="Q3372" s="247"/>
      <c r="R3372" s="247"/>
      <c r="S3372" s="247"/>
      <c r="T3372" s="245"/>
      <c r="U3372" s="245"/>
      <c r="V3372" s="241"/>
      <c r="W3372" s="241"/>
      <c r="X3372" s="241"/>
    </row>
    <row r="3373" spans="1:24" ht="13.5" customHeight="1" x14ac:dyDescent="0.3">
      <c r="A3373" s="245"/>
      <c r="B3373" s="246"/>
      <c r="C3373" s="245"/>
      <c r="D3373" s="245"/>
      <c r="E3373" s="245"/>
      <c r="F3373" s="245"/>
      <c r="G3373" s="245"/>
      <c r="H3373" s="245"/>
      <c r="I3373" s="245"/>
      <c r="J3373" s="245"/>
      <c r="K3373" s="245"/>
      <c r="L3373" s="246"/>
      <c r="M3373" s="245"/>
      <c r="N3373" s="245"/>
      <c r="O3373" s="245"/>
      <c r="P3373" s="245"/>
      <c r="Q3373" s="247"/>
      <c r="R3373" s="247"/>
      <c r="S3373" s="247"/>
      <c r="T3373" s="245"/>
      <c r="U3373" s="245"/>
      <c r="V3373" s="241"/>
      <c r="W3373" s="241"/>
      <c r="X3373" s="241"/>
    </row>
    <row r="3374" spans="1:24" ht="13.5" customHeight="1" x14ac:dyDescent="0.3">
      <c r="A3374" s="245"/>
      <c r="B3374" s="246"/>
      <c r="C3374" s="245"/>
      <c r="D3374" s="245"/>
      <c r="E3374" s="245"/>
      <c r="F3374" s="245"/>
      <c r="G3374" s="245"/>
      <c r="H3374" s="245"/>
      <c r="I3374" s="245"/>
      <c r="J3374" s="245"/>
      <c r="K3374" s="245"/>
      <c r="L3374" s="246"/>
      <c r="M3374" s="245"/>
      <c r="N3374" s="245"/>
      <c r="O3374" s="245"/>
      <c r="P3374" s="245"/>
      <c r="Q3374" s="247"/>
      <c r="R3374" s="247"/>
      <c r="S3374" s="247"/>
      <c r="T3374" s="245"/>
      <c r="U3374" s="245"/>
      <c r="V3374" s="241"/>
      <c r="W3374" s="241"/>
      <c r="X3374" s="241"/>
    </row>
    <row r="3375" spans="1:24" ht="13.5" customHeight="1" x14ac:dyDescent="0.3">
      <c r="A3375" s="245"/>
      <c r="B3375" s="246"/>
      <c r="C3375" s="245"/>
      <c r="D3375" s="245"/>
      <c r="E3375" s="245"/>
      <c r="F3375" s="245"/>
      <c r="G3375" s="245"/>
      <c r="H3375" s="245"/>
      <c r="I3375" s="245"/>
      <c r="J3375" s="245"/>
      <c r="K3375" s="245"/>
      <c r="L3375" s="246"/>
      <c r="M3375" s="245"/>
      <c r="N3375" s="245"/>
      <c r="O3375" s="245"/>
      <c r="P3375" s="245"/>
      <c r="Q3375" s="247"/>
      <c r="R3375" s="247"/>
      <c r="S3375" s="247"/>
      <c r="T3375" s="245"/>
      <c r="U3375" s="245"/>
      <c r="V3375" s="241"/>
      <c r="W3375" s="241"/>
      <c r="X3375" s="241"/>
    </row>
    <row r="3376" spans="1:24" ht="13.5" customHeight="1" x14ac:dyDescent="0.3">
      <c r="A3376" s="245"/>
      <c r="B3376" s="246"/>
      <c r="C3376" s="245"/>
      <c r="D3376" s="245"/>
      <c r="E3376" s="245"/>
      <c r="F3376" s="245"/>
      <c r="G3376" s="245"/>
      <c r="H3376" s="245"/>
      <c r="I3376" s="245"/>
      <c r="J3376" s="245"/>
      <c r="K3376" s="245"/>
      <c r="L3376" s="246"/>
      <c r="M3376" s="245"/>
      <c r="N3376" s="245"/>
      <c r="O3376" s="245"/>
      <c r="P3376" s="245"/>
      <c r="Q3376" s="247"/>
      <c r="R3376" s="247"/>
      <c r="S3376" s="247"/>
      <c r="T3376" s="245"/>
      <c r="U3376" s="245"/>
      <c r="V3376" s="241"/>
      <c r="W3376" s="241"/>
      <c r="X3376" s="241"/>
    </row>
    <row r="3377" spans="1:24" ht="13.5" customHeight="1" x14ac:dyDescent="0.3">
      <c r="A3377" s="245"/>
      <c r="B3377" s="246"/>
      <c r="C3377" s="245"/>
      <c r="D3377" s="245"/>
      <c r="E3377" s="245"/>
      <c r="F3377" s="245"/>
      <c r="G3377" s="245"/>
      <c r="H3377" s="245"/>
      <c r="I3377" s="245"/>
      <c r="J3377" s="245"/>
      <c r="K3377" s="245"/>
      <c r="L3377" s="246"/>
      <c r="M3377" s="245"/>
      <c r="N3377" s="245"/>
      <c r="O3377" s="245"/>
      <c r="P3377" s="245"/>
      <c r="Q3377" s="247"/>
      <c r="R3377" s="247"/>
      <c r="S3377" s="247"/>
      <c r="T3377" s="245"/>
      <c r="U3377" s="245"/>
      <c r="V3377" s="241"/>
      <c r="W3377" s="241"/>
      <c r="X3377" s="241"/>
    </row>
    <row r="3378" spans="1:24" ht="13.5" customHeight="1" x14ac:dyDescent="0.3">
      <c r="A3378" s="245"/>
      <c r="B3378" s="246"/>
      <c r="C3378" s="245"/>
      <c r="D3378" s="245"/>
      <c r="E3378" s="245"/>
      <c r="F3378" s="245"/>
      <c r="G3378" s="245"/>
      <c r="H3378" s="245"/>
      <c r="I3378" s="245"/>
      <c r="J3378" s="245"/>
      <c r="K3378" s="245"/>
      <c r="L3378" s="246"/>
      <c r="M3378" s="245"/>
      <c r="N3378" s="245"/>
      <c r="O3378" s="245"/>
      <c r="P3378" s="245"/>
      <c r="Q3378" s="247"/>
      <c r="R3378" s="247"/>
      <c r="S3378" s="247"/>
      <c r="T3378" s="245"/>
      <c r="U3378" s="245"/>
      <c r="V3378" s="241"/>
      <c r="W3378" s="241"/>
      <c r="X3378" s="241"/>
    </row>
    <row r="3379" spans="1:24" ht="13.5" customHeight="1" x14ac:dyDescent="0.3">
      <c r="A3379" s="245"/>
      <c r="B3379" s="246"/>
      <c r="C3379" s="245"/>
      <c r="D3379" s="245"/>
      <c r="E3379" s="245"/>
      <c r="F3379" s="245"/>
      <c r="G3379" s="245"/>
      <c r="H3379" s="245"/>
      <c r="I3379" s="245"/>
      <c r="J3379" s="245"/>
      <c r="K3379" s="245"/>
      <c r="L3379" s="246"/>
      <c r="M3379" s="245"/>
      <c r="N3379" s="245"/>
      <c r="O3379" s="245"/>
      <c r="P3379" s="245"/>
      <c r="Q3379" s="247"/>
      <c r="R3379" s="247"/>
      <c r="S3379" s="247"/>
      <c r="T3379" s="245"/>
      <c r="U3379" s="245"/>
      <c r="V3379" s="241"/>
      <c r="W3379" s="241"/>
      <c r="X3379" s="241"/>
    </row>
    <row r="3380" spans="1:24" ht="13.5" customHeight="1" x14ac:dyDescent="0.3">
      <c r="A3380" s="245"/>
      <c r="B3380" s="246"/>
      <c r="C3380" s="245"/>
      <c r="D3380" s="245"/>
      <c r="E3380" s="245"/>
      <c r="F3380" s="245"/>
      <c r="G3380" s="245"/>
      <c r="H3380" s="245"/>
      <c r="I3380" s="245"/>
      <c r="J3380" s="245"/>
      <c r="K3380" s="245"/>
      <c r="L3380" s="246"/>
      <c r="M3380" s="245"/>
      <c r="N3380" s="245"/>
      <c r="O3380" s="245"/>
      <c r="P3380" s="245"/>
      <c r="Q3380" s="247"/>
      <c r="R3380" s="247"/>
      <c r="S3380" s="247"/>
      <c r="T3380" s="245"/>
      <c r="U3380" s="245"/>
      <c r="V3380" s="241"/>
      <c r="W3380" s="241"/>
      <c r="X3380" s="241"/>
    </row>
    <row r="3381" spans="1:24" ht="13.5" customHeight="1" x14ac:dyDescent="0.3">
      <c r="A3381" s="245"/>
      <c r="B3381" s="246"/>
      <c r="C3381" s="245"/>
      <c r="D3381" s="245"/>
      <c r="E3381" s="245"/>
      <c r="F3381" s="245"/>
      <c r="G3381" s="245"/>
      <c r="H3381" s="245"/>
      <c r="I3381" s="245"/>
      <c r="J3381" s="245"/>
      <c r="K3381" s="245"/>
      <c r="L3381" s="246"/>
      <c r="M3381" s="245"/>
      <c r="N3381" s="245"/>
      <c r="O3381" s="245"/>
      <c r="P3381" s="245"/>
      <c r="Q3381" s="247"/>
      <c r="R3381" s="247"/>
      <c r="S3381" s="247"/>
      <c r="T3381" s="245"/>
      <c r="U3381" s="245"/>
      <c r="V3381" s="241"/>
      <c r="W3381" s="241"/>
      <c r="X3381" s="241"/>
    </row>
    <row r="3382" spans="1:24" ht="13.5" customHeight="1" x14ac:dyDescent="0.3">
      <c r="A3382" s="245"/>
      <c r="B3382" s="246"/>
      <c r="C3382" s="245"/>
      <c r="D3382" s="245"/>
      <c r="E3382" s="245"/>
      <c r="F3382" s="245"/>
      <c r="G3382" s="245"/>
      <c r="H3382" s="245"/>
      <c r="I3382" s="245"/>
      <c r="J3382" s="245"/>
      <c r="K3382" s="245"/>
      <c r="L3382" s="246"/>
      <c r="M3382" s="245"/>
      <c r="N3382" s="245"/>
      <c r="O3382" s="245"/>
      <c r="P3382" s="245"/>
      <c r="Q3382" s="247"/>
      <c r="R3382" s="247"/>
      <c r="S3382" s="247"/>
      <c r="T3382" s="245"/>
      <c r="U3382" s="245"/>
      <c r="V3382" s="241"/>
      <c r="W3382" s="241"/>
      <c r="X3382" s="241"/>
    </row>
    <row r="3383" spans="1:24" ht="13.5" customHeight="1" x14ac:dyDescent="0.3">
      <c r="A3383" s="245"/>
      <c r="B3383" s="246"/>
      <c r="C3383" s="245"/>
      <c r="D3383" s="245"/>
      <c r="E3383" s="245"/>
      <c r="F3383" s="245"/>
      <c r="G3383" s="245"/>
      <c r="H3383" s="245"/>
      <c r="I3383" s="245"/>
      <c r="J3383" s="245"/>
      <c r="K3383" s="245"/>
      <c r="L3383" s="246"/>
      <c r="M3383" s="245"/>
      <c r="N3383" s="245"/>
      <c r="O3383" s="245"/>
      <c r="P3383" s="245"/>
      <c r="Q3383" s="247"/>
      <c r="R3383" s="247"/>
      <c r="S3383" s="247"/>
      <c r="T3383" s="245"/>
      <c r="U3383" s="245"/>
      <c r="V3383" s="241"/>
      <c r="W3383" s="241"/>
      <c r="X3383" s="241"/>
    </row>
    <row r="3384" spans="1:24" ht="13.5" customHeight="1" x14ac:dyDescent="0.3">
      <c r="A3384" s="245"/>
      <c r="B3384" s="246"/>
      <c r="C3384" s="245"/>
      <c r="D3384" s="245"/>
      <c r="E3384" s="245"/>
      <c r="F3384" s="245"/>
      <c r="G3384" s="245"/>
      <c r="H3384" s="245"/>
      <c r="I3384" s="245"/>
      <c r="J3384" s="245"/>
      <c r="K3384" s="245"/>
      <c r="L3384" s="246"/>
      <c r="M3384" s="245"/>
      <c r="N3384" s="245"/>
      <c r="O3384" s="245"/>
      <c r="P3384" s="245"/>
      <c r="Q3384" s="247"/>
      <c r="R3384" s="247"/>
      <c r="S3384" s="247"/>
      <c r="T3384" s="245"/>
      <c r="U3384" s="245"/>
      <c r="V3384" s="241"/>
      <c r="W3384" s="241"/>
      <c r="X3384" s="241"/>
    </row>
    <row r="3385" spans="1:24" ht="13.5" customHeight="1" x14ac:dyDescent="0.3">
      <c r="A3385" s="245"/>
      <c r="B3385" s="246"/>
      <c r="C3385" s="245"/>
      <c r="D3385" s="245"/>
      <c r="E3385" s="245"/>
      <c r="F3385" s="245"/>
      <c r="G3385" s="245"/>
      <c r="H3385" s="245"/>
      <c r="I3385" s="245"/>
      <c r="J3385" s="245"/>
      <c r="K3385" s="245"/>
      <c r="L3385" s="246"/>
      <c r="M3385" s="245"/>
      <c r="N3385" s="245"/>
      <c r="O3385" s="245"/>
      <c r="P3385" s="245"/>
      <c r="Q3385" s="247"/>
      <c r="R3385" s="247"/>
      <c r="S3385" s="247"/>
      <c r="T3385" s="245"/>
      <c r="U3385" s="245"/>
      <c r="V3385" s="241"/>
      <c r="W3385" s="241"/>
      <c r="X3385" s="241"/>
    </row>
    <row r="3386" spans="1:24" ht="13.5" customHeight="1" x14ac:dyDescent="0.3">
      <c r="A3386" s="245"/>
      <c r="B3386" s="246"/>
      <c r="C3386" s="245"/>
      <c r="D3386" s="245"/>
      <c r="E3386" s="245"/>
      <c r="F3386" s="245"/>
      <c r="G3386" s="245"/>
      <c r="H3386" s="245"/>
      <c r="I3386" s="245"/>
      <c r="J3386" s="245"/>
      <c r="K3386" s="245"/>
      <c r="L3386" s="246"/>
      <c r="M3386" s="245"/>
      <c r="N3386" s="245"/>
      <c r="O3386" s="245"/>
      <c r="P3386" s="245"/>
      <c r="Q3386" s="247"/>
      <c r="R3386" s="247"/>
      <c r="S3386" s="247"/>
      <c r="T3386" s="245"/>
      <c r="U3386" s="245"/>
      <c r="V3386" s="241"/>
      <c r="W3386" s="241"/>
      <c r="X3386" s="241"/>
    </row>
    <row r="3387" spans="1:24" ht="13.5" customHeight="1" x14ac:dyDescent="0.3">
      <c r="A3387" s="245"/>
      <c r="B3387" s="246"/>
      <c r="C3387" s="245"/>
      <c r="D3387" s="245"/>
      <c r="E3387" s="245"/>
      <c r="F3387" s="245"/>
      <c r="G3387" s="245"/>
      <c r="H3387" s="245"/>
      <c r="I3387" s="245"/>
      <c r="J3387" s="245"/>
      <c r="K3387" s="245"/>
      <c r="L3387" s="246"/>
      <c r="M3387" s="245"/>
      <c r="N3387" s="245"/>
      <c r="O3387" s="245"/>
      <c r="P3387" s="245"/>
      <c r="Q3387" s="247"/>
      <c r="R3387" s="247"/>
      <c r="S3387" s="247"/>
      <c r="T3387" s="245"/>
      <c r="U3387" s="245"/>
      <c r="V3387" s="241"/>
      <c r="W3387" s="241"/>
      <c r="X3387" s="241"/>
    </row>
    <row r="3388" spans="1:24" ht="13.5" customHeight="1" x14ac:dyDescent="0.3">
      <c r="A3388" s="245"/>
      <c r="B3388" s="246"/>
      <c r="C3388" s="245"/>
      <c r="D3388" s="245"/>
      <c r="E3388" s="245"/>
      <c r="F3388" s="245"/>
      <c r="G3388" s="245"/>
      <c r="H3388" s="245"/>
      <c r="I3388" s="245"/>
      <c r="J3388" s="245"/>
      <c r="K3388" s="245"/>
      <c r="L3388" s="246"/>
      <c r="M3388" s="245"/>
      <c r="N3388" s="245"/>
      <c r="O3388" s="245"/>
      <c r="P3388" s="245"/>
      <c r="Q3388" s="247"/>
      <c r="R3388" s="247"/>
      <c r="S3388" s="247"/>
      <c r="T3388" s="245"/>
      <c r="U3388" s="245"/>
      <c r="V3388" s="241"/>
      <c r="W3388" s="241"/>
      <c r="X3388" s="241"/>
    </row>
    <row r="3389" spans="1:24" ht="13.5" customHeight="1" x14ac:dyDescent="0.3">
      <c r="A3389" s="245"/>
      <c r="B3389" s="246"/>
      <c r="C3389" s="245"/>
      <c r="D3389" s="245"/>
      <c r="E3389" s="245"/>
      <c r="F3389" s="245"/>
      <c r="G3389" s="245"/>
      <c r="H3389" s="245"/>
      <c r="I3389" s="245"/>
      <c r="J3389" s="245"/>
      <c r="K3389" s="245"/>
      <c r="L3389" s="246"/>
      <c r="M3389" s="245"/>
      <c r="N3389" s="245"/>
      <c r="O3389" s="245"/>
      <c r="P3389" s="245"/>
      <c r="Q3389" s="247"/>
      <c r="R3389" s="247"/>
      <c r="S3389" s="247"/>
      <c r="T3389" s="245"/>
      <c r="U3389" s="245"/>
      <c r="V3389" s="241"/>
      <c r="W3389" s="241"/>
      <c r="X3389" s="241"/>
    </row>
    <row r="3390" spans="1:24" ht="13.5" customHeight="1" x14ac:dyDescent="0.3">
      <c r="A3390" s="245"/>
      <c r="B3390" s="246"/>
      <c r="C3390" s="245"/>
      <c r="D3390" s="245"/>
      <c r="E3390" s="245"/>
      <c r="F3390" s="245"/>
      <c r="G3390" s="245"/>
      <c r="H3390" s="245"/>
      <c r="I3390" s="245"/>
      <c r="J3390" s="245"/>
      <c r="K3390" s="245"/>
      <c r="L3390" s="246"/>
      <c r="M3390" s="245"/>
      <c r="N3390" s="245"/>
      <c r="O3390" s="245"/>
      <c r="P3390" s="245"/>
      <c r="Q3390" s="247"/>
      <c r="R3390" s="247"/>
      <c r="S3390" s="247"/>
      <c r="T3390" s="245"/>
      <c r="U3390" s="245"/>
      <c r="V3390" s="241"/>
      <c r="W3390" s="241"/>
      <c r="X3390" s="241"/>
    </row>
    <row r="3391" spans="1:24" ht="13.5" customHeight="1" x14ac:dyDescent="0.3">
      <c r="A3391" s="245"/>
      <c r="B3391" s="246"/>
      <c r="C3391" s="245"/>
      <c r="D3391" s="245"/>
      <c r="E3391" s="245"/>
      <c r="F3391" s="245"/>
      <c r="G3391" s="245"/>
      <c r="H3391" s="245"/>
      <c r="I3391" s="245"/>
      <c r="J3391" s="245"/>
      <c r="K3391" s="245"/>
      <c r="L3391" s="246"/>
      <c r="M3391" s="245"/>
      <c r="N3391" s="245"/>
      <c r="O3391" s="245"/>
      <c r="P3391" s="245"/>
      <c r="Q3391" s="247"/>
      <c r="R3391" s="247"/>
      <c r="S3391" s="247"/>
      <c r="T3391" s="245"/>
      <c r="U3391" s="245"/>
      <c r="V3391" s="241"/>
      <c r="W3391" s="241"/>
      <c r="X3391" s="241"/>
    </row>
    <row r="3392" spans="1:24" ht="13.5" customHeight="1" x14ac:dyDescent="0.3">
      <c r="A3392" s="245"/>
      <c r="B3392" s="246"/>
      <c r="C3392" s="245"/>
      <c r="D3392" s="245"/>
      <c r="E3392" s="245"/>
      <c r="F3392" s="245"/>
      <c r="G3392" s="245"/>
      <c r="H3392" s="245"/>
      <c r="I3392" s="245"/>
      <c r="J3392" s="245"/>
      <c r="K3392" s="245"/>
      <c r="L3392" s="246"/>
      <c r="M3392" s="245"/>
      <c r="N3392" s="245"/>
      <c r="O3392" s="245"/>
      <c r="P3392" s="245"/>
      <c r="Q3392" s="247"/>
      <c r="R3392" s="247"/>
      <c r="S3392" s="247"/>
      <c r="T3392" s="245"/>
      <c r="U3392" s="245"/>
      <c r="V3392" s="241"/>
      <c r="W3392" s="241"/>
      <c r="X3392" s="241"/>
    </row>
    <row r="3393" spans="1:24" ht="13.5" customHeight="1" x14ac:dyDescent="0.3">
      <c r="A3393" s="245"/>
      <c r="B3393" s="246"/>
      <c r="C3393" s="245"/>
      <c r="D3393" s="245"/>
      <c r="E3393" s="245"/>
      <c r="F3393" s="245"/>
      <c r="G3393" s="245"/>
      <c r="H3393" s="245"/>
      <c r="I3393" s="245"/>
      <c r="J3393" s="245"/>
      <c r="K3393" s="245"/>
      <c r="L3393" s="246"/>
      <c r="M3393" s="245"/>
      <c r="N3393" s="245"/>
      <c r="O3393" s="245"/>
      <c r="P3393" s="245"/>
      <c r="Q3393" s="247"/>
      <c r="R3393" s="247"/>
      <c r="S3393" s="247"/>
      <c r="T3393" s="245"/>
      <c r="U3393" s="245"/>
      <c r="V3393" s="241"/>
      <c r="W3393" s="241"/>
      <c r="X3393" s="241"/>
    </row>
    <row r="3394" spans="1:24" ht="13.5" customHeight="1" x14ac:dyDescent="0.3">
      <c r="A3394" s="245"/>
      <c r="B3394" s="246"/>
      <c r="C3394" s="245"/>
      <c r="D3394" s="245"/>
      <c r="E3394" s="245"/>
      <c r="F3394" s="245"/>
      <c r="G3394" s="245"/>
      <c r="H3394" s="245"/>
      <c r="I3394" s="245"/>
      <c r="J3394" s="245"/>
      <c r="K3394" s="245"/>
      <c r="L3394" s="246"/>
      <c r="M3394" s="245"/>
      <c r="N3394" s="245"/>
      <c r="O3394" s="245"/>
      <c r="P3394" s="245"/>
      <c r="Q3394" s="247"/>
      <c r="R3394" s="247"/>
      <c r="S3394" s="247"/>
      <c r="T3394" s="245"/>
      <c r="U3394" s="245"/>
      <c r="V3394" s="241"/>
      <c r="W3394" s="241"/>
      <c r="X3394" s="241"/>
    </row>
    <row r="3395" spans="1:24" ht="13.5" customHeight="1" x14ac:dyDescent="0.3">
      <c r="A3395" s="245"/>
      <c r="B3395" s="246"/>
      <c r="C3395" s="245"/>
      <c r="D3395" s="245"/>
      <c r="E3395" s="245"/>
      <c r="F3395" s="245"/>
      <c r="G3395" s="245"/>
      <c r="H3395" s="245"/>
      <c r="I3395" s="245"/>
      <c r="J3395" s="245"/>
      <c r="K3395" s="245"/>
      <c r="L3395" s="246"/>
      <c r="M3395" s="245"/>
      <c r="N3395" s="245"/>
      <c r="O3395" s="245"/>
      <c r="P3395" s="245"/>
      <c r="Q3395" s="247"/>
      <c r="R3395" s="247"/>
      <c r="S3395" s="247"/>
      <c r="T3395" s="245"/>
      <c r="U3395" s="245"/>
      <c r="V3395" s="241"/>
      <c r="W3395" s="241"/>
      <c r="X3395" s="241"/>
    </row>
    <row r="3396" spans="1:24" ht="13.5" customHeight="1" x14ac:dyDescent="0.3">
      <c r="A3396" s="245"/>
      <c r="B3396" s="246"/>
      <c r="C3396" s="245"/>
      <c r="D3396" s="245"/>
      <c r="E3396" s="245"/>
      <c r="F3396" s="245"/>
      <c r="G3396" s="245"/>
      <c r="H3396" s="245"/>
      <c r="I3396" s="245"/>
      <c r="J3396" s="245"/>
      <c r="K3396" s="245"/>
      <c r="L3396" s="246"/>
      <c r="M3396" s="245"/>
      <c r="N3396" s="245"/>
      <c r="O3396" s="245"/>
      <c r="P3396" s="245"/>
      <c r="Q3396" s="247"/>
      <c r="R3396" s="247"/>
      <c r="S3396" s="247"/>
      <c r="T3396" s="245"/>
      <c r="U3396" s="245"/>
      <c r="V3396" s="241"/>
      <c r="W3396" s="241"/>
      <c r="X3396" s="241"/>
    </row>
    <row r="3397" spans="1:24" ht="13.5" customHeight="1" x14ac:dyDescent="0.3">
      <c r="A3397" s="245"/>
      <c r="B3397" s="246"/>
      <c r="C3397" s="245"/>
      <c r="D3397" s="245"/>
      <c r="E3397" s="245"/>
      <c r="F3397" s="245"/>
      <c r="G3397" s="245"/>
      <c r="H3397" s="245"/>
      <c r="I3397" s="245"/>
      <c r="J3397" s="245"/>
      <c r="K3397" s="245"/>
      <c r="L3397" s="246"/>
      <c r="M3397" s="245"/>
      <c r="N3397" s="245"/>
      <c r="O3397" s="245"/>
      <c r="P3397" s="245"/>
      <c r="Q3397" s="247"/>
      <c r="R3397" s="247"/>
      <c r="S3397" s="247"/>
      <c r="T3397" s="245"/>
      <c r="U3397" s="245"/>
      <c r="V3397" s="241"/>
      <c r="W3397" s="241"/>
      <c r="X3397" s="241"/>
    </row>
    <row r="3398" spans="1:24" ht="13.5" customHeight="1" x14ac:dyDescent="0.3">
      <c r="A3398" s="245"/>
      <c r="B3398" s="246"/>
      <c r="C3398" s="245"/>
      <c r="D3398" s="245"/>
      <c r="E3398" s="245"/>
      <c r="F3398" s="245"/>
      <c r="G3398" s="245"/>
      <c r="H3398" s="245"/>
      <c r="I3398" s="245"/>
      <c r="J3398" s="245"/>
      <c r="K3398" s="245"/>
      <c r="L3398" s="246"/>
      <c r="M3398" s="245"/>
      <c r="N3398" s="245"/>
      <c r="O3398" s="245"/>
      <c r="P3398" s="245"/>
      <c r="Q3398" s="247"/>
      <c r="R3398" s="247"/>
      <c r="S3398" s="247"/>
      <c r="T3398" s="245"/>
      <c r="U3398" s="245"/>
      <c r="V3398" s="241"/>
      <c r="W3398" s="241"/>
      <c r="X3398" s="241"/>
    </row>
    <row r="3399" spans="1:24" ht="13.5" customHeight="1" x14ac:dyDescent="0.3">
      <c r="A3399" s="245"/>
      <c r="B3399" s="246"/>
      <c r="C3399" s="245"/>
      <c r="D3399" s="245"/>
      <c r="E3399" s="245"/>
      <c r="F3399" s="245"/>
      <c r="G3399" s="245"/>
      <c r="H3399" s="245"/>
      <c r="I3399" s="245"/>
      <c r="J3399" s="245"/>
      <c r="K3399" s="245"/>
      <c r="L3399" s="246"/>
      <c r="M3399" s="245"/>
      <c r="N3399" s="245"/>
      <c r="O3399" s="245"/>
      <c r="P3399" s="245"/>
      <c r="Q3399" s="247"/>
      <c r="R3399" s="247"/>
      <c r="S3399" s="247"/>
      <c r="T3399" s="245"/>
      <c r="U3399" s="245"/>
      <c r="V3399" s="241"/>
      <c r="W3399" s="241"/>
      <c r="X3399" s="241"/>
    </row>
    <row r="3400" spans="1:24" ht="13.5" customHeight="1" x14ac:dyDescent="0.3">
      <c r="A3400" s="245"/>
      <c r="B3400" s="246"/>
      <c r="C3400" s="245"/>
      <c r="D3400" s="245"/>
      <c r="E3400" s="245"/>
      <c r="F3400" s="245"/>
      <c r="G3400" s="245"/>
      <c r="H3400" s="245"/>
      <c r="I3400" s="245"/>
      <c r="J3400" s="245"/>
      <c r="K3400" s="245"/>
      <c r="L3400" s="246"/>
      <c r="M3400" s="245"/>
      <c r="N3400" s="245"/>
      <c r="O3400" s="245"/>
      <c r="P3400" s="245"/>
      <c r="Q3400" s="247"/>
      <c r="R3400" s="247"/>
      <c r="S3400" s="247"/>
      <c r="T3400" s="245"/>
      <c r="U3400" s="245"/>
      <c r="V3400" s="241"/>
      <c r="W3400" s="241"/>
      <c r="X3400" s="241"/>
    </row>
    <row r="3401" spans="1:24" ht="13.5" customHeight="1" x14ac:dyDescent="0.3">
      <c r="A3401" s="245"/>
      <c r="B3401" s="246"/>
      <c r="C3401" s="245"/>
      <c r="D3401" s="245"/>
      <c r="E3401" s="245"/>
      <c r="F3401" s="245"/>
      <c r="G3401" s="245"/>
      <c r="H3401" s="245"/>
      <c r="I3401" s="245"/>
      <c r="J3401" s="245"/>
      <c r="K3401" s="245"/>
      <c r="L3401" s="246"/>
      <c r="M3401" s="245"/>
      <c r="N3401" s="245"/>
      <c r="O3401" s="245"/>
      <c r="P3401" s="245"/>
      <c r="Q3401" s="247"/>
      <c r="R3401" s="247"/>
      <c r="S3401" s="247"/>
      <c r="T3401" s="245"/>
      <c r="U3401" s="245"/>
      <c r="V3401" s="241"/>
      <c r="W3401" s="241"/>
      <c r="X3401" s="241"/>
    </row>
    <row r="3402" spans="1:24" ht="13.5" customHeight="1" x14ac:dyDescent="0.3">
      <c r="A3402" s="245"/>
      <c r="B3402" s="246"/>
      <c r="C3402" s="245"/>
      <c r="D3402" s="245"/>
      <c r="E3402" s="245"/>
      <c r="F3402" s="245"/>
      <c r="G3402" s="245"/>
      <c r="H3402" s="245"/>
      <c r="I3402" s="245"/>
      <c r="J3402" s="245"/>
      <c r="K3402" s="245"/>
      <c r="L3402" s="246"/>
      <c r="M3402" s="245"/>
      <c r="N3402" s="245"/>
      <c r="O3402" s="245"/>
      <c r="P3402" s="245"/>
      <c r="Q3402" s="247"/>
      <c r="R3402" s="247"/>
      <c r="S3402" s="247"/>
      <c r="T3402" s="245"/>
      <c r="U3402" s="245"/>
      <c r="V3402" s="241"/>
      <c r="W3402" s="241"/>
      <c r="X3402" s="241"/>
    </row>
    <row r="3403" spans="1:24" ht="13.5" customHeight="1" x14ac:dyDescent="0.3">
      <c r="A3403" s="245"/>
      <c r="B3403" s="246"/>
      <c r="C3403" s="245"/>
      <c r="D3403" s="245"/>
      <c r="E3403" s="245"/>
      <c r="F3403" s="245"/>
      <c r="G3403" s="245"/>
      <c r="H3403" s="245"/>
      <c r="I3403" s="245"/>
      <c r="J3403" s="245"/>
      <c r="K3403" s="245"/>
      <c r="L3403" s="246"/>
      <c r="M3403" s="245"/>
      <c r="N3403" s="245"/>
      <c r="O3403" s="245"/>
      <c r="P3403" s="245"/>
      <c r="Q3403" s="247"/>
      <c r="R3403" s="247"/>
      <c r="S3403" s="247"/>
      <c r="T3403" s="245"/>
      <c r="U3403" s="245"/>
      <c r="V3403" s="241"/>
      <c r="W3403" s="241"/>
      <c r="X3403" s="241"/>
    </row>
    <row r="3404" spans="1:24" ht="13.5" customHeight="1" x14ac:dyDescent="0.3">
      <c r="A3404" s="245"/>
      <c r="B3404" s="246"/>
      <c r="C3404" s="245"/>
      <c r="D3404" s="245"/>
      <c r="E3404" s="245"/>
      <c r="F3404" s="245"/>
      <c r="G3404" s="245"/>
      <c r="H3404" s="245"/>
      <c r="I3404" s="245"/>
      <c r="J3404" s="245"/>
      <c r="K3404" s="245"/>
      <c r="L3404" s="246"/>
      <c r="M3404" s="245"/>
      <c r="N3404" s="245"/>
      <c r="O3404" s="245"/>
      <c r="P3404" s="245"/>
      <c r="Q3404" s="247"/>
      <c r="R3404" s="247"/>
      <c r="S3404" s="247"/>
      <c r="T3404" s="245"/>
      <c r="U3404" s="245"/>
      <c r="V3404" s="241"/>
      <c r="W3404" s="241"/>
      <c r="X3404" s="241"/>
    </row>
    <row r="3405" spans="1:24" ht="13.5" customHeight="1" x14ac:dyDescent="0.3">
      <c r="A3405" s="245"/>
      <c r="B3405" s="246"/>
      <c r="C3405" s="245"/>
      <c r="D3405" s="245"/>
      <c r="E3405" s="245"/>
      <c r="F3405" s="245"/>
      <c r="G3405" s="245"/>
      <c r="H3405" s="245"/>
      <c r="I3405" s="245"/>
      <c r="J3405" s="245"/>
      <c r="K3405" s="245"/>
      <c r="L3405" s="246"/>
      <c r="M3405" s="245"/>
      <c r="N3405" s="245"/>
      <c r="O3405" s="245"/>
      <c r="P3405" s="245"/>
      <c r="Q3405" s="247"/>
      <c r="R3405" s="247"/>
      <c r="S3405" s="247"/>
      <c r="T3405" s="245"/>
      <c r="U3405" s="245"/>
      <c r="V3405" s="241"/>
      <c r="W3405" s="241"/>
      <c r="X3405" s="241"/>
    </row>
    <row r="3406" spans="1:24" ht="13.5" customHeight="1" x14ac:dyDescent="0.3">
      <c r="A3406" s="245"/>
      <c r="B3406" s="246"/>
      <c r="C3406" s="245"/>
      <c r="D3406" s="245"/>
      <c r="E3406" s="245"/>
      <c r="F3406" s="245"/>
      <c r="G3406" s="245"/>
      <c r="H3406" s="245"/>
      <c r="I3406" s="245"/>
      <c r="J3406" s="245"/>
      <c r="K3406" s="245"/>
      <c r="L3406" s="246"/>
      <c r="M3406" s="245"/>
      <c r="N3406" s="245"/>
      <c r="O3406" s="245"/>
      <c r="P3406" s="245"/>
      <c r="Q3406" s="247"/>
      <c r="R3406" s="247"/>
      <c r="S3406" s="247"/>
      <c r="T3406" s="245"/>
      <c r="U3406" s="245"/>
      <c r="V3406" s="241"/>
      <c r="W3406" s="241"/>
      <c r="X3406" s="241"/>
    </row>
    <row r="3407" spans="1:24" ht="13.5" customHeight="1" x14ac:dyDescent="0.3">
      <c r="A3407" s="245"/>
      <c r="B3407" s="246"/>
      <c r="C3407" s="245"/>
      <c r="D3407" s="245"/>
      <c r="E3407" s="245"/>
      <c r="F3407" s="245"/>
      <c r="G3407" s="245"/>
      <c r="H3407" s="245"/>
      <c r="I3407" s="245"/>
      <c r="J3407" s="245"/>
      <c r="K3407" s="245"/>
      <c r="L3407" s="246"/>
      <c r="M3407" s="245"/>
      <c r="N3407" s="245"/>
      <c r="O3407" s="245"/>
      <c r="P3407" s="245"/>
      <c r="Q3407" s="247"/>
      <c r="R3407" s="247"/>
      <c r="S3407" s="247"/>
      <c r="T3407" s="245"/>
      <c r="U3407" s="245"/>
      <c r="V3407" s="241"/>
      <c r="W3407" s="241"/>
      <c r="X3407" s="241"/>
    </row>
    <row r="3408" spans="1:24" ht="13.5" customHeight="1" x14ac:dyDescent="0.3">
      <c r="A3408" s="245"/>
      <c r="B3408" s="246"/>
      <c r="C3408" s="245"/>
      <c r="D3408" s="245"/>
      <c r="E3408" s="245"/>
      <c r="F3408" s="245"/>
      <c r="G3408" s="245"/>
      <c r="H3408" s="245"/>
      <c r="I3408" s="245"/>
      <c r="J3408" s="245"/>
      <c r="K3408" s="245"/>
      <c r="L3408" s="246"/>
      <c r="M3408" s="245"/>
      <c r="N3408" s="245"/>
      <c r="O3408" s="245"/>
      <c r="P3408" s="245"/>
      <c r="Q3408" s="247"/>
      <c r="R3408" s="247"/>
      <c r="S3408" s="247"/>
      <c r="T3408" s="245"/>
      <c r="U3408" s="245"/>
      <c r="V3408" s="241"/>
      <c r="W3408" s="241"/>
      <c r="X3408" s="241"/>
    </row>
    <row r="3409" spans="1:24" ht="13.5" customHeight="1" x14ac:dyDescent="0.3">
      <c r="A3409" s="245"/>
      <c r="B3409" s="246"/>
      <c r="C3409" s="245"/>
      <c r="D3409" s="245"/>
      <c r="E3409" s="245"/>
      <c r="F3409" s="245"/>
      <c r="G3409" s="245"/>
      <c r="H3409" s="245"/>
      <c r="I3409" s="245"/>
      <c r="J3409" s="245"/>
      <c r="K3409" s="245"/>
      <c r="L3409" s="246"/>
      <c r="M3409" s="245"/>
      <c r="N3409" s="245"/>
      <c r="O3409" s="245"/>
      <c r="P3409" s="245"/>
      <c r="Q3409" s="247"/>
      <c r="R3409" s="247"/>
      <c r="S3409" s="247"/>
      <c r="T3409" s="245"/>
      <c r="U3409" s="245"/>
      <c r="V3409" s="241"/>
      <c r="W3409" s="241"/>
      <c r="X3409" s="241"/>
    </row>
    <row r="3410" spans="1:24" ht="13.5" customHeight="1" x14ac:dyDescent="0.3">
      <c r="A3410" s="245"/>
      <c r="B3410" s="246"/>
      <c r="C3410" s="245"/>
      <c r="D3410" s="245"/>
      <c r="E3410" s="245"/>
      <c r="F3410" s="245"/>
      <c r="G3410" s="245"/>
      <c r="H3410" s="245"/>
      <c r="I3410" s="245"/>
      <c r="J3410" s="245"/>
      <c r="K3410" s="245"/>
      <c r="L3410" s="246"/>
      <c r="M3410" s="245"/>
      <c r="N3410" s="245"/>
      <c r="O3410" s="245"/>
      <c r="P3410" s="245"/>
      <c r="Q3410" s="247"/>
      <c r="R3410" s="247"/>
      <c r="S3410" s="247"/>
      <c r="T3410" s="245"/>
      <c r="U3410" s="245"/>
      <c r="V3410" s="241"/>
      <c r="W3410" s="241"/>
      <c r="X3410" s="241"/>
    </row>
    <row r="3411" spans="1:24" ht="13.5" customHeight="1" x14ac:dyDescent="0.3">
      <c r="A3411" s="245"/>
      <c r="B3411" s="246"/>
      <c r="C3411" s="245"/>
      <c r="D3411" s="245"/>
      <c r="E3411" s="245"/>
      <c r="F3411" s="245"/>
      <c r="G3411" s="245"/>
      <c r="H3411" s="245"/>
      <c r="I3411" s="245"/>
      <c r="J3411" s="245"/>
      <c r="K3411" s="245"/>
      <c r="L3411" s="246"/>
      <c r="M3411" s="245"/>
      <c r="N3411" s="245"/>
      <c r="O3411" s="245"/>
      <c r="P3411" s="245"/>
      <c r="Q3411" s="247"/>
      <c r="R3411" s="247"/>
      <c r="S3411" s="247"/>
      <c r="T3411" s="245"/>
      <c r="U3411" s="245"/>
      <c r="V3411" s="241"/>
      <c r="W3411" s="241"/>
      <c r="X3411" s="241"/>
    </row>
    <row r="3412" spans="1:24" ht="13.5" customHeight="1" x14ac:dyDescent="0.3">
      <c r="A3412" s="245"/>
      <c r="B3412" s="246"/>
      <c r="C3412" s="245"/>
      <c r="D3412" s="245"/>
      <c r="E3412" s="245"/>
      <c r="F3412" s="245"/>
      <c r="G3412" s="245"/>
      <c r="H3412" s="245"/>
      <c r="I3412" s="245"/>
      <c r="J3412" s="245"/>
      <c r="K3412" s="245"/>
      <c r="L3412" s="246"/>
      <c r="M3412" s="245"/>
      <c r="N3412" s="245"/>
      <c r="O3412" s="245"/>
      <c r="P3412" s="245"/>
      <c r="Q3412" s="247"/>
      <c r="R3412" s="247"/>
      <c r="S3412" s="247"/>
      <c r="T3412" s="245"/>
      <c r="U3412" s="245"/>
      <c r="V3412" s="241"/>
      <c r="W3412" s="241"/>
      <c r="X3412" s="241"/>
    </row>
    <row r="3413" spans="1:24" ht="13.5" customHeight="1" x14ac:dyDescent="0.3">
      <c r="A3413" s="245"/>
      <c r="B3413" s="246"/>
      <c r="C3413" s="245"/>
      <c r="D3413" s="245"/>
      <c r="E3413" s="245"/>
      <c r="F3413" s="245"/>
      <c r="G3413" s="245"/>
      <c r="H3413" s="245"/>
      <c r="I3413" s="245"/>
      <c r="J3413" s="245"/>
      <c r="K3413" s="245"/>
      <c r="L3413" s="246"/>
      <c r="M3413" s="245"/>
      <c r="N3413" s="245"/>
      <c r="O3413" s="245"/>
      <c r="P3413" s="245"/>
      <c r="Q3413" s="247"/>
      <c r="R3413" s="247"/>
      <c r="S3413" s="247"/>
      <c r="T3413" s="245"/>
      <c r="U3413" s="245"/>
      <c r="V3413" s="241"/>
      <c r="W3413" s="241"/>
      <c r="X3413" s="241"/>
    </row>
    <row r="3414" spans="1:24" ht="13.5" customHeight="1" x14ac:dyDescent="0.3">
      <c r="A3414" s="245"/>
      <c r="B3414" s="246"/>
      <c r="C3414" s="245"/>
      <c r="D3414" s="245"/>
      <c r="E3414" s="245"/>
      <c r="F3414" s="245"/>
      <c r="G3414" s="245"/>
      <c r="H3414" s="245"/>
      <c r="I3414" s="245"/>
      <c r="J3414" s="245"/>
      <c r="K3414" s="245"/>
      <c r="L3414" s="246"/>
      <c r="M3414" s="245"/>
      <c r="N3414" s="245"/>
      <c r="O3414" s="245"/>
      <c r="P3414" s="245"/>
      <c r="Q3414" s="247"/>
      <c r="R3414" s="247"/>
      <c r="S3414" s="247"/>
      <c r="T3414" s="245"/>
      <c r="U3414" s="245"/>
      <c r="V3414" s="241"/>
      <c r="W3414" s="241"/>
      <c r="X3414" s="241"/>
    </row>
    <row r="3415" spans="1:24" ht="13.5" customHeight="1" x14ac:dyDescent="0.3">
      <c r="A3415" s="245"/>
      <c r="B3415" s="246"/>
      <c r="C3415" s="245"/>
      <c r="D3415" s="245"/>
      <c r="E3415" s="245"/>
      <c r="F3415" s="245"/>
      <c r="G3415" s="245"/>
      <c r="H3415" s="245"/>
      <c r="I3415" s="245"/>
      <c r="J3415" s="245"/>
      <c r="K3415" s="245"/>
      <c r="L3415" s="246"/>
      <c r="M3415" s="245"/>
      <c r="N3415" s="245"/>
      <c r="O3415" s="245"/>
      <c r="P3415" s="245"/>
      <c r="Q3415" s="247"/>
      <c r="R3415" s="247"/>
      <c r="S3415" s="247"/>
      <c r="T3415" s="245"/>
      <c r="U3415" s="245"/>
      <c r="V3415" s="241"/>
      <c r="W3415" s="241"/>
      <c r="X3415" s="241"/>
    </row>
    <row r="3416" spans="1:24" ht="13.5" customHeight="1" x14ac:dyDescent="0.3">
      <c r="A3416" s="245"/>
      <c r="B3416" s="246"/>
      <c r="C3416" s="245"/>
      <c r="D3416" s="245"/>
      <c r="E3416" s="245"/>
      <c r="F3416" s="245"/>
      <c r="G3416" s="245"/>
      <c r="H3416" s="245"/>
      <c r="I3416" s="245"/>
      <c r="J3416" s="245"/>
      <c r="K3416" s="245"/>
      <c r="L3416" s="246"/>
      <c r="M3416" s="245"/>
      <c r="N3416" s="245"/>
      <c r="O3416" s="245"/>
      <c r="P3416" s="245"/>
      <c r="Q3416" s="247"/>
      <c r="R3416" s="247"/>
      <c r="S3416" s="247"/>
      <c r="T3416" s="245"/>
      <c r="U3416" s="245"/>
      <c r="V3416" s="241"/>
      <c r="W3416" s="241"/>
      <c r="X3416" s="241"/>
    </row>
    <row r="3417" spans="1:24" ht="13.5" customHeight="1" x14ac:dyDescent="0.3">
      <c r="A3417" s="245"/>
      <c r="B3417" s="246"/>
      <c r="C3417" s="245"/>
      <c r="D3417" s="245"/>
      <c r="E3417" s="245"/>
      <c r="F3417" s="245"/>
      <c r="G3417" s="245"/>
      <c r="H3417" s="245"/>
      <c r="I3417" s="245"/>
      <c r="J3417" s="245"/>
      <c r="K3417" s="245"/>
      <c r="L3417" s="246"/>
      <c r="M3417" s="245"/>
      <c r="N3417" s="245"/>
      <c r="O3417" s="245"/>
      <c r="P3417" s="245"/>
      <c r="Q3417" s="247"/>
      <c r="R3417" s="247"/>
      <c r="S3417" s="247"/>
      <c r="T3417" s="245"/>
      <c r="U3417" s="245"/>
      <c r="V3417" s="241"/>
      <c r="W3417" s="241"/>
      <c r="X3417" s="241"/>
    </row>
    <row r="3418" spans="1:24" ht="13.5" customHeight="1" x14ac:dyDescent="0.3">
      <c r="A3418" s="245"/>
      <c r="B3418" s="246"/>
      <c r="C3418" s="245"/>
      <c r="D3418" s="245"/>
      <c r="E3418" s="245"/>
      <c r="F3418" s="245"/>
      <c r="G3418" s="245"/>
      <c r="H3418" s="245"/>
      <c r="I3418" s="245"/>
      <c r="J3418" s="245"/>
      <c r="K3418" s="245"/>
      <c r="L3418" s="246"/>
      <c r="M3418" s="245"/>
      <c r="N3418" s="245"/>
      <c r="O3418" s="245"/>
      <c r="P3418" s="245"/>
      <c r="Q3418" s="247"/>
      <c r="R3418" s="247"/>
      <c r="S3418" s="247"/>
      <c r="T3418" s="245"/>
      <c r="U3418" s="245"/>
      <c r="V3418" s="241"/>
      <c r="W3418" s="241"/>
      <c r="X3418" s="241"/>
    </row>
    <row r="3419" spans="1:24" ht="13.5" customHeight="1" x14ac:dyDescent="0.3">
      <c r="A3419" s="245"/>
      <c r="B3419" s="246"/>
      <c r="C3419" s="245"/>
      <c r="D3419" s="245"/>
      <c r="E3419" s="245"/>
      <c r="F3419" s="245"/>
      <c r="G3419" s="245"/>
      <c r="H3419" s="245"/>
      <c r="I3419" s="245"/>
      <c r="J3419" s="245"/>
      <c r="K3419" s="245"/>
      <c r="L3419" s="246"/>
      <c r="M3419" s="245"/>
      <c r="N3419" s="245"/>
      <c r="O3419" s="245"/>
      <c r="P3419" s="245"/>
      <c r="Q3419" s="247"/>
      <c r="R3419" s="247"/>
      <c r="S3419" s="247"/>
      <c r="T3419" s="245"/>
      <c r="U3419" s="245"/>
      <c r="V3419" s="241"/>
      <c r="W3419" s="241"/>
      <c r="X3419" s="241"/>
    </row>
    <row r="3420" spans="1:24" ht="13.5" customHeight="1" x14ac:dyDescent="0.3">
      <c r="A3420" s="245"/>
      <c r="B3420" s="246"/>
      <c r="C3420" s="245"/>
      <c r="D3420" s="245"/>
      <c r="E3420" s="245"/>
      <c r="F3420" s="245"/>
      <c r="G3420" s="245"/>
      <c r="H3420" s="245"/>
      <c r="I3420" s="245"/>
      <c r="J3420" s="245"/>
      <c r="K3420" s="245"/>
      <c r="L3420" s="246"/>
      <c r="M3420" s="245"/>
      <c r="N3420" s="245"/>
      <c r="O3420" s="245"/>
      <c r="P3420" s="245"/>
      <c r="Q3420" s="247"/>
      <c r="R3420" s="247"/>
      <c r="S3420" s="247"/>
      <c r="T3420" s="245"/>
      <c r="U3420" s="245"/>
      <c r="V3420" s="241"/>
      <c r="W3420" s="241"/>
      <c r="X3420" s="241"/>
    </row>
    <row r="3421" spans="1:24" ht="13.5" customHeight="1" x14ac:dyDescent="0.3">
      <c r="A3421" s="245"/>
      <c r="B3421" s="246"/>
      <c r="C3421" s="245"/>
      <c r="D3421" s="245"/>
      <c r="E3421" s="245"/>
      <c r="F3421" s="245"/>
      <c r="G3421" s="245"/>
      <c r="H3421" s="245"/>
      <c r="I3421" s="245"/>
      <c r="J3421" s="245"/>
      <c r="K3421" s="245"/>
      <c r="L3421" s="246"/>
      <c r="M3421" s="245"/>
      <c r="N3421" s="245"/>
      <c r="O3421" s="245"/>
      <c r="P3421" s="245"/>
      <c r="Q3421" s="247"/>
      <c r="R3421" s="247"/>
      <c r="S3421" s="247"/>
      <c r="T3421" s="245"/>
      <c r="U3421" s="245"/>
      <c r="V3421" s="241"/>
      <c r="W3421" s="241"/>
      <c r="X3421" s="241"/>
    </row>
    <row r="3422" spans="1:24" ht="13.5" customHeight="1" x14ac:dyDescent="0.3">
      <c r="A3422" s="245"/>
      <c r="B3422" s="246"/>
      <c r="C3422" s="245"/>
      <c r="D3422" s="245"/>
      <c r="E3422" s="245"/>
      <c r="F3422" s="245"/>
      <c r="G3422" s="245"/>
      <c r="H3422" s="245"/>
      <c r="I3422" s="245"/>
      <c r="J3422" s="245"/>
      <c r="K3422" s="245"/>
      <c r="L3422" s="246"/>
      <c r="M3422" s="245"/>
      <c r="N3422" s="245"/>
      <c r="O3422" s="245"/>
      <c r="P3422" s="245"/>
      <c r="Q3422" s="247"/>
      <c r="R3422" s="247"/>
      <c r="S3422" s="247"/>
      <c r="T3422" s="245"/>
      <c r="U3422" s="245"/>
      <c r="V3422" s="241"/>
      <c r="W3422" s="241"/>
      <c r="X3422" s="241"/>
    </row>
    <row r="3423" spans="1:24" ht="13.5" customHeight="1" x14ac:dyDescent="0.3">
      <c r="A3423" s="245"/>
      <c r="B3423" s="246"/>
      <c r="C3423" s="245"/>
      <c r="D3423" s="245"/>
      <c r="E3423" s="245"/>
      <c r="F3423" s="245"/>
      <c r="G3423" s="245"/>
      <c r="H3423" s="245"/>
      <c r="I3423" s="245"/>
      <c r="J3423" s="245"/>
      <c r="K3423" s="245"/>
      <c r="L3423" s="246"/>
      <c r="M3423" s="245"/>
      <c r="N3423" s="245"/>
      <c r="O3423" s="245"/>
      <c r="P3423" s="245"/>
      <c r="Q3423" s="247"/>
      <c r="R3423" s="247"/>
      <c r="S3423" s="247"/>
      <c r="T3423" s="245"/>
      <c r="U3423" s="245"/>
      <c r="V3423" s="241"/>
      <c r="W3423" s="241"/>
      <c r="X3423" s="241"/>
    </row>
    <row r="3424" spans="1:24" ht="13.5" customHeight="1" x14ac:dyDescent="0.3">
      <c r="A3424" s="245"/>
      <c r="B3424" s="246"/>
      <c r="C3424" s="245"/>
      <c r="D3424" s="245"/>
      <c r="E3424" s="245"/>
      <c r="F3424" s="245"/>
      <c r="G3424" s="245"/>
      <c r="H3424" s="245"/>
      <c r="I3424" s="245"/>
      <c r="J3424" s="245"/>
      <c r="K3424" s="245"/>
      <c r="L3424" s="246"/>
      <c r="M3424" s="245"/>
      <c r="N3424" s="245"/>
      <c r="O3424" s="245"/>
      <c r="P3424" s="245"/>
      <c r="Q3424" s="247"/>
      <c r="R3424" s="247"/>
      <c r="S3424" s="247"/>
      <c r="T3424" s="245"/>
      <c r="U3424" s="245"/>
      <c r="V3424" s="241"/>
      <c r="W3424" s="241"/>
      <c r="X3424" s="241"/>
    </row>
    <row r="3425" spans="1:24" ht="13.5" customHeight="1" x14ac:dyDescent="0.3">
      <c r="A3425" s="245"/>
      <c r="B3425" s="246"/>
      <c r="C3425" s="245"/>
      <c r="D3425" s="245"/>
      <c r="E3425" s="245"/>
      <c r="F3425" s="245"/>
      <c r="G3425" s="245"/>
      <c r="H3425" s="245"/>
      <c r="I3425" s="245"/>
      <c r="J3425" s="245"/>
      <c r="K3425" s="245"/>
      <c r="L3425" s="246"/>
      <c r="M3425" s="245"/>
      <c r="N3425" s="245"/>
      <c r="O3425" s="245"/>
      <c r="P3425" s="245"/>
      <c r="Q3425" s="247"/>
      <c r="R3425" s="247"/>
      <c r="S3425" s="247"/>
      <c r="T3425" s="245"/>
      <c r="U3425" s="245"/>
      <c r="V3425" s="241"/>
      <c r="W3425" s="241"/>
      <c r="X3425" s="241"/>
    </row>
    <row r="3426" spans="1:24" ht="13.5" customHeight="1" x14ac:dyDescent="0.3">
      <c r="A3426" s="245"/>
      <c r="B3426" s="246"/>
      <c r="C3426" s="245"/>
      <c r="D3426" s="245"/>
      <c r="E3426" s="245"/>
      <c r="F3426" s="245"/>
      <c r="G3426" s="245"/>
      <c r="H3426" s="245"/>
      <c r="I3426" s="245"/>
      <c r="J3426" s="245"/>
      <c r="K3426" s="245"/>
      <c r="L3426" s="246"/>
      <c r="M3426" s="245"/>
      <c r="N3426" s="245"/>
      <c r="O3426" s="245"/>
      <c r="P3426" s="245"/>
      <c r="Q3426" s="247"/>
      <c r="R3426" s="247"/>
      <c r="S3426" s="247"/>
      <c r="T3426" s="245"/>
      <c r="U3426" s="245"/>
      <c r="V3426" s="241"/>
      <c r="W3426" s="241"/>
      <c r="X3426" s="241"/>
    </row>
    <row r="3427" spans="1:24" ht="13.5" customHeight="1" x14ac:dyDescent="0.3">
      <c r="A3427" s="245"/>
      <c r="B3427" s="246"/>
      <c r="C3427" s="245"/>
      <c r="D3427" s="245"/>
      <c r="E3427" s="245"/>
      <c r="F3427" s="245"/>
      <c r="G3427" s="245"/>
      <c r="H3427" s="245"/>
      <c r="I3427" s="245"/>
      <c r="J3427" s="245"/>
      <c r="K3427" s="245"/>
      <c r="L3427" s="246"/>
      <c r="M3427" s="245"/>
      <c r="N3427" s="245"/>
      <c r="O3427" s="245"/>
      <c r="P3427" s="245"/>
      <c r="Q3427" s="247"/>
      <c r="R3427" s="247"/>
      <c r="S3427" s="247"/>
      <c r="T3427" s="245"/>
      <c r="U3427" s="245"/>
      <c r="V3427" s="241"/>
      <c r="W3427" s="241"/>
      <c r="X3427" s="241"/>
    </row>
    <row r="3428" spans="1:24" ht="13.5" customHeight="1" x14ac:dyDescent="0.3">
      <c r="A3428" s="245"/>
      <c r="B3428" s="246"/>
      <c r="C3428" s="245"/>
      <c r="D3428" s="245"/>
      <c r="E3428" s="245"/>
      <c r="F3428" s="245"/>
      <c r="G3428" s="245"/>
      <c r="H3428" s="245"/>
      <c r="I3428" s="245"/>
      <c r="J3428" s="245"/>
      <c r="K3428" s="245"/>
      <c r="L3428" s="246"/>
      <c r="M3428" s="245"/>
      <c r="N3428" s="245"/>
      <c r="O3428" s="245"/>
      <c r="P3428" s="245"/>
      <c r="Q3428" s="247"/>
      <c r="R3428" s="247"/>
      <c r="S3428" s="247"/>
      <c r="T3428" s="245"/>
      <c r="U3428" s="245"/>
      <c r="V3428" s="241"/>
      <c r="W3428" s="241"/>
      <c r="X3428" s="241"/>
    </row>
    <row r="3429" spans="1:24" ht="13.5" customHeight="1" x14ac:dyDescent="0.3">
      <c r="A3429" s="245"/>
      <c r="B3429" s="246"/>
      <c r="C3429" s="245"/>
      <c r="D3429" s="245"/>
      <c r="E3429" s="245"/>
      <c r="F3429" s="245"/>
      <c r="G3429" s="245"/>
      <c r="H3429" s="245"/>
      <c r="I3429" s="245"/>
      <c r="J3429" s="245"/>
      <c r="K3429" s="245"/>
      <c r="L3429" s="246"/>
      <c r="M3429" s="245"/>
      <c r="N3429" s="245"/>
      <c r="O3429" s="245"/>
      <c r="P3429" s="245"/>
      <c r="Q3429" s="247"/>
      <c r="R3429" s="247"/>
      <c r="S3429" s="247"/>
      <c r="T3429" s="245"/>
      <c r="U3429" s="245"/>
      <c r="V3429" s="241"/>
      <c r="W3429" s="241"/>
      <c r="X3429" s="241"/>
    </row>
    <row r="3430" spans="1:24" ht="13.5" customHeight="1" x14ac:dyDescent="0.3">
      <c r="A3430" s="245"/>
      <c r="B3430" s="246"/>
      <c r="C3430" s="245"/>
      <c r="D3430" s="245"/>
      <c r="E3430" s="245"/>
      <c r="F3430" s="245"/>
      <c r="G3430" s="245"/>
      <c r="H3430" s="245"/>
      <c r="I3430" s="245"/>
      <c r="J3430" s="245"/>
      <c r="K3430" s="245"/>
      <c r="L3430" s="246"/>
      <c r="M3430" s="245"/>
      <c r="N3430" s="245"/>
      <c r="O3430" s="245"/>
      <c r="P3430" s="245"/>
      <c r="Q3430" s="247"/>
      <c r="R3430" s="247"/>
      <c r="S3430" s="247"/>
      <c r="T3430" s="245"/>
      <c r="U3430" s="245"/>
      <c r="V3430" s="241"/>
      <c r="W3430" s="241"/>
      <c r="X3430" s="241"/>
    </row>
    <row r="3431" spans="1:24" ht="13.5" customHeight="1" x14ac:dyDescent="0.3">
      <c r="A3431" s="245"/>
      <c r="B3431" s="246"/>
      <c r="C3431" s="245"/>
      <c r="D3431" s="245"/>
      <c r="E3431" s="245"/>
      <c r="F3431" s="245"/>
      <c r="G3431" s="245"/>
      <c r="H3431" s="245"/>
      <c r="I3431" s="245"/>
      <c r="J3431" s="245"/>
      <c r="K3431" s="245"/>
      <c r="L3431" s="246"/>
      <c r="M3431" s="245"/>
      <c r="N3431" s="245"/>
      <c r="O3431" s="245"/>
      <c r="P3431" s="245"/>
      <c r="Q3431" s="247"/>
      <c r="R3431" s="247"/>
      <c r="S3431" s="247"/>
      <c r="T3431" s="245"/>
      <c r="U3431" s="245"/>
      <c r="V3431" s="241"/>
      <c r="W3431" s="241"/>
      <c r="X3431" s="241"/>
    </row>
    <row r="3432" spans="1:24" ht="13.5" customHeight="1" x14ac:dyDescent="0.3">
      <c r="A3432" s="245"/>
      <c r="B3432" s="246"/>
      <c r="C3432" s="245"/>
      <c r="D3432" s="245"/>
      <c r="E3432" s="245"/>
      <c r="F3432" s="245"/>
      <c r="G3432" s="245"/>
      <c r="H3432" s="245"/>
      <c r="I3432" s="245"/>
      <c r="J3432" s="245"/>
      <c r="K3432" s="245"/>
      <c r="L3432" s="246"/>
      <c r="M3432" s="245"/>
      <c r="N3432" s="245"/>
      <c r="O3432" s="245"/>
      <c r="P3432" s="245"/>
      <c r="Q3432" s="247"/>
      <c r="R3432" s="247"/>
      <c r="S3432" s="247"/>
      <c r="T3432" s="245"/>
      <c r="U3432" s="245"/>
      <c r="V3432" s="241"/>
      <c r="W3432" s="241"/>
      <c r="X3432" s="241"/>
    </row>
    <row r="3433" spans="1:24" ht="13.5" customHeight="1" x14ac:dyDescent="0.3">
      <c r="A3433" s="245"/>
      <c r="B3433" s="246"/>
      <c r="C3433" s="245"/>
      <c r="D3433" s="245"/>
      <c r="E3433" s="245"/>
      <c r="F3433" s="245"/>
      <c r="G3433" s="245"/>
      <c r="H3433" s="245"/>
      <c r="I3433" s="245"/>
      <c r="J3433" s="245"/>
      <c r="K3433" s="245"/>
      <c r="L3433" s="246"/>
      <c r="M3433" s="245"/>
      <c r="N3433" s="245"/>
      <c r="O3433" s="245"/>
      <c r="P3433" s="245"/>
      <c r="Q3433" s="247"/>
      <c r="R3433" s="247"/>
      <c r="S3433" s="247"/>
      <c r="T3433" s="245"/>
      <c r="U3433" s="245"/>
      <c r="V3433" s="241"/>
      <c r="W3433" s="241"/>
      <c r="X3433" s="241"/>
    </row>
    <row r="3434" spans="1:24" ht="13.5" customHeight="1" x14ac:dyDescent="0.3">
      <c r="A3434" s="245"/>
      <c r="B3434" s="246"/>
      <c r="C3434" s="245"/>
      <c r="D3434" s="245"/>
      <c r="E3434" s="245"/>
      <c r="F3434" s="245"/>
      <c r="G3434" s="245"/>
      <c r="H3434" s="245"/>
      <c r="I3434" s="245"/>
      <c r="J3434" s="245"/>
      <c r="K3434" s="245"/>
      <c r="L3434" s="246"/>
      <c r="M3434" s="245"/>
      <c r="N3434" s="245"/>
      <c r="O3434" s="245"/>
      <c r="P3434" s="245"/>
      <c r="Q3434" s="247"/>
      <c r="R3434" s="247"/>
      <c r="S3434" s="247"/>
      <c r="T3434" s="245"/>
      <c r="U3434" s="245"/>
      <c r="V3434" s="241"/>
      <c r="W3434" s="241"/>
      <c r="X3434" s="241"/>
    </row>
    <row r="3435" spans="1:24" ht="13.5" customHeight="1" x14ac:dyDescent="0.3">
      <c r="A3435" s="245"/>
      <c r="B3435" s="246"/>
      <c r="C3435" s="245"/>
      <c r="D3435" s="245"/>
      <c r="E3435" s="245"/>
      <c r="F3435" s="245"/>
      <c r="G3435" s="245"/>
      <c r="H3435" s="245"/>
      <c r="I3435" s="245"/>
      <c r="J3435" s="245"/>
      <c r="K3435" s="245"/>
      <c r="L3435" s="246"/>
      <c r="M3435" s="245"/>
      <c r="N3435" s="245"/>
      <c r="O3435" s="245"/>
      <c r="P3435" s="245"/>
      <c r="Q3435" s="247"/>
      <c r="R3435" s="247"/>
      <c r="S3435" s="247"/>
      <c r="T3435" s="245"/>
      <c r="U3435" s="245"/>
      <c r="V3435" s="241"/>
      <c r="W3435" s="241"/>
      <c r="X3435" s="241"/>
    </row>
    <row r="3436" spans="1:24" ht="13.5" customHeight="1" x14ac:dyDescent="0.3">
      <c r="A3436" s="245"/>
      <c r="B3436" s="246"/>
      <c r="C3436" s="245"/>
      <c r="D3436" s="245"/>
      <c r="E3436" s="245"/>
      <c r="F3436" s="245"/>
      <c r="G3436" s="245"/>
      <c r="H3436" s="245"/>
      <c r="I3436" s="245"/>
      <c r="J3436" s="245"/>
      <c r="K3436" s="245"/>
      <c r="L3436" s="246"/>
      <c r="M3436" s="245"/>
      <c r="N3436" s="245"/>
      <c r="O3436" s="245"/>
      <c r="P3436" s="245"/>
      <c r="Q3436" s="247"/>
      <c r="R3436" s="247"/>
      <c r="S3436" s="247"/>
      <c r="T3436" s="245"/>
      <c r="U3436" s="245"/>
      <c r="V3436" s="241"/>
      <c r="W3436" s="241"/>
      <c r="X3436" s="241"/>
    </row>
    <row r="3437" spans="1:24" ht="13.5" customHeight="1" x14ac:dyDescent="0.3">
      <c r="A3437" s="245"/>
      <c r="B3437" s="246"/>
      <c r="C3437" s="245"/>
      <c r="D3437" s="245"/>
      <c r="E3437" s="245"/>
      <c r="F3437" s="245"/>
      <c r="G3437" s="245"/>
      <c r="H3437" s="245"/>
      <c r="I3437" s="245"/>
      <c r="J3437" s="245"/>
      <c r="K3437" s="245"/>
      <c r="L3437" s="246"/>
      <c r="M3437" s="245"/>
      <c r="N3437" s="245"/>
      <c r="O3437" s="245"/>
      <c r="P3437" s="245"/>
      <c r="Q3437" s="247"/>
      <c r="R3437" s="247"/>
      <c r="S3437" s="247"/>
      <c r="T3437" s="245"/>
      <c r="U3437" s="245"/>
      <c r="V3437" s="241"/>
      <c r="W3437" s="241"/>
      <c r="X3437" s="241"/>
    </row>
    <row r="3438" spans="1:24" ht="13.5" customHeight="1" x14ac:dyDescent="0.3">
      <c r="A3438" s="245"/>
      <c r="B3438" s="246"/>
      <c r="C3438" s="245"/>
      <c r="D3438" s="245"/>
      <c r="E3438" s="245"/>
      <c r="F3438" s="245"/>
      <c r="G3438" s="245"/>
      <c r="H3438" s="245"/>
      <c r="I3438" s="245"/>
      <c r="J3438" s="245"/>
      <c r="K3438" s="245"/>
      <c r="L3438" s="246"/>
      <c r="M3438" s="245"/>
      <c r="N3438" s="245"/>
      <c r="O3438" s="245"/>
      <c r="P3438" s="245"/>
      <c r="Q3438" s="247"/>
      <c r="R3438" s="247"/>
      <c r="S3438" s="247"/>
      <c r="T3438" s="245"/>
      <c r="U3438" s="245"/>
      <c r="V3438" s="241"/>
      <c r="W3438" s="241"/>
      <c r="X3438" s="241"/>
    </row>
    <row r="3439" spans="1:24" ht="13.5" customHeight="1" x14ac:dyDescent="0.3">
      <c r="A3439" s="245"/>
      <c r="B3439" s="246"/>
      <c r="C3439" s="245"/>
      <c r="D3439" s="245"/>
      <c r="E3439" s="245"/>
      <c r="F3439" s="245"/>
      <c r="G3439" s="245"/>
      <c r="H3439" s="245"/>
      <c r="I3439" s="245"/>
      <c r="J3439" s="245"/>
      <c r="K3439" s="245"/>
      <c r="L3439" s="246"/>
      <c r="M3439" s="245"/>
      <c r="N3439" s="245"/>
      <c r="O3439" s="245"/>
      <c r="P3439" s="245"/>
      <c r="Q3439" s="247"/>
      <c r="R3439" s="247"/>
      <c r="S3439" s="247"/>
      <c r="T3439" s="245"/>
      <c r="U3439" s="245"/>
      <c r="V3439" s="241"/>
      <c r="W3439" s="241"/>
      <c r="X3439" s="241"/>
    </row>
    <row r="3440" spans="1:24" ht="13.5" customHeight="1" x14ac:dyDescent="0.3">
      <c r="A3440" s="245"/>
      <c r="B3440" s="246"/>
      <c r="C3440" s="245"/>
      <c r="D3440" s="245"/>
      <c r="E3440" s="245"/>
      <c r="F3440" s="245"/>
      <c r="G3440" s="245"/>
      <c r="H3440" s="245"/>
      <c r="I3440" s="245"/>
      <c r="J3440" s="245"/>
      <c r="K3440" s="245"/>
      <c r="L3440" s="246"/>
      <c r="M3440" s="245"/>
      <c r="N3440" s="245"/>
      <c r="O3440" s="245"/>
      <c r="P3440" s="245"/>
      <c r="Q3440" s="247"/>
      <c r="R3440" s="247"/>
      <c r="S3440" s="247"/>
      <c r="T3440" s="245"/>
      <c r="U3440" s="245"/>
      <c r="V3440" s="241"/>
      <c r="W3440" s="241"/>
      <c r="X3440" s="241"/>
    </row>
    <row r="3441" spans="1:24" ht="13.5" customHeight="1" x14ac:dyDescent="0.3">
      <c r="A3441" s="245"/>
      <c r="B3441" s="246"/>
      <c r="C3441" s="245"/>
      <c r="D3441" s="245"/>
      <c r="E3441" s="245"/>
      <c r="F3441" s="245"/>
      <c r="G3441" s="245"/>
      <c r="H3441" s="245"/>
      <c r="I3441" s="245"/>
      <c r="J3441" s="245"/>
      <c r="K3441" s="245"/>
      <c r="L3441" s="246"/>
      <c r="M3441" s="245"/>
      <c r="N3441" s="245"/>
      <c r="O3441" s="245"/>
      <c r="P3441" s="245"/>
      <c r="Q3441" s="247"/>
      <c r="R3441" s="247"/>
      <c r="S3441" s="247"/>
      <c r="T3441" s="245"/>
      <c r="U3441" s="245"/>
      <c r="V3441" s="241"/>
      <c r="W3441" s="241"/>
      <c r="X3441" s="241"/>
    </row>
    <row r="3442" spans="1:24" ht="13.5" customHeight="1" x14ac:dyDescent="0.3">
      <c r="A3442" s="245"/>
      <c r="B3442" s="246"/>
      <c r="C3442" s="245"/>
      <c r="D3442" s="245"/>
      <c r="E3442" s="245"/>
      <c r="F3442" s="245"/>
      <c r="G3442" s="245"/>
      <c r="H3442" s="245"/>
      <c r="I3442" s="245"/>
      <c r="J3442" s="245"/>
      <c r="K3442" s="245"/>
      <c r="L3442" s="246"/>
      <c r="M3442" s="245"/>
      <c r="N3442" s="245"/>
      <c r="O3442" s="245"/>
      <c r="P3442" s="245"/>
      <c r="Q3442" s="247"/>
      <c r="R3442" s="247"/>
      <c r="S3442" s="247"/>
      <c r="T3442" s="245"/>
      <c r="U3442" s="245"/>
      <c r="V3442" s="241"/>
      <c r="W3442" s="241"/>
      <c r="X3442" s="241"/>
    </row>
    <row r="3443" spans="1:24" ht="13.5" customHeight="1" x14ac:dyDescent="0.3">
      <c r="A3443" s="245"/>
      <c r="B3443" s="246"/>
      <c r="C3443" s="245"/>
      <c r="D3443" s="245"/>
      <c r="E3443" s="245"/>
      <c r="F3443" s="245"/>
      <c r="G3443" s="245"/>
      <c r="H3443" s="245"/>
      <c r="I3443" s="245"/>
      <c r="J3443" s="245"/>
      <c r="K3443" s="245"/>
      <c r="L3443" s="246"/>
      <c r="M3443" s="245"/>
      <c r="N3443" s="245"/>
      <c r="O3443" s="245"/>
      <c r="P3443" s="245"/>
      <c r="Q3443" s="247"/>
      <c r="R3443" s="247"/>
      <c r="S3443" s="247"/>
      <c r="T3443" s="245"/>
      <c r="U3443" s="245"/>
      <c r="V3443" s="241"/>
      <c r="W3443" s="241"/>
      <c r="X3443" s="241"/>
    </row>
    <row r="3444" spans="1:24" ht="13.5" customHeight="1" x14ac:dyDescent="0.3">
      <c r="A3444" s="245"/>
      <c r="B3444" s="246"/>
      <c r="C3444" s="245"/>
      <c r="D3444" s="245"/>
      <c r="E3444" s="245"/>
      <c r="F3444" s="245"/>
      <c r="G3444" s="245"/>
      <c r="H3444" s="245"/>
      <c r="I3444" s="245"/>
      <c r="J3444" s="245"/>
      <c r="K3444" s="245"/>
      <c r="L3444" s="246"/>
      <c r="M3444" s="245"/>
      <c r="N3444" s="245"/>
      <c r="O3444" s="245"/>
      <c r="P3444" s="245"/>
      <c r="Q3444" s="247"/>
      <c r="R3444" s="247"/>
      <c r="S3444" s="247"/>
      <c r="T3444" s="245"/>
      <c r="U3444" s="245"/>
      <c r="V3444" s="241"/>
      <c r="W3444" s="241"/>
      <c r="X3444" s="241"/>
    </row>
    <row r="3445" spans="1:24" ht="13.5" customHeight="1" x14ac:dyDescent="0.3">
      <c r="A3445" s="245"/>
      <c r="B3445" s="246"/>
      <c r="C3445" s="245"/>
      <c r="D3445" s="245"/>
      <c r="E3445" s="245"/>
      <c r="F3445" s="245"/>
      <c r="G3445" s="245"/>
      <c r="H3445" s="245"/>
      <c r="I3445" s="245"/>
      <c r="J3445" s="245"/>
      <c r="K3445" s="245"/>
      <c r="L3445" s="246"/>
      <c r="M3445" s="245"/>
      <c r="N3445" s="245"/>
      <c r="O3445" s="245"/>
      <c r="P3445" s="245"/>
      <c r="Q3445" s="247"/>
      <c r="R3445" s="247"/>
      <c r="S3445" s="247"/>
      <c r="T3445" s="245"/>
      <c r="U3445" s="245"/>
      <c r="V3445" s="241"/>
      <c r="W3445" s="241"/>
      <c r="X3445" s="241"/>
    </row>
    <row r="3446" spans="1:24" ht="13.5" customHeight="1" x14ac:dyDescent="0.3">
      <c r="A3446" s="245"/>
      <c r="B3446" s="246"/>
      <c r="C3446" s="245"/>
      <c r="D3446" s="245"/>
      <c r="E3446" s="245"/>
      <c r="F3446" s="245"/>
      <c r="G3446" s="245"/>
      <c r="H3446" s="245"/>
      <c r="I3446" s="245"/>
      <c r="J3446" s="245"/>
      <c r="K3446" s="245"/>
      <c r="L3446" s="246"/>
      <c r="M3446" s="245"/>
      <c r="N3446" s="245"/>
      <c r="O3446" s="245"/>
      <c r="P3446" s="245"/>
      <c r="Q3446" s="247"/>
      <c r="R3446" s="247"/>
      <c r="S3446" s="247"/>
      <c r="T3446" s="245"/>
      <c r="U3446" s="245"/>
      <c r="V3446" s="241"/>
      <c r="W3446" s="241"/>
      <c r="X3446" s="241"/>
    </row>
    <row r="3447" spans="1:24" ht="13.5" customHeight="1" x14ac:dyDescent="0.3">
      <c r="A3447" s="245"/>
      <c r="B3447" s="246"/>
      <c r="C3447" s="245"/>
      <c r="D3447" s="245"/>
      <c r="E3447" s="245"/>
      <c r="F3447" s="245"/>
      <c r="G3447" s="245"/>
      <c r="H3447" s="245"/>
      <c r="I3447" s="245"/>
      <c r="J3447" s="245"/>
      <c r="K3447" s="245"/>
      <c r="L3447" s="246"/>
      <c r="M3447" s="245"/>
      <c r="N3447" s="245"/>
      <c r="O3447" s="245"/>
      <c r="P3447" s="245"/>
      <c r="Q3447" s="247"/>
      <c r="R3447" s="247"/>
      <c r="S3447" s="247"/>
      <c r="T3447" s="245"/>
      <c r="U3447" s="245"/>
      <c r="V3447" s="241"/>
      <c r="W3447" s="241"/>
      <c r="X3447" s="241"/>
    </row>
    <row r="3448" spans="1:24" ht="13.5" customHeight="1" x14ac:dyDescent="0.3">
      <c r="A3448" s="245"/>
      <c r="B3448" s="246"/>
      <c r="C3448" s="245"/>
      <c r="D3448" s="245"/>
      <c r="E3448" s="245"/>
      <c r="F3448" s="245"/>
      <c r="G3448" s="245"/>
      <c r="H3448" s="245"/>
      <c r="I3448" s="245"/>
      <c r="J3448" s="245"/>
      <c r="K3448" s="245"/>
      <c r="L3448" s="246"/>
      <c r="M3448" s="245"/>
      <c r="N3448" s="245"/>
      <c r="O3448" s="245"/>
      <c r="P3448" s="245"/>
      <c r="Q3448" s="247"/>
      <c r="R3448" s="247"/>
      <c r="S3448" s="247"/>
      <c r="T3448" s="245"/>
      <c r="U3448" s="245"/>
      <c r="V3448" s="241"/>
      <c r="W3448" s="241"/>
      <c r="X3448" s="241"/>
    </row>
    <row r="3449" spans="1:24" ht="13.5" customHeight="1" x14ac:dyDescent="0.3">
      <c r="A3449" s="245"/>
      <c r="B3449" s="246"/>
      <c r="C3449" s="245"/>
      <c r="D3449" s="245"/>
      <c r="E3449" s="245"/>
      <c r="F3449" s="245"/>
      <c r="G3449" s="245"/>
      <c r="H3449" s="245"/>
      <c r="I3449" s="245"/>
      <c r="J3449" s="245"/>
      <c r="K3449" s="245"/>
      <c r="L3449" s="246"/>
      <c r="M3449" s="245"/>
      <c r="N3449" s="245"/>
      <c r="O3449" s="245"/>
      <c r="P3449" s="245"/>
      <c r="Q3449" s="247"/>
      <c r="R3449" s="247"/>
      <c r="S3449" s="247"/>
      <c r="T3449" s="245"/>
      <c r="U3449" s="245"/>
      <c r="V3449" s="241"/>
      <c r="W3449" s="241"/>
      <c r="X3449" s="241"/>
    </row>
    <row r="3450" spans="1:24" ht="13.5" customHeight="1" x14ac:dyDescent="0.3">
      <c r="A3450" s="245"/>
      <c r="B3450" s="246"/>
      <c r="C3450" s="245"/>
      <c r="D3450" s="245"/>
      <c r="E3450" s="245"/>
      <c r="F3450" s="245"/>
      <c r="G3450" s="245"/>
      <c r="H3450" s="245"/>
      <c r="I3450" s="245"/>
      <c r="J3450" s="245"/>
      <c r="K3450" s="245"/>
      <c r="L3450" s="246"/>
      <c r="M3450" s="245"/>
      <c r="N3450" s="245"/>
      <c r="O3450" s="245"/>
      <c r="P3450" s="245"/>
      <c r="Q3450" s="247"/>
      <c r="R3450" s="247"/>
      <c r="S3450" s="247"/>
      <c r="T3450" s="245"/>
      <c r="U3450" s="245"/>
      <c r="V3450" s="241"/>
      <c r="W3450" s="241"/>
      <c r="X3450" s="241"/>
    </row>
    <row r="3451" spans="1:24" ht="13.5" customHeight="1" x14ac:dyDescent="0.3">
      <c r="A3451" s="245"/>
      <c r="B3451" s="246"/>
      <c r="C3451" s="245"/>
      <c r="D3451" s="245"/>
      <c r="E3451" s="245"/>
      <c r="F3451" s="245"/>
      <c r="G3451" s="245"/>
      <c r="H3451" s="245"/>
      <c r="I3451" s="245"/>
      <c r="J3451" s="245"/>
      <c r="K3451" s="245"/>
      <c r="L3451" s="246"/>
      <c r="M3451" s="245"/>
      <c r="N3451" s="245"/>
      <c r="O3451" s="245"/>
      <c r="P3451" s="245"/>
      <c r="Q3451" s="247"/>
      <c r="R3451" s="247"/>
      <c r="S3451" s="247"/>
      <c r="T3451" s="245"/>
      <c r="U3451" s="245"/>
      <c r="V3451" s="241"/>
      <c r="W3451" s="241"/>
      <c r="X3451" s="241"/>
    </row>
    <row r="3452" spans="1:24" ht="13.5" customHeight="1" x14ac:dyDescent="0.3">
      <c r="A3452" s="245"/>
      <c r="B3452" s="246"/>
      <c r="C3452" s="245"/>
      <c r="D3452" s="245"/>
      <c r="E3452" s="245"/>
      <c r="F3452" s="245"/>
      <c r="G3452" s="245"/>
      <c r="H3452" s="245"/>
      <c r="I3452" s="245"/>
      <c r="J3452" s="245"/>
      <c r="K3452" s="245"/>
      <c r="L3452" s="246"/>
      <c r="M3452" s="245"/>
      <c r="N3452" s="245"/>
      <c r="O3452" s="245"/>
      <c r="P3452" s="245"/>
      <c r="Q3452" s="247"/>
      <c r="R3452" s="247"/>
      <c r="S3452" s="247"/>
      <c r="T3452" s="245"/>
      <c r="U3452" s="245"/>
      <c r="V3452" s="241"/>
      <c r="W3452" s="241"/>
      <c r="X3452" s="241"/>
    </row>
    <row r="3453" spans="1:24" ht="13.5" customHeight="1" x14ac:dyDescent="0.3">
      <c r="A3453" s="245"/>
      <c r="B3453" s="246"/>
      <c r="C3453" s="245"/>
      <c r="D3453" s="245"/>
      <c r="E3453" s="245"/>
      <c r="F3453" s="245"/>
      <c r="G3453" s="245"/>
      <c r="H3453" s="245"/>
      <c r="I3453" s="245"/>
      <c r="J3453" s="245"/>
      <c r="K3453" s="245"/>
      <c r="L3453" s="246"/>
      <c r="M3453" s="245"/>
      <c r="N3453" s="245"/>
      <c r="O3453" s="245"/>
      <c r="P3453" s="245"/>
      <c r="Q3453" s="247"/>
      <c r="R3453" s="247"/>
      <c r="S3453" s="247"/>
      <c r="T3453" s="245"/>
      <c r="U3453" s="245"/>
      <c r="V3453" s="241"/>
      <c r="W3453" s="241"/>
      <c r="X3453" s="241"/>
    </row>
    <row r="3454" spans="1:24" ht="13.5" customHeight="1" x14ac:dyDescent="0.3">
      <c r="A3454" s="245"/>
      <c r="B3454" s="246"/>
      <c r="C3454" s="245"/>
      <c r="D3454" s="245"/>
      <c r="E3454" s="245"/>
      <c r="F3454" s="245"/>
      <c r="G3454" s="245"/>
      <c r="H3454" s="245"/>
      <c r="I3454" s="245"/>
      <c r="J3454" s="245"/>
      <c r="K3454" s="245"/>
      <c r="L3454" s="246"/>
      <c r="M3454" s="245"/>
      <c r="N3454" s="245"/>
      <c r="O3454" s="245"/>
      <c r="P3454" s="245"/>
      <c r="Q3454" s="247"/>
      <c r="R3454" s="247"/>
      <c r="S3454" s="247"/>
      <c r="T3454" s="245"/>
      <c r="U3454" s="245"/>
      <c r="V3454" s="241"/>
      <c r="W3454" s="241"/>
      <c r="X3454" s="241"/>
    </row>
    <row r="3455" spans="1:24" ht="13.5" customHeight="1" x14ac:dyDescent="0.3">
      <c r="A3455" s="245"/>
      <c r="B3455" s="246"/>
      <c r="C3455" s="245"/>
      <c r="D3455" s="245"/>
      <c r="E3455" s="245"/>
      <c r="F3455" s="245"/>
      <c r="G3455" s="245"/>
      <c r="H3455" s="245"/>
      <c r="I3455" s="245"/>
      <c r="J3455" s="245"/>
      <c r="K3455" s="245"/>
      <c r="L3455" s="246"/>
      <c r="M3455" s="245"/>
      <c r="N3455" s="245"/>
      <c r="O3455" s="245"/>
      <c r="P3455" s="245"/>
      <c r="Q3455" s="247"/>
      <c r="R3455" s="247"/>
      <c r="S3455" s="247"/>
      <c r="T3455" s="245"/>
      <c r="U3455" s="245"/>
      <c r="V3455" s="241"/>
      <c r="W3455" s="241"/>
      <c r="X3455" s="241"/>
    </row>
    <row r="3456" spans="1:24" ht="13.5" customHeight="1" x14ac:dyDescent="0.3">
      <c r="A3456" s="245"/>
      <c r="B3456" s="246"/>
      <c r="C3456" s="245"/>
      <c r="D3456" s="245"/>
      <c r="E3456" s="245"/>
      <c r="F3456" s="245"/>
      <c r="G3456" s="245"/>
      <c r="H3456" s="245"/>
      <c r="I3456" s="245"/>
      <c r="J3456" s="245"/>
      <c r="K3456" s="245"/>
      <c r="L3456" s="246"/>
      <c r="M3456" s="245"/>
      <c r="N3456" s="245"/>
      <c r="O3456" s="245"/>
      <c r="P3456" s="245"/>
      <c r="Q3456" s="247"/>
      <c r="R3456" s="247"/>
      <c r="S3456" s="247"/>
      <c r="T3456" s="245"/>
      <c r="U3456" s="245"/>
      <c r="V3456" s="241"/>
      <c r="W3456" s="241"/>
      <c r="X3456" s="241"/>
    </row>
    <row r="3457" spans="1:24" ht="13.5" customHeight="1" x14ac:dyDescent="0.3">
      <c r="A3457" s="245"/>
      <c r="B3457" s="246"/>
      <c r="C3457" s="245"/>
      <c r="D3457" s="245"/>
      <c r="E3457" s="245"/>
      <c r="F3457" s="245"/>
      <c r="G3457" s="245"/>
      <c r="H3457" s="245"/>
      <c r="I3457" s="245"/>
      <c r="J3457" s="245"/>
      <c r="K3457" s="245"/>
      <c r="L3457" s="246"/>
      <c r="M3457" s="245"/>
      <c r="N3457" s="245"/>
      <c r="O3457" s="245"/>
      <c r="P3457" s="245"/>
      <c r="Q3457" s="247"/>
      <c r="R3457" s="247"/>
      <c r="S3457" s="247"/>
      <c r="T3457" s="245"/>
      <c r="U3457" s="245"/>
      <c r="V3457" s="241"/>
      <c r="W3457" s="241"/>
      <c r="X3457" s="241"/>
    </row>
    <row r="3458" spans="1:24" ht="13.5" customHeight="1" x14ac:dyDescent="0.3">
      <c r="A3458" s="245"/>
      <c r="B3458" s="246"/>
      <c r="C3458" s="245"/>
      <c r="D3458" s="245"/>
      <c r="E3458" s="245"/>
      <c r="F3458" s="245"/>
      <c r="G3458" s="245"/>
      <c r="H3458" s="245"/>
      <c r="I3458" s="245"/>
      <c r="J3458" s="245"/>
      <c r="K3458" s="245"/>
      <c r="L3458" s="246"/>
      <c r="M3458" s="245"/>
      <c r="N3458" s="245"/>
      <c r="O3458" s="245"/>
      <c r="P3458" s="245"/>
      <c r="Q3458" s="247"/>
      <c r="R3458" s="247"/>
      <c r="S3458" s="247"/>
      <c r="T3458" s="245"/>
      <c r="U3458" s="245"/>
      <c r="V3458" s="241"/>
      <c r="W3458" s="241"/>
      <c r="X3458" s="241"/>
    </row>
    <row r="3459" spans="1:24" ht="13.5" customHeight="1" x14ac:dyDescent="0.3">
      <c r="A3459" s="245"/>
      <c r="B3459" s="246"/>
      <c r="C3459" s="245"/>
      <c r="D3459" s="245"/>
      <c r="E3459" s="245"/>
      <c r="F3459" s="245"/>
      <c r="G3459" s="245"/>
      <c r="H3459" s="245"/>
      <c r="I3459" s="245"/>
      <c r="J3459" s="245"/>
      <c r="K3459" s="245"/>
      <c r="L3459" s="246"/>
      <c r="M3459" s="245"/>
      <c r="N3459" s="245"/>
      <c r="O3459" s="245"/>
      <c r="P3459" s="245"/>
      <c r="Q3459" s="247"/>
      <c r="R3459" s="247"/>
      <c r="S3459" s="247"/>
      <c r="T3459" s="245"/>
      <c r="U3459" s="245"/>
      <c r="V3459" s="241"/>
      <c r="W3459" s="241"/>
      <c r="X3459" s="241"/>
    </row>
    <row r="3460" spans="1:24" ht="13.5" customHeight="1" x14ac:dyDescent="0.3">
      <c r="A3460" s="245"/>
      <c r="B3460" s="246"/>
      <c r="C3460" s="245"/>
      <c r="D3460" s="245"/>
      <c r="E3460" s="245"/>
      <c r="F3460" s="245"/>
      <c r="G3460" s="245"/>
      <c r="H3460" s="245"/>
      <c r="I3460" s="245"/>
      <c r="J3460" s="245"/>
      <c r="K3460" s="245"/>
      <c r="L3460" s="246"/>
      <c r="M3460" s="245"/>
      <c r="N3460" s="245"/>
      <c r="O3460" s="245"/>
      <c r="P3460" s="245"/>
      <c r="Q3460" s="247"/>
      <c r="R3460" s="247"/>
      <c r="S3460" s="247"/>
      <c r="T3460" s="245"/>
      <c r="U3460" s="245"/>
      <c r="V3460" s="241"/>
      <c r="W3460" s="241"/>
      <c r="X3460" s="241"/>
    </row>
    <row r="3461" spans="1:24" ht="13.5" customHeight="1" x14ac:dyDescent="0.3">
      <c r="A3461" s="245"/>
      <c r="B3461" s="246"/>
      <c r="C3461" s="245"/>
      <c r="D3461" s="245"/>
      <c r="E3461" s="245"/>
      <c r="F3461" s="245"/>
      <c r="G3461" s="245"/>
      <c r="H3461" s="245"/>
      <c r="I3461" s="245"/>
      <c r="J3461" s="245"/>
      <c r="K3461" s="245"/>
      <c r="L3461" s="246"/>
      <c r="M3461" s="245"/>
      <c r="N3461" s="245"/>
      <c r="O3461" s="245"/>
      <c r="P3461" s="245"/>
      <c r="Q3461" s="247"/>
      <c r="R3461" s="247"/>
      <c r="S3461" s="247"/>
      <c r="T3461" s="245"/>
      <c r="U3461" s="245"/>
      <c r="V3461" s="241"/>
      <c r="W3461" s="241"/>
      <c r="X3461" s="241"/>
    </row>
    <row r="3462" spans="1:24" ht="13.5" customHeight="1" x14ac:dyDescent="0.3">
      <c r="A3462" s="245"/>
      <c r="B3462" s="246"/>
      <c r="C3462" s="245"/>
      <c r="D3462" s="245"/>
      <c r="E3462" s="245"/>
      <c r="F3462" s="245"/>
      <c r="G3462" s="245"/>
      <c r="H3462" s="245"/>
      <c r="I3462" s="245"/>
      <c r="J3462" s="245"/>
      <c r="K3462" s="245"/>
      <c r="L3462" s="246"/>
      <c r="M3462" s="245"/>
      <c r="N3462" s="245"/>
      <c r="O3462" s="245"/>
      <c r="P3462" s="245"/>
      <c r="Q3462" s="247"/>
      <c r="R3462" s="247"/>
      <c r="S3462" s="247"/>
      <c r="T3462" s="245"/>
      <c r="U3462" s="245"/>
      <c r="V3462" s="241"/>
      <c r="W3462" s="241"/>
      <c r="X3462" s="241"/>
    </row>
    <row r="3463" spans="1:24" ht="13.5" customHeight="1" x14ac:dyDescent="0.3">
      <c r="A3463" s="245"/>
      <c r="B3463" s="246"/>
      <c r="C3463" s="245"/>
      <c r="D3463" s="245"/>
      <c r="E3463" s="245"/>
      <c r="F3463" s="245"/>
      <c r="G3463" s="245"/>
      <c r="H3463" s="245"/>
      <c r="I3463" s="245"/>
      <c r="J3463" s="245"/>
      <c r="K3463" s="245"/>
      <c r="L3463" s="246"/>
      <c r="M3463" s="245"/>
      <c r="N3463" s="245"/>
      <c r="O3463" s="245"/>
      <c r="P3463" s="245"/>
      <c r="Q3463" s="247"/>
      <c r="R3463" s="247"/>
      <c r="S3463" s="247"/>
      <c r="T3463" s="245"/>
      <c r="U3463" s="245"/>
      <c r="V3463" s="241"/>
      <c r="W3463" s="241"/>
      <c r="X3463" s="241"/>
    </row>
    <row r="3464" spans="1:24" ht="13.5" customHeight="1" x14ac:dyDescent="0.3">
      <c r="A3464" s="245"/>
      <c r="B3464" s="246"/>
      <c r="C3464" s="245"/>
      <c r="D3464" s="245"/>
      <c r="E3464" s="245"/>
      <c r="F3464" s="245"/>
      <c r="G3464" s="245"/>
      <c r="H3464" s="245"/>
      <c r="I3464" s="245"/>
      <c r="J3464" s="245"/>
      <c r="K3464" s="245"/>
      <c r="L3464" s="246"/>
      <c r="M3464" s="245"/>
      <c r="N3464" s="245"/>
      <c r="O3464" s="245"/>
      <c r="P3464" s="245"/>
      <c r="Q3464" s="247"/>
      <c r="R3464" s="247"/>
      <c r="S3464" s="247"/>
      <c r="T3464" s="245"/>
      <c r="U3464" s="245"/>
      <c r="V3464" s="241"/>
      <c r="W3464" s="241"/>
      <c r="X3464" s="241"/>
    </row>
    <row r="3465" spans="1:24" ht="13.5" customHeight="1" x14ac:dyDescent="0.3">
      <c r="A3465" s="245"/>
      <c r="B3465" s="246"/>
      <c r="C3465" s="245"/>
      <c r="D3465" s="245"/>
      <c r="E3465" s="245"/>
      <c r="F3465" s="245"/>
      <c r="G3465" s="245"/>
      <c r="H3465" s="245"/>
      <c r="I3465" s="245"/>
      <c r="J3465" s="245"/>
      <c r="K3465" s="245"/>
      <c r="L3465" s="246"/>
      <c r="M3465" s="245"/>
      <c r="N3465" s="245"/>
      <c r="O3465" s="245"/>
      <c r="P3465" s="245"/>
      <c r="Q3465" s="247"/>
      <c r="R3465" s="247"/>
      <c r="S3465" s="247"/>
      <c r="T3465" s="245"/>
      <c r="U3465" s="245"/>
      <c r="V3465" s="241"/>
      <c r="W3465" s="241"/>
      <c r="X3465" s="241"/>
    </row>
    <row r="3466" spans="1:24" ht="13.5" customHeight="1" x14ac:dyDescent="0.3">
      <c r="A3466" s="245"/>
      <c r="B3466" s="246"/>
      <c r="C3466" s="245"/>
      <c r="D3466" s="245"/>
      <c r="E3466" s="245"/>
      <c r="F3466" s="245"/>
      <c r="G3466" s="245"/>
      <c r="H3466" s="245"/>
      <c r="I3466" s="245"/>
      <c r="J3466" s="245"/>
      <c r="K3466" s="245"/>
      <c r="L3466" s="246"/>
      <c r="M3466" s="245"/>
      <c r="N3466" s="245"/>
      <c r="O3466" s="245"/>
      <c r="P3466" s="245"/>
      <c r="Q3466" s="247"/>
      <c r="R3466" s="247"/>
      <c r="S3466" s="247"/>
      <c r="T3466" s="245"/>
      <c r="U3466" s="245"/>
      <c r="V3466" s="241"/>
      <c r="W3466" s="241"/>
      <c r="X3466" s="241"/>
    </row>
    <row r="3467" spans="1:24" ht="13.5" customHeight="1" x14ac:dyDescent="0.3">
      <c r="A3467" s="245"/>
      <c r="B3467" s="246"/>
      <c r="C3467" s="245"/>
      <c r="D3467" s="245"/>
      <c r="E3467" s="245"/>
      <c r="F3467" s="245"/>
      <c r="G3467" s="245"/>
      <c r="H3467" s="245"/>
      <c r="I3467" s="245"/>
      <c r="J3467" s="245"/>
      <c r="K3467" s="245"/>
      <c r="L3467" s="246"/>
      <c r="M3467" s="245"/>
      <c r="N3467" s="245"/>
      <c r="O3467" s="245"/>
      <c r="P3467" s="245"/>
      <c r="Q3467" s="247"/>
      <c r="R3467" s="247"/>
      <c r="S3467" s="247"/>
      <c r="T3467" s="245"/>
      <c r="U3467" s="245"/>
      <c r="V3467" s="241"/>
      <c r="W3467" s="241"/>
      <c r="X3467" s="241"/>
    </row>
    <row r="3468" spans="1:24" ht="13.5" customHeight="1" x14ac:dyDescent="0.3">
      <c r="A3468" s="245"/>
      <c r="B3468" s="246"/>
      <c r="C3468" s="245"/>
      <c r="D3468" s="245"/>
      <c r="E3468" s="245"/>
      <c r="F3468" s="245"/>
      <c r="G3468" s="245"/>
      <c r="H3468" s="245"/>
      <c r="I3468" s="245"/>
      <c r="J3468" s="245"/>
      <c r="K3468" s="245"/>
      <c r="L3468" s="246"/>
      <c r="M3468" s="245"/>
      <c r="N3468" s="245"/>
      <c r="O3468" s="245"/>
      <c r="P3468" s="245"/>
      <c r="Q3468" s="247"/>
      <c r="R3468" s="247"/>
      <c r="S3468" s="247"/>
      <c r="T3468" s="245"/>
      <c r="U3468" s="245"/>
      <c r="V3468" s="241"/>
      <c r="W3468" s="241"/>
      <c r="X3468" s="241"/>
    </row>
    <row r="3469" spans="1:24" ht="13.5" customHeight="1" x14ac:dyDescent="0.3">
      <c r="A3469" s="245"/>
      <c r="B3469" s="246"/>
      <c r="C3469" s="245"/>
      <c r="D3469" s="245"/>
      <c r="E3469" s="245"/>
      <c r="F3469" s="245"/>
      <c r="G3469" s="245"/>
      <c r="H3469" s="245"/>
      <c r="I3469" s="245"/>
      <c r="J3469" s="245"/>
      <c r="K3469" s="245"/>
      <c r="L3469" s="246"/>
      <c r="M3469" s="245"/>
      <c r="N3469" s="245"/>
      <c r="O3469" s="245"/>
      <c r="P3469" s="245"/>
      <c r="Q3469" s="247"/>
      <c r="R3469" s="247"/>
      <c r="S3469" s="247"/>
      <c r="T3469" s="245"/>
      <c r="U3469" s="245"/>
      <c r="V3469" s="241"/>
      <c r="W3469" s="241"/>
      <c r="X3469" s="241"/>
    </row>
    <row r="3470" spans="1:24" ht="13.5" customHeight="1" x14ac:dyDescent="0.3">
      <c r="A3470" s="245"/>
      <c r="B3470" s="246"/>
      <c r="C3470" s="245"/>
      <c r="D3470" s="245"/>
      <c r="E3470" s="245"/>
      <c r="F3470" s="245"/>
      <c r="G3470" s="245"/>
      <c r="H3470" s="245"/>
      <c r="I3470" s="245"/>
      <c r="J3470" s="245"/>
      <c r="K3470" s="245"/>
      <c r="L3470" s="246"/>
      <c r="M3470" s="245"/>
      <c r="N3470" s="245"/>
      <c r="O3470" s="245"/>
      <c r="P3470" s="245"/>
      <c r="Q3470" s="247"/>
      <c r="R3470" s="247"/>
      <c r="S3470" s="247"/>
      <c r="T3470" s="245"/>
      <c r="U3470" s="245"/>
      <c r="V3470" s="241"/>
      <c r="W3470" s="241"/>
      <c r="X3470" s="241"/>
    </row>
    <row r="3471" spans="1:24" ht="13.5" customHeight="1" x14ac:dyDescent="0.3">
      <c r="A3471" s="245"/>
      <c r="B3471" s="246"/>
      <c r="C3471" s="245"/>
      <c r="D3471" s="245"/>
      <c r="E3471" s="245"/>
      <c r="F3471" s="245"/>
      <c r="G3471" s="245"/>
      <c r="H3471" s="245"/>
      <c r="I3471" s="245"/>
      <c r="J3471" s="245"/>
      <c r="K3471" s="245"/>
      <c r="L3471" s="246"/>
      <c r="M3471" s="245"/>
      <c r="N3471" s="245"/>
      <c r="O3471" s="245"/>
      <c r="P3471" s="245"/>
      <c r="Q3471" s="247"/>
      <c r="R3471" s="247"/>
      <c r="S3471" s="247"/>
      <c r="T3471" s="245"/>
      <c r="U3471" s="245"/>
      <c r="V3471" s="241"/>
      <c r="W3471" s="241"/>
      <c r="X3471" s="241"/>
    </row>
    <row r="3472" spans="1:24" ht="13.5" customHeight="1" x14ac:dyDescent="0.3">
      <c r="A3472" s="245"/>
      <c r="B3472" s="246"/>
      <c r="C3472" s="245"/>
      <c r="D3472" s="245"/>
      <c r="E3472" s="245"/>
      <c r="F3472" s="245"/>
      <c r="G3472" s="245"/>
      <c r="H3472" s="245"/>
      <c r="I3472" s="245"/>
      <c r="J3472" s="245"/>
      <c r="K3472" s="245"/>
      <c r="L3472" s="246"/>
      <c r="M3472" s="245"/>
      <c r="N3472" s="245"/>
      <c r="O3472" s="245"/>
      <c r="P3472" s="245"/>
      <c r="Q3472" s="247"/>
      <c r="R3472" s="247"/>
      <c r="S3472" s="247"/>
      <c r="T3472" s="245"/>
      <c r="U3472" s="245"/>
      <c r="V3472" s="241"/>
      <c r="W3472" s="241"/>
      <c r="X3472" s="241"/>
    </row>
    <row r="3473" spans="1:24" ht="13.5" customHeight="1" x14ac:dyDescent="0.3">
      <c r="A3473" s="245"/>
      <c r="B3473" s="246"/>
      <c r="C3473" s="245"/>
      <c r="D3473" s="245"/>
      <c r="E3473" s="245"/>
      <c r="F3473" s="245"/>
      <c r="G3473" s="245"/>
      <c r="H3473" s="245"/>
      <c r="I3473" s="245"/>
      <c r="J3473" s="245"/>
      <c r="K3473" s="245"/>
      <c r="L3473" s="246"/>
      <c r="M3473" s="245"/>
      <c r="N3473" s="245"/>
      <c r="O3473" s="245"/>
      <c r="P3473" s="245"/>
      <c r="Q3473" s="247"/>
      <c r="R3473" s="247"/>
      <c r="S3473" s="247"/>
      <c r="T3473" s="245"/>
      <c r="U3473" s="245"/>
      <c r="V3473" s="241"/>
      <c r="W3473" s="241"/>
      <c r="X3473" s="241"/>
    </row>
    <row r="3474" spans="1:24" ht="13.5" customHeight="1" x14ac:dyDescent="0.3">
      <c r="A3474" s="245"/>
      <c r="B3474" s="246"/>
      <c r="C3474" s="245"/>
      <c r="D3474" s="245"/>
      <c r="E3474" s="245"/>
      <c r="F3474" s="245"/>
      <c r="G3474" s="245"/>
      <c r="H3474" s="245"/>
      <c r="I3474" s="245"/>
      <c r="J3474" s="245"/>
      <c r="K3474" s="245"/>
      <c r="L3474" s="246"/>
      <c r="M3474" s="245"/>
      <c r="N3474" s="245"/>
      <c r="O3474" s="245"/>
      <c r="P3474" s="245"/>
      <c r="Q3474" s="247"/>
      <c r="R3474" s="247"/>
      <c r="S3474" s="247"/>
      <c r="T3474" s="245"/>
      <c r="U3474" s="245"/>
      <c r="V3474" s="241"/>
      <c r="W3474" s="241"/>
      <c r="X3474" s="241"/>
    </row>
    <row r="3475" spans="1:24" ht="13.5" customHeight="1" x14ac:dyDescent="0.3">
      <c r="A3475" s="245"/>
      <c r="B3475" s="246"/>
      <c r="C3475" s="245"/>
      <c r="D3475" s="245"/>
      <c r="E3475" s="245"/>
      <c r="F3475" s="245"/>
      <c r="G3475" s="245"/>
      <c r="H3475" s="245"/>
      <c r="I3475" s="245"/>
      <c r="J3475" s="245"/>
      <c r="K3475" s="245"/>
      <c r="L3475" s="246"/>
      <c r="M3475" s="245"/>
      <c r="N3475" s="245"/>
      <c r="O3475" s="245"/>
      <c r="P3475" s="245"/>
      <c r="Q3475" s="247"/>
      <c r="R3475" s="247"/>
      <c r="S3475" s="247"/>
      <c r="T3475" s="245"/>
      <c r="U3475" s="245"/>
      <c r="V3475" s="241"/>
      <c r="W3475" s="241"/>
      <c r="X3475" s="241"/>
    </row>
    <row r="3476" spans="1:24" ht="13.5" customHeight="1" x14ac:dyDescent="0.3">
      <c r="A3476" s="245"/>
      <c r="B3476" s="246"/>
      <c r="C3476" s="245"/>
      <c r="D3476" s="245"/>
      <c r="E3476" s="245"/>
      <c r="F3476" s="245"/>
      <c r="G3476" s="245"/>
      <c r="H3476" s="245"/>
      <c r="I3476" s="245"/>
      <c r="J3476" s="245"/>
      <c r="K3476" s="245"/>
      <c r="L3476" s="246"/>
      <c r="M3476" s="245"/>
      <c r="N3476" s="245"/>
      <c r="O3476" s="245"/>
      <c r="P3476" s="245"/>
      <c r="Q3476" s="247"/>
      <c r="R3476" s="247"/>
      <c r="S3476" s="247"/>
      <c r="T3476" s="245"/>
      <c r="U3476" s="245"/>
      <c r="V3476" s="241"/>
      <c r="W3476" s="241"/>
      <c r="X3476" s="241"/>
    </row>
    <row r="3477" spans="1:24" ht="13.5" customHeight="1" x14ac:dyDescent="0.3">
      <c r="A3477" s="245"/>
      <c r="B3477" s="246"/>
      <c r="C3477" s="245"/>
      <c r="D3477" s="245"/>
      <c r="E3477" s="245"/>
      <c r="F3477" s="245"/>
      <c r="G3477" s="245"/>
      <c r="H3477" s="245"/>
      <c r="I3477" s="245"/>
      <c r="J3477" s="245"/>
      <c r="K3477" s="245"/>
      <c r="L3477" s="246"/>
      <c r="M3477" s="245"/>
      <c r="N3477" s="245"/>
      <c r="O3477" s="245"/>
      <c r="P3477" s="245"/>
      <c r="Q3477" s="247"/>
      <c r="R3477" s="247"/>
      <c r="S3477" s="247"/>
      <c r="T3477" s="245"/>
      <c r="U3477" s="245"/>
      <c r="V3477" s="241"/>
      <c r="W3477" s="241"/>
      <c r="X3477" s="241"/>
    </row>
    <row r="3478" spans="1:24" ht="13.5" customHeight="1" x14ac:dyDescent="0.3">
      <c r="A3478" s="245"/>
      <c r="B3478" s="246"/>
      <c r="C3478" s="245"/>
      <c r="D3478" s="245"/>
      <c r="E3478" s="245"/>
      <c r="F3478" s="245"/>
      <c r="G3478" s="245"/>
      <c r="H3478" s="245"/>
      <c r="I3478" s="245"/>
      <c r="J3478" s="245"/>
      <c r="K3478" s="245"/>
      <c r="L3478" s="246"/>
      <c r="M3478" s="245"/>
      <c r="N3478" s="245"/>
      <c r="O3478" s="245"/>
      <c r="P3478" s="245"/>
      <c r="Q3478" s="247"/>
      <c r="R3478" s="247"/>
      <c r="S3478" s="247"/>
      <c r="T3478" s="245"/>
      <c r="U3478" s="245"/>
      <c r="V3478" s="241"/>
      <c r="W3478" s="241"/>
      <c r="X3478" s="241"/>
    </row>
    <row r="3479" spans="1:24" ht="13.5" customHeight="1" x14ac:dyDescent="0.3">
      <c r="A3479" s="245"/>
      <c r="B3479" s="246"/>
      <c r="C3479" s="245"/>
      <c r="D3479" s="245"/>
      <c r="E3479" s="245"/>
      <c r="F3479" s="245"/>
      <c r="G3479" s="245"/>
      <c r="H3479" s="245"/>
      <c r="I3479" s="245"/>
      <c r="J3479" s="245"/>
      <c r="K3479" s="245"/>
      <c r="L3479" s="246"/>
      <c r="M3479" s="245"/>
      <c r="N3479" s="245"/>
      <c r="O3479" s="245"/>
      <c r="P3479" s="245"/>
      <c r="Q3479" s="247"/>
      <c r="R3479" s="247"/>
      <c r="S3479" s="247"/>
      <c r="T3479" s="245"/>
      <c r="U3479" s="245"/>
      <c r="V3479" s="241"/>
      <c r="W3479" s="241"/>
      <c r="X3479" s="241"/>
    </row>
    <row r="3480" spans="1:24" ht="13.5" customHeight="1" x14ac:dyDescent="0.3">
      <c r="A3480" s="245"/>
      <c r="B3480" s="246"/>
      <c r="C3480" s="245"/>
      <c r="D3480" s="245"/>
      <c r="E3480" s="245"/>
      <c r="F3480" s="245"/>
      <c r="G3480" s="245"/>
      <c r="H3480" s="245"/>
      <c r="I3480" s="245"/>
      <c r="J3480" s="245"/>
      <c r="K3480" s="245"/>
      <c r="L3480" s="246"/>
      <c r="M3480" s="245"/>
      <c r="N3480" s="245"/>
      <c r="O3480" s="245"/>
      <c r="P3480" s="245"/>
      <c r="Q3480" s="247"/>
      <c r="R3480" s="247"/>
      <c r="S3480" s="247"/>
      <c r="T3480" s="245"/>
      <c r="U3480" s="245"/>
      <c r="V3480" s="241"/>
      <c r="W3480" s="241"/>
      <c r="X3480" s="241"/>
    </row>
    <row r="3481" spans="1:24" ht="13.5" customHeight="1" x14ac:dyDescent="0.3">
      <c r="A3481" s="245"/>
      <c r="B3481" s="246"/>
      <c r="C3481" s="245"/>
      <c r="D3481" s="245"/>
      <c r="E3481" s="245"/>
      <c r="F3481" s="245"/>
      <c r="G3481" s="245"/>
      <c r="H3481" s="245"/>
      <c r="I3481" s="245"/>
      <c r="J3481" s="245"/>
      <c r="K3481" s="245"/>
      <c r="L3481" s="246"/>
      <c r="M3481" s="245"/>
      <c r="N3481" s="245"/>
      <c r="O3481" s="245"/>
      <c r="P3481" s="245"/>
      <c r="Q3481" s="247"/>
      <c r="R3481" s="247"/>
      <c r="S3481" s="247"/>
      <c r="T3481" s="245"/>
      <c r="U3481" s="245"/>
      <c r="V3481" s="241"/>
      <c r="W3481" s="241"/>
      <c r="X3481" s="241"/>
    </row>
    <row r="3482" spans="1:24" ht="13.5" customHeight="1" x14ac:dyDescent="0.3">
      <c r="A3482" s="245"/>
      <c r="B3482" s="246"/>
      <c r="C3482" s="245"/>
      <c r="D3482" s="245"/>
      <c r="E3482" s="245"/>
      <c r="F3482" s="245"/>
      <c r="G3482" s="245"/>
      <c r="H3482" s="245"/>
      <c r="I3482" s="245"/>
      <c r="J3482" s="245"/>
      <c r="K3482" s="245"/>
      <c r="L3482" s="246"/>
      <c r="M3482" s="245"/>
      <c r="N3482" s="245"/>
      <c r="O3482" s="245"/>
      <c r="P3482" s="245"/>
      <c r="Q3482" s="247"/>
      <c r="R3482" s="247"/>
      <c r="S3482" s="247"/>
      <c r="T3482" s="245"/>
      <c r="U3482" s="245"/>
      <c r="V3482" s="241"/>
      <c r="W3482" s="241"/>
      <c r="X3482" s="241"/>
    </row>
    <row r="3483" spans="1:24" ht="13.5" customHeight="1" x14ac:dyDescent="0.3">
      <c r="A3483" s="245"/>
      <c r="B3483" s="246"/>
      <c r="C3483" s="245"/>
      <c r="D3483" s="245"/>
      <c r="E3483" s="245"/>
      <c r="F3483" s="245"/>
      <c r="G3483" s="245"/>
      <c r="H3483" s="245"/>
      <c r="I3483" s="245"/>
      <c r="J3483" s="245"/>
      <c r="K3483" s="245"/>
      <c r="L3483" s="246"/>
      <c r="M3483" s="245"/>
      <c r="N3483" s="245"/>
      <c r="O3483" s="245"/>
      <c r="P3483" s="245"/>
      <c r="Q3483" s="247"/>
      <c r="R3483" s="247"/>
      <c r="S3483" s="247"/>
      <c r="T3483" s="245"/>
      <c r="U3483" s="245"/>
      <c r="V3483" s="241"/>
      <c r="W3483" s="241"/>
      <c r="X3483" s="241"/>
    </row>
    <row r="3484" spans="1:24" ht="13.5" customHeight="1" x14ac:dyDescent="0.3">
      <c r="A3484" s="245"/>
      <c r="B3484" s="246"/>
      <c r="C3484" s="245"/>
      <c r="D3484" s="245"/>
      <c r="E3484" s="245"/>
      <c r="F3484" s="245"/>
      <c r="G3484" s="245"/>
      <c r="H3484" s="245"/>
      <c r="I3484" s="245"/>
      <c r="J3484" s="245"/>
      <c r="K3484" s="245"/>
      <c r="L3484" s="246"/>
      <c r="M3484" s="245"/>
      <c r="N3484" s="245"/>
      <c r="O3484" s="245"/>
      <c r="P3484" s="245"/>
      <c r="Q3484" s="247"/>
      <c r="R3484" s="247"/>
      <c r="S3484" s="247"/>
      <c r="T3484" s="245"/>
      <c r="U3484" s="245"/>
      <c r="V3484" s="241"/>
      <c r="W3484" s="241"/>
      <c r="X3484" s="241"/>
    </row>
    <row r="3485" spans="1:24" ht="13.5" customHeight="1" x14ac:dyDescent="0.3">
      <c r="A3485" s="245"/>
      <c r="B3485" s="246"/>
      <c r="C3485" s="245"/>
      <c r="D3485" s="245"/>
      <c r="E3485" s="245"/>
      <c r="F3485" s="245"/>
      <c r="G3485" s="245"/>
      <c r="H3485" s="245"/>
      <c r="I3485" s="245"/>
      <c r="J3485" s="245"/>
      <c r="K3485" s="245"/>
      <c r="L3485" s="246"/>
      <c r="M3485" s="245"/>
      <c r="N3485" s="245"/>
      <c r="O3485" s="245"/>
      <c r="P3485" s="245"/>
      <c r="Q3485" s="247"/>
      <c r="R3485" s="247"/>
      <c r="S3485" s="247"/>
      <c r="T3485" s="245"/>
      <c r="U3485" s="245"/>
      <c r="V3485" s="241"/>
      <c r="W3485" s="241"/>
      <c r="X3485" s="241"/>
    </row>
    <row r="3486" spans="1:24" ht="13.5" customHeight="1" x14ac:dyDescent="0.3">
      <c r="A3486" s="245"/>
      <c r="B3486" s="246"/>
      <c r="C3486" s="245"/>
      <c r="D3486" s="245"/>
      <c r="E3486" s="245"/>
      <c r="F3486" s="245"/>
      <c r="G3486" s="245"/>
      <c r="H3486" s="245"/>
      <c r="I3486" s="245"/>
      <c r="J3486" s="245"/>
      <c r="K3486" s="245"/>
      <c r="L3486" s="246"/>
      <c r="M3486" s="245"/>
      <c r="N3486" s="245"/>
      <c r="O3486" s="245"/>
      <c r="P3486" s="245"/>
      <c r="Q3486" s="247"/>
      <c r="R3486" s="247"/>
      <c r="S3486" s="247"/>
      <c r="T3486" s="245"/>
      <c r="U3486" s="245"/>
      <c r="V3486" s="241"/>
      <c r="W3486" s="241"/>
      <c r="X3486" s="241"/>
    </row>
    <row r="3487" spans="1:24" ht="13.5" customHeight="1" x14ac:dyDescent="0.3">
      <c r="A3487" s="245"/>
      <c r="B3487" s="246"/>
      <c r="C3487" s="245"/>
      <c r="D3487" s="245"/>
      <c r="E3487" s="245"/>
      <c r="F3487" s="245"/>
      <c r="G3487" s="245"/>
      <c r="H3487" s="245"/>
      <c r="I3487" s="245"/>
      <c r="J3487" s="245"/>
      <c r="K3487" s="245"/>
      <c r="L3487" s="246"/>
      <c r="M3487" s="245"/>
      <c r="N3487" s="245"/>
      <c r="O3487" s="245"/>
      <c r="P3487" s="245"/>
      <c r="Q3487" s="247"/>
      <c r="R3487" s="247"/>
      <c r="S3487" s="247"/>
      <c r="T3487" s="245"/>
      <c r="U3487" s="245"/>
      <c r="V3487" s="241"/>
      <c r="W3487" s="241"/>
      <c r="X3487" s="241"/>
    </row>
    <row r="3488" spans="1:24" ht="13.5" customHeight="1" x14ac:dyDescent="0.3">
      <c r="A3488" s="245"/>
      <c r="B3488" s="246"/>
      <c r="C3488" s="245"/>
      <c r="D3488" s="245"/>
      <c r="E3488" s="245"/>
      <c r="F3488" s="245"/>
      <c r="G3488" s="245"/>
      <c r="H3488" s="245"/>
      <c r="I3488" s="245"/>
      <c r="J3488" s="245"/>
      <c r="K3488" s="245"/>
      <c r="L3488" s="246"/>
      <c r="M3488" s="245"/>
      <c r="N3488" s="245"/>
      <c r="O3488" s="245"/>
      <c r="P3488" s="245"/>
      <c r="Q3488" s="247"/>
      <c r="R3488" s="247"/>
      <c r="S3488" s="247"/>
      <c r="T3488" s="245"/>
      <c r="U3488" s="245"/>
      <c r="V3488" s="241"/>
      <c r="W3488" s="241"/>
      <c r="X3488" s="241"/>
    </row>
    <row r="3489" spans="1:24" ht="13.5" customHeight="1" x14ac:dyDescent="0.3">
      <c r="A3489" s="245"/>
      <c r="B3489" s="246"/>
      <c r="C3489" s="245"/>
      <c r="D3489" s="245"/>
      <c r="E3489" s="245"/>
      <c r="F3489" s="245"/>
      <c r="G3489" s="245"/>
      <c r="H3489" s="245"/>
      <c r="I3489" s="245"/>
      <c r="J3489" s="245"/>
      <c r="K3489" s="245"/>
      <c r="L3489" s="246"/>
      <c r="M3489" s="245"/>
      <c r="N3489" s="245"/>
      <c r="O3489" s="245"/>
      <c r="P3489" s="245"/>
      <c r="Q3489" s="247"/>
      <c r="R3489" s="247"/>
      <c r="S3489" s="247"/>
      <c r="T3489" s="245"/>
      <c r="U3489" s="245"/>
      <c r="V3489" s="241"/>
      <c r="W3489" s="241"/>
      <c r="X3489" s="241"/>
    </row>
    <row r="3490" spans="1:24" ht="13.5" customHeight="1" x14ac:dyDescent="0.3">
      <c r="A3490" s="245"/>
      <c r="B3490" s="246"/>
      <c r="C3490" s="245"/>
      <c r="D3490" s="245"/>
      <c r="E3490" s="245"/>
      <c r="F3490" s="245"/>
      <c r="G3490" s="245"/>
      <c r="H3490" s="245"/>
      <c r="I3490" s="245"/>
      <c r="J3490" s="245"/>
      <c r="K3490" s="245"/>
      <c r="L3490" s="246"/>
      <c r="M3490" s="245"/>
      <c r="N3490" s="245"/>
      <c r="O3490" s="245"/>
      <c r="P3490" s="245"/>
      <c r="Q3490" s="247"/>
      <c r="R3490" s="247"/>
      <c r="S3490" s="247"/>
      <c r="T3490" s="245"/>
      <c r="U3490" s="245"/>
      <c r="V3490" s="241"/>
      <c r="W3490" s="241"/>
      <c r="X3490" s="241"/>
    </row>
    <row r="3491" spans="1:24" ht="13.5" customHeight="1" x14ac:dyDescent="0.3">
      <c r="A3491" s="245"/>
      <c r="B3491" s="246"/>
      <c r="C3491" s="245"/>
      <c r="D3491" s="245"/>
      <c r="E3491" s="245"/>
      <c r="F3491" s="245"/>
      <c r="G3491" s="245"/>
      <c r="H3491" s="245"/>
      <c r="I3491" s="245"/>
      <c r="J3491" s="245"/>
      <c r="K3491" s="245"/>
      <c r="L3491" s="246"/>
      <c r="M3491" s="245"/>
      <c r="N3491" s="245"/>
      <c r="O3491" s="245"/>
      <c r="P3491" s="245"/>
      <c r="Q3491" s="247"/>
      <c r="R3491" s="247"/>
      <c r="S3491" s="247"/>
      <c r="T3491" s="245"/>
      <c r="U3491" s="245"/>
      <c r="V3491" s="241"/>
      <c r="W3491" s="241"/>
      <c r="X3491" s="241"/>
    </row>
    <row r="3492" spans="1:24" ht="13.5" customHeight="1" x14ac:dyDescent="0.3">
      <c r="A3492" s="245"/>
      <c r="B3492" s="246"/>
      <c r="C3492" s="245"/>
      <c r="D3492" s="245"/>
      <c r="E3492" s="245"/>
      <c r="F3492" s="245"/>
      <c r="G3492" s="245"/>
      <c r="H3492" s="245"/>
      <c r="I3492" s="245"/>
      <c r="J3492" s="245"/>
      <c r="K3492" s="245"/>
      <c r="L3492" s="246"/>
      <c r="M3492" s="245"/>
      <c r="N3492" s="245"/>
      <c r="O3492" s="245"/>
      <c r="P3492" s="245"/>
      <c r="Q3492" s="247"/>
      <c r="R3492" s="247"/>
      <c r="S3492" s="247"/>
      <c r="T3492" s="245"/>
      <c r="U3492" s="245"/>
      <c r="V3492" s="241"/>
      <c r="W3492" s="241"/>
      <c r="X3492" s="241"/>
    </row>
    <row r="3493" spans="1:24" ht="13.5" customHeight="1" x14ac:dyDescent="0.3">
      <c r="A3493" s="245"/>
      <c r="B3493" s="246"/>
      <c r="C3493" s="245"/>
      <c r="D3493" s="245"/>
      <c r="E3493" s="245"/>
      <c r="F3493" s="245"/>
      <c r="G3493" s="245"/>
      <c r="H3493" s="245"/>
      <c r="I3493" s="245"/>
      <c r="J3493" s="245"/>
      <c r="K3493" s="245"/>
      <c r="L3493" s="246"/>
      <c r="M3493" s="245"/>
      <c r="N3493" s="245"/>
      <c r="O3493" s="245"/>
      <c r="P3493" s="245"/>
      <c r="Q3493" s="247"/>
      <c r="R3493" s="247"/>
      <c r="S3493" s="247"/>
      <c r="T3493" s="245"/>
      <c r="U3493" s="245"/>
      <c r="V3493" s="241"/>
      <c r="W3493" s="241"/>
      <c r="X3493" s="241"/>
    </row>
    <row r="3494" spans="1:24" ht="13.5" customHeight="1" x14ac:dyDescent="0.3">
      <c r="A3494" s="245"/>
      <c r="B3494" s="246"/>
      <c r="C3494" s="245"/>
      <c r="D3494" s="245"/>
      <c r="E3494" s="245"/>
      <c r="F3494" s="245"/>
      <c r="G3494" s="245"/>
      <c r="H3494" s="245"/>
      <c r="I3494" s="245"/>
      <c r="J3494" s="245"/>
      <c r="K3494" s="245"/>
      <c r="L3494" s="246"/>
      <c r="M3494" s="245"/>
      <c r="N3494" s="245"/>
      <c r="O3494" s="245"/>
      <c r="P3494" s="245"/>
      <c r="Q3494" s="247"/>
      <c r="R3494" s="247"/>
      <c r="S3494" s="247"/>
      <c r="T3494" s="245"/>
      <c r="U3494" s="245"/>
      <c r="V3494" s="241"/>
      <c r="W3494" s="241"/>
      <c r="X3494" s="241"/>
    </row>
    <row r="3495" spans="1:24" ht="13.5" customHeight="1" x14ac:dyDescent="0.3">
      <c r="A3495" s="245"/>
      <c r="B3495" s="246"/>
      <c r="C3495" s="245"/>
      <c r="D3495" s="245"/>
      <c r="E3495" s="245"/>
      <c r="F3495" s="245"/>
      <c r="G3495" s="245"/>
      <c r="H3495" s="245"/>
      <c r="I3495" s="245"/>
      <c r="J3495" s="245"/>
      <c r="K3495" s="245"/>
      <c r="L3495" s="246"/>
      <c r="M3495" s="245"/>
      <c r="N3495" s="245"/>
      <c r="O3495" s="245"/>
      <c r="P3495" s="245"/>
      <c r="Q3495" s="247"/>
      <c r="R3495" s="247"/>
      <c r="S3495" s="247"/>
      <c r="T3495" s="245"/>
      <c r="U3495" s="245"/>
      <c r="V3495" s="241"/>
      <c r="W3495" s="241"/>
      <c r="X3495" s="241"/>
    </row>
    <row r="3496" spans="1:24" ht="13.5" customHeight="1" x14ac:dyDescent="0.3">
      <c r="A3496" s="245"/>
      <c r="B3496" s="246"/>
      <c r="C3496" s="245"/>
      <c r="D3496" s="245"/>
      <c r="E3496" s="245"/>
      <c r="F3496" s="245"/>
      <c r="G3496" s="245"/>
      <c r="H3496" s="245"/>
      <c r="I3496" s="245"/>
      <c r="J3496" s="245"/>
      <c r="K3496" s="245"/>
      <c r="L3496" s="246"/>
      <c r="M3496" s="245"/>
      <c r="N3496" s="245"/>
      <c r="O3496" s="245"/>
      <c r="P3496" s="245"/>
      <c r="Q3496" s="247"/>
      <c r="R3496" s="247"/>
      <c r="S3496" s="247"/>
      <c r="T3496" s="245"/>
      <c r="U3496" s="245"/>
      <c r="V3496" s="241"/>
      <c r="W3496" s="241"/>
      <c r="X3496" s="241"/>
    </row>
    <row r="3497" spans="1:24" ht="13.5" customHeight="1" x14ac:dyDescent="0.3">
      <c r="A3497" s="245"/>
      <c r="B3497" s="246"/>
      <c r="C3497" s="245"/>
      <c r="D3497" s="245"/>
      <c r="E3497" s="245"/>
      <c r="F3497" s="245"/>
      <c r="G3497" s="245"/>
      <c r="H3497" s="245"/>
      <c r="I3497" s="245"/>
      <c r="J3497" s="245"/>
      <c r="K3497" s="245"/>
      <c r="L3497" s="246"/>
      <c r="M3497" s="245"/>
      <c r="N3497" s="245"/>
      <c r="O3497" s="245"/>
      <c r="P3497" s="245"/>
      <c r="Q3497" s="247"/>
      <c r="R3497" s="247"/>
      <c r="S3497" s="247"/>
      <c r="T3497" s="245"/>
      <c r="U3497" s="245"/>
      <c r="V3497" s="241"/>
      <c r="W3497" s="241"/>
      <c r="X3497" s="241"/>
    </row>
    <row r="3498" spans="1:24" ht="13.5" customHeight="1" x14ac:dyDescent="0.3">
      <c r="A3498" s="245"/>
      <c r="B3498" s="246"/>
      <c r="C3498" s="245"/>
      <c r="D3498" s="245"/>
      <c r="E3498" s="245"/>
      <c r="F3498" s="245"/>
      <c r="G3498" s="245"/>
      <c r="H3498" s="245"/>
      <c r="I3498" s="245"/>
      <c r="J3498" s="245"/>
      <c r="K3498" s="245"/>
      <c r="L3498" s="246"/>
      <c r="M3498" s="245"/>
      <c r="N3498" s="245"/>
      <c r="O3498" s="245"/>
      <c r="P3498" s="245"/>
      <c r="Q3498" s="247"/>
      <c r="R3498" s="247"/>
      <c r="S3498" s="247"/>
      <c r="T3498" s="245"/>
      <c r="U3498" s="245"/>
      <c r="V3498" s="241"/>
      <c r="W3498" s="241"/>
      <c r="X3498" s="241"/>
    </row>
    <row r="3499" spans="1:24" ht="13.5" customHeight="1" x14ac:dyDescent="0.3">
      <c r="A3499" s="245"/>
      <c r="B3499" s="246"/>
      <c r="C3499" s="245"/>
      <c r="D3499" s="245"/>
      <c r="E3499" s="245"/>
      <c r="F3499" s="245"/>
      <c r="G3499" s="245"/>
      <c r="H3499" s="245"/>
      <c r="I3499" s="245"/>
      <c r="J3499" s="245"/>
      <c r="K3499" s="245"/>
      <c r="L3499" s="246"/>
      <c r="M3499" s="245"/>
      <c r="N3499" s="245"/>
      <c r="O3499" s="245"/>
      <c r="P3499" s="245"/>
      <c r="Q3499" s="247"/>
      <c r="R3499" s="247"/>
      <c r="S3499" s="247"/>
      <c r="T3499" s="245"/>
      <c r="U3499" s="245"/>
      <c r="V3499" s="241"/>
      <c r="W3499" s="241"/>
      <c r="X3499" s="241"/>
    </row>
    <row r="3500" spans="1:24" ht="13.5" customHeight="1" x14ac:dyDescent="0.3">
      <c r="A3500" s="245"/>
      <c r="B3500" s="246"/>
      <c r="C3500" s="245"/>
      <c r="D3500" s="245"/>
      <c r="E3500" s="245"/>
      <c r="F3500" s="245"/>
      <c r="G3500" s="245"/>
      <c r="H3500" s="245"/>
      <c r="I3500" s="245"/>
      <c r="J3500" s="245"/>
      <c r="K3500" s="245"/>
      <c r="L3500" s="246"/>
      <c r="M3500" s="245"/>
      <c r="N3500" s="245"/>
      <c r="O3500" s="245"/>
      <c r="P3500" s="245"/>
      <c r="Q3500" s="247"/>
      <c r="R3500" s="247"/>
      <c r="S3500" s="247"/>
      <c r="T3500" s="245"/>
      <c r="U3500" s="245"/>
      <c r="V3500" s="241"/>
      <c r="W3500" s="241"/>
      <c r="X3500" s="241"/>
    </row>
    <row r="3501" spans="1:24" ht="13.5" customHeight="1" x14ac:dyDescent="0.3">
      <c r="A3501" s="245"/>
      <c r="B3501" s="246"/>
      <c r="C3501" s="245"/>
      <c r="D3501" s="245"/>
      <c r="E3501" s="245"/>
      <c r="F3501" s="245"/>
      <c r="G3501" s="245"/>
      <c r="H3501" s="245"/>
      <c r="I3501" s="245"/>
      <c r="J3501" s="245"/>
      <c r="K3501" s="245"/>
      <c r="L3501" s="246"/>
      <c r="M3501" s="245"/>
      <c r="N3501" s="245"/>
      <c r="O3501" s="245"/>
      <c r="P3501" s="245"/>
      <c r="Q3501" s="247"/>
      <c r="R3501" s="247"/>
      <c r="S3501" s="247"/>
      <c r="T3501" s="245"/>
      <c r="U3501" s="245"/>
      <c r="V3501" s="241"/>
      <c r="W3501" s="241"/>
      <c r="X3501" s="241"/>
    </row>
    <row r="3502" spans="1:24" ht="13.5" customHeight="1" x14ac:dyDescent="0.3">
      <c r="A3502" s="245"/>
      <c r="B3502" s="246"/>
      <c r="C3502" s="245"/>
      <c r="D3502" s="245"/>
      <c r="E3502" s="245"/>
      <c r="F3502" s="245"/>
      <c r="G3502" s="245"/>
      <c r="H3502" s="245"/>
      <c r="I3502" s="245"/>
      <c r="J3502" s="245"/>
      <c r="K3502" s="245"/>
      <c r="L3502" s="246"/>
      <c r="M3502" s="245"/>
      <c r="N3502" s="245"/>
      <c r="O3502" s="245"/>
      <c r="P3502" s="245"/>
      <c r="Q3502" s="247"/>
      <c r="R3502" s="247"/>
      <c r="S3502" s="247"/>
      <c r="T3502" s="245"/>
      <c r="U3502" s="245"/>
      <c r="V3502" s="241"/>
      <c r="W3502" s="241"/>
      <c r="X3502" s="241"/>
    </row>
    <row r="3503" spans="1:24" ht="13.5" customHeight="1" x14ac:dyDescent="0.3">
      <c r="A3503" s="245"/>
      <c r="B3503" s="246"/>
      <c r="C3503" s="245"/>
      <c r="D3503" s="245"/>
      <c r="E3503" s="245"/>
      <c r="F3503" s="245"/>
      <c r="G3503" s="245"/>
      <c r="H3503" s="245"/>
      <c r="I3503" s="245"/>
      <c r="J3503" s="245"/>
      <c r="K3503" s="245"/>
      <c r="L3503" s="246"/>
      <c r="M3503" s="245"/>
      <c r="N3503" s="245"/>
      <c r="O3503" s="245"/>
      <c r="P3503" s="245"/>
      <c r="Q3503" s="247"/>
      <c r="R3503" s="247"/>
      <c r="S3503" s="247"/>
      <c r="T3503" s="245"/>
      <c r="U3503" s="245"/>
      <c r="V3503" s="241"/>
      <c r="W3503" s="241"/>
      <c r="X3503" s="241"/>
    </row>
    <row r="3504" spans="1:24" ht="13.5" customHeight="1" x14ac:dyDescent="0.3">
      <c r="A3504" s="245"/>
      <c r="B3504" s="246"/>
      <c r="C3504" s="245"/>
      <c r="D3504" s="245"/>
      <c r="E3504" s="245"/>
      <c r="F3504" s="245"/>
      <c r="G3504" s="245"/>
      <c r="H3504" s="245"/>
      <c r="I3504" s="245"/>
      <c r="J3504" s="245"/>
      <c r="K3504" s="245"/>
      <c r="L3504" s="246"/>
      <c r="M3504" s="245"/>
      <c r="N3504" s="245"/>
      <c r="O3504" s="245"/>
      <c r="P3504" s="245"/>
      <c r="Q3504" s="247"/>
      <c r="R3504" s="247"/>
      <c r="S3504" s="247"/>
      <c r="T3504" s="245"/>
      <c r="U3504" s="245"/>
      <c r="V3504" s="241"/>
      <c r="W3504" s="241"/>
      <c r="X3504" s="241"/>
    </row>
    <row r="3505" spans="1:24" ht="13.5" customHeight="1" x14ac:dyDescent="0.3">
      <c r="A3505" s="245"/>
      <c r="B3505" s="246"/>
      <c r="C3505" s="245"/>
      <c r="D3505" s="245"/>
      <c r="E3505" s="245"/>
      <c r="F3505" s="245"/>
      <c r="G3505" s="245"/>
      <c r="H3505" s="245"/>
      <c r="I3505" s="245"/>
      <c r="J3505" s="245"/>
      <c r="K3505" s="245"/>
      <c r="L3505" s="246"/>
      <c r="M3505" s="245"/>
      <c r="N3505" s="245"/>
      <c r="O3505" s="245"/>
      <c r="P3505" s="245"/>
      <c r="Q3505" s="247"/>
      <c r="R3505" s="247"/>
      <c r="S3505" s="247"/>
      <c r="T3505" s="245"/>
      <c r="U3505" s="245"/>
      <c r="V3505" s="241"/>
      <c r="W3505" s="241"/>
      <c r="X3505" s="241"/>
    </row>
    <row r="3506" spans="1:24" ht="13.5" customHeight="1" x14ac:dyDescent="0.3">
      <c r="A3506" s="245"/>
      <c r="B3506" s="246"/>
      <c r="C3506" s="245"/>
      <c r="D3506" s="245"/>
      <c r="E3506" s="245"/>
      <c r="F3506" s="245"/>
      <c r="G3506" s="245"/>
      <c r="H3506" s="245"/>
      <c r="I3506" s="245"/>
      <c r="J3506" s="245"/>
      <c r="K3506" s="245"/>
      <c r="L3506" s="246"/>
      <c r="M3506" s="245"/>
      <c r="N3506" s="245"/>
      <c r="O3506" s="245"/>
      <c r="P3506" s="245"/>
      <c r="Q3506" s="247"/>
      <c r="R3506" s="247"/>
      <c r="S3506" s="247"/>
      <c r="T3506" s="245"/>
      <c r="U3506" s="245"/>
      <c r="V3506" s="241"/>
      <c r="W3506" s="241"/>
      <c r="X3506" s="241"/>
    </row>
    <row r="3507" spans="1:24" ht="13.5" customHeight="1" x14ac:dyDescent="0.3">
      <c r="A3507" s="245"/>
      <c r="B3507" s="246"/>
      <c r="C3507" s="245"/>
      <c r="D3507" s="245"/>
      <c r="E3507" s="245"/>
      <c r="F3507" s="245"/>
      <c r="G3507" s="245"/>
      <c r="H3507" s="245"/>
      <c r="I3507" s="245"/>
      <c r="J3507" s="245"/>
      <c r="K3507" s="245"/>
      <c r="L3507" s="246"/>
      <c r="M3507" s="245"/>
      <c r="N3507" s="245"/>
      <c r="O3507" s="245"/>
      <c r="P3507" s="245"/>
      <c r="Q3507" s="247"/>
      <c r="R3507" s="247"/>
      <c r="S3507" s="247"/>
      <c r="T3507" s="245"/>
      <c r="U3507" s="245"/>
      <c r="V3507" s="241"/>
      <c r="W3507" s="241"/>
      <c r="X3507" s="241"/>
    </row>
    <row r="3508" spans="1:24" ht="13.5" customHeight="1" x14ac:dyDescent="0.3">
      <c r="A3508" s="245"/>
      <c r="B3508" s="246"/>
      <c r="C3508" s="245"/>
      <c r="D3508" s="245"/>
      <c r="E3508" s="245"/>
      <c r="F3508" s="245"/>
      <c r="G3508" s="245"/>
      <c r="H3508" s="245"/>
      <c r="I3508" s="245"/>
      <c r="J3508" s="245"/>
      <c r="K3508" s="245"/>
      <c r="L3508" s="246"/>
      <c r="M3508" s="245"/>
      <c r="N3508" s="245"/>
      <c r="O3508" s="245"/>
      <c r="P3508" s="245"/>
      <c r="Q3508" s="247"/>
      <c r="R3508" s="247"/>
      <c r="S3508" s="247"/>
      <c r="T3508" s="245"/>
      <c r="U3508" s="245"/>
      <c r="V3508" s="241"/>
      <c r="W3508" s="241"/>
      <c r="X3508" s="241"/>
    </row>
    <row r="3509" spans="1:24" ht="13.5" customHeight="1" x14ac:dyDescent="0.3">
      <c r="A3509" s="245"/>
      <c r="B3509" s="246"/>
      <c r="C3509" s="245"/>
      <c r="D3509" s="245"/>
      <c r="E3509" s="245"/>
      <c r="F3509" s="245"/>
      <c r="G3509" s="245"/>
      <c r="H3509" s="245"/>
      <c r="I3509" s="245"/>
      <c r="J3509" s="245"/>
      <c r="K3509" s="245"/>
      <c r="L3509" s="246"/>
      <c r="M3509" s="245"/>
      <c r="N3509" s="245"/>
      <c r="O3509" s="245"/>
      <c r="P3509" s="245"/>
      <c r="Q3509" s="247"/>
      <c r="R3509" s="247"/>
      <c r="S3509" s="247"/>
      <c r="T3509" s="245"/>
      <c r="U3509" s="245"/>
      <c r="V3509" s="241"/>
      <c r="W3509" s="241"/>
      <c r="X3509" s="241"/>
    </row>
    <row r="3510" spans="1:24" ht="13.5" customHeight="1" x14ac:dyDescent="0.3">
      <c r="A3510" s="245"/>
      <c r="B3510" s="246"/>
      <c r="C3510" s="245"/>
      <c r="D3510" s="245"/>
      <c r="E3510" s="245"/>
      <c r="F3510" s="245"/>
      <c r="G3510" s="245"/>
      <c r="H3510" s="245"/>
      <c r="I3510" s="245"/>
      <c r="J3510" s="245"/>
      <c r="K3510" s="245"/>
      <c r="L3510" s="246"/>
      <c r="M3510" s="245"/>
      <c r="N3510" s="245"/>
      <c r="O3510" s="245"/>
      <c r="P3510" s="245"/>
      <c r="Q3510" s="247"/>
      <c r="R3510" s="247"/>
      <c r="S3510" s="247"/>
      <c r="T3510" s="245"/>
      <c r="U3510" s="245"/>
      <c r="V3510" s="241"/>
      <c r="W3510" s="241"/>
      <c r="X3510" s="241"/>
    </row>
    <row r="3511" spans="1:24" ht="13.5" customHeight="1" x14ac:dyDescent="0.3">
      <c r="A3511" s="245"/>
      <c r="B3511" s="246"/>
      <c r="C3511" s="245"/>
      <c r="D3511" s="245"/>
      <c r="E3511" s="245"/>
      <c r="F3511" s="245"/>
      <c r="G3511" s="245"/>
      <c r="H3511" s="245"/>
      <c r="I3511" s="245"/>
      <c r="J3511" s="245"/>
      <c r="K3511" s="245"/>
      <c r="L3511" s="246"/>
      <c r="M3511" s="245"/>
      <c r="N3511" s="245"/>
      <c r="O3511" s="245"/>
      <c r="P3511" s="245"/>
      <c r="Q3511" s="247"/>
      <c r="R3511" s="247"/>
      <c r="S3511" s="247"/>
      <c r="T3511" s="245"/>
      <c r="U3511" s="245"/>
      <c r="V3511" s="241"/>
      <c r="W3511" s="241"/>
      <c r="X3511" s="241"/>
    </row>
    <row r="3512" spans="1:24" ht="13.5" customHeight="1" x14ac:dyDescent="0.3">
      <c r="A3512" s="245"/>
      <c r="B3512" s="246"/>
      <c r="C3512" s="245"/>
      <c r="D3512" s="245"/>
      <c r="E3512" s="245"/>
      <c r="F3512" s="245"/>
      <c r="G3512" s="245"/>
      <c r="H3512" s="245"/>
      <c r="I3512" s="245"/>
      <c r="J3512" s="245"/>
      <c r="K3512" s="245"/>
      <c r="L3512" s="246"/>
      <c r="M3512" s="245"/>
      <c r="N3512" s="245"/>
      <c r="O3512" s="245"/>
      <c r="P3512" s="245"/>
      <c r="Q3512" s="247"/>
      <c r="R3512" s="247"/>
      <c r="S3512" s="247"/>
      <c r="T3512" s="245"/>
      <c r="U3512" s="245"/>
      <c r="V3512" s="241"/>
      <c r="W3512" s="241"/>
      <c r="X3512" s="241"/>
    </row>
    <row r="3513" spans="1:24" ht="13.5" customHeight="1" x14ac:dyDescent="0.3">
      <c r="A3513" s="245"/>
      <c r="B3513" s="246"/>
      <c r="C3513" s="245"/>
      <c r="D3513" s="245"/>
      <c r="E3513" s="245"/>
      <c r="F3513" s="245"/>
      <c r="G3513" s="245"/>
      <c r="H3513" s="245"/>
      <c r="I3513" s="245"/>
      <c r="J3513" s="245"/>
      <c r="K3513" s="245"/>
      <c r="L3513" s="246"/>
      <c r="M3513" s="245"/>
      <c r="N3513" s="245"/>
      <c r="O3513" s="245"/>
      <c r="P3513" s="245"/>
      <c r="Q3513" s="247"/>
      <c r="R3513" s="247"/>
      <c r="S3513" s="247"/>
      <c r="T3513" s="245"/>
      <c r="U3513" s="245"/>
      <c r="V3513" s="241"/>
      <c r="W3513" s="241"/>
      <c r="X3513" s="241"/>
    </row>
    <row r="3514" spans="1:24" ht="13.5" customHeight="1" x14ac:dyDescent="0.3">
      <c r="A3514" s="245"/>
      <c r="B3514" s="246"/>
      <c r="C3514" s="245"/>
      <c r="D3514" s="245"/>
      <c r="E3514" s="245"/>
      <c r="F3514" s="245"/>
      <c r="G3514" s="245"/>
      <c r="H3514" s="245"/>
      <c r="I3514" s="245"/>
      <c r="J3514" s="245"/>
      <c r="K3514" s="245"/>
      <c r="L3514" s="246"/>
      <c r="M3514" s="245"/>
      <c r="N3514" s="245"/>
      <c r="O3514" s="245"/>
      <c r="P3514" s="245"/>
      <c r="Q3514" s="247"/>
      <c r="R3514" s="247"/>
      <c r="S3514" s="247"/>
      <c r="T3514" s="245"/>
      <c r="U3514" s="245"/>
      <c r="V3514" s="241"/>
      <c r="W3514" s="241"/>
      <c r="X3514" s="241"/>
    </row>
    <row r="3515" spans="1:24" ht="13.5" customHeight="1" x14ac:dyDescent="0.3">
      <c r="A3515" s="245"/>
      <c r="B3515" s="246"/>
      <c r="C3515" s="245"/>
      <c r="D3515" s="245"/>
      <c r="E3515" s="245"/>
      <c r="F3515" s="245"/>
      <c r="G3515" s="245"/>
      <c r="H3515" s="245"/>
      <c r="I3515" s="245"/>
      <c r="J3515" s="245"/>
      <c r="K3515" s="245"/>
      <c r="L3515" s="246"/>
      <c r="M3515" s="245"/>
      <c r="N3515" s="245"/>
      <c r="O3515" s="245"/>
      <c r="P3515" s="245"/>
      <c r="Q3515" s="247"/>
      <c r="R3515" s="247"/>
      <c r="S3515" s="247"/>
      <c r="T3515" s="245"/>
      <c r="U3515" s="245"/>
      <c r="V3515" s="241"/>
      <c r="W3515" s="241"/>
      <c r="X3515" s="241"/>
    </row>
    <row r="3516" spans="1:24" ht="13.5" customHeight="1" x14ac:dyDescent="0.3">
      <c r="A3516" s="245"/>
      <c r="B3516" s="246"/>
      <c r="C3516" s="245"/>
      <c r="D3516" s="245"/>
      <c r="E3516" s="245"/>
      <c r="F3516" s="245"/>
      <c r="G3516" s="245"/>
      <c r="H3516" s="245"/>
      <c r="I3516" s="245"/>
      <c r="J3516" s="245"/>
      <c r="K3516" s="245"/>
      <c r="L3516" s="246"/>
      <c r="M3516" s="245"/>
      <c r="N3516" s="245"/>
      <c r="O3516" s="245"/>
      <c r="P3516" s="245"/>
      <c r="Q3516" s="247"/>
      <c r="R3516" s="247"/>
      <c r="S3516" s="247"/>
      <c r="T3516" s="245"/>
      <c r="U3516" s="245"/>
      <c r="V3516" s="241"/>
      <c r="W3516" s="241"/>
      <c r="X3516" s="241"/>
    </row>
    <row r="3517" spans="1:24" ht="13.5" customHeight="1" x14ac:dyDescent="0.3">
      <c r="A3517" s="245"/>
      <c r="B3517" s="246"/>
      <c r="C3517" s="245"/>
      <c r="D3517" s="245"/>
      <c r="E3517" s="245"/>
      <c r="F3517" s="245"/>
      <c r="G3517" s="245"/>
      <c r="H3517" s="245"/>
      <c r="I3517" s="245"/>
      <c r="J3517" s="245"/>
      <c r="K3517" s="245"/>
      <c r="L3517" s="246"/>
      <c r="M3517" s="245"/>
      <c r="N3517" s="245"/>
      <c r="O3517" s="245"/>
      <c r="P3517" s="245"/>
      <c r="Q3517" s="247"/>
      <c r="R3517" s="247"/>
      <c r="S3517" s="247"/>
      <c r="T3517" s="245"/>
      <c r="U3517" s="245"/>
      <c r="V3517" s="241"/>
      <c r="W3517" s="241"/>
      <c r="X3517" s="241"/>
    </row>
    <row r="3518" spans="1:24" ht="13.5" customHeight="1" x14ac:dyDescent="0.3">
      <c r="A3518" s="245"/>
      <c r="B3518" s="246"/>
      <c r="C3518" s="245"/>
      <c r="D3518" s="245"/>
      <c r="E3518" s="245"/>
      <c r="F3518" s="245"/>
      <c r="G3518" s="245"/>
      <c r="H3518" s="245"/>
      <c r="I3518" s="245"/>
      <c r="J3518" s="245"/>
      <c r="K3518" s="245"/>
      <c r="L3518" s="246"/>
      <c r="M3518" s="245"/>
      <c r="N3518" s="245"/>
      <c r="O3518" s="245"/>
      <c r="P3518" s="245"/>
      <c r="Q3518" s="247"/>
      <c r="R3518" s="247"/>
      <c r="S3518" s="247"/>
      <c r="T3518" s="245"/>
      <c r="U3518" s="245"/>
      <c r="V3518" s="241"/>
      <c r="W3518" s="241"/>
      <c r="X3518" s="241"/>
    </row>
    <row r="3519" spans="1:24" ht="13.5" customHeight="1" x14ac:dyDescent="0.3">
      <c r="A3519" s="245"/>
      <c r="B3519" s="246"/>
      <c r="C3519" s="245"/>
      <c r="D3519" s="245"/>
      <c r="E3519" s="245"/>
      <c r="F3519" s="245"/>
      <c r="G3519" s="245"/>
      <c r="H3519" s="245"/>
      <c r="I3519" s="245"/>
      <c r="J3519" s="245"/>
      <c r="K3519" s="245"/>
      <c r="L3519" s="246"/>
      <c r="M3519" s="245"/>
      <c r="N3519" s="245"/>
      <c r="O3519" s="245"/>
      <c r="P3519" s="245"/>
      <c r="Q3519" s="247"/>
      <c r="R3519" s="247"/>
      <c r="S3519" s="247"/>
      <c r="T3519" s="245"/>
      <c r="U3519" s="245"/>
      <c r="V3519" s="241"/>
      <c r="W3519" s="241"/>
      <c r="X3519" s="241"/>
    </row>
    <row r="3520" spans="1:24" ht="13.5" customHeight="1" x14ac:dyDescent="0.3">
      <c r="A3520" s="245"/>
      <c r="B3520" s="246"/>
      <c r="C3520" s="245"/>
      <c r="D3520" s="245"/>
      <c r="E3520" s="245"/>
      <c r="F3520" s="245"/>
      <c r="G3520" s="245"/>
      <c r="H3520" s="245"/>
      <c r="I3520" s="245"/>
      <c r="J3520" s="245"/>
      <c r="K3520" s="245"/>
      <c r="L3520" s="246"/>
      <c r="M3520" s="245"/>
      <c r="N3520" s="245"/>
      <c r="O3520" s="245"/>
      <c r="P3520" s="245"/>
      <c r="Q3520" s="247"/>
      <c r="R3520" s="247"/>
      <c r="S3520" s="247"/>
      <c r="T3520" s="245"/>
      <c r="U3520" s="245"/>
      <c r="V3520" s="241"/>
      <c r="W3520" s="241"/>
      <c r="X3520" s="241"/>
    </row>
    <row r="3521" spans="1:24" ht="13.5" customHeight="1" x14ac:dyDescent="0.3">
      <c r="A3521" s="245"/>
      <c r="B3521" s="246"/>
      <c r="C3521" s="245"/>
      <c r="D3521" s="245"/>
      <c r="E3521" s="245"/>
      <c r="F3521" s="245"/>
      <c r="G3521" s="245"/>
      <c r="H3521" s="245"/>
      <c r="I3521" s="245"/>
      <c r="J3521" s="245"/>
      <c r="K3521" s="245"/>
      <c r="L3521" s="246"/>
      <c r="M3521" s="245"/>
      <c r="N3521" s="245"/>
      <c r="O3521" s="245"/>
      <c r="P3521" s="245"/>
      <c r="Q3521" s="247"/>
      <c r="R3521" s="247"/>
      <c r="S3521" s="247"/>
      <c r="T3521" s="245"/>
      <c r="U3521" s="245"/>
      <c r="V3521" s="241"/>
      <c r="W3521" s="241"/>
      <c r="X3521" s="241"/>
    </row>
    <row r="3522" spans="1:24" ht="13.5" customHeight="1" x14ac:dyDescent="0.3">
      <c r="A3522" s="245"/>
      <c r="B3522" s="246"/>
      <c r="C3522" s="245"/>
      <c r="D3522" s="245"/>
      <c r="E3522" s="245"/>
      <c r="F3522" s="245"/>
      <c r="G3522" s="245"/>
      <c r="H3522" s="245"/>
      <c r="I3522" s="245"/>
      <c r="J3522" s="245"/>
      <c r="K3522" s="245"/>
      <c r="L3522" s="246"/>
      <c r="M3522" s="245"/>
      <c r="N3522" s="245"/>
      <c r="O3522" s="245"/>
      <c r="P3522" s="245"/>
      <c r="Q3522" s="247"/>
      <c r="R3522" s="247"/>
      <c r="S3522" s="247"/>
      <c r="T3522" s="245"/>
      <c r="U3522" s="245"/>
      <c r="V3522" s="241"/>
      <c r="W3522" s="241"/>
      <c r="X3522" s="241"/>
    </row>
    <row r="3523" spans="1:24" ht="13.5" customHeight="1" x14ac:dyDescent="0.3">
      <c r="A3523" s="245"/>
      <c r="B3523" s="246"/>
      <c r="C3523" s="245"/>
      <c r="D3523" s="245"/>
      <c r="E3523" s="245"/>
      <c r="F3523" s="245"/>
      <c r="G3523" s="245"/>
      <c r="H3523" s="245"/>
      <c r="I3523" s="245"/>
      <c r="J3523" s="245"/>
      <c r="K3523" s="245"/>
      <c r="L3523" s="246"/>
      <c r="M3523" s="245"/>
      <c r="N3523" s="245"/>
      <c r="O3523" s="245"/>
      <c r="P3523" s="245"/>
      <c r="Q3523" s="247"/>
      <c r="R3523" s="247"/>
      <c r="S3523" s="247"/>
      <c r="T3523" s="245"/>
      <c r="U3523" s="245"/>
      <c r="V3523" s="241"/>
      <c r="W3523" s="241"/>
      <c r="X3523" s="241"/>
    </row>
    <row r="3524" spans="1:24" ht="13.5" customHeight="1" x14ac:dyDescent="0.3">
      <c r="A3524" s="245"/>
      <c r="B3524" s="246"/>
      <c r="C3524" s="245"/>
      <c r="D3524" s="245"/>
      <c r="E3524" s="245"/>
      <c r="F3524" s="245"/>
      <c r="G3524" s="245"/>
      <c r="H3524" s="245"/>
      <c r="I3524" s="245"/>
      <c r="J3524" s="245"/>
      <c r="K3524" s="245"/>
      <c r="L3524" s="246"/>
      <c r="M3524" s="245"/>
      <c r="N3524" s="245"/>
      <c r="O3524" s="245"/>
      <c r="P3524" s="245"/>
      <c r="Q3524" s="247"/>
      <c r="R3524" s="247"/>
      <c r="S3524" s="247"/>
      <c r="T3524" s="245"/>
      <c r="U3524" s="245"/>
      <c r="V3524" s="241"/>
      <c r="W3524" s="241"/>
      <c r="X3524" s="241"/>
    </row>
    <row r="3525" spans="1:24" ht="13.5" customHeight="1" x14ac:dyDescent="0.3">
      <c r="A3525" s="245"/>
      <c r="B3525" s="246"/>
      <c r="C3525" s="245"/>
      <c r="D3525" s="245"/>
      <c r="E3525" s="245"/>
      <c r="F3525" s="245"/>
      <c r="G3525" s="245"/>
      <c r="H3525" s="245"/>
      <c r="I3525" s="245"/>
      <c r="J3525" s="245"/>
      <c r="K3525" s="245"/>
      <c r="L3525" s="246"/>
      <c r="M3525" s="245"/>
      <c r="N3525" s="245"/>
      <c r="O3525" s="245"/>
      <c r="P3525" s="245"/>
      <c r="Q3525" s="247"/>
      <c r="R3525" s="247"/>
      <c r="S3525" s="247"/>
      <c r="T3525" s="245"/>
      <c r="U3525" s="245"/>
      <c r="V3525" s="241"/>
      <c r="W3525" s="241"/>
      <c r="X3525" s="241"/>
    </row>
    <row r="3526" spans="1:24" ht="13.5" customHeight="1" x14ac:dyDescent="0.3">
      <c r="A3526" s="245"/>
      <c r="B3526" s="246"/>
      <c r="C3526" s="245"/>
      <c r="D3526" s="245"/>
      <c r="E3526" s="245"/>
      <c r="F3526" s="245"/>
      <c r="G3526" s="245"/>
      <c r="H3526" s="245"/>
      <c r="I3526" s="245"/>
      <c r="J3526" s="245"/>
      <c r="K3526" s="245"/>
      <c r="L3526" s="246"/>
      <c r="M3526" s="245"/>
      <c r="N3526" s="245"/>
      <c r="O3526" s="245"/>
      <c r="P3526" s="245"/>
      <c r="Q3526" s="247"/>
      <c r="R3526" s="247"/>
      <c r="S3526" s="247"/>
      <c r="T3526" s="245"/>
      <c r="U3526" s="245"/>
      <c r="V3526" s="241"/>
      <c r="W3526" s="241"/>
      <c r="X3526" s="241"/>
    </row>
    <row r="3527" spans="1:24" ht="13.5" customHeight="1" x14ac:dyDescent="0.3">
      <c r="A3527" s="245"/>
      <c r="B3527" s="246"/>
      <c r="C3527" s="245"/>
      <c r="D3527" s="245"/>
      <c r="E3527" s="245"/>
      <c r="F3527" s="245"/>
      <c r="G3527" s="245"/>
      <c r="H3527" s="245"/>
      <c r="I3527" s="245"/>
      <c r="J3527" s="245"/>
      <c r="K3527" s="245"/>
      <c r="L3527" s="246"/>
      <c r="M3527" s="245"/>
      <c r="N3527" s="245"/>
      <c r="O3527" s="245"/>
      <c r="P3527" s="245"/>
      <c r="Q3527" s="247"/>
      <c r="R3527" s="247"/>
      <c r="S3527" s="247"/>
      <c r="T3527" s="245"/>
      <c r="U3527" s="245"/>
      <c r="V3527" s="241"/>
      <c r="W3527" s="241"/>
      <c r="X3527" s="241"/>
    </row>
    <row r="3528" spans="1:24" ht="13.5" customHeight="1" x14ac:dyDescent="0.3">
      <c r="A3528" s="245"/>
      <c r="B3528" s="246"/>
      <c r="C3528" s="245"/>
      <c r="D3528" s="245"/>
      <c r="E3528" s="245"/>
      <c r="F3528" s="245"/>
      <c r="G3528" s="245"/>
      <c r="H3528" s="245"/>
      <c r="I3528" s="245"/>
      <c r="J3528" s="245"/>
      <c r="K3528" s="245"/>
      <c r="L3528" s="246"/>
      <c r="M3528" s="245"/>
      <c r="N3528" s="245"/>
      <c r="O3528" s="245"/>
      <c r="P3528" s="245"/>
      <c r="Q3528" s="247"/>
      <c r="R3528" s="247"/>
      <c r="S3528" s="247"/>
      <c r="T3528" s="245"/>
      <c r="U3528" s="245"/>
      <c r="V3528" s="241"/>
      <c r="W3528" s="241"/>
      <c r="X3528" s="241"/>
    </row>
    <row r="3529" spans="1:24" ht="13.5" customHeight="1" x14ac:dyDescent="0.3">
      <c r="A3529" s="245"/>
      <c r="B3529" s="246"/>
      <c r="C3529" s="245"/>
      <c r="D3529" s="245"/>
      <c r="E3529" s="245"/>
      <c r="F3529" s="245"/>
      <c r="G3529" s="245"/>
      <c r="H3529" s="245"/>
      <c r="I3529" s="245"/>
      <c r="J3529" s="245"/>
      <c r="K3529" s="245"/>
      <c r="L3529" s="246"/>
      <c r="M3529" s="245"/>
      <c r="N3529" s="245"/>
      <c r="O3529" s="245"/>
      <c r="P3529" s="245"/>
      <c r="Q3529" s="247"/>
      <c r="R3529" s="247"/>
      <c r="S3529" s="247"/>
      <c r="T3529" s="245"/>
      <c r="U3529" s="245"/>
      <c r="V3529" s="241"/>
      <c r="W3529" s="241"/>
      <c r="X3529" s="241"/>
    </row>
    <row r="3530" spans="1:24" ht="13.5" customHeight="1" x14ac:dyDescent="0.3">
      <c r="A3530" s="245"/>
      <c r="B3530" s="246"/>
      <c r="C3530" s="245"/>
      <c r="D3530" s="245"/>
      <c r="E3530" s="245"/>
      <c r="F3530" s="245"/>
      <c r="G3530" s="245"/>
      <c r="H3530" s="245"/>
      <c r="I3530" s="245"/>
      <c r="J3530" s="245"/>
      <c r="K3530" s="245"/>
      <c r="L3530" s="246"/>
      <c r="M3530" s="245"/>
      <c r="N3530" s="245"/>
      <c r="O3530" s="245"/>
      <c r="P3530" s="245"/>
      <c r="Q3530" s="247"/>
      <c r="R3530" s="247"/>
      <c r="S3530" s="247"/>
      <c r="T3530" s="245"/>
      <c r="U3530" s="245"/>
      <c r="V3530" s="241"/>
      <c r="W3530" s="241"/>
      <c r="X3530" s="241"/>
    </row>
    <row r="3531" spans="1:24" ht="13.5" customHeight="1" x14ac:dyDescent="0.3">
      <c r="A3531" s="245"/>
      <c r="B3531" s="246"/>
      <c r="C3531" s="245"/>
      <c r="D3531" s="245"/>
      <c r="E3531" s="245"/>
      <c r="F3531" s="245"/>
      <c r="G3531" s="245"/>
      <c r="H3531" s="245"/>
      <c r="I3531" s="245"/>
      <c r="J3531" s="245"/>
      <c r="K3531" s="245"/>
      <c r="L3531" s="246"/>
      <c r="M3531" s="245"/>
      <c r="N3531" s="245"/>
      <c r="O3531" s="245"/>
      <c r="P3531" s="245"/>
      <c r="Q3531" s="247"/>
      <c r="R3531" s="247"/>
      <c r="S3531" s="247"/>
      <c r="T3531" s="245"/>
      <c r="U3531" s="245"/>
      <c r="V3531" s="241"/>
      <c r="W3531" s="241"/>
      <c r="X3531" s="241"/>
    </row>
    <row r="3532" spans="1:24" ht="13.5" customHeight="1" x14ac:dyDescent="0.3">
      <c r="A3532" s="245"/>
      <c r="B3532" s="246"/>
      <c r="C3532" s="245"/>
      <c r="D3532" s="245"/>
      <c r="E3532" s="245"/>
      <c r="F3532" s="245"/>
      <c r="G3532" s="245"/>
      <c r="H3532" s="245"/>
      <c r="I3532" s="245"/>
      <c r="J3532" s="245"/>
      <c r="K3532" s="245"/>
      <c r="L3532" s="246"/>
      <c r="M3532" s="245"/>
      <c r="N3532" s="245"/>
      <c r="O3532" s="245"/>
      <c r="P3532" s="245"/>
      <c r="Q3532" s="247"/>
      <c r="R3532" s="247"/>
      <c r="S3532" s="247"/>
      <c r="T3532" s="245"/>
      <c r="U3532" s="245"/>
      <c r="V3532" s="241"/>
      <c r="W3532" s="241"/>
      <c r="X3532" s="241"/>
    </row>
    <row r="3533" spans="1:24" ht="13.5" customHeight="1" x14ac:dyDescent="0.3">
      <c r="A3533" s="245"/>
      <c r="B3533" s="246"/>
      <c r="C3533" s="245"/>
      <c r="D3533" s="245"/>
      <c r="E3533" s="245"/>
      <c r="F3533" s="245"/>
      <c r="G3533" s="245"/>
      <c r="H3533" s="245"/>
      <c r="I3533" s="245"/>
      <c r="J3533" s="245"/>
      <c r="K3533" s="245"/>
      <c r="L3533" s="246"/>
      <c r="M3533" s="245"/>
      <c r="N3533" s="245"/>
      <c r="O3533" s="245"/>
      <c r="P3533" s="245"/>
      <c r="Q3533" s="247"/>
      <c r="R3533" s="247"/>
      <c r="S3533" s="247"/>
      <c r="T3533" s="245"/>
      <c r="U3533" s="245"/>
      <c r="V3533" s="241"/>
      <c r="W3533" s="241"/>
      <c r="X3533" s="241"/>
    </row>
    <row r="3534" spans="1:24" ht="13.5" customHeight="1" x14ac:dyDescent="0.3">
      <c r="A3534" s="245"/>
      <c r="B3534" s="246"/>
      <c r="C3534" s="245"/>
      <c r="D3534" s="245"/>
      <c r="E3534" s="245"/>
      <c r="F3534" s="245"/>
      <c r="G3534" s="245"/>
      <c r="H3534" s="245"/>
      <c r="I3534" s="245"/>
      <c r="J3534" s="245"/>
      <c r="K3534" s="245"/>
      <c r="L3534" s="246"/>
      <c r="M3534" s="245"/>
      <c r="N3534" s="245"/>
      <c r="O3534" s="245"/>
      <c r="P3534" s="245"/>
      <c r="Q3534" s="247"/>
      <c r="R3534" s="247"/>
      <c r="S3534" s="247"/>
      <c r="T3534" s="245"/>
      <c r="U3534" s="245"/>
      <c r="V3534" s="241"/>
      <c r="W3534" s="241"/>
      <c r="X3534" s="241"/>
    </row>
    <row r="3535" spans="1:24" ht="13.5" customHeight="1" x14ac:dyDescent="0.3">
      <c r="A3535" s="245"/>
      <c r="B3535" s="246"/>
      <c r="C3535" s="245"/>
      <c r="D3535" s="245"/>
      <c r="E3535" s="245"/>
      <c r="F3535" s="245"/>
      <c r="G3535" s="245"/>
      <c r="H3535" s="245"/>
      <c r="I3535" s="245"/>
      <c r="J3535" s="245"/>
      <c r="K3535" s="245"/>
      <c r="L3535" s="246"/>
      <c r="M3535" s="245"/>
      <c r="N3535" s="245"/>
      <c r="O3535" s="245"/>
      <c r="P3535" s="245"/>
      <c r="Q3535" s="247"/>
      <c r="R3535" s="247"/>
      <c r="S3535" s="247"/>
      <c r="T3535" s="245"/>
      <c r="U3535" s="245"/>
      <c r="V3535" s="241"/>
      <c r="W3535" s="241"/>
      <c r="X3535" s="241"/>
    </row>
    <row r="3536" spans="1:24" ht="13.5" customHeight="1" x14ac:dyDescent="0.3">
      <c r="A3536" s="245"/>
      <c r="B3536" s="246"/>
      <c r="C3536" s="245"/>
      <c r="D3536" s="245"/>
      <c r="E3536" s="245"/>
      <c r="F3536" s="245"/>
      <c r="G3536" s="245"/>
      <c r="H3536" s="245"/>
      <c r="I3536" s="245"/>
      <c r="J3536" s="245"/>
      <c r="K3536" s="245"/>
      <c r="L3536" s="246"/>
      <c r="M3536" s="245"/>
      <c r="N3536" s="245"/>
      <c r="O3536" s="245"/>
      <c r="P3536" s="245"/>
      <c r="Q3536" s="247"/>
      <c r="R3536" s="247"/>
      <c r="S3536" s="247"/>
      <c r="T3536" s="245"/>
      <c r="U3536" s="245"/>
      <c r="V3536" s="241"/>
      <c r="W3536" s="241"/>
      <c r="X3536" s="241"/>
    </row>
    <row r="3537" spans="1:24" ht="13.5" customHeight="1" x14ac:dyDescent="0.3">
      <c r="A3537" s="245"/>
      <c r="B3537" s="246"/>
      <c r="C3537" s="245"/>
      <c r="D3537" s="245"/>
      <c r="E3537" s="245"/>
      <c r="F3537" s="245"/>
      <c r="G3537" s="245"/>
      <c r="H3537" s="245"/>
      <c r="I3537" s="245"/>
      <c r="J3537" s="245"/>
      <c r="K3537" s="245"/>
      <c r="L3537" s="246"/>
      <c r="M3537" s="245"/>
      <c r="N3537" s="245"/>
      <c r="O3537" s="245"/>
      <c r="P3537" s="245"/>
      <c r="Q3537" s="247"/>
      <c r="R3537" s="247"/>
      <c r="S3537" s="247"/>
      <c r="T3537" s="245"/>
      <c r="U3537" s="245"/>
      <c r="V3537" s="241"/>
      <c r="W3537" s="241"/>
      <c r="X3537" s="241"/>
    </row>
    <row r="3538" spans="1:24" ht="13.5" customHeight="1" x14ac:dyDescent="0.3">
      <c r="A3538" s="245"/>
      <c r="B3538" s="246"/>
      <c r="C3538" s="245"/>
      <c r="D3538" s="245"/>
      <c r="E3538" s="245"/>
      <c r="F3538" s="245"/>
      <c r="G3538" s="245"/>
      <c r="H3538" s="245"/>
      <c r="I3538" s="245"/>
      <c r="J3538" s="245"/>
      <c r="K3538" s="245"/>
      <c r="L3538" s="246"/>
      <c r="M3538" s="245"/>
      <c r="N3538" s="245"/>
      <c r="O3538" s="245"/>
      <c r="P3538" s="245"/>
      <c r="Q3538" s="247"/>
      <c r="R3538" s="247"/>
      <c r="S3538" s="247"/>
      <c r="T3538" s="245"/>
      <c r="U3538" s="245"/>
      <c r="V3538" s="241"/>
      <c r="W3538" s="241"/>
      <c r="X3538" s="241"/>
    </row>
    <row r="3539" spans="1:24" ht="13.5" customHeight="1" x14ac:dyDescent="0.3">
      <c r="A3539" s="245"/>
      <c r="B3539" s="246"/>
      <c r="C3539" s="245"/>
      <c r="D3539" s="245"/>
      <c r="E3539" s="245"/>
      <c r="F3539" s="245"/>
      <c r="G3539" s="245"/>
      <c r="H3539" s="245"/>
      <c r="I3539" s="245"/>
      <c r="J3539" s="245"/>
      <c r="K3539" s="245"/>
      <c r="L3539" s="246"/>
      <c r="M3539" s="245"/>
      <c r="N3539" s="245"/>
      <c r="O3539" s="245"/>
      <c r="P3539" s="245"/>
      <c r="Q3539" s="247"/>
      <c r="R3539" s="247"/>
      <c r="S3539" s="247"/>
      <c r="T3539" s="245"/>
      <c r="U3539" s="245"/>
      <c r="V3539" s="241"/>
      <c r="W3539" s="241"/>
      <c r="X3539" s="241"/>
    </row>
    <row r="3540" spans="1:24" ht="13.5" customHeight="1" x14ac:dyDescent="0.3">
      <c r="A3540" s="245"/>
      <c r="B3540" s="246"/>
      <c r="C3540" s="245"/>
      <c r="D3540" s="245"/>
      <c r="E3540" s="245"/>
      <c r="F3540" s="245"/>
      <c r="G3540" s="245"/>
      <c r="H3540" s="245"/>
      <c r="I3540" s="245"/>
      <c r="J3540" s="245"/>
      <c r="K3540" s="245"/>
      <c r="L3540" s="246"/>
      <c r="M3540" s="245"/>
      <c r="N3540" s="245"/>
      <c r="O3540" s="245"/>
      <c r="P3540" s="245"/>
      <c r="Q3540" s="247"/>
      <c r="R3540" s="247"/>
      <c r="S3540" s="247"/>
      <c r="T3540" s="245"/>
      <c r="U3540" s="245"/>
      <c r="V3540" s="241"/>
      <c r="W3540" s="241"/>
      <c r="X3540" s="241"/>
    </row>
    <row r="3541" spans="1:24" ht="13.5" customHeight="1" x14ac:dyDescent="0.3">
      <c r="A3541" s="245"/>
      <c r="B3541" s="246"/>
      <c r="C3541" s="245"/>
      <c r="D3541" s="245"/>
      <c r="E3541" s="245"/>
      <c r="F3541" s="245"/>
      <c r="G3541" s="245"/>
      <c r="H3541" s="245"/>
      <c r="I3541" s="245"/>
      <c r="J3541" s="245"/>
      <c r="K3541" s="245"/>
      <c r="L3541" s="246"/>
      <c r="M3541" s="245"/>
      <c r="N3541" s="245"/>
      <c r="O3541" s="245"/>
      <c r="P3541" s="245"/>
      <c r="Q3541" s="247"/>
      <c r="R3541" s="247"/>
      <c r="S3541" s="247"/>
      <c r="T3541" s="245"/>
      <c r="U3541" s="245"/>
      <c r="V3541" s="241"/>
      <c r="W3541" s="241"/>
      <c r="X3541" s="241"/>
    </row>
    <row r="3542" spans="1:24" ht="13.5" customHeight="1" x14ac:dyDescent="0.3">
      <c r="A3542" s="245"/>
      <c r="B3542" s="246"/>
      <c r="C3542" s="245"/>
      <c r="D3542" s="245"/>
      <c r="E3542" s="245"/>
      <c r="F3542" s="245"/>
      <c r="G3542" s="245"/>
      <c r="H3542" s="245"/>
      <c r="I3542" s="245"/>
      <c r="J3542" s="245"/>
      <c r="K3542" s="245"/>
      <c r="L3542" s="246"/>
      <c r="M3542" s="245"/>
      <c r="N3542" s="245"/>
      <c r="O3542" s="245"/>
      <c r="P3542" s="245"/>
      <c r="Q3542" s="247"/>
      <c r="R3542" s="247"/>
      <c r="S3542" s="247"/>
      <c r="T3542" s="245"/>
      <c r="U3542" s="245"/>
      <c r="V3542" s="241"/>
      <c r="W3542" s="241"/>
      <c r="X3542" s="241"/>
    </row>
    <row r="3543" spans="1:24" ht="13.5" customHeight="1" x14ac:dyDescent="0.3">
      <c r="A3543" s="245"/>
      <c r="B3543" s="246"/>
      <c r="C3543" s="245"/>
      <c r="D3543" s="245"/>
      <c r="E3543" s="245"/>
      <c r="F3543" s="245"/>
      <c r="G3543" s="245"/>
      <c r="H3543" s="245"/>
      <c r="I3543" s="245"/>
      <c r="J3543" s="245"/>
      <c r="K3543" s="245"/>
      <c r="L3543" s="246"/>
      <c r="M3543" s="245"/>
      <c r="N3543" s="245"/>
      <c r="O3543" s="245"/>
      <c r="P3543" s="245"/>
      <c r="Q3543" s="247"/>
      <c r="R3543" s="247"/>
      <c r="S3543" s="247"/>
      <c r="T3543" s="245"/>
      <c r="U3543" s="245"/>
      <c r="V3543" s="241"/>
      <c r="W3543" s="241"/>
      <c r="X3543" s="241"/>
    </row>
    <row r="3544" spans="1:24" ht="13.5" customHeight="1" x14ac:dyDescent="0.3">
      <c r="A3544" s="245"/>
      <c r="B3544" s="246"/>
      <c r="C3544" s="245"/>
      <c r="D3544" s="245"/>
      <c r="E3544" s="245"/>
      <c r="F3544" s="245"/>
      <c r="G3544" s="245"/>
      <c r="H3544" s="245"/>
      <c r="I3544" s="245"/>
      <c r="J3544" s="245"/>
      <c r="K3544" s="245"/>
      <c r="L3544" s="246"/>
      <c r="M3544" s="245"/>
      <c r="N3544" s="245"/>
      <c r="O3544" s="245"/>
      <c r="P3544" s="245"/>
      <c r="Q3544" s="247"/>
      <c r="R3544" s="247"/>
      <c r="S3544" s="247"/>
      <c r="T3544" s="245"/>
      <c r="U3544" s="245"/>
      <c r="V3544" s="241"/>
      <c r="W3544" s="241"/>
      <c r="X3544" s="241"/>
    </row>
    <row r="3545" spans="1:24" ht="13.5" customHeight="1" x14ac:dyDescent="0.3">
      <c r="A3545" s="245"/>
      <c r="B3545" s="246"/>
      <c r="C3545" s="245"/>
      <c r="D3545" s="245"/>
      <c r="E3545" s="245"/>
      <c r="F3545" s="245"/>
      <c r="G3545" s="245"/>
      <c r="H3545" s="245"/>
      <c r="I3545" s="245"/>
      <c r="J3545" s="245"/>
      <c r="K3545" s="245"/>
      <c r="L3545" s="246"/>
      <c r="M3545" s="245"/>
      <c r="N3545" s="245"/>
      <c r="O3545" s="245"/>
      <c r="P3545" s="245"/>
      <c r="Q3545" s="247"/>
      <c r="R3545" s="247"/>
      <c r="S3545" s="247"/>
      <c r="T3545" s="245"/>
      <c r="U3545" s="245"/>
      <c r="V3545" s="241"/>
      <c r="W3545" s="241"/>
      <c r="X3545" s="241"/>
    </row>
    <row r="3546" spans="1:24" ht="13.5" customHeight="1" x14ac:dyDescent="0.3">
      <c r="A3546" s="245"/>
      <c r="B3546" s="246"/>
      <c r="C3546" s="245"/>
      <c r="D3546" s="245"/>
      <c r="E3546" s="245"/>
      <c r="F3546" s="245"/>
      <c r="G3546" s="245"/>
      <c r="H3546" s="245"/>
      <c r="I3546" s="245"/>
      <c r="J3546" s="245"/>
      <c r="K3546" s="245"/>
      <c r="L3546" s="246"/>
      <c r="M3546" s="245"/>
      <c r="N3546" s="245"/>
      <c r="O3546" s="245"/>
      <c r="P3546" s="245"/>
      <c r="Q3546" s="247"/>
      <c r="R3546" s="247"/>
      <c r="S3546" s="247"/>
      <c r="T3546" s="245"/>
      <c r="U3546" s="245"/>
      <c r="V3546" s="241"/>
      <c r="W3546" s="241"/>
      <c r="X3546" s="241"/>
    </row>
    <row r="3547" spans="1:24" ht="13.5" customHeight="1" x14ac:dyDescent="0.3">
      <c r="A3547" s="245"/>
      <c r="B3547" s="246"/>
      <c r="C3547" s="245"/>
      <c r="D3547" s="245"/>
      <c r="E3547" s="245"/>
      <c r="F3547" s="245"/>
      <c r="G3547" s="245"/>
      <c r="H3547" s="245"/>
      <c r="I3547" s="245"/>
      <c r="J3547" s="245"/>
      <c r="K3547" s="245"/>
      <c r="L3547" s="246"/>
      <c r="M3547" s="245"/>
      <c r="N3547" s="245"/>
      <c r="O3547" s="245"/>
      <c r="P3547" s="245"/>
      <c r="Q3547" s="247"/>
      <c r="R3547" s="247"/>
      <c r="S3547" s="247"/>
      <c r="T3547" s="245"/>
      <c r="U3547" s="245"/>
      <c r="V3547" s="241"/>
      <c r="W3547" s="241"/>
      <c r="X3547" s="241"/>
    </row>
    <row r="3548" spans="1:24" ht="13.5" customHeight="1" x14ac:dyDescent="0.3">
      <c r="A3548" s="245"/>
      <c r="B3548" s="246"/>
      <c r="C3548" s="245"/>
      <c r="D3548" s="245"/>
      <c r="E3548" s="245"/>
      <c r="F3548" s="245"/>
      <c r="G3548" s="245"/>
      <c r="H3548" s="245"/>
      <c r="I3548" s="245"/>
      <c r="J3548" s="245"/>
      <c r="K3548" s="245"/>
      <c r="L3548" s="246"/>
      <c r="M3548" s="245"/>
      <c r="N3548" s="245"/>
      <c r="O3548" s="245"/>
      <c r="P3548" s="245"/>
      <c r="Q3548" s="247"/>
      <c r="R3548" s="247"/>
      <c r="S3548" s="247"/>
      <c r="T3548" s="245"/>
      <c r="U3548" s="245"/>
      <c r="V3548" s="241"/>
      <c r="W3548" s="241"/>
      <c r="X3548" s="241"/>
    </row>
    <row r="3549" spans="1:24" ht="13.5" customHeight="1" x14ac:dyDescent="0.3">
      <c r="A3549" s="245"/>
      <c r="B3549" s="246"/>
      <c r="C3549" s="245"/>
      <c r="D3549" s="245"/>
      <c r="E3549" s="245"/>
      <c r="F3549" s="245"/>
      <c r="G3549" s="245"/>
      <c r="H3549" s="245"/>
      <c r="I3549" s="245"/>
      <c r="J3549" s="245"/>
      <c r="K3549" s="245"/>
      <c r="L3549" s="246"/>
      <c r="M3549" s="245"/>
      <c r="N3549" s="245"/>
      <c r="O3549" s="245"/>
      <c r="P3549" s="245"/>
      <c r="Q3549" s="247"/>
      <c r="R3549" s="247"/>
      <c r="S3549" s="247"/>
      <c r="T3549" s="245"/>
      <c r="U3549" s="245"/>
      <c r="V3549" s="241"/>
      <c r="W3549" s="241"/>
      <c r="X3549" s="241"/>
    </row>
    <row r="3550" spans="1:24" ht="13.5" customHeight="1" x14ac:dyDescent="0.3">
      <c r="A3550" s="245"/>
      <c r="B3550" s="246"/>
      <c r="C3550" s="245"/>
      <c r="D3550" s="245"/>
      <c r="E3550" s="245"/>
      <c r="F3550" s="245"/>
      <c r="G3550" s="245"/>
      <c r="H3550" s="245"/>
      <c r="I3550" s="245"/>
      <c r="J3550" s="245"/>
      <c r="K3550" s="245"/>
      <c r="L3550" s="246"/>
      <c r="M3550" s="245"/>
      <c r="N3550" s="245"/>
      <c r="O3550" s="245"/>
      <c r="P3550" s="245"/>
      <c r="Q3550" s="247"/>
      <c r="R3550" s="247"/>
      <c r="S3550" s="247"/>
      <c r="T3550" s="245"/>
      <c r="U3550" s="245"/>
      <c r="V3550" s="241"/>
      <c r="W3550" s="241"/>
      <c r="X3550" s="241"/>
    </row>
    <row r="3551" spans="1:24" ht="13.5" customHeight="1" x14ac:dyDescent="0.3">
      <c r="A3551" s="245"/>
      <c r="B3551" s="246"/>
      <c r="C3551" s="245"/>
      <c r="D3551" s="245"/>
      <c r="E3551" s="245"/>
      <c r="F3551" s="245"/>
      <c r="G3551" s="245"/>
      <c r="H3551" s="245"/>
      <c r="I3551" s="245"/>
      <c r="J3551" s="245"/>
      <c r="K3551" s="245"/>
      <c r="L3551" s="246"/>
      <c r="M3551" s="245"/>
      <c r="N3551" s="245"/>
      <c r="O3551" s="245"/>
      <c r="P3551" s="245"/>
      <c r="Q3551" s="247"/>
      <c r="R3551" s="247"/>
      <c r="S3551" s="247"/>
      <c r="T3551" s="245"/>
      <c r="U3551" s="245"/>
      <c r="V3551" s="241"/>
      <c r="W3551" s="241"/>
      <c r="X3551" s="241"/>
    </row>
    <row r="3552" spans="1:24" ht="13.5" customHeight="1" x14ac:dyDescent="0.3">
      <c r="A3552" s="245"/>
      <c r="B3552" s="246"/>
      <c r="C3552" s="245"/>
      <c r="D3552" s="245"/>
      <c r="E3552" s="245"/>
      <c r="F3552" s="245"/>
      <c r="G3552" s="245"/>
      <c r="H3552" s="245"/>
      <c r="I3552" s="245"/>
      <c r="J3552" s="245"/>
      <c r="K3552" s="245"/>
      <c r="L3552" s="246"/>
      <c r="M3552" s="245"/>
      <c r="N3552" s="245"/>
      <c r="O3552" s="245"/>
      <c r="P3552" s="245"/>
      <c r="Q3552" s="247"/>
      <c r="R3552" s="247"/>
      <c r="S3552" s="247"/>
      <c r="T3552" s="245"/>
      <c r="U3552" s="245"/>
      <c r="V3552" s="241"/>
      <c r="W3552" s="241"/>
      <c r="X3552" s="241"/>
    </row>
    <row r="3553" spans="1:24" ht="13.5" customHeight="1" x14ac:dyDescent="0.3">
      <c r="A3553" s="245"/>
      <c r="B3553" s="246"/>
      <c r="C3553" s="245"/>
      <c r="D3553" s="245"/>
      <c r="E3553" s="245"/>
      <c r="F3553" s="245"/>
      <c r="G3553" s="245"/>
      <c r="H3553" s="245"/>
      <c r="I3553" s="245"/>
      <c r="J3553" s="245"/>
      <c r="K3553" s="245"/>
      <c r="L3553" s="246"/>
      <c r="M3553" s="245"/>
      <c r="N3553" s="245"/>
      <c r="O3553" s="245"/>
      <c r="P3553" s="245"/>
      <c r="Q3553" s="247"/>
      <c r="R3553" s="247"/>
      <c r="S3553" s="247"/>
      <c r="T3553" s="245"/>
      <c r="U3553" s="245"/>
      <c r="V3553" s="241"/>
      <c r="W3553" s="241"/>
      <c r="X3553" s="241"/>
    </row>
    <row r="3554" spans="1:24" ht="13.5" customHeight="1" x14ac:dyDescent="0.3">
      <c r="A3554" s="245"/>
      <c r="B3554" s="246"/>
      <c r="C3554" s="245"/>
      <c r="D3554" s="245"/>
      <c r="E3554" s="245"/>
      <c r="F3554" s="245"/>
      <c r="G3554" s="245"/>
      <c r="H3554" s="245"/>
      <c r="I3554" s="245"/>
      <c r="J3554" s="245"/>
      <c r="K3554" s="245"/>
      <c r="L3554" s="246"/>
      <c r="M3554" s="245"/>
      <c r="N3554" s="245"/>
      <c r="O3554" s="245"/>
      <c r="P3554" s="245"/>
      <c r="Q3554" s="247"/>
      <c r="R3554" s="247"/>
      <c r="S3554" s="247"/>
      <c r="T3554" s="245"/>
      <c r="U3554" s="245"/>
      <c r="V3554" s="241"/>
      <c r="W3554" s="241"/>
      <c r="X3554" s="241"/>
    </row>
    <row r="3555" spans="1:24" ht="13.5" customHeight="1" x14ac:dyDescent="0.3">
      <c r="A3555" s="245"/>
      <c r="B3555" s="246"/>
      <c r="C3555" s="245"/>
      <c r="D3555" s="245"/>
      <c r="E3555" s="245"/>
      <c r="F3555" s="245"/>
      <c r="G3555" s="245"/>
      <c r="H3555" s="245"/>
      <c r="I3555" s="245"/>
      <c r="J3555" s="245"/>
      <c r="K3555" s="245"/>
      <c r="L3555" s="246"/>
      <c r="M3555" s="245"/>
      <c r="N3555" s="245"/>
      <c r="O3555" s="245"/>
      <c r="P3555" s="245"/>
      <c r="Q3555" s="247"/>
      <c r="R3555" s="247"/>
      <c r="S3555" s="247"/>
      <c r="T3555" s="245"/>
      <c r="U3555" s="245"/>
      <c r="V3555" s="241"/>
      <c r="W3555" s="241"/>
      <c r="X3555" s="241"/>
    </row>
    <row r="3556" spans="1:24" ht="13.5" customHeight="1" x14ac:dyDescent="0.3">
      <c r="A3556" s="245"/>
      <c r="B3556" s="246"/>
      <c r="C3556" s="245"/>
      <c r="D3556" s="245"/>
      <c r="E3556" s="245"/>
      <c r="F3556" s="245"/>
      <c r="G3556" s="245"/>
      <c r="H3556" s="245"/>
      <c r="I3556" s="245"/>
      <c r="J3556" s="245"/>
      <c r="K3556" s="245"/>
      <c r="L3556" s="246"/>
      <c r="M3556" s="245"/>
      <c r="N3556" s="245"/>
      <c r="O3556" s="245"/>
      <c r="P3556" s="245"/>
      <c r="Q3556" s="247"/>
      <c r="R3556" s="247"/>
      <c r="S3556" s="247"/>
      <c r="T3556" s="245"/>
      <c r="U3556" s="245"/>
      <c r="V3556" s="241"/>
      <c r="W3556" s="241"/>
      <c r="X3556" s="241"/>
    </row>
    <row r="3557" spans="1:24" ht="13.5" customHeight="1" x14ac:dyDescent="0.3">
      <c r="A3557" s="245"/>
      <c r="B3557" s="246"/>
      <c r="C3557" s="245"/>
      <c r="D3557" s="245"/>
      <c r="E3557" s="245"/>
      <c r="F3557" s="245"/>
      <c r="G3557" s="245"/>
      <c r="H3557" s="245"/>
      <c r="I3557" s="245"/>
      <c r="J3557" s="245"/>
      <c r="K3557" s="245"/>
      <c r="L3557" s="246"/>
      <c r="M3557" s="245"/>
      <c r="N3557" s="245"/>
      <c r="O3557" s="245"/>
      <c r="P3557" s="245"/>
      <c r="Q3557" s="247"/>
      <c r="R3557" s="247"/>
      <c r="S3557" s="247"/>
      <c r="T3557" s="245"/>
      <c r="U3557" s="245"/>
      <c r="V3557" s="241"/>
      <c r="W3557" s="241"/>
      <c r="X3557" s="241"/>
    </row>
    <row r="3558" spans="1:24" ht="13.5" customHeight="1" x14ac:dyDescent="0.3">
      <c r="A3558" s="245"/>
      <c r="B3558" s="246"/>
      <c r="C3558" s="245"/>
      <c r="D3558" s="245"/>
      <c r="E3558" s="245"/>
      <c r="F3558" s="245"/>
      <c r="G3558" s="245"/>
      <c r="H3558" s="245"/>
      <c r="I3558" s="245"/>
      <c r="J3558" s="245"/>
      <c r="K3558" s="245"/>
      <c r="L3558" s="246"/>
      <c r="M3558" s="245"/>
      <c r="N3558" s="245"/>
      <c r="O3558" s="245"/>
      <c r="P3558" s="245"/>
      <c r="Q3558" s="247"/>
      <c r="R3558" s="247"/>
      <c r="S3558" s="247"/>
      <c r="T3558" s="245"/>
      <c r="U3558" s="245"/>
      <c r="V3558" s="241"/>
      <c r="W3558" s="241"/>
      <c r="X3558" s="241"/>
    </row>
    <row r="3559" spans="1:24" ht="13.5" customHeight="1" x14ac:dyDescent="0.3">
      <c r="A3559" s="245"/>
      <c r="B3559" s="246"/>
      <c r="C3559" s="245"/>
      <c r="D3559" s="245"/>
      <c r="E3559" s="245"/>
      <c r="F3559" s="245"/>
      <c r="G3559" s="245"/>
      <c r="H3559" s="245"/>
      <c r="I3559" s="245"/>
      <c r="J3559" s="245"/>
      <c r="K3559" s="245"/>
      <c r="L3559" s="246"/>
      <c r="M3559" s="245"/>
      <c r="N3559" s="245"/>
      <c r="O3559" s="245"/>
      <c r="P3559" s="245"/>
      <c r="Q3559" s="247"/>
      <c r="R3559" s="247"/>
      <c r="S3559" s="247"/>
      <c r="T3559" s="245"/>
      <c r="U3559" s="245"/>
      <c r="V3559" s="241"/>
      <c r="W3559" s="241"/>
      <c r="X3559" s="241"/>
    </row>
    <row r="3560" spans="1:24" ht="13.5" customHeight="1" x14ac:dyDescent="0.3">
      <c r="A3560" s="245"/>
      <c r="B3560" s="246"/>
      <c r="C3560" s="245"/>
      <c r="D3560" s="245"/>
      <c r="E3560" s="245"/>
      <c r="F3560" s="245"/>
      <c r="G3560" s="245"/>
      <c r="H3560" s="245"/>
      <c r="I3560" s="245"/>
      <c r="J3560" s="245"/>
      <c r="K3560" s="245"/>
      <c r="L3560" s="246"/>
      <c r="M3560" s="245"/>
      <c r="N3560" s="245"/>
      <c r="O3560" s="245"/>
      <c r="P3560" s="245"/>
      <c r="Q3560" s="247"/>
      <c r="R3560" s="247"/>
      <c r="S3560" s="247"/>
      <c r="T3560" s="245"/>
      <c r="U3560" s="245"/>
      <c r="V3560" s="241"/>
      <c r="W3560" s="241"/>
      <c r="X3560" s="241"/>
    </row>
    <row r="3561" spans="1:24" ht="13.5" customHeight="1" x14ac:dyDescent="0.3">
      <c r="A3561" s="245"/>
      <c r="B3561" s="246"/>
      <c r="C3561" s="245"/>
      <c r="D3561" s="245"/>
      <c r="E3561" s="245"/>
      <c r="F3561" s="245"/>
      <c r="G3561" s="245"/>
      <c r="H3561" s="245"/>
      <c r="I3561" s="245"/>
      <c r="J3561" s="245"/>
      <c r="K3561" s="245"/>
      <c r="L3561" s="246"/>
      <c r="M3561" s="245"/>
      <c r="N3561" s="245"/>
      <c r="O3561" s="245"/>
      <c r="P3561" s="245"/>
      <c r="Q3561" s="247"/>
      <c r="R3561" s="247"/>
      <c r="S3561" s="247"/>
      <c r="T3561" s="245"/>
      <c r="U3561" s="245"/>
      <c r="V3561" s="241"/>
      <c r="W3561" s="241"/>
      <c r="X3561" s="241"/>
    </row>
    <row r="3562" spans="1:24" ht="13.5" customHeight="1" x14ac:dyDescent="0.3">
      <c r="A3562" s="245"/>
      <c r="B3562" s="246"/>
      <c r="C3562" s="245"/>
      <c r="D3562" s="245"/>
      <c r="E3562" s="245"/>
      <c r="F3562" s="245"/>
      <c r="G3562" s="245"/>
      <c r="H3562" s="245"/>
      <c r="I3562" s="245"/>
      <c r="J3562" s="245"/>
      <c r="K3562" s="245"/>
      <c r="L3562" s="246"/>
      <c r="M3562" s="245"/>
      <c r="N3562" s="245"/>
      <c r="O3562" s="245"/>
      <c r="P3562" s="245"/>
      <c r="Q3562" s="247"/>
      <c r="R3562" s="247"/>
      <c r="S3562" s="247"/>
      <c r="T3562" s="245"/>
      <c r="U3562" s="245"/>
      <c r="V3562" s="241"/>
      <c r="W3562" s="241"/>
      <c r="X3562" s="241"/>
    </row>
    <row r="3563" spans="1:24" ht="13.5" customHeight="1" x14ac:dyDescent="0.3">
      <c r="A3563" s="245"/>
      <c r="B3563" s="246"/>
      <c r="C3563" s="245"/>
      <c r="D3563" s="245"/>
      <c r="E3563" s="245"/>
      <c r="F3563" s="245"/>
      <c r="G3563" s="245"/>
      <c r="H3563" s="245"/>
      <c r="I3563" s="245"/>
      <c r="J3563" s="245"/>
      <c r="K3563" s="245"/>
      <c r="L3563" s="246"/>
      <c r="M3563" s="245"/>
      <c r="N3563" s="245"/>
      <c r="O3563" s="245"/>
      <c r="P3563" s="245"/>
      <c r="Q3563" s="247"/>
      <c r="R3563" s="247"/>
      <c r="S3563" s="247"/>
      <c r="T3563" s="245"/>
      <c r="U3563" s="245"/>
      <c r="V3563" s="241"/>
      <c r="W3563" s="241"/>
      <c r="X3563" s="241"/>
    </row>
    <row r="3564" spans="1:24" ht="13.5" customHeight="1" x14ac:dyDescent="0.3">
      <c r="A3564" s="245"/>
      <c r="B3564" s="246"/>
      <c r="C3564" s="245"/>
      <c r="D3564" s="245"/>
      <c r="E3564" s="245"/>
      <c r="F3564" s="245"/>
      <c r="G3564" s="245"/>
      <c r="H3564" s="245"/>
      <c r="I3564" s="245"/>
      <c r="J3564" s="245"/>
      <c r="K3564" s="245"/>
      <c r="L3564" s="246"/>
      <c r="M3564" s="245"/>
      <c r="N3564" s="245"/>
      <c r="O3564" s="245"/>
      <c r="P3564" s="245"/>
      <c r="Q3564" s="247"/>
      <c r="R3564" s="247"/>
      <c r="S3564" s="247"/>
      <c r="T3564" s="245"/>
      <c r="U3564" s="245"/>
      <c r="V3564" s="241"/>
      <c r="W3564" s="241"/>
      <c r="X3564" s="241"/>
    </row>
    <row r="3565" spans="1:24" ht="13.5" customHeight="1" x14ac:dyDescent="0.3">
      <c r="A3565" s="245"/>
      <c r="B3565" s="246"/>
      <c r="C3565" s="245"/>
      <c r="D3565" s="245"/>
      <c r="E3565" s="245"/>
      <c r="F3565" s="245"/>
      <c r="G3565" s="245"/>
      <c r="H3565" s="245"/>
      <c r="I3565" s="245"/>
      <c r="J3565" s="245"/>
      <c r="K3565" s="245"/>
      <c r="L3565" s="246"/>
      <c r="M3565" s="245"/>
      <c r="N3565" s="245"/>
      <c r="O3565" s="245"/>
      <c r="P3565" s="245"/>
      <c r="Q3565" s="247"/>
      <c r="R3565" s="247"/>
      <c r="S3565" s="247"/>
      <c r="T3565" s="245"/>
      <c r="U3565" s="245"/>
      <c r="V3565" s="241"/>
      <c r="W3565" s="241"/>
      <c r="X3565" s="241"/>
    </row>
    <row r="3566" spans="1:24" ht="13.5" customHeight="1" x14ac:dyDescent="0.3">
      <c r="A3566" s="245"/>
      <c r="B3566" s="246"/>
      <c r="C3566" s="245"/>
      <c r="D3566" s="245"/>
      <c r="E3566" s="245"/>
      <c r="F3566" s="245"/>
      <c r="G3566" s="245"/>
      <c r="H3566" s="245"/>
      <c r="I3566" s="245"/>
      <c r="J3566" s="245"/>
      <c r="K3566" s="245"/>
      <c r="L3566" s="246"/>
      <c r="M3566" s="245"/>
      <c r="N3566" s="245"/>
      <c r="O3566" s="245"/>
      <c r="P3566" s="245"/>
      <c r="Q3566" s="247"/>
      <c r="R3566" s="247"/>
      <c r="S3566" s="247"/>
      <c r="T3566" s="245"/>
      <c r="U3566" s="245"/>
      <c r="V3566" s="241"/>
      <c r="W3566" s="241"/>
      <c r="X3566" s="241"/>
    </row>
    <row r="3567" spans="1:24" ht="13.5" customHeight="1" x14ac:dyDescent="0.3">
      <c r="A3567" s="245"/>
      <c r="B3567" s="246"/>
      <c r="C3567" s="245"/>
      <c r="D3567" s="245"/>
      <c r="E3567" s="245"/>
      <c r="F3567" s="245"/>
      <c r="G3567" s="245"/>
      <c r="H3567" s="245"/>
      <c r="I3567" s="245"/>
      <c r="J3567" s="245"/>
      <c r="K3567" s="245"/>
      <c r="L3567" s="246"/>
      <c r="M3567" s="245"/>
      <c r="N3567" s="245"/>
      <c r="O3567" s="245"/>
      <c r="P3567" s="245"/>
      <c r="Q3567" s="247"/>
      <c r="R3567" s="247"/>
      <c r="S3567" s="247"/>
      <c r="T3567" s="245"/>
      <c r="U3567" s="245"/>
      <c r="V3567" s="241"/>
      <c r="W3567" s="241"/>
      <c r="X3567" s="241"/>
    </row>
    <row r="3568" spans="1:24" ht="13.5" customHeight="1" x14ac:dyDescent="0.3">
      <c r="A3568" s="245"/>
      <c r="B3568" s="246"/>
      <c r="C3568" s="245"/>
      <c r="D3568" s="245"/>
      <c r="E3568" s="245"/>
      <c r="F3568" s="245"/>
      <c r="G3568" s="245"/>
      <c r="H3568" s="245"/>
      <c r="I3568" s="245"/>
      <c r="J3568" s="245"/>
      <c r="K3568" s="245"/>
      <c r="L3568" s="246"/>
      <c r="M3568" s="245"/>
      <c r="N3568" s="245"/>
      <c r="O3568" s="245"/>
      <c r="P3568" s="245"/>
      <c r="Q3568" s="247"/>
      <c r="R3568" s="247"/>
      <c r="S3568" s="247"/>
      <c r="T3568" s="245"/>
      <c r="U3568" s="245"/>
      <c r="V3568" s="241"/>
      <c r="W3568" s="241"/>
      <c r="X3568" s="241"/>
    </row>
    <row r="3569" spans="1:24" ht="13.5" customHeight="1" x14ac:dyDescent="0.3">
      <c r="A3569" s="245"/>
      <c r="B3569" s="246"/>
      <c r="C3569" s="245"/>
      <c r="D3569" s="245"/>
      <c r="E3569" s="245"/>
      <c r="F3569" s="245"/>
      <c r="G3569" s="245"/>
      <c r="H3569" s="245"/>
      <c r="I3569" s="245"/>
      <c r="J3569" s="245"/>
      <c r="K3569" s="245"/>
      <c r="L3569" s="246"/>
      <c r="M3569" s="245"/>
      <c r="N3569" s="245"/>
      <c r="O3569" s="245"/>
      <c r="P3569" s="245"/>
      <c r="Q3569" s="247"/>
      <c r="R3569" s="247"/>
      <c r="S3569" s="247"/>
      <c r="T3569" s="245"/>
      <c r="U3569" s="245"/>
      <c r="V3569" s="241"/>
      <c r="W3569" s="241"/>
      <c r="X3569" s="241"/>
    </row>
    <row r="3570" spans="1:24" ht="13.5" customHeight="1" x14ac:dyDescent="0.3">
      <c r="A3570" s="245"/>
      <c r="B3570" s="246"/>
      <c r="C3570" s="245"/>
      <c r="D3570" s="245"/>
      <c r="E3570" s="245"/>
      <c r="F3570" s="245"/>
      <c r="G3570" s="245"/>
      <c r="H3570" s="245"/>
      <c r="I3570" s="245"/>
      <c r="J3570" s="245"/>
      <c r="K3570" s="245"/>
      <c r="L3570" s="246"/>
      <c r="M3570" s="245"/>
      <c r="N3570" s="245"/>
      <c r="O3570" s="245"/>
      <c r="P3570" s="245"/>
      <c r="Q3570" s="247"/>
      <c r="R3570" s="247"/>
      <c r="S3570" s="247"/>
      <c r="T3570" s="245"/>
      <c r="U3570" s="245"/>
      <c r="V3570" s="241"/>
      <c r="W3570" s="241"/>
      <c r="X3570" s="241"/>
    </row>
    <row r="3571" spans="1:24" ht="13.5" customHeight="1" x14ac:dyDescent="0.3">
      <c r="A3571" s="245"/>
      <c r="B3571" s="246"/>
      <c r="C3571" s="245"/>
      <c r="D3571" s="245"/>
      <c r="E3571" s="245"/>
      <c r="F3571" s="245"/>
      <c r="G3571" s="245"/>
      <c r="H3571" s="245"/>
      <c r="I3571" s="245"/>
      <c r="J3571" s="245"/>
      <c r="K3571" s="245"/>
      <c r="L3571" s="246"/>
      <c r="M3571" s="245"/>
      <c r="N3571" s="245"/>
      <c r="O3571" s="245"/>
      <c r="P3571" s="245"/>
      <c r="Q3571" s="247"/>
      <c r="R3571" s="247"/>
      <c r="S3571" s="247"/>
      <c r="T3571" s="245"/>
      <c r="U3571" s="245"/>
      <c r="V3571" s="241"/>
      <c r="W3571" s="241"/>
      <c r="X3571" s="241"/>
    </row>
    <row r="3572" spans="1:24" ht="13.5" customHeight="1" x14ac:dyDescent="0.3">
      <c r="A3572" s="245"/>
      <c r="B3572" s="246"/>
      <c r="C3572" s="245"/>
      <c r="D3572" s="245"/>
      <c r="E3572" s="245"/>
      <c r="F3572" s="245"/>
      <c r="G3572" s="245"/>
      <c r="H3572" s="245"/>
      <c r="I3572" s="245"/>
      <c r="J3572" s="245"/>
      <c r="K3572" s="245"/>
      <c r="L3572" s="246"/>
      <c r="M3572" s="245"/>
      <c r="N3572" s="245"/>
      <c r="O3572" s="245"/>
      <c r="P3572" s="245"/>
      <c r="Q3572" s="247"/>
      <c r="R3572" s="247"/>
      <c r="S3572" s="247"/>
      <c r="T3572" s="245"/>
      <c r="U3572" s="245"/>
      <c r="V3572" s="241"/>
      <c r="W3572" s="241"/>
      <c r="X3572" s="241"/>
    </row>
    <row r="3573" spans="1:24" ht="13.5" customHeight="1" x14ac:dyDescent="0.3">
      <c r="A3573" s="245"/>
      <c r="B3573" s="246"/>
      <c r="C3573" s="245"/>
      <c r="D3573" s="245"/>
      <c r="E3573" s="245"/>
      <c r="F3573" s="245"/>
      <c r="G3573" s="245"/>
      <c r="H3573" s="245"/>
      <c r="I3573" s="245"/>
      <c r="J3573" s="245"/>
      <c r="K3573" s="245"/>
      <c r="L3573" s="246"/>
      <c r="M3573" s="245"/>
      <c r="N3573" s="245"/>
      <c r="O3573" s="245"/>
      <c r="P3573" s="245"/>
      <c r="Q3573" s="247"/>
      <c r="R3573" s="247"/>
      <c r="S3573" s="247"/>
      <c r="T3573" s="245"/>
      <c r="U3573" s="245"/>
      <c r="V3573" s="241"/>
      <c r="W3573" s="241"/>
      <c r="X3573" s="241"/>
    </row>
    <row r="3574" spans="1:24" ht="13.5" customHeight="1" x14ac:dyDescent="0.3">
      <c r="A3574" s="245"/>
      <c r="B3574" s="246"/>
      <c r="C3574" s="245"/>
      <c r="D3574" s="245"/>
      <c r="E3574" s="245"/>
      <c r="F3574" s="245"/>
      <c r="G3574" s="245"/>
      <c r="H3574" s="245"/>
      <c r="I3574" s="245"/>
      <c r="J3574" s="245"/>
      <c r="K3574" s="245"/>
      <c r="L3574" s="246"/>
      <c r="M3574" s="245"/>
      <c r="N3574" s="245"/>
      <c r="O3574" s="245"/>
      <c r="P3574" s="245"/>
      <c r="Q3574" s="247"/>
      <c r="R3574" s="247"/>
      <c r="S3574" s="247"/>
      <c r="T3574" s="245"/>
      <c r="U3574" s="245"/>
      <c r="V3574" s="241"/>
      <c r="W3574" s="241"/>
      <c r="X3574" s="241"/>
    </row>
    <row r="3575" spans="1:24" ht="13.5" customHeight="1" x14ac:dyDescent="0.3">
      <c r="A3575" s="245"/>
      <c r="B3575" s="246"/>
      <c r="C3575" s="245"/>
      <c r="D3575" s="245"/>
      <c r="E3575" s="245"/>
      <c r="F3575" s="245"/>
      <c r="G3575" s="245"/>
      <c r="H3575" s="245"/>
      <c r="I3575" s="245"/>
      <c r="J3575" s="245"/>
      <c r="K3575" s="245"/>
      <c r="L3575" s="246"/>
      <c r="M3575" s="245"/>
      <c r="N3575" s="245"/>
      <c r="O3575" s="245"/>
      <c r="P3575" s="245"/>
      <c r="Q3575" s="247"/>
      <c r="R3575" s="247"/>
      <c r="S3575" s="247"/>
      <c r="T3575" s="245"/>
      <c r="U3575" s="245"/>
      <c r="V3575" s="241"/>
      <c r="W3575" s="241"/>
      <c r="X3575" s="241"/>
    </row>
    <row r="3576" spans="1:24" ht="13.5" customHeight="1" x14ac:dyDescent="0.3">
      <c r="A3576" s="245"/>
      <c r="B3576" s="246"/>
      <c r="C3576" s="245"/>
      <c r="D3576" s="245"/>
      <c r="E3576" s="245"/>
      <c r="F3576" s="245"/>
      <c r="G3576" s="245"/>
      <c r="H3576" s="245"/>
      <c r="I3576" s="245"/>
      <c r="J3576" s="245"/>
      <c r="K3576" s="245"/>
      <c r="L3576" s="246"/>
      <c r="M3576" s="245"/>
      <c r="N3576" s="245"/>
      <c r="O3576" s="245"/>
      <c r="P3576" s="245"/>
      <c r="Q3576" s="247"/>
      <c r="R3576" s="247"/>
      <c r="S3576" s="247"/>
      <c r="T3576" s="245"/>
      <c r="U3576" s="245"/>
      <c r="V3576" s="241"/>
      <c r="W3576" s="241"/>
      <c r="X3576" s="241"/>
    </row>
    <row r="3577" spans="1:24" ht="13.5" customHeight="1" x14ac:dyDescent="0.3">
      <c r="A3577" s="245"/>
      <c r="B3577" s="246"/>
      <c r="C3577" s="245"/>
      <c r="D3577" s="245"/>
      <c r="E3577" s="245"/>
      <c r="F3577" s="245"/>
      <c r="G3577" s="245"/>
      <c r="H3577" s="245"/>
      <c r="I3577" s="245"/>
      <c r="J3577" s="245"/>
      <c r="K3577" s="245"/>
      <c r="L3577" s="246"/>
      <c r="M3577" s="245"/>
      <c r="N3577" s="245"/>
      <c r="O3577" s="245"/>
      <c r="P3577" s="245"/>
      <c r="Q3577" s="247"/>
      <c r="R3577" s="247"/>
      <c r="S3577" s="247"/>
      <c r="T3577" s="245"/>
      <c r="U3577" s="245"/>
      <c r="V3577" s="241"/>
      <c r="W3577" s="241"/>
      <c r="X3577" s="241"/>
    </row>
    <row r="3578" spans="1:24" ht="13.5" customHeight="1" x14ac:dyDescent="0.3">
      <c r="A3578" s="245"/>
      <c r="B3578" s="246"/>
      <c r="C3578" s="245"/>
      <c r="D3578" s="245"/>
      <c r="E3578" s="245"/>
      <c r="F3578" s="245"/>
      <c r="G3578" s="245"/>
      <c r="H3578" s="245"/>
      <c r="I3578" s="245"/>
      <c r="J3578" s="245"/>
      <c r="K3578" s="245"/>
      <c r="L3578" s="246"/>
      <c r="M3578" s="245"/>
      <c r="N3578" s="245"/>
      <c r="O3578" s="245"/>
      <c r="P3578" s="245"/>
      <c r="Q3578" s="247"/>
      <c r="R3578" s="247"/>
      <c r="S3578" s="247"/>
      <c r="T3578" s="245"/>
      <c r="U3578" s="245"/>
      <c r="V3578" s="241"/>
      <c r="W3578" s="241"/>
      <c r="X3578" s="241"/>
    </row>
    <row r="3579" spans="1:24" ht="13.5" customHeight="1" x14ac:dyDescent="0.3">
      <c r="A3579" s="245"/>
      <c r="B3579" s="246"/>
      <c r="C3579" s="245"/>
      <c r="D3579" s="245"/>
      <c r="E3579" s="245"/>
      <c r="F3579" s="245"/>
      <c r="G3579" s="245"/>
      <c r="H3579" s="245"/>
      <c r="I3579" s="245"/>
      <c r="J3579" s="245"/>
      <c r="K3579" s="245"/>
      <c r="L3579" s="246"/>
      <c r="M3579" s="245"/>
      <c r="N3579" s="245"/>
      <c r="O3579" s="245"/>
      <c r="P3579" s="245"/>
      <c r="Q3579" s="247"/>
      <c r="R3579" s="247"/>
      <c r="S3579" s="247"/>
      <c r="T3579" s="245"/>
      <c r="U3579" s="245"/>
      <c r="V3579" s="241"/>
      <c r="W3579" s="241"/>
      <c r="X3579" s="241"/>
    </row>
    <row r="3580" spans="1:24" ht="13.5" customHeight="1" x14ac:dyDescent="0.3">
      <c r="A3580" s="245"/>
      <c r="B3580" s="246"/>
      <c r="C3580" s="245"/>
      <c r="D3580" s="245"/>
      <c r="E3580" s="245"/>
      <c r="F3580" s="245"/>
      <c r="G3580" s="245"/>
      <c r="H3580" s="245"/>
      <c r="I3580" s="245"/>
      <c r="J3580" s="245"/>
      <c r="K3580" s="245"/>
      <c r="L3580" s="246"/>
      <c r="M3580" s="245"/>
      <c r="N3580" s="245"/>
      <c r="O3580" s="245"/>
      <c r="P3580" s="245"/>
      <c r="Q3580" s="247"/>
      <c r="R3580" s="247"/>
      <c r="S3580" s="247"/>
      <c r="T3580" s="245"/>
      <c r="U3580" s="245"/>
      <c r="V3580" s="241"/>
      <c r="W3580" s="241"/>
      <c r="X3580" s="241"/>
    </row>
    <row r="3581" spans="1:24" ht="13.5" customHeight="1" x14ac:dyDescent="0.3">
      <c r="A3581" s="245"/>
      <c r="B3581" s="246"/>
      <c r="C3581" s="245"/>
      <c r="D3581" s="245"/>
      <c r="E3581" s="245"/>
      <c r="F3581" s="245"/>
      <c r="G3581" s="245"/>
      <c r="H3581" s="245"/>
      <c r="I3581" s="245"/>
      <c r="J3581" s="245"/>
      <c r="K3581" s="245"/>
      <c r="L3581" s="246"/>
      <c r="M3581" s="245"/>
      <c r="N3581" s="245"/>
      <c r="O3581" s="245"/>
      <c r="P3581" s="245"/>
      <c r="Q3581" s="247"/>
      <c r="R3581" s="247"/>
      <c r="S3581" s="247"/>
      <c r="T3581" s="245"/>
      <c r="U3581" s="245"/>
      <c r="V3581" s="241"/>
      <c r="W3581" s="241"/>
      <c r="X3581" s="241"/>
    </row>
    <row r="3582" spans="1:24" ht="13.5" customHeight="1" x14ac:dyDescent="0.3">
      <c r="A3582" s="245"/>
      <c r="B3582" s="246"/>
      <c r="C3582" s="245"/>
      <c r="D3582" s="245"/>
      <c r="E3582" s="245"/>
      <c r="F3582" s="245"/>
      <c r="G3582" s="245"/>
      <c r="H3582" s="245"/>
      <c r="I3582" s="245"/>
      <c r="J3582" s="245"/>
      <c r="K3582" s="245"/>
      <c r="L3582" s="246"/>
      <c r="M3582" s="245"/>
      <c r="N3582" s="245"/>
      <c r="O3582" s="245"/>
      <c r="P3582" s="245"/>
      <c r="Q3582" s="247"/>
      <c r="R3582" s="247"/>
      <c r="S3582" s="247"/>
      <c r="T3582" s="245"/>
      <c r="U3582" s="245"/>
      <c r="V3582" s="241"/>
      <c r="W3582" s="241"/>
      <c r="X3582" s="241"/>
    </row>
    <row r="3583" spans="1:24" ht="13.5" customHeight="1" x14ac:dyDescent="0.3">
      <c r="A3583" s="245"/>
      <c r="B3583" s="246"/>
      <c r="C3583" s="245"/>
      <c r="D3583" s="245"/>
      <c r="E3583" s="245"/>
      <c r="F3583" s="245"/>
      <c r="G3583" s="245"/>
      <c r="H3583" s="245"/>
      <c r="I3583" s="245"/>
      <c r="J3583" s="245"/>
      <c r="K3583" s="245"/>
      <c r="L3583" s="246"/>
      <c r="M3583" s="245"/>
      <c r="N3583" s="245"/>
      <c r="O3583" s="245"/>
      <c r="P3583" s="245"/>
      <c r="Q3583" s="247"/>
      <c r="R3583" s="247"/>
      <c r="S3583" s="247"/>
      <c r="T3583" s="245"/>
      <c r="U3583" s="245"/>
      <c r="V3583" s="241"/>
      <c r="W3583" s="241"/>
      <c r="X3583" s="241"/>
    </row>
    <row r="3584" spans="1:24" ht="13.5" customHeight="1" x14ac:dyDescent="0.3">
      <c r="A3584" s="245"/>
      <c r="B3584" s="246"/>
      <c r="C3584" s="245"/>
      <c r="D3584" s="245"/>
      <c r="E3584" s="245"/>
      <c r="F3584" s="245"/>
      <c r="G3584" s="245"/>
      <c r="H3584" s="245"/>
      <c r="I3584" s="245"/>
      <c r="J3584" s="245"/>
      <c r="K3584" s="245"/>
      <c r="L3584" s="246"/>
      <c r="M3584" s="245"/>
      <c r="N3584" s="245"/>
      <c r="O3584" s="245"/>
      <c r="P3584" s="245"/>
      <c r="Q3584" s="247"/>
      <c r="R3584" s="247"/>
      <c r="S3584" s="247"/>
      <c r="T3584" s="245"/>
      <c r="U3584" s="245"/>
      <c r="V3584" s="241"/>
      <c r="W3584" s="241"/>
      <c r="X3584" s="241"/>
    </row>
    <row r="3585" spans="1:24" ht="13.5" customHeight="1" x14ac:dyDescent="0.3">
      <c r="A3585" s="245"/>
      <c r="B3585" s="246"/>
      <c r="C3585" s="245"/>
      <c r="D3585" s="245"/>
      <c r="E3585" s="245"/>
      <c r="F3585" s="245"/>
      <c r="G3585" s="245"/>
      <c r="H3585" s="245"/>
      <c r="I3585" s="245"/>
      <c r="J3585" s="245"/>
      <c r="K3585" s="245"/>
      <c r="L3585" s="246"/>
      <c r="M3585" s="245"/>
      <c r="N3585" s="245"/>
      <c r="O3585" s="245"/>
      <c r="P3585" s="245"/>
      <c r="Q3585" s="247"/>
      <c r="R3585" s="247"/>
      <c r="S3585" s="247"/>
      <c r="T3585" s="245"/>
      <c r="U3585" s="245"/>
      <c r="V3585" s="241"/>
      <c r="W3585" s="241"/>
      <c r="X3585" s="241"/>
    </row>
    <row r="3586" spans="1:24" ht="13.5" customHeight="1" x14ac:dyDescent="0.3">
      <c r="A3586" s="245"/>
      <c r="B3586" s="246"/>
      <c r="C3586" s="245"/>
      <c r="D3586" s="245"/>
      <c r="E3586" s="245"/>
      <c r="F3586" s="245"/>
      <c r="G3586" s="245"/>
      <c r="H3586" s="245"/>
      <c r="I3586" s="245"/>
      <c r="J3586" s="245"/>
      <c r="K3586" s="245"/>
      <c r="L3586" s="246"/>
      <c r="M3586" s="245"/>
      <c r="N3586" s="245"/>
      <c r="O3586" s="245"/>
      <c r="P3586" s="245"/>
      <c r="Q3586" s="247"/>
      <c r="R3586" s="247"/>
      <c r="S3586" s="247"/>
      <c r="T3586" s="245"/>
      <c r="U3586" s="245"/>
      <c r="V3586" s="241"/>
      <c r="W3586" s="241"/>
      <c r="X3586" s="241"/>
    </row>
    <row r="3587" spans="1:24" ht="13.5" customHeight="1" x14ac:dyDescent="0.3">
      <c r="A3587" s="245"/>
      <c r="B3587" s="246"/>
      <c r="C3587" s="245"/>
      <c r="D3587" s="245"/>
      <c r="E3587" s="245"/>
      <c r="F3587" s="245"/>
      <c r="G3587" s="245"/>
      <c r="H3587" s="245"/>
      <c r="I3587" s="245"/>
      <c r="J3587" s="245"/>
      <c r="K3587" s="245"/>
      <c r="L3587" s="246"/>
      <c r="M3587" s="245"/>
      <c r="N3587" s="245"/>
      <c r="O3587" s="245"/>
      <c r="P3587" s="245"/>
      <c r="Q3587" s="247"/>
      <c r="R3587" s="247"/>
      <c r="S3587" s="247"/>
      <c r="T3587" s="245"/>
      <c r="U3587" s="245"/>
      <c r="V3587" s="241"/>
      <c r="W3587" s="241"/>
      <c r="X3587" s="241"/>
    </row>
    <row r="3588" spans="1:24" ht="13.5" customHeight="1" x14ac:dyDescent="0.3">
      <c r="A3588" s="245"/>
      <c r="B3588" s="246"/>
      <c r="C3588" s="245"/>
      <c r="D3588" s="245"/>
      <c r="E3588" s="245"/>
      <c r="F3588" s="245"/>
      <c r="G3588" s="245"/>
      <c r="H3588" s="245"/>
      <c r="I3588" s="245"/>
      <c r="J3588" s="245"/>
      <c r="K3588" s="245"/>
      <c r="L3588" s="246"/>
      <c r="M3588" s="245"/>
      <c r="N3588" s="245"/>
      <c r="O3588" s="245"/>
      <c r="P3588" s="245"/>
      <c r="Q3588" s="247"/>
      <c r="R3588" s="247"/>
      <c r="S3588" s="247"/>
      <c r="T3588" s="245"/>
      <c r="U3588" s="245"/>
      <c r="V3588" s="241"/>
      <c r="W3588" s="241"/>
      <c r="X3588" s="241"/>
    </row>
    <row r="3589" spans="1:24" ht="13.5" customHeight="1" x14ac:dyDescent="0.3">
      <c r="A3589" s="245"/>
      <c r="B3589" s="246"/>
      <c r="C3589" s="245"/>
      <c r="D3589" s="245"/>
      <c r="E3589" s="245"/>
      <c r="F3589" s="245"/>
      <c r="G3589" s="245"/>
      <c r="H3589" s="245"/>
      <c r="I3589" s="245"/>
      <c r="J3589" s="245"/>
      <c r="K3589" s="245"/>
      <c r="L3589" s="246"/>
      <c r="M3589" s="245"/>
      <c r="N3589" s="245"/>
      <c r="O3589" s="245"/>
      <c r="P3589" s="245"/>
      <c r="Q3589" s="247"/>
      <c r="R3589" s="247"/>
      <c r="S3589" s="247"/>
      <c r="T3589" s="245"/>
      <c r="U3589" s="245"/>
      <c r="V3589" s="241"/>
      <c r="W3589" s="241"/>
      <c r="X3589" s="241"/>
    </row>
    <row r="3590" spans="1:24" ht="13.5" customHeight="1" x14ac:dyDescent="0.3">
      <c r="A3590" s="245"/>
      <c r="B3590" s="246"/>
      <c r="C3590" s="245"/>
      <c r="D3590" s="245"/>
      <c r="E3590" s="245"/>
      <c r="F3590" s="245"/>
      <c r="G3590" s="245"/>
      <c r="H3590" s="245"/>
      <c r="I3590" s="245"/>
      <c r="J3590" s="245"/>
      <c r="K3590" s="245"/>
      <c r="L3590" s="246"/>
      <c r="M3590" s="245"/>
      <c r="N3590" s="245"/>
      <c r="O3590" s="245"/>
      <c r="P3590" s="245"/>
      <c r="Q3590" s="247"/>
      <c r="R3590" s="247"/>
      <c r="S3590" s="247"/>
      <c r="T3590" s="245"/>
      <c r="U3590" s="245"/>
      <c r="V3590" s="241"/>
      <c r="W3590" s="241"/>
      <c r="X3590" s="241"/>
    </row>
    <row r="3591" spans="1:24" ht="13.5" customHeight="1" x14ac:dyDescent="0.3">
      <c r="A3591" s="245"/>
      <c r="B3591" s="246"/>
      <c r="C3591" s="245"/>
      <c r="D3591" s="245"/>
      <c r="E3591" s="245"/>
      <c r="F3591" s="245"/>
      <c r="G3591" s="245"/>
      <c r="H3591" s="245"/>
      <c r="I3591" s="245"/>
      <c r="J3591" s="245"/>
      <c r="K3591" s="245"/>
      <c r="L3591" s="246"/>
      <c r="M3591" s="245"/>
      <c r="N3591" s="245"/>
      <c r="O3591" s="245"/>
      <c r="P3591" s="245"/>
      <c r="Q3591" s="247"/>
      <c r="R3591" s="247"/>
      <c r="S3591" s="247"/>
      <c r="T3591" s="245"/>
      <c r="U3591" s="245"/>
      <c r="V3591" s="241"/>
      <c r="W3591" s="241"/>
      <c r="X3591" s="241"/>
    </row>
    <row r="3592" spans="1:24" ht="13.5" customHeight="1" x14ac:dyDescent="0.3">
      <c r="A3592" s="245"/>
      <c r="B3592" s="246"/>
      <c r="C3592" s="245"/>
      <c r="D3592" s="245"/>
      <c r="E3592" s="245"/>
      <c r="F3592" s="245"/>
      <c r="G3592" s="245"/>
      <c r="H3592" s="245"/>
      <c r="I3592" s="245"/>
      <c r="J3592" s="245"/>
      <c r="K3592" s="245"/>
      <c r="L3592" s="246"/>
      <c r="M3592" s="245"/>
      <c r="N3592" s="245"/>
      <c r="O3592" s="245"/>
      <c r="P3592" s="245"/>
      <c r="Q3592" s="247"/>
      <c r="R3592" s="247"/>
      <c r="S3592" s="247"/>
      <c r="T3592" s="245"/>
      <c r="U3592" s="245"/>
      <c r="V3592" s="241"/>
      <c r="W3592" s="241"/>
      <c r="X3592" s="241"/>
    </row>
    <row r="3593" spans="1:24" ht="13.5" customHeight="1" x14ac:dyDescent="0.3">
      <c r="A3593" s="245"/>
      <c r="B3593" s="246"/>
      <c r="C3593" s="245"/>
      <c r="D3593" s="245"/>
      <c r="E3593" s="245"/>
      <c r="F3593" s="245"/>
      <c r="G3593" s="245"/>
      <c r="H3593" s="245"/>
      <c r="I3593" s="245"/>
      <c r="J3593" s="245"/>
      <c r="K3593" s="245"/>
      <c r="L3593" s="246"/>
      <c r="M3593" s="245"/>
      <c r="N3593" s="245"/>
      <c r="O3593" s="245"/>
      <c r="P3593" s="245"/>
      <c r="Q3593" s="247"/>
      <c r="R3593" s="247"/>
      <c r="S3593" s="247"/>
      <c r="T3593" s="245"/>
      <c r="U3593" s="245"/>
      <c r="V3593" s="241"/>
      <c r="W3593" s="241"/>
      <c r="X3593" s="241"/>
    </row>
    <row r="3594" spans="1:24" ht="13.5" customHeight="1" x14ac:dyDescent="0.3">
      <c r="A3594" s="245"/>
      <c r="B3594" s="246"/>
      <c r="C3594" s="245"/>
      <c r="D3594" s="245"/>
      <c r="E3594" s="245"/>
      <c r="F3594" s="245"/>
      <c r="G3594" s="245"/>
      <c r="H3594" s="245"/>
      <c r="I3594" s="245"/>
      <c r="J3594" s="245"/>
      <c r="K3594" s="245"/>
      <c r="L3594" s="246"/>
      <c r="M3594" s="245"/>
      <c r="N3594" s="245"/>
      <c r="O3594" s="245"/>
      <c r="P3594" s="245"/>
      <c r="Q3594" s="247"/>
      <c r="R3594" s="247"/>
      <c r="S3594" s="247"/>
      <c r="T3594" s="245"/>
      <c r="U3594" s="245"/>
      <c r="V3594" s="241"/>
      <c r="W3594" s="241"/>
      <c r="X3594" s="241"/>
    </row>
    <row r="3595" spans="1:24" ht="13.5" customHeight="1" x14ac:dyDescent="0.3">
      <c r="A3595" s="245"/>
      <c r="B3595" s="246"/>
      <c r="C3595" s="245"/>
      <c r="D3595" s="245"/>
      <c r="E3595" s="245"/>
      <c r="F3595" s="245"/>
      <c r="G3595" s="245"/>
      <c r="H3595" s="245"/>
      <c r="I3595" s="245"/>
      <c r="J3595" s="245"/>
      <c r="K3595" s="245"/>
      <c r="L3595" s="246"/>
      <c r="M3595" s="245"/>
      <c r="N3595" s="245"/>
      <c r="O3595" s="245"/>
      <c r="P3595" s="245"/>
      <c r="Q3595" s="247"/>
      <c r="R3595" s="247"/>
      <c r="S3595" s="247"/>
      <c r="T3595" s="245"/>
      <c r="U3595" s="245"/>
      <c r="V3595" s="241"/>
      <c r="W3595" s="241"/>
      <c r="X3595" s="241"/>
    </row>
    <row r="3596" spans="1:24" ht="13.5" customHeight="1" x14ac:dyDescent="0.3">
      <c r="A3596" s="245"/>
      <c r="B3596" s="246"/>
      <c r="C3596" s="245"/>
      <c r="D3596" s="245"/>
      <c r="E3596" s="245"/>
      <c r="F3596" s="245"/>
      <c r="G3596" s="245"/>
      <c r="H3596" s="245"/>
      <c r="I3596" s="245"/>
      <c r="J3596" s="245"/>
      <c r="K3596" s="245"/>
      <c r="L3596" s="246"/>
      <c r="M3596" s="245"/>
      <c r="N3596" s="245"/>
      <c r="O3596" s="245"/>
      <c r="P3596" s="245"/>
      <c r="Q3596" s="247"/>
      <c r="R3596" s="247"/>
      <c r="S3596" s="247"/>
      <c r="T3596" s="245"/>
      <c r="U3596" s="245"/>
      <c r="V3596" s="241"/>
      <c r="W3596" s="241"/>
      <c r="X3596" s="241"/>
    </row>
    <row r="3597" spans="1:24" ht="13.5" customHeight="1" x14ac:dyDescent="0.3">
      <c r="A3597" s="245"/>
      <c r="B3597" s="246"/>
      <c r="C3597" s="245"/>
      <c r="D3597" s="245"/>
      <c r="E3597" s="245"/>
      <c r="F3597" s="245"/>
      <c r="G3597" s="245"/>
      <c r="H3597" s="245"/>
      <c r="I3597" s="245"/>
      <c r="J3597" s="245"/>
      <c r="K3597" s="245"/>
      <c r="L3597" s="246"/>
      <c r="M3597" s="245"/>
      <c r="N3597" s="245"/>
      <c r="O3597" s="245"/>
      <c r="P3597" s="245"/>
      <c r="Q3597" s="247"/>
      <c r="R3597" s="247"/>
      <c r="S3597" s="247"/>
      <c r="T3597" s="245"/>
      <c r="U3597" s="245"/>
      <c r="V3597" s="241"/>
      <c r="W3597" s="241"/>
      <c r="X3597" s="241"/>
    </row>
    <row r="3598" spans="1:24" ht="13.5" customHeight="1" x14ac:dyDescent="0.3">
      <c r="A3598" s="245"/>
      <c r="B3598" s="246"/>
      <c r="C3598" s="245"/>
      <c r="D3598" s="245"/>
      <c r="E3598" s="245"/>
      <c r="F3598" s="245"/>
      <c r="G3598" s="245"/>
      <c r="H3598" s="245"/>
      <c r="I3598" s="245"/>
      <c r="J3598" s="245"/>
      <c r="K3598" s="245"/>
      <c r="L3598" s="246"/>
      <c r="M3598" s="245"/>
      <c r="N3598" s="245"/>
      <c r="O3598" s="245"/>
      <c r="P3598" s="245"/>
      <c r="Q3598" s="247"/>
      <c r="R3598" s="247"/>
      <c r="S3598" s="247"/>
      <c r="T3598" s="245"/>
      <c r="U3598" s="245"/>
      <c r="V3598" s="241"/>
      <c r="W3598" s="241"/>
      <c r="X3598" s="241"/>
    </row>
    <row r="3599" spans="1:24" ht="13.5" customHeight="1" x14ac:dyDescent="0.3">
      <c r="A3599" s="245"/>
      <c r="B3599" s="246"/>
      <c r="C3599" s="245"/>
      <c r="D3599" s="245"/>
      <c r="E3599" s="245"/>
      <c r="F3599" s="245"/>
      <c r="G3599" s="245"/>
      <c r="H3599" s="245"/>
      <c r="I3599" s="245"/>
      <c r="J3599" s="245"/>
      <c r="K3599" s="245"/>
      <c r="L3599" s="246"/>
      <c r="M3599" s="245"/>
      <c r="N3599" s="245"/>
      <c r="O3599" s="245"/>
      <c r="P3599" s="245"/>
      <c r="Q3599" s="247"/>
      <c r="R3599" s="247"/>
      <c r="S3599" s="247"/>
      <c r="T3599" s="245"/>
      <c r="U3599" s="245"/>
      <c r="V3599" s="241"/>
      <c r="W3599" s="241"/>
      <c r="X3599" s="241"/>
    </row>
    <row r="3600" spans="1:24" ht="13.5" customHeight="1" x14ac:dyDescent="0.3">
      <c r="A3600" s="245"/>
      <c r="B3600" s="246"/>
      <c r="C3600" s="245"/>
      <c r="D3600" s="245"/>
      <c r="E3600" s="245"/>
      <c r="F3600" s="245"/>
      <c r="G3600" s="245"/>
      <c r="H3600" s="245"/>
      <c r="I3600" s="245"/>
      <c r="J3600" s="245"/>
      <c r="K3600" s="245"/>
      <c r="L3600" s="246"/>
      <c r="M3600" s="245"/>
      <c r="N3600" s="245"/>
      <c r="O3600" s="245"/>
      <c r="P3600" s="245"/>
      <c r="Q3600" s="247"/>
      <c r="R3600" s="247"/>
      <c r="S3600" s="247"/>
      <c r="T3600" s="245"/>
      <c r="U3600" s="245"/>
      <c r="V3600" s="241"/>
      <c r="W3600" s="241"/>
      <c r="X3600" s="241"/>
    </row>
    <row r="3601" spans="1:24" ht="13.5" customHeight="1" x14ac:dyDescent="0.3">
      <c r="A3601" s="245"/>
      <c r="B3601" s="246"/>
      <c r="C3601" s="245"/>
      <c r="D3601" s="245"/>
      <c r="E3601" s="245"/>
      <c r="F3601" s="245"/>
      <c r="G3601" s="245"/>
      <c r="H3601" s="245"/>
      <c r="I3601" s="245"/>
      <c r="J3601" s="245"/>
      <c r="K3601" s="245"/>
      <c r="L3601" s="246"/>
      <c r="M3601" s="245"/>
      <c r="N3601" s="245"/>
      <c r="O3601" s="245"/>
      <c r="P3601" s="245"/>
      <c r="Q3601" s="247"/>
      <c r="R3601" s="247"/>
      <c r="S3601" s="247"/>
      <c r="T3601" s="245"/>
      <c r="U3601" s="245"/>
      <c r="V3601" s="241"/>
      <c r="W3601" s="241"/>
      <c r="X3601" s="241"/>
    </row>
    <row r="3602" spans="1:24" ht="13.5" customHeight="1" x14ac:dyDescent="0.3">
      <c r="A3602" s="245"/>
      <c r="B3602" s="246"/>
      <c r="C3602" s="245"/>
      <c r="D3602" s="245"/>
      <c r="E3602" s="245"/>
      <c r="F3602" s="245"/>
      <c r="G3602" s="245"/>
      <c r="H3602" s="245"/>
      <c r="I3602" s="245"/>
      <c r="J3602" s="245"/>
      <c r="K3602" s="245"/>
      <c r="L3602" s="246"/>
      <c r="M3602" s="245"/>
      <c r="N3602" s="245"/>
      <c r="O3602" s="245"/>
      <c r="P3602" s="245"/>
      <c r="Q3602" s="247"/>
      <c r="R3602" s="247"/>
      <c r="S3602" s="247"/>
      <c r="T3602" s="245"/>
      <c r="U3602" s="245"/>
      <c r="V3602" s="241"/>
      <c r="W3602" s="241"/>
      <c r="X3602" s="241"/>
    </row>
    <row r="3603" spans="1:24" ht="13.5" customHeight="1" x14ac:dyDescent="0.3">
      <c r="A3603" s="245"/>
      <c r="B3603" s="246"/>
      <c r="C3603" s="245"/>
      <c r="D3603" s="245"/>
      <c r="E3603" s="245"/>
      <c r="F3603" s="245"/>
      <c r="G3603" s="245"/>
      <c r="H3603" s="245"/>
      <c r="I3603" s="245"/>
      <c r="J3603" s="245"/>
      <c r="K3603" s="245"/>
      <c r="L3603" s="246"/>
      <c r="M3603" s="245"/>
      <c r="N3603" s="245"/>
      <c r="O3603" s="245"/>
      <c r="P3603" s="245"/>
      <c r="Q3603" s="247"/>
      <c r="R3603" s="247"/>
      <c r="S3603" s="247"/>
      <c r="T3603" s="245"/>
      <c r="U3603" s="245"/>
      <c r="V3603" s="241"/>
      <c r="W3603" s="241"/>
      <c r="X3603" s="241"/>
    </row>
    <row r="3604" spans="1:24" ht="13.5" customHeight="1" x14ac:dyDescent="0.3">
      <c r="A3604" s="245"/>
      <c r="B3604" s="246"/>
      <c r="C3604" s="245"/>
      <c r="D3604" s="245"/>
      <c r="E3604" s="245"/>
      <c r="F3604" s="245"/>
      <c r="G3604" s="245"/>
      <c r="H3604" s="245"/>
      <c r="I3604" s="245"/>
      <c r="J3604" s="245"/>
      <c r="K3604" s="245"/>
      <c r="L3604" s="246"/>
      <c r="M3604" s="245"/>
      <c r="N3604" s="245"/>
      <c r="O3604" s="245"/>
      <c r="P3604" s="245"/>
      <c r="Q3604" s="247"/>
      <c r="R3604" s="247"/>
      <c r="S3604" s="247"/>
      <c r="T3604" s="245"/>
      <c r="U3604" s="245"/>
      <c r="V3604" s="241"/>
      <c r="W3604" s="241"/>
      <c r="X3604" s="241"/>
    </row>
    <row r="3605" spans="1:24" ht="13.5" customHeight="1" x14ac:dyDescent="0.3">
      <c r="A3605" s="245"/>
      <c r="B3605" s="246"/>
      <c r="C3605" s="245"/>
      <c r="D3605" s="245"/>
      <c r="E3605" s="245"/>
      <c r="F3605" s="245"/>
      <c r="G3605" s="245"/>
      <c r="H3605" s="245"/>
      <c r="I3605" s="245"/>
      <c r="J3605" s="245"/>
      <c r="K3605" s="245"/>
      <c r="L3605" s="246"/>
      <c r="M3605" s="245"/>
      <c r="N3605" s="245"/>
      <c r="O3605" s="245"/>
      <c r="P3605" s="245"/>
      <c r="Q3605" s="247"/>
      <c r="R3605" s="247"/>
      <c r="S3605" s="247"/>
      <c r="T3605" s="245"/>
      <c r="U3605" s="245"/>
      <c r="V3605" s="241"/>
      <c r="W3605" s="241"/>
      <c r="X3605" s="241"/>
    </row>
    <row r="3606" spans="1:24" ht="13.5" customHeight="1" x14ac:dyDescent="0.3">
      <c r="A3606" s="245"/>
      <c r="B3606" s="246"/>
      <c r="C3606" s="245"/>
      <c r="D3606" s="245"/>
      <c r="E3606" s="245"/>
      <c r="F3606" s="245"/>
      <c r="G3606" s="245"/>
      <c r="H3606" s="245"/>
      <c r="I3606" s="245"/>
      <c r="J3606" s="245"/>
      <c r="K3606" s="245"/>
      <c r="L3606" s="246"/>
      <c r="M3606" s="245"/>
      <c r="N3606" s="245"/>
      <c r="O3606" s="245"/>
      <c r="P3606" s="245"/>
      <c r="Q3606" s="247"/>
      <c r="R3606" s="247"/>
      <c r="S3606" s="247"/>
      <c r="T3606" s="245"/>
      <c r="U3606" s="245"/>
      <c r="V3606" s="241"/>
      <c r="W3606" s="241"/>
      <c r="X3606" s="241"/>
    </row>
    <row r="3607" spans="1:24" ht="13.5" customHeight="1" x14ac:dyDescent="0.3">
      <c r="A3607" s="245"/>
      <c r="B3607" s="246"/>
      <c r="C3607" s="245"/>
      <c r="D3607" s="245"/>
      <c r="E3607" s="245"/>
      <c r="F3607" s="245"/>
      <c r="G3607" s="245"/>
      <c r="H3607" s="245"/>
      <c r="I3607" s="245"/>
      <c r="J3607" s="245"/>
      <c r="K3607" s="245"/>
      <c r="L3607" s="246"/>
      <c r="M3607" s="245"/>
      <c r="N3607" s="245"/>
      <c r="O3607" s="245"/>
      <c r="P3607" s="245"/>
      <c r="Q3607" s="247"/>
      <c r="R3607" s="247"/>
      <c r="S3607" s="247"/>
      <c r="T3607" s="245"/>
      <c r="U3607" s="245"/>
      <c r="V3607" s="241"/>
      <c r="W3607" s="241"/>
      <c r="X3607" s="241"/>
    </row>
    <row r="3608" spans="1:24" ht="13.5" customHeight="1" x14ac:dyDescent="0.3">
      <c r="A3608" s="245"/>
      <c r="B3608" s="246"/>
      <c r="C3608" s="245"/>
      <c r="D3608" s="245"/>
      <c r="E3608" s="245"/>
      <c r="F3608" s="245"/>
      <c r="G3608" s="245"/>
      <c r="H3608" s="245"/>
      <c r="I3608" s="245"/>
      <c r="J3608" s="245"/>
      <c r="K3608" s="245"/>
      <c r="L3608" s="246"/>
      <c r="M3608" s="245"/>
      <c r="N3608" s="245"/>
      <c r="O3608" s="245"/>
      <c r="P3608" s="245"/>
      <c r="Q3608" s="247"/>
      <c r="R3608" s="247"/>
      <c r="S3608" s="247"/>
      <c r="T3608" s="245"/>
      <c r="U3608" s="245"/>
      <c r="V3608" s="241"/>
      <c r="W3608" s="241"/>
      <c r="X3608" s="241"/>
    </row>
    <row r="3609" spans="1:24" ht="13.5" customHeight="1" x14ac:dyDescent="0.3">
      <c r="A3609" s="245"/>
      <c r="B3609" s="246"/>
      <c r="C3609" s="245"/>
      <c r="D3609" s="245"/>
      <c r="E3609" s="245"/>
      <c r="F3609" s="245"/>
      <c r="G3609" s="245"/>
      <c r="H3609" s="245"/>
      <c r="I3609" s="245"/>
      <c r="J3609" s="245"/>
      <c r="K3609" s="245"/>
      <c r="L3609" s="246"/>
      <c r="M3609" s="245"/>
      <c r="N3609" s="245"/>
      <c r="O3609" s="245"/>
      <c r="P3609" s="245"/>
      <c r="Q3609" s="247"/>
      <c r="R3609" s="247"/>
      <c r="S3609" s="247"/>
      <c r="T3609" s="245"/>
      <c r="U3609" s="245"/>
      <c r="V3609" s="241"/>
      <c r="W3609" s="241"/>
      <c r="X3609" s="241"/>
    </row>
    <row r="3610" spans="1:24" ht="13.5" customHeight="1" x14ac:dyDescent="0.3">
      <c r="A3610" s="245"/>
      <c r="B3610" s="246"/>
      <c r="C3610" s="245"/>
      <c r="D3610" s="245"/>
      <c r="E3610" s="245"/>
      <c r="F3610" s="245"/>
      <c r="G3610" s="245"/>
      <c r="H3610" s="245"/>
      <c r="I3610" s="245"/>
      <c r="J3610" s="245"/>
      <c r="K3610" s="245"/>
      <c r="L3610" s="246"/>
      <c r="M3610" s="245"/>
      <c r="N3610" s="245"/>
      <c r="O3610" s="245"/>
      <c r="P3610" s="245"/>
      <c r="Q3610" s="247"/>
      <c r="R3610" s="247"/>
      <c r="S3610" s="247"/>
      <c r="T3610" s="245"/>
      <c r="U3610" s="245"/>
      <c r="V3610" s="241"/>
      <c r="W3610" s="241"/>
      <c r="X3610" s="241"/>
    </row>
    <row r="3611" spans="1:24" ht="13.5" customHeight="1" x14ac:dyDescent="0.3">
      <c r="A3611" s="245"/>
      <c r="B3611" s="246"/>
      <c r="C3611" s="245"/>
      <c r="D3611" s="245"/>
      <c r="E3611" s="245"/>
      <c r="F3611" s="245"/>
      <c r="G3611" s="245"/>
      <c r="H3611" s="245"/>
      <c r="I3611" s="245"/>
      <c r="J3611" s="245"/>
      <c r="K3611" s="245"/>
      <c r="L3611" s="246"/>
      <c r="M3611" s="245"/>
      <c r="N3611" s="245"/>
      <c r="O3611" s="245"/>
      <c r="P3611" s="245"/>
      <c r="Q3611" s="247"/>
      <c r="R3611" s="247"/>
      <c r="S3611" s="247"/>
      <c r="T3611" s="245"/>
      <c r="U3611" s="245"/>
      <c r="V3611" s="241"/>
      <c r="W3611" s="241"/>
      <c r="X3611" s="241"/>
    </row>
    <row r="3612" spans="1:24" ht="13.5" customHeight="1" x14ac:dyDescent="0.3">
      <c r="A3612" s="245"/>
      <c r="B3612" s="246"/>
      <c r="C3612" s="245"/>
      <c r="D3612" s="245"/>
      <c r="E3612" s="245"/>
      <c r="F3612" s="245"/>
      <c r="G3612" s="245"/>
      <c r="H3612" s="245"/>
      <c r="I3612" s="245"/>
      <c r="J3612" s="245"/>
      <c r="K3612" s="245"/>
      <c r="L3612" s="246"/>
      <c r="M3612" s="245"/>
      <c r="N3612" s="245"/>
      <c r="O3612" s="245"/>
      <c r="P3612" s="245"/>
      <c r="Q3612" s="247"/>
      <c r="R3612" s="247"/>
      <c r="S3612" s="247"/>
      <c r="T3612" s="245"/>
      <c r="U3612" s="245"/>
      <c r="V3612" s="241"/>
      <c r="W3612" s="241"/>
      <c r="X3612" s="241"/>
    </row>
    <row r="3613" spans="1:24" ht="13.5" customHeight="1" x14ac:dyDescent="0.3">
      <c r="A3613" s="245"/>
      <c r="B3613" s="246"/>
      <c r="C3613" s="245"/>
      <c r="D3613" s="245"/>
      <c r="E3613" s="245"/>
      <c r="F3613" s="245"/>
      <c r="G3613" s="245"/>
      <c r="H3613" s="245"/>
      <c r="I3613" s="245"/>
      <c r="J3613" s="245"/>
      <c r="K3613" s="245"/>
      <c r="L3613" s="246"/>
      <c r="M3613" s="245"/>
      <c r="N3613" s="245"/>
      <c r="O3613" s="245"/>
      <c r="P3613" s="245"/>
      <c r="Q3613" s="247"/>
      <c r="R3613" s="247"/>
      <c r="S3613" s="247"/>
      <c r="T3613" s="245"/>
      <c r="U3613" s="245"/>
      <c r="V3613" s="241"/>
      <c r="W3613" s="241"/>
      <c r="X3613" s="241"/>
    </row>
    <row r="3614" spans="1:24" ht="13.5" customHeight="1" x14ac:dyDescent="0.3">
      <c r="A3614" s="245"/>
      <c r="B3614" s="246"/>
      <c r="C3614" s="245"/>
      <c r="D3614" s="245"/>
      <c r="E3614" s="245"/>
      <c r="F3614" s="245"/>
      <c r="G3614" s="245"/>
      <c r="H3614" s="245"/>
      <c r="I3614" s="245"/>
      <c r="J3614" s="245"/>
      <c r="K3614" s="245"/>
      <c r="L3614" s="246"/>
      <c r="M3614" s="245"/>
      <c r="N3614" s="245"/>
      <c r="O3614" s="245"/>
      <c r="P3614" s="245"/>
      <c r="Q3614" s="247"/>
      <c r="R3614" s="247"/>
      <c r="S3614" s="247"/>
      <c r="T3614" s="245"/>
      <c r="U3614" s="245"/>
      <c r="V3614" s="241"/>
      <c r="W3614" s="241"/>
      <c r="X3614" s="241"/>
    </row>
    <row r="3615" spans="1:24" ht="13.5" customHeight="1" x14ac:dyDescent="0.3">
      <c r="A3615" s="245"/>
      <c r="B3615" s="246"/>
      <c r="C3615" s="245"/>
      <c r="D3615" s="245"/>
      <c r="E3615" s="245"/>
      <c r="F3615" s="245"/>
      <c r="G3615" s="245"/>
      <c r="H3615" s="245"/>
      <c r="I3615" s="245"/>
      <c r="J3615" s="245"/>
      <c r="K3615" s="245"/>
      <c r="L3615" s="246"/>
      <c r="M3615" s="245"/>
      <c r="N3615" s="245"/>
      <c r="O3615" s="245"/>
      <c r="P3615" s="245"/>
      <c r="Q3615" s="247"/>
      <c r="R3615" s="247"/>
      <c r="S3615" s="247"/>
      <c r="T3615" s="245"/>
      <c r="U3615" s="245"/>
      <c r="V3615" s="241"/>
      <c r="W3615" s="241"/>
      <c r="X3615" s="241"/>
    </row>
    <row r="3616" spans="1:24" ht="13.5" customHeight="1" x14ac:dyDescent="0.3">
      <c r="A3616" s="245"/>
      <c r="B3616" s="246"/>
      <c r="C3616" s="245"/>
      <c r="D3616" s="245"/>
      <c r="E3616" s="245"/>
      <c r="F3616" s="245"/>
      <c r="G3616" s="245"/>
      <c r="H3616" s="245"/>
      <c r="I3616" s="245"/>
      <c r="J3616" s="245"/>
      <c r="K3616" s="245"/>
      <c r="L3616" s="246"/>
      <c r="M3616" s="245"/>
      <c r="N3616" s="245"/>
      <c r="O3616" s="245"/>
      <c r="P3616" s="245"/>
      <c r="Q3616" s="247"/>
      <c r="R3616" s="247"/>
      <c r="S3616" s="247"/>
      <c r="T3616" s="245"/>
      <c r="U3616" s="245"/>
      <c r="V3616" s="241"/>
      <c r="W3616" s="241"/>
      <c r="X3616" s="241"/>
    </row>
    <row r="3617" spans="1:24" ht="13.5" customHeight="1" x14ac:dyDescent="0.3">
      <c r="A3617" s="245"/>
      <c r="B3617" s="246"/>
      <c r="C3617" s="245"/>
      <c r="D3617" s="245"/>
      <c r="E3617" s="245"/>
      <c r="F3617" s="245"/>
      <c r="G3617" s="245"/>
      <c r="H3617" s="245"/>
      <c r="I3617" s="245"/>
      <c r="J3617" s="245"/>
      <c r="K3617" s="245"/>
      <c r="L3617" s="246"/>
      <c r="M3617" s="245"/>
      <c r="N3617" s="245"/>
      <c r="O3617" s="245"/>
      <c r="P3617" s="245"/>
      <c r="Q3617" s="247"/>
      <c r="R3617" s="247"/>
      <c r="S3617" s="247"/>
      <c r="T3617" s="245"/>
      <c r="U3617" s="245"/>
      <c r="V3617" s="241"/>
      <c r="W3617" s="241"/>
      <c r="X3617" s="241"/>
    </row>
    <row r="3618" spans="1:24" ht="13.5" customHeight="1" x14ac:dyDescent="0.3">
      <c r="A3618" s="245"/>
      <c r="B3618" s="246"/>
      <c r="C3618" s="245"/>
      <c r="D3618" s="245"/>
      <c r="E3618" s="245"/>
      <c r="F3618" s="245"/>
      <c r="G3618" s="245"/>
      <c r="H3618" s="245"/>
      <c r="I3618" s="245"/>
      <c r="J3618" s="245"/>
      <c r="K3618" s="245"/>
      <c r="L3618" s="246"/>
      <c r="M3618" s="245"/>
      <c r="N3618" s="245"/>
      <c r="O3618" s="245"/>
      <c r="P3618" s="245"/>
      <c r="Q3618" s="247"/>
      <c r="R3618" s="247"/>
      <c r="S3618" s="247"/>
      <c r="T3618" s="245"/>
      <c r="U3618" s="245"/>
      <c r="V3618" s="241"/>
      <c r="W3618" s="241"/>
      <c r="X3618" s="241"/>
    </row>
    <row r="3619" spans="1:24" ht="13.5" customHeight="1" x14ac:dyDescent="0.3">
      <c r="A3619" s="245"/>
      <c r="B3619" s="246"/>
      <c r="C3619" s="245"/>
      <c r="D3619" s="245"/>
      <c r="E3619" s="245"/>
      <c r="F3619" s="245"/>
      <c r="G3619" s="245"/>
      <c r="H3619" s="245"/>
      <c r="I3619" s="245"/>
      <c r="J3619" s="245"/>
      <c r="K3619" s="245"/>
      <c r="L3619" s="246"/>
      <c r="M3619" s="245"/>
      <c r="N3619" s="245"/>
      <c r="O3619" s="245"/>
      <c r="P3619" s="245"/>
      <c r="Q3619" s="247"/>
      <c r="R3619" s="247"/>
      <c r="S3619" s="247"/>
      <c r="T3619" s="245"/>
      <c r="U3619" s="245"/>
      <c r="V3619" s="241"/>
      <c r="W3619" s="241"/>
      <c r="X3619" s="241"/>
    </row>
    <row r="3620" spans="1:24" ht="13.5" customHeight="1" x14ac:dyDescent="0.3">
      <c r="A3620" s="245"/>
      <c r="B3620" s="246"/>
      <c r="C3620" s="245"/>
      <c r="D3620" s="245"/>
      <c r="E3620" s="245"/>
      <c r="F3620" s="245"/>
      <c r="G3620" s="245"/>
      <c r="H3620" s="245"/>
      <c r="I3620" s="245"/>
      <c r="J3620" s="245"/>
      <c r="K3620" s="245"/>
      <c r="L3620" s="246"/>
      <c r="M3620" s="245"/>
      <c r="N3620" s="245"/>
      <c r="O3620" s="245"/>
      <c r="P3620" s="245"/>
      <c r="Q3620" s="247"/>
      <c r="R3620" s="247"/>
      <c r="S3620" s="247"/>
      <c r="T3620" s="245"/>
      <c r="U3620" s="245"/>
      <c r="V3620" s="241"/>
      <c r="W3620" s="241"/>
      <c r="X3620" s="241"/>
    </row>
    <row r="3621" spans="1:24" ht="13.5" customHeight="1" x14ac:dyDescent="0.3">
      <c r="A3621" s="245"/>
      <c r="B3621" s="246"/>
      <c r="C3621" s="245"/>
      <c r="D3621" s="245"/>
      <c r="E3621" s="245"/>
      <c r="F3621" s="245"/>
      <c r="G3621" s="245"/>
      <c r="H3621" s="245"/>
      <c r="I3621" s="245"/>
      <c r="J3621" s="245"/>
      <c r="K3621" s="245"/>
      <c r="L3621" s="246"/>
      <c r="M3621" s="245"/>
      <c r="N3621" s="245"/>
      <c r="O3621" s="245"/>
      <c r="P3621" s="245"/>
      <c r="Q3621" s="247"/>
      <c r="R3621" s="247"/>
      <c r="S3621" s="247"/>
      <c r="T3621" s="245"/>
      <c r="U3621" s="245"/>
      <c r="V3621" s="241"/>
      <c r="W3621" s="241"/>
      <c r="X3621" s="241"/>
    </row>
    <row r="3622" spans="1:24" ht="13.5" customHeight="1" x14ac:dyDescent="0.3">
      <c r="A3622" s="245"/>
      <c r="B3622" s="246"/>
      <c r="C3622" s="245"/>
      <c r="D3622" s="245"/>
      <c r="E3622" s="245"/>
      <c r="F3622" s="245"/>
      <c r="G3622" s="245"/>
      <c r="H3622" s="245"/>
      <c r="I3622" s="245"/>
      <c r="J3622" s="245"/>
      <c r="K3622" s="245"/>
      <c r="L3622" s="246"/>
      <c r="M3622" s="245"/>
      <c r="N3622" s="245"/>
      <c r="O3622" s="245"/>
      <c r="P3622" s="245"/>
      <c r="Q3622" s="247"/>
      <c r="R3622" s="247"/>
      <c r="S3622" s="247"/>
      <c r="T3622" s="245"/>
      <c r="U3622" s="245"/>
      <c r="V3622" s="241"/>
      <c r="W3622" s="241"/>
      <c r="X3622" s="241"/>
    </row>
    <row r="3623" spans="1:24" ht="13.5" customHeight="1" x14ac:dyDescent="0.3">
      <c r="A3623" s="245"/>
      <c r="B3623" s="246"/>
      <c r="C3623" s="245"/>
      <c r="D3623" s="245"/>
      <c r="E3623" s="245"/>
      <c r="F3623" s="245"/>
      <c r="G3623" s="245"/>
      <c r="H3623" s="245"/>
      <c r="I3623" s="245"/>
      <c r="J3623" s="245"/>
      <c r="K3623" s="245"/>
      <c r="L3623" s="246"/>
      <c r="M3623" s="245"/>
      <c r="N3623" s="245"/>
      <c r="O3623" s="245"/>
      <c r="P3623" s="245"/>
      <c r="Q3623" s="247"/>
      <c r="R3623" s="247"/>
      <c r="S3623" s="247"/>
      <c r="T3623" s="245"/>
      <c r="U3623" s="245"/>
      <c r="V3623" s="241"/>
      <c r="W3623" s="241"/>
      <c r="X3623" s="241"/>
    </row>
    <row r="3624" spans="1:24" ht="13.5" customHeight="1" x14ac:dyDescent="0.3">
      <c r="A3624" s="245"/>
      <c r="B3624" s="246"/>
      <c r="C3624" s="245"/>
      <c r="D3624" s="245"/>
      <c r="E3624" s="245"/>
      <c r="F3624" s="245"/>
      <c r="G3624" s="245"/>
      <c r="H3624" s="245"/>
      <c r="I3624" s="245"/>
      <c r="J3624" s="245"/>
      <c r="K3624" s="245"/>
      <c r="L3624" s="246"/>
      <c r="M3624" s="245"/>
      <c r="N3624" s="245"/>
      <c r="O3624" s="245"/>
      <c r="P3624" s="245"/>
      <c r="Q3624" s="247"/>
      <c r="R3624" s="247"/>
      <c r="S3624" s="247"/>
      <c r="T3624" s="245"/>
      <c r="U3624" s="245"/>
      <c r="V3624" s="241"/>
      <c r="W3624" s="241"/>
      <c r="X3624" s="241"/>
    </row>
    <row r="3625" spans="1:24" ht="13.5" customHeight="1" x14ac:dyDescent="0.3">
      <c r="A3625" s="245"/>
      <c r="B3625" s="246"/>
      <c r="C3625" s="245"/>
      <c r="D3625" s="245"/>
      <c r="E3625" s="245"/>
      <c r="F3625" s="245"/>
      <c r="G3625" s="245"/>
      <c r="H3625" s="245"/>
      <c r="I3625" s="245"/>
      <c r="J3625" s="245"/>
      <c r="K3625" s="245"/>
      <c r="L3625" s="246"/>
      <c r="M3625" s="245"/>
      <c r="N3625" s="245"/>
      <c r="O3625" s="245"/>
      <c r="P3625" s="245"/>
      <c r="Q3625" s="247"/>
      <c r="R3625" s="247"/>
      <c r="S3625" s="247"/>
      <c r="T3625" s="245"/>
      <c r="U3625" s="245"/>
      <c r="V3625" s="241"/>
      <c r="W3625" s="241"/>
      <c r="X3625" s="241"/>
    </row>
    <row r="3626" spans="1:24" ht="13.5" customHeight="1" x14ac:dyDescent="0.3">
      <c r="A3626" s="245"/>
      <c r="B3626" s="246"/>
      <c r="C3626" s="245"/>
      <c r="D3626" s="245"/>
      <c r="E3626" s="245"/>
      <c r="F3626" s="245"/>
      <c r="G3626" s="245"/>
      <c r="H3626" s="245"/>
      <c r="I3626" s="245"/>
      <c r="J3626" s="245"/>
      <c r="K3626" s="245"/>
      <c r="L3626" s="246"/>
      <c r="M3626" s="245"/>
      <c r="N3626" s="245"/>
      <c r="O3626" s="245"/>
      <c r="P3626" s="245"/>
      <c r="Q3626" s="247"/>
      <c r="R3626" s="247"/>
      <c r="S3626" s="247"/>
      <c r="T3626" s="245"/>
      <c r="U3626" s="245"/>
      <c r="V3626" s="241"/>
      <c r="W3626" s="241"/>
      <c r="X3626" s="241"/>
    </row>
    <row r="3627" spans="1:24" ht="13.5" customHeight="1" x14ac:dyDescent="0.3">
      <c r="A3627" s="245"/>
      <c r="B3627" s="246"/>
      <c r="C3627" s="245"/>
      <c r="D3627" s="245"/>
      <c r="E3627" s="245"/>
      <c r="F3627" s="245"/>
      <c r="G3627" s="245"/>
      <c r="H3627" s="245"/>
      <c r="I3627" s="245"/>
      <c r="J3627" s="245"/>
      <c r="K3627" s="245"/>
      <c r="L3627" s="246"/>
      <c r="M3627" s="245"/>
      <c r="N3627" s="245"/>
      <c r="O3627" s="245"/>
      <c r="P3627" s="245"/>
      <c r="Q3627" s="247"/>
      <c r="R3627" s="247"/>
      <c r="S3627" s="247"/>
      <c r="T3627" s="245"/>
      <c r="U3627" s="245"/>
      <c r="V3627" s="241"/>
      <c r="W3627" s="241"/>
      <c r="X3627" s="241"/>
    </row>
    <row r="3628" spans="1:24" ht="13.5" customHeight="1" x14ac:dyDescent="0.3">
      <c r="A3628" s="245"/>
      <c r="B3628" s="246"/>
      <c r="C3628" s="245"/>
      <c r="D3628" s="245"/>
      <c r="E3628" s="245"/>
      <c r="F3628" s="245"/>
      <c r="G3628" s="245"/>
      <c r="H3628" s="245"/>
      <c r="I3628" s="245"/>
      <c r="J3628" s="245"/>
      <c r="K3628" s="245"/>
      <c r="L3628" s="246"/>
      <c r="M3628" s="245"/>
      <c r="N3628" s="245"/>
      <c r="O3628" s="245"/>
      <c r="P3628" s="245"/>
      <c r="Q3628" s="247"/>
      <c r="R3628" s="247"/>
      <c r="S3628" s="247"/>
      <c r="T3628" s="245"/>
      <c r="U3628" s="245"/>
      <c r="V3628" s="241"/>
      <c r="W3628" s="241"/>
      <c r="X3628" s="241"/>
    </row>
    <row r="3629" spans="1:24" ht="13.5" customHeight="1" x14ac:dyDescent="0.3">
      <c r="A3629" s="245"/>
      <c r="B3629" s="246"/>
      <c r="C3629" s="245"/>
      <c r="D3629" s="245"/>
      <c r="E3629" s="245"/>
      <c r="F3629" s="245"/>
      <c r="G3629" s="245"/>
      <c r="H3629" s="245"/>
      <c r="I3629" s="245"/>
      <c r="J3629" s="245"/>
      <c r="K3629" s="245"/>
      <c r="L3629" s="246"/>
      <c r="M3629" s="245"/>
      <c r="N3629" s="245"/>
      <c r="O3629" s="245"/>
      <c r="P3629" s="245"/>
      <c r="Q3629" s="247"/>
      <c r="R3629" s="247"/>
      <c r="S3629" s="247"/>
      <c r="T3629" s="245"/>
      <c r="U3629" s="245"/>
      <c r="V3629" s="241"/>
      <c r="W3629" s="241"/>
      <c r="X3629" s="241"/>
    </row>
    <row r="3630" spans="1:24" ht="13.5" customHeight="1" x14ac:dyDescent="0.3">
      <c r="A3630" s="245"/>
      <c r="B3630" s="246"/>
      <c r="C3630" s="245"/>
      <c r="D3630" s="245"/>
      <c r="E3630" s="245"/>
      <c r="F3630" s="245"/>
      <c r="G3630" s="245"/>
      <c r="H3630" s="245"/>
      <c r="I3630" s="245"/>
      <c r="J3630" s="245"/>
      <c r="K3630" s="245"/>
      <c r="L3630" s="246"/>
      <c r="M3630" s="245"/>
      <c r="N3630" s="245"/>
      <c r="O3630" s="245"/>
      <c r="P3630" s="245"/>
      <c r="Q3630" s="247"/>
      <c r="R3630" s="247"/>
      <c r="S3630" s="247"/>
      <c r="T3630" s="245"/>
      <c r="U3630" s="245"/>
      <c r="V3630" s="241"/>
      <c r="W3630" s="241"/>
      <c r="X3630" s="241"/>
    </row>
    <row r="3631" spans="1:24" ht="13.5" customHeight="1" x14ac:dyDescent="0.3">
      <c r="A3631" s="245"/>
      <c r="B3631" s="246"/>
      <c r="C3631" s="245"/>
      <c r="D3631" s="245"/>
      <c r="E3631" s="245"/>
      <c r="F3631" s="245"/>
      <c r="G3631" s="245"/>
      <c r="H3631" s="245"/>
      <c r="I3631" s="245"/>
      <c r="J3631" s="245"/>
      <c r="K3631" s="245"/>
      <c r="L3631" s="246"/>
      <c r="M3631" s="245"/>
      <c r="N3631" s="245"/>
      <c r="O3631" s="245"/>
      <c r="P3631" s="245"/>
      <c r="Q3631" s="247"/>
      <c r="R3631" s="247"/>
      <c r="S3631" s="247"/>
      <c r="T3631" s="245"/>
      <c r="U3631" s="245"/>
      <c r="V3631" s="241"/>
      <c r="W3631" s="241"/>
      <c r="X3631" s="241"/>
    </row>
    <row r="3632" spans="1:24" ht="13.5" customHeight="1" x14ac:dyDescent="0.3">
      <c r="A3632" s="245"/>
      <c r="B3632" s="246"/>
      <c r="C3632" s="245"/>
      <c r="D3632" s="245"/>
      <c r="E3632" s="245"/>
      <c r="F3632" s="245"/>
      <c r="G3632" s="245"/>
      <c r="H3632" s="245"/>
      <c r="I3632" s="245"/>
      <c r="J3632" s="245"/>
      <c r="K3632" s="245"/>
      <c r="L3632" s="246"/>
      <c r="M3632" s="245"/>
      <c r="N3632" s="245"/>
      <c r="O3632" s="245"/>
      <c r="P3632" s="245"/>
      <c r="Q3632" s="247"/>
      <c r="R3632" s="247"/>
      <c r="S3632" s="247"/>
      <c r="T3632" s="245"/>
      <c r="U3632" s="245"/>
      <c r="V3632" s="241"/>
      <c r="W3632" s="241"/>
      <c r="X3632" s="241"/>
    </row>
    <row r="3633" spans="1:24" ht="13.5" customHeight="1" x14ac:dyDescent="0.3">
      <c r="A3633" s="245"/>
      <c r="B3633" s="246"/>
      <c r="C3633" s="245"/>
      <c r="D3633" s="245"/>
      <c r="E3633" s="245"/>
      <c r="F3633" s="245"/>
      <c r="G3633" s="245"/>
      <c r="H3633" s="245"/>
      <c r="I3633" s="245"/>
      <c r="J3633" s="245"/>
      <c r="K3633" s="245"/>
      <c r="L3633" s="246"/>
      <c r="M3633" s="245"/>
      <c r="N3633" s="245"/>
      <c r="O3633" s="245"/>
      <c r="P3633" s="245"/>
      <c r="Q3633" s="247"/>
      <c r="R3633" s="247"/>
      <c r="S3633" s="247"/>
      <c r="T3633" s="245"/>
      <c r="U3633" s="245"/>
      <c r="V3633" s="241"/>
      <c r="W3633" s="241"/>
      <c r="X3633" s="241"/>
    </row>
    <row r="3634" spans="1:24" ht="13.5" customHeight="1" x14ac:dyDescent="0.3">
      <c r="A3634" s="245"/>
      <c r="B3634" s="246"/>
      <c r="C3634" s="245"/>
      <c r="D3634" s="245"/>
      <c r="E3634" s="245"/>
      <c r="F3634" s="245"/>
      <c r="G3634" s="245"/>
      <c r="H3634" s="245"/>
      <c r="I3634" s="245"/>
      <c r="J3634" s="245"/>
      <c r="K3634" s="245"/>
      <c r="L3634" s="246"/>
      <c r="M3634" s="245"/>
      <c r="N3634" s="245"/>
      <c r="O3634" s="245"/>
      <c r="P3634" s="245"/>
      <c r="Q3634" s="247"/>
      <c r="R3634" s="247"/>
      <c r="S3634" s="247"/>
      <c r="T3634" s="245"/>
      <c r="U3634" s="245"/>
      <c r="V3634" s="241"/>
      <c r="W3634" s="241"/>
      <c r="X3634" s="241"/>
    </row>
    <row r="3635" spans="1:24" ht="13.5" customHeight="1" x14ac:dyDescent="0.3">
      <c r="A3635" s="245"/>
      <c r="B3635" s="246"/>
      <c r="C3635" s="245"/>
      <c r="D3635" s="245"/>
      <c r="E3635" s="245"/>
      <c r="F3635" s="245"/>
      <c r="G3635" s="245"/>
      <c r="H3635" s="245"/>
      <c r="I3635" s="245"/>
      <c r="J3635" s="245"/>
      <c r="K3635" s="245"/>
      <c r="L3635" s="246"/>
      <c r="M3635" s="245"/>
      <c r="N3635" s="245"/>
      <c r="O3635" s="245"/>
      <c r="P3635" s="245"/>
      <c r="Q3635" s="247"/>
      <c r="R3635" s="247"/>
      <c r="S3635" s="247"/>
      <c r="T3635" s="245"/>
      <c r="U3635" s="245"/>
      <c r="V3635" s="241"/>
      <c r="W3635" s="241"/>
      <c r="X3635" s="241"/>
    </row>
    <row r="3636" spans="1:24" ht="13.5" customHeight="1" x14ac:dyDescent="0.3">
      <c r="A3636" s="245"/>
      <c r="B3636" s="246"/>
      <c r="C3636" s="245"/>
      <c r="D3636" s="245"/>
      <c r="E3636" s="245"/>
      <c r="F3636" s="245"/>
      <c r="G3636" s="245"/>
      <c r="H3636" s="245"/>
      <c r="I3636" s="245"/>
      <c r="J3636" s="245"/>
      <c r="K3636" s="245"/>
      <c r="L3636" s="246"/>
      <c r="M3636" s="245"/>
      <c r="N3636" s="245"/>
      <c r="O3636" s="245"/>
      <c r="P3636" s="245"/>
      <c r="Q3636" s="247"/>
      <c r="R3636" s="247"/>
      <c r="S3636" s="247"/>
      <c r="T3636" s="245"/>
      <c r="U3636" s="245"/>
      <c r="V3636" s="241"/>
      <c r="W3636" s="241"/>
      <c r="X3636" s="241"/>
    </row>
    <row r="3637" spans="1:24" ht="13.5" customHeight="1" x14ac:dyDescent="0.3">
      <c r="A3637" s="245"/>
      <c r="B3637" s="246"/>
      <c r="C3637" s="245"/>
      <c r="D3637" s="245"/>
      <c r="E3637" s="245"/>
      <c r="F3637" s="245"/>
      <c r="G3637" s="245"/>
      <c r="H3637" s="245"/>
      <c r="I3637" s="245"/>
      <c r="J3637" s="245"/>
      <c r="K3637" s="245"/>
      <c r="L3637" s="246"/>
      <c r="M3637" s="245"/>
      <c r="N3637" s="245"/>
      <c r="O3637" s="245"/>
      <c r="P3637" s="245"/>
      <c r="Q3637" s="247"/>
      <c r="R3637" s="247"/>
      <c r="S3637" s="247"/>
      <c r="T3637" s="245"/>
      <c r="U3637" s="245"/>
      <c r="V3637" s="241"/>
      <c r="W3637" s="241"/>
      <c r="X3637" s="241"/>
    </row>
    <row r="3638" spans="1:24" ht="13.5" customHeight="1" x14ac:dyDescent="0.3">
      <c r="A3638" s="245"/>
      <c r="B3638" s="246"/>
      <c r="C3638" s="245"/>
      <c r="D3638" s="245"/>
      <c r="E3638" s="245"/>
      <c r="F3638" s="245"/>
      <c r="G3638" s="245"/>
      <c r="H3638" s="245"/>
      <c r="I3638" s="245"/>
      <c r="J3638" s="245"/>
      <c r="K3638" s="245"/>
      <c r="L3638" s="246"/>
      <c r="M3638" s="245"/>
      <c r="N3638" s="245"/>
      <c r="O3638" s="245"/>
      <c r="P3638" s="245"/>
      <c r="Q3638" s="247"/>
      <c r="R3638" s="247"/>
      <c r="S3638" s="247"/>
      <c r="T3638" s="245"/>
      <c r="U3638" s="245"/>
      <c r="V3638" s="241"/>
      <c r="W3638" s="241"/>
      <c r="X3638" s="241"/>
    </row>
    <row r="3639" spans="1:24" ht="13.5" customHeight="1" x14ac:dyDescent="0.3">
      <c r="A3639" s="245"/>
      <c r="B3639" s="246"/>
      <c r="C3639" s="245"/>
      <c r="D3639" s="245"/>
      <c r="E3639" s="245"/>
      <c r="F3639" s="245"/>
      <c r="G3639" s="245"/>
      <c r="H3639" s="245"/>
      <c r="I3639" s="245"/>
      <c r="J3639" s="245"/>
      <c r="K3639" s="245"/>
      <c r="L3639" s="246"/>
      <c r="M3639" s="245"/>
      <c r="N3639" s="245"/>
      <c r="O3639" s="245"/>
      <c r="P3639" s="245"/>
      <c r="Q3639" s="247"/>
      <c r="R3639" s="247"/>
      <c r="S3639" s="247"/>
      <c r="T3639" s="245"/>
      <c r="U3639" s="245"/>
      <c r="V3639" s="241"/>
      <c r="W3639" s="241"/>
      <c r="X3639" s="241"/>
    </row>
    <row r="3640" spans="1:24" ht="13.5" customHeight="1" x14ac:dyDescent="0.3">
      <c r="A3640" s="245"/>
      <c r="B3640" s="246"/>
      <c r="C3640" s="245"/>
      <c r="D3640" s="245"/>
      <c r="E3640" s="245"/>
      <c r="F3640" s="245"/>
      <c r="G3640" s="245"/>
      <c r="H3640" s="245"/>
      <c r="I3640" s="245"/>
      <c r="J3640" s="245"/>
      <c r="K3640" s="245"/>
      <c r="L3640" s="246"/>
      <c r="M3640" s="245"/>
      <c r="N3640" s="245"/>
      <c r="O3640" s="245"/>
      <c r="P3640" s="245"/>
      <c r="Q3640" s="247"/>
      <c r="R3640" s="247"/>
      <c r="S3640" s="247"/>
      <c r="T3640" s="245"/>
      <c r="U3640" s="245"/>
      <c r="V3640" s="241"/>
      <c r="W3640" s="241"/>
      <c r="X3640" s="241"/>
    </row>
    <row r="3641" spans="1:24" ht="13.5" customHeight="1" x14ac:dyDescent="0.3">
      <c r="A3641" s="245"/>
      <c r="B3641" s="246"/>
      <c r="C3641" s="245"/>
      <c r="D3641" s="245"/>
      <c r="E3641" s="245"/>
      <c r="F3641" s="245"/>
      <c r="G3641" s="245"/>
      <c r="H3641" s="245"/>
      <c r="I3641" s="245"/>
      <c r="J3641" s="245"/>
      <c r="K3641" s="245"/>
      <c r="L3641" s="246"/>
      <c r="M3641" s="245"/>
      <c r="N3641" s="245"/>
      <c r="O3641" s="245"/>
      <c r="P3641" s="245"/>
      <c r="Q3641" s="247"/>
      <c r="R3641" s="247"/>
      <c r="S3641" s="247"/>
      <c r="T3641" s="245"/>
      <c r="U3641" s="245"/>
      <c r="V3641" s="241"/>
      <c r="W3641" s="241"/>
      <c r="X3641" s="241"/>
    </row>
    <row r="3642" spans="1:24" ht="13.5" customHeight="1" x14ac:dyDescent="0.3">
      <c r="A3642" s="245"/>
      <c r="B3642" s="246"/>
      <c r="C3642" s="245"/>
      <c r="D3642" s="245"/>
      <c r="E3642" s="245"/>
      <c r="F3642" s="245"/>
      <c r="G3642" s="245"/>
      <c r="H3642" s="245"/>
      <c r="I3642" s="245"/>
      <c r="J3642" s="245"/>
      <c r="K3642" s="245"/>
      <c r="L3642" s="246"/>
      <c r="M3642" s="245"/>
      <c r="N3642" s="245"/>
      <c r="O3642" s="245"/>
      <c r="P3642" s="245"/>
      <c r="Q3642" s="247"/>
      <c r="R3642" s="247"/>
      <c r="S3642" s="247"/>
      <c r="T3642" s="245"/>
      <c r="U3642" s="245"/>
      <c r="V3642" s="241"/>
      <c r="W3642" s="241"/>
      <c r="X3642" s="241"/>
    </row>
    <row r="3643" spans="1:24" ht="13.5" customHeight="1" x14ac:dyDescent="0.3">
      <c r="A3643" s="245"/>
      <c r="B3643" s="246"/>
      <c r="C3643" s="245"/>
      <c r="D3643" s="245"/>
      <c r="E3643" s="245"/>
      <c r="F3643" s="245"/>
      <c r="G3643" s="245"/>
      <c r="H3643" s="245"/>
      <c r="I3643" s="245"/>
      <c r="J3643" s="245"/>
      <c r="K3643" s="245"/>
      <c r="L3643" s="246"/>
      <c r="M3643" s="245"/>
      <c r="N3643" s="245"/>
      <c r="O3643" s="245"/>
      <c r="P3643" s="245"/>
      <c r="Q3643" s="247"/>
      <c r="R3643" s="247"/>
      <c r="S3643" s="247"/>
      <c r="T3643" s="245"/>
      <c r="U3643" s="245"/>
      <c r="V3643" s="241"/>
      <c r="W3643" s="241"/>
      <c r="X3643" s="241"/>
    </row>
    <row r="3644" spans="1:24" ht="13.5" customHeight="1" x14ac:dyDescent="0.3">
      <c r="A3644" s="245"/>
      <c r="B3644" s="246"/>
      <c r="C3644" s="245"/>
      <c r="D3644" s="245"/>
      <c r="E3644" s="245"/>
      <c r="F3644" s="245"/>
      <c r="G3644" s="245"/>
      <c r="H3644" s="245"/>
      <c r="I3644" s="245"/>
      <c r="J3644" s="245"/>
      <c r="K3644" s="245"/>
      <c r="L3644" s="246"/>
      <c r="M3644" s="245"/>
      <c r="N3644" s="245"/>
      <c r="O3644" s="245"/>
      <c r="P3644" s="245"/>
      <c r="Q3644" s="247"/>
      <c r="R3644" s="247"/>
      <c r="S3644" s="247"/>
      <c r="T3644" s="245"/>
      <c r="U3644" s="245"/>
      <c r="V3644" s="241"/>
      <c r="W3644" s="241"/>
      <c r="X3644" s="241"/>
    </row>
    <row r="3645" spans="1:24" ht="13.5" customHeight="1" x14ac:dyDescent="0.3">
      <c r="A3645" s="245"/>
      <c r="B3645" s="246"/>
      <c r="C3645" s="245"/>
      <c r="D3645" s="245"/>
      <c r="E3645" s="245"/>
      <c r="F3645" s="245"/>
      <c r="G3645" s="245"/>
      <c r="H3645" s="245"/>
      <c r="I3645" s="245"/>
      <c r="J3645" s="245"/>
      <c r="K3645" s="245"/>
      <c r="L3645" s="246"/>
      <c r="M3645" s="245"/>
      <c r="N3645" s="245"/>
      <c r="O3645" s="245"/>
      <c r="P3645" s="245"/>
      <c r="Q3645" s="247"/>
      <c r="R3645" s="247"/>
      <c r="S3645" s="247"/>
      <c r="T3645" s="245"/>
      <c r="U3645" s="245"/>
      <c r="V3645" s="241"/>
      <c r="W3645" s="241"/>
      <c r="X3645" s="241"/>
    </row>
    <row r="3646" spans="1:24" ht="13.5" customHeight="1" x14ac:dyDescent="0.3">
      <c r="A3646" s="245"/>
      <c r="B3646" s="246"/>
      <c r="C3646" s="245"/>
      <c r="D3646" s="245"/>
      <c r="E3646" s="245"/>
      <c r="F3646" s="245"/>
      <c r="G3646" s="245"/>
      <c r="H3646" s="245"/>
      <c r="I3646" s="245"/>
      <c r="J3646" s="245"/>
      <c r="K3646" s="245"/>
      <c r="L3646" s="246"/>
      <c r="M3646" s="245"/>
      <c r="N3646" s="245"/>
      <c r="O3646" s="245"/>
      <c r="P3646" s="245"/>
      <c r="Q3646" s="247"/>
      <c r="R3646" s="247"/>
      <c r="S3646" s="247"/>
      <c r="T3646" s="245"/>
      <c r="U3646" s="245"/>
      <c r="V3646" s="241"/>
      <c r="W3646" s="241"/>
      <c r="X3646" s="241"/>
    </row>
    <row r="3647" spans="1:24" ht="13.5" customHeight="1" x14ac:dyDescent="0.3">
      <c r="A3647" s="245"/>
      <c r="B3647" s="246"/>
      <c r="C3647" s="245"/>
      <c r="D3647" s="245"/>
      <c r="E3647" s="245"/>
      <c r="F3647" s="245"/>
      <c r="G3647" s="245"/>
      <c r="H3647" s="245"/>
      <c r="I3647" s="245"/>
      <c r="J3647" s="245"/>
      <c r="K3647" s="245"/>
      <c r="L3647" s="246"/>
      <c r="M3647" s="245"/>
      <c r="N3647" s="245"/>
      <c r="O3647" s="245"/>
      <c r="P3647" s="245"/>
      <c r="Q3647" s="247"/>
      <c r="R3647" s="247"/>
      <c r="S3647" s="247"/>
      <c r="T3647" s="245"/>
      <c r="U3647" s="245"/>
      <c r="V3647" s="241"/>
      <c r="W3647" s="241"/>
      <c r="X3647" s="241"/>
    </row>
    <row r="3648" spans="1:24" ht="13.5" customHeight="1" x14ac:dyDescent="0.3">
      <c r="A3648" s="245"/>
      <c r="B3648" s="246"/>
      <c r="C3648" s="245"/>
      <c r="D3648" s="245"/>
      <c r="E3648" s="245"/>
      <c r="F3648" s="245"/>
      <c r="G3648" s="245"/>
      <c r="H3648" s="245"/>
      <c r="I3648" s="245"/>
      <c r="J3648" s="245"/>
      <c r="K3648" s="245"/>
      <c r="L3648" s="246"/>
      <c r="M3648" s="245"/>
      <c r="N3648" s="245"/>
      <c r="O3648" s="245"/>
      <c r="P3648" s="245"/>
      <c r="Q3648" s="247"/>
      <c r="R3648" s="247"/>
      <c r="S3648" s="247"/>
      <c r="T3648" s="245"/>
      <c r="U3648" s="245"/>
      <c r="V3648" s="241"/>
      <c r="W3648" s="241"/>
      <c r="X3648" s="241"/>
    </row>
    <row r="3649" spans="1:24" ht="13.5" customHeight="1" x14ac:dyDescent="0.3">
      <c r="A3649" s="245"/>
      <c r="B3649" s="246"/>
      <c r="C3649" s="245"/>
      <c r="D3649" s="245"/>
      <c r="E3649" s="245"/>
      <c r="F3649" s="245"/>
      <c r="G3649" s="245"/>
      <c r="H3649" s="245"/>
      <c r="I3649" s="245"/>
      <c r="J3649" s="245"/>
      <c r="K3649" s="245"/>
      <c r="L3649" s="246"/>
      <c r="M3649" s="245"/>
      <c r="N3649" s="245"/>
      <c r="O3649" s="245"/>
      <c r="P3649" s="245"/>
      <c r="Q3649" s="247"/>
      <c r="R3649" s="247"/>
      <c r="S3649" s="247"/>
      <c r="T3649" s="245"/>
      <c r="U3649" s="245"/>
      <c r="V3649" s="241"/>
      <c r="W3649" s="241"/>
      <c r="X3649" s="241"/>
    </row>
    <row r="3650" spans="1:24" ht="13.5" customHeight="1" x14ac:dyDescent="0.3">
      <c r="A3650" s="245"/>
      <c r="B3650" s="246"/>
      <c r="C3650" s="245"/>
      <c r="D3650" s="245"/>
      <c r="E3650" s="245"/>
      <c r="F3650" s="245"/>
      <c r="G3650" s="245"/>
      <c r="H3650" s="245"/>
      <c r="I3650" s="245"/>
      <c r="J3650" s="245"/>
      <c r="K3650" s="245"/>
      <c r="L3650" s="246"/>
      <c r="M3650" s="245"/>
      <c r="N3650" s="245"/>
      <c r="O3650" s="245"/>
      <c r="P3650" s="245"/>
      <c r="Q3650" s="247"/>
      <c r="R3650" s="247"/>
      <c r="S3650" s="247"/>
      <c r="T3650" s="245"/>
      <c r="U3650" s="245"/>
      <c r="V3650" s="241"/>
      <c r="W3650" s="241"/>
      <c r="X3650" s="241"/>
    </row>
    <row r="3651" spans="1:24" ht="13.5" customHeight="1" x14ac:dyDescent="0.3">
      <c r="A3651" s="245"/>
      <c r="B3651" s="246"/>
      <c r="C3651" s="245"/>
      <c r="D3651" s="245"/>
      <c r="E3651" s="245"/>
      <c r="F3651" s="245"/>
      <c r="G3651" s="245"/>
      <c r="H3651" s="245"/>
      <c r="I3651" s="245"/>
      <c r="J3651" s="245"/>
      <c r="K3651" s="245"/>
      <c r="L3651" s="246"/>
      <c r="M3651" s="245"/>
      <c r="N3651" s="245"/>
      <c r="O3651" s="245"/>
      <c r="P3651" s="245"/>
      <c r="Q3651" s="247"/>
      <c r="R3651" s="247"/>
      <c r="S3651" s="247"/>
      <c r="T3651" s="245"/>
      <c r="U3651" s="245"/>
      <c r="V3651" s="241"/>
      <c r="W3651" s="241"/>
      <c r="X3651" s="241"/>
    </row>
    <row r="3652" spans="1:24" ht="13.5" customHeight="1" x14ac:dyDescent="0.3">
      <c r="A3652" s="245"/>
      <c r="B3652" s="246"/>
      <c r="C3652" s="245"/>
      <c r="D3652" s="245"/>
      <c r="E3652" s="245"/>
      <c r="F3652" s="245"/>
      <c r="G3652" s="245"/>
      <c r="H3652" s="245"/>
      <c r="I3652" s="245"/>
      <c r="J3652" s="245"/>
      <c r="K3652" s="245"/>
      <c r="L3652" s="246"/>
      <c r="M3652" s="245"/>
      <c r="N3652" s="245"/>
      <c r="O3652" s="245"/>
      <c r="P3652" s="245"/>
      <c r="Q3652" s="247"/>
      <c r="R3652" s="247"/>
      <c r="S3652" s="247"/>
      <c r="T3652" s="245"/>
      <c r="U3652" s="245"/>
      <c r="V3652" s="241"/>
      <c r="W3652" s="241"/>
      <c r="X3652" s="241"/>
    </row>
    <row r="3653" spans="1:24" ht="13.5" customHeight="1" x14ac:dyDescent="0.3">
      <c r="A3653" s="245"/>
      <c r="B3653" s="246"/>
      <c r="C3653" s="245"/>
      <c r="D3653" s="245"/>
      <c r="E3653" s="245"/>
      <c r="F3653" s="245"/>
      <c r="G3653" s="245"/>
      <c r="H3653" s="245"/>
      <c r="I3653" s="245"/>
      <c r="J3653" s="245"/>
      <c r="K3653" s="245"/>
      <c r="L3653" s="246"/>
      <c r="M3653" s="245"/>
      <c r="N3653" s="245"/>
      <c r="O3653" s="245"/>
      <c r="P3653" s="245"/>
      <c r="Q3653" s="247"/>
      <c r="R3653" s="247"/>
      <c r="S3653" s="247"/>
      <c r="T3653" s="245"/>
      <c r="U3653" s="245"/>
      <c r="V3653" s="241"/>
      <c r="W3653" s="241"/>
      <c r="X3653" s="241"/>
    </row>
    <row r="3654" spans="1:24" ht="13.5" customHeight="1" x14ac:dyDescent="0.3">
      <c r="A3654" s="245"/>
      <c r="B3654" s="246"/>
      <c r="C3654" s="245"/>
      <c r="D3654" s="245"/>
      <c r="E3654" s="245"/>
      <c r="F3654" s="245"/>
      <c r="G3654" s="245"/>
      <c r="H3654" s="245"/>
      <c r="I3654" s="245"/>
      <c r="J3654" s="245"/>
      <c r="K3654" s="245"/>
      <c r="L3654" s="246"/>
      <c r="M3654" s="245"/>
      <c r="N3654" s="245"/>
      <c r="O3654" s="245"/>
      <c r="P3654" s="245"/>
      <c r="Q3654" s="247"/>
      <c r="R3654" s="247"/>
      <c r="S3654" s="247"/>
      <c r="T3654" s="245"/>
      <c r="U3654" s="245"/>
      <c r="V3654" s="241"/>
      <c r="W3654" s="241"/>
      <c r="X3654" s="241"/>
    </row>
    <row r="3655" spans="1:24" ht="13.5" customHeight="1" x14ac:dyDescent="0.3">
      <c r="A3655" s="245"/>
      <c r="B3655" s="246"/>
      <c r="C3655" s="245"/>
      <c r="D3655" s="245"/>
      <c r="E3655" s="245"/>
      <c r="F3655" s="245"/>
      <c r="G3655" s="245"/>
      <c r="H3655" s="245"/>
      <c r="I3655" s="245"/>
      <c r="J3655" s="245"/>
      <c r="K3655" s="245"/>
      <c r="L3655" s="246"/>
      <c r="M3655" s="245"/>
      <c r="N3655" s="245"/>
      <c r="O3655" s="245"/>
      <c r="P3655" s="245"/>
      <c r="Q3655" s="247"/>
      <c r="R3655" s="247"/>
      <c r="S3655" s="247"/>
      <c r="T3655" s="245"/>
      <c r="U3655" s="245"/>
      <c r="V3655" s="241"/>
      <c r="W3655" s="241"/>
      <c r="X3655" s="241"/>
    </row>
    <row r="3656" spans="1:24" ht="13.5" customHeight="1" x14ac:dyDescent="0.3">
      <c r="A3656" s="245"/>
      <c r="B3656" s="246"/>
      <c r="C3656" s="245"/>
      <c r="D3656" s="245"/>
      <c r="E3656" s="245"/>
      <c r="F3656" s="245"/>
      <c r="G3656" s="245"/>
      <c r="H3656" s="245"/>
      <c r="I3656" s="245"/>
      <c r="J3656" s="245"/>
      <c r="K3656" s="245"/>
      <c r="L3656" s="246"/>
      <c r="M3656" s="245"/>
      <c r="N3656" s="245"/>
      <c r="O3656" s="245"/>
      <c r="P3656" s="245"/>
      <c r="Q3656" s="247"/>
      <c r="R3656" s="247"/>
      <c r="S3656" s="247"/>
      <c r="T3656" s="245"/>
      <c r="U3656" s="245"/>
      <c r="V3656" s="241"/>
      <c r="W3656" s="241"/>
      <c r="X3656" s="241"/>
    </row>
    <row r="3657" spans="1:24" ht="13.5" customHeight="1" x14ac:dyDescent="0.3">
      <c r="A3657" s="245"/>
      <c r="B3657" s="246"/>
      <c r="C3657" s="245"/>
      <c r="D3657" s="245"/>
      <c r="E3657" s="245"/>
      <c r="F3657" s="245"/>
      <c r="G3657" s="245"/>
      <c r="H3657" s="245"/>
      <c r="I3657" s="245"/>
      <c r="J3657" s="245"/>
      <c r="K3657" s="245"/>
      <c r="L3657" s="246"/>
      <c r="M3657" s="245"/>
      <c r="N3657" s="245"/>
      <c r="O3657" s="245"/>
      <c r="P3657" s="245"/>
      <c r="Q3657" s="247"/>
      <c r="R3657" s="247"/>
      <c r="S3657" s="247"/>
      <c r="T3657" s="245"/>
      <c r="U3657" s="245"/>
      <c r="V3657" s="241"/>
      <c r="W3657" s="241"/>
      <c r="X3657" s="241"/>
    </row>
    <row r="3658" spans="1:24" ht="13.5" customHeight="1" x14ac:dyDescent="0.3">
      <c r="A3658" s="245"/>
      <c r="B3658" s="246"/>
      <c r="C3658" s="245"/>
      <c r="D3658" s="245"/>
      <c r="E3658" s="245"/>
      <c r="F3658" s="245"/>
      <c r="G3658" s="245"/>
      <c r="H3658" s="245"/>
      <c r="I3658" s="245"/>
      <c r="J3658" s="245"/>
      <c r="K3658" s="245"/>
      <c r="L3658" s="246"/>
      <c r="M3658" s="245"/>
      <c r="N3658" s="245"/>
      <c r="O3658" s="245"/>
      <c r="P3658" s="245"/>
      <c r="Q3658" s="247"/>
      <c r="R3658" s="247"/>
      <c r="S3658" s="247"/>
      <c r="T3658" s="245"/>
      <c r="U3658" s="245"/>
      <c r="V3658" s="241"/>
      <c r="W3658" s="241"/>
      <c r="X3658" s="241"/>
    </row>
    <row r="3659" spans="1:24" ht="13.5" customHeight="1" x14ac:dyDescent="0.3">
      <c r="A3659" s="245"/>
      <c r="B3659" s="246"/>
      <c r="C3659" s="245"/>
      <c r="D3659" s="245"/>
      <c r="E3659" s="245"/>
      <c r="F3659" s="245"/>
      <c r="G3659" s="245"/>
      <c r="H3659" s="245"/>
      <c r="I3659" s="245"/>
      <c r="J3659" s="245"/>
      <c r="K3659" s="245"/>
      <c r="L3659" s="246"/>
      <c r="M3659" s="245"/>
      <c r="N3659" s="245"/>
      <c r="O3659" s="245"/>
      <c r="P3659" s="245"/>
      <c r="Q3659" s="247"/>
      <c r="R3659" s="247"/>
      <c r="S3659" s="247"/>
      <c r="T3659" s="245"/>
      <c r="U3659" s="245"/>
      <c r="V3659" s="241"/>
      <c r="W3659" s="241"/>
      <c r="X3659" s="241"/>
    </row>
    <row r="3660" spans="1:24" ht="13.5" customHeight="1" x14ac:dyDescent="0.3">
      <c r="A3660" s="245"/>
      <c r="B3660" s="246"/>
      <c r="C3660" s="245"/>
      <c r="D3660" s="245"/>
      <c r="E3660" s="245"/>
      <c r="F3660" s="245"/>
      <c r="G3660" s="245"/>
      <c r="H3660" s="245"/>
      <c r="I3660" s="245"/>
      <c r="J3660" s="245"/>
      <c r="K3660" s="245"/>
      <c r="L3660" s="246"/>
      <c r="M3660" s="245"/>
      <c r="N3660" s="245"/>
      <c r="O3660" s="245"/>
      <c r="P3660" s="245"/>
      <c r="Q3660" s="247"/>
      <c r="R3660" s="247"/>
      <c r="S3660" s="247"/>
      <c r="T3660" s="245"/>
      <c r="U3660" s="245"/>
      <c r="V3660" s="241"/>
      <c r="W3660" s="241"/>
      <c r="X3660" s="241"/>
    </row>
    <row r="3661" spans="1:24" ht="13.5" customHeight="1" x14ac:dyDescent="0.3">
      <c r="A3661" s="245"/>
      <c r="B3661" s="246"/>
      <c r="C3661" s="245"/>
      <c r="D3661" s="245"/>
      <c r="E3661" s="245"/>
      <c r="F3661" s="245"/>
      <c r="G3661" s="245"/>
      <c r="H3661" s="245"/>
      <c r="I3661" s="245"/>
      <c r="J3661" s="245"/>
      <c r="K3661" s="245"/>
      <c r="L3661" s="246"/>
      <c r="M3661" s="245"/>
      <c r="N3661" s="245"/>
      <c r="O3661" s="245"/>
      <c r="P3661" s="245"/>
      <c r="Q3661" s="247"/>
      <c r="R3661" s="247"/>
      <c r="S3661" s="247"/>
      <c r="T3661" s="245"/>
      <c r="U3661" s="245"/>
      <c r="V3661" s="241"/>
      <c r="W3661" s="241"/>
      <c r="X3661" s="241"/>
    </row>
    <row r="3662" spans="1:24" ht="13.5" customHeight="1" x14ac:dyDescent="0.3">
      <c r="A3662" s="245"/>
      <c r="B3662" s="246"/>
      <c r="C3662" s="245"/>
      <c r="D3662" s="245"/>
      <c r="E3662" s="245"/>
      <c r="F3662" s="245"/>
      <c r="G3662" s="245"/>
      <c r="H3662" s="245"/>
      <c r="I3662" s="245"/>
      <c r="J3662" s="245"/>
      <c r="K3662" s="245"/>
      <c r="L3662" s="246"/>
      <c r="M3662" s="245"/>
      <c r="N3662" s="245"/>
      <c r="O3662" s="245"/>
      <c r="P3662" s="245"/>
      <c r="Q3662" s="247"/>
      <c r="R3662" s="247"/>
      <c r="S3662" s="247"/>
      <c r="T3662" s="245"/>
      <c r="U3662" s="245"/>
      <c r="V3662" s="241"/>
      <c r="W3662" s="241"/>
      <c r="X3662" s="241"/>
    </row>
    <row r="3663" spans="1:24" ht="13.5" customHeight="1" x14ac:dyDescent="0.3">
      <c r="A3663" s="245"/>
      <c r="B3663" s="246"/>
      <c r="C3663" s="245"/>
      <c r="D3663" s="245"/>
      <c r="E3663" s="245"/>
      <c r="F3663" s="245"/>
      <c r="G3663" s="245"/>
      <c r="H3663" s="245"/>
      <c r="I3663" s="245"/>
      <c r="J3663" s="245"/>
      <c r="K3663" s="245"/>
      <c r="L3663" s="246"/>
      <c r="M3663" s="245"/>
      <c r="N3663" s="245"/>
      <c r="O3663" s="245"/>
      <c r="P3663" s="245"/>
      <c r="Q3663" s="247"/>
      <c r="R3663" s="247"/>
      <c r="S3663" s="247"/>
      <c r="T3663" s="245"/>
      <c r="U3663" s="245"/>
      <c r="V3663" s="241"/>
      <c r="W3663" s="241"/>
      <c r="X3663" s="241"/>
    </row>
    <row r="3664" spans="1:24" ht="13.5" customHeight="1" x14ac:dyDescent="0.3">
      <c r="A3664" s="245"/>
      <c r="B3664" s="246"/>
      <c r="C3664" s="245"/>
      <c r="D3664" s="245"/>
      <c r="E3664" s="245"/>
      <c r="F3664" s="245"/>
      <c r="G3664" s="245"/>
      <c r="H3664" s="245"/>
      <c r="I3664" s="245"/>
      <c r="J3664" s="245"/>
      <c r="K3664" s="245"/>
      <c r="L3664" s="246"/>
      <c r="M3664" s="245"/>
      <c r="N3664" s="245"/>
      <c r="O3664" s="245"/>
      <c r="P3664" s="245"/>
      <c r="Q3664" s="247"/>
      <c r="R3664" s="247"/>
      <c r="S3664" s="247"/>
      <c r="T3664" s="245"/>
      <c r="U3664" s="245"/>
      <c r="V3664" s="241"/>
      <c r="W3664" s="241"/>
      <c r="X3664" s="241"/>
    </row>
    <row r="3665" spans="1:24" ht="13.5" customHeight="1" x14ac:dyDescent="0.3">
      <c r="A3665" s="245"/>
      <c r="B3665" s="246"/>
      <c r="C3665" s="245"/>
      <c r="D3665" s="245"/>
      <c r="E3665" s="245"/>
      <c r="F3665" s="245"/>
      <c r="G3665" s="245"/>
      <c r="H3665" s="245"/>
      <c r="I3665" s="245"/>
      <c r="J3665" s="245"/>
      <c r="K3665" s="245"/>
      <c r="L3665" s="246"/>
      <c r="M3665" s="245"/>
      <c r="N3665" s="245"/>
      <c r="O3665" s="245"/>
      <c r="P3665" s="245"/>
      <c r="Q3665" s="247"/>
      <c r="R3665" s="247"/>
      <c r="S3665" s="247"/>
      <c r="T3665" s="245"/>
      <c r="U3665" s="245"/>
      <c r="V3665" s="241"/>
      <c r="W3665" s="241"/>
      <c r="X3665" s="241"/>
    </row>
    <row r="3666" spans="1:24" ht="13.5" customHeight="1" x14ac:dyDescent="0.3">
      <c r="A3666" s="245"/>
      <c r="B3666" s="246"/>
      <c r="C3666" s="245"/>
      <c r="D3666" s="245"/>
      <c r="E3666" s="245"/>
      <c r="F3666" s="245"/>
      <c r="G3666" s="245"/>
      <c r="H3666" s="245"/>
      <c r="I3666" s="245"/>
      <c r="J3666" s="245"/>
      <c r="K3666" s="245"/>
      <c r="L3666" s="246"/>
      <c r="M3666" s="245"/>
      <c r="N3666" s="245"/>
      <c r="O3666" s="245"/>
      <c r="P3666" s="245"/>
      <c r="Q3666" s="247"/>
      <c r="R3666" s="247"/>
      <c r="S3666" s="247"/>
      <c r="T3666" s="245"/>
      <c r="U3666" s="245"/>
      <c r="V3666" s="241"/>
      <c r="W3666" s="241"/>
      <c r="X3666" s="241"/>
    </row>
    <row r="3667" spans="1:24" ht="13.5" customHeight="1" x14ac:dyDescent="0.3">
      <c r="A3667" s="245"/>
      <c r="B3667" s="246"/>
      <c r="C3667" s="245"/>
      <c r="D3667" s="245"/>
      <c r="E3667" s="245"/>
      <c r="F3667" s="245"/>
      <c r="G3667" s="245"/>
      <c r="H3667" s="245"/>
      <c r="I3667" s="245"/>
      <c r="J3667" s="245"/>
      <c r="K3667" s="245"/>
      <c r="L3667" s="246"/>
      <c r="M3667" s="245"/>
      <c r="N3667" s="245"/>
      <c r="O3667" s="245"/>
      <c r="P3667" s="245"/>
      <c r="Q3667" s="247"/>
      <c r="R3667" s="247"/>
      <c r="S3667" s="247"/>
      <c r="T3667" s="245"/>
      <c r="U3667" s="245"/>
      <c r="V3667" s="241"/>
      <c r="W3667" s="241"/>
      <c r="X3667" s="241"/>
    </row>
    <row r="3668" spans="1:24" ht="13.5" customHeight="1" x14ac:dyDescent="0.3">
      <c r="A3668" s="245"/>
      <c r="B3668" s="246"/>
      <c r="C3668" s="245"/>
      <c r="D3668" s="245"/>
      <c r="E3668" s="245"/>
      <c r="F3668" s="245"/>
      <c r="G3668" s="245"/>
      <c r="H3668" s="245"/>
      <c r="I3668" s="245"/>
      <c r="J3668" s="245"/>
      <c r="K3668" s="245"/>
      <c r="L3668" s="246"/>
      <c r="M3668" s="245"/>
      <c r="N3668" s="245"/>
      <c r="O3668" s="245"/>
      <c r="P3668" s="245"/>
      <c r="Q3668" s="247"/>
      <c r="R3668" s="247"/>
      <c r="S3668" s="247"/>
      <c r="T3668" s="245"/>
      <c r="U3668" s="245"/>
      <c r="V3668" s="241"/>
      <c r="W3668" s="241"/>
      <c r="X3668" s="241"/>
    </row>
    <row r="3669" spans="1:24" ht="13.5" customHeight="1" x14ac:dyDescent="0.3">
      <c r="A3669" s="245"/>
      <c r="B3669" s="246"/>
      <c r="C3669" s="245"/>
      <c r="D3669" s="245"/>
      <c r="E3669" s="245"/>
      <c r="F3669" s="245"/>
      <c r="G3669" s="245"/>
      <c r="H3669" s="245"/>
      <c r="I3669" s="245"/>
      <c r="J3669" s="245"/>
      <c r="K3669" s="245"/>
      <c r="L3669" s="246"/>
      <c r="M3669" s="245"/>
      <c r="N3669" s="245"/>
      <c r="O3669" s="245"/>
      <c r="P3669" s="245"/>
      <c r="Q3669" s="247"/>
      <c r="R3669" s="247"/>
      <c r="S3669" s="247"/>
      <c r="T3669" s="245"/>
      <c r="U3669" s="245"/>
      <c r="V3669" s="241"/>
      <c r="W3669" s="241"/>
      <c r="X3669" s="241"/>
    </row>
    <row r="3670" spans="1:24" ht="13.5" customHeight="1" x14ac:dyDescent="0.3">
      <c r="A3670" s="245"/>
      <c r="B3670" s="246"/>
      <c r="C3670" s="245"/>
      <c r="D3670" s="245"/>
      <c r="E3670" s="245"/>
      <c r="F3670" s="245"/>
      <c r="G3670" s="245"/>
      <c r="H3670" s="245"/>
      <c r="I3670" s="245"/>
      <c r="J3670" s="245"/>
      <c r="K3670" s="245"/>
      <c r="L3670" s="246"/>
      <c r="M3670" s="245"/>
      <c r="N3670" s="245"/>
      <c r="O3670" s="245"/>
      <c r="P3670" s="245"/>
      <c r="Q3670" s="247"/>
      <c r="R3670" s="247"/>
      <c r="S3670" s="247"/>
      <c r="T3670" s="245"/>
      <c r="U3670" s="245"/>
      <c r="V3670" s="241"/>
      <c r="W3670" s="241"/>
      <c r="X3670" s="241"/>
    </row>
    <row r="3671" spans="1:24" ht="13.5" customHeight="1" x14ac:dyDescent="0.3">
      <c r="A3671" s="245"/>
      <c r="B3671" s="246"/>
      <c r="C3671" s="245"/>
      <c r="D3671" s="245"/>
      <c r="E3671" s="245"/>
      <c r="F3671" s="245"/>
      <c r="G3671" s="245"/>
      <c r="H3671" s="245"/>
      <c r="I3671" s="245"/>
      <c r="J3671" s="245"/>
      <c r="K3671" s="245"/>
      <c r="L3671" s="246"/>
      <c r="M3671" s="245"/>
      <c r="N3671" s="245"/>
      <c r="O3671" s="245"/>
      <c r="P3671" s="245"/>
      <c r="Q3671" s="247"/>
      <c r="R3671" s="247"/>
      <c r="S3671" s="247"/>
      <c r="T3671" s="245"/>
      <c r="U3671" s="245"/>
      <c r="V3671" s="241"/>
      <c r="W3671" s="241"/>
      <c r="X3671" s="241"/>
    </row>
    <row r="3672" spans="1:24" ht="13.5" customHeight="1" x14ac:dyDescent="0.3">
      <c r="A3672" s="245"/>
      <c r="B3672" s="246"/>
      <c r="C3672" s="245"/>
      <c r="D3672" s="245"/>
      <c r="E3672" s="245"/>
      <c r="F3672" s="245"/>
      <c r="G3672" s="245"/>
      <c r="H3672" s="245"/>
      <c r="I3672" s="245"/>
      <c r="J3672" s="245"/>
      <c r="K3672" s="245"/>
      <c r="L3672" s="246"/>
      <c r="M3672" s="245"/>
      <c r="N3672" s="245"/>
      <c r="O3672" s="245"/>
      <c r="P3672" s="245"/>
      <c r="Q3672" s="247"/>
      <c r="R3672" s="247"/>
      <c r="S3672" s="247"/>
      <c r="T3672" s="245"/>
      <c r="U3672" s="245"/>
      <c r="V3672" s="241"/>
      <c r="W3672" s="241"/>
      <c r="X3672" s="241"/>
    </row>
    <row r="3673" spans="1:24" ht="13.5" customHeight="1" x14ac:dyDescent="0.3">
      <c r="A3673" s="245"/>
      <c r="B3673" s="246"/>
      <c r="C3673" s="245"/>
      <c r="D3673" s="245"/>
      <c r="E3673" s="245"/>
      <c r="F3673" s="245"/>
      <c r="G3673" s="245"/>
      <c r="H3673" s="245"/>
      <c r="I3673" s="245"/>
      <c r="J3673" s="245"/>
      <c r="K3673" s="245"/>
      <c r="L3673" s="246"/>
      <c r="M3673" s="245"/>
      <c r="N3673" s="245"/>
      <c r="O3673" s="245"/>
      <c r="P3673" s="245"/>
      <c r="Q3673" s="247"/>
      <c r="R3673" s="247"/>
      <c r="S3673" s="247"/>
      <c r="T3673" s="245"/>
      <c r="U3673" s="245"/>
      <c r="V3673" s="241"/>
      <c r="W3673" s="241"/>
      <c r="X3673" s="241"/>
    </row>
    <row r="3674" spans="1:24" ht="13.5" customHeight="1" x14ac:dyDescent="0.3">
      <c r="A3674" s="245"/>
      <c r="B3674" s="246"/>
      <c r="C3674" s="245"/>
      <c r="D3674" s="245"/>
      <c r="E3674" s="245"/>
      <c r="F3674" s="245"/>
      <c r="G3674" s="245"/>
      <c r="H3674" s="245"/>
      <c r="I3674" s="245"/>
      <c r="J3674" s="245"/>
      <c r="K3674" s="245"/>
      <c r="L3674" s="246"/>
      <c r="M3674" s="245"/>
      <c r="N3674" s="245"/>
      <c r="O3674" s="245"/>
      <c r="P3674" s="245"/>
      <c r="Q3674" s="247"/>
      <c r="R3674" s="247"/>
      <c r="S3674" s="247"/>
      <c r="T3674" s="245"/>
      <c r="U3674" s="245"/>
      <c r="V3674" s="241"/>
      <c r="W3674" s="241"/>
      <c r="X3674" s="241"/>
    </row>
    <row r="3675" spans="1:24" ht="13.5" customHeight="1" x14ac:dyDescent="0.3">
      <c r="A3675" s="245"/>
      <c r="B3675" s="246"/>
      <c r="C3675" s="245"/>
      <c r="D3675" s="245"/>
      <c r="E3675" s="245"/>
      <c r="F3675" s="245"/>
      <c r="G3675" s="245"/>
      <c r="H3675" s="245"/>
      <c r="I3675" s="245"/>
      <c r="J3675" s="245"/>
      <c r="K3675" s="245"/>
      <c r="L3675" s="246"/>
      <c r="M3675" s="245"/>
      <c r="N3675" s="245"/>
      <c r="O3675" s="245"/>
      <c r="P3675" s="245"/>
      <c r="Q3675" s="247"/>
      <c r="R3675" s="247"/>
      <c r="S3675" s="247"/>
      <c r="T3675" s="245"/>
      <c r="U3675" s="245"/>
      <c r="V3675" s="241"/>
      <c r="W3675" s="241"/>
      <c r="X3675" s="241"/>
    </row>
    <row r="3676" spans="1:24" ht="13.5" customHeight="1" x14ac:dyDescent="0.3">
      <c r="A3676" s="245"/>
      <c r="B3676" s="246"/>
      <c r="C3676" s="245"/>
      <c r="D3676" s="245"/>
      <c r="E3676" s="245"/>
      <c r="F3676" s="245"/>
      <c r="G3676" s="245"/>
      <c r="H3676" s="245"/>
      <c r="I3676" s="245"/>
      <c r="J3676" s="245"/>
      <c r="K3676" s="245"/>
      <c r="L3676" s="246"/>
      <c r="M3676" s="245"/>
      <c r="N3676" s="245"/>
      <c r="O3676" s="245"/>
      <c r="P3676" s="245"/>
      <c r="Q3676" s="247"/>
      <c r="R3676" s="247"/>
      <c r="S3676" s="247"/>
      <c r="T3676" s="245"/>
      <c r="U3676" s="245"/>
      <c r="V3676" s="241"/>
      <c r="W3676" s="241"/>
      <c r="X3676" s="241"/>
    </row>
    <row r="3677" spans="1:24" ht="13.5" customHeight="1" x14ac:dyDescent="0.3">
      <c r="A3677" s="245"/>
      <c r="B3677" s="246"/>
      <c r="C3677" s="245"/>
      <c r="D3677" s="245"/>
      <c r="E3677" s="245"/>
      <c r="F3677" s="245"/>
      <c r="G3677" s="245"/>
      <c r="H3677" s="245"/>
      <c r="I3677" s="245"/>
      <c r="J3677" s="245"/>
      <c r="K3677" s="245"/>
      <c r="L3677" s="246"/>
      <c r="M3677" s="245"/>
      <c r="N3677" s="245"/>
      <c r="O3677" s="245"/>
      <c r="P3677" s="245"/>
      <c r="Q3677" s="247"/>
      <c r="R3677" s="247"/>
      <c r="S3677" s="247"/>
      <c r="T3677" s="245"/>
      <c r="U3677" s="245"/>
      <c r="V3677" s="241"/>
      <c r="W3677" s="241"/>
      <c r="X3677" s="241"/>
    </row>
    <row r="3678" spans="1:24" ht="13.5" customHeight="1" x14ac:dyDescent="0.3">
      <c r="A3678" s="245"/>
      <c r="B3678" s="246"/>
      <c r="C3678" s="245"/>
      <c r="D3678" s="245"/>
      <c r="E3678" s="245"/>
      <c r="F3678" s="245"/>
      <c r="G3678" s="245"/>
      <c r="H3678" s="245"/>
      <c r="I3678" s="245"/>
      <c r="J3678" s="245"/>
      <c r="K3678" s="245"/>
      <c r="L3678" s="246"/>
      <c r="M3678" s="245"/>
      <c r="N3678" s="245"/>
      <c r="O3678" s="245"/>
      <c r="P3678" s="245"/>
      <c r="Q3678" s="247"/>
      <c r="R3678" s="247"/>
      <c r="S3678" s="247"/>
      <c r="T3678" s="245"/>
      <c r="U3678" s="245"/>
      <c r="V3678" s="241"/>
      <c r="W3678" s="241"/>
      <c r="X3678" s="241"/>
    </row>
    <row r="3679" spans="1:24" ht="13.5" customHeight="1" x14ac:dyDescent="0.3">
      <c r="A3679" s="245"/>
      <c r="B3679" s="246"/>
      <c r="C3679" s="245"/>
      <c r="D3679" s="245"/>
      <c r="E3679" s="245"/>
      <c r="F3679" s="245"/>
      <c r="G3679" s="245"/>
      <c r="H3679" s="245"/>
      <c r="I3679" s="245"/>
      <c r="J3679" s="245"/>
      <c r="K3679" s="245"/>
      <c r="L3679" s="246"/>
      <c r="M3679" s="245"/>
      <c r="N3679" s="245"/>
      <c r="O3679" s="245"/>
      <c r="P3679" s="245"/>
      <c r="Q3679" s="247"/>
      <c r="R3679" s="247"/>
      <c r="S3679" s="247"/>
      <c r="T3679" s="245"/>
      <c r="U3679" s="245"/>
      <c r="V3679" s="241"/>
      <c r="W3679" s="241"/>
      <c r="X3679" s="241"/>
    </row>
    <row r="3680" spans="1:24" ht="13.5" customHeight="1" x14ac:dyDescent="0.3">
      <c r="A3680" s="245"/>
      <c r="B3680" s="246"/>
      <c r="C3680" s="245"/>
      <c r="D3680" s="245"/>
      <c r="E3680" s="245"/>
      <c r="F3680" s="245"/>
      <c r="G3680" s="245"/>
      <c r="H3680" s="245"/>
      <c r="I3680" s="245"/>
      <c r="J3680" s="245"/>
      <c r="K3680" s="245"/>
      <c r="L3680" s="246"/>
      <c r="M3680" s="245"/>
      <c r="N3680" s="245"/>
      <c r="O3680" s="245"/>
      <c r="P3680" s="245"/>
      <c r="Q3680" s="247"/>
      <c r="R3680" s="247"/>
      <c r="S3680" s="247"/>
      <c r="T3680" s="245"/>
      <c r="U3680" s="245"/>
      <c r="V3680" s="241"/>
      <c r="W3680" s="241"/>
      <c r="X3680" s="241"/>
    </row>
    <row r="3681" spans="1:24" ht="13.5" customHeight="1" x14ac:dyDescent="0.3">
      <c r="A3681" s="245"/>
      <c r="B3681" s="246"/>
      <c r="C3681" s="245"/>
      <c r="D3681" s="245"/>
      <c r="E3681" s="245"/>
      <c r="F3681" s="245"/>
      <c r="G3681" s="245"/>
      <c r="H3681" s="245"/>
      <c r="I3681" s="245"/>
      <c r="J3681" s="245"/>
      <c r="K3681" s="245"/>
      <c r="L3681" s="246"/>
      <c r="M3681" s="245"/>
      <c r="N3681" s="245"/>
      <c r="O3681" s="245"/>
      <c r="P3681" s="245"/>
      <c r="Q3681" s="247"/>
      <c r="R3681" s="247"/>
      <c r="S3681" s="247"/>
      <c r="T3681" s="245"/>
      <c r="U3681" s="245"/>
      <c r="V3681" s="241"/>
      <c r="W3681" s="241"/>
      <c r="X3681" s="241"/>
    </row>
    <row r="3682" spans="1:24" ht="13.5" customHeight="1" x14ac:dyDescent="0.3">
      <c r="A3682" s="245"/>
      <c r="B3682" s="246"/>
      <c r="C3682" s="245"/>
      <c r="D3682" s="245"/>
      <c r="E3682" s="245"/>
      <c r="F3682" s="245"/>
      <c r="G3682" s="245"/>
      <c r="H3682" s="245"/>
      <c r="I3682" s="245"/>
      <c r="J3682" s="245"/>
      <c r="K3682" s="245"/>
      <c r="L3682" s="246"/>
      <c r="M3682" s="245"/>
      <c r="N3682" s="245"/>
      <c r="O3682" s="245"/>
      <c r="P3682" s="245"/>
      <c r="Q3682" s="247"/>
      <c r="R3682" s="247"/>
      <c r="S3682" s="247"/>
      <c r="T3682" s="245"/>
      <c r="U3682" s="245"/>
      <c r="V3682" s="241"/>
      <c r="W3682" s="241"/>
      <c r="X3682" s="241"/>
    </row>
    <row r="3683" spans="1:24" ht="13.5" customHeight="1" x14ac:dyDescent="0.3">
      <c r="A3683" s="245"/>
      <c r="B3683" s="246"/>
      <c r="C3683" s="245"/>
      <c r="D3683" s="245"/>
      <c r="E3683" s="245"/>
      <c r="F3683" s="245"/>
      <c r="G3683" s="245"/>
      <c r="H3683" s="245"/>
      <c r="I3683" s="245"/>
      <c r="J3683" s="245"/>
      <c r="K3683" s="245"/>
      <c r="L3683" s="246"/>
      <c r="M3683" s="245"/>
      <c r="N3683" s="245"/>
      <c r="O3683" s="245"/>
      <c r="P3683" s="245"/>
      <c r="Q3683" s="247"/>
      <c r="R3683" s="247"/>
      <c r="S3683" s="247"/>
      <c r="T3683" s="245"/>
      <c r="U3683" s="245"/>
      <c r="V3683" s="241"/>
      <c r="W3683" s="241"/>
      <c r="X3683" s="241"/>
    </row>
    <row r="3684" spans="1:24" ht="13.5" customHeight="1" x14ac:dyDescent="0.3">
      <c r="A3684" s="245"/>
      <c r="B3684" s="246"/>
      <c r="C3684" s="245"/>
      <c r="D3684" s="245"/>
      <c r="E3684" s="245"/>
      <c r="F3684" s="245"/>
      <c r="G3684" s="245"/>
      <c r="H3684" s="245"/>
      <c r="I3684" s="245"/>
      <c r="J3684" s="245"/>
      <c r="K3684" s="245"/>
      <c r="L3684" s="246"/>
      <c r="M3684" s="245"/>
      <c r="N3684" s="245"/>
      <c r="O3684" s="245"/>
      <c r="P3684" s="245"/>
      <c r="Q3684" s="247"/>
      <c r="R3684" s="247"/>
      <c r="S3684" s="247"/>
      <c r="T3684" s="245"/>
      <c r="U3684" s="245"/>
      <c r="V3684" s="241"/>
      <c r="W3684" s="241"/>
      <c r="X3684" s="241"/>
    </row>
    <row r="3685" spans="1:24" ht="13.5" customHeight="1" x14ac:dyDescent="0.3">
      <c r="A3685" s="245"/>
      <c r="B3685" s="246"/>
      <c r="C3685" s="245"/>
      <c r="D3685" s="245"/>
      <c r="E3685" s="245"/>
      <c r="F3685" s="245"/>
      <c r="G3685" s="245"/>
      <c r="H3685" s="245"/>
      <c r="I3685" s="245"/>
      <c r="J3685" s="245"/>
      <c r="K3685" s="245"/>
      <c r="L3685" s="246"/>
      <c r="M3685" s="245"/>
      <c r="N3685" s="245"/>
      <c r="O3685" s="245"/>
      <c r="P3685" s="245"/>
      <c r="Q3685" s="247"/>
      <c r="R3685" s="247"/>
      <c r="S3685" s="247"/>
      <c r="T3685" s="245"/>
      <c r="U3685" s="245"/>
      <c r="V3685" s="241"/>
      <c r="W3685" s="241"/>
      <c r="X3685" s="241"/>
    </row>
    <row r="3686" spans="1:24" ht="13.5" customHeight="1" x14ac:dyDescent="0.3">
      <c r="A3686" s="245"/>
      <c r="B3686" s="246"/>
      <c r="C3686" s="245"/>
      <c r="D3686" s="245"/>
      <c r="E3686" s="245"/>
      <c r="F3686" s="245"/>
      <c r="G3686" s="245"/>
      <c r="H3686" s="245"/>
      <c r="I3686" s="245"/>
      <c r="J3686" s="245"/>
      <c r="K3686" s="245"/>
      <c r="L3686" s="246"/>
      <c r="M3686" s="245"/>
      <c r="N3686" s="245"/>
      <c r="O3686" s="245"/>
      <c r="P3686" s="245"/>
      <c r="Q3686" s="247"/>
      <c r="R3686" s="247"/>
      <c r="S3686" s="247"/>
      <c r="T3686" s="245"/>
      <c r="U3686" s="245"/>
      <c r="V3686" s="241"/>
      <c r="W3686" s="241"/>
      <c r="X3686" s="241"/>
    </row>
    <row r="3687" spans="1:24" ht="13.5" customHeight="1" x14ac:dyDescent="0.3">
      <c r="A3687" s="245"/>
      <c r="B3687" s="246"/>
      <c r="C3687" s="245"/>
      <c r="D3687" s="245"/>
      <c r="E3687" s="245"/>
      <c r="F3687" s="245"/>
      <c r="G3687" s="245"/>
      <c r="H3687" s="245"/>
      <c r="I3687" s="245"/>
      <c r="J3687" s="245"/>
      <c r="K3687" s="245"/>
      <c r="L3687" s="246"/>
      <c r="M3687" s="245"/>
      <c r="N3687" s="245"/>
      <c r="O3687" s="245"/>
      <c r="P3687" s="245"/>
      <c r="Q3687" s="247"/>
      <c r="R3687" s="247"/>
      <c r="S3687" s="247"/>
      <c r="T3687" s="245"/>
      <c r="U3687" s="245"/>
      <c r="V3687" s="241"/>
      <c r="W3687" s="241"/>
      <c r="X3687" s="241"/>
    </row>
    <row r="3688" spans="1:24" ht="13.5" customHeight="1" x14ac:dyDescent="0.3">
      <c r="A3688" s="245"/>
      <c r="B3688" s="246"/>
      <c r="C3688" s="245"/>
      <c r="D3688" s="245"/>
      <c r="E3688" s="245"/>
      <c r="F3688" s="245"/>
      <c r="G3688" s="245"/>
      <c r="H3688" s="245"/>
      <c r="I3688" s="245"/>
      <c r="J3688" s="245"/>
      <c r="K3688" s="245"/>
      <c r="L3688" s="246"/>
      <c r="M3688" s="245"/>
      <c r="N3688" s="245"/>
      <c r="O3688" s="245"/>
      <c r="P3688" s="245"/>
      <c r="Q3688" s="247"/>
      <c r="R3688" s="247"/>
      <c r="S3688" s="247"/>
      <c r="T3688" s="245"/>
      <c r="U3688" s="245"/>
      <c r="V3688" s="241"/>
      <c r="W3688" s="241"/>
      <c r="X3688" s="241"/>
    </row>
    <row r="3689" spans="1:24" ht="13.5" customHeight="1" x14ac:dyDescent="0.3">
      <c r="A3689" s="245"/>
      <c r="B3689" s="246"/>
      <c r="C3689" s="245"/>
      <c r="D3689" s="245"/>
      <c r="E3689" s="245"/>
      <c r="F3689" s="245"/>
      <c r="G3689" s="245"/>
      <c r="H3689" s="245"/>
      <c r="I3689" s="245"/>
      <c r="J3689" s="245"/>
      <c r="K3689" s="245"/>
      <c r="L3689" s="246"/>
      <c r="M3689" s="245"/>
      <c r="N3689" s="245"/>
      <c r="O3689" s="245"/>
      <c r="P3689" s="245"/>
      <c r="Q3689" s="247"/>
      <c r="R3689" s="247"/>
      <c r="S3689" s="247"/>
      <c r="T3689" s="245"/>
      <c r="U3689" s="245"/>
      <c r="V3689" s="241"/>
      <c r="W3689" s="241"/>
      <c r="X3689" s="241"/>
    </row>
    <row r="3690" spans="1:24" ht="13.5" customHeight="1" x14ac:dyDescent="0.3">
      <c r="A3690" s="245"/>
      <c r="B3690" s="246"/>
      <c r="C3690" s="245"/>
      <c r="D3690" s="245"/>
      <c r="E3690" s="245"/>
      <c r="F3690" s="245"/>
      <c r="G3690" s="245"/>
      <c r="H3690" s="245"/>
      <c r="I3690" s="245"/>
      <c r="J3690" s="245"/>
      <c r="K3690" s="245"/>
      <c r="L3690" s="246"/>
      <c r="M3690" s="245"/>
      <c r="N3690" s="245"/>
      <c r="O3690" s="245"/>
      <c r="P3690" s="245"/>
      <c r="Q3690" s="247"/>
      <c r="R3690" s="247"/>
      <c r="S3690" s="247"/>
      <c r="T3690" s="245"/>
      <c r="U3690" s="245"/>
      <c r="V3690" s="241"/>
      <c r="W3690" s="241"/>
      <c r="X3690" s="241"/>
    </row>
    <row r="3691" spans="1:24" ht="13.5" customHeight="1" x14ac:dyDescent="0.3">
      <c r="A3691" s="245"/>
      <c r="B3691" s="246"/>
      <c r="C3691" s="245"/>
      <c r="D3691" s="245"/>
      <c r="E3691" s="245"/>
      <c r="F3691" s="245"/>
      <c r="G3691" s="245"/>
      <c r="H3691" s="245"/>
      <c r="I3691" s="245"/>
      <c r="J3691" s="245"/>
      <c r="K3691" s="245"/>
      <c r="L3691" s="246"/>
      <c r="M3691" s="245"/>
      <c r="N3691" s="245"/>
      <c r="O3691" s="245"/>
      <c r="P3691" s="245"/>
      <c r="Q3691" s="247"/>
      <c r="R3691" s="247"/>
      <c r="S3691" s="247"/>
      <c r="T3691" s="245"/>
      <c r="U3691" s="245"/>
      <c r="V3691" s="241"/>
      <c r="W3691" s="241"/>
      <c r="X3691" s="241"/>
    </row>
    <row r="3692" spans="1:24" ht="13.5" customHeight="1" x14ac:dyDescent="0.3">
      <c r="A3692" s="245"/>
      <c r="B3692" s="246"/>
      <c r="C3692" s="245"/>
      <c r="D3692" s="245"/>
      <c r="E3692" s="245"/>
      <c r="F3692" s="245"/>
      <c r="G3692" s="245"/>
      <c r="H3692" s="245"/>
      <c r="I3692" s="245"/>
      <c r="J3692" s="245"/>
      <c r="K3692" s="245"/>
      <c r="L3692" s="246"/>
      <c r="M3692" s="245"/>
      <c r="N3692" s="245"/>
      <c r="O3692" s="245"/>
      <c r="P3692" s="245"/>
      <c r="Q3692" s="247"/>
      <c r="R3692" s="247"/>
      <c r="S3692" s="247"/>
      <c r="T3692" s="245"/>
      <c r="U3692" s="245"/>
      <c r="V3692" s="241"/>
      <c r="W3692" s="241"/>
      <c r="X3692" s="241"/>
    </row>
    <row r="3693" spans="1:24" ht="13.5" customHeight="1" x14ac:dyDescent="0.3">
      <c r="A3693" s="245"/>
      <c r="B3693" s="246"/>
      <c r="C3693" s="245"/>
      <c r="D3693" s="245"/>
      <c r="E3693" s="245"/>
      <c r="F3693" s="245"/>
      <c r="G3693" s="245"/>
      <c r="H3693" s="245"/>
      <c r="I3693" s="245"/>
      <c r="J3693" s="245"/>
      <c r="K3693" s="245"/>
      <c r="L3693" s="246"/>
      <c r="M3693" s="245"/>
      <c r="N3693" s="245"/>
      <c r="O3693" s="245"/>
      <c r="P3693" s="245"/>
      <c r="Q3693" s="247"/>
      <c r="R3693" s="247"/>
      <c r="S3693" s="247"/>
      <c r="T3693" s="245"/>
      <c r="U3693" s="245"/>
      <c r="V3693" s="241"/>
      <c r="W3693" s="241"/>
      <c r="X3693" s="241"/>
    </row>
    <row r="3694" spans="1:24" ht="13.5" customHeight="1" x14ac:dyDescent="0.3">
      <c r="A3694" s="245"/>
      <c r="B3694" s="246"/>
      <c r="C3694" s="245"/>
      <c r="D3694" s="245"/>
      <c r="E3694" s="245"/>
      <c r="F3694" s="245"/>
      <c r="G3694" s="245"/>
      <c r="H3694" s="245"/>
      <c r="I3694" s="245"/>
      <c r="J3694" s="245"/>
      <c r="K3694" s="245"/>
      <c r="L3694" s="246"/>
      <c r="M3694" s="245"/>
      <c r="N3694" s="245"/>
      <c r="O3694" s="245"/>
      <c r="P3694" s="245"/>
      <c r="Q3694" s="247"/>
      <c r="R3694" s="247"/>
      <c r="S3694" s="247"/>
      <c r="T3694" s="245"/>
      <c r="U3694" s="245"/>
      <c r="V3694" s="241"/>
      <c r="W3694" s="241"/>
      <c r="X3694" s="241"/>
    </row>
    <row r="3695" spans="1:24" ht="13.5" customHeight="1" x14ac:dyDescent="0.3">
      <c r="A3695" s="245"/>
      <c r="B3695" s="246"/>
      <c r="C3695" s="245"/>
      <c r="D3695" s="245"/>
      <c r="E3695" s="245"/>
      <c r="F3695" s="245"/>
      <c r="G3695" s="245"/>
      <c r="H3695" s="245"/>
      <c r="I3695" s="245"/>
      <c r="J3695" s="245"/>
      <c r="K3695" s="245"/>
      <c r="L3695" s="246"/>
      <c r="M3695" s="245"/>
      <c r="N3695" s="245"/>
      <c r="O3695" s="245"/>
      <c r="P3695" s="245"/>
      <c r="Q3695" s="247"/>
      <c r="R3695" s="247"/>
      <c r="S3695" s="247"/>
      <c r="T3695" s="245"/>
      <c r="U3695" s="245"/>
      <c r="V3695" s="241"/>
      <c r="W3695" s="241"/>
      <c r="X3695" s="241"/>
    </row>
    <row r="3696" spans="1:24" ht="13.5" customHeight="1" x14ac:dyDescent="0.3">
      <c r="A3696" s="245"/>
      <c r="B3696" s="246"/>
      <c r="C3696" s="245"/>
      <c r="D3696" s="245"/>
      <c r="E3696" s="245"/>
      <c r="F3696" s="245"/>
      <c r="G3696" s="245"/>
      <c r="H3696" s="245"/>
      <c r="I3696" s="245"/>
      <c r="J3696" s="245"/>
      <c r="K3696" s="245"/>
      <c r="L3696" s="246"/>
      <c r="M3696" s="245"/>
      <c r="N3696" s="245"/>
      <c r="O3696" s="245"/>
      <c r="P3696" s="245"/>
      <c r="Q3696" s="247"/>
      <c r="R3696" s="247"/>
      <c r="S3696" s="247"/>
      <c r="T3696" s="245"/>
      <c r="U3696" s="245"/>
      <c r="V3696" s="241"/>
      <c r="W3696" s="241"/>
      <c r="X3696" s="241"/>
    </row>
    <row r="3697" spans="1:24" ht="13.5" customHeight="1" x14ac:dyDescent="0.3">
      <c r="A3697" s="245"/>
      <c r="B3697" s="246"/>
      <c r="C3697" s="245"/>
      <c r="D3697" s="245"/>
      <c r="E3697" s="245"/>
      <c r="F3697" s="245"/>
      <c r="G3697" s="245"/>
      <c r="H3697" s="245"/>
      <c r="I3697" s="245"/>
      <c r="J3697" s="245"/>
      <c r="K3697" s="245"/>
      <c r="L3697" s="246"/>
      <c r="M3697" s="245"/>
      <c r="N3697" s="245"/>
      <c r="O3697" s="245"/>
      <c r="P3697" s="245"/>
      <c r="Q3697" s="247"/>
      <c r="R3697" s="247"/>
      <c r="S3697" s="247"/>
      <c r="T3697" s="245"/>
      <c r="U3697" s="245"/>
      <c r="V3697" s="241"/>
      <c r="W3697" s="241"/>
      <c r="X3697" s="241"/>
    </row>
    <row r="3698" spans="1:24" ht="13.5" customHeight="1" x14ac:dyDescent="0.3">
      <c r="A3698" s="245"/>
      <c r="B3698" s="246"/>
      <c r="C3698" s="245"/>
      <c r="D3698" s="245"/>
      <c r="E3698" s="245"/>
      <c r="F3698" s="245"/>
      <c r="G3698" s="245"/>
      <c r="H3698" s="245"/>
      <c r="I3698" s="245"/>
      <c r="J3698" s="245"/>
      <c r="K3698" s="245"/>
      <c r="L3698" s="246"/>
      <c r="M3698" s="245"/>
      <c r="N3698" s="245"/>
      <c r="O3698" s="245"/>
      <c r="P3698" s="245"/>
      <c r="Q3698" s="247"/>
      <c r="R3698" s="247"/>
      <c r="S3698" s="247"/>
      <c r="T3698" s="245"/>
      <c r="U3698" s="245"/>
      <c r="V3698" s="241"/>
      <c r="W3698" s="241"/>
      <c r="X3698" s="241"/>
    </row>
    <row r="3699" spans="1:24" ht="13.5" customHeight="1" x14ac:dyDescent="0.3">
      <c r="A3699" s="245"/>
      <c r="B3699" s="246"/>
      <c r="C3699" s="245"/>
      <c r="D3699" s="245"/>
      <c r="E3699" s="245"/>
      <c r="F3699" s="245"/>
      <c r="G3699" s="245"/>
      <c r="H3699" s="245"/>
      <c r="I3699" s="245"/>
      <c r="J3699" s="245"/>
      <c r="K3699" s="245"/>
      <c r="L3699" s="246"/>
      <c r="M3699" s="245"/>
      <c r="N3699" s="245"/>
      <c r="O3699" s="245"/>
      <c r="P3699" s="245"/>
      <c r="Q3699" s="247"/>
      <c r="R3699" s="247"/>
      <c r="S3699" s="247"/>
      <c r="T3699" s="245"/>
      <c r="U3699" s="245"/>
      <c r="V3699" s="241"/>
      <c r="W3699" s="241"/>
      <c r="X3699" s="241"/>
    </row>
    <row r="3700" spans="1:24" ht="13.5" customHeight="1" x14ac:dyDescent="0.3">
      <c r="A3700" s="245"/>
      <c r="B3700" s="246"/>
      <c r="C3700" s="245"/>
      <c r="D3700" s="245"/>
      <c r="E3700" s="245"/>
      <c r="F3700" s="245"/>
      <c r="G3700" s="245"/>
      <c r="H3700" s="245"/>
      <c r="I3700" s="245"/>
      <c r="J3700" s="245"/>
      <c r="K3700" s="245"/>
      <c r="L3700" s="246"/>
      <c r="M3700" s="245"/>
      <c r="N3700" s="245"/>
      <c r="O3700" s="245"/>
      <c r="P3700" s="245"/>
      <c r="Q3700" s="247"/>
      <c r="R3700" s="247"/>
      <c r="S3700" s="247"/>
      <c r="T3700" s="245"/>
      <c r="U3700" s="245"/>
      <c r="V3700" s="241"/>
      <c r="W3700" s="241"/>
      <c r="X3700" s="241"/>
    </row>
    <row r="3701" spans="1:24" ht="13.5" customHeight="1" x14ac:dyDescent="0.3">
      <c r="A3701" s="245"/>
      <c r="B3701" s="246"/>
      <c r="C3701" s="245"/>
      <c r="D3701" s="245"/>
      <c r="E3701" s="245"/>
      <c r="F3701" s="245"/>
      <c r="G3701" s="245"/>
      <c r="H3701" s="245"/>
      <c r="I3701" s="245"/>
      <c r="J3701" s="245"/>
      <c r="K3701" s="245"/>
      <c r="L3701" s="246"/>
      <c r="M3701" s="245"/>
      <c r="N3701" s="245"/>
      <c r="O3701" s="245"/>
      <c r="P3701" s="245"/>
      <c r="Q3701" s="247"/>
      <c r="R3701" s="247"/>
      <c r="S3701" s="247"/>
      <c r="T3701" s="245"/>
      <c r="U3701" s="245"/>
      <c r="V3701" s="241"/>
      <c r="W3701" s="241"/>
      <c r="X3701" s="241"/>
    </row>
    <row r="3702" spans="1:24" ht="13.5" customHeight="1" x14ac:dyDescent="0.3">
      <c r="A3702" s="245"/>
      <c r="B3702" s="246"/>
      <c r="C3702" s="245"/>
      <c r="D3702" s="245"/>
      <c r="E3702" s="245"/>
      <c r="F3702" s="245"/>
      <c r="G3702" s="245"/>
      <c r="H3702" s="245"/>
      <c r="I3702" s="245"/>
      <c r="J3702" s="245"/>
      <c r="K3702" s="245"/>
      <c r="L3702" s="246"/>
      <c r="M3702" s="245"/>
      <c r="N3702" s="245"/>
      <c r="O3702" s="245"/>
      <c r="P3702" s="245"/>
      <c r="Q3702" s="247"/>
      <c r="R3702" s="247"/>
      <c r="S3702" s="247"/>
      <c r="T3702" s="245"/>
      <c r="U3702" s="245"/>
      <c r="V3702" s="241"/>
      <c r="W3702" s="241"/>
      <c r="X3702" s="241"/>
    </row>
    <row r="3703" spans="1:24" ht="13.5" customHeight="1" x14ac:dyDescent="0.3">
      <c r="A3703" s="245"/>
      <c r="B3703" s="246"/>
      <c r="C3703" s="245"/>
      <c r="D3703" s="245"/>
      <c r="E3703" s="245"/>
      <c r="F3703" s="245"/>
      <c r="G3703" s="245"/>
      <c r="H3703" s="245"/>
      <c r="I3703" s="245"/>
      <c r="J3703" s="245"/>
      <c r="K3703" s="245"/>
      <c r="L3703" s="246"/>
      <c r="M3703" s="245"/>
      <c r="N3703" s="245"/>
      <c r="O3703" s="245"/>
      <c r="P3703" s="245"/>
      <c r="Q3703" s="247"/>
      <c r="R3703" s="247"/>
      <c r="S3703" s="247"/>
      <c r="T3703" s="245"/>
      <c r="U3703" s="245"/>
      <c r="V3703" s="241"/>
      <c r="W3703" s="241"/>
      <c r="X3703" s="241"/>
    </row>
    <row r="3704" spans="1:24" ht="13.5" customHeight="1" x14ac:dyDescent="0.3">
      <c r="A3704" s="245"/>
      <c r="B3704" s="246"/>
      <c r="C3704" s="245"/>
      <c r="D3704" s="245"/>
      <c r="E3704" s="245"/>
      <c r="F3704" s="245"/>
      <c r="G3704" s="245"/>
      <c r="H3704" s="245"/>
      <c r="I3704" s="245"/>
      <c r="J3704" s="245"/>
      <c r="K3704" s="245"/>
      <c r="L3704" s="246"/>
      <c r="M3704" s="245"/>
      <c r="N3704" s="245"/>
      <c r="O3704" s="245"/>
      <c r="P3704" s="245"/>
      <c r="Q3704" s="247"/>
      <c r="R3704" s="247"/>
      <c r="S3704" s="247"/>
      <c r="T3704" s="245"/>
      <c r="U3704" s="245"/>
      <c r="V3704" s="241"/>
      <c r="W3704" s="241"/>
      <c r="X3704" s="241"/>
    </row>
    <row r="3705" spans="1:24" ht="13.5" customHeight="1" x14ac:dyDescent="0.3">
      <c r="A3705" s="245"/>
      <c r="B3705" s="246"/>
      <c r="C3705" s="245"/>
      <c r="D3705" s="245"/>
      <c r="E3705" s="245"/>
      <c r="F3705" s="245"/>
      <c r="G3705" s="245"/>
      <c r="H3705" s="245"/>
      <c r="I3705" s="245"/>
      <c r="J3705" s="245"/>
      <c r="K3705" s="245"/>
      <c r="L3705" s="246"/>
      <c r="M3705" s="245"/>
      <c r="N3705" s="245"/>
      <c r="O3705" s="245"/>
      <c r="P3705" s="245"/>
      <c r="Q3705" s="247"/>
      <c r="R3705" s="247"/>
      <c r="S3705" s="247"/>
      <c r="T3705" s="245"/>
      <c r="U3705" s="245"/>
      <c r="V3705" s="241"/>
      <c r="W3705" s="241"/>
      <c r="X3705" s="241"/>
    </row>
    <row r="3706" spans="1:24" ht="13.5" customHeight="1" x14ac:dyDescent="0.3">
      <c r="A3706" s="245"/>
      <c r="B3706" s="246"/>
      <c r="C3706" s="245"/>
      <c r="D3706" s="245"/>
      <c r="E3706" s="245"/>
      <c r="F3706" s="245"/>
      <c r="G3706" s="245"/>
      <c r="H3706" s="245"/>
      <c r="I3706" s="245"/>
      <c r="J3706" s="245"/>
      <c r="K3706" s="245"/>
      <c r="L3706" s="246"/>
      <c r="M3706" s="245"/>
      <c r="N3706" s="245"/>
      <c r="O3706" s="245"/>
      <c r="P3706" s="245"/>
      <c r="Q3706" s="247"/>
      <c r="R3706" s="247"/>
      <c r="S3706" s="247"/>
      <c r="T3706" s="245"/>
      <c r="U3706" s="245"/>
      <c r="V3706" s="241"/>
      <c r="W3706" s="241"/>
      <c r="X3706" s="241"/>
    </row>
    <row r="3707" spans="1:24" ht="13.5" customHeight="1" x14ac:dyDescent="0.3">
      <c r="A3707" s="245"/>
      <c r="B3707" s="246"/>
      <c r="C3707" s="245"/>
      <c r="D3707" s="245"/>
      <c r="E3707" s="245"/>
      <c r="F3707" s="245"/>
      <c r="G3707" s="245"/>
      <c r="H3707" s="245"/>
      <c r="I3707" s="245"/>
      <c r="J3707" s="245"/>
      <c r="K3707" s="245"/>
      <c r="L3707" s="246"/>
      <c r="M3707" s="245"/>
      <c r="N3707" s="245"/>
      <c r="O3707" s="245"/>
      <c r="P3707" s="245"/>
      <c r="Q3707" s="247"/>
      <c r="R3707" s="247"/>
      <c r="S3707" s="247"/>
      <c r="T3707" s="245"/>
      <c r="U3707" s="245"/>
      <c r="V3707" s="241"/>
      <c r="W3707" s="241"/>
      <c r="X3707" s="241"/>
    </row>
    <row r="3708" spans="1:24" ht="13.5" customHeight="1" x14ac:dyDescent="0.3">
      <c r="A3708" s="245"/>
      <c r="B3708" s="246"/>
      <c r="C3708" s="245"/>
      <c r="D3708" s="245"/>
      <c r="E3708" s="245"/>
      <c r="F3708" s="245"/>
      <c r="G3708" s="245"/>
      <c r="H3708" s="245"/>
      <c r="I3708" s="245"/>
      <c r="J3708" s="245"/>
      <c r="K3708" s="245"/>
      <c r="L3708" s="246"/>
      <c r="M3708" s="245"/>
      <c r="N3708" s="245"/>
      <c r="O3708" s="245"/>
      <c r="P3708" s="245"/>
      <c r="Q3708" s="247"/>
      <c r="R3708" s="247"/>
      <c r="S3708" s="247"/>
      <c r="T3708" s="245"/>
      <c r="U3708" s="245"/>
      <c r="V3708" s="241"/>
      <c r="W3708" s="241"/>
      <c r="X3708" s="241"/>
    </row>
    <row r="3709" spans="1:24" ht="13.5" customHeight="1" x14ac:dyDescent="0.3">
      <c r="A3709" s="245"/>
      <c r="B3709" s="246"/>
      <c r="C3709" s="245"/>
      <c r="D3709" s="245"/>
      <c r="E3709" s="245"/>
      <c r="F3709" s="245"/>
      <c r="G3709" s="245"/>
      <c r="H3709" s="245"/>
      <c r="I3709" s="245"/>
      <c r="J3709" s="245"/>
      <c r="K3709" s="245"/>
      <c r="L3709" s="246"/>
      <c r="M3709" s="245"/>
      <c r="N3709" s="245"/>
      <c r="O3709" s="245"/>
      <c r="P3709" s="245"/>
      <c r="Q3709" s="247"/>
      <c r="R3709" s="247"/>
      <c r="S3709" s="247"/>
      <c r="T3709" s="245"/>
      <c r="U3709" s="245"/>
      <c r="V3709" s="241"/>
      <c r="W3709" s="241"/>
      <c r="X3709" s="241"/>
    </row>
    <row r="3710" spans="1:24" ht="13.5" customHeight="1" x14ac:dyDescent="0.3">
      <c r="A3710" s="245"/>
      <c r="B3710" s="246"/>
      <c r="C3710" s="245"/>
      <c r="D3710" s="245"/>
      <c r="E3710" s="245"/>
      <c r="F3710" s="245"/>
      <c r="G3710" s="245"/>
      <c r="H3710" s="245"/>
      <c r="I3710" s="245"/>
      <c r="J3710" s="245"/>
      <c r="K3710" s="245"/>
      <c r="L3710" s="246"/>
      <c r="M3710" s="245"/>
      <c r="N3710" s="245"/>
      <c r="O3710" s="245"/>
      <c r="P3710" s="245"/>
      <c r="Q3710" s="247"/>
      <c r="R3710" s="247"/>
      <c r="S3710" s="247"/>
      <c r="T3710" s="245"/>
      <c r="U3710" s="245"/>
      <c r="V3710" s="241"/>
      <c r="W3710" s="241"/>
      <c r="X3710" s="241"/>
    </row>
    <row r="3711" spans="1:24" ht="13.5" customHeight="1" x14ac:dyDescent="0.3">
      <c r="A3711" s="245"/>
      <c r="B3711" s="246"/>
      <c r="C3711" s="245"/>
      <c r="D3711" s="245"/>
      <c r="E3711" s="245"/>
      <c r="F3711" s="245"/>
      <c r="G3711" s="245"/>
      <c r="H3711" s="245"/>
      <c r="I3711" s="245"/>
      <c r="J3711" s="245"/>
      <c r="K3711" s="245"/>
      <c r="L3711" s="246"/>
      <c r="M3711" s="245"/>
      <c r="N3711" s="245"/>
      <c r="O3711" s="245"/>
      <c r="P3711" s="245"/>
      <c r="Q3711" s="247"/>
      <c r="R3711" s="247"/>
      <c r="S3711" s="247"/>
      <c r="T3711" s="245"/>
      <c r="U3711" s="245"/>
      <c r="V3711" s="241"/>
      <c r="W3711" s="241"/>
      <c r="X3711" s="241"/>
    </row>
    <row r="3712" spans="1:24" ht="13.5" customHeight="1" x14ac:dyDescent="0.3">
      <c r="A3712" s="245"/>
      <c r="B3712" s="246"/>
      <c r="C3712" s="245"/>
      <c r="D3712" s="245"/>
      <c r="E3712" s="245"/>
      <c r="F3712" s="245"/>
      <c r="G3712" s="245"/>
      <c r="H3712" s="245"/>
      <c r="I3712" s="245"/>
      <c r="J3712" s="245"/>
      <c r="K3712" s="245"/>
      <c r="L3712" s="246"/>
      <c r="M3712" s="245"/>
      <c r="N3712" s="245"/>
      <c r="O3712" s="245"/>
      <c r="P3712" s="245"/>
      <c r="Q3712" s="247"/>
      <c r="R3712" s="247"/>
      <c r="S3712" s="247"/>
      <c r="T3712" s="245"/>
      <c r="U3712" s="245"/>
      <c r="V3712" s="241"/>
      <c r="W3712" s="241"/>
      <c r="X3712" s="241"/>
    </row>
    <row r="3713" spans="1:24" ht="13.5" customHeight="1" x14ac:dyDescent="0.3">
      <c r="A3713" s="245"/>
      <c r="B3713" s="246"/>
      <c r="C3713" s="245"/>
      <c r="D3713" s="245"/>
      <c r="E3713" s="245"/>
      <c r="F3713" s="245"/>
      <c r="G3713" s="245"/>
      <c r="H3713" s="245"/>
      <c r="I3713" s="245"/>
      <c r="J3713" s="245"/>
      <c r="K3713" s="245"/>
      <c r="L3713" s="246"/>
      <c r="M3713" s="245"/>
      <c r="N3713" s="245"/>
      <c r="O3713" s="245"/>
      <c r="P3713" s="245"/>
      <c r="Q3713" s="247"/>
      <c r="R3713" s="247"/>
      <c r="S3713" s="247"/>
      <c r="T3713" s="245"/>
      <c r="U3713" s="245"/>
      <c r="V3713" s="241"/>
      <c r="W3713" s="241"/>
      <c r="X3713" s="241"/>
    </row>
    <row r="3714" spans="1:24" ht="13.5" customHeight="1" x14ac:dyDescent="0.3">
      <c r="A3714" s="245"/>
      <c r="B3714" s="246"/>
      <c r="C3714" s="245"/>
      <c r="D3714" s="245"/>
      <c r="E3714" s="245"/>
      <c r="F3714" s="245"/>
      <c r="G3714" s="245"/>
      <c r="H3714" s="245"/>
      <c r="I3714" s="245"/>
      <c r="J3714" s="245"/>
      <c r="K3714" s="245"/>
      <c r="L3714" s="246"/>
      <c r="M3714" s="245"/>
      <c r="N3714" s="245"/>
      <c r="O3714" s="245"/>
      <c r="P3714" s="245"/>
      <c r="Q3714" s="247"/>
      <c r="R3714" s="247"/>
      <c r="S3714" s="247"/>
      <c r="T3714" s="245"/>
      <c r="U3714" s="245"/>
      <c r="V3714" s="241"/>
      <c r="W3714" s="241"/>
      <c r="X3714" s="241"/>
    </row>
    <row r="3715" spans="1:24" ht="13.5" customHeight="1" x14ac:dyDescent="0.3">
      <c r="A3715" s="245"/>
      <c r="B3715" s="246"/>
      <c r="C3715" s="245"/>
      <c r="D3715" s="245"/>
      <c r="E3715" s="245"/>
      <c r="F3715" s="245"/>
      <c r="G3715" s="245"/>
      <c r="H3715" s="245"/>
      <c r="I3715" s="245"/>
      <c r="J3715" s="245"/>
      <c r="K3715" s="245"/>
      <c r="L3715" s="246"/>
      <c r="M3715" s="245"/>
      <c r="N3715" s="245"/>
      <c r="O3715" s="245"/>
      <c r="P3715" s="245"/>
      <c r="Q3715" s="247"/>
      <c r="R3715" s="247"/>
      <c r="S3715" s="247"/>
      <c r="T3715" s="245"/>
      <c r="U3715" s="245"/>
      <c r="V3715" s="241"/>
      <c r="W3715" s="241"/>
      <c r="X3715" s="241"/>
    </row>
    <row r="3716" spans="1:24" ht="13.5" customHeight="1" x14ac:dyDescent="0.3">
      <c r="A3716" s="245"/>
      <c r="B3716" s="246"/>
      <c r="C3716" s="245"/>
      <c r="D3716" s="245"/>
      <c r="E3716" s="245"/>
      <c r="F3716" s="245"/>
      <c r="G3716" s="245"/>
      <c r="H3716" s="245"/>
      <c r="I3716" s="245"/>
      <c r="J3716" s="245"/>
      <c r="K3716" s="245"/>
      <c r="L3716" s="246"/>
      <c r="M3716" s="245"/>
      <c r="N3716" s="245"/>
      <c r="O3716" s="245"/>
      <c r="P3716" s="245"/>
      <c r="Q3716" s="247"/>
      <c r="R3716" s="247"/>
      <c r="S3716" s="247"/>
      <c r="T3716" s="245"/>
      <c r="U3716" s="245"/>
      <c r="V3716" s="241"/>
      <c r="W3716" s="241"/>
      <c r="X3716" s="241"/>
    </row>
    <row r="3717" spans="1:24" ht="13.5" customHeight="1" x14ac:dyDescent="0.3">
      <c r="A3717" s="245"/>
      <c r="B3717" s="246"/>
      <c r="C3717" s="245"/>
      <c r="D3717" s="245"/>
      <c r="E3717" s="245"/>
      <c r="F3717" s="245"/>
      <c r="G3717" s="245"/>
      <c r="H3717" s="245"/>
      <c r="I3717" s="245"/>
      <c r="J3717" s="245"/>
      <c r="K3717" s="245"/>
      <c r="L3717" s="246"/>
      <c r="M3717" s="245"/>
      <c r="N3717" s="245"/>
      <c r="O3717" s="245"/>
      <c r="P3717" s="245"/>
      <c r="Q3717" s="247"/>
      <c r="R3717" s="247"/>
      <c r="S3717" s="247"/>
      <c r="T3717" s="245"/>
      <c r="U3717" s="245"/>
      <c r="V3717" s="241"/>
      <c r="W3717" s="241"/>
      <c r="X3717" s="241"/>
    </row>
    <row r="3718" spans="1:24" ht="13.5" customHeight="1" x14ac:dyDescent="0.3">
      <c r="A3718" s="245"/>
      <c r="B3718" s="246"/>
      <c r="C3718" s="245"/>
      <c r="D3718" s="245"/>
      <c r="E3718" s="245"/>
      <c r="F3718" s="245"/>
      <c r="G3718" s="245"/>
      <c r="H3718" s="245"/>
      <c r="I3718" s="245"/>
      <c r="J3718" s="245"/>
      <c r="K3718" s="245"/>
      <c r="L3718" s="246"/>
      <c r="M3718" s="245"/>
      <c r="N3718" s="245"/>
      <c r="O3718" s="245"/>
      <c r="P3718" s="245"/>
      <c r="Q3718" s="247"/>
      <c r="R3718" s="247"/>
      <c r="S3718" s="247"/>
      <c r="T3718" s="245"/>
      <c r="U3718" s="245"/>
      <c r="V3718" s="241"/>
      <c r="W3718" s="241"/>
      <c r="X3718" s="241"/>
    </row>
    <row r="3719" spans="1:24" ht="13.5" customHeight="1" x14ac:dyDescent="0.3">
      <c r="A3719" s="245"/>
      <c r="B3719" s="246"/>
      <c r="C3719" s="245"/>
      <c r="D3719" s="245"/>
      <c r="E3719" s="245"/>
      <c r="F3719" s="245"/>
      <c r="G3719" s="245"/>
      <c r="H3719" s="245"/>
      <c r="I3719" s="245"/>
      <c r="J3719" s="245"/>
      <c r="K3719" s="245"/>
      <c r="L3719" s="246"/>
      <c r="M3719" s="245"/>
      <c r="N3719" s="245"/>
      <c r="O3719" s="245"/>
      <c r="P3719" s="245"/>
      <c r="Q3719" s="247"/>
      <c r="R3719" s="247"/>
      <c r="S3719" s="247"/>
      <c r="T3719" s="245"/>
      <c r="U3719" s="245"/>
      <c r="V3719" s="241"/>
      <c r="W3719" s="241"/>
      <c r="X3719" s="241"/>
    </row>
    <row r="3720" spans="1:24" ht="13.5" customHeight="1" x14ac:dyDescent="0.3">
      <c r="A3720" s="245"/>
      <c r="B3720" s="246"/>
      <c r="C3720" s="245"/>
      <c r="D3720" s="245"/>
      <c r="E3720" s="245"/>
      <c r="F3720" s="245"/>
      <c r="G3720" s="245"/>
      <c r="H3720" s="245"/>
      <c r="I3720" s="245"/>
      <c r="J3720" s="245"/>
      <c r="K3720" s="245"/>
      <c r="L3720" s="246"/>
      <c r="M3720" s="245"/>
      <c r="N3720" s="245"/>
      <c r="O3720" s="245"/>
      <c r="P3720" s="245"/>
      <c r="Q3720" s="247"/>
      <c r="R3720" s="247"/>
      <c r="S3720" s="247"/>
      <c r="T3720" s="245"/>
      <c r="U3720" s="245"/>
      <c r="V3720" s="241"/>
      <c r="W3720" s="241"/>
      <c r="X3720" s="241"/>
    </row>
    <row r="3721" spans="1:24" ht="13.5" customHeight="1" x14ac:dyDescent="0.3">
      <c r="A3721" s="245"/>
      <c r="B3721" s="246"/>
      <c r="C3721" s="245"/>
      <c r="D3721" s="245"/>
      <c r="E3721" s="245"/>
      <c r="F3721" s="245"/>
      <c r="G3721" s="245"/>
      <c r="H3721" s="245"/>
      <c r="I3721" s="245"/>
      <c r="J3721" s="245"/>
      <c r="K3721" s="245"/>
      <c r="L3721" s="246"/>
      <c r="M3721" s="245"/>
      <c r="N3721" s="245"/>
      <c r="O3721" s="245"/>
      <c r="P3721" s="245"/>
      <c r="Q3721" s="247"/>
      <c r="R3721" s="247"/>
      <c r="S3721" s="247"/>
      <c r="T3721" s="245"/>
      <c r="U3721" s="245"/>
      <c r="V3721" s="241"/>
      <c r="W3721" s="241"/>
      <c r="X3721" s="241"/>
    </row>
    <row r="3722" spans="1:24" ht="13.5" customHeight="1" x14ac:dyDescent="0.3">
      <c r="A3722" s="245"/>
      <c r="B3722" s="246"/>
      <c r="C3722" s="245"/>
      <c r="D3722" s="245"/>
      <c r="E3722" s="245"/>
      <c r="F3722" s="245"/>
      <c r="G3722" s="245"/>
      <c r="H3722" s="245"/>
      <c r="I3722" s="245"/>
      <c r="J3722" s="245"/>
      <c r="K3722" s="245"/>
      <c r="L3722" s="246"/>
      <c r="M3722" s="245"/>
      <c r="N3722" s="245"/>
      <c r="O3722" s="245"/>
      <c r="P3722" s="245"/>
      <c r="Q3722" s="247"/>
      <c r="R3722" s="247"/>
      <c r="S3722" s="247"/>
      <c r="T3722" s="245"/>
      <c r="U3722" s="245"/>
      <c r="V3722" s="241"/>
      <c r="W3722" s="241"/>
      <c r="X3722" s="241"/>
    </row>
    <row r="3723" spans="1:24" ht="13.5" customHeight="1" x14ac:dyDescent="0.3">
      <c r="A3723" s="245"/>
      <c r="B3723" s="246"/>
      <c r="C3723" s="245"/>
      <c r="D3723" s="245"/>
      <c r="E3723" s="245"/>
      <c r="F3723" s="245"/>
      <c r="G3723" s="245"/>
      <c r="H3723" s="245"/>
      <c r="I3723" s="245"/>
      <c r="J3723" s="245"/>
      <c r="K3723" s="245"/>
      <c r="L3723" s="246"/>
      <c r="M3723" s="245"/>
      <c r="N3723" s="245"/>
      <c r="O3723" s="245"/>
      <c r="P3723" s="245"/>
      <c r="Q3723" s="247"/>
      <c r="R3723" s="247"/>
      <c r="S3723" s="247"/>
      <c r="T3723" s="245"/>
      <c r="U3723" s="245"/>
      <c r="V3723" s="241"/>
      <c r="W3723" s="241"/>
      <c r="X3723" s="241"/>
    </row>
    <row r="3724" spans="1:24" ht="13.5" customHeight="1" x14ac:dyDescent="0.3">
      <c r="A3724" s="245"/>
      <c r="B3724" s="246"/>
      <c r="C3724" s="245"/>
      <c r="D3724" s="245"/>
      <c r="E3724" s="245"/>
      <c r="F3724" s="245"/>
      <c r="G3724" s="245"/>
      <c r="H3724" s="245"/>
      <c r="I3724" s="245"/>
      <c r="J3724" s="245"/>
      <c r="K3724" s="245"/>
      <c r="L3724" s="246"/>
      <c r="M3724" s="245"/>
      <c r="N3724" s="245"/>
      <c r="O3724" s="245"/>
      <c r="P3724" s="245"/>
      <c r="Q3724" s="247"/>
      <c r="R3724" s="247"/>
      <c r="S3724" s="247"/>
      <c r="T3724" s="245"/>
      <c r="U3724" s="245"/>
      <c r="V3724" s="241"/>
      <c r="W3724" s="241"/>
      <c r="X3724" s="241"/>
    </row>
    <row r="3725" spans="1:24" ht="13.5" customHeight="1" x14ac:dyDescent="0.3">
      <c r="A3725" s="245"/>
      <c r="B3725" s="246"/>
      <c r="C3725" s="245"/>
      <c r="D3725" s="245"/>
      <c r="E3725" s="245"/>
      <c r="F3725" s="245"/>
      <c r="G3725" s="245"/>
      <c r="H3725" s="245"/>
      <c r="I3725" s="245"/>
      <c r="J3725" s="245"/>
      <c r="K3725" s="245"/>
      <c r="L3725" s="246"/>
      <c r="M3725" s="245"/>
      <c r="N3725" s="245"/>
      <c r="O3725" s="245"/>
      <c r="P3725" s="245"/>
      <c r="Q3725" s="247"/>
      <c r="R3725" s="247"/>
      <c r="S3725" s="247"/>
      <c r="T3725" s="245"/>
      <c r="U3725" s="245"/>
      <c r="V3725" s="241"/>
      <c r="W3725" s="241"/>
      <c r="X3725" s="241"/>
    </row>
    <row r="3726" spans="1:24" ht="13.5" customHeight="1" x14ac:dyDescent="0.3">
      <c r="A3726" s="245"/>
      <c r="B3726" s="246"/>
      <c r="C3726" s="245"/>
      <c r="D3726" s="245"/>
      <c r="E3726" s="245"/>
      <c r="F3726" s="245"/>
      <c r="G3726" s="245"/>
      <c r="H3726" s="245"/>
      <c r="I3726" s="245"/>
      <c r="J3726" s="245"/>
      <c r="K3726" s="245"/>
      <c r="L3726" s="246"/>
      <c r="M3726" s="245"/>
      <c r="N3726" s="245"/>
      <c r="O3726" s="245"/>
      <c r="P3726" s="245"/>
      <c r="Q3726" s="247"/>
      <c r="R3726" s="247"/>
      <c r="S3726" s="247"/>
      <c r="T3726" s="245"/>
      <c r="U3726" s="245"/>
      <c r="V3726" s="241"/>
      <c r="W3726" s="241"/>
      <c r="X3726" s="241"/>
    </row>
    <row r="3727" spans="1:24" ht="13.5" customHeight="1" x14ac:dyDescent="0.3">
      <c r="A3727" s="245"/>
      <c r="B3727" s="246"/>
      <c r="C3727" s="245"/>
      <c r="D3727" s="245"/>
      <c r="E3727" s="245"/>
      <c r="F3727" s="245"/>
      <c r="G3727" s="245"/>
      <c r="H3727" s="245"/>
      <c r="I3727" s="245"/>
      <c r="J3727" s="245"/>
      <c r="K3727" s="245"/>
      <c r="L3727" s="246"/>
      <c r="M3727" s="245"/>
      <c r="N3727" s="245"/>
      <c r="O3727" s="245"/>
      <c r="P3727" s="245"/>
      <c r="Q3727" s="247"/>
      <c r="R3727" s="247"/>
      <c r="S3727" s="247"/>
      <c r="T3727" s="245"/>
      <c r="U3727" s="245"/>
      <c r="V3727" s="241"/>
      <c r="W3727" s="241"/>
      <c r="X3727" s="241"/>
    </row>
    <row r="3728" spans="1:24" ht="13.5" customHeight="1" x14ac:dyDescent="0.3">
      <c r="A3728" s="245"/>
      <c r="B3728" s="246"/>
      <c r="C3728" s="245"/>
      <c r="D3728" s="245"/>
      <c r="E3728" s="245"/>
      <c r="F3728" s="245"/>
      <c r="G3728" s="245"/>
      <c r="H3728" s="245"/>
      <c r="I3728" s="245"/>
      <c r="J3728" s="245"/>
      <c r="K3728" s="245"/>
      <c r="L3728" s="246"/>
      <c r="M3728" s="245"/>
      <c r="N3728" s="245"/>
      <c r="O3728" s="245"/>
      <c r="P3728" s="245"/>
      <c r="Q3728" s="247"/>
      <c r="R3728" s="247"/>
      <c r="S3728" s="247"/>
      <c r="T3728" s="245"/>
      <c r="U3728" s="245"/>
      <c r="V3728" s="241"/>
      <c r="W3728" s="241"/>
      <c r="X3728" s="241"/>
    </row>
    <row r="3729" spans="1:24" ht="13.5" customHeight="1" x14ac:dyDescent="0.3">
      <c r="A3729" s="245"/>
      <c r="B3729" s="246"/>
      <c r="C3729" s="245"/>
      <c r="D3729" s="245"/>
      <c r="E3729" s="245"/>
      <c r="F3729" s="245"/>
      <c r="G3729" s="245"/>
      <c r="H3729" s="245"/>
      <c r="I3729" s="245"/>
      <c r="J3729" s="245"/>
      <c r="K3729" s="245"/>
      <c r="L3729" s="246"/>
      <c r="M3729" s="245"/>
      <c r="N3729" s="245"/>
      <c r="O3729" s="245"/>
      <c r="P3729" s="245"/>
      <c r="Q3729" s="247"/>
      <c r="R3729" s="247"/>
      <c r="S3729" s="247"/>
      <c r="T3729" s="245"/>
      <c r="U3729" s="245"/>
      <c r="V3729" s="241"/>
      <c r="W3729" s="241"/>
      <c r="X3729" s="241"/>
    </row>
    <row r="3730" spans="1:24" ht="13.5" customHeight="1" x14ac:dyDescent="0.3">
      <c r="A3730" s="245"/>
      <c r="B3730" s="246"/>
      <c r="C3730" s="245"/>
      <c r="D3730" s="245"/>
      <c r="E3730" s="245"/>
      <c r="F3730" s="245"/>
      <c r="G3730" s="245"/>
      <c r="H3730" s="245"/>
      <c r="I3730" s="245"/>
      <c r="J3730" s="245"/>
      <c r="K3730" s="245"/>
      <c r="L3730" s="246"/>
      <c r="M3730" s="245"/>
      <c r="N3730" s="245"/>
      <c r="O3730" s="245"/>
      <c r="P3730" s="245"/>
      <c r="Q3730" s="247"/>
      <c r="R3730" s="247"/>
      <c r="S3730" s="247"/>
      <c r="T3730" s="245"/>
      <c r="U3730" s="245"/>
      <c r="V3730" s="241"/>
      <c r="W3730" s="241"/>
      <c r="X3730" s="241"/>
    </row>
    <row r="3731" spans="1:24" ht="13.5" customHeight="1" x14ac:dyDescent="0.3">
      <c r="A3731" s="245"/>
      <c r="B3731" s="246"/>
      <c r="C3731" s="245"/>
      <c r="D3731" s="245"/>
      <c r="E3731" s="245"/>
      <c r="F3731" s="245"/>
      <c r="G3731" s="245"/>
      <c r="H3731" s="245"/>
      <c r="I3731" s="245"/>
      <c r="J3731" s="245"/>
      <c r="K3731" s="245"/>
      <c r="L3731" s="246"/>
      <c r="M3731" s="245"/>
      <c r="N3731" s="245"/>
      <c r="O3731" s="245"/>
      <c r="P3731" s="245"/>
      <c r="Q3731" s="247"/>
      <c r="R3731" s="247"/>
      <c r="S3731" s="247"/>
      <c r="T3731" s="245"/>
      <c r="U3731" s="245"/>
      <c r="V3731" s="241"/>
      <c r="W3731" s="241"/>
      <c r="X3731" s="241"/>
    </row>
    <row r="3732" spans="1:24" ht="13.5" customHeight="1" x14ac:dyDescent="0.3">
      <c r="A3732" s="245"/>
      <c r="B3732" s="246"/>
      <c r="C3732" s="245"/>
      <c r="D3732" s="245"/>
      <c r="E3732" s="245"/>
      <c r="F3732" s="245"/>
      <c r="G3732" s="245"/>
      <c r="H3732" s="245"/>
      <c r="I3732" s="245"/>
      <c r="J3732" s="245"/>
      <c r="K3732" s="245"/>
      <c r="L3732" s="246"/>
      <c r="M3732" s="245"/>
      <c r="N3732" s="245"/>
      <c r="O3732" s="245"/>
      <c r="P3732" s="245"/>
      <c r="Q3732" s="247"/>
      <c r="R3732" s="247"/>
      <c r="S3732" s="247"/>
      <c r="T3732" s="245"/>
      <c r="U3732" s="245"/>
      <c r="V3732" s="241"/>
      <c r="W3732" s="241"/>
      <c r="X3732" s="241"/>
    </row>
    <row r="3733" spans="1:24" ht="13.5" customHeight="1" x14ac:dyDescent="0.3">
      <c r="A3733" s="245"/>
      <c r="B3733" s="246"/>
      <c r="C3733" s="245"/>
      <c r="D3733" s="245"/>
      <c r="E3733" s="245"/>
      <c r="F3733" s="245"/>
      <c r="G3733" s="245"/>
      <c r="H3733" s="245"/>
      <c r="I3733" s="245"/>
      <c r="J3733" s="245"/>
      <c r="K3733" s="245"/>
      <c r="L3733" s="246"/>
      <c r="M3733" s="245"/>
      <c r="N3733" s="245"/>
      <c r="O3733" s="245"/>
      <c r="P3733" s="245"/>
      <c r="Q3733" s="247"/>
      <c r="R3733" s="247"/>
      <c r="S3733" s="247"/>
      <c r="T3733" s="245"/>
      <c r="U3733" s="245"/>
      <c r="V3733" s="241"/>
      <c r="W3733" s="241"/>
      <c r="X3733" s="241"/>
    </row>
    <row r="3734" spans="1:24" ht="13.5" customHeight="1" x14ac:dyDescent="0.3">
      <c r="A3734" s="245"/>
      <c r="B3734" s="246"/>
      <c r="C3734" s="245"/>
      <c r="D3734" s="245"/>
      <c r="E3734" s="245"/>
      <c r="F3734" s="245"/>
      <c r="G3734" s="245"/>
      <c r="H3734" s="245"/>
      <c r="I3734" s="245"/>
      <c r="J3734" s="245"/>
      <c r="K3734" s="245"/>
      <c r="L3734" s="246"/>
      <c r="M3734" s="245"/>
      <c r="N3734" s="245"/>
      <c r="O3734" s="245"/>
      <c r="P3734" s="245"/>
      <c r="Q3734" s="247"/>
      <c r="R3734" s="247"/>
      <c r="S3734" s="247"/>
      <c r="T3734" s="245"/>
      <c r="U3734" s="245"/>
      <c r="V3734" s="241"/>
      <c r="W3734" s="241"/>
      <c r="X3734" s="241"/>
    </row>
    <row r="3735" spans="1:24" ht="13.5" customHeight="1" x14ac:dyDescent="0.3">
      <c r="A3735" s="245"/>
      <c r="B3735" s="246"/>
      <c r="C3735" s="245"/>
      <c r="D3735" s="245"/>
      <c r="E3735" s="245"/>
      <c r="F3735" s="245"/>
      <c r="G3735" s="245"/>
      <c r="H3735" s="245"/>
      <c r="I3735" s="245"/>
      <c r="J3735" s="245"/>
      <c r="K3735" s="245"/>
      <c r="L3735" s="246"/>
      <c r="M3735" s="245"/>
      <c r="N3735" s="245"/>
      <c r="O3735" s="245"/>
      <c r="P3735" s="245"/>
      <c r="Q3735" s="247"/>
      <c r="R3735" s="247"/>
      <c r="S3735" s="247"/>
      <c r="T3735" s="245"/>
      <c r="U3735" s="245"/>
      <c r="V3735" s="241"/>
      <c r="W3735" s="241"/>
      <c r="X3735" s="241"/>
    </row>
    <row r="3736" spans="1:24" ht="13.5" customHeight="1" x14ac:dyDescent="0.3">
      <c r="A3736" s="245"/>
      <c r="B3736" s="246"/>
      <c r="C3736" s="245"/>
      <c r="D3736" s="245"/>
      <c r="E3736" s="245"/>
      <c r="F3736" s="245"/>
      <c r="G3736" s="245"/>
      <c r="H3736" s="245"/>
      <c r="I3736" s="245"/>
      <c r="J3736" s="245"/>
      <c r="K3736" s="245"/>
      <c r="L3736" s="246"/>
      <c r="M3736" s="245"/>
      <c r="N3736" s="245"/>
      <c r="O3736" s="245"/>
      <c r="P3736" s="245"/>
      <c r="Q3736" s="247"/>
      <c r="R3736" s="247"/>
      <c r="S3736" s="247"/>
      <c r="T3736" s="245"/>
      <c r="U3736" s="245"/>
      <c r="V3736" s="241"/>
      <c r="W3736" s="241"/>
      <c r="X3736" s="241"/>
    </row>
    <row r="3737" spans="1:24" ht="13.5" customHeight="1" x14ac:dyDescent="0.3">
      <c r="A3737" s="245"/>
      <c r="B3737" s="246"/>
      <c r="C3737" s="245"/>
      <c r="D3737" s="245"/>
      <c r="E3737" s="245"/>
      <c r="F3737" s="245"/>
      <c r="G3737" s="245"/>
      <c r="H3737" s="245"/>
      <c r="I3737" s="245"/>
      <c r="J3737" s="245"/>
      <c r="K3737" s="245"/>
      <c r="L3737" s="246"/>
      <c r="M3737" s="245"/>
      <c r="N3737" s="245"/>
      <c r="O3737" s="245"/>
      <c r="P3737" s="245"/>
      <c r="Q3737" s="247"/>
      <c r="R3737" s="247"/>
      <c r="S3737" s="247"/>
      <c r="T3737" s="245"/>
      <c r="U3737" s="245"/>
      <c r="V3737" s="241"/>
      <c r="W3737" s="241"/>
      <c r="X3737" s="241"/>
    </row>
    <row r="3738" spans="1:24" ht="13.5" customHeight="1" x14ac:dyDescent="0.3">
      <c r="A3738" s="245"/>
      <c r="B3738" s="246"/>
      <c r="C3738" s="245"/>
      <c r="D3738" s="245"/>
      <c r="E3738" s="245"/>
      <c r="F3738" s="245"/>
      <c r="G3738" s="245"/>
      <c r="H3738" s="245"/>
      <c r="I3738" s="245"/>
      <c r="J3738" s="245"/>
      <c r="K3738" s="245"/>
      <c r="L3738" s="246"/>
      <c r="M3738" s="245"/>
      <c r="N3738" s="245"/>
      <c r="O3738" s="245"/>
      <c r="P3738" s="245"/>
      <c r="Q3738" s="247"/>
      <c r="R3738" s="247"/>
      <c r="S3738" s="247"/>
      <c r="T3738" s="245"/>
      <c r="U3738" s="245"/>
      <c r="V3738" s="241"/>
      <c r="W3738" s="241"/>
      <c r="X3738" s="241"/>
    </row>
    <row r="3739" spans="1:24" ht="13.5" customHeight="1" x14ac:dyDescent="0.3">
      <c r="A3739" s="245"/>
      <c r="B3739" s="246"/>
      <c r="C3739" s="245"/>
      <c r="D3739" s="245"/>
      <c r="E3739" s="245"/>
      <c r="F3739" s="245"/>
      <c r="G3739" s="245"/>
      <c r="H3739" s="245"/>
      <c r="I3739" s="245"/>
      <c r="J3739" s="245"/>
      <c r="K3739" s="245"/>
      <c r="L3739" s="246"/>
      <c r="M3739" s="245"/>
      <c r="N3739" s="245"/>
      <c r="O3739" s="245"/>
      <c r="P3739" s="245"/>
      <c r="Q3739" s="247"/>
      <c r="R3739" s="247"/>
      <c r="S3739" s="247"/>
      <c r="T3739" s="245"/>
      <c r="U3739" s="245"/>
      <c r="V3739" s="241"/>
      <c r="W3739" s="241"/>
      <c r="X3739" s="241"/>
    </row>
    <row r="3740" spans="1:24" ht="13.5" customHeight="1" x14ac:dyDescent="0.3">
      <c r="A3740" s="245"/>
      <c r="B3740" s="246"/>
      <c r="C3740" s="245"/>
      <c r="D3740" s="245"/>
      <c r="E3740" s="245"/>
      <c r="F3740" s="245"/>
      <c r="G3740" s="245"/>
      <c r="H3740" s="245"/>
      <c r="I3740" s="245"/>
      <c r="J3740" s="245"/>
      <c r="K3740" s="245"/>
      <c r="L3740" s="246"/>
      <c r="M3740" s="245"/>
      <c r="N3740" s="245"/>
      <c r="O3740" s="245"/>
      <c r="P3740" s="245"/>
      <c r="Q3740" s="247"/>
      <c r="R3740" s="247"/>
      <c r="S3740" s="247"/>
      <c r="T3740" s="245"/>
      <c r="U3740" s="245"/>
      <c r="V3740" s="241"/>
      <c r="W3740" s="241"/>
      <c r="X3740" s="241"/>
    </row>
    <row r="3741" spans="1:24" ht="13.5" customHeight="1" x14ac:dyDescent="0.3">
      <c r="A3741" s="245"/>
      <c r="B3741" s="246"/>
      <c r="C3741" s="245"/>
      <c r="D3741" s="245"/>
      <c r="E3741" s="245"/>
      <c r="F3741" s="245"/>
      <c r="G3741" s="245"/>
      <c r="H3741" s="245"/>
      <c r="I3741" s="245"/>
      <c r="J3741" s="245"/>
      <c r="K3741" s="245"/>
      <c r="L3741" s="246"/>
      <c r="M3741" s="245"/>
      <c r="N3741" s="245"/>
      <c r="O3741" s="245"/>
      <c r="P3741" s="245"/>
      <c r="Q3741" s="247"/>
      <c r="R3741" s="247"/>
      <c r="S3741" s="247"/>
      <c r="T3741" s="245"/>
      <c r="U3741" s="245"/>
      <c r="V3741" s="241"/>
      <c r="W3741" s="241"/>
      <c r="X3741" s="241"/>
    </row>
    <row r="3742" spans="1:24" ht="13.5" customHeight="1" x14ac:dyDescent="0.3">
      <c r="A3742" s="245"/>
      <c r="B3742" s="246"/>
      <c r="C3742" s="245"/>
      <c r="D3742" s="245"/>
      <c r="E3742" s="245"/>
      <c r="F3742" s="245"/>
      <c r="G3742" s="245"/>
      <c r="H3742" s="245"/>
      <c r="I3742" s="245"/>
      <c r="J3742" s="245"/>
      <c r="K3742" s="245"/>
      <c r="L3742" s="246"/>
      <c r="M3742" s="245"/>
      <c r="N3742" s="245"/>
      <c r="O3742" s="245"/>
      <c r="P3742" s="245"/>
      <c r="Q3742" s="247"/>
      <c r="R3742" s="247"/>
      <c r="S3742" s="247"/>
      <c r="T3742" s="245"/>
      <c r="U3742" s="245"/>
      <c r="V3742" s="241"/>
      <c r="W3742" s="241"/>
      <c r="X3742" s="241"/>
    </row>
    <row r="3743" spans="1:24" ht="13.5" customHeight="1" x14ac:dyDescent="0.3">
      <c r="A3743" s="245"/>
      <c r="B3743" s="246"/>
      <c r="C3743" s="245"/>
      <c r="D3743" s="245"/>
      <c r="E3743" s="245"/>
      <c r="F3743" s="245"/>
      <c r="G3743" s="245"/>
      <c r="H3743" s="245"/>
      <c r="I3743" s="245"/>
      <c r="J3743" s="245"/>
      <c r="K3743" s="245"/>
      <c r="L3743" s="246"/>
      <c r="M3743" s="245"/>
      <c r="N3743" s="245"/>
      <c r="O3743" s="245"/>
      <c r="P3743" s="245"/>
      <c r="Q3743" s="247"/>
      <c r="R3743" s="247"/>
      <c r="S3743" s="247"/>
      <c r="T3743" s="245"/>
      <c r="U3743" s="245"/>
      <c r="V3743" s="241"/>
      <c r="W3743" s="241"/>
      <c r="X3743" s="241"/>
    </row>
    <row r="3744" spans="1:24" ht="13.5" customHeight="1" x14ac:dyDescent="0.3">
      <c r="A3744" s="245"/>
      <c r="B3744" s="246"/>
      <c r="C3744" s="245"/>
      <c r="D3744" s="245"/>
      <c r="E3744" s="245"/>
      <c r="F3744" s="245"/>
      <c r="G3744" s="245"/>
      <c r="H3744" s="245"/>
      <c r="I3744" s="245"/>
      <c r="J3744" s="245"/>
      <c r="K3744" s="245"/>
      <c r="L3744" s="246"/>
      <c r="M3744" s="245"/>
      <c r="N3744" s="245"/>
      <c r="O3744" s="245"/>
      <c r="P3744" s="245"/>
      <c r="Q3744" s="247"/>
      <c r="R3744" s="247"/>
      <c r="S3744" s="247"/>
      <c r="T3744" s="245"/>
      <c r="U3744" s="245"/>
      <c r="V3744" s="241"/>
      <c r="W3744" s="241"/>
      <c r="X3744" s="241"/>
    </row>
    <row r="3745" spans="1:24" ht="13.5" customHeight="1" x14ac:dyDescent="0.3">
      <c r="A3745" s="245"/>
      <c r="B3745" s="246"/>
      <c r="C3745" s="245"/>
      <c r="D3745" s="245"/>
      <c r="E3745" s="245"/>
      <c r="F3745" s="245"/>
      <c r="G3745" s="245"/>
      <c r="H3745" s="245"/>
      <c r="I3745" s="245"/>
      <c r="J3745" s="245"/>
      <c r="K3745" s="245"/>
      <c r="L3745" s="246"/>
      <c r="M3745" s="245"/>
      <c r="N3745" s="245"/>
      <c r="O3745" s="245"/>
      <c r="P3745" s="245"/>
      <c r="Q3745" s="247"/>
      <c r="R3745" s="247"/>
      <c r="S3745" s="247"/>
      <c r="T3745" s="245"/>
      <c r="U3745" s="245"/>
      <c r="V3745" s="241"/>
      <c r="W3745" s="241"/>
      <c r="X3745" s="241"/>
    </row>
    <row r="3746" spans="1:24" ht="13.5" customHeight="1" x14ac:dyDescent="0.3">
      <c r="A3746" s="245"/>
      <c r="B3746" s="246"/>
      <c r="C3746" s="245"/>
      <c r="D3746" s="245"/>
      <c r="E3746" s="245"/>
      <c r="F3746" s="245"/>
      <c r="G3746" s="245"/>
      <c r="H3746" s="245"/>
      <c r="I3746" s="245"/>
      <c r="J3746" s="245"/>
      <c r="K3746" s="245"/>
      <c r="L3746" s="246"/>
      <c r="M3746" s="245"/>
      <c r="N3746" s="245"/>
      <c r="O3746" s="245"/>
      <c r="P3746" s="245"/>
      <c r="Q3746" s="247"/>
      <c r="R3746" s="247"/>
      <c r="S3746" s="247"/>
      <c r="T3746" s="245"/>
      <c r="U3746" s="245"/>
      <c r="V3746" s="241"/>
      <c r="W3746" s="241"/>
      <c r="X3746" s="241"/>
    </row>
    <row r="3747" spans="1:24" ht="13.5" customHeight="1" x14ac:dyDescent="0.3">
      <c r="A3747" s="245"/>
      <c r="B3747" s="246"/>
      <c r="C3747" s="245"/>
      <c r="D3747" s="245"/>
      <c r="E3747" s="245"/>
      <c r="F3747" s="245"/>
      <c r="G3747" s="245"/>
      <c r="H3747" s="245"/>
      <c r="I3747" s="245"/>
      <c r="J3747" s="245"/>
      <c r="K3747" s="245"/>
      <c r="L3747" s="246"/>
      <c r="M3747" s="245"/>
      <c r="N3747" s="245"/>
      <c r="O3747" s="245"/>
      <c r="P3747" s="245"/>
      <c r="Q3747" s="247"/>
      <c r="R3747" s="247"/>
      <c r="S3747" s="247"/>
      <c r="T3747" s="245"/>
      <c r="U3747" s="245"/>
      <c r="V3747" s="241"/>
      <c r="W3747" s="241"/>
      <c r="X3747" s="241"/>
    </row>
    <row r="3748" spans="1:24" ht="13.5" customHeight="1" x14ac:dyDescent="0.3">
      <c r="A3748" s="245"/>
      <c r="B3748" s="246"/>
      <c r="C3748" s="245"/>
      <c r="D3748" s="245"/>
      <c r="E3748" s="245"/>
      <c r="F3748" s="245"/>
      <c r="G3748" s="245"/>
      <c r="H3748" s="245"/>
      <c r="I3748" s="245"/>
      <c r="J3748" s="245"/>
      <c r="K3748" s="245"/>
      <c r="L3748" s="246"/>
      <c r="M3748" s="245"/>
      <c r="N3748" s="245"/>
      <c r="O3748" s="245"/>
      <c r="P3748" s="245"/>
      <c r="Q3748" s="247"/>
      <c r="R3748" s="247"/>
      <c r="S3748" s="247"/>
      <c r="T3748" s="245"/>
      <c r="U3748" s="245"/>
      <c r="V3748" s="241"/>
      <c r="W3748" s="241"/>
      <c r="X3748" s="241"/>
    </row>
    <row r="3749" spans="1:24" ht="13.5" customHeight="1" x14ac:dyDescent="0.3">
      <c r="A3749" s="245"/>
      <c r="B3749" s="246"/>
      <c r="C3749" s="245"/>
      <c r="D3749" s="245"/>
      <c r="E3749" s="245"/>
      <c r="F3749" s="245"/>
      <c r="G3749" s="245"/>
      <c r="H3749" s="245"/>
      <c r="I3749" s="245"/>
      <c r="J3749" s="245"/>
      <c r="K3749" s="245"/>
      <c r="L3749" s="246"/>
      <c r="M3749" s="245"/>
      <c r="N3749" s="245"/>
      <c r="O3749" s="245"/>
      <c r="P3749" s="245"/>
      <c r="Q3749" s="247"/>
      <c r="R3749" s="247"/>
      <c r="S3749" s="247"/>
      <c r="T3749" s="245"/>
      <c r="U3749" s="245"/>
      <c r="V3749" s="241"/>
      <c r="W3749" s="241"/>
      <c r="X3749" s="241"/>
    </row>
    <row r="3750" spans="1:24" ht="13.5" customHeight="1" x14ac:dyDescent="0.3">
      <c r="A3750" s="245"/>
      <c r="B3750" s="246"/>
      <c r="C3750" s="245"/>
      <c r="D3750" s="245"/>
      <c r="E3750" s="245"/>
      <c r="F3750" s="245"/>
      <c r="G3750" s="245"/>
      <c r="H3750" s="245"/>
      <c r="I3750" s="245"/>
      <c r="J3750" s="245"/>
      <c r="K3750" s="245"/>
      <c r="L3750" s="246"/>
      <c r="M3750" s="245"/>
      <c r="N3750" s="245"/>
      <c r="O3750" s="245"/>
      <c r="P3750" s="245"/>
      <c r="Q3750" s="247"/>
      <c r="R3750" s="247"/>
      <c r="S3750" s="247"/>
      <c r="T3750" s="245"/>
      <c r="U3750" s="245"/>
      <c r="V3750" s="241"/>
      <c r="W3750" s="241"/>
      <c r="X3750" s="241"/>
    </row>
    <row r="3751" spans="1:24" ht="13.5" customHeight="1" x14ac:dyDescent="0.3">
      <c r="A3751" s="245"/>
      <c r="B3751" s="246"/>
      <c r="C3751" s="245"/>
      <c r="D3751" s="245"/>
      <c r="E3751" s="245"/>
      <c r="F3751" s="245"/>
      <c r="G3751" s="245"/>
      <c r="H3751" s="245"/>
      <c r="I3751" s="245"/>
      <c r="J3751" s="245"/>
      <c r="K3751" s="245"/>
      <c r="L3751" s="246"/>
      <c r="M3751" s="245"/>
      <c r="N3751" s="245"/>
      <c r="O3751" s="245"/>
      <c r="P3751" s="245"/>
      <c r="Q3751" s="247"/>
      <c r="R3751" s="247"/>
      <c r="S3751" s="247"/>
      <c r="T3751" s="245"/>
      <c r="U3751" s="245"/>
      <c r="V3751" s="241"/>
      <c r="W3751" s="241"/>
      <c r="X3751" s="241"/>
    </row>
    <row r="3752" spans="1:24" ht="13.5" customHeight="1" x14ac:dyDescent="0.3">
      <c r="A3752" s="245"/>
      <c r="B3752" s="246"/>
      <c r="C3752" s="245"/>
      <c r="D3752" s="245"/>
      <c r="E3752" s="245"/>
      <c r="F3752" s="245"/>
      <c r="G3752" s="245"/>
      <c r="H3752" s="245"/>
      <c r="I3752" s="245"/>
      <c r="J3752" s="245"/>
      <c r="K3752" s="245"/>
      <c r="L3752" s="246"/>
      <c r="M3752" s="245"/>
      <c r="N3752" s="245"/>
      <c r="O3752" s="245"/>
      <c r="P3752" s="245"/>
      <c r="Q3752" s="247"/>
      <c r="R3752" s="247"/>
      <c r="S3752" s="247"/>
      <c r="T3752" s="245"/>
      <c r="U3752" s="245"/>
      <c r="V3752" s="241"/>
      <c r="W3752" s="241"/>
      <c r="X3752" s="241"/>
    </row>
    <row r="3753" spans="1:24" ht="13.5" customHeight="1" x14ac:dyDescent="0.3">
      <c r="A3753" s="245"/>
      <c r="B3753" s="246"/>
      <c r="C3753" s="245"/>
      <c r="D3753" s="245"/>
      <c r="E3753" s="245"/>
      <c r="F3753" s="245"/>
      <c r="G3753" s="245"/>
      <c r="H3753" s="245"/>
      <c r="I3753" s="245"/>
      <c r="J3753" s="245"/>
      <c r="K3753" s="245"/>
      <c r="L3753" s="246"/>
      <c r="M3753" s="245"/>
      <c r="N3753" s="245"/>
      <c r="O3753" s="245"/>
      <c r="P3753" s="245"/>
      <c r="Q3753" s="247"/>
      <c r="R3753" s="247"/>
      <c r="S3753" s="247"/>
      <c r="T3753" s="245"/>
      <c r="U3753" s="245"/>
      <c r="V3753" s="241"/>
      <c r="W3753" s="241"/>
      <c r="X3753" s="241"/>
    </row>
    <row r="3754" spans="1:24" ht="13.5" customHeight="1" x14ac:dyDescent="0.3">
      <c r="A3754" s="245"/>
      <c r="B3754" s="246"/>
      <c r="C3754" s="245"/>
      <c r="D3754" s="245"/>
      <c r="E3754" s="245"/>
      <c r="F3754" s="245"/>
      <c r="G3754" s="245"/>
      <c r="H3754" s="245"/>
      <c r="I3754" s="245"/>
      <c r="J3754" s="245"/>
      <c r="K3754" s="245"/>
      <c r="L3754" s="246"/>
      <c r="M3754" s="245"/>
      <c r="N3754" s="245"/>
      <c r="O3754" s="245"/>
      <c r="P3754" s="245"/>
      <c r="Q3754" s="247"/>
      <c r="R3754" s="247"/>
      <c r="S3754" s="247"/>
      <c r="T3754" s="245"/>
      <c r="U3754" s="245"/>
      <c r="V3754" s="241"/>
      <c r="W3754" s="241"/>
      <c r="X3754" s="241"/>
    </row>
    <row r="3755" spans="1:24" ht="13.5" customHeight="1" x14ac:dyDescent="0.3">
      <c r="A3755" s="245"/>
      <c r="B3755" s="246"/>
      <c r="C3755" s="245"/>
      <c r="D3755" s="245"/>
      <c r="E3755" s="245"/>
      <c r="F3755" s="245"/>
      <c r="G3755" s="245"/>
      <c r="H3755" s="245"/>
      <c r="I3755" s="245"/>
      <c r="J3755" s="245"/>
      <c r="K3755" s="245"/>
      <c r="L3755" s="246"/>
      <c r="M3755" s="245"/>
      <c r="N3755" s="245"/>
      <c r="O3755" s="245"/>
      <c r="P3755" s="245"/>
      <c r="Q3755" s="247"/>
      <c r="R3755" s="247"/>
      <c r="S3755" s="247"/>
      <c r="T3755" s="245"/>
      <c r="U3755" s="245"/>
      <c r="V3755" s="241"/>
      <c r="W3755" s="241"/>
      <c r="X3755" s="241"/>
    </row>
    <row r="3756" spans="1:24" ht="13.5" customHeight="1" x14ac:dyDescent="0.3">
      <c r="A3756" s="245"/>
      <c r="B3756" s="246"/>
      <c r="C3756" s="245"/>
      <c r="D3756" s="245"/>
      <c r="E3756" s="245"/>
      <c r="F3756" s="245"/>
      <c r="G3756" s="245"/>
      <c r="H3756" s="245"/>
      <c r="I3756" s="245"/>
      <c r="J3756" s="245"/>
      <c r="K3756" s="245"/>
      <c r="L3756" s="246"/>
      <c r="M3756" s="245"/>
      <c r="N3756" s="245"/>
      <c r="O3756" s="245"/>
      <c r="P3756" s="245"/>
      <c r="Q3756" s="247"/>
      <c r="R3756" s="247"/>
      <c r="S3756" s="247"/>
      <c r="T3756" s="245"/>
      <c r="U3756" s="245"/>
      <c r="V3756" s="241"/>
      <c r="W3756" s="241"/>
      <c r="X3756" s="241"/>
    </row>
    <row r="3757" spans="1:24" ht="13.5" customHeight="1" x14ac:dyDescent="0.3">
      <c r="A3757" s="245"/>
      <c r="B3757" s="246"/>
      <c r="C3757" s="245"/>
      <c r="D3757" s="245"/>
      <c r="E3757" s="245"/>
      <c r="F3757" s="245"/>
      <c r="G3757" s="245"/>
      <c r="H3757" s="245"/>
      <c r="I3757" s="245"/>
      <c r="J3757" s="245"/>
      <c r="K3757" s="245"/>
      <c r="L3757" s="246"/>
      <c r="M3757" s="245"/>
      <c r="N3757" s="245"/>
      <c r="O3757" s="245"/>
      <c r="P3757" s="245"/>
      <c r="Q3757" s="247"/>
      <c r="R3757" s="247"/>
      <c r="S3757" s="247"/>
      <c r="T3757" s="245"/>
      <c r="U3757" s="245"/>
      <c r="V3757" s="241"/>
      <c r="W3757" s="241"/>
      <c r="X3757" s="241"/>
    </row>
    <row r="3758" spans="1:24" ht="13.5" customHeight="1" x14ac:dyDescent="0.3">
      <c r="A3758" s="245"/>
      <c r="B3758" s="246"/>
      <c r="C3758" s="245"/>
      <c r="D3758" s="245"/>
      <c r="E3758" s="245"/>
      <c r="F3758" s="245"/>
      <c r="G3758" s="245"/>
      <c r="H3758" s="245"/>
      <c r="I3758" s="245"/>
      <c r="J3758" s="245"/>
      <c r="K3758" s="245"/>
      <c r="L3758" s="246"/>
      <c r="M3758" s="245"/>
      <c r="N3758" s="245"/>
      <c r="O3758" s="245"/>
      <c r="P3758" s="245"/>
      <c r="Q3758" s="247"/>
      <c r="R3758" s="247"/>
      <c r="S3758" s="247"/>
      <c r="T3758" s="245"/>
      <c r="U3758" s="245"/>
      <c r="V3758" s="241"/>
      <c r="W3758" s="241"/>
      <c r="X3758" s="241"/>
    </row>
    <row r="3759" spans="1:24" ht="13.5" customHeight="1" x14ac:dyDescent="0.3">
      <c r="A3759" s="245"/>
      <c r="B3759" s="246"/>
      <c r="C3759" s="245"/>
      <c r="D3759" s="245"/>
      <c r="E3759" s="245"/>
      <c r="F3759" s="245"/>
      <c r="G3759" s="245"/>
      <c r="H3759" s="245"/>
      <c r="I3759" s="245"/>
      <c r="J3759" s="245"/>
      <c r="K3759" s="245"/>
      <c r="L3759" s="246"/>
      <c r="M3759" s="245"/>
      <c r="N3759" s="245"/>
      <c r="O3759" s="245"/>
      <c r="P3759" s="245"/>
      <c r="Q3759" s="247"/>
      <c r="R3759" s="247"/>
      <c r="S3759" s="247"/>
      <c r="T3759" s="245"/>
      <c r="U3759" s="245"/>
      <c r="V3759" s="241"/>
      <c r="W3759" s="241"/>
      <c r="X3759" s="241"/>
    </row>
    <row r="3760" spans="1:24" ht="13.5" customHeight="1" x14ac:dyDescent="0.3">
      <c r="A3760" s="245"/>
      <c r="B3760" s="246"/>
      <c r="C3760" s="245"/>
      <c r="D3760" s="245"/>
      <c r="E3760" s="245"/>
      <c r="F3760" s="245"/>
      <c r="G3760" s="245"/>
      <c r="H3760" s="245"/>
      <c r="I3760" s="245"/>
      <c r="J3760" s="245"/>
      <c r="K3760" s="245"/>
      <c r="L3760" s="246"/>
      <c r="M3760" s="245"/>
      <c r="N3760" s="245"/>
      <c r="O3760" s="245"/>
      <c r="P3760" s="245"/>
      <c r="Q3760" s="247"/>
      <c r="R3760" s="247"/>
      <c r="S3760" s="247"/>
      <c r="T3760" s="245"/>
      <c r="U3760" s="245"/>
      <c r="V3760" s="241"/>
      <c r="W3760" s="241"/>
      <c r="X3760" s="241"/>
    </row>
    <row r="3761" spans="1:24" ht="13.5" customHeight="1" x14ac:dyDescent="0.3">
      <c r="A3761" s="245"/>
      <c r="B3761" s="246"/>
      <c r="C3761" s="245"/>
      <c r="D3761" s="245"/>
      <c r="E3761" s="245"/>
      <c r="F3761" s="245"/>
      <c r="G3761" s="245"/>
      <c r="H3761" s="245"/>
      <c r="I3761" s="245"/>
      <c r="J3761" s="245"/>
      <c r="K3761" s="245"/>
      <c r="L3761" s="246"/>
      <c r="M3761" s="245"/>
      <c r="N3761" s="245"/>
      <c r="O3761" s="245"/>
      <c r="P3761" s="245"/>
      <c r="Q3761" s="247"/>
      <c r="R3761" s="247"/>
      <c r="S3761" s="247"/>
      <c r="T3761" s="245"/>
      <c r="U3761" s="245"/>
      <c r="V3761" s="241"/>
      <c r="W3761" s="241"/>
      <c r="X3761" s="241"/>
    </row>
    <row r="3762" spans="1:24" ht="13.5" customHeight="1" x14ac:dyDescent="0.3">
      <c r="A3762" s="245"/>
      <c r="B3762" s="246"/>
      <c r="C3762" s="245"/>
      <c r="D3762" s="245"/>
      <c r="E3762" s="245"/>
      <c r="F3762" s="245"/>
      <c r="G3762" s="245"/>
      <c r="H3762" s="245"/>
      <c r="I3762" s="245"/>
      <c r="J3762" s="245"/>
      <c r="K3762" s="245"/>
      <c r="L3762" s="246"/>
      <c r="M3762" s="245"/>
      <c r="N3762" s="245"/>
      <c r="O3762" s="245"/>
      <c r="P3762" s="245"/>
      <c r="Q3762" s="247"/>
      <c r="R3762" s="247"/>
      <c r="S3762" s="247"/>
      <c r="T3762" s="245"/>
      <c r="U3762" s="245"/>
      <c r="V3762" s="241"/>
      <c r="W3762" s="241"/>
      <c r="X3762" s="241"/>
    </row>
    <row r="3763" spans="1:24" ht="13.5" customHeight="1" x14ac:dyDescent="0.3">
      <c r="A3763" s="245"/>
      <c r="B3763" s="246"/>
      <c r="C3763" s="245"/>
      <c r="D3763" s="245"/>
      <c r="E3763" s="245"/>
      <c r="F3763" s="245"/>
      <c r="G3763" s="245"/>
      <c r="H3763" s="245"/>
      <c r="I3763" s="245"/>
      <c r="J3763" s="245"/>
      <c r="K3763" s="245"/>
      <c r="L3763" s="246"/>
      <c r="M3763" s="245"/>
      <c r="N3763" s="245"/>
      <c r="O3763" s="245"/>
      <c r="P3763" s="245"/>
      <c r="Q3763" s="247"/>
      <c r="R3763" s="247"/>
      <c r="S3763" s="247"/>
      <c r="T3763" s="245"/>
      <c r="U3763" s="245"/>
      <c r="V3763" s="241"/>
      <c r="W3763" s="241"/>
      <c r="X3763" s="241"/>
    </row>
    <row r="3764" spans="1:24" ht="13.5" customHeight="1" x14ac:dyDescent="0.3">
      <c r="A3764" s="245"/>
      <c r="B3764" s="246"/>
      <c r="C3764" s="245"/>
      <c r="D3764" s="245"/>
      <c r="E3764" s="245"/>
      <c r="F3764" s="245"/>
      <c r="G3764" s="245"/>
      <c r="H3764" s="245"/>
      <c r="I3764" s="245"/>
      <c r="J3764" s="245"/>
      <c r="K3764" s="245"/>
      <c r="L3764" s="246"/>
      <c r="M3764" s="245"/>
      <c r="N3764" s="245"/>
      <c r="O3764" s="245"/>
      <c r="P3764" s="245"/>
      <c r="Q3764" s="247"/>
      <c r="R3764" s="247"/>
      <c r="S3764" s="247"/>
      <c r="T3764" s="245"/>
      <c r="U3764" s="245"/>
      <c r="V3764" s="241"/>
      <c r="W3764" s="241"/>
      <c r="X3764" s="241"/>
    </row>
    <row r="3765" spans="1:24" ht="13.5" customHeight="1" x14ac:dyDescent="0.3">
      <c r="A3765" s="245"/>
      <c r="B3765" s="246"/>
      <c r="C3765" s="245"/>
      <c r="D3765" s="245"/>
      <c r="E3765" s="245"/>
      <c r="F3765" s="245"/>
      <c r="G3765" s="245"/>
      <c r="H3765" s="245"/>
      <c r="I3765" s="245"/>
      <c r="J3765" s="245"/>
      <c r="K3765" s="245"/>
      <c r="L3765" s="246"/>
      <c r="M3765" s="245"/>
      <c r="N3765" s="245"/>
      <c r="O3765" s="245"/>
      <c r="P3765" s="245"/>
      <c r="Q3765" s="247"/>
      <c r="R3765" s="247"/>
      <c r="S3765" s="247"/>
      <c r="T3765" s="245"/>
      <c r="U3765" s="245"/>
      <c r="V3765" s="241"/>
      <c r="W3765" s="241"/>
      <c r="X3765" s="241"/>
    </row>
    <row r="3766" spans="1:24" ht="13.5" customHeight="1" x14ac:dyDescent="0.3">
      <c r="A3766" s="245"/>
      <c r="B3766" s="246"/>
      <c r="C3766" s="245"/>
      <c r="D3766" s="245"/>
      <c r="E3766" s="245"/>
      <c r="F3766" s="245"/>
      <c r="G3766" s="245"/>
      <c r="H3766" s="245"/>
      <c r="I3766" s="245"/>
      <c r="J3766" s="245"/>
      <c r="K3766" s="245"/>
      <c r="L3766" s="246"/>
      <c r="M3766" s="245"/>
      <c r="N3766" s="245"/>
      <c r="O3766" s="245"/>
      <c r="P3766" s="245"/>
      <c r="Q3766" s="247"/>
      <c r="R3766" s="247"/>
      <c r="S3766" s="247"/>
      <c r="T3766" s="245"/>
      <c r="U3766" s="245"/>
      <c r="V3766" s="241"/>
      <c r="W3766" s="241"/>
      <c r="X3766" s="241"/>
    </row>
    <row r="3767" spans="1:24" ht="13.5" customHeight="1" x14ac:dyDescent="0.3">
      <c r="A3767" s="245"/>
      <c r="B3767" s="246"/>
      <c r="C3767" s="245"/>
      <c r="D3767" s="245"/>
      <c r="E3767" s="245"/>
      <c r="F3767" s="245"/>
      <c r="G3767" s="245"/>
      <c r="H3767" s="245"/>
      <c r="I3767" s="245"/>
      <c r="J3767" s="245"/>
      <c r="K3767" s="245"/>
      <c r="L3767" s="246"/>
      <c r="M3767" s="245"/>
      <c r="N3767" s="245"/>
      <c r="O3767" s="245"/>
      <c r="P3767" s="245"/>
      <c r="Q3767" s="247"/>
      <c r="R3767" s="247"/>
      <c r="S3767" s="247"/>
      <c r="T3767" s="245"/>
      <c r="U3767" s="245"/>
      <c r="V3767" s="241"/>
      <c r="W3767" s="241"/>
      <c r="X3767" s="241"/>
    </row>
    <row r="3768" spans="1:24" ht="13.5" customHeight="1" x14ac:dyDescent="0.3">
      <c r="A3768" s="245"/>
      <c r="B3768" s="246"/>
      <c r="C3768" s="245"/>
      <c r="D3768" s="245"/>
      <c r="E3768" s="245"/>
      <c r="F3768" s="245"/>
      <c r="G3768" s="245"/>
      <c r="H3768" s="245"/>
      <c r="I3768" s="245"/>
      <c r="J3768" s="245"/>
      <c r="K3768" s="245"/>
      <c r="L3768" s="246"/>
      <c r="M3768" s="245"/>
      <c r="N3768" s="245"/>
      <c r="O3768" s="245"/>
      <c r="P3768" s="245"/>
      <c r="Q3768" s="247"/>
      <c r="R3768" s="247"/>
      <c r="S3768" s="247"/>
      <c r="T3768" s="245"/>
      <c r="U3768" s="245"/>
      <c r="V3768" s="241"/>
      <c r="W3768" s="241"/>
      <c r="X3768" s="241"/>
    </row>
    <row r="3769" spans="1:24" ht="13.5" customHeight="1" x14ac:dyDescent="0.3">
      <c r="A3769" s="245"/>
      <c r="B3769" s="246"/>
      <c r="C3769" s="245"/>
      <c r="D3769" s="245"/>
      <c r="E3769" s="245"/>
      <c r="F3769" s="245"/>
      <c r="G3769" s="245"/>
      <c r="H3769" s="245"/>
      <c r="I3769" s="245"/>
      <c r="J3769" s="245"/>
      <c r="K3769" s="245"/>
      <c r="L3769" s="246"/>
      <c r="M3769" s="245"/>
      <c r="N3769" s="245"/>
      <c r="O3769" s="245"/>
      <c r="P3769" s="245"/>
      <c r="Q3769" s="247"/>
      <c r="R3769" s="247"/>
      <c r="S3769" s="247"/>
      <c r="T3769" s="245"/>
      <c r="U3769" s="245"/>
      <c r="V3769" s="241"/>
      <c r="W3769" s="241"/>
      <c r="X3769" s="241"/>
    </row>
    <row r="3770" spans="1:24" ht="13.5" customHeight="1" x14ac:dyDescent="0.3">
      <c r="A3770" s="245"/>
      <c r="B3770" s="246"/>
      <c r="C3770" s="245"/>
      <c r="D3770" s="245"/>
      <c r="E3770" s="245"/>
      <c r="F3770" s="245"/>
      <c r="G3770" s="245"/>
      <c r="H3770" s="245"/>
      <c r="I3770" s="245"/>
      <c r="J3770" s="245"/>
      <c r="K3770" s="245"/>
      <c r="L3770" s="246"/>
      <c r="M3770" s="245"/>
      <c r="N3770" s="245"/>
      <c r="O3770" s="245"/>
      <c r="P3770" s="245"/>
      <c r="Q3770" s="247"/>
      <c r="R3770" s="247"/>
      <c r="S3770" s="247"/>
      <c r="T3770" s="245"/>
      <c r="U3770" s="245"/>
      <c r="V3770" s="241"/>
      <c r="W3770" s="241"/>
      <c r="X3770" s="241"/>
    </row>
    <row r="3771" spans="1:24" ht="13.5" customHeight="1" x14ac:dyDescent="0.3">
      <c r="A3771" s="245"/>
      <c r="B3771" s="246"/>
      <c r="C3771" s="245"/>
      <c r="D3771" s="245"/>
      <c r="E3771" s="245"/>
      <c r="F3771" s="245"/>
      <c r="G3771" s="245"/>
      <c r="H3771" s="245"/>
      <c r="I3771" s="245"/>
      <c r="J3771" s="245"/>
      <c r="K3771" s="245"/>
      <c r="L3771" s="246"/>
      <c r="M3771" s="245"/>
      <c r="N3771" s="245"/>
      <c r="O3771" s="245"/>
      <c r="P3771" s="245"/>
      <c r="Q3771" s="247"/>
      <c r="R3771" s="247"/>
      <c r="S3771" s="247"/>
      <c r="T3771" s="245"/>
      <c r="U3771" s="245"/>
      <c r="V3771" s="241"/>
      <c r="W3771" s="241"/>
      <c r="X3771" s="241"/>
    </row>
    <row r="3772" spans="1:24" ht="13.5" customHeight="1" x14ac:dyDescent="0.3">
      <c r="A3772" s="245"/>
      <c r="B3772" s="246"/>
      <c r="C3772" s="245"/>
      <c r="D3772" s="245"/>
      <c r="E3772" s="245"/>
      <c r="F3772" s="245"/>
      <c r="G3772" s="245"/>
      <c r="H3772" s="245"/>
      <c r="I3772" s="245"/>
      <c r="J3772" s="245"/>
      <c r="K3772" s="245"/>
      <c r="L3772" s="246"/>
      <c r="M3772" s="245"/>
      <c r="N3772" s="245"/>
      <c r="O3772" s="245"/>
      <c r="P3772" s="245"/>
      <c r="Q3772" s="247"/>
      <c r="R3772" s="247"/>
      <c r="S3772" s="247"/>
      <c r="T3772" s="245"/>
      <c r="U3772" s="245"/>
      <c r="V3772" s="241"/>
      <c r="W3772" s="241"/>
      <c r="X3772" s="241"/>
    </row>
    <row r="3773" spans="1:24" ht="13.5" customHeight="1" x14ac:dyDescent="0.3">
      <c r="A3773" s="245"/>
      <c r="B3773" s="246"/>
      <c r="C3773" s="245"/>
      <c r="D3773" s="245"/>
      <c r="E3773" s="245"/>
      <c r="F3773" s="245"/>
      <c r="G3773" s="245"/>
      <c r="H3773" s="245"/>
      <c r="I3773" s="245"/>
      <c r="J3773" s="245"/>
      <c r="K3773" s="245"/>
      <c r="L3773" s="246"/>
      <c r="M3773" s="245"/>
      <c r="N3773" s="245"/>
      <c r="O3773" s="245"/>
      <c r="P3773" s="245"/>
      <c r="Q3773" s="247"/>
      <c r="R3773" s="247"/>
      <c r="S3773" s="247"/>
      <c r="T3773" s="245"/>
      <c r="U3773" s="245"/>
      <c r="V3773" s="241"/>
      <c r="W3773" s="241"/>
      <c r="X3773" s="241"/>
    </row>
    <row r="3774" spans="1:24" ht="13.5" customHeight="1" x14ac:dyDescent="0.3">
      <c r="A3774" s="245"/>
      <c r="B3774" s="246"/>
      <c r="C3774" s="245"/>
      <c r="D3774" s="245"/>
      <c r="E3774" s="245"/>
      <c r="F3774" s="245"/>
      <c r="G3774" s="245"/>
      <c r="H3774" s="245"/>
      <c r="I3774" s="245"/>
      <c r="J3774" s="245"/>
      <c r="K3774" s="245"/>
      <c r="L3774" s="246"/>
      <c r="M3774" s="245"/>
      <c r="N3774" s="245"/>
      <c r="O3774" s="245"/>
      <c r="P3774" s="245"/>
      <c r="Q3774" s="247"/>
      <c r="R3774" s="247"/>
      <c r="S3774" s="247"/>
      <c r="T3774" s="245"/>
      <c r="U3774" s="245"/>
      <c r="V3774" s="241"/>
      <c r="W3774" s="241"/>
      <c r="X3774" s="241"/>
    </row>
    <row r="3775" spans="1:24" ht="13.5" customHeight="1" x14ac:dyDescent="0.3">
      <c r="A3775" s="245"/>
      <c r="B3775" s="246"/>
      <c r="C3775" s="245"/>
      <c r="D3775" s="245"/>
      <c r="E3775" s="245"/>
      <c r="F3775" s="245"/>
      <c r="G3775" s="245"/>
      <c r="H3775" s="245"/>
      <c r="I3775" s="245"/>
      <c r="J3775" s="245"/>
      <c r="K3775" s="245"/>
      <c r="L3775" s="246"/>
      <c r="M3775" s="245"/>
      <c r="N3775" s="245"/>
      <c r="O3775" s="245"/>
      <c r="P3775" s="245"/>
      <c r="Q3775" s="247"/>
      <c r="R3775" s="247"/>
      <c r="S3775" s="247"/>
      <c r="T3775" s="245"/>
      <c r="U3775" s="245"/>
      <c r="V3775" s="241"/>
      <c r="W3775" s="241"/>
      <c r="X3775" s="241"/>
    </row>
    <row r="3776" spans="1:24" ht="13.5" customHeight="1" x14ac:dyDescent="0.3">
      <c r="A3776" s="245"/>
      <c r="B3776" s="246"/>
      <c r="C3776" s="245"/>
      <c r="D3776" s="245"/>
      <c r="E3776" s="245"/>
      <c r="F3776" s="245"/>
      <c r="G3776" s="245"/>
      <c r="H3776" s="245"/>
      <c r="I3776" s="245"/>
      <c r="J3776" s="245"/>
      <c r="K3776" s="245"/>
      <c r="L3776" s="246"/>
      <c r="M3776" s="245"/>
      <c r="N3776" s="245"/>
      <c r="O3776" s="245"/>
      <c r="P3776" s="245"/>
      <c r="Q3776" s="247"/>
      <c r="R3776" s="247"/>
      <c r="S3776" s="247"/>
      <c r="T3776" s="245"/>
      <c r="U3776" s="245"/>
      <c r="V3776" s="241"/>
      <c r="W3776" s="241"/>
      <c r="X3776" s="241"/>
    </row>
    <row r="3777" spans="1:24" ht="13.5" customHeight="1" x14ac:dyDescent="0.3">
      <c r="A3777" s="245"/>
      <c r="B3777" s="246"/>
      <c r="C3777" s="245"/>
      <c r="D3777" s="245"/>
      <c r="E3777" s="245"/>
      <c r="F3777" s="245"/>
      <c r="G3777" s="245"/>
      <c r="H3777" s="245"/>
      <c r="I3777" s="245"/>
      <c r="J3777" s="245"/>
      <c r="K3777" s="245"/>
      <c r="L3777" s="246"/>
      <c r="M3777" s="245"/>
      <c r="N3777" s="245"/>
      <c r="O3777" s="245"/>
      <c r="P3777" s="245"/>
      <c r="Q3777" s="247"/>
      <c r="R3777" s="247"/>
      <c r="S3777" s="247"/>
      <c r="T3777" s="245"/>
      <c r="U3777" s="245"/>
      <c r="V3777" s="241"/>
      <c r="W3777" s="241"/>
      <c r="X3777" s="241"/>
    </row>
    <row r="3778" spans="1:24" ht="13.5" customHeight="1" x14ac:dyDescent="0.3">
      <c r="A3778" s="245"/>
      <c r="B3778" s="246"/>
      <c r="C3778" s="245"/>
      <c r="D3778" s="245"/>
      <c r="E3778" s="245"/>
      <c r="F3778" s="245"/>
      <c r="G3778" s="245"/>
      <c r="H3778" s="245"/>
      <c r="I3778" s="245"/>
      <c r="J3778" s="245"/>
      <c r="K3778" s="245"/>
      <c r="L3778" s="246"/>
      <c r="M3778" s="245"/>
      <c r="N3778" s="245"/>
      <c r="O3778" s="245"/>
      <c r="P3778" s="245"/>
      <c r="Q3778" s="247"/>
      <c r="R3778" s="247"/>
      <c r="S3778" s="247"/>
      <c r="T3778" s="245"/>
      <c r="U3778" s="245"/>
      <c r="V3778" s="241"/>
      <c r="W3778" s="241"/>
      <c r="X3778" s="241"/>
    </row>
    <row r="3779" spans="1:24" ht="13.5" customHeight="1" x14ac:dyDescent="0.3">
      <c r="A3779" s="245"/>
      <c r="B3779" s="246"/>
      <c r="C3779" s="245"/>
      <c r="D3779" s="245"/>
      <c r="E3779" s="245"/>
      <c r="F3779" s="245"/>
      <c r="G3779" s="245"/>
      <c r="H3779" s="245"/>
      <c r="I3779" s="245"/>
      <c r="J3779" s="245"/>
      <c r="K3779" s="245"/>
      <c r="L3779" s="246"/>
      <c r="M3779" s="245"/>
      <c r="N3779" s="245"/>
      <c r="O3779" s="245"/>
      <c r="P3779" s="245"/>
      <c r="Q3779" s="247"/>
      <c r="R3779" s="247"/>
      <c r="S3779" s="247"/>
      <c r="T3779" s="245"/>
      <c r="U3779" s="245"/>
      <c r="V3779" s="241"/>
      <c r="W3779" s="241"/>
      <c r="X3779" s="241"/>
    </row>
    <row r="3780" spans="1:24" ht="13.5" customHeight="1" x14ac:dyDescent="0.3">
      <c r="A3780" s="245"/>
      <c r="B3780" s="246"/>
      <c r="C3780" s="245"/>
      <c r="D3780" s="245"/>
      <c r="E3780" s="245"/>
      <c r="F3780" s="245"/>
      <c r="G3780" s="245"/>
      <c r="H3780" s="245"/>
      <c r="I3780" s="245"/>
      <c r="J3780" s="245"/>
      <c r="K3780" s="245"/>
      <c r="L3780" s="246"/>
      <c r="M3780" s="245"/>
      <c r="N3780" s="245"/>
      <c r="O3780" s="245"/>
      <c r="P3780" s="245"/>
      <c r="Q3780" s="247"/>
      <c r="R3780" s="247"/>
      <c r="S3780" s="247"/>
      <c r="T3780" s="245"/>
      <c r="U3780" s="245"/>
      <c r="V3780" s="241"/>
      <c r="W3780" s="241"/>
      <c r="X3780" s="241"/>
    </row>
    <row r="3781" spans="1:24" ht="13.5" customHeight="1" x14ac:dyDescent="0.3">
      <c r="A3781" s="245"/>
      <c r="B3781" s="246"/>
      <c r="C3781" s="245"/>
      <c r="D3781" s="245"/>
      <c r="E3781" s="245"/>
      <c r="F3781" s="245"/>
      <c r="G3781" s="245"/>
      <c r="H3781" s="245"/>
      <c r="I3781" s="245"/>
      <c r="J3781" s="245"/>
      <c r="K3781" s="245"/>
      <c r="L3781" s="246"/>
      <c r="M3781" s="245"/>
      <c r="N3781" s="245"/>
      <c r="O3781" s="245"/>
      <c r="P3781" s="245"/>
      <c r="Q3781" s="247"/>
      <c r="R3781" s="247"/>
      <c r="S3781" s="247"/>
      <c r="T3781" s="245"/>
      <c r="U3781" s="245"/>
      <c r="V3781" s="241"/>
      <c r="W3781" s="241"/>
      <c r="X3781" s="241"/>
    </row>
    <row r="3782" spans="1:24" ht="13.5" customHeight="1" x14ac:dyDescent="0.3">
      <c r="A3782" s="245"/>
      <c r="B3782" s="246"/>
      <c r="C3782" s="245"/>
      <c r="D3782" s="245"/>
      <c r="E3782" s="245"/>
      <c r="F3782" s="245"/>
      <c r="G3782" s="245"/>
      <c r="H3782" s="245"/>
      <c r="I3782" s="245"/>
      <c r="J3782" s="245"/>
      <c r="K3782" s="245"/>
      <c r="L3782" s="246"/>
      <c r="M3782" s="245"/>
      <c r="N3782" s="245"/>
      <c r="O3782" s="245"/>
      <c r="P3782" s="245"/>
      <c r="Q3782" s="247"/>
      <c r="R3782" s="247"/>
      <c r="S3782" s="247"/>
      <c r="T3782" s="245"/>
      <c r="U3782" s="245"/>
      <c r="V3782" s="241"/>
      <c r="W3782" s="241"/>
      <c r="X3782" s="241"/>
    </row>
    <row r="3783" spans="1:24" ht="13.5" customHeight="1" x14ac:dyDescent="0.3">
      <c r="A3783" s="245"/>
      <c r="B3783" s="246"/>
      <c r="C3783" s="245"/>
      <c r="D3783" s="245"/>
      <c r="E3783" s="245"/>
      <c r="F3783" s="245"/>
      <c r="G3783" s="245"/>
      <c r="H3783" s="245"/>
      <c r="I3783" s="245"/>
      <c r="J3783" s="245"/>
      <c r="K3783" s="245"/>
      <c r="L3783" s="246"/>
      <c r="M3783" s="245"/>
      <c r="N3783" s="245"/>
      <c r="O3783" s="245"/>
      <c r="P3783" s="245"/>
      <c r="Q3783" s="247"/>
      <c r="R3783" s="247"/>
      <c r="S3783" s="247"/>
      <c r="T3783" s="245"/>
      <c r="U3783" s="245"/>
      <c r="V3783" s="241"/>
      <c r="W3783" s="241"/>
      <c r="X3783" s="241"/>
    </row>
    <row r="3784" spans="1:24" ht="13.5" customHeight="1" x14ac:dyDescent="0.3">
      <c r="A3784" s="245"/>
      <c r="B3784" s="246"/>
      <c r="C3784" s="245"/>
      <c r="D3784" s="245"/>
      <c r="E3784" s="245"/>
      <c r="F3784" s="245"/>
      <c r="G3784" s="245"/>
      <c r="H3784" s="245"/>
      <c r="I3784" s="245"/>
      <c r="J3784" s="245"/>
      <c r="K3784" s="245"/>
      <c r="L3784" s="246"/>
      <c r="M3784" s="245"/>
      <c r="N3784" s="245"/>
      <c r="O3784" s="245"/>
      <c r="P3784" s="245"/>
      <c r="Q3784" s="247"/>
      <c r="R3784" s="247"/>
      <c r="S3784" s="247"/>
      <c r="T3784" s="245"/>
      <c r="U3784" s="245"/>
      <c r="V3784" s="241"/>
      <c r="W3784" s="241"/>
      <c r="X3784" s="241"/>
    </row>
    <row r="3785" spans="1:24" ht="13.5" customHeight="1" x14ac:dyDescent="0.3">
      <c r="A3785" s="245"/>
      <c r="B3785" s="246"/>
      <c r="C3785" s="245"/>
      <c r="D3785" s="245"/>
      <c r="E3785" s="245"/>
      <c r="F3785" s="245"/>
      <c r="G3785" s="245"/>
      <c r="H3785" s="245"/>
      <c r="I3785" s="245"/>
      <c r="J3785" s="245"/>
      <c r="K3785" s="245"/>
      <c r="L3785" s="246"/>
      <c r="M3785" s="245"/>
      <c r="N3785" s="245"/>
      <c r="O3785" s="245"/>
      <c r="P3785" s="245"/>
      <c r="Q3785" s="247"/>
      <c r="R3785" s="247"/>
      <c r="S3785" s="247"/>
      <c r="T3785" s="245"/>
      <c r="U3785" s="245"/>
      <c r="V3785" s="241"/>
      <c r="W3785" s="241"/>
      <c r="X3785" s="241"/>
    </row>
    <row r="3786" spans="1:24" ht="13.5" customHeight="1" x14ac:dyDescent="0.3">
      <c r="A3786" s="245"/>
      <c r="B3786" s="246"/>
      <c r="C3786" s="245"/>
      <c r="D3786" s="245"/>
      <c r="E3786" s="245"/>
      <c r="F3786" s="245"/>
      <c r="G3786" s="245"/>
      <c r="H3786" s="245"/>
      <c r="I3786" s="245"/>
      <c r="J3786" s="245"/>
      <c r="K3786" s="245"/>
      <c r="L3786" s="246"/>
      <c r="M3786" s="245"/>
      <c r="N3786" s="245"/>
      <c r="O3786" s="245"/>
      <c r="P3786" s="245"/>
      <c r="Q3786" s="247"/>
      <c r="R3786" s="247"/>
      <c r="S3786" s="247"/>
      <c r="T3786" s="245"/>
      <c r="U3786" s="245"/>
      <c r="V3786" s="241"/>
      <c r="W3786" s="241"/>
      <c r="X3786" s="241"/>
    </row>
    <row r="3787" spans="1:24" ht="13.5" customHeight="1" x14ac:dyDescent="0.3">
      <c r="A3787" s="245"/>
      <c r="B3787" s="246"/>
      <c r="C3787" s="245"/>
      <c r="D3787" s="245"/>
      <c r="E3787" s="245"/>
      <c r="F3787" s="245"/>
      <c r="G3787" s="245"/>
      <c r="H3787" s="245"/>
      <c r="I3787" s="245"/>
      <c r="J3787" s="245"/>
      <c r="K3787" s="245"/>
      <c r="L3787" s="246"/>
      <c r="M3787" s="245"/>
      <c r="N3787" s="245"/>
      <c r="O3787" s="245"/>
      <c r="P3787" s="245"/>
      <c r="Q3787" s="247"/>
      <c r="R3787" s="247"/>
      <c r="S3787" s="247"/>
      <c r="T3787" s="245"/>
      <c r="U3787" s="245"/>
      <c r="V3787" s="241"/>
      <c r="W3787" s="241"/>
      <c r="X3787" s="241"/>
    </row>
    <row r="3788" spans="1:24" ht="13.5" customHeight="1" x14ac:dyDescent="0.3">
      <c r="A3788" s="245"/>
      <c r="B3788" s="246"/>
      <c r="C3788" s="245"/>
      <c r="D3788" s="245"/>
      <c r="E3788" s="245"/>
      <c r="F3788" s="245"/>
      <c r="G3788" s="245"/>
      <c r="H3788" s="245"/>
      <c r="I3788" s="245"/>
      <c r="J3788" s="245"/>
      <c r="K3788" s="245"/>
      <c r="L3788" s="246"/>
      <c r="M3788" s="245"/>
      <c r="N3788" s="245"/>
      <c r="O3788" s="245"/>
      <c r="P3788" s="245"/>
      <c r="Q3788" s="247"/>
      <c r="R3788" s="247"/>
      <c r="S3788" s="247"/>
      <c r="T3788" s="245"/>
      <c r="U3788" s="245"/>
      <c r="V3788" s="241"/>
      <c r="W3788" s="241"/>
      <c r="X3788" s="241"/>
    </row>
    <row r="3789" spans="1:24" ht="13.5" customHeight="1" x14ac:dyDescent="0.3">
      <c r="A3789" s="245"/>
      <c r="B3789" s="246"/>
      <c r="C3789" s="245"/>
      <c r="D3789" s="245"/>
      <c r="E3789" s="245"/>
      <c r="F3789" s="245"/>
      <c r="G3789" s="245"/>
      <c r="H3789" s="245"/>
      <c r="I3789" s="245"/>
      <c r="J3789" s="245"/>
      <c r="K3789" s="245"/>
      <c r="L3789" s="246"/>
      <c r="M3789" s="245"/>
      <c r="N3789" s="245"/>
      <c r="O3789" s="245"/>
      <c r="P3789" s="245"/>
      <c r="Q3789" s="247"/>
      <c r="R3789" s="247"/>
      <c r="S3789" s="247"/>
      <c r="T3789" s="245"/>
      <c r="U3789" s="245"/>
      <c r="V3789" s="241"/>
      <c r="W3789" s="241"/>
      <c r="X3789" s="241"/>
    </row>
    <row r="3790" spans="1:24" ht="13.5" customHeight="1" x14ac:dyDescent="0.3">
      <c r="A3790" s="245"/>
      <c r="B3790" s="246"/>
      <c r="C3790" s="245"/>
      <c r="D3790" s="245"/>
      <c r="E3790" s="245"/>
      <c r="F3790" s="245"/>
      <c r="G3790" s="245"/>
      <c r="H3790" s="245"/>
      <c r="I3790" s="245"/>
      <c r="J3790" s="245"/>
      <c r="K3790" s="245"/>
      <c r="L3790" s="246"/>
      <c r="M3790" s="245"/>
      <c r="N3790" s="245"/>
      <c r="O3790" s="245"/>
      <c r="P3790" s="245"/>
      <c r="Q3790" s="247"/>
      <c r="R3790" s="247"/>
      <c r="S3790" s="247"/>
      <c r="T3790" s="245"/>
      <c r="U3790" s="245"/>
      <c r="V3790" s="241"/>
      <c r="W3790" s="241"/>
      <c r="X3790" s="241"/>
    </row>
    <row r="3791" spans="1:24" ht="13.5" customHeight="1" x14ac:dyDescent="0.3">
      <c r="A3791" s="245"/>
      <c r="B3791" s="246"/>
      <c r="C3791" s="245"/>
      <c r="D3791" s="245"/>
      <c r="E3791" s="245"/>
      <c r="F3791" s="245"/>
      <c r="G3791" s="245"/>
      <c r="H3791" s="245"/>
      <c r="I3791" s="245"/>
      <c r="J3791" s="245"/>
      <c r="K3791" s="245"/>
      <c r="L3791" s="246"/>
      <c r="M3791" s="245"/>
      <c r="N3791" s="245"/>
      <c r="O3791" s="245"/>
      <c r="P3791" s="245"/>
      <c r="Q3791" s="247"/>
      <c r="R3791" s="247"/>
      <c r="S3791" s="247"/>
      <c r="T3791" s="245"/>
      <c r="U3791" s="245"/>
      <c r="V3791" s="241"/>
      <c r="W3791" s="241"/>
      <c r="X3791" s="241"/>
    </row>
    <row r="3792" spans="1:24" ht="13.5" customHeight="1" x14ac:dyDescent="0.3">
      <c r="A3792" s="245"/>
      <c r="B3792" s="246"/>
      <c r="C3792" s="245"/>
      <c r="D3792" s="245"/>
      <c r="E3792" s="245"/>
      <c r="F3792" s="245"/>
      <c r="G3792" s="245"/>
      <c r="H3792" s="245"/>
      <c r="I3792" s="245"/>
      <c r="J3792" s="245"/>
      <c r="K3792" s="245"/>
      <c r="L3792" s="246"/>
      <c r="M3792" s="245"/>
      <c r="N3792" s="245"/>
      <c r="O3792" s="245"/>
      <c r="P3792" s="245"/>
      <c r="Q3792" s="247"/>
      <c r="R3792" s="247"/>
      <c r="S3792" s="247"/>
      <c r="T3792" s="245"/>
      <c r="U3792" s="245"/>
      <c r="V3792" s="241"/>
      <c r="W3792" s="241"/>
      <c r="X3792" s="241"/>
    </row>
    <row r="3793" spans="1:24" ht="13.5" customHeight="1" x14ac:dyDescent="0.3">
      <c r="A3793" s="245"/>
      <c r="B3793" s="246"/>
      <c r="C3793" s="245"/>
      <c r="D3793" s="245"/>
      <c r="E3793" s="245"/>
      <c r="F3793" s="245"/>
      <c r="G3793" s="245"/>
      <c r="H3793" s="245"/>
      <c r="I3793" s="245"/>
      <c r="J3793" s="245"/>
      <c r="K3793" s="245"/>
      <c r="L3793" s="246"/>
      <c r="M3793" s="245"/>
      <c r="N3793" s="245"/>
      <c r="O3793" s="245"/>
      <c r="P3793" s="245"/>
      <c r="Q3793" s="247"/>
      <c r="R3793" s="247"/>
      <c r="S3793" s="247"/>
      <c r="T3793" s="245"/>
      <c r="U3793" s="245"/>
      <c r="V3793" s="241"/>
      <c r="W3793" s="241"/>
      <c r="X3793" s="241"/>
    </row>
    <row r="3794" spans="1:24" ht="13.5" customHeight="1" x14ac:dyDescent="0.3">
      <c r="A3794" s="245"/>
      <c r="B3794" s="246"/>
      <c r="C3794" s="245"/>
      <c r="D3794" s="245"/>
      <c r="E3794" s="245"/>
      <c r="F3794" s="245"/>
      <c r="G3794" s="245"/>
      <c r="H3794" s="245"/>
      <c r="I3794" s="245"/>
      <c r="J3794" s="245"/>
      <c r="K3794" s="245"/>
      <c r="L3794" s="246"/>
      <c r="M3794" s="245"/>
      <c r="N3794" s="245"/>
      <c r="O3794" s="245"/>
      <c r="P3794" s="245"/>
      <c r="Q3794" s="247"/>
      <c r="R3794" s="247"/>
      <c r="S3794" s="247"/>
      <c r="T3794" s="245"/>
      <c r="U3794" s="245"/>
      <c r="V3794" s="241"/>
      <c r="W3794" s="241"/>
      <c r="X3794" s="241"/>
    </row>
    <row r="3795" spans="1:24" ht="13.5" customHeight="1" x14ac:dyDescent="0.3">
      <c r="A3795" s="245"/>
      <c r="B3795" s="246"/>
      <c r="C3795" s="245"/>
      <c r="D3795" s="245"/>
      <c r="E3795" s="245"/>
      <c r="F3795" s="245"/>
      <c r="G3795" s="245"/>
      <c r="H3795" s="245"/>
      <c r="I3795" s="245"/>
      <c r="J3795" s="245"/>
      <c r="K3795" s="245"/>
      <c r="L3795" s="246"/>
      <c r="M3795" s="245"/>
      <c r="N3795" s="245"/>
      <c r="O3795" s="245"/>
      <c r="P3795" s="245"/>
      <c r="Q3795" s="247"/>
      <c r="R3795" s="247"/>
      <c r="S3795" s="247"/>
      <c r="T3795" s="245"/>
      <c r="U3795" s="245"/>
      <c r="V3795" s="241"/>
      <c r="W3795" s="241"/>
      <c r="X3795" s="241"/>
    </row>
    <row r="3796" spans="1:24" ht="13.5" customHeight="1" x14ac:dyDescent="0.3">
      <c r="A3796" s="245"/>
      <c r="B3796" s="246"/>
      <c r="C3796" s="245"/>
      <c r="D3796" s="245"/>
      <c r="E3796" s="245"/>
      <c r="F3796" s="245"/>
      <c r="G3796" s="245"/>
      <c r="H3796" s="245"/>
      <c r="I3796" s="245"/>
      <c r="J3796" s="245"/>
      <c r="K3796" s="245"/>
      <c r="L3796" s="246"/>
      <c r="M3796" s="245"/>
      <c r="N3796" s="245"/>
      <c r="O3796" s="245"/>
      <c r="P3796" s="245"/>
      <c r="Q3796" s="247"/>
      <c r="R3796" s="247"/>
      <c r="S3796" s="247"/>
      <c r="T3796" s="245"/>
      <c r="U3796" s="245"/>
      <c r="V3796" s="241"/>
      <c r="W3796" s="241"/>
      <c r="X3796" s="241"/>
    </row>
    <row r="3797" spans="1:24" ht="13.5" customHeight="1" x14ac:dyDescent="0.3">
      <c r="A3797" s="245"/>
      <c r="B3797" s="246"/>
      <c r="C3797" s="245"/>
      <c r="D3797" s="245"/>
      <c r="E3797" s="245"/>
      <c r="F3797" s="245"/>
      <c r="G3797" s="245"/>
      <c r="H3797" s="245"/>
      <c r="I3797" s="245"/>
      <c r="J3797" s="245"/>
      <c r="K3797" s="245"/>
      <c r="L3797" s="246"/>
      <c r="M3797" s="245"/>
      <c r="N3797" s="245"/>
      <c r="O3797" s="245"/>
      <c r="P3797" s="245"/>
      <c r="Q3797" s="247"/>
      <c r="R3797" s="247"/>
      <c r="S3797" s="247"/>
      <c r="T3797" s="245"/>
      <c r="U3797" s="245"/>
      <c r="V3797" s="241"/>
      <c r="W3797" s="241"/>
      <c r="X3797" s="241"/>
    </row>
    <row r="3798" spans="1:24" ht="13.5" customHeight="1" x14ac:dyDescent="0.3">
      <c r="A3798" s="245"/>
      <c r="B3798" s="246"/>
      <c r="C3798" s="245"/>
      <c r="D3798" s="245"/>
      <c r="E3798" s="245"/>
      <c r="F3798" s="245"/>
      <c r="G3798" s="245"/>
      <c r="H3798" s="245"/>
      <c r="I3798" s="245"/>
      <c r="J3798" s="245"/>
      <c r="K3798" s="245"/>
      <c r="L3798" s="246"/>
      <c r="M3798" s="245"/>
      <c r="N3798" s="245"/>
      <c r="O3798" s="245"/>
      <c r="P3798" s="245"/>
      <c r="Q3798" s="247"/>
      <c r="R3798" s="247"/>
      <c r="S3798" s="247"/>
      <c r="T3798" s="245"/>
      <c r="U3798" s="245"/>
      <c r="V3798" s="241"/>
      <c r="W3798" s="241"/>
      <c r="X3798" s="241"/>
    </row>
    <row r="3799" spans="1:24" ht="13.5" customHeight="1" x14ac:dyDescent="0.3">
      <c r="A3799" s="245"/>
      <c r="B3799" s="246"/>
      <c r="C3799" s="245"/>
      <c r="D3799" s="245"/>
      <c r="E3799" s="245"/>
      <c r="F3799" s="245"/>
      <c r="G3799" s="245"/>
      <c r="H3799" s="245"/>
      <c r="I3799" s="245"/>
      <c r="J3799" s="245"/>
      <c r="K3799" s="245"/>
      <c r="L3799" s="246"/>
      <c r="M3799" s="245"/>
      <c r="N3799" s="245"/>
      <c r="O3799" s="245"/>
      <c r="P3799" s="245"/>
      <c r="Q3799" s="247"/>
      <c r="R3799" s="247"/>
      <c r="S3799" s="247"/>
      <c r="T3799" s="245"/>
      <c r="U3799" s="245"/>
      <c r="V3799" s="241"/>
      <c r="W3799" s="241"/>
      <c r="X3799" s="241"/>
    </row>
    <row r="3800" spans="1:24" ht="13.5" customHeight="1" x14ac:dyDescent="0.3">
      <c r="A3800" s="245"/>
      <c r="B3800" s="246"/>
      <c r="C3800" s="245"/>
      <c r="D3800" s="245"/>
      <c r="E3800" s="245"/>
      <c r="F3800" s="245"/>
      <c r="G3800" s="245"/>
      <c r="H3800" s="245"/>
      <c r="I3800" s="245"/>
      <c r="J3800" s="245"/>
      <c r="K3800" s="245"/>
      <c r="L3800" s="246"/>
      <c r="M3800" s="245"/>
      <c r="N3800" s="245"/>
      <c r="O3800" s="245"/>
      <c r="P3800" s="245"/>
      <c r="Q3800" s="247"/>
      <c r="R3800" s="247"/>
      <c r="S3800" s="247"/>
      <c r="T3800" s="245"/>
      <c r="U3800" s="245"/>
      <c r="V3800" s="241"/>
      <c r="W3800" s="241"/>
      <c r="X3800" s="241"/>
    </row>
    <row r="3801" spans="1:24" ht="13.5" customHeight="1" x14ac:dyDescent="0.3">
      <c r="A3801" s="245"/>
      <c r="B3801" s="246"/>
      <c r="C3801" s="245"/>
      <c r="D3801" s="245"/>
      <c r="E3801" s="245"/>
      <c r="F3801" s="245"/>
      <c r="G3801" s="245"/>
      <c r="H3801" s="245"/>
      <c r="I3801" s="245"/>
      <c r="J3801" s="245"/>
      <c r="K3801" s="245"/>
      <c r="L3801" s="246"/>
      <c r="M3801" s="245"/>
      <c r="N3801" s="245"/>
      <c r="O3801" s="245"/>
      <c r="P3801" s="245"/>
      <c r="Q3801" s="247"/>
      <c r="R3801" s="247"/>
      <c r="S3801" s="247"/>
      <c r="T3801" s="245"/>
      <c r="U3801" s="245"/>
      <c r="V3801" s="241"/>
      <c r="W3801" s="241"/>
      <c r="X3801" s="241"/>
    </row>
    <row r="3802" spans="1:24" ht="13.5" customHeight="1" x14ac:dyDescent="0.3">
      <c r="A3802" s="245"/>
      <c r="B3802" s="246"/>
      <c r="C3802" s="245"/>
      <c r="D3802" s="245"/>
      <c r="E3802" s="245"/>
      <c r="F3802" s="245"/>
      <c r="G3802" s="245"/>
      <c r="H3802" s="245"/>
      <c r="I3802" s="245"/>
      <c r="J3802" s="245"/>
      <c r="K3802" s="245"/>
      <c r="L3802" s="246"/>
      <c r="M3802" s="245"/>
      <c r="N3802" s="245"/>
      <c r="O3802" s="245"/>
      <c r="P3802" s="245"/>
      <c r="Q3802" s="247"/>
      <c r="R3802" s="247"/>
      <c r="S3802" s="247"/>
      <c r="T3802" s="245"/>
      <c r="U3802" s="245"/>
      <c r="V3802" s="241"/>
      <c r="W3802" s="241"/>
      <c r="X3802" s="241"/>
    </row>
    <row r="3803" spans="1:24" ht="13.5" customHeight="1" x14ac:dyDescent="0.3">
      <c r="A3803" s="245"/>
      <c r="B3803" s="246"/>
      <c r="C3803" s="245"/>
      <c r="D3803" s="245"/>
      <c r="E3803" s="245"/>
      <c r="F3803" s="245"/>
      <c r="G3803" s="245"/>
      <c r="H3803" s="245"/>
      <c r="I3803" s="245"/>
      <c r="J3803" s="245"/>
      <c r="K3803" s="245"/>
      <c r="L3803" s="246"/>
      <c r="M3803" s="245"/>
      <c r="N3803" s="245"/>
      <c r="O3803" s="245"/>
      <c r="P3803" s="245"/>
      <c r="Q3803" s="247"/>
      <c r="R3803" s="247"/>
      <c r="S3803" s="247"/>
      <c r="T3803" s="245"/>
      <c r="U3803" s="245"/>
      <c r="V3803" s="241"/>
      <c r="W3803" s="241"/>
      <c r="X3803" s="241"/>
    </row>
    <row r="3804" spans="1:24" ht="13.5" customHeight="1" x14ac:dyDescent="0.3">
      <c r="A3804" s="245"/>
      <c r="B3804" s="246"/>
      <c r="C3804" s="245"/>
      <c r="D3804" s="245"/>
      <c r="E3804" s="245"/>
      <c r="F3804" s="245"/>
      <c r="G3804" s="245"/>
      <c r="H3804" s="245"/>
      <c r="I3804" s="245"/>
      <c r="J3804" s="245"/>
      <c r="K3804" s="245"/>
      <c r="L3804" s="246"/>
      <c r="M3804" s="245"/>
      <c r="N3804" s="245"/>
      <c r="O3804" s="245"/>
      <c r="P3804" s="245"/>
      <c r="Q3804" s="247"/>
      <c r="R3804" s="247"/>
      <c r="S3804" s="247"/>
      <c r="T3804" s="245"/>
      <c r="U3804" s="245"/>
      <c r="V3804" s="241"/>
      <c r="W3804" s="241"/>
      <c r="X3804" s="241"/>
    </row>
    <row r="3805" spans="1:24" ht="13.5" customHeight="1" x14ac:dyDescent="0.3">
      <c r="A3805" s="245"/>
      <c r="B3805" s="246"/>
      <c r="C3805" s="245"/>
      <c r="D3805" s="245"/>
      <c r="E3805" s="245"/>
      <c r="F3805" s="245"/>
      <c r="G3805" s="245"/>
      <c r="H3805" s="245"/>
      <c r="I3805" s="245"/>
      <c r="J3805" s="245"/>
      <c r="K3805" s="245"/>
      <c r="L3805" s="246"/>
      <c r="M3805" s="245"/>
      <c r="N3805" s="245"/>
      <c r="O3805" s="245"/>
      <c r="P3805" s="245"/>
      <c r="Q3805" s="247"/>
      <c r="R3805" s="247"/>
      <c r="S3805" s="247"/>
      <c r="T3805" s="245"/>
      <c r="U3805" s="245"/>
      <c r="V3805" s="241"/>
      <c r="W3805" s="241"/>
      <c r="X3805" s="241"/>
    </row>
    <row r="3806" spans="1:24" ht="13.5" customHeight="1" x14ac:dyDescent="0.3">
      <c r="A3806" s="245"/>
      <c r="B3806" s="246"/>
      <c r="C3806" s="245"/>
      <c r="D3806" s="245"/>
      <c r="E3806" s="245"/>
      <c r="F3806" s="245"/>
      <c r="G3806" s="245"/>
      <c r="H3806" s="245"/>
      <c r="I3806" s="245"/>
      <c r="J3806" s="245"/>
      <c r="K3806" s="245"/>
      <c r="L3806" s="246"/>
      <c r="M3806" s="245"/>
      <c r="N3806" s="245"/>
      <c r="O3806" s="245"/>
      <c r="P3806" s="245"/>
      <c r="Q3806" s="247"/>
      <c r="R3806" s="247"/>
      <c r="S3806" s="247"/>
      <c r="T3806" s="245"/>
      <c r="U3806" s="245"/>
      <c r="V3806" s="241"/>
      <c r="W3806" s="241"/>
      <c r="X3806" s="241"/>
    </row>
    <row r="3807" spans="1:24" ht="13.5" customHeight="1" x14ac:dyDescent="0.3">
      <c r="A3807" s="245"/>
      <c r="B3807" s="246"/>
      <c r="C3807" s="245"/>
      <c r="D3807" s="245"/>
      <c r="E3807" s="245"/>
      <c r="F3807" s="245"/>
      <c r="G3807" s="245"/>
      <c r="H3807" s="245"/>
      <c r="I3807" s="245"/>
      <c r="J3807" s="245"/>
      <c r="K3807" s="245"/>
      <c r="L3807" s="246"/>
      <c r="M3807" s="245"/>
      <c r="N3807" s="245"/>
      <c r="O3807" s="245"/>
      <c r="P3807" s="245"/>
      <c r="Q3807" s="247"/>
      <c r="R3807" s="247"/>
      <c r="S3807" s="247"/>
      <c r="T3807" s="245"/>
      <c r="U3807" s="245"/>
      <c r="V3807" s="241"/>
      <c r="W3807" s="241"/>
      <c r="X3807" s="241"/>
    </row>
    <row r="3808" spans="1:24" ht="13.5" customHeight="1" x14ac:dyDescent="0.3">
      <c r="A3808" s="245"/>
      <c r="B3808" s="246"/>
      <c r="C3808" s="245"/>
      <c r="D3808" s="245"/>
      <c r="E3808" s="245"/>
      <c r="F3808" s="245"/>
      <c r="G3808" s="245"/>
      <c r="H3808" s="245"/>
      <c r="I3808" s="245"/>
      <c r="J3808" s="245"/>
      <c r="K3808" s="245"/>
      <c r="L3808" s="246"/>
      <c r="M3808" s="245"/>
      <c r="N3808" s="245"/>
      <c r="O3808" s="245"/>
      <c r="P3808" s="245"/>
      <c r="Q3808" s="247"/>
      <c r="R3808" s="247"/>
      <c r="S3808" s="247"/>
      <c r="T3808" s="245"/>
      <c r="U3808" s="245"/>
      <c r="V3808" s="241"/>
      <c r="W3808" s="241"/>
      <c r="X3808" s="241"/>
    </row>
    <row r="3809" spans="1:24" ht="13.5" customHeight="1" x14ac:dyDescent="0.3">
      <c r="A3809" s="245"/>
      <c r="B3809" s="246"/>
      <c r="C3809" s="245"/>
      <c r="D3809" s="245"/>
      <c r="E3809" s="245"/>
      <c r="F3809" s="245"/>
      <c r="G3809" s="245"/>
      <c r="H3809" s="245"/>
      <c r="I3809" s="245"/>
      <c r="J3809" s="245"/>
      <c r="K3809" s="245"/>
      <c r="L3809" s="246"/>
      <c r="M3809" s="245"/>
      <c r="N3809" s="245"/>
      <c r="O3809" s="245"/>
      <c r="P3809" s="245"/>
      <c r="Q3809" s="247"/>
      <c r="R3809" s="247"/>
      <c r="S3809" s="247"/>
      <c r="T3809" s="245"/>
      <c r="U3809" s="245"/>
      <c r="V3809" s="241"/>
      <c r="W3809" s="241"/>
      <c r="X3809" s="241"/>
    </row>
    <row r="3810" spans="1:24" ht="13.5" customHeight="1" x14ac:dyDescent="0.3">
      <c r="A3810" s="245"/>
      <c r="B3810" s="246"/>
      <c r="C3810" s="245"/>
      <c r="D3810" s="245"/>
      <c r="E3810" s="245"/>
      <c r="F3810" s="245"/>
      <c r="G3810" s="245"/>
      <c r="H3810" s="245"/>
      <c r="I3810" s="245"/>
      <c r="J3810" s="245"/>
      <c r="K3810" s="245"/>
      <c r="L3810" s="246"/>
      <c r="M3810" s="245"/>
      <c r="N3810" s="245"/>
      <c r="O3810" s="245"/>
      <c r="P3810" s="245"/>
      <c r="Q3810" s="247"/>
      <c r="R3810" s="247"/>
      <c r="S3810" s="247"/>
      <c r="T3810" s="245"/>
      <c r="U3810" s="245"/>
      <c r="V3810" s="241"/>
      <c r="W3810" s="241"/>
      <c r="X3810" s="241"/>
    </row>
    <row r="3811" spans="1:24" ht="13.5" customHeight="1" x14ac:dyDescent="0.3">
      <c r="A3811" s="245"/>
      <c r="B3811" s="246"/>
      <c r="C3811" s="245"/>
      <c r="D3811" s="245"/>
      <c r="E3811" s="245"/>
      <c r="F3811" s="245"/>
      <c r="G3811" s="245"/>
      <c r="H3811" s="245"/>
      <c r="I3811" s="245"/>
      <c r="J3811" s="245"/>
      <c r="K3811" s="245"/>
      <c r="L3811" s="246"/>
      <c r="M3811" s="245"/>
      <c r="N3811" s="245"/>
      <c r="O3811" s="245"/>
      <c r="P3811" s="245"/>
      <c r="Q3811" s="247"/>
      <c r="R3811" s="247"/>
      <c r="S3811" s="247"/>
      <c r="T3811" s="245"/>
      <c r="U3811" s="245"/>
      <c r="V3811" s="241"/>
      <c r="W3811" s="241"/>
      <c r="X3811" s="241"/>
    </row>
    <row r="3812" spans="1:24" ht="13.5" customHeight="1" x14ac:dyDescent="0.3">
      <c r="A3812" s="245"/>
      <c r="B3812" s="246"/>
      <c r="C3812" s="245"/>
      <c r="D3812" s="245"/>
      <c r="E3812" s="245"/>
      <c r="F3812" s="245"/>
      <c r="G3812" s="245"/>
      <c r="H3812" s="245"/>
      <c r="I3812" s="245"/>
      <c r="J3812" s="245"/>
      <c r="K3812" s="245"/>
      <c r="L3812" s="246"/>
      <c r="M3812" s="245"/>
      <c r="N3812" s="245"/>
      <c r="O3812" s="245"/>
      <c r="P3812" s="245"/>
      <c r="Q3812" s="247"/>
      <c r="R3812" s="247"/>
      <c r="S3812" s="247"/>
      <c r="T3812" s="245"/>
      <c r="U3812" s="245"/>
      <c r="V3812" s="241"/>
      <c r="W3812" s="241"/>
      <c r="X3812" s="241"/>
    </row>
    <row r="3813" spans="1:24" ht="13.5" customHeight="1" x14ac:dyDescent="0.3">
      <c r="A3813" s="245"/>
      <c r="B3813" s="246"/>
      <c r="C3813" s="245"/>
      <c r="D3813" s="245"/>
      <c r="E3813" s="245"/>
      <c r="F3813" s="245"/>
      <c r="G3813" s="245"/>
      <c r="H3813" s="245"/>
      <c r="I3813" s="245"/>
      <c r="J3813" s="245"/>
      <c r="K3813" s="245"/>
      <c r="L3813" s="246"/>
      <c r="M3813" s="245"/>
      <c r="N3813" s="245"/>
      <c r="O3813" s="245"/>
      <c r="P3813" s="245"/>
      <c r="Q3813" s="247"/>
      <c r="R3813" s="247"/>
      <c r="S3813" s="247"/>
      <c r="T3813" s="245"/>
      <c r="U3813" s="245"/>
      <c r="V3813" s="241"/>
      <c r="W3813" s="241"/>
      <c r="X3813" s="241"/>
    </row>
    <row r="3814" spans="1:24" ht="13.5" customHeight="1" x14ac:dyDescent="0.3">
      <c r="A3814" s="245"/>
      <c r="B3814" s="246"/>
      <c r="C3814" s="245"/>
      <c r="D3814" s="245"/>
      <c r="E3814" s="245"/>
      <c r="F3814" s="245"/>
      <c r="G3814" s="245"/>
      <c r="H3814" s="245"/>
      <c r="I3814" s="245"/>
      <c r="J3814" s="245"/>
      <c r="K3814" s="245"/>
      <c r="L3814" s="246"/>
      <c r="M3814" s="245"/>
      <c r="N3814" s="245"/>
      <c r="O3814" s="245"/>
      <c r="P3814" s="245"/>
      <c r="Q3814" s="247"/>
      <c r="R3814" s="247"/>
      <c r="S3814" s="247"/>
      <c r="T3814" s="245"/>
      <c r="U3814" s="245"/>
      <c r="V3814" s="241"/>
      <c r="W3814" s="241"/>
      <c r="X3814" s="241"/>
    </row>
    <row r="3815" spans="1:24" ht="13.5" customHeight="1" x14ac:dyDescent="0.3">
      <c r="A3815" s="245"/>
      <c r="B3815" s="246"/>
      <c r="C3815" s="245"/>
      <c r="D3815" s="245"/>
      <c r="E3815" s="245"/>
      <c r="F3815" s="245"/>
      <c r="G3815" s="245"/>
      <c r="H3815" s="245"/>
      <c r="I3815" s="245"/>
      <c r="J3815" s="245"/>
      <c r="K3815" s="245"/>
      <c r="L3815" s="246"/>
      <c r="M3815" s="245"/>
      <c r="N3815" s="245"/>
      <c r="O3815" s="245"/>
      <c r="P3815" s="245"/>
      <c r="Q3815" s="247"/>
      <c r="R3815" s="247"/>
      <c r="S3815" s="247"/>
      <c r="T3815" s="245"/>
      <c r="U3815" s="245"/>
      <c r="V3815" s="241"/>
      <c r="W3815" s="241"/>
      <c r="X3815" s="241"/>
    </row>
    <row r="3816" spans="1:24" ht="13.5" customHeight="1" x14ac:dyDescent="0.3">
      <c r="A3816" s="245"/>
      <c r="B3816" s="246"/>
      <c r="C3816" s="245"/>
      <c r="D3816" s="245"/>
      <c r="E3816" s="245"/>
      <c r="F3816" s="245"/>
      <c r="G3816" s="245"/>
      <c r="H3816" s="245"/>
      <c r="I3816" s="245"/>
      <c r="J3816" s="245"/>
      <c r="K3816" s="245"/>
      <c r="L3816" s="246"/>
      <c r="M3816" s="245"/>
      <c r="N3816" s="245"/>
      <c r="O3816" s="245"/>
      <c r="P3816" s="245"/>
      <c r="Q3816" s="247"/>
      <c r="R3816" s="247"/>
      <c r="S3816" s="247"/>
      <c r="T3816" s="245"/>
      <c r="U3816" s="245"/>
      <c r="V3816" s="241"/>
      <c r="W3816" s="241"/>
      <c r="X3816" s="241"/>
    </row>
    <row r="3817" spans="1:24" ht="13.5" customHeight="1" x14ac:dyDescent="0.3">
      <c r="A3817" s="245"/>
      <c r="B3817" s="246"/>
      <c r="C3817" s="245"/>
      <c r="D3817" s="245"/>
      <c r="E3817" s="245"/>
      <c r="F3817" s="245"/>
      <c r="G3817" s="245"/>
      <c r="H3817" s="245"/>
      <c r="I3817" s="245"/>
      <c r="J3817" s="245"/>
      <c r="K3817" s="245"/>
      <c r="L3817" s="246"/>
      <c r="M3817" s="245"/>
      <c r="N3817" s="245"/>
      <c r="O3817" s="245"/>
      <c r="P3817" s="245"/>
      <c r="Q3817" s="247"/>
      <c r="R3817" s="247"/>
      <c r="S3817" s="247"/>
      <c r="T3817" s="245"/>
      <c r="U3817" s="245"/>
      <c r="V3817" s="241"/>
      <c r="W3817" s="241"/>
      <c r="X3817" s="241"/>
    </row>
    <row r="3818" spans="1:24" ht="13.5" customHeight="1" x14ac:dyDescent="0.3">
      <c r="A3818" s="245"/>
      <c r="B3818" s="246"/>
      <c r="C3818" s="245"/>
      <c r="D3818" s="245"/>
      <c r="E3818" s="245"/>
      <c r="F3818" s="245"/>
      <c r="G3818" s="245"/>
      <c r="H3818" s="245"/>
      <c r="I3818" s="245"/>
      <c r="J3818" s="245"/>
      <c r="K3818" s="245"/>
      <c r="L3818" s="246"/>
      <c r="M3818" s="245"/>
      <c r="N3818" s="245"/>
      <c r="O3818" s="245"/>
      <c r="P3818" s="245"/>
      <c r="Q3818" s="247"/>
      <c r="R3818" s="247"/>
      <c r="S3818" s="247"/>
      <c r="T3818" s="245"/>
      <c r="U3818" s="245"/>
      <c r="V3818" s="241"/>
      <c r="W3818" s="241"/>
      <c r="X3818" s="241"/>
    </row>
    <row r="3819" spans="1:24" ht="13.5" customHeight="1" x14ac:dyDescent="0.3">
      <c r="A3819" s="245"/>
      <c r="B3819" s="246"/>
      <c r="C3819" s="245"/>
      <c r="D3819" s="245"/>
      <c r="E3819" s="245"/>
      <c r="F3819" s="245"/>
      <c r="G3819" s="245"/>
      <c r="H3819" s="245"/>
      <c r="I3819" s="245"/>
      <c r="J3819" s="245"/>
      <c r="K3819" s="245"/>
      <c r="L3819" s="246"/>
      <c r="M3819" s="245"/>
      <c r="N3819" s="245"/>
      <c r="O3819" s="245"/>
      <c r="P3819" s="245"/>
      <c r="Q3819" s="247"/>
      <c r="R3819" s="247"/>
      <c r="S3819" s="247"/>
      <c r="T3819" s="245"/>
      <c r="U3819" s="245"/>
      <c r="V3819" s="241"/>
      <c r="W3819" s="241"/>
      <c r="X3819" s="241"/>
    </row>
    <row r="3820" spans="1:24" ht="13.5" customHeight="1" x14ac:dyDescent="0.3">
      <c r="A3820" s="245"/>
      <c r="B3820" s="246"/>
      <c r="C3820" s="245"/>
      <c r="D3820" s="245"/>
      <c r="E3820" s="245"/>
      <c r="F3820" s="245"/>
      <c r="G3820" s="245"/>
      <c r="H3820" s="245"/>
      <c r="I3820" s="245"/>
      <c r="J3820" s="245"/>
      <c r="K3820" s="245"/>
      <c r="L3820" s="246"/>
      <c r="M3820" s="245"/>
      <c r="N3820" s="245"/>
      <c r="O3820" s="245"/>
      <c r="P3820" s="245"/>
      <c r="Q3820" s="247"/>
      <c r="R3820" s="247"/>
      <c r="S3820" s="247"/>
      <c r="T3820" s="245"/>
      <c r="U3820" s="245"/>
      <c r="V3820" s="241"/>
      <c r="W3820" s="241"/>
      <c r="X3820" s="241"/>
    </row>
    <row r="3821" spans="1:24" ht="13.5" customHeight="1" x14ac:dyDescent="0.3">
      <c r="A3821" s="245"/>
      <c r="B3821" s="246"/>
      <c r="C3821" s="245"/>
      <c r="D3821" s="245"/>
      <c r="E3821" s="245"/>
      <c r="F3821" s="245"/>
      <c r="G3821" s="245"/>
      <c r="H3821" s="245"/>
      <c r="I3821" s="245"/>
      <c r="J3821" s="245"/>
      <c r="K3821" s="245"/>
      <c r="L3821" s="246"/>
      <c r="M3821" s="245"/>
      <c r="N3821" s="245"/>
      <c r="O3821" s="245"/>
      <c r="P3821" s="245"/>
      <c r="Q3821" s="247"/>
      <c r="R3821" s="247"/>
      <c r="S3821" s="247"/>
      <c r="T3821" s="245"/>
      <c r="U3821" s="245"/>
      <c r="V3821" s="241"/>
      <c r="W3821" s="241"/>
      <c r="X3821" s="241"/>
    </row>
    <row r="3822" spans="1:24" ht="13.5" customHeight="1" x14ac:dyDescent="0.3">
      <c r="A3822" s="245"/>
      <c r="B3822" s="246"/>
      <c r="C3822" s="245"/>
      <c r="D3822" s="245"/>
      <c r="E3822" s="245"/>
      <c r="F3822" s="245"/>
      <c r="G3822" s="245"/>
      <c r="H3822" s="245"/>
      <c r="I3822" s="245"/>
      <c r="J3822" s="245"/>
      <c r="K3822" s="245"/>
      <c r="L3822" s="246"/>
      <c r="M3822" s="245"/>
      <c r="N3822" s="245"/>
      <c r="O3822" s="245"/>
      <c r="P3822" s="245"/>
      <c r="Q3822" s="247"/>
      <c r="R3822" s="247"/>
      <c r="S3822" s="247"/>
      <c r="T3822" s="245"/>
      <c r="U3822" s="245"/>
      <c r="V3822" s="241"/>
      <c r="W3822" s="241"/>
      <c r="X3822" s="241"/>
    </row>
    <row r="3823" spans="1:24" ht="13.5" customHeight="1" x14ac:dyDescent="0.3">
      <c r="A3823" s="245"/>
      <c r="B3823" s="246"/>
      <c r="C3823" s="245"/>
      <c r="D3823" s="245"/>
      <c r="E3823" s="245"/>
      <c r="F3823" s="245"/>
      <c r="G3823" s="245"/>
      <c r="H3823" s="245"/>
      <c r="I3823" s="245"/>
      <c r="J3823" s="245"/>
      <c r="K3823" s="245"/>
      <c r="L3823" s="246"/>
      <c r="M3823" s="245"/>
      <c r="N3823" s="245"/>
      <c r="O3823" s="245"/>
      <c r="P3823" s="245"/>
      <c r="Q3823" s="247"/>
      <c r="R3823" s="247"/>
      <c r="S3823" s="247"/>
      <c r="T3823" s="245"/>
      <c r="U3823" s="245"/>
      <c r="V3823" s="241"/>
      <c r="W3823" s="241"/>
      <c r="X3823" s="241"/>
    </row>
    <row r="3824" spans="1:24" ht="13.5" customHeight="1" x14ac:dyDescent="0.3">
      <c r="A3824" s="245"/>
      <c r="B3824" s="246"/>
      <c r="C3824" s="245"/>
      <c r="D3824" s="245"/>
      <c r="E3824" s="245"/>
      <c r="F3824" s="245"/>
      <c r="G3824" s="245"/>
      <c r="H3824" s="245"/>
      <c r="I3824" s="245"/>
      <c r="J3824" s="245"/>
      <c r="K3824" s="245"/>
      <c r="L3824" s="246"/>
      <c r="M3824" s="245"/>
      <c r="N3824" s="245"/>
      <c r="O3824" s="245"/>
      <c r="P3824" s="245"/>
      <c r="Q3824" s="247"/>
      <c r="R3824" s="247"/>
      <c r="S3824" s="247"/>
      <c r="T3824" s="245"/>
      <c r="U3824" s="245"/>
      <c r="V3824" s="241"/>
      <c r="W3824" s="241"/>
      <c r="X3824" s="241"/>
    </row>
    <row r="3825" spans="1:24" ht="13.5" customHeight="1" x14ac:dyDescent="0.3">
      <c r="A3825" s="245"/>
      <c r="B3825" s="246"/>
      <c r="C3825" s="245"/>
      <c r="D3825" s="245"/>
      <c r="E3825" s="245"/>
      <c r="F3825" s="245"/>
      <c r="G3825" s="245"/>
      <c r="H3825" s="245"/>
      <c r="I3825" s="245"/>
      <c r="J3825" s="245"/>
      <c r="K3825" s="245"/>
      <c r="L3825" s="246"/>
      <c r="M3825" s="245"/>
      <c r="N3825" s="245"/>
      <c r="O3825" s="245"/>
      <c r="P3825" s="245"/>
      <c r="Q3825" s="247"/>
      <c r="R3825" s="247"/>
      <c r="S3825" s="247"/>
      <c r="T3825" s="245"/>
      <c r="U3825" s="245"/>
      <c r="V3825" s="241"/>
      <c r="W3825" s="241"/>
      <c r="X3825" s="241"/>
    </row>
    <row r="3826" spans="1:24" ht="13.5" customHeight="1" x14ac:dyDescent="0.3">
      <c r="A3826" s="245"/>
      <c r="B3826" s="246"/>
      <c r="C3826" s="245"/>
      <c r="D3826" s="245"/>
      <c r="E3826" s="245"/>
      <c r="F3826" s="245"/>
      <c r="G3826" s="245"/>
      <c r="H3826" s="245"/>
      <c r="I3826" s="245"/>
      <c r="J3826" s="245"/>
      <c r="K3826" s="245"/>
      <c r="L3826" s="246"/>
      <c r="M3826" s="245"/>
      <c r="N3826" s="245"/>
      <c r="O3826" s="245"/>
      <c r="P3826" s="245"/>
      <c r="Q3826" s="247"/>
      <c r="R3826" s="247"/>
      <c r="S3826" s="247"/>
      <c r="T3826" s="245"/>
      <c r="U3826" s="245"/>
      <c r="V3826" s="241"/>
      <c r="W3826" s="241"/>
      <c r="X3826" s="241"/>
    </row>
    <row r="3827" spans="1:24" ht="13.5" customHeight="1" x14ac:dyDescent="0.3">
      <c r="A3827" s="245"/>
      <c r="B3827" s="246"/>
      <c r="C3827" s="245"/>
      <c r="D3827" s="245"/>
      <c r="E3827" s="245"/>
      <c r="F3827" s="245"/>
      <c r="G3827" s="245"/>
      <c r="H3827" s="245"/>
      <c r="I3827" s="245"/>
      <c r="J3827" s="245"/>
      <c r="K3827" s="245"/>
      <c r="L3827" s="246"/>
      <c r="M3827" s="245"/>
      <c r="N3827" s="245"/>
      <c r="O3827" s="245"/>
      <c r="P3827" s="245"/>
      <c r="Q3827" s="247"/>
      <c r="R3827" s="247"/>
      <c r="S3827" s="247"/>
      <c r="T3827" s="245"/>
      <c r="U3827" s="245"/>
      <c r="V3827" s="241"/>
      <c r="W3827" s="241"/>
      <c r="X3827" s="241"/>
    </row>
    <row r="3828" spans="1:24" ht="13.5" customHeight="1" x14ac:dyDescent="0.3">
      <c r="A3828" s="245"/>
      <c r="B3828" s="246"/>
      <c r="C3828" s="245"/>
      <c r="D3828" s="245"/>
      <c r="E3828" s="245"/>
      <c r="F3828" s="245"/>
      <c r="G3828" s="245"/>
      <c r="H3828" s="245"/>
      <c r="I3828" s="245"/>
      <c r="J3828" s="245"/>
      <c r="K3828" s="245"/>
      <c r="L3828" s="246"/>
      <c r="M3828" s="245"/>
      <c r="N3828" s="245"/>
      <c r="O3828" s="245"/>
      <c r="P3828" s="245"/>
      <c r="Q3828" s="247"/>
      <c r="R3828" s="247"/>
      <c r="S3828" s="247"/>
      <c r="T3828" s="245"/>
      <c r="U3828" s="245"/>
      <c r="V3828" s="241"/>
      <c r="W3828" s="241"/>
      <c r="X3828" s="241"/>
    </row>
    <row r="3829" spans="1:24" ht="13.5" customHeight="1" x14ac:dyDescent="0.3">
      <c r="A3829" s="245"/>
      <c r="B3829" s="246"/>
      <c r="C3829" s="245"/>
      <c r="D3829" s="245"/>
      <c r="E3829" s="245"/>
      <c r="F3829" s="245"/>
      <c r="G3829" s="245"/>
      <c r="H3829" s="245"/>
      <c r="I3829" s="245"/>
      <c r="J3829" s="245"/>
      <c r="K3829" s="245"/>
      <c r="L3829" s="246"/>
      <c r="M3829" s="245"/>
      <c r="N3829" s="245"/>
      <c r="O3829" s="245"/>
      <c r="P3829" s="245"/>
      <c r="Q3829" s="247"/>
      <c r="R3829" s="247"/>
      <c r="S3829" s="247"/>
      <c r="T3829" s="245"/>
      <c r="U3829" s="245"/>
      <c r="V3829" s="241"/>
      <c r="W3829" s="241"/>
      <c r="X3829" s="241"/>
    </row>
    <row r="3830" spans="1:24" ht="13.5" customHeight="1" x14ac:dyDescent="0.3">
      <c r="A3830" s="245"/>
      <c r="B3830" s="246"/>
      <c r="C3830" s="245"/>
      <c r="D3830" s="245"/>
      <c r="E3830" s="245"/>
      <c r="F3830" s="245"/>
      <c r="G3830" s="245"/>
      <c r="H3830" s="245"/>
      <c r="I3830" s="245"/>
      <c r="J3830" s="245"/>
      <c r="K3830" s="245"/>
      <c r="L3830" s="246"/>
      <c r="M3830" s="245"/>
      <c r="N3830" s="245"/>
      <c r="O3830" s="245"/>
      <c r="P3830" s="245"/>
      <c r="Q3830" s="247"/>
      <c r="R3830" s="247"/>
      <c r="S3830" s="247"/>
      <c r="T3830" s="245"/>
      <c r="U3830" s="245"/>
      <c r="V3830" s="241"/>
      <c r="W3830" s="241"/>
      <c r="X3830" s="241"/>
    </row>
    <row r="3831" spans="1:24" ht="13.5" customHeight="1" x14ac:dyDescent="0.3">
      <c r="A3831" s="245"/>
      <c r="B3831" s="246"/>
      <c r="C3831" s="245"/>
      <c r="D3831" s="245"/>
      <c r="E3831" s="245"/>
      <c r="F3831" s="245"/>
      <c r="G3831" s="245"/>
      <c r="H3831" s="245"/>
      <c r="I3831" s="245"/>
      <c r="J3831" s="245"/>
      <c r="K3831" s="245"/>
      <c r="L3831" s="246"/>
      <c r="M3831" s="245"/>
      <c r="N3831" s="245"/>
      <c r="O3831" s="245"/>
      <c r="P3831" s="245"/>
      <c r="Q3831" s="247"/>
      <c r="R3831" s="247"/>
      <c r="S3831" s="247"/>
      <c r="T3831" s="245"/>
      <c r="U3831" s="245"/>
      <c r="V3831" s="241"/>
      <c r="W3831" s="241"/>
      <c r="X3831" s="241"/>
    </row>
    <row r="3832" spans="1:24" ht="13.5" customHeight="1" x14ac:dyDescent="0.3">
      <c r="A3832" s="245"/>
      <c r="B3832" s="246"/>
      <c r="C3832" s="245"/>
      <c r="D3832" s="245"/>
      <c r="E3832" s="245"/>
      <c r="F3832" s="245"/>
      <c r="G3832" s="245"/>
      <c r="H3832" s="245"/>
      <c r="I3832" s="245"/>
      <c r="J3832" s="245"/>
      <c r="K3832" s="245"/>
      <c r="L3832" s="246"/>
      <c r="M3832" s="245"/>
      <c r="N3832" s="245"/>
      <c r="O3832" s="245"/>
      <c r="P3832" s="245"/>
      <c r="Q3832" s="247"/>
      <c r="R3832" s="247"/>
      <c r="S3832" s="247"/>
      <c r="T3832" s="245"/>
      <c r="U3832" s="245"/>
      <c r="V3832" s="241"/>
      <c r="W3832" s="241"/>
      <c r="X3832" s="241"/>
    </row>
    <row r="3833" spans="1:24" ht="13.5" customHeight="1" x14ac:dyDescent="0.3">
      <c r="A3833" s="245"/>
      <c r="B3833" s="246"/>
      <c r="C3833" s="245"/>
      <c r="D3833" s="245"/>
      <c r="E3833" s="245"/>
      <c r="F3833" s="245"/>
      <c r="G3833" s="245"/>
      <c r="H3833" s="245"/>
      <c r="I3833" s="245"/>
      <c r="J3833" s="245"/>
      <c r="K3833" s="245"/>
      <c r="L3833" s="246"/>
      <c r="M3833" s="245"/>
      <c r="N3833" s="245"/>
      <c r="O3833" s="245"/>
      <c r="P3833" s="245"/>
      <c r="Q3833" s="247"/>
      <c r="R3833" s="247"/>
      <c r="S3833" s="247"/>
      <c r="T3833" s="245"/>
      <c r="U3833" s="245"/>
      <c r="V3833" s="241"/>
      <c r="W3833" s="241"/>
      <c r="X3833" s="241"/>
    </row>
    <row r="3834" spans="1:24" ht="13.5" customHeight="1" x14ac:dyDescent="0.3">
      <c r="A3834" s="245"/>
      <c r="B3834" s="246"/>
      <c r="C3834" s="245"/>
      <c r="D3834" s="245"/>
      <c r="E3834" s="245"/>
      <c r="F3834" s="245"/>
      <c r="G3834" s="245"/>
      <c r="H3834" s="245"/>
      <c r="I3834" s="245"/>
      <c r="J3834" s="245"/>
      <c r="K3834" s="245"/>
      <c r="L3834" s="246"/>
      <c r="M3834" s="245"/>
      <c r="N3834" s="245"/>
      <c r="O3834" s="245"/>
      <c r="P3834" s="245"/>
      <c r="Q3834" s="247"/>
      <c r="R3834" s="247"/>
      <c r="S3834" s="247"/>
      <c r="T3834" s="245"/>
      <c r="U3834" s="245"/>
      <c r="V3834" s="241"/>
      <c r="W3834" s="241"/>
      <c r="X3834" s="241"/>
    </row>
    <row r="3835" spans="1:24" ht="13.5" customHeight="1" x14ac:dyDescent="0.3">
      <c r="A3835" s="245"/>
      <c r="B3835" s="246"/>
      <c r="C3835" s="245"/>
      <c r="D3835" s="245"/>
      <c r="E3835" s="245"/>
      <c r="F3835" s="245"/>
      <c r="G3835" s="245"/>
      <c r="H3835" s="245"/>
      <c r="I3835" s="245"/>
      <c r="J3835" s="245"/>
      <c r="K3835" s="245"/>
      <c r="L3835" s="246"/>
      <c r="M3835" s="245"/>
      <c r="N3835" s="245"/>
      <c r="O3835" s="245"/>
      <c r="P3835" s="245"/>
      <c r="Q3835" s="247"/>
      <c r="R3835" s="247"/>
      <c r="S3835" s="247"/>
      <c r="T3835" s="245"/>
      <c r="U3835" s="245"/>
      <c r="V3835" s="241"/>
      <c r="W3835" s="241"/>
      <c r="X3835" s="241"/>
    </row>
    <row r="3836" spans="1:24" ht="13.5" customHeight="1" x14ac:dyDescent="0.3">
      <c r="A3836" s="245"/>
      <c r="B3836" s="246"/>
      <c r="C3836" s="245"/>
      <c r="D3836" s="245"/>
      <c r="E3836" s="245"/>
      <c r="F3836" s="245"/>
      <c r="G3836" s="245"/>
      <c r="H3836" s="245"/>
      <c r="I3836" s="245"/>
      <c r="J3836" s="245"/>
      <c r="K3836" s="245"/>
      <c r="L3836" s="246"/>
      <c r="M3836" s="245"/>
      <c r="N3836" s="245"/>
      <c r="O3836" s="245"/>
      <c r="P3836" s="245"/>
      <c r="Q3836" s="247"/>
      <c r="R3836" s="247"/>
      <c r="S3836" s="247"/>
      <c r="T3836" s="245"/>
      <c r="U3836" s="245"/>
      <c r="V3836" s="241"/>
      <c r="W3836" s="241"/>
      <c r="X3836" s="241"/>
    </row>
    <row r="3837" spans="1:24" ht="13.5" customHeight="1" x14ac:dyDescent="0.3">
      <c r="A3837" s="245"/>
      <c r="B3837" s="246"/>
      <c r="C3837" s="245"/>
      <c r="D3837" s="245"/>
      <c r="E3837" s="245"/>
      <c r="F3837" s="245"/>
      <c r="G3837" s="245"/>
      <c r="H3837" s="245"/>
      <c r="I3837" s="245"/>
      <c r="J3837" s="245"/>
      <c r="K3837" s="245"/>
      <c r="L3837" s="246"/>
      <c r="M3837" s="245"/>
      <c r="N3837" s="245"/>
      <c r="O3837" s="245"/>
      <c r="P3837" s="245"/>
      <c r="Q3837" s="247"/>
      <c r="R3837" s="247"/>
      <c r="S3837" s="247"/>
      <c r="T3837" s="245"/>
      <c r="U3837" s="245"/>
      <c r="V3837" s="241"/>
      <c r="W3837" s="241"/>
      <c r="X3837" s="241"/>
    </row>
    <row r="3838" spans="1:24" ht="13.5" customHeight="1" x14ac:dyDescent="0.3">
      <c r="A3838" s="245"/>
      <c r="B3838" s="246"/>
      <c r="C3838" s="245"/>
      <c r="D3838" s="245"/>
      <c r="E3838" s="245"/>
      <c r="F3838" s="245"/>
      <c r="G3838" s="245"/>
      <c r="H3838" s="245"/>
      <c r="I3838" s="245"/>
      <c r="J3838" s="245"/>
      <c r="K3838" s="245"/>
      <c r="L3838" s="246"/>
      <c r="M3838" s="245"/>
      <c r="N3838" s="245"/>
      <c r="O3838" s="245"/>
      <c r="P3838" s="245"/>
      <c r="Q3838" s="247"/>
      <c r="R3838" s="247"/>
      <c r="S3838" s="247"/>
      <c r="T3838" s="245"/>
      <c r="U3838" s="245"/>
      <c r="V3838" s="241"/>
      <c r="W3838" s="241"/>
      <c r="X3838" s="241"/>
    </row>
    <row r="3839" spans="1:24" ht="13.5" customHeight="1" x14ac:dyDescent="0.3">
      <c r="A3839" s="245"/>
      <c r="B3839" s="246"/>
      <c r="C3839" s="245"/>
      <c r="D3839" s="245"/>
      <c r="E3839" s="245"/>
      <c r="F3839" s="245"/>
      <c r="G3839" s="245"/>
      <c r="H3839" s="245"/>
      <c r="I3839" s="245"/>
      <c r="J3839" s="245"/>
      <c r="K3839" s="245"/>
      <c r="L3839" s="246"/>
      <c r="M3839" s="245"/>
      <c r="N3839" s="245"/>
      <c r="O3839" s="245"/>
      <c r="P3839" s="245"/>
      <c r="Q3839" s="247"/>
      <c r="R3839" s="247"/>
      <c r="S3839" s="247"/>
      <c r="T3839" s="245"/>
      <c r="U3839" s="245"/>
      <c r="V3839" s="241"/>
      <c r="W3839" s="241"/>
      <c r="X3839" s="241"/>
    </row>
    <row r="3840" spans="1:24" ht="13.5" customHeight="1" x14ac:dyDescent="0.3">
      <c r="A3840" s="245"/>
      <c r="B3840" s="246"/>
      <c r="C3840" s="245"/>
      <c r="D3840" s="245"/>
      <c r="E3840" s="245"/>
      <c r="F3840" s="245"/>
      <c r="G3840" s="245"/>
      <c r="H3840" s="245"/>
      <c r="I3840" s="245"/>
      <c r="J3840" s="245"/>
      <c r="K3840" s="245"/>
      <c r="L3840" s="246"/>
      <c r="M3840" s="245"/>
      <c r="N3840" s="245"/>
      <c r="O3840" s="245"/>
      <c r="P3840" s="245"/>
      <c r="Q3840" s="247"/>
      <c r="R3840" s="247"/>
      <c r="S3840" s="247"/>
      <c r="T3840" s="245"/>
      <c r="U3840" s="245"/>
      <c r="V3840" s="241"/>
      <c r="W3840" s="241"/>
      <c r="X3840" s="241"/>
    </row>
    <row r="3841" spans="1:24" ht="13.5" customHeight="1" x14ac:dyDescent="0.3">
      <c r="A3841" s="245"/>
      <c r="B3841" s="246"/>
      <c r="C3841" s="245"/>
      <c r="D3841" s="245"/>
      <c r="E3841" s="245"/>
      <c r="F3841" s="245"/>
      <c r="G3841" s="245"/>
      <c r="H3841" s="245"/>
      <c r="I3841" s="245"/>
      <c r="J3841" s="245"/>
      <c r="K3841" s="245"/>
      <c r="L3841" s="246"/>
      <c r="M3841" s="245"/>
      <c r="N3841" s="245"/>
      <c r="O3841" s="245"/>
      <c r="P3841" s="245"/>
      <c r="Q3841" s="247"/>
      <c r="R3841" s="247"/>
      <c r="S3841" s="247"/>
      <c r="T3841" s="245"/>
      <c r="U3841" s="245"/>
      <c r="V3841" s="241"/>
      <c r="W3841" s="241"/>
      <c r="X3841" s="241"/>
    </row>
    <row r="3842" spans="1:24" ht="13.5" customHeight="1" x14ac:dyDescent="0.3">
      <c r="A3842" s="245"/>
      <c r="B3842" s="246"/>
      <c r="C3842" s="245"/>
      <c r="D3842" s="245"/>
      <c r="E3842" s="245"/>
      <c r="F3842" s="245"/>
      <c r="G3842" s="245"/>
      <c r="H3842" s="245"/>
      <c r="I3842" s="245"/>
      <c r="J3842" s="245"/>
      <c r="K3842" s="245"/>
      <c r="L3842" s="246"/>
      <c r="M3842" s="245"/>
      <c r="N3842" s="245"/>
      <c r="O3842" s="245"/>
      <c r="P3842" s="245"/>
      <c r="Q3842" s="247"/>
      <c r="R3842" s="247"/>
      <c r="S3842" s="247"/>
      <c r="T3842" s="245"/>
      <c r="U3842" s="245"/>
      <c r="V3842" s="241"/>
      <c r="W3842" s="241"/>
      <c r="X3842" s="241"/>
    </row>
    <row r="3843" spans="1:24" ht="13.5" customHeight="1" x14ac:dyDescent="0.3">
      <c r="A3843" s="245"/>
      <c r="B3843" s="246"/>
      <c r="C3843" s="245"/>
      <c r="D3843" s="245"/>
      <c r="E3843" s="245"/>
      <c r="F3843" s="245"/>
      <c r="G3843" s="245"/>
      <c r="H3843" s="245"/>
      <c r="I3843" s="245"/>
      <c r="J3843" s="245"/>
      <c r="K3843" s="245"/>
      <c r="L3843" s="246"/>
      <c r="M3843" s="245"/>
      <c r="N3843" s="245"/>
      <c r="O3843" s="245"/>
      <c r="P3843" s="245"/>
      <c r="Q3843" s="247"/>
      <c r="R3843" s="247"/>
      <c r="S3843" s="247"/>
      <c r="T3843" s="245"/>
      <c r="U3843" s="245"/>
      <c r="V3843" s="241"/>
      <c r="W3843" s="241"/>
      <c r="X3843" s="241"/>
    </row>
    <row r="3844" spans="1:24" ht="13.5" customHeight="1" x14ac:dyDescent="0.3">
      <c r="A3844" s="245"/>
      <c r="B3844" s="246"/>
      <c r="C3844" s="245"/>
      <c r="D3844" s="245"/>
      <c r="E3844" s="245"/>
      <c r="F3844" s="245"/>
      <c r="G3844" s="245"/>
      <c r="H3844" s="245"/>
      <c r="I3844" s="245"/>
      <c r="J3844" s="245"/>
      <c r="K3844" s="245"/>
      <c r="L3844" s="246"/>
      <c r="M3844" s="245"/>
      <c r="N3844" s="245"/>
      <c r="O3844" s="245"/>
      <c r="P3844" s="245"/>
      <c r="Q3844" s="247"/>
      <c r="R3844" s="247"/>
      <c r="S3844" s="247"/>
      <c r="T3844" s="245"/>
      <c r="U3844" s="245"/>
      <c r="V3844" s="241"/>
      <c r="W3844" s="241"/>
      <c r="X3844" s="241"/>
    </row>
    <row r="3845" spans="1:24" ht="13.5" customHeight="1" x14ac:dyDescent="0.3">
      <c r="A3845" s="245"/>
      <c r="B3845" s="246"/>
      <c r="C3845" s="245"/>
      <c r="D3845" s="245"/>
      <c r="E3845" s="245"/>
      <c r="F3845" s="245"/>
      <c r="G3845" s="245"/>
      <c r="H3845" s="245"/>
      <c r="I3845" s="245"/>
      <c r="J3845" s="245"/>
      <c r="K3845" s="245"/>
      <c r="L3845" s="246"/>
      <c r="M3845" s="245"/>
      <c r="N3845" s="245"/>
      <c r="O3845" s="245"/>
      <c r="P3845" s="245"/>
      <c r="Q3845" s="247"/>
      <c r="R3845" s="247"/>
      <c r="S3845" s="247"/>
      <c r="T3845" s="245"/>
      <c r="U3845" s="245"/>
      <c r="V3845" s="241"/>
      <c r="W3845" s="241"/>
      <c r="X3845" s="241"/>
    </row>
    <row r="3846" spans="1:24" ht="13.5" customHeight="1" x14ac:dyDescent="0.3">
      <c r="A3846" s="245"/>
      <c r="B3846" s="246"/>
      <c r="C3846" s="245"/>
      <c r="D3846" s="245"/>
      <c r="E3846" s="245"/>
      <c r="F3846" s="245"/>
      <c r="G3846" s="245"/>
      <c r="H3846" s="245"/>
      <c r="I3846" s="245"/>
      <c r="J3846" s="245"/>
      <c r="K3846" s="245"/>
      <c r="L3846" s="246"/>
      <c r="M3846" s="245"/>
      <c r="N3846" s="245"/>
      <c r="O3846" s="245"/>
      <c r="P3846" s="245"/>
      <c r="Q3846" s="247"/>
      <c r="R3846" s="247"/>
      <c r="S3846" s="247"/>
      <c r="T3846" s="245"/>
      <c r="U3846" s="245"/>
      <c r="V3846" s="241"/>
      <c r="W3846" s="241"/>
      <c r="X3846" s="241"/>
    </row>
    <row r="3847" spans="1:24" ht="13.5" customHeight="1" x14ac:dyDescent="0.3">
      <c r="A3847" s="245"/>
      <c r="B3847" s="246"/>
      <c r="C3847" s="245"/>
      <c r="D3847" s="245"/>
      <c r="E3847" s="245"/>
      <c r="F3847" s="245"/>
      <c r="G3847" s="245"/>
      <c r="H3847" s="245"/>
      <c r="I3847" s="245"/>
      <c r="J3847" s="245"/>
      <c r="K3847" s="245"/>
      <c r="L3847" s="246"/>
      <c r="M3847" s="245"/>
      <c r="N3847" s="245"/>
      <c r="O3847" s="245"/>
      <c r="P3847" s="245"/>
      <c r="Q3847" s="247"/>
      <c r="R3847" s="247"/>
      <c r="S3847" s="247"/>
      <c r="T3847" s="245"/>
      <c r="U3847" s="245"/>
      <c r="V3847" s="241"/>
      <c r="W3847" s="241"/>
      <c r="X3847" s="241"/>
    </row>
    <row r="3848" spans="1:24" ht="13.5" customHeight="1" x14ac:dyDescent="0.3">
      <c r="A3848" s="245"/>
      <c r="B3848" s="246"/>
      <c r="C3848" s="245"/>
      <c r="D3848" s="245"/>
      <c r="E3848" s="245"/>
      <c r="F3848" s="245"/>
      <c r="G3848" s="245"/>
      <c r="H3848" s="245"/>
      <c r="I3848" s="245"/>
      <c r="J3848" s="245"/>
      <c r="K3848" s="245"/>
      <c r="L3848" s="246"/>
      <c r="M3848" s="245"/>
      <c r="N3848" s="245"/>
      <c r="O3848" s="245"/>
      <c r="P3848" s="245"/>
      <c r="Q3848" s="247"/>
      <c r="R3848" s="247"/>
      <c r="S3848" s="247"/>
      <c r="T3848" s="245"/>
      <c r="U3848" s="245"/>
      <c r="V3848" s="241"/>
      <c r="W3848" s="241"/>
      <c r="X3848" s="241"/>
    </row>
    <row r="3849" spans="1:24" ht="13.5" customHeight="1" x14ac:dyDescent="0.3">
      <c r="A3849" s="245"/>
      <c r="B3849" s="246"/>
      <c r="C3849" s="245"/>
      <c r="D3849" s="245"/>
      <c r="E3849" s="245"/>
      <c r="F3849" s="245"/>
      <c r="G3849" s="245"/>
      <c r="H3849" s="245"/>
      <c r="I3849" s="245"/>
      <c r="J3849" s="245"/>
      <c r="K3849" s="245"/>
      <c r="L3849" s="246"/>
      <c r="M3849" s="245"/>
      <c r="N3849" s="245"/>
      <c r="O3849" s="245"/>
      <c r="P3849" s="245"/>
      <c r="Q3849" s="247"/>
      <c r="R3849" s="247"/>
      <c r="S3849" s="247"/>
      <c r="T3849" s="245"/>
      <c r="U3849" s="245"/>
      <c r="V3849" s="241"/>
      <c r="W3849" s="241"/>
      <c r="X3849" s="241"/>
    </row>
    <row r="3850" spans="1:24" ht="13.5" customHeight="1" x14ac:dyDescent="0.3">
      <c r="A3850" s="245"/>
      <c r="B3850" s="246"/>
      <c r="C3850" s="245"/>
      <c r="D3850" s="245"/>
      <c r="E3850" s="245"/>
      <c r="F3850" s="245"/>
      <c r="G3850" s="245"/>
      <c r="H3850" s="245"/>
      <c r="I3850" s="245"/>
      <c r="J3850" s="245"/>
      <c r="K3850" s="245"/>
      <c r="L3850" s="246"/>
      <c r="M3850" s="245"/>
      <c r="N3850" s="245"/>
      <c r="O3850" s="245"/>
      <c r="P3850" s="245"/>
      <c r="Q3850" s="247"/>
      <c r="R3850" s="247"/>
      <c r="S3850" s="247"/>
      <c r="T3850" s="245"/>
      <c r="U3850" s="245"/>
      <c r="V3850" s="241"/>
      <c r="W3850" s="241"/>
      <c r="X3850" s="241"/>
    </row>
    <row r="3851" spans="1:24" ht="13.5" customHeight="1" x14ac:dyDescent="0.3">
      <c r="A3851" s="245"/>
      <c r="B3851" s="246"/>
      <c r="C3851" s="245"/>
      <c r="D3851" s="245"/>
      <c r="E3851" s="245"/>
      <c r="F3851" s="245"/>
      <c r="G3851" s="245"/>
      <c r="H3851" s="245"/>
      <c r="I3851" s="245"/>
      <c r="J3851" s="245"/>
      <c r="K3851" s="245"/>
      <c r="L3851" s="246"/>
      <c r="M3851" s="245"/>
      <c r="N3851" s="245"/>
      <c r="O3851" s="245"/>
      <c r="P3851" s="245"/>
      <c r="Q3851" s="247"/>
      <c r="R3851" s="247"/>
      <c r="S3851" s="247"/>
      <c r="T3851" s="245"/>
      <c r="U3851" s="245"/>
      <c r="V3851" s="241"/>
      <c r="W3851" s="241"/>
      <c r="X3851" s="241"/>
    </row>
    <row r="3852" spans="1:24" ht="13.5" customHeight="1" x14ac:dyDescent="0.3">
      <c r="A3852" s="245"/>
      <c r="B3852" s="246"/>
      <c r="C3852" s="245"/>
      <c r="D3852" s="245"/>
      <c r="E3852" s="245"/>
      <c r="F3852" s="245"/>
      <c r="G3852" s="245"/>
      <c r="H3852" s="245"/>
      <c r="I3852" s="245"/>
      <c r="J3852" s="245"/>
      <c r="K3852" s="245"/>
      <c r="L3852" s="246"/>
      <c r="M3852" s="245"/>
      <c r="N3852" s="245"/>
      <c r="O3852" s="245"/>
      <c r="P3852" s="245"/>
      <c r="Q3852" s="247"/>
      <c r="R3852" s="247"/>
      <c r="S3852" s="247"/>
      <c r="T3852" s="245"/>
      <c r="U3852" s="245"/>
      <c r="V3852" s="241"/>
      <c r="W3852" s="241"/>
      <c r="X3852" s="241"/>
    </row>
    <row r="3853" spans="1:24" ht="13.5" customHeight="1" x14ac:dyDescent="0.3">
      <c r="A3853" s="245"/>
      <c r="B3853" s="246"/>
      <c r="C3853" s="245"/>
      <c r="D3853" s="245"/>
      <c r="E3853" s="245"/>
      <c r="F3853" s="245"/>
      <c r="G3853" s="245"/>
      <c r="H3853" s="245"/>
      <c r="I3853" s="245"/>
      <c r="J3853" s="245"/>
      <c r="K3853" s="245"/>
      <c r="L3853" s="246"/>
      <c r="M3853" s="245"/>
      <c r="N3853" s="245"/>
      <c r="O3853" s="245"/>
      <c r="P3853" s="245"/>
      <c r="Q3853" s="247"/>
      <c r="R3853" s="247"/>
      <c r="S3853" s="247"/>
      <c r="T3853" s="245"/>
      <c r="U3853" s="245"/>
      <c r="V3853" s="241"/>
      <c r="W3853" s="241"/>
      <c r="X3853" s="241"/>
    </row>
    <row r="3854" spans="1:24" ht="13.5" customHeight="1" x14ac:dyDescent="0.3">
      <c r="A3854" s="245"/>
      <c r="B3854" s="246"/>
      <c r="C3854" s="245"/>
      <c r="D3854" s="245"/>
      <c r="E3854" s="245"/>
      <c r="F3854" s="245"/>
      <c r="G3854" s="245"/>
      <c r="H3854" s="245"/>
      <c r="I3854" s="245"/>
      <c r="J3854" s="245"/>
      <c r="K3854" s="245"/>
      <c r="L3854" s="246"/>
      <c r="M3854" s="245"/>
      <c r="N3854" s="245"/>
      <c r="O3854" s="245"/>
      <c r="P3854" s="245"/>
      <c r="Q3854" s="247"/>
      <c r="R3854" s="247"/>
      <c r="S3854" s="247"/>
      <c r="T3854" s="245"/>
      <c r="U3854" s="245"/>
      <c r="V3854" s="241"/>
      <c r="W3854" s="241"/>
      <c r="X3854" s="241"/>
    </row>
    <row r="3855" spans="1:24" ht="13.5" customHeight="1" x14ac:dyDescent="0.3">
      <c r="A3855" s="245"/>
      <c r="B3855" s="246"/>
      <c r="C3855" s="245"/>
      <c r="D3855" s="245"/>
      <c r="E3855" s="245"/>
      <c r="F3855" s="245"/>
      <c r="G3855" s="245"/>
      <c r="H3855" s="245"/>
      <c r="I3855" s="245"/>
      <c r="J3855" s="245"/>
      <c r="K3855" s="245"/>
      <c r="L3855" s="246"/>
      <c r="M3855" s="245"/>
      <c r="N3855" s="245"/>
      <c r="O3855" s="245"/>
      <c r="P3855" s="245"/>
      <c r="Q3855" s="247"/>
      <c r="R3855" s="247"/>
      <c r="S3855" s="247"/>
      <c r="T3855" s="245"/>
      <c r="U3855" s="245"/>
      <c r="V3855" s="241"/>
      <c r="W3855" s="241"/>
      <c r="X3855" s="241"/>
    </row>
    <row r="3856" spans="1:24" ht="13.5" customHeight="1" x14ac:dyDescent="0.3">
      <c r="A3856" s="245"/>
      <c r="B3856" s="246"/>
      <c r="C3856" s="245"/>
      <c r="D3856" s="245"/>
      <c r="E3856" s="245"/>
      <c r="F3856" s="245"/>
      <c r="G3856" s="245"/>
      <c r="H3856" s="245"/>
      <c r="I3856" s="245"/>
      <c r="J3856" s="245"/>
      <c r="K3856" s="245"/>
      <c r="L3856" s="246"/>
      <c r="M3856" s="245"/>
      <c r="N3856" s="245"/>
      <c r="O3856" s="245"/>
      <c r="P3856" s="245"/>
      <c r="Q3856" s="247"/>
      <c r="R3856" s="247"/>
      <c r="S3856" s="247"/>
      <c r="T3856" s="245"/>
      <c r="U3856" s="245"/>
      <c r="V3856" s="241"/>
      <c r="W3856" s="241"/>
      <c r="X3856" s="241"/>
    </row>
    <row r="3857" spans="1:24" ht="13.5" customHeight="1" x14ac:dyDescent="0.3">
      <c r="A3857" s="245"/>
      <c r="B3857" s="246"/>
      <c r="C3857" s="245"/>
      <c r="D3857" s="245"/>
      <c r="E3857" s="245"/>
      <c r="F3857" s="245"/>
      <c r="G3857" s="245"/>
      <c r="H3857" s="245"/>
      <c r="I3857" s="245"/>
      <c r="J3857" s="245"/>
      <c r="K3857" s="245"/>
      <c r="L3857" s="246"/>
      <c r="M3857" s="245"/>
      <c r="N3857" s="245"/>
      <c r="O3857" s="245"/>
      <c r="P3857" s="245"/>
      <c r="Q3857" s="247"/>
      <c r="R3857" s="247"/>
      <c r="S3857" s="247"/>
      <c r="T3857" s="245"/>
      <c r="U3857" s="245"/>
      <c r="V3857" s="241"/>
      <c r="W3857" s="241"/>
      <c r="X3857" s="241"/>
    </row>
    <row r="3858" spans="1:24" ht="13.5" customHeight="1" x14ac:dyDescent="0.3">
      <c r="A3858" s="245"/>
      <c r="B3858" s="246"/>
      <c r="C3858" s="245"/>
      <c r="D3858" s="245"/>
      <c r="E3858" s="245"/>
      <c r="F3858" s="245"/>
      <c r="G3858" s="245"/>
      <c r="H3858" s="245"/>
      <c r="I3858" s="245"/>
      <c r="J3858" s="245"/>
      <c r="K3858" s="245"/>
      <c r="L3858" s="246"/>
      <c r="M3858" s="245"/>
      <c r="N3858" s="245"/>
      <c r="O3858" s="245"/>
      <c r="P3858" s="245"/>
      <c r="Q3858" s="247"/>
      <c r="R3858" s="247"/>
      <c r="S3858" s="247"/>
      <c r="T3858" s="245"/>
      <c r="U3858" s="245"/>
      <c r="V3858" s="241"/>
      <c r="W3858" s="241"/>
      <c r="X3858" s="241"/>
    </row>
    <row r="3859" spans="1:24" ht="13.5" customHeight="1" x14ac:dyDescent="0.3">
      <c r="A3859" s="245"/>
      <c r="B3859" s="246"/>
      <c r="C3859" s="245"/>
      <c r="D3859" s="245"/>
      <c r="E3859" s="245"/>
      <c r="F3859" s="245"/>
      <c r="G3859" s="245"/>
      <c r="H3859" s="245"/>
      <c r="I3859" s="245"/>
      <c r="J3859" s="245"/>
      <c r="K3859" s="245"/>
      <c r="L3859" s="246"/>
      <c r="M3859" s="245"/>
      <c r="N3859" s="245"/>
      <c r="O3859" s="245"/>
      <c r="P3859" s="245"/>
      <c r="Q3859" s="247"/>
      <c r="R3859" s="247"/>
      <c r="S3859" s="247"/>
      <c r="T3859" s="245"/>
      <c r="U3859" s="245"/>
      <c r="V3859" s="241"/>
      <c r="W3859" s="241"/>
      <c r="X3859" s="241"/>
    </row>
    <row r="3860" spans="1:24" ht="13.5" customHeight="1" x14ac:dyDescent="0.3">
      <c r="A3860" s="245"/>
      <c r="B3860" s="246"/>
      <c r="C3860" s="245"/>
      <c r="D3860" s="245"/>
      <c r="E3860" s="245"/>
      <c r="F3860" s="245"/>
      <c r="G3860" s="245"/>
      <c r="H3860" s="245"/>
      <c r="I3860" s="245"/>
      <c r="J3860" s="245"/>
      <c r="K3860" s="245"/>
      <c r="L3860" s="246"/>
      <c r="M3860" s="245"/>
      <c r="N3860" s="245"/>
      <c r="O3860" s="245"/>
      <c r="P3860" s="245"/>
      <c r="Q3860" s="247"/>
      <c r="R3860" s="247"/>
      <c r="S3860" s="247"/>
      <c r="T3860" s="245"/>
      <c r="U3860" s="245"/>
      <c r="V3860" s="241"/>
      <c r="W3860" s="241"/>
      <c r="X3860" s="241"/>
    </row>
    <row r="3861" spans="1:24" ht="13.5" customHeight="1" x14ac:dyDescent="0.3">
      <c r="A3861" s="245"/>
      <c r="B3861" s="246"/>
      <c r="C3861" s="245"/>
      <c r="D3861" s="245"/>
      <c r="E3861" s="245"/>
      <c r="F3861" s="245"/>
      <c r="G3861" s="245"/>
      <c r="H3861" s="245"/>
      <c r="I3861" s="245"/>
      <c r="J3861" s="245"/>
      <c r="K3861" s="245"/>
      <c r="L3861" s="246"/>
      <c r="M3861" s="245"/>
      <c r="N3861" s="245"/>
      <c r="O3861" s="245"/>
      <c r="P3861" s="245"/>
      <c r="Q3861" s="247"/>
      <c r="R3861" s="247"/>
      <c r="S3861" s="247"/>
      <c r="T3861" s="245"/>
      <c r="U3861" s="245"/>
      <c r="V3861" s="241"/>
      <c r="W3861" s="241"/>
      <c r="X3861" s="241"/>
    </row>
    <row r="3862" spans="1:24" ht="13.5" customHeight="1" x14ac:dyDescent="0.3">
      <c r="A3862" s="245"/>
      <c r="B3862" s="246"/>
      <c r="C3862" s="245"/>
      <c r="D3862" s="245"/>
      <c r="E3862" s="245"/>
      <c r="F3862" s="245"/>
      <c r="G3862" s="245"/>
      <c r="H3862" s="245"/>
      <c r="I3862" s="245"/>
      <c r="J3862" s="245"/>
      <c r="K3862" s="245"/>
      <c r="L3862" s="246"/>
      <c r="M3862" s="245"/>
      <c r="N3862" s="245"/>
      <c r="O3862" s="245"/>
      <c r="P3862" s="245"/>
      <c r="Q3862" s="247"/>
      <c r="R3862" s="247"/>
      <c r="S3862" s="247"/>
      <c r="T3862" s="245"/>
      <c r="U3862" s="245"/>
      <c r="V3862" s="241"/>
      <c r="W3862" s="241"/>
      <c r="X3862" s="241"/>
    </row>
    <row r="3863" spans="1:24" ht="13.5" customHeight="1" x14ac:dyDescent="0.3">
      <c r="A3863" s="245"/>
      <c r="B3863" s="246"/>
      <c r="C3863" s="245"/>
      <c r="D3863" s="245"/>
      <c r="E3863" s="245"/>
      <c r="F3863" s="245"/>
      <c r="G3863" s="245"/>
      <c r="H3863" s="245"/>
      <c r="I3863" s="245"/>
      <c r="J3863" s="245"/>
      <c r="K3863" s="245"/>
      <c r="L3863" s="246"/>
      <c r="M3863" s="245"/>
      <c r="N3863" s="245"/>
      <c r="O3863" s="245"/>
      <c r="P3863" s="245"/>
      <c r="Q3863" s="247"/>
      <c r="R3863" s="247"/>
      <c r="S3863" s="247"/>
      <c r="T3863" s="245"/>
      <c r="U3863" s="245"/>
      <c r="V3863" s="241"/>
      <c r="W3863" s="241"/>
      <c r="X3863" s="241"/>
    </row>
    <row r="3864" spans="1:24" ht="13.5" customHeight="1" x14ac:dyDescent="0.3">
      <c r="A3864" s="245"/>
      <c r="B3864" s="246"/>
      <c r="C3864" s="245"/>
      <c r="D3864" s="245"/>
      <c r="E3864" s="245"/>
      <c r="F3864" s="245"/>
      <c r="G3864" s="245"/>
      <c r="H3864" s="245"/>
      <c r="I3864" s="245"/>
      <c r="J3864" s="245"/>
      <c r="K3864" s="245"/>
      <c r="L3864" s="246"/>
      <c r="M3864" s="245"/>
      <c r="N3864" s="245"/>
      <c r="O3864" s="245"/>
      <c r="P3864" s="245"/>
      <c r="Q3864" s="247"/>
      <c r="R3864" s="247"/>
      <c r="S3864" s="247"/>
      <c r="T3864" s="245"/>
      <c r="U3864" s="245"/>
      <c r="V3864" s="241"/>
      <c r="W3864" s="241"/>
      <c r="X3864" s="241"/>
    </row>
    <row r="3865" spans="1:24" ht="13.5" customHeight="1" x14ac:dyDescent="0.3">
      <c r="A3865" s="245"/>
      <c r="B3865" s="246"/>
      <c r="C3865" s="245"/>
      <c r="D3865" s="245"/>
      <c r="E3865" s="245"/>
      <c r="F3865" s="245"/>
      <c r="G3865" s="245"/>
      <c r="H3865" s="245"/>
      <c r="I3865" s="245"/>
      <c r="J3865" s="245"/>
      <c r="K3865" s="245"/>
      <c r="L3865" s="246"/>
      <c r="M3865" s="245"/>
      <c r="N3865" s="245"/>
      <c r="O3865" s="245"/>
      <c r="P3865" s="245"/>
      <c r="Q3865" s="247"/>
      <c r="R3865" s="247"/>
      <c r="S3865" s="247"/>
      <c r="T3865" s="245"/>
      <c r="U3865" s="245"/>
      <c r="V3865" s="241"/>
      <c r="W3865" s="241"/>
      <c r="X3865" s="241"/>
    </row>
    <row r="3866" spans="1:24" ht="13.5" customHeight="1" x14ac:dyDescent="0.3">
      <c r="A3866" s="245"/>
      <c r="B3866" s="246"/>
      <c r="C3866" s="245"/>
      <c r="D3866" s="245"/>
      <c r="E3866" s="245"/>
      <c r="F3866" s="245"/>
      <c r="G3866" s="245"/>
      <c r="H3866" s="245"/>
      <c r="I3866" s="245"/>
      <c r="J3866" s="245"/>
      <c r="K3866" s="245"/>
      <c r="L3866" s="246"/>
      <c r="M3866" s="245"/>
      <c r="N3866" s="245"/>
      <c r="O3866" s="245"/>
      <c r="P3866" s="245"/>
      <c r="Q3866" s="247"/>
      <c r="R3866" s="247"/>
      <c r="S3866" s="247"/>
      <c r="T3866" s="245"/>
      <c r="U3866" s="245"/>
      <c r="V3866" s="241"/>
      <c r="W3866" s="241"/>
      <c r="X3866" s="241"/>
    </row>
    <row r="3867" spans="1:24" ht="13.5" customHeight="1" x14ac:dyDescent="0.3">
      <c r="A3867" s="245"/>
      <c r="B3867" s="246"/>
      <c r="C3867" s="245"/>
      <c r="D3867" s="245"/>
      <c r="E3867" s="245"/>
      <c r="F3867" s="245"/>
      <c r="G3867" s="245"/>
      <c r="H3867" s="245"/>
      <c r="I3867" s="245"/>
      <c r="J3867" s="245"/>
      <c r="K3867" s="245"/>
      <c r="L3867" s="246"/>
      <c r="M3867" s="245"/>
      <c r="N3867" s="245"/>
      <c r="O3867" s="245"/>
      <c r="P3867" s="245"/>
      <c r="Q3867" s="247"/>
      <c r="R3867" s="247"/>
      <c r="S3867" s="247"/>
      <c r="T3867" s="245"/>
      <c r="U3867" s="245"/>
      <c r="V3867" s="241"/>
      <c r="W3867" s="241"/>
      <c r="X3867" s="241"/>
    </row>
    <row r="3868" spans="1:24" ht="13.5" customHeight="1" x14ac:dyDescent="0.3">
      <c r="A3868" s="245"/>
      <c r="B3868" s="246"/>
      <c r="C3868" s="245"/>
      <c r="D3868" s="245"/>
      <c r="E3868" s="245"/>
      <c r="F3868" s="245"/>
      <c r="G3868" s="245"/>
      <c r="H3868" s="245"/>
      <c r="I3868" s="245"/>
      <c r="J3868" s="245"/>
      <c r="K3868" s="245"/>
      <c r="L3868" s="246"/>
      <c r="M3868" s="245"/>
      <c r="N3868" s="245"/>
      <c r="O3868" s="245"/>
      <c r="P3868" s="245"/>
      <c r="Q3868" s="247"/>
      <c r="R3868" s="247"/>
      <c r="S3868" s="247"/>
      <c r="T3868" s="245"/>
      <c r="U3868" s="245"/>
      <c r="V3868" s="241"/>
      <c r="W3868" s="241"/>
      <c r="X3868" s="241"/>
    </row>
    <row r="3869" spans="1:24" ht="13.5" customHeight="1" x14ac:dyDescent="0.3">
      <c r="A3869" s="245"/>
      <c r="B3869" s="246"/>
      <c r="C3869" s="245"/>
      <c r="D3869" s="245"/>
      <c r="E3869" s="245"/>
      <c r="F3869" s="245"/>
      <c r="G3869" s="245"/>
      <c r="H3869" s="245"/>
      <c r="I3869" s="245"/>
      <c r="J3869" s="245"/>
      <c r="K3869" s="245"/>
      <c r="L3869" s="246"/>
      <c r="M3869" s="245"/>
      <c r="N3869" s="245"/>
      <c r="O3869" s="245"/>
      <c r="P3869" s="245"/>
      <c r="Q3869" s="247"/>
      <c r="R3869" s="247"/>
      <c r="S3869" s="247"/>
      <c r="T3869" s="245"/>
      <c r="U3869" s="245"/>
      <c r="V3869" s="241"/>
      <c r="W3869" s="241"/>
      <c r="X3869" s="241"/>
    </row>
    <row r="3870" spans="1:24" ht="13.5" customHeight="1" x14ac:dyDescent="0.3">
      <c r="A3870" s="245"/>
      <c r="B3870" s="246"/>
      <c r="C3870" s="245"/>
      <c r="D3870" s="245"/>
      <c r="E3870" s="245"/>
      <c r="F3870" s="245"/>
      <c r="G3870" s="245"/>
      <c r="H3870" s="245"/>
      <c r="I3870" s="245"/>
      <c r="J3870" s="245"/>
      <c r="K3870" s="245"/>
      <c r="L3870" s="246"/>
      <c r="M3870" s="245"/>
      <c r="N3870" s="245"/>
      <c r="O3870" s="245"/>
      <c r="P3870" s="245"/>
      <c r="Q3870" s="247"/>
      <c r="R3870" s="247"/>
      <c r="S3870" s="247"/>
      <c r="T3870" s="245"/>
      <c r="U3870" s="245"/>
      <c r="V3870" s="241"/>
      <c r="W3870" s="241"/>
      <c r="X3870" s="241"/>
    </row>
    <row r="3871" spans="1:24" ht="13.5" customHeight="1" x14ac:dyDescent="0.3">
      <c r="A3871" s="245"/>
      <c r="B3871" s="246"/>
      <c r="C3871" s="245"/>
      <c r="D3871" s="245"/>
      <c r="E3871" s="245"/>
      <c r="F3871" s="245"/>
      <c r="G3871" s="245"/>
      <c r="H3871" s="245"/>
      <c r="I3871" s="245"/>
      <c r="J3871" s="245"/>
      <c r="K3871" s="245"/>
      <c r="L3871" s="246"/>
      <c r="M3871" s="245"/>
      <c r="N3871" s="245"/>
      <c r="O3871" s="245"/>
      <c r="P3871" s="245"/>
      <c r="Q3871" s="247"/>
      <c r="R3871" s="247"/>
      <c r="S3871" s="247"/>
      <c r="T3871" s="245"/>
      <c r="U3871" s="245"/>
      <c r="V3871" s="241"/>
      <c r="W3871" s="241"/>
      <c r="X3871" s="241"/>
    </row>
    <row r="3872" spans="1:24" ht="13.5" customHeight="1" x14ac:dyDescent="0.3">
      <c r="A3872" s="245"/>
      <c r="B3872" s="246"/>
      <c r="C3872" s="245"/>
      <c r="D3872" s="245"/>
      <c r="E3872" s="245"/>
      <c r="F3872" s="245"/>
      <c r="G3872" s="245"/>
      <c r="H3872" s="245"/>
      <c r="I3872" s="245"/>
      <c r="J3872" s="245"/>
      <c r="K3872" s="245"/>
      <c r="L3872" s="246"/>
      <c r="M3872" s="245"/>
      <c r="N3872" s="245"/>
      <c r="O3872" s="245"/>
      <c r="P3872" s="245"/>
      <c r="Q3872" s="247"/>
      <c r="R3872" s="247"/>
      <c r="S3872" s="247"/>
      <c r="T3872" s="245"/>
      <c r="U3872" s="245"/>
      <c r="V3872" s="241"/>
      <c r="W3872" s="241"/>
      <c r="X3872" s="241"/>
    </row>
    <row r="3873" spans="1:24" ht="13.5" customHeight="1" x14ac:dyDescent="0.3">
      <c r="A3873" s="245"/>
      <c r="B3873" s="246"/>
      <c r="C3873" s="245"/>
      <c r="D3873" s="245"/>
      <c r="E3873" s="245"/>
      <c r="F3873" s="245"/>
      <c r="G3873" s="245"/>
      <c r="H3873" s="245"/>
      <c r="I3873" s="245"/>
      <c r="J3873" s="245"/>
      <c r="K3873" s="245"/>
      <c r="L3873" s="246"/>
      <c r="M3873" s="245"/>
      <c r="N3873" s="245"/>
      <c r="O3873" s="245"/>
      <c r="P3873" s="245"/>
      <c r="Q3873" s="247"/>
      <c r="R3873" s="247"/>
      <c r="S3873" s="247"/>
      <c r="T3873" s="245"/>
      <c r="U3873" s="245"/>
      <c r="V3873" s="241"/>
      <c r="W3873" s="241"/>
      <c r="X3873" s="241"/>
    </row>
    <row r="3874" spans="1:24" ht="13.5" customHeight="1" x14ac:dyDescent="0.3">
      <c r="A3874" s="245"/>
      <c r="B3874" s="246"/>
      <c r="C3874" s="245"/>
      <c r="D3874" s="245"/>
      <c r="E3874" s="245"/>
      <c r="F3874" s="245"/>
      <c r="G3874" s="245"/>
      <c r="H3874" s="245"/>
      <c r="I3874" s="245"/>
      <c r="J3874" s="245"/>
      <c r="K3874" s="245"/>
      <c r="L3874" s="246"/>
      <c r="M3874" s="245"/>
      <c r="N3874" s="245"/>
      <c r="O3874" s="245"/>
      <c r="P3874" s="245"/>
      <c r="Q3874" s="247"/>
      <c r="R3874" s="247"/>
      <c r="S3874" s="247"/>
      <c r="T3874" s="245"/>
      <c r="U3874" s="245"/>
      <c r="V3874" s="241"/>
      <c r="W3874" s="241"/>
      <c r="X3874" s="241"/>
    </row>
    <row r="3875" spans="1:24" ht="13.5" customHeight="1" x14ac:dyDescent="0.3">
      <c r="A3875" s="245"/>
      <c r="B3875" s="246"/>
      <c r="C3875" s="245"/>
      <c r="D3875" s="245"/>
      <c r="E3875" s="245"/>
      <c r="F3875" s="245"/>
      <c r="G3875" s="245"/>
      <c r="H3875" s="245"/>
      <c r="I3875" s="245"/>
      <c r="J3875" s="245"/>
      <c r="K3875" s="245"/>
      <c r="L3875" s="246"/>
      <c r="M3875" s="245"/>
      <c r="N3875" s="245"/>
      <c r="O3875" s="245"/>
      <c r="P3875" s="245"/>
      <c r="Q3875" s="247"/>
      <c r="R3875" s="247"/>
      <c r="S3875" s="247"/>
      <c r="T3875" s="245"/>
      <c r="U3875" s="245"/>
      <c r="V3875" s="241"/>
      <c r="W3875" s="241"/>
      <c r="X3875" s="241"/>
    </row>
    <row r="3876" spans="1:24" ht="13.5" customHeight="1" x14ac:dyDescent="0.3">
      <c r="A3876" s="245"/>
      <c r="B3876" s="246"/>
      <c r="C3876" s="245"/>
      <c r="D3876" s="245"/>
      <c r="E3876" s="245"/>
      <c r="F3876" s="245"/>
      <c r="G3876" s="245"/>
      <c r="H3876" s="245"/>
      <c r="I3876" s="245"/>
      <c r="J3876" s="245"/>
      <c r="K3876" s="245"/>
      <c r="L3876" s="246"/>
      <c r="M3876" s="245"/>
      <c r="N3876" s="245"/>
      <c r="O3876" s="245"/>
      <c r="P3876" s="245"/>
      <c r="Q3876" s="247"/>
      <c r="R3876" s="247"/>
      <c r="S3876" s="247"/>
      <c r="T3876" s="245"/>
      <c r="U3876" s="245"/>
      <c r="V3876" s="241"/>
      <c r="W3876" s="241"/>
      <c r="X3876" s="241"/>
    </row>
    <row r="3877" spans="1:24" ht="13.5" customHeight="1" x14ac:dyDescent="0.3">
      <c r="A3877" s="245"/>
      <c r="B3877" s="246"/>
      <c r="C3877" s="245"/>
      <c r="D3877" s="245"/>
      <c r="E3877" s="245"/>
      <c r="F3877" s="245"/>
      <c r="G3877" s="245"/>
      <c r="H3877" s="245"/>
      <c r="I3877" s="245"/>
      <c r="J3877" s="245"/>
      <c r="K3877" s="245"/>
      <c r="L3877" s="246"/>
      <c r="M3877" s="245"/>
      <c r="N3877" s="245"/>
      <c r="O3877" s="245"/>
      <c r="P3877" s="245"/>
      <c r="Q3877" s="247"/>
      <c r="R3877" s="247"/>
      <c r="S3877" s="247"/>
      <c r="T3877" s="245"/>
      <c r="U3877" s="245"/>
      <c r="V3877" s="241"/>
      <c r="W3877" s="241"/>
      <c r="X3877" s="241"/>
    </row>
    <row r="3878" spans="1:24" ht="13.5" customHeight="1" x14ac:dyDescent="0.3">
      <c r="A3878" s="245"/>
      <c r="B3878" s="246"/>
      <c r="C3878" s="245"/>
      <c r="D3878" s="245"/>
      <c r="E3878" s="245"/>
      <c r="F3878" s="245"/>
      <c r="G3878" s="245"/>
      <c r="H3878" s="245"/>
      <c r="I3878" s="245"/>
      <c r="J3878" s="245"/>
      <c r="K3878" s="245"/>
      <c r="L3878" s="246"/>
      <c r="M3878" s="245"/>
      <c r="N3878" s="245"/>
      <c r="O3878" s="245"/>
      <c r="P3878" s="245"/>
      <c r="Q3878" s="247"/>
      <c r="R3878" s="247"/>
      <c r="S3878" s="247"/>
      <c r="T3878" s="245"/>
      <c r="U3878" s="245"/>
      <c r="V3878" s="241"/>
      <c r="W3878" s="241"/>
      <c r="X3878" s="241"/>
    </row>
    <row r="3879" spans="1:24" ht="13.5" customHeight="1" x14ac:dyDescent="0.3">
      <c r="A3879" s="245"/>
      <c r="B3879" s="246"/>
      <c r="C3879" s="245"/>
      <c r="D3879" s="245"/>
      <c r="E3879" s="245"/>
      <c r="F3879" s="245"/>
      <c r="G3879" s="245"/>
      <c r="H3879" s="245"/>
      <c r="I3879" s="245"/>
      <c r="J3879" s="245"/>
      <c r="K3879" s="245"/>
      <c r="L3879" s="246"/>
      <c r="M3879" s="245"/>
      <c r="N3879" s="245"/>
      <c r="O3879" s="245"/>
      <c r="P3879" s="245"/>
      <c r="Q3879" s="247"/>
      <c r="R3879" s="247"/>
      <c r="S3879" s="247"/>
      <c r="T3879" s="245"/>
      <c r="U3879" s="245"/>
      <c r="V3879" s="241"/>
      <c r="W3879" s="241"/>
      <c r="X3879" s="241"/>
    </row>
    <row r="3880" spans="1:24" ht="13.5" customHeight="1" x14ac:dyDescent="0.3">
      <c r="A3880" s="245"/>
      <c r="B3880" s="246"/>
      <c r="C3880" s="245"/>
      <c r="D3880" s="245"/>
      <c r="E3880" s="245"/>
      <c r="F3880" s="245"/>
      <c r="G3880" s="245"/>
      <c r="H3880" s="245"/>
      <c r="I3880" s="245"/>
      <c r="J3880" s="245"/>
      <c r="K3880" s="245"/>
      <c r="L3880" s="246"/>
      <c r="M3880" s="245"/>
      <c r="N3880" s="245"/>
      <c r="O3880" s="245"/>
      <c r="P3880" s="245"/>
      <c r="Q3880" s="247"/>
      <c r="R3880" s="247"/>
      <c r="S3880" s="247"/>
      <c r="T3880" s="245"/>
      <c r="U3880" s="245"/>
      <c r="V3880" s="241"/>
      <c r="W3880" s="241"/>
      <c r="X3880" s="241"/>
    </row>
    <row r="3881" spans="1:24" ht="13.5" customHeight="1" x14ac:dyDescent="0.3">
      <c r="A3881" s="245"/>
      <c r="B3881" s="246"/>
      <c r="C3881" s="245"/>
      <c r="D3881" s="245"/>
      <c r="E3881" s="245"/>
      <c r="F3881" s="245"/>
      <c r="G3881" s="245"/>
      <c r="H3881" s="245"/>
      <c r="I3881" s="245"/>
      <c r="J3881" s="245"/>
      <c r="K3881" s="245"/>
      <c r="L3881" s="246"/>
      <c r="M3881" s="245"/>
      <c r="N3881" s="245"/>
      <c r="O3881" s="245"/>
      <c r="P3881" s="245"/>
      <c r="Q3881" s="247"/>
      <c r="R3881" s="247"/>
      <c r="S3881" s="247"/>
      <c r="T3881" s="245"/>
      <c r="U3881" s="245"/>
      <c r="V3881" s="241"/>
      <c r="W3881" s="241"/>
      <c r="X3881" s="241"/>
    </row>
    <row r="3882" spans="1:24" ht="13.5" customHeight="1" x14ac:dyDescent="0.3">
      <c r="A3882" s="245"/>
      <c r="B3882" s="246"/>
      <c r="C3882" s="245"/>
      <c r="D3882" s="245"/>
      <c r="E3882" s="245"/>
      <c r="F3882" s="245"/>
      <c r="G3882" s="245"/>
      <c r="H3882" s="245"/>
      <c r="I3882" s="245"/>
      <c r="J3882" s="245"/>
      <c r="K3882" s="245"/>
      <c r="L3882" s="246"/>
      <c r="M3882" s="245"/>
      <c r="N3882" s="245"/>
      <c r="O3882" s="245"/>
      <c r="P3882" s="245"/>
      <c r="Q3882" s="247"/>
      <c r="R3882" s="247"/>
      <c r="S3882" s="247"/>
      <c r="T3882" s="245"/>
      <c r="U3882" s="245"/>
      <c r="V3882" s="241"/>
      <c r="W3882" s="241"/>
      <c r="X3882" s="241"/>
    </row>
    <row r="3883" spans="1:24" ht="13.5" customHeight="1" x14ac:dyDescent="0.3">
      <c r="A3883" s="245"/>
      <c r="B3883" s="246"/>
      <c r="C3883" s="245"/>
      <c r="D3883" s="245"/>
      <c r="E3883" s="245"/>
      <c r="F3883" s="245"/>
      <c r="G3883" s="245"/>
      <c r="H3883" s="245"/>
      <c r="I3883" s="245"/>
      <c r="J3883" s="245"/>
      <c r="K3883" s="245"/>
      <c r="L3883" s="246"/>
      <c r="M3883" s="245"/>
      <c r="N3883" s="245"/>
      <c r="O3883" s="245"/>
      <c r="P3883" s="245"/>
      <c r="Q3883" s="247"/>
      <c r="R3883" s="247"/>
      <c r="S3883" s="247"/>
      <c r="T3883" s="245"/>
      <c r="U3883" s="245"/>
      <c r="V3883" s="241"/>
      <c r="W3883" s="241"/>
      <c r="X3883" s="241"/>
    </row>
    <row r="3884" spans="1:24" ht="13.5" customHeight="1" x14ac:dyDescent="0.3">
      <c r="A3884" s="245"/>
      <c r="B3884" s="246"/>
      <c r="C3884" s="245"/>
      <c r="D3884" s="245"/>
      <c r="E3884" s="245"/>
      <c r="F3884" s="245"/>
      <c r="G3884" s="245"/>
      <c r="H3884" s="245"/>
      <c r="I3884" s="245"/>
      <c r="J3884" s="245"/>
      <c r="K3884" s="245"/>
      <c r="L3884" s="246"/>
      <c r="M3884" s="245"/>
      <c r="N3884" s="245"/>
      <c r="O3884" s="245"/>
      <c r="P3884" s="245"/>
      <c r="Q3884" s="247"/>
      <c r="R3884" s="247"/>
      <c r="S3884" s="247"/>
      <c r="T3884" s="245"/>
      <c r="U3884" s="245"/>
      <c r="V3884" s="241"/>
      <c r="W3884" s="241"/>
      <c r="X3884" s="241"/>
    </row>
    <row r="3885" spans="1:24" ht="13.5" customHeight="1" x14ac:dyDescent="0.3">
      <c r="A3885" s="245"/>
      <c r="B3885" s="246"/>
      <c r="C3885" s="245"/>
      <c r="D3885" s="245"/>
      <c r="E3885" s="245"/>
      <c r="F3885" s="245"/>
      <c r="G3885" s="245"/>
      <c r="H3885" s="245"/>
      <c r="I3885" s="245"/>
      <c r="J3885" s="245"/>
      <c r="K3885" s="245"/>
      <c r="L3885" s="246"/>
      <c r="M3885" s="245"/>
      <c r="N3885" s="245"/>
      <c r="O3885" s="245"/>
      <c r="P3885" s="245"/>
      <c r="Q3885" s="247"/>
      <c r="R3885" s="247"/>
      <c r="S3885" s="247"/>
      <c r="T3885" s="245"/>
      <c r="U3885" s="245"/>
      <c r="V3885" s="241"/>
      <c r="W3885" s="241"/>
      <c r="X3885" s="241"/>
    </row>
    <row r="3886" spans="1:24" ht="13.5" customHeight="1" x14ac:dyDescent="0.3">
      <c r="A3886" s="245"/>
      <c r="B3886" s="246"/>
      <c r="C3886" s="245"/>
      <c r="D3886" s="245"/>
      <c r="E3886" s="245"/>
      <c r="F3886" s="245"/>
      <c r="G3886" s="245"/>
      <c r="H3886" s="245"/>
      <c r="I3886" s="245"/>
      <c r="J3886" s="245"/>
      <c r="K3886" s="245"/>
      <c r="L3886" s="246"/>
      <c r="M3886" s="245"/>
      <c r="N3886" s="245"/>
      <c r="O3886" s="245"/>
      <c r="P3886" s="245"/>
      <c r="Q3886" s="247"/>
      <c r="R3886" s="247"/>
      <c r="S3886" s="247"/>
      <c r="T3886" s="245"/>
      <c r="U3886" s="245"/>
      <c r="V3886" s="241"/>
      <c r="W3886" s="241"/>
      <c r="X3886" s="241"/>
    </row>
    <row r="3887" spans="1:24" ht="13.5" customHeight="1" x14ac:dyDescent="0.3">
      <c r="A3887" s="245"/>
      <c r="B3887" s="246"/>
      <c r="C3887" s="245"/>
      <c r="D3887" s="245"/>
      <c r="E3887" s="245"/>
      <c r="F3887" s="245"/>
      <c r="G3887" s="245"/>
      <c r="H3887" s="245"/>
      <c r="I3887" s="245"/>
      <c r="J3887" s="245"/>
      <c r="K3887" s="245"/>
      <c r="L3887" s="246"/>
      <c r="M3887" s="245"/>
      <c r="N3887" s="245"/>
      <c r="O3887" s="245"/>
      <c r="P3887" s="245"/>
      <c r="Q3887" s="247"/>
      <c r="R3887" s="247"/>
      <c r="S3887" s="247"/>
      <c r="T3887" s="245"/>
      <c r="U3887" s="245"/>
      <c r="V3887" s="241"/>
      <c r="W3887" s="241"/>
      <c r="X3887" s="241"/>
    </row>
    <row r="3888" spans="1:24" ht="13.5" customHeight="1" x14ac:dyDescent="0.3">
      <c r="A3888" s="245"/>
      <c r="B3888" s="246"/>
      <c r="C3888" s="245"/>
      <c r="D3888" s="245"/>
      <c r="E3888" s="245"/>
      <c r="F3888" s="245"/>
      <c r="G3888" s="245"/>
      <c r="H3888" s="245"/>
      <c r="I3888" s="245"/>
      <c r="J3888" s="245"/>
      <c r="K3888" s="245"/>
      <c r="L3888" s="246"/>
      <c r="M3888" s="245"/>
      <c r="N3888" s="245"/>
      <c r="O3888" s="245"/>
      <c r="P3888" s="245"/>
      <c r="Q3888" s="247"/>
      <c r="R3888" s="247"/>
      <c r="S3888" s="247"/>
      <c r="T3888" s="245"/>
      <c r="U3888" s="245"/>
      <c r="V3888" s="241"/>
      <c r="W3888" s="241"/>
      <c r="X3888" s="241"/>
    </row>
    <row r="3889" spans="1:24" ht="13.5" customHeight="1" x14ac:dyDescent="0.3">
      <c r="A3889" s="245"/>
      <c r="B3889" s="246"/>
      <c r="C3889" s="245"/>
      <c r="D3889" s="245"/>
      <c r="E3889" s="245"/>
      <c r="F3889" s="245"/>
      <c r="G3889" s="245"/>
      <c r="H3889" s="245"/>
      <c r="I3889" s="245"/>
      <c r="J3889" s="245"/>
      <c r="K3889" s="245"/>
      <c r="L3889" s="246"/>
      <c r="M3889" s="245"/>
      <c r="N3889" s="245"/>
      <c r="O3889" s="245"/>
      <c r="P3889" s="245"/>
      <c r="Q3889" s="247"/>
      <c r="R3889" s="247"/>
      <c r="S3889" s="247"/>
      <c r="T3889" s="245"/>
      <c r="U3889" s="245"/>
      <c r="V3889" s="241"/>
      <c r="W3889" s="241"/>
      <c r="X3889" s="241"/>
    </row>
    <row r="3890" spans="1:24" ht="13.5" customHeight="1" x14ac:dyDescent="0.3">
      <c r="A3890" s="245"/>
      <c r="B3890" s="246"/>
      <c r="C3890" s="245"/>
      <c r="D3890" s="245"/>
      <c r="E3890" s="245"/>
      <c r="F3890" s="245"/>
      <c r="G3890" s="245"/>
      <c r="H3890" s="245"/>
      <c r="I3890" s="245"/>
      <c r="J3890" s="245"/>
      <c r="K3890" s="245"/>
      <c r="L3890" s="246"/>
      <c r="M3890" s="245"/>
      <c r="N3890" s="245"/>
      <c r="O3890" s="245"/>
      <c r="P3890" s="245"/>
      <c r="Q3890" s="247"/>
      <c r="R3890" s="247"/>
      <c r="S3890" s="247"/>
      <c r="T3890" s="245"/>
      <c r="U3890" s="245"/>
      <c r="V3890" s="241"/>
      <c r="W3890" s="241"/>
      <c r="X3890" s="241"/>
    </row>
    <row r="3891" spans="1:24" ht="13.5" customHeight="1" x14ac:dyDescent="0.3">
      <c r="A3891" s="245"/>
      <c r="B3891" s="246"/>
      <c r="C3891" s="245"/>
      <c r="D3891" s="245"/>
      <c r="E3891" s="245"/>
      <c r="F3891" s="245"/>
      <c r="G3891" s="245"/>
      <c r="H3891" s="245"/>
      <c r="I3891" s="245"/>
      <c r="J3891" s="245"/>
      <c r="K3891" s="245"/>
      <c r="L3891" s="246"/>
      <c r="M3891" s="245"/>
      <c r="N3891" s="245"/>
      <c r="O3891" s="245"/>
      <c r="P3891" s="245"/>
      <c r="Q3891" s="247"/>
      <c r="R3891" s="247"/>
      <c r="S3891" s="247"/>
      <c r="T3891" s="245"/>
      <c r="U3891" s="245"/>
      <c r="V3891" s="241"/>
      <c r="W3891" s="241"/>
      <c r="X3891" s="241"/>
    </row>
    <row r="3892" spans="1:24" ht="13.5" customHeight="1" x14ac:dyDescent="0.3">
      <c r="A3892" s="245"/>
      <c r="B3892" s="246"/>
      <c r="C3892" s="245"/>
      <c r="D3892" s="245"/>
      <c r="E3892" s="245"/>
      <c r="F3892" s="245"/>
      <c r="G3892" s="245"/>
      <c r="H3892" s="245"/>
      <c r="I3892" s="245"/>
      <c r="J3892" s="245"/>
      <c r="K3892" s="245"/>
      <c r="L3892" s="246"/>
      <c r="M3892" s="245"/>
      <c r="N3892" s="245"/>
      <c r="O3892" s="245"/>
      <c r="P3892" s="245"/>
      <c r="Q3892" s="247"/>
      <c r="R3892" s="247"/>
      <c r="S3892" s="247"/>
      <c r="T3892" s="245"/>
      <c r="U3892" s="245"/>
      <c r="V3892" s="241"/>
      <c r="W3892" s="241"/>
      <c r="X3892" s="241"/>
    </row>
    <row r="3893" spans="1:24" ht="13.5" customHeight="1" x14ac:dyDescent="0.3">
      <c r="A3893" s="245"/>
      <c r="B3893" s="246"/>
      <c r="C3893" s="245"/>
      <c r="D3893" s="245"/>
      <c r="E3893" s="245"/>
      <c r="F3893" s="245"/>
      <c r="G3893" s="245"/>
      <c r="H3893" s="245"/>
      <c r="I3893" s="245"/>
      <c r="J3893" s="245"/>
      <c r="K3893" s="245"/>
      <c r="L3893" s="246"/>
      <c r="M3893" s="245"/>
      <c r="N3893" s="245"/>
      <c r="O3893" s="245"/>
      <c r="P3893" s="245"/>
      <c r="Q3893" s="247"/>
      <c r="R3893" s="247"/>
      <c r="S3893" s="247"/>
      <c r="T3893" s="245"/>
      <c r="U3893" s="245"/>
      <c r="V3893" s="241"/>
      <c r="W3893" s="241"/>
      <c r="X3893" s="241"/>
    </row>
    <row r="3894" spans="1:24" ht="13.5" customHeight="1" x14ac:dyDescent="0.3">
      <c r="A3894" s="245"/>
      <c r="B3894" s="246"/>
      <c r="C3894" s="245"/>
      <c r="D3894" s="245"/>
      <c r="E3894" s="245"/>
      <c r="F3894" s="245"/>
      <c r="G3894" s="245"/>
      <c r="H3894" s="245"/>
      <c r="I3894" s="245"/>
      <c r="J3894" s="245"/>
      <c r="K3894" s="245"/>
      <c r="L3894" s="246"/>
      <c r="M3894" s="245"/>
      <c r="N3894" s="245"/>
      <c r="O3894" s="245"/>
      <c r="P3894" s="245"/>
      <c r="Q3894" s="247"/>
      <c r="R3894" s="247"/>
      <c r="S3894" s="247"/>
      <c r="T3894" s="245"/>
      <c r="U3894" s="245"/>
      <c r="V3894" s="241"/>
      <c r="W3894" s="241"/>
      <c r="X3894" s="241"/>
    </row>
    <row r="3895" spans="1:24" ht="13.5" customHeight="1" x14ac:dyDescent="0.3">
      <c r="A3895" s="245"/>
      <c r="B3895" s="246"/>
      <c r="C3895" s="245"/>
      <c r="D3895" s="245"/>
      <c r="E3895" s="245"/>
      <c r="F3895" s="245"/>
      <c r="G3895" s="245"/>
      <c r="H3895" s="245"/>
      <c r="I3895" s="245"/>
      <c r="J3895" s="245"/>
      <c r="K3895" s="245"/>
      <c r="L3895" s="246"/>
      <c r="M3895" s="245"/>
      <c r="N3895" s="245"/>
      <c r="O3895" s="245"/>
      <c r="P3895" s="245"/>
      <c r="Q3895" s="247"/>
      <c r="R3895" s="247"/>
      <c r="S3895" s="247"/>
      <c r="T3895" s="245"/>
      <c r="U3895" s="245"/>
      <c r="V3895" s="241"/>
      <c r="W3895" s="241"/>
      <c r="X3895" s="241"/>
    </row>
    <row r="3896" spans="1:24" ht="13.5" customHeight="1" x14ac:dyDescent="0.3">
      <c r="A3896" s="245"/>
      <c r="B3896" s="246"/>
      <c r="C3896" s="245"/>
      <c r="D3896" s="245"/>
      <c r="E3896" s="245"/>
      <c r="F3896" s="245"/>
      <c r="G3896" s="245"/>
      <c r="H3896" s="245"/>
      <c r="I3896" s="245"/>
      <c r="J3896" s="245"/>
      <c r="K3896" s="245"/>
      <c r="L3896" s="246"/>
      <c r="M3896" s="245"/>
      <c r="N3896" s="245"/>
      <c r="O3896" s="245"/>
      <c r="P3896" s="245"/>
      <c r="Q3896" s="247"/>
      <c r="R3896" s="247"/>
      <c r="S3896" s="247"/>
      <c r="T3896" s="245"/>
      <c r="U3896" s="245"/>
      <c r="V3896" s="241"/>
      <c r="W3896" s="241"/>
      <c r="X3896" s="241"/>
    </row>
    <row r="3897" spans="1:24" ht="13.5" customHeight="1" x14ac:dyDescent="0.3">
      <c r="A3897" s="245"/>
      <c r="B3897" s="246"/>
      <c r="C3897" s="245"/>
      <c r="D3897" s="245"/>
      <c r="E3897" s="245"/>
      <c r="F3897" s="245"/>
      <c r="G3897" s="245"/>
      <c r="H3897" s="245"/>
      <c r="I3897" s="245"/>
      <c r="J3897" s="245"/>
      <c r="K3897" s="245"/>
      <c r="L3897" s="246"/>
      <c r="M3897" s="245"/>
      <c r="N3897" s="245"/>
      <c r="O3897" s="245"/>
      <c r="P3897" s="245"/>
      <c r="Q3897" s="247"/>
      <c r="R3897" s="247"/>
      <c r="S3897" s="247"/>
      <c r="T3897" s="245"/>
      <c r="U3897" s="245"/>
      <c r="V3897" s="241"/>
      <c r="W3897" s="241"/>
      <c r="X3897" s="241"/>
    </row>
    <row r="3898" spans="1:24" ht="13.5" customHeight="1" x14ac:dyDescent="0.3">
      <c r="A3898" s="245"/>
      <c r="B3898" s="246"/>
      <c r="C3898" s="245"/>
      <c r="D3898" s="245"/>
      <c r="E3898" s="245"/>
      <c r="F3898" s="245"/>
      <c r="G3898" s="245"/>
      <c r="H3898" s="245"/>
      <c r="I3898" s="245"/>
      <c r="J3898" s="245"/>
      <c r="K3898" s="245"/>
      <c r="L3898" s="246"/>
      <c r="M3898" s="245"/>
      <c r="N3898" s="245"/>
      <c r="O3898" s="245"/>
      <c r="P3898" s="245"/>
      <c r="Q3898" s="247"/>
      <c r="R3898" s="247"/>
      <c r="S3898" s="247"/>
      <c r="T3898" s="245"/>
      <c r="U3898" s="245"/>
      <c r="V3898" s="241"/>
      <c r="W3898" s="241"/>
      <c r="X3898" s="241"/>
    </row>
    <row r="3899" spans="1:24" ht="13.5" customHeight="1" x14ac:dyDescent="0.3">
      <c r="A3899" s="245"/>
      <c r="B3899" s="246"/>
      <c r="C3899" s="245"/>
      <c r="D3899" s="245"/>
      <c r="E3899" s="245"/>
      <c r="F3899" s="245"/>
      <c r="G3899" s="245"/>
      <c r="H3899" s="245"/>
      <c r="I3899" s="245"/>
      <c r="J3899" s="245"/>
      <c r="K3899" s="245"/>
      <c r="L3899" s="246"/>
      <c r="M3899" s="245"/>
      <c r="N3899" s="245"/>
      <c r="O3899" s="245"/>
      <c r="P3899" s="245"/>
      <c r="Q3899" s="247"/>
      <c r="R3899" s="247"/>
      <c r="S3899" s="247"/>
      <c r="T3899" s="245"/>
      <c r="U3899" s="245"/>
      <c r="V3899" s="241"/>
      <c r="W3899" s="241"/>
      <c r="X3899" s="241"/>
    </row>
    <row r="3900" spans="1:24" ht="13.5" customHeight="1" x14ac:dyDescent="0.3">
      <c r="A3900" s="245"/>
      <c r="B3900" s="246"/>
      <c r="C3900" s="245"/>
      <c r="D3900" s="245"/>
      <c r="E3900" s="245"/>
      <c r="F3900" s="245"/>
      <c r="G3900" s="245"/>
      <c r="H3900" s="245"/>
      <c r="I3900" s="245"/>
      <c r="J3900" s="245"/>
      <c r="K3900" s="245"/>
      <c r="L3900" s="246"/>
      <c r="M3900" s="245"/>
      <c r="N3900" s="245"/>
      <c r="O3900" s="245"/>
      <c r="P3900" s="245"/>
      <c r="Q3900" s="247"/>
      <c r="R3900" s="247"/>
      <c r="S3900" s="247"/>
      <c r="T3900" s="245"/>
      <c r="U3900" s="245"/>
      <c r="V3900" s="241"/>
      <c r="W3900" s="241"/>
      <c r="X3900" s="241"/>
    </row>
    <row r="3901" spans="1:24" ht="13.5" customHeight="1" x14ac:dyDescent="0.3">
      <c r="A3901" s="245"/>
      <c r="B3901" s="246"/>
      <c r="C3901" s="245"/>
      <c r="D3901" s="245"/>
      <c r="E3901" s="245"/>
      <c r="F3901" s="245"/>
      <c r="G3901" s="245"/>
      <c r="H3901" s="245"/>
      <c r="I3901" s="245"/>
      <c r="J3901" s="245"/>
      <c r="K3901" s="245"/>
      <c r="L3901" s="246"/>
      <c r="M3901" s="245"/>
      <c r="N3901" s="245"/>
      <c r="O3901" s="245"/>
      <c r="P3901" s="245"/>
      <c r="Q3901" s="247"/>
      <c r="R3901" s="247"/>
      <c r="S3901" s="247"/>
      <c r="T3901" s="245"/>
      <c r="U3901" s="245"/>
      <c r="V3901" s="241"/>
      <c r="W3901" s="241"/>
      <c r="X3901" s="241"/>
    </row>
    <row r="3902" spans="1:24" ht="13.5" customHeight="1" x14ac:dyDescent="0.3">
      <c r="A3902" s="245"/>
      <c r="B3902" s="246"/>
      <c r="C3902" s="245"/>
      <c r="D3902" s="245"/>
      <c r="E3902" s="245"/>
      <c r="F3902" s="245"/>
      <c r="G3902" s="245"/>
      <c r="H3902" s="245"/>
      <c r="I3902" s="245"/>
      <c r="J3902" s="245"/>
      <c r="K3902" s="245"/>
      <c r="L3902" s="246"/>
      <c r="M3902" s="245"/>
      <c r="N3902" s="245"/>
      <c r="O3902" s="245"/>
      <c r="P3902" s="245"/>
      <c r="Q3902" s="247"/>
      <c r="R3902" s="247"/>
      <c r="S3902" s="247"/>
      <c r="T3902" s="245"/>
      <c r="U3902" s="245"/>
      <c r="V3902" s="241"/>
      <c r="W3902" s="241"/>
      <c r="X3902" s="241"/>
    </row>
    <row r="3903" spans="1:24" ht="13.5" customHeight="1" x14ac:dyDescent="0.3">
      <c r="A3903" s="245"/>
      <c r="B3903" s="246"/>
      <c r="C3903" s="245"/>
      <c r="D3903" s="245"/>
      <c r="E3903" s="245"/>
      <c r="F3903" s="245"/>
      <c r="G3903" s="245"/>
      <c r="H3903" s="245"/>
      <c r="I3903" s="245"/>
      <c r="J3903" s="245"/>
      <c r="K3903" s="245"/>
      <c r="L3903" s="246"/>
      <c r="M3903" s="245"/>
      <c r="N3903" s="245"/>
      <c r="O3903" s="245"/>
      <c r="P3903" s="245"/>
      <c r="Q3903" s="247"/>
      <c r="R3903" s="247"/>
      <c r="S3903" s="247"/>
      <c r="T3903" s="245"/>
      <c r="U3903" s="245"/>
      <c r="V3903" s="241"/>
      <c r="W3903" s="241"/>
      <c r="X3903" s="241"/>
    </row>
    <row r="3904" spans="1:24" ht="13.5" customHeight="1" x14ac:dyDescent="0.3">
      <c r="A3904" s="245"/>
      <c r="B3904" s="246"/>
      <c r="C3904" s="245"/>
      <c r="D3904" s="245"/>
      <c r="E3904" s="245"/>
      <c r="F3904" s="245"/>
      <c r="G3904" s="245"/>
      <c r="H3904" s="245"/>
      <c r="I3904" s="245"/>
      <c r="J3904" s="245"/>
      <c r="K3904" s="245"/>
      <c r="L3904" s="246"/>
      <c r="M3904" s="245"/>
      <c r="N3904" s="245"/>
      <c r="O3904" s="245"/>
      <c r="P3904" s="245"/>
      <c r="Q3904" s="247"/>
      <c r="R3904" s="247"/>
      <c r="S3904" s="247"/>
      <c r="T3904" s="245"/>
      <c r="U3904" s="245"/>
      <c r="V3904" s="241"/>
      <c r="W3904" s="241"/>
      <c r="X3904" s="241"/>
    </row>
    <row r="3905" spans="1:24" ht="13.5" customHeight="1" x14ac:dyDescent="0.3">
      <c r="A3905" s="245"/>
      <c r="B3905" s="246"/>
      <c r="C3905" s="245"/>
      <c r="D3905" s="245"/>
      <c r="E3905" s="245"/>
      <c r="F3905" s="245"/>
      <c r="G3905" s="245"/>
      <c r="H3905" s="245"/>
      <c r="I3905" s="245"/>
      <c r="J3905" s="245"/>
      <c r="K3905" s="245"/>
      <c r="L3905" s="246"/>
      <c r="M3905" s="245"/>
      <c r="N3905" s="245"/>
      <c r="O3905" s="245"/>
      <c r="P3905" s="245"/>
      <c r="Q3905" s="247"/>
      <c r="R3905" s="247"/>
      <c r="S3905" s="247"/>
      <c r="T3905" s="245"/>
      <c r="U3905" s="245"/>
      <c r="V3905" s="241"/>
      <c r="W3905" s="241"/>
      <c r="X3905" s="241"/>
    </row>
    <row r="3906" spans="1:24" ht="13.5" customHeight="1" x14ac:dyDescent="0.3">
      <c r="A3906" s="245"/>
      <c r="B3906" s="246"/>
      <c r="C3906" s="245"/>
      <c r="D3906" s="245"/>
      <c r="E3906" s="245"/>
      <c r="F3906" s="245"/>
      <c r="G3906" s="245"/>
      <c r="H3906" s="245"/>
      <c r="I3906" s="245"/>
      <c r="J3906" s="245"/>
      <c r="K3906" s="245"/>
      <c r="L3906" s="246"/>
      <c r="M3906" s="245"/>
      <c r="N3906" s="245"/>
      <c r="O3906" s="245"/>
      <c r="P3906" s="245"/>
      <c r="Q3906" s="247"/>
      <c r="R3906" s="247"/>
      <c r="S3906" s="247"/>
      <c r="T3906" s="245"/>
      <c r="U3906" s="245"/>
      <c r="V3906" s="241"/>
      <c r="W3906" s="241"/>
      <c r="X3906" s="241"/>
    </row>
    <row r="3907" spans="1:24" ht="13.5" customHeight="1" x14ac:dyDescent="0.3">
      <c r="A3907" s="245"/>
      <c r="B3907" s="246"/>
      <c r="C3907" s="245"/>
      <c r="D3907" s="245"/>
      <c r="E3907" s="245"/>
      <c r="F3907" s="245"/>
      <c r="G3907" s="245"/>
      <c r="H3907" s="245"/>
      <c r="I3907" s="245"/>
      <c r="J3907" s="245"/>
      <c r="K3907" s="245"/>
      <c r="L3907" s="246"/>
      <c r="M3907" s="245"/>
      <c r="N3907" s="245"/>
      <c r="O3907" s="245"/>
      <c r="P3907" s="245"/>
      <c r="Q3907" s="247"/>
      <c r="R3907" s="247"/>
      <c r="S3907" s="247"/>
      <c r="T3907" s="245"/>
      <c r="U3907" s="245"/>
      <c r="V3907" s="241"/>
      <c r="W3907" s="241"/>
      <c r="X3907" s="241"/>
    </row>
    <row r="3908" spans="1:24" ht="13.5" customHeight="1" x14ac:dyDescent="0.3">
      <c r="A3908" s="245"/>
      <c r="B3908" s="246"/>
      <c r="C3908" s="245"/>
      <c r="D3908" s="245"/>
      <c r="E3908" s="245"/>
      <c r="F3908" s="245"/>
      <c r="G3908" s="245"/>
      <c r="H3908" s="245"/>
      <c r="I3908" s="245"/>
      <c r="J3908" s="245"/>
      <c r="K3908" s="245"/>
      <c r="L3908" s="246"/>
      <c r="M3908" s="245"/>
      <c r="N3908" s="245"/>
      <c r="O3908" s="245"/>
      <c r="P3908" s="245"/>
      <c r="Q3908" s="247"/>
      <c r="R3908" s="247"/>
      <c r="S3908" s="247"/>
      <c r="T3908" s="245"/>
      <c r="U3908" s="245"/>
      <c r="V3908" s="241"/>
      <c r="W3908" s="241"/>
      <c r="X3908" s="241"/>
    </row>
    <row r="3909" spans="1:24" ht="13.5" customHeight="1" x14ac:dyDescent="0.3">
      <c r="A3909" s="245"/>
      <c r="B3909" s="246"/>
      <c r="C3909" s="245"/>
      <c r="D3909" s="245"/>
      <c r="E3909" s="245"/>
      <c r="F3909" s="245"/>
      <c r="G3909" s="245"/>
      <c r="H3909" s="245"/>
      <c r="I3909" s="245"/>
      <c r="J3909" s="245"/>
      <c r="K3909" s="245"/>
      <c r="L3909" s="246"/>
      <c r="M3909" s="245"/>
      <c r="N3909" s="245"/>
      <c r="O3909" s="245"/>
      <c r="P3909" s="245"/>
      <c r="Q3909" s="247"/>
      <c r="R3909" s="247"/>
      <c r="S3909" s="247"/>
      <c r="T3909" s="245"/>
      <c r="U3909" s="245"/>
      <c r="V3909" s="241"/>
      <c r="W3909" s="241"/>
      <c r="X3909" s="241"/>
    </row>
    <row r="3910" spans="1:24" ht="13.5" customHeight="1" x14ac:dyDescent="0.3">
      <c r="A3910" s="245"/>
      <c r="B3910" s="246"/>
      <c r="C3910" s="245"/>
      <c r="D3910" s="245"/>
      <c r="E3910" s="245"/>
      <c r="F3910" s="245"/>
      <c r="G3910" s="245"/>
      <c r="H3910" s="245"/>
      <c r="I3910" s="245"/>
      <c r="J3910" s="245"/>
      <c r="K3910" s="245"/>
      <c r="L3910" s="246"/>
      <c r="M3910" s="245"/>
      <c r="N3910" s="245"/>
      <c r="O3910" s="245"/>
      <c r="P3910" s="245"/>
      <c r="Q3910" s="247"/>
      <c r="R3910" s="247"/>
      <c r="S3910" s="247"/>
      <c r="T3910" s="245"/>
      <c r="U3910" s="245"/>
      <c r="V3910" s="241"/>
      <c r="W3910" s="241"/>
      <c r="X3910" s="241"/>
    </row>
    <row r="3911" spans="1:24" ht="13.5" customHeight="1" x14ac:dyDescent="0.3">
      <c r="A3911" s="245"/>
      <c r="B3911" s="246"/>
      <c r="C3911" s="245"/>
      <c r="D3911" s="245"/>
      <c r="E3911" s="245"/>
      <c r="F3911" s="245"/>
      <c r="G3911" s="245"/>
      <c r="H3911" s="245"/>
      <c r="I3911" s="245"/>
      <c r="J3911" s="245"/>
      <c r="K3911" s="245"/>
      <c r="L3911" s="246"/>
      <c r="M3911" s="245"/>
      <c r="N3911" s="245"/>
      <c r="O3911" s="245"/>
      <c r="P3911" s="245"/>
      <c r="Q3911" s="247"/>
      <c r="R3911" s="247"/>
      <c r="S3911" s="247"/>
      <c r="T3911" s="245"/>
      <c r="U3911" s="245"/>
      <c r="V3911" s="241"/>
      <c r="W3911" s="241"/>
      <c r="X3911" s="241"/>
    </row>
    <row r="3912" spans="1:24" ht="13.5" customHeight="1" x14ac:dyDescent="0.3">
      <c r="A3912" s="245"/>
      <c r="B3912" s="246"/>
      <c r="C3912" s="245"/>
      <c r="D3912" s="245"/>
      <c r="E3912" s="245"/>
      <c r="F3912" s="245"/>
      <c r="G3912" s="245"/>
      <c r="H3912" s="245"/>
      <c r="I3912" s="245"/>
      <c r="J3912" s="245"/>
      <c r="K3912" s="245"/>
      <c r="L3912" s="246"/>
      <c r="M3912" s="245"/>
      <c r="N3912" s="245"/>
      <c r="O3912" s="245"/>
      <c r="P3912" s="245"/>
      <c r="Q3912" s="247"/>
      <c r="R3912" s="247"/>
      <c r="S3912" s="247"/>
      <c r="T3912" s="245"/>
      <c r="U3912" s="245"/>
      <c r="V3912" s="241"/>
      <c r="W3912" s="241"/>
      <c r="X3912" s="241"/>
    </row>
    <row r="3913" spans="1:24" ht="13.5" customHeight="1" x14ac:dyDescent="0.3">
      <c r="A3913" s="245"/>
      <c r="B3913" s="246"/>
      <c r="C3913" s="245"/>
      <c r="D3913" s="245"/>
      <c r="E3913" s="245"/>
      <c r="F3913" s="245"/>
      <c r="G3913" s="245"/>
      <c r="H3913" s="245"/>
      <c r="I3913" s="245"/>
      <c r="J3913" s="245"/>
      <c r="K3913" s="245"/>
      <c r="L3913" s="246"/>
      <c r="M3913" s="245"/>
      <c r="N3913" s="245"/>
      <c r="O3913" s="245"/>
      <c r="P3913" s="245"/>
      <c r="Q3913" s="247"/>
      <c r="R3913" s="247"/>
      <c r="S3913" s="247"/>
      <c r="T3913" s="245"/>
      <c r="U3913" s="245"/>
      <c r="V3913" s="241"/>
      <c r="W3913" s="241"/>
      <c r="X3913" s="241"/>
    </row>
    <row r="3914" spans="1:24" ht="13.5" customHeight="1" x14ac:dyDescent="0.3">
      <c r="A3914" s="245"/>
      <c r="B3914" s="246"/>
      <c r="C3914" s="245"/>
      <c r="D3914" s="245"/>
      <c r="E3914" s="245"/>
      <c r="F3914" s="245"/>
      <c r="G3914" s="245"/>
      <c r="H3914" s="245"/>
      <c r="I3914" s="245"/>
      <c r="J3914" s="245"/>
      <c r="K3914" s="245"/>
      <c r="L3914" s="246"/>
      <c r="M3914" s="245"/>
      <c r="N3914" s="245"/>
      <c r="O3914" s="245"/>
      <c r="P3914" s="245"/>
      <c r="Q3914" s="247"/>
      <c r="R3914" s="247"/>
      <c r="S3914" s="247"/>
      <c r="T3914" s="245"/>
      <c r="U3914" s="245"/>
      <c r="V3914" s="241"/>
      <c r="W3914" s="241"/>
      <c r="X3914" s="241"/>
    </row>
    <row r="3915" spans="1:24" ht="13.5" customHeight="1" x14ac:dyDescent="0.3">
      <c r="A3915" s="245"/>
      <c r="B3915" s="246"/>
      <c r="C3915" s="245"/>
      <c r="D3915" s="245"/>
      <c r="E3915" s="245"/>
      <c r="F3915" s="245"/>
      <c r="G3915" s="245"/>
      <c r="H3915" s="245"/>
      <c r="I3915" s="245"/>
      <c r="J3915" s="245"/>
      <c r="K3915" s="245"/>
      <c r="L3915" s="246"/>
      <c r="M3915" s="245"/>
      <c r="N3915" s="245"/>
      <c r="O3915" s="245"/>
      <c r="P3915" s="245"/>
      <c r="Q3915" s="247"/>
      <c r="R3915" s="247"/>
      <c r="S3915" s="247"/>
      <c r="T3915" s="245"/>
      <c r="U3915" s="245"/>
      <c r="V3915" s="241"/>
      <c r="W3915" s="241"/>
      <c r="X3915" s="241"/>
    </row>
    <row r="3916" spans="1:24" ht="13.5" customHeight="1" x14ac:dyDescent="0.3">
      <c r="A3916" s="245"/>
      <c r="B3916" s="246"/>
      <c r="C3916" s="245"/>
      <c r="D3916" s="245"/>
      <c r="E3916" s="245"/>
      <c r="F3916" s="245"/>
      <c r="G3916" s="245"/>
      <c r="H3916" s="245"/>
      <c r="I3916" s="245"/>
      <c r="J3916" s="245"/>
      <c r="K3916" s="245"/>
      <c r="L3916" s="246"/>
      <c r="M3916" s="245"/>
      <c r="N3916" s="245"/>
      <c r="O3916" s="245"/>
      <c r="P3916" s="245"/>
      <c r="Q3916" s="247"/>
      <c r="R3916" s="247"/>
      <c r="S3916" s="247"/>
      <c r="T3916" s="245"/>
      <c r="U3916" s="245"/>
      <c r="V3916" s="241"/>
      <c r="W3916" s="241"/>
      <c r="X3916" s="241"/>
    </row>
    <row r="3917" spans="1:24" ht="13.5" customHeight="1" x14ac:dyDescent="0.3">
      <c r="A3917" s="245"/>
      <c r="B3917" s="246"/>
      <c r="C3917" s="245"/>
      <c r="D3917" s="245"/>
      <c r="E3917" s="245"/>
      <c r="F3917" s="245"/>
      <c r="G3917" s="245"/>
      <c r="H3917" s="245"/>
      <c r="I3917" s="245"/>
      <c r="J3917" s="245"/>
      <c r="K3917" s="245"/>
      <c r="L3917" s="246"/>
      <c r="M3917" s="245"/>
      <c r="N3917" s="245"/>
      <c r="O3917" s="245"/>
      <c r="P3917" s="245"/>
      <c r="Q3917" s="247"/>
      <c r="R3917" s="247"/>
      <c r="S3917" s="247"/>
      <c r="T3917" s="245"/>
      <c r="U3917" s="245"/>
      <c r="V3917" s="241"/>
      <c r="W3917" s="241"/>
      <c r="X3917" s="241"/>
    </row>
    <row r="3918" spans="1:24" ht="13.5" customHeight="1" x14ac:dyDescent="0.3">
      <c r="A3918" s="245"/>
      <c r="B3918" s="246"/>
      <c r="C3918" s="245"/>
      <c r="D3918" s="245"/>
      <c r="E3918" s="245"/>
      <c r="F3918" s="245"/>
      <c r="G3918" s="245"/>
      <c r="H3918" s="245"/>
      <c r="I3918" s="245"/>
      <c r="J3918" s="245"/>
      <c r="K3918" s="245"/>
      <c r="L3918" s="246"/>
      <c r="M3918" s="245"/>
      <c r="N3918" s="245"/>
      <c r="O3918" s="245"/>
      <c r="P3918" s="245"/>
      <c r="Q3918" s="247"/>
      <c r="R3918" s="247"/>
      <c r="S3918" s="247"/>
      <c r="T3918" s="245"/>
      <c r="U3918" s="245"/>
      <c r="V3918" s="241"/>
      <c r="W3918" s="241"/>
      <c r="X3918" s="241"/>
    </row>
    <row r="3919" spans="1:24" ht="13.5" customHeight="1" x14ac:dyDescent="0.3">
      <c r="A3919" s="245"/>
      <c r="B3919" s="246"/>
      <c r="C3919" s="245"/>
      <c r="D3919" s="245"/>
      <c r="E3919" s="245"/>
      <c r="F3919" s="245"/>
      <c r="G3919" s="245"/>
      <c r="H3919" s="245"/>
      <c r="I3919" s="245"/>
      <c r="J3919" s="245"/>
      <c r="K3919" s="245"/>
      <c r="L3919" s="246"/>
      <c r="M3919" s="245"/>
      <c r="N3919" s="245"/>
      <c r="O3919" s="245"/>
      <c r="P3919" s="245"/>
      <c r="Q3919" s="247"/>
      <c r="R3919" s="247"/>
      <c r="S3919" s="247"/>
      <c r="T3919" s="245"/>
      <c r="U3919" s="245"/>
      <c r="V3919" s="241"/>
      <c r="W3919" s="241"/>
      <c r="X3919" s="241"/>
    </row>
    <row r="3920" spans="1:24" ht="13.5" customHeight="1" x14ac:dyDescent="0.3">
      <c r="A3920" s="245"/>
      <c r="B3920" s="246"/>
      <c r="C3920" s="245"/>
      <c r="D3920" s="245"/>
      <c r="E3920" s="245"/>
      <c r="F3920" s="245"/>
      <c r="G3920" s="245"/>
      <c r="H3920" s="245"/>
      <c r="I3920" s="245"/>
      <c r="J3920" s="245"/>
      <c r="K3920" s="245"/>
      <c r="L3920" s="246"/>
      <c r="M3920" s="245"/>
      <c r="N3920" s="245"/>
      <c r="O3920" s="245"/>
      <c r="P3920" s="245"/>
      <c r="Q3920" s="247"/>
      <c r="R3920" s="247"/>
      <c r="S3920" s="247"/>
      <c r="T3920" s="245"/>
      <c r="U3920" s="245"/>
      <c r="V3920" s="241"/>
      <c r="W3920" s="241"/>
      <c r="X3920" s="241"/>
    </row>
    <row r="3921" spans="1:24" ht="13.5" customHeight="1" x14ac:dyDescent="0.3">
      <c r="A3921" s="245"/>
      <c r="B3921" s="246"/>
      <c r="C3921" s="245"/>
      <c r="D3921" s="245"/>
      <c r="E3921" s="245"/>
      <c r="F3921" s="245"/>
      <c r="G3921" s="245"/>
      <c r="H3921" s="245"/>
      <c r="I3921" s="245"/>
      <c r="J3921" s="245"/>
      <c r="K3921" s="245"/>
      <c r="L3921" s="246"/>
      <c r="M3921" s="245"/>
      <c r="N3921" s="245"/>
      <c r="O3921" s="245"/>
      <c r="P3921" s="245"/>
      <c r="Q3921" s="247"/>
      <c r="R3921" s="247"/>
      <c r="S3921" s="247"/>
      <c r="T3921" s="245"/>
      <c r="U3921" s="245"/>
      <c r="V3921" s="241"/>
      <c r="W3921" s="241"/>
      <c r="X3921" s="241"/>
    </row>
    <row r="3922" spans="1:24" ht="13.5" customHeight="1" x14ac:dyDescent="0.3">
      <c r="A3922" s="245"/>
      <c r="B3922" s="246"/>
      <c r="C3922" s="245"/>
      <c r="D3922" s="245"/>
      <c r="E3922" s="245"/>
      <c r="F3922" s="245"/>
      <c r="G3922" s="245"/>
      <c r="H3922" s="245"/>
      <c r="I3922" s="245"/>
      <c r="J3922" s="245"/>
      <c r="K3922" s="245"/>
      <c r="L3922" s="246"/>
      <c r="M3922" s="245"/>
      <c r="N3922" s="245"/>
      <c r="O3922" s="245"/>
      <c r="P3922" s="245"/>
      <c r="Q3922" s="247"/>
      <c r="R3922" s="247"/>
      <c r="S3922" s="247"/>
      <c r="T3922" s="245"/>
      <c r="U3922" s="245"/>
      <c r="V3922" s="241"/>
      <c r="W3922" s="241"/>
      <c r="X3922" s="241"/>
    </row>
    <row r="3923" spans="1:24" ht="13.5" customHeight="1" x14ac:dyDescent="0.3">
      <c r="A3923" s="245"/>
      <c r="B3923" s="246"/>
      <c r="C3923" s="245"/>
      <c r="D3923" s="245"/>
      <c r="E3923" s="245"/>
      <c r="F3923" s="245"/>
      <c r="G3923" s="245"/>
      <c r="H3923" s="245"/>
      <c r="I3923" s="245"/>
      <c r="J3923" s="245"/>
      <c r="K3923" s="245"/>
      <c r="L3923" s="246"/>
      <c r="M3923" s="245"/>
      <c r="N3923" s="245"/>
      <c r="O3923" s="245"/>
      <c r="P3923" s="245"/>
      <c r="Q3923" s="247"/>
      <c r="R3923" s="247"/>
      <c r="S3923" s="247"/>
      <c r="T3923" s="245"/>
      <c r="U3923" s="245"/>
      <c r="V3923" s="241"/>
      <c r="W3923" s="241"/>
      <c r="X3923" s="241"/>
    </row>
    <row r="3924" spans="1:24" ht="13.5" customHeight="1" x14ac:dyDescent="0.3">
      <c r="A3924" s="245"/>
      <c r="B3924" s="246"/>
      <c r="C3924" s="245"/>
      <c r="D3924" s="245"/>
      <c r="E3924" s="245"/>
      <c r="F3924" s="245"/>
      <c r="G3924" s="245"/>
      <c r="H3924" s="245"/>
      <c r="I3924" s="245"/>
      <c r="J3924" s="245"/>
      <c r="K3924" s="245"/>
      <c r="L3924" s="246"/>
      <c r="M3924" s="245"/>
      <c r="N3924" s="245"/>
      <c r="O3924" s="245"/>
      <c r="P3924" s="245"/>
      <c r="Q3924" s="247"/>
      <c r="R3924" s="247"/>
      <c r="S3924" s="247"/>
      <c r="T3924" s="245"/>
      <c r="U3924" s="245"/>
      <c r="V3924" s="241"/>
      <c r="W3924" s="241"/>
      <c r="X3924" s="241"/>
    </row>
    <row r="3925" spans="1:24" ht="13.5" customHeight="1" x14ac:dyDescent="0.3">
      <c r="A3925" s="245"/>
      <c r="B3925" s="246"/>
      <c r="C3925" s="245"/>
      <c r="D3925" s="245"/>
      <c r="E3925" s="245"/>
      <c r="F3925" s="245"/>
      <c r="G3925" s="245"/>
      <c r="H3925" s="245"/>
      <c r="I3925" s="245"/>
      <c r="J3925" s="245"/>
      <c r="K3925" s="245"/>
      <c r="L3925" s="246"/>
      <c r="M3925" s="245"/>
      <c r="N3925" s="245"/>
      <c r="O3925" s="245"/>
      <c r="P3925" s="245"/>
      <c r="Q3925" s="247"/>
      <c r="R3925" s="247"/>
      <c r="S3925" s="247"/>
      <c r="T3925" s="245"/>
      <c r="U3925" s="245"/>
      <c r="V3925" s="241"/>
      <c r="W3925" s="241"/>
      <c r="X3925" s="241"/>
    </row>
    <row r="3926" spans="1:24" ht="13.5" customHeight="1" x14ac:dyDescent="0.3">
      <c r="A3926" s="245"/>
      <c r="B3926" s="246"/>
      <c r="C3926" s="245"/>
      <c r="D3926" s="245"/>
      <c r="E3926" s="245"/>
      <c r="F3926" s="245"/>
      <c r="G3926" s="245"/>
      <c r="H3926" s="245"/>
      <c r="I3926" s="245"/>
      <c r="J3926" s="245"/>
      <c r="K3926" s="245"/>
      <c r="L3926" s="246"/>
      <c r="M3926" s="245"/>
      <c r="N3926" s="245"/>
      <c r="O3926" s="245"/>
      <c r="P3926" s="245"/>
      <c r="Q3926" s="247"/>
      <c r="R3926" s="247"/>
      <c r="S3926" s="247"/>
      <c r="T3926" s="245"/>
      <c r="U3926" s="245"/>
      <c r="V3926" s="241"/>
      <c r="W3926" s="241"/>
      <c r="X3926" s="241"/>
    </row>
    <row r="3927" spans="1:24" ht="13.5" customHeight="1" x14ac:dyDescent="0.3">
      <c r="A3927" s="245"/>
      <c r="B3927" s="246"/>
      <c r="C3927" s="245"/>
      <c r="D3927" s="245"/>
      <c r="E3927" s="245"/>
      <c r="F3927" s="245"/>
      <c r="G3927" s="245"/>
      <c r="H3927" s="245"/>
      <c r="I3927" s="245"/>
      <c r="J3927" s="245"/>
      <c r="K3927" s="245"/>
      <c r="L3927" s="246"/>
      <c r="M3927" s="245"/>
      <c r="N3927" s="245"/>
      <c r="O3927" s="245"/>
      <c r="P3927" s="245"/>
      <c r="Q3927" s="247"/>
      <c r="R3927" s="247"/>
      <c r="S3927" s="247"/>
      <c r="T3927" s="245"/>
      <c r="U3927" s="245"/>
      <c r="V3927" s="241"/>
      <c r="W3927" s="241"/>
      <c r="X3927" s="241"/>
    </row>
    <row r="3928" spans="1:24" ht="13.5" customHeight="1" x14ac:dyDescent="0.3">
      <c r="A3928" s="245"/>
      <c r="B3928" s="246"/>
      <c r="C3928" s="245"/>
      <c r="D3928" s="245"/>
      <c r="E3928" s="245"/>
      <c r="F3928" s="245"/>
      <c r="G3928" s="245"/>
      <c r="H3928" s="245"/>
      <c r="I3928" s="245"/>
      <c r="J3928" s="245"/>
      <c r="K3928" s="245"/>
      <c r="L3928" s="246"/>
      <c r="M3928" s="245"/>
      <c r="N3928" s="245"/>
      <c r="O3928" s="245"/>
      <c r="P3928" s="245"/>
      <c r="Q3928" s="247"/>
      <c r="R3928" s="247"/>
      <c r="S3928" s="247"/>
      <c r="T3928" s="245"/>
      <c r="U3928" s="245"/>
      <c r="V3928" s="241"/>
      <c r="W3928" s="241"/>
      <c r="X3928" s="241"/>
    </row>
    <row r="3929" spans="1:24" ht="13.5" customHeight="1" x14ac:dyDescent="0.3">
      <c r="A3929" s="245"/>
      <c r="B3929" s="246"/>
      <c r="C3929" s="245"/>
      <c r="D3929" s="245"/>
      <c r="E3929" s="245"/>
      <c r="F3929" s="245"/>
      <c r="G3929" s="245"/>
      <c r="H3929" s="245"/>
      <c r="I3929" s="245"/>
      <c r="J3929" s="245"/>
      <c r="K3929" s="245"/>
      <c r="L3929" s="246"/>
      <c r="M3929" s="245"/>
      <c r="N3929" s="245"/>
      <c r="O3929" s="245"/>
      <c r="P3929" s="245"/>
      <c r="Q3929" s="247"/>
      <c r="R3929" s="247"/>
      <c r="S3929" s="247"/>
      <c r="T3929" s="245"/>
      <c r="U3929" s="245"/>
      <c r="V3929" s="241"/>
      <c r="W3929" s="241"/>
      <c r="X3929" s="241"/>
    </row>
    <row r="3930" spans="1:24" ht="13.5" customHeight="1" x14ac:dyDescent="0.3">
      <c r="A3930" s="245"/>
      <c r="B3930" s="246"/>
      <c r="C3930" s="245"/>
      <c r="D3930" s="245"/>
      <c r="E3930" s="245"/>
      <c r="F3930" s="245"/>
      <c r="G3930" s="245"/>
      <c r="H3930" s="245"/>
      <c r="I3930" s="245"/>
      <c r="J3930" s="245"/>
      <c r="K3930" s="245"/>
      <c r="L3930" s="246"/>
      <c r="M3930" s="245"/>
      <c r="N3930" s="245"/>
      <c r="O3930" s="245"/>
      <c r="P3930" s="245"/>
      <c r="Q3930" s="247"/>
      <c r="R3930" s="247"/>
      <c r="S3930" s="247"/>
      <c r="T3930" s="245"/>
      <c r="U3930" s="245"/>
      <c r="V3930" s="241"/>
      <c r="W3930" s="241"/>
      <c r="X3930" s="241"/>
    </row>
    <row r="3931" spans="1:24" ht="13.5" customHeight="1" x14ac:dyDescent="0.3">
      <c r="A3931" s="245"/>
      <c r="B3931" s="246"/>
      <c r="C3931" s="245"/>
      <c r="D3931" s="245"/>
      <c r="E3931" s="245"/>
      <c r="F3931" s="245"/>
      <c r="G3931" s="245"/>
      <c r="H3931" s="245"/>
      <c r="I3931" s="245"/>
      <c r="J3931" s="245"/>
      <c r="K3931" s="245"/>
      <c r="L3931" s="246"/>
      <c r="M3931" s="245"/>
      <c r="N3931" s="245"/>
      <c r="O3931" s="245"/>
      <c r="P3931" s="245"/>
      <c r="Q3931" s="247"/>
      <c r="R3931" s="247"/>
      <c r="S3931" s="247"/>
      <c r="T3931" s="245"/>
      <c r="U3931" s="245"/>
      <c r="V3931" s="241"/>
      <c r="W3931" s="241"/>
      <c r="X3931" s="241"/>
    </row>
    <row r="3932" spans="1:24" ht="13.5" customHeight="1" x14ac:dyDescent="0.3">
      <c r="A3932" s="245"/>
      <c r="B3932" s="246"/>
      <c r="C3932" s="245"/>
      <c r="D3932" s="245"/>
      <c r="E3932" s="245"/>
      <c r="F3932" s="245"/>
      <c r="G3932" s="245"/>
      <c r="H3932" s="245"/>
      <c r="I3932" s="245"/>
      <c r="J3932" s="245"/>
      <c r="K3932" s="245"/>
      <c r="L3932" s="246"/>
      <c r="M3932" s="245"/>
      <c r="N3932" s="245"/>
      <c r="O3932" s="245"/>
      <c r="P3932" s="245"/>
      <c r="Q3932" s="247"/>
      <c r="R3932" s="247"/>
      <c r="S3932" s="247"/>
      <c r="T3932" s="245"/>
      <c r="U3932" s="245"/>
      <c r="V3932" s="241"/>
      <c r="W3932" s="241"/>
      <c r="X3932" s="241"/>
    </row>
    <row r="3933" spans="1:24" ht="13.5" customHeight="1" x14ac:dyDescent="0.3">
      <c r="A3933" s="245"/>
      <c r="B3933" s="246"/>
      <c r="C3933" s="245"/>
      <c r="D3933" s="245"/>
      <c r="E3933" s="245"/>
      <c r="F3933" s="245"/>
      <c r="G3933" s="245"/>
      <c r="H3933" s="245"/>
      <c r="I3933" s="245"/>
      <c r="J3933" s="245"/>
      <c r="K3933" s="245"/>
      <c r="L3933" s="246"/>
      <c r="M3933" s="245"/>
      <c r="N3933" s="245"/>
      <c r="O3933" s="245"/>
      <c r="P3933" s="245"/>
      <c r="Q3933" s="247"/>
      <c r="R3933" s="247"/>
      <c r="S3933" s="247"/>
      <c r="T3933" s="245"/>
      <c r="U3933" s="245"/>
      <c r="V3933" s="241"/>
      <c r="W3933" s="241"/>
      <c r="X3933" s="241"/>
    </row>
    <row r="3934" spans="1:24" ht="13.5" customHeight="1" x14ac:dyDescent="0.3">
      <c r="A3934" s="245"/>
      <c r="B3934" s="246"/>
      <c r="C3934" s="245"/>
      <c r="D3934" s="245"/>
      <c r="E3934" s="245"/>
      <c r="F3934" s="245"/>
      <c r="G3934" s="245"/>
      <c r="H3934" s="245"/>
      <c r="I3934" s="245"/>
      <c r="J3934" s="245"/>
      <c r="K3934" s="245"/>
      <c r="L3934" s="246"/>
      <c r="M3934" s="245"/>
      <c r="N3934" s="245"/>
      <c r="O3934" s="245"/>
      <c r="P3934" s="245"/>
      <c r="Q3934" s="247"/>
      <c r="R3934" s="247"/>
      <c r="S3934" s="247"/>
      <c r="T3934" s="245"/>
      <c r="U3934" s="245"/>
      <c r="V3934" s="241"/>
      <c r="W3934" s="241"/>
      <c r="X3934" s="241"/>
    </row>
    <row r="3935" spans="1:24" ht="13.5" customHeight="1" x14ac:dyDescent="0.3">
      <c r="A3935" s="245"/>
      <c r="B3935" s="246"/>
      <c r="C3935" s="245"/>
      <c r="D3935" s="245"/>
      <c r="E3935" s="245"/>
      <c r="F3935" s="245"/>
      <c r="G3935" s="245"/>
      <c r="H3935" s="245"/>
      <c r="I3935" s="245"/>
      <c r="J3935" s="245"/>
      <c r="K3935" s="245"/>
      <c r="L3935" s="246"/>
      <c r="M3935" s="245"/>
      <c r="N3935" s="245"/>
      <c r="O3935" s="245"/>
      <c r="P3935" s="245"/>
      <c r="Q3935" s="247"/>
      <c r="R3935" s="247"/>
      <c r="S3935" s="247"/>
      <c r="T3935" s="245"/>
      <c r="U3935" s="245"/>
      <c r="V3935" s="241"/>
      <c r="W3935" s="241"/>
      <c r="X3935" s="241"/>
    </row>
    <row r="3936" spans="1:24" ht="13.5" customHeight="1" x14ac:dyDescent="0.3">
      <c r="A3936" s="245"/>
      <c r="B3936" s="246"/>
      <c r="C3936" s="245"/>
      <c r="D3936" s="245"/>
      <c r="E3936" s="245"/>
      <c r="F3936" s="245"/>
      <c r="G3936" s="245"/>
      <c r="H3936" s="245"/>
      <c r="I3936" s="245"/>
      <c r="J3936" s="245"/>
      <c r="K3936" s="245"/>
      <c r="L3936" s="246"/>
      <c r="M3936" s="245"/>
      <c r="N3936" s="245"/>
      <c r="O3936" s="245"/>
      <c r="P3936" s="245"/>
      <c r="Q3936" s="247"/>
      <c r="R3936" s="247"/>
      <c r="S3936" s="247"/>
      <c r="T3936" s="245"/>
      <c r="U3936" s="245"/>
      <c r="V3936" s="241"/>
      <c r="W3936" s="241"/>
      <c r="X3936" s="241"/>
    </row>
    <row r="3937" spans="1:24" ht="13.5" customHeight="1" x14ac:dyDescent="0.3">
      <c r="A3937" s="245"/>
      <c r="B3937" s="246"/>
      <c r="C3937" s="245"/>
      <c r="D3937" s="245"/>
      <c r="E3937" s="245"/>
      <c r="F3937" s="245"/>
      <c r="G3937" s="245"/>
      <c r="H3937" s="245"/>
      <c r="I3937" s="245"/>
      <c r="J3937" s="245"/>
      <c r="K3937" s="245"/>
      <c r="L3937" s="246"/>
      <c r="M3937" s="245"/>
      <c r="N3937" s="245"/>
      <c r="O3937" s="245"/>
      <c r="P3937" s="245"/>
      <c r="Q3937" s="247"/>
      <c r="R3937" s="247"/>
      <c r="S3937" s="247"/>
      <c r="T3937" s="245"/>
      <c r="U3937" s="245"/>
      <c r="V3937" s="241"/>
      <c r="W3937" s="241"/>
      <c r="X3937" s="241"/>
    </row>
    <row r="3938" spans="1:24" ht="13.5" customHeight="1" x14ac:dyDescent="0.3">
      <c r="A3938" s="245"/>
      <c r="B3938" s="246"/>
      <c r="C3938" s="245"/>
      <c r="D3938" s="245"/>
      <c r="E3938" s="245"/>
      <c r="F3938" s="245"/>
      <c r="G3938" s="245"/>
      <c r="H3938" s="245"/>
      <c r="I3938" s="245"/>
      <c r="J3938" s="245"/>
      <c r="K3938" s="245"/>
      <c r="L3938" s="246"/>
      <c r="M3938" s="245"/>
      <c r="N3938" s="245"/>
      <c r="O3938" s="245"/>
      <c r="P3938" s="245"/>
      <c r="Q3938" s="247"/>
      <c r="R3938" s="247"/>
      <c r="S3938" s="247"/>
      <c r="T3938" s="245"/>
      <c r="U3938" s="245"/>
      <c r="V3938" s="241"/>
      <c r="W3938" s="241"/>
      <c r="X3938" s="241"/>
    </row>
    <row r="3939" spans="1:24" ht="13.5" customHeight="1" x14ac:dyDescent="0.3">
      <c r="A3939" s="245"/>
      <c r="B3939" s="246"/>
      <c r="C3939" s="245"/>
      <c r="D3939" s="245"/>
      <c r="E3939" s="245"/>
      <c r="F3939" s="245"/>
      <c r="G3939" s="245"/>
      <c r="H3939" s="245"/>
      <c r="I3939" s="245"/>
      <c r="J3939" s="245"/>
      <c r="K3939" s="245"/>
      <c r="L3939" s="246"/>
      <c r="M3939" s="245"/>
      <c r="N3939" s="245"/>
      <c r="O3939" s="245"/>
      <c r="P3939" s="245"/>
      <c r="Q3939" s="247"/>
      <c r="R3939" s="247"/>
      <c r="S3939" s="247"/>
      <c r="T3939" s="245"/>
      <c r="U3939" s="245"/>
      <c r="V3939" s="241"/>
      <c r="W3939" s="241"/>
      <c r="X3939" s="241"/>
    </row>
    <row r="3940" spans="1:24" ht="13.5" customHeight="1" x14ac:dyDescent="0.3">
      <c r="A3940" s="245"/>
      <c r="B3940" s="246"/>
      <c r="C3940" s="245"/>
      <c r="D3940" s="245"/>
      <c r="E3940" s="245"/>
      <c r="F3940" s="245"/>
      <c r="G3940" s="245"/>
      <c r="H3940" s="245"/>
      <c r="I3940" s="245"/>
      <c r="J3940" s="245"/>
      <c r="K3940" s="245"/>
      <c r="L3940" s="246"/>
      <c r="M3940" s="245"/>
      <c r="N3940" s="245"/>
      <c r="O3940" s="245"/>
      <c r="P3940" s="245"/>
      <c r="Q3940" s="247"/>
      <c r="R3940" s="247"/>
      <c r="S3940" s="247"/>
      <c r="T3940" s="245"/>
      <c r="U3940" s="245"/>
      <c r="V3940" s="241"/>
      <c r="W3940" s="241"/>
      <c r="X3940" s="241"/>
    </row>
    <row r="3941" spans="1:24" ht="13.5" customHeight="1" x14ac:dyDescent="0.3">
      <c r="A3941" s="245"/>
      <c r="B3941" s="246"/>
      <c r="C3941" s="245"/>
      <c r="D3941" s="245"/>
      <c r="E3941" s="245"/>
      <c r="F3941" s="245"/>
      <c r="G3941" s="245"/>
      <c r="H3941" s="245"/>
      <c r="I3941" s="245"/>
      <c r="J3941" s="245"/>
      <c r="K3941" s="245"/>
      <c r="L3941" s="246"/>
      <c r="M3941" s="245"/>
      <c r="N3941" s="245"/>
      <c r="O3941" s="245"/>
      <c r="P3941" s="245"/>
      <c r="Q3941" s="247"/>
      <c r="R3941" s="247"/>
      <c r="S3941" s="247"/>
      <c r="T3941" s="245"/>
      <c r="U3941" s="245"/>
      <c r="V3941" s="241"/>
      <c r="W3941" s="241"/>
      <c r="X3941" s="241"/>
    </row>
    <row r="3942" spans="1:24" ht="13.5" customHeight="1" x14ac:dyDescent="0.3">
      <c r="A3942" s="245"/>
      <c r="B3942" s="246"/>
      <c r="C3942" s="245"/>
      <c r="D3942" s="245"/>
      <c r="E3942" s="245"/>
      <c r="F3942" s="245"/>
      <c r="G3942" s="245"/>
      <c r="H3942" s="245"/>
      <c r="I3942" s="245"/>
      <c r="J3942" s="245"/>
      <c r="K3942" s="245"/>
      <c r="L3942" s="246"/>
      <c r="M3942" s="245"/>
      <c r="N3942" s="245"/>
      <c r="O3942" s="245"/>
      <c r="P3942" s="245"/>
      <c r="Q3942" s="247"/>
      <c r="R3942" s="247"/>
      <c r="S3942" s="247"/>
      <c r="T3942" s="245"/>
      <c r="U3942" s="245"/>
      <c r="V3942" s="241"/>
      <c r="W3942" s="241"/>
      <c r="X3942" s="241"/>
    </row>
    <row r="3943" spans="1:24" ht="13.5" customHeight="1" x14ac:dyDescent="0.3">
      <c r="A3943" s="245"/>
      <c r="B3943" s="246"/>
      <c r="C3943" s="245"/>
      <c r="D3943" s="245"/>
      <c r="E3943" s="245"/>
      <c r="F3943" s="245"/>
      <c r="G3943" s="245"/>
      <c r="H3943" s="245"/>
      <c r="I3943" s="245"/>
      <c r="J3943" s="245"/>
      <c r="K3943" s="245"/>
      <c r="L3943" s="246"/>
      <c r="M3943" s="245"/>
      <c r="N3943" s="245"/>
      <c r="O3943" s="245"/>
      <c r="P3943" s="245"/>
      <c r="Q3943" s="247"/>
      <c r="R3943" s="247"/>
      <c r="S3943" s="247"/>
      <c r="T3943" s="245"/>
      <c r="U3943" s="245"/>
      <c r="V3943" s="241"/>
      <c r="W3943" s="241"/>
      <c r="X3943" s="241"/>
    </row>
    <row r="3944" spans="1:24" ht="13.5" customHeight="1" x14ac:dyDescent="0.3">
      <c r="A3944" s="245"/>
      <c r="B3944" s="246"/>
      <c r="C3944" s="245"/>
      <c r="D3944" s="245"/>
      <c r="E3944" s="245"/>
      <c r="F3944" s="245"/>
      <c r="G3944" s="245"/>
      <c r="H3944" s="245"/>
      <c r="I3944" s="245"/>
      <c r="J3944" s="245"/>
      <c r="K3944" s="245"/>
      <c r="L3944" s="246"/>
      <c r="M3944" s="245"/>
      <c r="N3944" s="245"/>
      <c r="O3944" s="245"/>
      <c r="P3944" s="245"/>
      <c r="Q3944" s="247"/>
      <c r="R3944" s="247"/>
      <c r="S3944" s="247"/>
      <c r="T3944" s="245"/>
      <c r="U3944" s="245"/>
      <c r="V3944" s="241"/>
      <c r="W3944" s="241"/>
      <c r="X3944" s="241"/>
    </row>
    <row r="3945" spans="1:24" ht="13.5" customHeight="1" x14ac:dyDescent="0.3">
      <c r="A3945" s="245"/>
      <c r="B3945" s="246"/>
      <c r="C3945" s="245"/>
      <c r="D3945" s="245"/>
      <c r="E3945" s="245"/>
      <c r="F3945" s="245"/>
      <c r="G3945" s="245"/>
      <c r="H3945" s="245"/>
      <c r="I3945" s="245"/>
      <c r="J3945" s="245"/>
      <c r="K3945" s="245"/>
      <c r="L3945" s="246"/>
      <c r="M3945" s="245"/>
      <c r="N3945" s="245"/>
      <c r="O3945" s="245"/>
      <c r="P3945" s="245"/>
      <c r="Q3945" s="247"/>
      <c r="R3945" s="247"/>
      <c r="S3945" s="247"/>
      <c r="T3945" s="245"/>
      <c r="U3945" s="245"/>
      <c r="V3945" s="241"/>
      <c r="W3945" s="241"/>
      <c r="X3945" s="241"/>
    </row>
    <row r="3946" spans="1:24" ht="13.5" customHeight="1" x14ac:dyDescent="0.3">
      <c r="A3946" s="245"/>
      <c r="B3946" s="246"/>
      <c r="C3946" s="245"/>
      <c r="D3946" s="245"/>
      <c r="E3946" s="245"/>
      <c r="F3946" s="245"/>
      <c r="G3946" s="245"/>
      <c r="H3946" s="245"/>
      <c r="I3946" s="245"/>
      <c r="J3946" s="245"/>
      <c r="K3946" s="245"/>
      <c r="L3946" s="246"/>
      <c r="M3946" s="245"/>
      <c r="N3946" s="245"/>
      <c r="O3946" s="245"/>
      <c r="P3946" s="245"/>
      <c r="Q3946" s="247"/>
      <c r="R3946" s="247"/>
      <c r="S3946" s="247"/>
      <c r="T3946" s="245"/>
      <c r="U3946" s="245"/>
      <c r="V3946" s="241"/>
      <c r="W3946" s="241"/>
      <c r="X3946" s="241"/>
    </row>
    <row r="3947" spans="1:24" ht="13.5" customHeight="1" x14ac:dyDescent="0.3">
      <c r="A3947" s="245"/>
      <c r="B3947" s="246"/>
      <c r="C3947" s="245"/>
      <c r="D3947" s="245"/>
      <c r="E3947" s="245"/>
      <c r="F3947" s="245"/>
      <c r="G3947" s="245"/>
      <c r="H3947" s="245"/>
      <c r="I3947" s="245"/>
      <c r="J3947" s="245"/>
      <c r="K3947" s="245"/>
      <c r="L3947" s="246"/>
      <c r="M3947" s="245"/>
      <c r="N3947" s="245"/>
      <c r="O3947" s="245"/>
      <c r="P3947" s="245"/>
      <c r="Q3947" s="247"/>
      <c r="R3947" s="247"/>
      <c r="S3947" s="247"/>
      <c r="T3947" s="245"/>
      <c r="U3947" s="245"/>
      <c r="V3947" s="241"/>
      <c r="W3947" s="241"/>
      <c r="X3947" s="241"/>
    </row>
    <row r="3948" spans="1:24" ht="13.5" customHeight="1" x14ac:dyDescent="0.3">
      <c r="A3948" s="245"/>
      <c r="B3948" s="246"/>
      <c r="C3948" s="245"/>
      <c r="D3948" s="245"/>
      <c r="E3948" s="245"/>
      <c r="F3948" s="245"/>
      <c r="G3948" s="245"/>
      <c r="H3948" s="245"/>
      <c r="I3948" s="245"/>
      <c r="J3948" s="245"/>
      <c r="K3948" s="245"/>
      <c r="L3948" s="246"/>
      <c r="M3948" s="245"/>
      <c r="N3948" s="245"/>
      <c r="O3948" s="245"/>
      <c r="P3948" s="245"/>
      <c r="Q3948" s="247"/>
      <c r="R3948" s="247"/>
      <c r="S3948" s="247"/>
      <c r="T3948" s="245"/>
      <c r="U3948" s="245"/>
      <c r="V3948" s="241"/>
      <c r="W3948" s="241"/>
      <c r="X3948" s="241"/>
    </row>
    <row r="3949" spans="1:24" ht="13.5" customHeight="1" x14ac:dyDescent="0.3">
      <c r="A3949" s="245"/>
      <c r="B3949" s="246"/>
      <c r="C3949" s="245"/>
      <c r="D3949" s="245"/>
      <c r="E3949" s="245"/>
      <c r="F3949" s="245"/>
      <c r="G3949" s="245"/>
      <c r="H3949" s="245"/>
      <c r="I3949" s="245"/>
      <c r="J3949" s="245"/>
      <c r="K3949" s="245"/>
      <c r="L3949" s="246"/>
      <c r="M3949" s="245"/>
      <c r="N3949" s="245"/>
      <c r="O3949" s="245"/>
      <c r="P3949" s="245"/>
      <c r="Q3949" s="247"/>
      <c r="R3949" s="247"/>
      <c r="S3949" s="247"/>
      <c r="T3949" s="245"/>
      <c r="U3949" s="245"/>
      <c r="V3949" s="241"/>
      <c r="W3949" s="241"/>
      <c r="X3949" s="241"/>
    </row>
    <row r="3950" spans="1:24" ht="13.5" customHeight="1" x14ac:dyDescent="0.3">
      <c r="A3950" s="245"/>
      <c r="B3950" s="246"/>
      <c r="C3950" s="245"/>
      <c r="D3950" s="245"/>
      <c r="E3950" s="245"/>
      <c r="F3950" s="245"/>
      <c r="G3950" s="245"/>
      <c r="H3950" s="245"/>
      <c r="I3950" s="245"/>
      <c r="J3950" s="245"/>
      <c r="K3950" s="245"/>
      <c r="L3950" s="246"/>
      <c r="M3950" s="245"/>
      <c r="N3950" s="245"/>
      <c r="O3950" s="245"/>
      <c r="P3950" s="245"/>
      <c r="Q3950" s="247"/>
      <c r="R3950" s="247"/>
      <c r="S3950" s="247"/>
      <c r="T3950" s="245"/>
      <c r="U3950" s="245"/>
      <c r="V3950" s="241"/>
      <c r="W3950" s="241"/>
      <c r="X3950" s="241"/>
    </row>
    <row r="3951" spans="1:24" ht="13.5" customHeight="1" x14ac:dyDescent="0.3">
      <c r="A3951" s="245"/>
      <c r="B3951" s="246"/>
      <c r="C3951" s="245"/>
      <c r="D3951" s="245"/>
      <c r="E3951" s="245"/>
      <c r="F3951" s="245"/>
      <c r="G3951" s="245"/>
      <c r="H3951" s="245"/>
      <c r="I3951" s="245"/>
      <c r="J3951" s="245"/>
      <c r="K3951" s="245"/>
      <c r="L3951" s="246"/>
      <c r="M3951" s="245"/>
      <c r="N3951" s="245"/>
      <c r="O3951" s="245"/>
      <c r="P3951" s="245"/>
      <c r="Q3951" s="247"/>
      <c r="R3951" s="247"/>
      <c r="S3951" s="247"/>
      <c r="T3951" s="245"/>
      <c r="U3951" s="245"/>
      <c r="V3951" s="241"/>
      <c r="W3951" s="241"/>
      <c r="X3951" s="241"/>
    </row>
    <row r="3952" spans="1:24" ht="13.5" customHeight="1" x14ac:dyDescent="0.3">
      <c r="A3952" s="245"/>
      <c r="B3952" s="246"/>
      <c r="C3952" s="245"/>
      <c r="D3952" s="245"/>
      <c r="E3952" s="245"/>
      <c r="F3952" s="245"/>
      <c r="G3952" s="245"/>
      <c r="H3952" s="245"/>
      <c r="I3952" s="245"/>
      <c r="J3952" s="245"/>
      <c r="K3952" s="245"/>
      <c r="L3952" s="246"/>
      <c r="M3952" s="245"/>
      <c r="N3952" s="245"/>
      <c r="O3952" s="245"/>
      <c r="P3952" s="245"/>
      <c r="Q3952" s="247"/>
      <c r="R3952" s="247"/>
      <c r="S3952" s="247"/>
      <c r="T3952" s="245"/>
      <c r="U3952" s="245"/>
      <c r="V3952" s="241"/>
      <c r="W3952" s="241"/>
      <c r="X3952" s="241"/>
    </row>
    <row r="3953" spans="1:24" ht="13.5" customHeight="1" x14ac:dyDescent="0.3">
      <c r="A3953" s="245"/>
      <c r="B3953" s="246"/>
      <c r="C3953" s="245"/>
      <c r="D3953" s="245"/>
      <c r="E3953" s="245"/>
      <c r="F3953" s="245"/>
      <c r="G3953" s="245"/>
      <c r="H3953" s="245"/>
      <c r="I3953" s="245"/>
      <c r="J3953" s="245"/>
      <c r="K3953" s="245"/>
      <c r="L3953" s="246"/>
      <c r="M3953" s="245"/>
      <c r="N3953" s="245"/>
      <c r="O3953" s="245"/>
      <c r="P3953" s="245"/>
      <c r="Q3953" s="247"/>
      <c r="R3953" s="247"/>
      <c r="S3953" s="247"/>
      <c r="T3953" s="245"/>
      <c r="U3953" s="245"/>
      <c r="V3953" s="241"/>
      <c r="W3953" s="241"/>
      <c r="X3953" s="241"/>
    </row>
    <row r="3954" spans="1:24" ht="13.5" customHeight="1" x14ac:dyDescent="0.3">
      <c r="A3954" s="245"/>
      <c r="B3954" s="246"/>
      <c r="C3954" s="245"/>
      <c r="D3954" s="245"/>
      <c r="E3954" s="245"/>
      <c r="F3954" s="245"/>
      <c r="G3954" s="245"/>
      <c r="H3954" s="245"/>
      <c r="I3954" s="245"/>
      <c r="J3954" s="245"/>
      <c r="K3954" s="245"/>
      <c r="L3954" s="246"/>
      <c r="M3954" s="245"/>
      <c r="N3954" s="245"/>
      <c r="O3954" s="245"/>
      <c r="P3954" s="245"/>
      <c r="Q3954" s="247"/>
      <c r="R3954" s="247"/>
      <c r="S3954" s="247"/>
      <c r="T3954" s="245"/>
      <c r="U3954" s="245"/>
      <c r="V3954" s="241"/>
      <c r="W3954" s="241"/>
      <c r="X3954" s="241"/>
    </row>
    <row r="3955" spans="1:24" ht="13.5" customHeight="1" x14ac:dyDescent="0.3">
      <c r="A3955" s="245"/>
      <c r="B3955" s="246"/>
      <c r="C3955" s="245"/>
      <c r="D3955" s="245"/>
      <c r="E3955" s="245"/>
      <c r="F3955" s="245"/>
      <c r="G3955" s="245"/>
      <c r="H3955" s="245"/>
      <c r="I3955" s="245"/>
      <c r="J3955" s="245"/>
      <c r="K3955" s="245"/>
      <c r="L3955" s="246"/>
      <c r="M3955" s="245"/>
      <c r="N3955" s="245"/>
      <c r="O3955" s="245"/>
      <c r="P3955" s="245"/>
      <c r="Q3955" s="247"/>
      <c r="R3955" s="247"/>
      <c r="S3955" s="247"/>
      <c r="T3955" s="245"/>
      <c r="U3955" s="245"/>
      <c r="V3955" s="241"/>
      <c r="W3955" s="241"/>
      <c r="X3955" s="241"/>
    </row>
    <row r="3956" spans="1:24" ht="13.5" customHeight="1" x14ac:dyDescent="0.3">
      <c r="A3956" s="245"/>
      <c r="B3956" s="246"/>
      <c r="C3956" s="245"/>
      <c r="D3956" s="245"/>
      <c r="E3956" s="245"/>
      <c r="F3956" s="245"/>
      <c r="G3956" s="245"/>
      <c r="H3956" s="245"/>
      <c r="I3956" s="245"/>
      <c r="J3956" s="245"/>
      <c r="K3956" s="245"/>
      <c r="L3956" s="246"/>
      <c r="M3956" s="245"/>
      <c r="N3956" s="245"/>
      <c r="O3956" s="245"/>
      <c r="P3956" s="245"/>
      <c r="Q3956" s="247"/>
      <c r="R3956" s="247"/>
      <c r="S3956" s="247"/>
      <c r="T3956" s="245"/>
      <c r="U3956" s="245"/>
      <c r="V3956" s="241"/>
      <c r="W3956" s="241"/>
      <c r="X3956" s="241"/>
    </row>
    <row r="3957" spans="1:24" ht="13.5" customHeight="1" x14ac:dyDescent="0.3">
      <c r="A3957" s="245"/>
      <c r="B3957" s="246"/>
      <c r="C3957" s="245"/>
      <c r="D3957" s="245"/>
      <c r="E3957" s="245"/>
      <c r="F3957" s="245"/>
      <c r="G3957" s="245"/>
      <c r="H3957" s="245"/>
      <c r="I3957" s="245"/>
      <c r="J3957" s="245"/>
      <c r="K3957" s="245"/>
      <c r="L3957" s="246"/>
      <c r="M3957" s="245"/>
      <c r="N3957" s="245"/>
      <c r="O3957" s="245"/>
      <c r="P3957" s="245"/>
      <c r="Q3957" s="247"/>
      <c r="R3957" s="247"/>
      <c r="S3957" s="247"/>
      <c r="T3957" s="245"/>
      <c r="U3957" s="245"/>
      <c r="V3957" s="241"/>
      <c r="W3957" s="241"/>
      <c r="X3957" s="241"/>
    </row>
    <row r="3958" spans="1:24" ht="13.5" customHeight="1" x14ac:dyDescent="0.3">
      <c r="A3958" s="245"/>
      <c r="B3958" s="246"/>
      <c r="C3958" s="245"/>
      <c r="D3958" s="245"/>
      <c r="E3958" s="245"/>
      <c r="F3958" s="245"/>
      <c r="G3958" s="245"/>
      <c r="H3958" s="245"/>
      <c r="I3958" s="245"/>
      <c r="J3958" s="245"/>
      <c r="K3958" s="245"/>
      <c r="L3958" s="246"/>
      <c r="M3958" s="245"/>
      <c r="N3958" s="245"/>
      <c r="O3958" s="245"/>
      <c r="P3958" s="245"/>
      <c r="Q3958" s="247"/>
      <c r="R3958" s="247"/>
      <c r="S3958" s="247"/>
      <c r="T3958" s="245"/>
      <c r="U3958" s="245"/>
      <c r="V3958" s="241"/>
      <c r="W3958" s="241"/>
      <c r="X3958" s="241"/>
    </row>
    <row r="3959" spans="1:24" ht="13.5" customHeight="1" x14ac:dyDescent="0.3">
      <c r="A3959" s="245"/>
      <c r="B3959" s="246"/>
      <c r="C3959" s="245"/>
      <c r="D3959" s="245"/>
      <c r="E3959" s="245"/>
      <c r="F3959" s="245"/>
      <c r="G3959" s="245"/>
      <c r="H3959" s="245"/>
      <c r="I3959" s="245"/>
      <c r="J3959" s="245"/>
      <c r="K3959" s="245"/>
      <c r="L3959" s="246"/>
      <c r="M3959" s="245"/>
      <c r="N3959" s="245"/>
      <c r="O3959" s="245"/>
      <c r="P3959" s="245"/>
      <c r="Q3959" s="247"/>
      <c r="R3959" s="247"/>
      <c r="S3959" s="247"/>
      <c r="T3959" s="245"/>
      <c r="U3959" s="245"/>
      <c r="V3959" s="241"/>
      <c r="W3959" s="241"/>
      <c r="X3959" s="241"/>
    </row>
    <row r="3960" spans="1:24" ht="13.5" customHeight="1" x14ac:dyDescent="0.3">
      <c r="A3960" s="245"/>
      <c r="B3960" s="246"/>
      <c r="C3960" s="245"/>
      <c r="D3960" s="245"/>
      <c r="E3960" s="245"/>
      <c r="F3960" s="245"/>
      <c r="G3960" s="245"/>
      <c r="H3960" s="245"/>
      <c r="I3960" s="245"/>
      <c r="J3960" s="245"/>
      <c r="K3960" s="245"/>
      <c r="L3960" s="246"/>
      <c r="M3960" s="245"/>
      <c r="N3960" s="245"/>
      <c r="O3960" s="245"/>
      <c r="P3960" s="245"/>
      <c r="Q3960" s="247"/>
      <c r="R3960" s="247"/>
      <c r="S3960" s="247"/>
      <c r="T3960" s="245"/>
      <c r="U3960" s="245"/>
      <c r="V3960" s="241"/>
      <c r="W3960" s="241"/>
      <c r="X3960" s="241"/>
    </row>
    <row r="3961" spans="1:24" ht="13.5" customHeight="1" x14ac:dyDescent="0.3">
      <c r="A3961" s="245"/>
      <c r="B3961" s="246"/>
      <c r="C3961" s="245"/>
      <c r="D3961" s="245"/>
      <c r="E3961" s="245"/>
      <c r="F3961" s="245"/>
      <c r="G3961" s="245"/>
      <c r="H3961" s="245"/>
      <c r="I3961" s="245"/>
      <c r="J3961" s="245"/>
      <c r="K3961" s="245"/>
      <c r="L3961" s="246"/>
      <c r="M3961" s="245"/>
      <c r="N3961" s="245"/>
      <c r="O3961" s="245"/>
      <c r="P3961" s="245"/>
      <c r="Q3961" s="247"/>
      <c r="R3961" s="247"/>
      <c r="S3961" s="247"/>
      <c r="T3961" s="245"/>
      <c r="U3961" s="245"/>
      <c r="V3961" s="241"/>
      <c r="W3961" s="241"/>
      <c r="X3961" s="241"/>
    </row>
    <row r="3962" spans="1:24" ht="13.5" customHeight="1" x14ac:dyDescent="0.3">
      <c r="A3962" s="245"/>
      <c r="B3962" s="246"/>
      <c r="C3962" s="245"/>
      <c r="D3962" s="245"/>
      <c r="E3962" s="245"/>
      <c r="F3962" s="245"/>
      <c r="G3962" s="245"/>
      <c r="H3962" s="245"/>
      <c r="I3962" s="245"/>
      <c r="J3962" s="245"/>
      <c r="K3962" s="245"/>
      <c r="L3962" s="246"/>
      <c r="M3962" s="245"/>
      <c r="N3962" s="245"/>
      <c r="O3962" s="245"/>
      <c r="P3962" s="245"/>
      <c r="Q3962" s="247"/>
      <c r="R3962" s="247"/>
      <c r="S3962" s="247"/>
      <c r="T3962" s="245"/>
      <c r="U3962" s="245"/>
      <c r="V3962" s="241"/>
      <c r="W3962" s="241"/>
      <c r="X3962" s="241"/>
    </row>
    <row r="3963" spans="1:24" ht="13.5" customHeight="1" x14ac:dyDescent="0.3">
      <c r="A3963" s="245"/>
      <c r="B3963" s="246"/>
      <c r="C3963" s="245"/>
      <c r="D3963" s="245"/>
      <c r="E3963" s="245"/>
      <c r="F3963" s="245"/>
      <c r="G3963" s="245"/>
      <c r="H3963" s="245"/>
      <c r="I3963" s="245"/>
      <c r="J3963" s="245"/>
      <c r="K3963" s="245"/>
      <c r="L3963" s="246"/>
      <c r="M3963" s="245"/>
      <c r="N3963" s="245"/>
      <c r="O3963" s="245"/>
      <c r="P3963" s="245"/>
      <c r="Q3963" s="247"/>
      <c r="R3963" s="247"/>
      <c r="S3963" s="247"/>
      <c r="T3963" s="245"/>
      <c r="U3963" s="245"/>
      <c r="V3963" s="241"/>
      <c r="W3963" s="241"/>
      <c r="X3963" s="241"/>
    </row>
    <row r="3964" spans="1:24" ht="13.5" customHeight="1" x14ac:dyDescent="0.3">
      <c r="A3964" s="245"/>
      <c r="B3964" s="246"/>
      <c r="C3964" s="245"/>
      <c r="D3964" s="245"/>
      <c r="E3964" s="245"/>
      <c r="F3964" s="245"/>
      <c r="G3964" s="245"/>
      <c r="H3964" s="245"/>
      <c r="I3964" s="245"/>
      <c r="J3964" s="245"/>
      <c r="K3964" s="245"/>
      <c r="L3964" s="246"/>
      <c r="M3964" s="245"/>
      <c r="N3964" s="245"/>
      <c r="O3964" s="245"/>
      <c r="P3964" s="245"/>
      <c r="Q3964" s="247"/>
      <c r="R3964" s="247"/>
      <c r="S3964" s="247"/>
      <c r="T3964" s="245"/>
      <c r="U3964" s="245"/>
      <c r="V3964" s="241"/>
      <c r="W3964" s="241"/>
      <c r="X3964" s="241"/>
    </row>
    <row r="3965" spans="1:24" ht="13.5" customHeight="1" x14ac:dyDescent="0.3">
      <c r="A3965" s="245"/>
      <c r="B3965" s="246"/>
      <c r="C3965" s="245"/>
      <c r="D3965" s="245"/>
      <c r="E3965" s="245"/>
      <c r="F3965" s="245"/>
      <c r="G3965" s="245"/>
      <c r="H3965" s="245"/>
      <c r="I3965" s="245"/>
      <c r="J3965" s="245"/>
      <c r="K3965" s="245"/>
      <c r="L3965" s="246"/>
      <c r="M3965" s="245"/>
      <c r="N3965" s="245"/>
      <c r="O3965" s="245"/>
      <c r="P3965" s="245"/>
      <c r="Q3965" s="247"/>
      <c r="R3965" s="247"/>
      <c r="S3965" s="247"/>
      <c r="T3965" s="245"/>
      <c r="U3965" s="245"/>
      <c r="V3965" s="241"/>
      <c r="W3965" s="241"/>
      <c r="X3965" s="241"/>
    </row>
    <row r="3966" spans="1:24" ht="13.5" customHeight="1" x14ac:dyDescent="0.3">
      <c r="A3966" s="245"/>
      <c r="B3966" s="246"/>
      <c r="C3966" s="245"/>
      <c r="D3966" s="245"/>
      <c r="E3966" s="245"/>
      <c r="F3966" s="245"/>
      <c r="G3966" s="245"/>
      <c r="H3966" s="245"/>
      <c r="I3966" s="245"/>
      <c r="J3966" s="245"/>
      <c r="K3966" s="245"/>
      <c r="L3966" s="246"/>
      <c r="M3966" s="245"/>
      <c r="N3966" s="245"/>
      <c r="O3966" s="245"/>
      <c r="P3966" s="245"/>
      <c r="Q3966" s="247"/>
      <c r="R3966" s="247"/>
      <c r="S3966" s="247"/>
      <c r="T3966" s="245"/>
      <c r="U3966" s="245"/>
      <c r="V3966" s="241"/>
      <c r="W3966" s="241"/>
      <c r="X3966" s="241"/>
    </row>
    <row r="3967" spans="1:24" ht="13.5" customHeight="1" x14ac:dyDescent="0.3">
      <c r="A3967" s="245"/>
      <c r="B3967" s="246"/>
      <c r="C3967" s="245"/>
      <c r="D3967" s="245"/>
      <c r="E3967" s="245"/>
      <c r="F3967" s="245"/>
      <c r="G3967" s="245"/>
      <c r="H3967" s="245"/>
      <c r="I3967" s="245"/>
      <c r="J3967" s="245"/>
      <c r="K3967" s="245"/>
      <c r="L3967" s="246"/>
      <c r="M3967" s="245"/>
      <c r="N3967" s="245"/>
      <c r="O3967" s="245"/>
      <c r="P3967" s="245"/>
      <c r="Q3967" s="247"/>
      <c r="R3967" s="247"/>
      <c r="S3967" s="247"/>
      <c r="T3967" s="245"/>
      <c r="U3967" s="245"/>
      <c r="V3967" s="241"/>
      <c r="W3967" s="241"/>
      <c r="X3967" s="241"/>
    </row>
    <row r="3968" spans="1:24" ht="13.5" customHeight="1" x14ac:dyDescent="0.3">
      <c r="A3968" s="245"/>
      <c r="B3968" s="246"/>
      <c r="C3968" s="245"/>
      <c r="D3968" s="245"/>
      <c r="E3968" s="245"/>
      <c r="F3968" s="245"/>
      <c r="G3968" s="245"/>
      <c r="H3968" s="245"/>
      <c r="I3968" s="245"/>
      <c r="J3968" s="245"/>
      <c r="K3968" s="245"/>
      <c r="L3968" s="246"/>
      <c r="M3968" s="245"/>
      <c r="N3968" s="245"/>
      <c r="O3968" s="245"/>
      <c r="P3968" s="245"/>
      <c r="Q3968" s="247"/>
      <c r="R3968" s="247"/>
      <c r="S3968" s="247"/>
      <c r="T3968" s="245"/>
      <c r="U3968" s="245"/>
      <c r="V3968" s="241"/>
      <c r="W3968" s="241"/>
      <c r="X3968" s="241"/>
    </row>
    <row r="3969" spans="1:24" ht="13.5" customHeight="1" x14ac:dyDescent="0.3">
      <c r="A3969" s="245"/>
      <c r="B3969" s="246"/>
      <c r="C3969" s="245"/>
      <c r="D3969" s="245"/>
      <c r="E3969" s="245"/>
      <c r="F3969" s="245"/>
      <c r="G3969" s="245"/>
      <c r="H3969" s="245"/>
      <c r="I3969" s="245"/>
      <c r="J3969" s="245"/>
      <c r="K3969" s="245"/>
      <c r="L3969" s="246"/>
      <c r="M3969" s="245"/>
      <c r="N3969" s="245"/>
      <c r="O3969" s="245"/>
      <c r="P3969" s="245"/>
      <c r="Q3969" s="247"/>
      <c r="R3969" s="247"/>
      <c r="S3969" s="247"/>
      <c r="T3969" s="245"/>
      <c r="U3969" s="245"/>
      <c r="V3969" s="241"/>
      <c r="W3969" s="241"/>
      <c r="X3969" s="241"/>
    </row>
    <row r="3970" spans="1:24" ht="13.5" customHeight="1" x14ac:dyDescent="0.3">
      <c r="A3970" s="245"/>
      <c r="B3970" s="246"/>
      <c r="C3970" s="245"/>
      <c r="D3970" s="245"/>
      <c r="E3970" s="245"/>
      <c r="F3970" s="245"/>
      <c r="G3970" s="245"/>
      <c r="H3970" s="245"/>
      <c r="I3970" s="245"/>
      <c r="J3970" s="245"/>
      <c r="K3970" s="245"/>
      <c r="L3970" s="246"/>
      <c r="M3970" s="245"/>
      <c r="N3970" s="245"/>
      <c r="O3970" s="245"/>
      <c r="P3970" s="245"/>
      <c r="Q3970" s="247"/>
      <c r="R3970" s="247"/>
      <c r="S3970" s="247"/>
      <c r="T3970" s="245"/>
      <c r="U3970" s="245"/>
      <c r="V3970" s="241"/>
      <c r="W3970" s="241"/>
      <c r="X3970" s="241"/>
    </row>
    <row r="3971" spans="1:24" ht="13.5" customHeight="1" x14ac:dyDescent="0.3">
      <c r="A3971" s="245"/>
      <c r="B3971" s="246"/>
      <c r="C3971" s="245"/>
      <c r="D3971" s="245"/>
      <c r="E3971" s="245"/>
      <c r="F3971" s="245"/>
      <c r="G3971" s="245"/>
      <c r="H3971" s="245"/>
      <c r="I3971" s="245"/>
      <c r="J3971" s="245"/>
      <c r="K3971" s="245"/>
      <c r="L3971" s="246"/>
      <c r="M3971" s="245"/>
      <c r="N3971" s="245"/>
      <c r="O3971" s="245"/>
      <c r="P3971" s="245"/>
      <c r="Q3971" s="247"/>
      <c r="R3971" s="247"/>
      <c r="S3971" s="247"/>
      <c r="T3971" s="245"/>
      <c r="U3971" s="245"/>
      <c r="V3971" s="241"/>
      <c r="W3971" s="241"/>
      <c r="X3971" s="241"/>
    </row>
    <row r="3972" spans="1:24" ht="13.5" customHeight="1" x14ac:dyDescent="0.3">
      <c r="A3972" s="245"/>
      <c r="B3972" s="246"/>
      <c r="C3972" s="245"/>
      <c r="D3972" s="245"/>
      <c r="E3972" s="245"/>
      <c r="F3972" s="245"/>
      <c r="G3972" s="245"/>
      <c r="H3972" s="245"/>
      <c r="I3972" s="245"/>
      <c r="J3972" s="245"/>
      <c r="K3972" s="245"/>
      <c r="L3972" s="246"/>
      <c r="M3972" s="245"/>
      <c r="N3972" s="245"/>
      <c r="O3972" s="245"/>
      <c r="P3972" s="245"/>
      <c r="Q3972" s="247"/>
      <c r="R3972" s="247"/>
      <c r="S3972" s="247"/>
      <c r="T3972" s="245"/>
      <c r="U3972" s="245"/>
      <c r="V3972" s="241"/>
      <c r="W3972" s="241"/>
      <c r="X3972" s="241"/>
    </row>
    <row r="3973" spans="1:24" ht="13.5" customHeight="1" x14ac:dyDescent="0.3">
      <c r="A3973" s="245"/>
      <c r="B3973" s="246"/>
      <c r="C3973" s="245"/>
      <c r="D3973" s="245"/>
      <c r="E3973" s="245"/>
      <c r="F3973" s="245"/>
      <c r="G3973" s="245"/>
      <c r="H3973" s="245"/>
      <c r="I3973" s="245"/>
      <c r="J3973" s="245"/>
      <c r="K3973" s="245"/>
      <c r="L3973" s="246"/>
      <c r="M3973" s="245"/>
      <c r="N3973" s="245"/>
      <c r="O3973" s="245"/>
      <c r="P3973" s="245"/>
      <c r="Q3973" s="247"/>
      <c r="R3973" s="247"/>
      <c r="S3973" s="247"/>
      <c r="T3973" s="245"/>
      <c r="U3973" s="245"/>
      <c r="V3973" s="241"/>
      <c r="W3973" s="241"/>
      <c r="X3973" s="241"/>
    </row>
    <row r="3974" spans="1:24" ht="13.5" customHeight="1" x14ac:dyDescent="0.3">
      <c r="A3974" s="245"/>
      <c r="B3974" s="246"/>
      <c r="C3974" s="245"/>
      <c r="D3974" s="245"/>
      <c r="E3974" s="245"/>
      <c r="F3974" s="245"/>
      <c r="G3974" s="245"/>
      <c r="H3974" s="245"/>
      <c r="I3974" s="245"/>
      <c r="J3974" s="245"/>
      <c r="K3974" s="245"/>
      <c r="L3974" s="246"/>
      <c r="M3974" s="245"/>
      <c r="N3974" s="245"/>
      <c r="O3974" s="245"/>
      <c r="P3974" s="245"/>
      <c r="Q3974" s="247"/>
      <c r="R3974" s="247"/>
      <c r="S3974" s="247"/>
      <c r="T3974" s="245"/>
      <c r="U3974" s="245"/>
      <c r="V3974" s="241"/>
      <c r="W3974" s="241"/>
      <c r="X3974" s="241"/>
    </row>
    <row r="3975" spans="1:24" ht="13.5" customHeight="1" x14ac:dyDescent="0.3">
      <c r="A3975" s="245"/>
      <c r="B3975" s="246"/>
      <c r="C3975" s="245"/>
      <c r="D3975" s="245"/>
      <c r="E3975" s="245"/>
      <c r="F3975" s="245"/>
      <c r="G3975" s="245"/>
      <c r="H3975" s="245"/>
      <c r="I3975" s="245"/>
      <c r="J3975" s="245"/>
      <c r="K3975" s="245"/>
      <c r="L3975" s="246"/>
      <c r="M3975" s="245"/>
      <c r="N3975" s="245"/>
      <c r="O3975" s="245"/>
      <c r="P3975" s="245"/>
      <c r="Q3975" s="247"/>
      <c r="R3975" s="247"/>
      <c r="S3975" s="247"/>
      <c r="T3975" s="245"/>
      <c r="U3975" s="245"/>
      <c r="V3975" s="241"/>
      <c r="W3975" s="241"/>
      <c r="X3975" s="241"/>
    </row>
    <row r="3976" spans="1:24" ht="13.5" customHeight="1" x14ac:dyDescent="0.3">
      <c r="A3976" s="245"/>
      <c r="B3976" s="246"/>
      <c r="C3976" s="245"/>
      <c r="D3976" s="245"/>
      <c r="E3976" s="245"/>
      <c r="F3976" s="245"/>
      <c r="G3976" s="245"/>
      <c r="H3976" s="245"/>
      <c r="I3976" s="245"/>
      <c r="J3976" s="245"/>
      <c r="K3976" s="245"/>
      <c r="L3976" s="246"/>
      <c r="M3976" s="245"/>
      <c r="N3976" s="245"/>
      <c r="O3976" s="245"/>
      <c r="P3976" s="245"/>
      <c r="Q3976" s="247"/>
      <c r="R3976" s="247"/>
      <c r="S3976" s="247"/>
      <c r="T3976" s="245"/>
      <c r="U3976" s="245"/>
      <c r="V3976" s="241"/>
      <c r="W3976" s="241"/>
      <c r="X3976" s="241"/>
    </row>
    <row r="3977" spans="1:24" ht="13.5" customHeight="1" x14ac:dyDescent="0.3">
      <c r="A3977" s="245"/>
      <c r="B3977" s="246"/>
      <c r="C3977" s="245"/>
      <c r="D3977" s="245"/>
      <c r="E3977" s="245"/>
      <c r="F3977" s="245"/>
      <c r="G3977" s="245"/>
      <c r="H3977" s="245"/>
      <c r="I3977" s="245"/>
      <c r="J3977" s="245"/>
      <c r="K3977" s="245"/>
      <c r="L3977" s="246"/>
      <c r="M3977" s="245"/>
      <c r="N3977" s="245"/>
      <c r="O3977" s="245"/>
      <c r="P3977" s="245"/>
      <c r="Q3977" s="247"/>
      <c r="R3977" s="247"/>
      <c r="S3977" s="247"/>
      <c r="T3977" s="245"/>
      <c r="U3977" s="245"/>
      <c r="V3977" s="241"/>
      <c r="W3977" s="241"/>
      <c r="X3977" s="241"/>
    </row>
    <row r="3978" spans="1:24" ht="13.5" customHeight="1" x14ac:dyDescent="0.3">
      <c r="A3978" s="245"/>
      <c r="B3978" s="246"/>
      <c r="C3978" s="245"/>
      <c r="D3978" s="245"/>
      <c r="E3978" s="245"/>
      <c r="F3978" s="245"/>
      <c r="G3978" s="245"/>
      <c r="H3978" s="245"/>
      <c r="I3978" s="245"/>
      <c r="J3978" s="245"/>
      <c r="K3978" s="245"/>
      <c r="L3978" s="246"/>
      <c r="M3978" s="245"/>
      <c r="N3978" s="245"/>
      <c r="O3978" s="245"/>
      <c r="P3978" s="245"/>
      <c r="Q3978" s="247"/>
      <c r="R3978" s="247"/>
      <c r="S3978" s="247"/>
      <c r="T3978" s="245"/>
      <c r="U3978" s="245"/>
      <c r="V3978" s="241"/>
      <c r="W3978" s="241"/>
      <c r="X3978" s="241"/>
    </row>
    <row r="3979" spans="1:24" ht="13.5" customHeight="1" x14ac:dyDescent="0.3">
      <c r="A3979" s="245"/>
      <c r="B3979" s="246"/>
      <c r="C3979" s="245"/>
      <c r="D3979" s="245"/>
      <c r="E3979" s="245"/>
      <c r="F3979" s="245"/>
      <c r="G3979" s="245"/>
      <c r="H3979" s="245"/>
      <c r="I3979" s="245"/>
      <c r="J3979" s="245"/>
      <c r="K3979" s="245"/>
      <c r="L3979" s="246"/>
      <c r="M3979" s="245"/>
      <c r="N3979" s="245"/>
      <c r="O3979" s="245"/>
      <c r="P3979" s="245"/>
      <c r="Q3979" s="247"/>
      <c r="R3979" s="247"/>
      <c r="S3979" s="247"/>
      <c r="T3979" s="245"/>
      <c r="U3979" s="245"/>
      <c r="V3979" s="241"/>
      <c r="W3979" s="241"/>
      <c r="X3979" s="241"/>
    </row>
    <row r="3980" spans="1:24" ht="13.5" customHeight="1" x14ac:dyDescent="0.3">
      <c r="A3980" s="245"/>
      <c r="B3980" s="246"/>
      <c r="C3980" s="245"/>
      <c r="D3980" s="245"/>
      <c r="E3980" s="245"/>
      <c r="F3980" s="245"/>
      <c r="G3980" s="245"/>
      <c r="H3980" s="245"/>
      <c r="I3980" s="245"/>
      <c r="J3980" s="245"/>
      <c r="K3980" s="245"/>
      <c r="L3980" s="246"/>
      <c r="M3980" s="245"/>
      <c r="N3980" s="245"/>
      <c r="O3980" s="245"/>
      <c r="P3980" s="245"/>
      <c r="Q3980" s="247"/>
      <c r="R3980" s="247"/>
      <c r="S3980" s="247"/>
      <c r="T3980" s="245"/>
      <c r="U3980" s="245"/>
      <c r="V3980" s="241"/>
      <c r="W3980" s="241"/>
      <c r="X3980" s="241"/>
    </row>
    <row r="3981" spans="1:24" ht="13.5" customHeight="1" x14ac:dyDescent="0.3">
      <c r="A3981" s="245"/>
      <c r="B3981" s="246"/>
      <c r="C3981" s="245"/>
      <c r="D3981" s="245"/>
      <c r="E3981" s="245"/>
      <c r="F3981" s="245"/>
      <c r="G3981" s="245"/>
      <c r="H3981" s="245"/>
      <c r="I3981" s="245"/>
      <c r="J3981" s="245"/>
      <c r="K3981" s="245"/>
      <c r="L3981" s="246"/>
      <c r="M3981" s="245"/>
      <c r="N3981" s="245"/>
      <c r="O3981" s="245"/>
      <c r="P3981" s="245"/>
      <c r="Q3981" s="247"/>
      <c r="R3981" s="247"/>
      <c r="S3981" s="247"/>
      <c r="T3981" s="245"/>
      <c r="U3981" s="245"/>
      <c r="V3981" s="241"/>
      <c r="W3981" s="241"/>
      <c r="X3981" s="241"/>
    </row>
    <row r="3982" spans="1:24" ht="13.5" customHeight="1" x14ac:dyDescent="0.3">
      <c r="A3982" s="245"/>
      <c r="B3982" s="246"/>
      <c r="C3982" s="245"/>
      <c r="D3982" s="245"/>
      <c r="E3982" s="245"/>
      <c r="F3982" s="245"/>
      <c r="G3982" s="245"/>
      <c r="H3982" s="245"/>
      <c r="I3982" s="245"/>
      <c r="J3982" s="245"/>
      <c r="K3982" s="245"/>
      <c r="L3982" s="246"/>
      <c r="M3982" s="245"/>
      <c r="N3982" s="245"/>
      <c r="O3982" s="245"/>
      <c r="P3982" s="245"/>
      <c r="Q3982" s="247"/>
      <c r="R3982" s="247"/>
      <c r="S3982" s="247"/>
      <c r="T3982" s="245"/>
      <c r="U3982" s="245"/>
      <c r="V3982" s="241"/>
      <c r="W3982" s="241"/>
      <c r="X3982" s="241"/>
    </row>
    <row r="3983" spans="1:24" ht="13.5" customHeight="1" x14ac:dyDescent="0.3">
      <c r="A3983" s="245"/>
      <c r="B3983" s="246"/>
      <c r="C3983" s="245"/>
      <c r="D3983" s="245"/>
      <c r="E3983" s="245"/>
      <c r="F3983" s="245"/>
      <c r="G3983" s="245"/>
      <c r="H3983" s="245"/>
      <c r="I3983" s="245"/>
      <c r="J3983" s="245"/>
      <c r="K3983" s="245"/>
      <c r="L3983" s="246"/>
      <c r="M3983" s="245"/>
      <c r="N3983" s="245"/>
      <c r="O3983" s="245"/>
      <c r="P3983" s="245"/>
      <c r="Q3983" s="247"/>
      <c r="R3983" s="247"/>
      <c r="S3983" s="247"/>
      <c r="T3983" s="245"/>
      <c r="U3983" s="245"/>
      <c r="V3983" s="241"/>
      <c r="W3983" s="241"/>
      <c r="X3983" s="241"/>
    </row>
    <row r="3984" spans="1:24" ht="13.5" customHeight="1" x14ac:dyDescent="0.3">
      <c r="A3984" s="245"/>
      <c r="B3984" s="246"/>
      <c r="C3984" s="245"/>
      <c r="D3984" s="245"/>
      <c r="E3984" s="245"/>
      <c r="F3984" s="245"/>
      <c r="G3984" s="245"/>
      <c r="H3984" s="245"/>
      <c r="I3984" s="245"/>
      <c r="J3984" s="245"/>
      <c r="K3984" s="245"/>
      <c r="L3984" s="246"/>
      <c r="M3984" s="245"/>
      <c r="N3984" s="245"/>
      <c r="O3984" s="245"/>
      <c r="P3984" s="245"/>
      <c r="Q3984" s="247"/>
      <c r="R3984" s="247"/>
      <c r="S3984" s="247"/>
      <c r="T3984" s="245"/>
      <c r="U3984" s="245"/>
      <c r="V3984" s="241"/>
      <c r="W3984" s="241"/>
      <c r="X3984" s="241"/>
    </row>
    <row r="3985" spans="1:24" ht="13.5" customHeight="1" x14ac:dyDescent="0.3">
      <c r="A3985" s="245"/>
      <c r="B3985" s="246"/>
      <c r="C3985" s="245"/>
      <c r="D3985" s="245"/>
      <c r="E3985" s="245"/>
      <c r="F3985" s="245"/>
      <c r="G3985" s="245"/>
      <c r="H3985" s="245"/>
      <c r="I3985" s="245"/>
      <c r="J3985" s="245"/>
      <c r="K3985" s="245"/>
      <c r="L3985" s="246"/>
      <c r="M3985" s="245"/>
      <c r="N3985" s="245"/>
      <c r="O3985" s="245"/>
      <c r="P3985" s="245"/>
      <c r="Q3985" s="247"/>
      <c r="R3985" s="247"/>
      <c r="S3985" s="247"/>
      <c r="T3985" s="245"/>
      <c r="U3985" s="245"/>
      <c r="V3985" s="241"/>
      <c r="W3985" s="241"/>
      <c r="X3985" s="241"/>
    </row>
    <row r="3986" spans="1:24" ht="13.5" customHeight="1" x14ac:dyDescent="0.3">
      <c r="A3986" s="245"/>
      <c r="B3986" s="246"/>
      <c r="C3986" s="245"/>
      <c r="D3986" s="245"/>
      <c r="E3986" s="245"/>
      <c r="F3986" s="245"/>
      <c r="G3986" s="245"/>
      <c r="H3986" s="245"/>
      <c r="I3986" s="245"/>
      <c r="J3986" s="245"/>
      <c r="K3986" s="245"/>
      <c r="L3986" s="246"/>
      <c r="M3986" s="245"/>
      <c r="N3986" s="245"/>
      <c r="O3986" s="245"/>
      <c r="P3986" s="245"/>
      <c r="Q3986" s="247"/>
      <c r="R3986" s="247"/>
      <c r="S3986" s="247"/>
      <c r="T3986" s="245"/>
      <c r="U3986" s="245"/>
      <c r="V3986" s="241"/>
      <c r="W3986" s="241"/>
      <c r="X3986" s="241"/>
    </row>
    <row r="3987" spans="1:24" ht="13.5" customHeight="1" x14ac:dyDescent="0.3">
      <c r="A3987" s="245"/>
      <c r="B3987" s="246"/>
      <c r="C3987" s="245"/>
      <c r="D3987" s="245"/>
      <c r="E3987" s="245"/>
      <c r="F3987" s="245"/>
      <c r="G3987" s="245"/>
      <c r="H3987" s="245"/>
      <c r="I3987" s="245"/>
      <c r="J3987" s="245"/>
      <c r="K3987" s="245"/>
      <c r="L3987" s="246"/>
      <c r="M3987" s="245"/>
      <c r="N3987" s="245"/>
      <c r="O3987" s="245"/>
      <c r="P3987" s="245"/>
      <c r="Q3987" s="247"/>
      <c r="R3987" s="247"/>
      <c r="S3987" s="247"/>
      <c r="T3987" s="245"/>
      <c r="U3987" s="245"/>
      <c r="V3987" s="241"/>
      <c r="W3987" s="241"/>
      <c r="X3987" s="241"/>
    </row>
    <row r="3988" spans="1:24" ht="13.5" customHeight="1" x14ac:dyDescent="0.3">
      <c r="A3988" s="245"/>
      <c r="B3988" s="246"/>
      <c r="C3988" s="245"/>
      <c r="D3988" s="245"/>
      <c r="E3988" s="245"/>
      <c r="F3988" s="245"/>
      <c r="G3988" s="245"/>
      <c r="H3988" s="245"/>
      <c r="I3988" s="245"/>
      <c r="J3988" s="245"/>
      <c r="K3988" s="245"/>
      <c r="L3988" s="246"/>
      <c r="M3988" s="245"/>
      <c r="N3988" s="245"/>
      <c r="O3988" s="245"/>
      <c r="P3988" s="245"/>
      <c r="Q3988" s="247"/>
      <c r="R3988" s="247"/>
      <c r="S3988" s="247"/>
      <c r="T3988" s="245"/>
      <c r="U3988" s="245"/>
      <c r="V3988" s="241"/>
      <c r="W3988" s="241"/>
      <c r="X3988" s="241"/>
    </row>
    <row r="3989" spans="1:24" ht="13.5" customHeight="1" x14ac:dyDescent="0.3">
      <c r="A3989" s="245"/>
      <c r="B3989" s="246"/>
      <c r="C3989" s="245"/>
      <c r="D3989" s="245"/>
      <c r="E3989" s="245"/>
      <c r="F3989" s="245"/>
      <c r="G3989" s="245"/>
      <c r="H3989" s="245"/>
      <c r="I3989" s="245"/>
      <c r="J3989" s="245"/>
      <c r="K3989" s="245"/>
      <c r="L3989" s="246"/>
      <c r="M3989" s="245"/>
      <c r="N3989" s="245"/>
      <c r="O3989" s="245"/>
      <c r="P3989" s="245"/>
      <c r="Q3989" s="247"/>
      <c r="R3989" s="247"/>
      <c r="S3989" s="247"/>
      <c r="T3989" s="245"/>
      <c r="U3989" s="245"/>
      <c r="V3989" s="241"/>
      <c r="W3989" s="241"/>
      <c r="X3989" s="241"/>
    </row>
    <row r="3990" spans="1:24" ht="13.5" customHeight="1" x14ac:dyDescent="0.3">
      <c r="A3990" s="245"/>
      <c r="B3990" s="246"/>
      <c r="C3990" s="245"/>
      <c r="D3990" s="245"/>
      <c r="E3990" s="245"/>
      <c r="F3990" s="245"/>
      <c r="G3990" s="245"/>
      <c r="H3990" s="245"/>
      <c r="I3990" s="245"/>
      <c r="J3990" s="245"/>
      <c r="K3990" s="245"/>
      <c r="L3990" s="246"/>
      <c r="M3990" s="245"/>
      <c r="N3990" s="245"/>
      <c r="O3990" s="245"/>
      <c r="P3990" s="245"/>
      <c r="Q3990" s="247"/>
      <c r="R3990" s="247"/>
      <c r="S3990" s="247"/>
      <c r="T3990" s="245"/>
      <c r="U3990" s="245"/>
      <c r="V3990" s="241"/>
      <c r="W3990" s="241"/>
      <c r="X3990" s="241"/>
    </row>
    <row r="3991" spans="1:24" ht="13.5" customHeight="1" x14ac:dyDescent="0.3">
      <c r="A3991" s="245"/>
      <c r="B3991" s="246"/>
      <c r="C3991" s="245"/>
      <c r="D3991" s="245"/>
      <c r="E3991" s="245"/>
      <c r="F3991" s="245"/>
      <c r="G3991" s="245"/>
      <c r="H3991" s="245"/>
      <c r="I3991" s="245"/>
      <c r="J3991" s="245"/>
      <c r="K3991" s="245"/>
      <c r="L3991" s="246"/>
      <c r="M3991" s="245"/>
      <c r="N3991" s="245"/>
      <c r="O3991" s="245"/>
      <c r="P3991" s="245"/>
      <c r="Q3991" s="247"/>
      <c r="R3991" s="247"/>
      <c r="S3991" s="247"/>
      <c r="T3991" s="245"/>
      <c r="U3991" s="245"/>
      <c r="V3991" s="241"/>
      <c r="W3991" s="241"/>
      <c r="X3991" s="241"/>
    </row>
    <row r="3992" spans="1:24" ht="13.5" customHeight="1" x14ac:dyDescent="0.3">
      <c r="A3992" s="245"/>
      <c r="B3992" s="246"/>
      <c r="C3992" s="245"/>
      <c r="D3992" s="245"/>
      <c r="E3992" s="245"/>
      <c r="F3992" s="245"/>
      <c r="G3992" s="245"/>
      <c r="H3992" s="245"/>
      <c r="I3992" s="245"/>
      <c r="J3992" s="245"/>
      <c r="K3992" s="245"/>
      <c r="L3992" s="246"/>
      <c r="M3992" s="245"/>
      <c r="N3992" s="245"/>
      <c r="O3992" s="245"/>
      <c r="P3992" s="245"/>
      <c r="Q3992" s="247"/>
      <c r="R3992" s="247"/>
      <c r="S3992" s="247"/>
      <c r="T3992" s="245"/>
      <c r="U3992" s="245"/>
      <c r="V3992" s="241"/>
      <c r="W3992" s="241"/>
      <c r="X3992" s="241"/>
    </row>
    <row r="3993" spans="1:24" ht="13.5" customHeight="1" x14ac:dyDescent="0.3">
      <c r="A3993" s="245"/>
      <c r="B3993" s="246"/>
      <c r="C3993" s="245"/>
      <c r="D3993" s="245"/>
      <c r="E3993" s="245"/>
      <c r="F3993" s="245"/>
      <c r="G3993" s="245"/>
      <c r="H3993" s="245"/>
      <c r="I3993" s="245"/>
      <c r="J3993" s="245"/>
      <c r="K3993" s="245"/>
      <c r="L3993" s="246"/>
      <c r="M3993" s="245"/>
      <c r="N3993" s="245"/>
      <c r="O3993" s="245"/>
      <c r="P3993" s="245"/>
      <c r="Q3993" s="247"/>
      <c r="R3993" s="247"/>
      <c r="S3993" s="247"/>
      <c r="T3993" s="245"/>
      <c r="U3993" s="245"/>
      <c r="V3993" s="241"/>
      <c r="W3993" s="241"/>
      <c r="X3993" s="241"/>
    </row>
    <row r="3994" spans="1:24" ht="13.5" customHeight="1" x14ac:dyDescent="0.3">
      <c r="A3994" s="245"/>
      <c r="B3994" s="246"/>
      <c r="C3994" s="245"/>
      <c r="D3994" s="245"/>
      <c r="E3994" s="245"/>
      <c r="F3994" s="245"/>
      <c r="G3994" s="245"/>
      <c r="H3994" s="245"/>
      <c r="I3994" s="245"/>
      <c r="J3994" s="245"/>
      <c r="K3994" s="245"/>
      <c r="L3994" s="246"/>
      <c r="M3994" s="245"/>
      <c r="N3994" s="245"/>
      <c r="O3994" s="245"/>
      <c r="P3994" s="245"/>
      <c r="Q3994" s="247"/>
      <c r="R3994" s="247"/>
      <c r="S3994" s="247"/>
      <c r="T3994" s="245"/>
      <c r="U3994" s="245"/>
      <c r="V3994" s="241"/>
      <c r="W3994" s="241"/>
      <c r="X3994" s="241"/>
    </row>
    <row r="3995" spans="1:24" ht="13.5" customHeight="1" x14ac:dyDescent="0.3">
      <c r="A3995" s="245"/>
      <c r="B3995" s="246"/>
      <c r="C3995" s="245"/>
      <c r="D3995" s="245"/>
      <c r="E3995" s="245"/>
      <c r="F3995" s="245"/>
      <c r="G3995" s="245"/>
      <c r="H3995" s="245"/>
      <c r="I3995" s="245"/>
      <c r="J3995" s="245"/>
      <c r="K3995" s="245"/>
      <c r="L3995" s="246"/>
      <c r="M3995" s="245"/>
      <c r="N3995" s="245"/>
      <c r="O3995" s="245"/>
      <c r="P3995" s="245"/>
      <c r="Q3995" s="247"/>
      <c r="R3995" s="247"/>
      <c r="S3995" s="247"/>
      <c r="T3995" s="245"/>
      <c r="U3995" s="245"/>
      <c r="V3995" s="241"/>
      <c r="W3995" s="241"/>
      <c r="X3995" s="241"/>
    </row>
    <row r="3996" spans="1:24" ht="13.5" customHeight="1" x14ac:dyDescent="0.3">
      <c r="A3996" s="245"/>
      <c r="B3996" s="246"/>
      <c r="C3996" s="245"/>
      <c r="D3996" s="245"/>
      <c r="E3996" s="245"/>
      <c r="F3996" s="245"/>
      <c r="G3996" s="245"/>
      <c r="H3996" s="245"/>
      <c r="I3996" s="245"/>
      <c r="J3996" s="245"/>
      <c r="K3996" s="245"/>
      <c r="L3996" s="246"/>
      <c r="M3996" s="245"/>
      <c r="N3996" s="245"/>
      <c r="O3996" s="245"/>
      <c r="P3996" s="245"/>
      <c r="Q3996" s="247"/>
      <c r="R3996" s="247"/>
      <c r="S3996" s="247"/>
      <c r="T3996" s="245"/>
      <c r="U3996" s="245"/>
      <c r="V3996" s="241"/>
      <c r="W3996" s="241"/>
      <c r="X3996" s="241"/>
    </row>
    <row r="3997" spans="1:24" ht="13.5" customHeight="1" x14ac:dyDescent="0.3">
      <c r="A3997" s="245"/>
      <c r="B3997" s="246"/>
      <c r="C3997" s="245"/>
      <c r="D3997" s="245"/>
      <c r="E3997" s="245"/>
      <c r="F3997" s="245"/>
      <c r="G3997" s="245"/>
      <c r="H3997" s="245"/>
      <c r="I3997" s="245"/>
      <c r="J3997" s="245"/>
      <c r="K3997" s="245"/>
      <c r="L3997" s="246"/>
      <c r="M3997" s="245"/>
      <c r="N3997" s="245"/>
      <c r="O3997" s="245"/>
      <c r="P3997" s="245"/>
      <c r="Q3997" s="247"/>
      <c r="R3997" s="247"/>
      <c r="S3997" s="247"/>
      <c r="T3997" s="245"/>
      <c r="U3997" s="245"/>
      <c r="V3997" s="241"/>
      <c r="W3997" s="241"/>
      <c r="X3997" s="241"/>
    </row>
    <row r="3998" spans="1:24" ht="13.5" customHeight="1" x14ac:dyDescent="0.3">
      <c r="A3998" s="245"/>
      <c r="B3998" s="246"/>
      <c r="C3998" s="245"/>
      <c r="D3998" s="245"/>
      <c r="E3998" s="245"/>
      <c r="F3998" s="245"/>
      <c r="G3998" s="245"/>
      <c r="H3998" s="245"/>
      <c r="I3998" s="245"/>
      <c r="J3998" s="245"/>
      <c r="K3998" s="245"/>
      <c r="L3998" s="246"/>
      <c r="M3998" s="245"/>
      <c r="N3998" s="245"/>
      <c r="O3998" s="245"/>
      <c r="P3998" s="245"/>
      <c r="Q3998" s="247"/>
      <c r="R3998" s="247"/>
      <c r="S3998" s="247"/>
      <c r="T3998" s="245"/>
      <c r="U3998" s="245"/>
      <c r="V3998" s="241"/>
      <c r="W3998" s="241"/>
      <c r="X3998" s="241"/>
    </row>
    <row r="3999" spans="1:24" ht="13.5" customHeight="1" x14ac:dyDescent="0.3">
      <c r="A3999" s="245"/>
      <c r="B3999" s="246"/>
      <c r="C3999" s="245"/>
      <c r="D3999" s="245"/>
      <c r="E3999" s="245"/>
      <c r="F3999" s="245"/>
      <c r="G3999" s="245"/>
      <c r="H3999" s="245"/>
      <c r="I3999" s="245"/>
      <c r="J3999" s="245"/>
      <c r="K3999" s="245"/>
      <c r="L3999" s="246"/>
      <c r="M3999" s="245"/>
      <c r="N3999" s="245"/>
      <c r="O3999" s="245"/>
      <c r="P3999" s="245"/>
      <c r="Q3999" s="247"/>
      <c r="R3999" s="247"/>
      <c r="S3999" s="247"/>
      <c r="T3999" s="245"/>
      <c r="U3999" s="245"/>
      <c r="V3999" s="241"/>
      <c r="W3999" s="241"/>
      <c r="X3999" s="241"/>
    </row>
    <row r="4000" spans="1:24" ht="13.5" customHeight="1" x14ac:dyDescent="0.3">
      <c r="A4000" s="245"/>
      <c r="B4000" s="246"/>
      <c r="C4000" s="245"/>
      <c r="D4000" s="245"/>
      <c r="E4000" s="245"/>
      <c r="F4000" s="245"/>
      <c r="G4000" s="245"/>
      <c r="H4000" s="245"/>
      <c r="I4000" s="245"/>
      <c r="J4000" s="245"/>
      <c r="K4000" s="245"/>
      <c r="L4000" s="246"/>
      <c r="M4000" s="245"/>
      <c r="N4000" s="245"/>
      <c r="O4000" s="245"/>
      <c r="P4000" s="245"/>
      <c r="Q4000" s="247"/>
      <c r="R4000" s="247"/>
      <c r="S4000" s="247"/>
      <c r="T4000" s="245"/>
      <c r="U4000" s="245"/>
      <c r="V4000" s="241"/>
      <c r="W4000" s="241"/>
      <c r="X4000" s="241"/>
    </row>
    <row r="4001" spans="1:24" ht="13.5" customHeight="1" x14ac:dyDescent="0.3">
      <c r="A4001" s="245"/>
      <c r="B4001" s="246"/>
      <c r="C4001" s="245"/>
      <c r="D4001" s="245"/>
      <c r="E4001" s="245"/>
      <c r="F4001" s="245"/>
      <c r="G4001" s="245"/>
      <c r="H4001" s="245"/>
      <c r="I4001" s="245"/>
      <c r="J4001" s="245"/>
      <c r="K4001" s="245"/>
      <c r="L4001" s="246"/>
      <c r="M4001" s="245"/>
      <c r="N4001" s="245"/>
      <c r="O4001" s="245"/>
      <c r="P4001" s="245"/>
      <c r="Q4001" s="247"/>
      <c r="R4001" s="247"/>
      <c r="S4001" s="247"/>
      <c r="T4001" s="245"/>
      <c r="U4001" s="245"/>
      <c r="V4001" s="241"/>
      <c r="W4001" s="241"/>
      <c r="X4001" s="241"/>
    </row>
    <row r="4002" spans="1:24" ht="13.5" customHeight="1" x14ac:dyDescent="0.3">
      <c r="A4002" s="245"/>
      <c r="B4002" s="246"/>
      <c r="C4002" s="245"/>
      <c r="D4002" s="245"/>
      <c r="E4002" s="245"/>
      <c r="F4002" s="245"/>
      <c r="G4002" s="245"/>
      <c r="H4002" s="245"/>
      <c r="I4002" s="245"/>
      <c r="J4002" s="245"/>
      <c r="K4002" s="245"/>
      <c r="L4002" s="246"/>
      <c r="M4002" s="245"/>
      <c r="N4002" s="245"/>
      <c r="O4002" s="245"/>
      <c r="P4002" s="245"/>
      <c r="Q4002" s="247"/>
      <c r="R4002" s="247"/>
      <c r="S4002" s="247"/>
      <c r="T4002" s="245"/>
      <c r="U4002" s="245"/>
      <c r="V4002" s="241"/>
      <c r="W4002" s="241"/>
      <c r="X4002" s="241"/>
    </row>
    <row r="4003" spans="1:24" ht="13.5" customHeight="1" x14ac:dyDescent="0.3">
      <c r="A4003" s="245"/>
      <c r="B4003" s="246"/>
      <c r="C4003" s="245"/>
      <c r="D4003" s="245"/>
      <c r="E4003" s="245"/>
      <c r="F4003" s="245"/>
      <c r="G4003" s="245"/>
      <c r="H4003" s="245"/>
      <c r="I4003" s="245"/>
      <c r="J4003" s="245"/>
      <c r="K4003" s="245"/>
      <c r="L4003" s="246"/>
      <c r="M4003" s="245"/>
      <c r="N4003" s="245"/>
      <c r="O4003" s="245"/>
      <c r="P4003" s="245"/>
      <c r="Q4003" s="247"/>
      <c r="R4003" s="247"/>
      <c r="S4003" s="247"/>
      <c r="T4003" s="245"/>
      <c r="U4003" s="245"/>
      <c r="V4003" s="241"/>
      <c r="W4003" s="241"/>
      <c r="X4003" s="241"/>
    </row>
    <row r="4004" spans="1:24" ht="13.5" customHeight="1" x14ac:dyDescent="0.3">
      <c r="A4004" s="245"/>
      <c r="B4004" s="246"/>
      <c r="C4004" s="245"/>
      <c r="D4004" s="245"/>
      <c r="E4004" s="245"/>
      <c r="F4004" s="245"/>
      <c r="G4004" s="245"/>
      <c r="H4004" s="245"/>
      <c r="I4004" s="245"/>
      <c r="J4004" s="245"/>
      <c r="K4004" s="245"/>
      <c r="L4004" s="246"/>
      <c r="M4004" s="245"/>
      <c r="N4004" s="245"/>
      <c r="O4004" s="245"/>
      <c r="P4004" s="245"/>
      <c r="Q4004" s="247"/>
      <c r="R4004" s="247"/>
      <c r="S4004" s="247"/>
      <c r="T4004" s="245"/>
      <c r="U4004" s="245"/>
      <c r="V4004" s="241"/>
      <c r="W4004" s="241"/>
      <c r="X4004" s="241"/>
    </row>
    <row r="4005" spans="1:24" ht="13.5" customHeight="1" x14ac:dyDescent="0.3">
      <c r="A4005" s="245"/>
      <c r="B4005" s="246"/>
      <c r="C4005" s="245"/>
      <c r="D4005" s="245"/>
      <c r="E4005" s="245"/>
      <c r="F4005" s="245"/>
      <c r="G4005" s="245"/>
      <c r="H4005" s="245"/>
      <c r="I4005" s="245"/>
      <c r="J4005" s="245"/>
      <c r="K4005" s="245"/>
      <c r="L4005" s="246"/>
      <c r="M4005" s="245"/>
      <c r="N4005" s="245"/>
      <c r="O4005" s="245"/>
      <c r="P4005" s="245"/>
      <c r="Q4005" s="247"/>
      <c r="R4005" s="247"/>
      <c r="S4005" s="247"/>
      <c r="T4005" s="245"/>
      <c r="U4005" s="245"/>
      <c r="V4005" s="241"/>
      <c r="W4005" s="241"/>
      <c r="X4005" s="241"/>
    </row>
    <row r="4006" spans="1:24" ht="13.5" customHeight="1" x14ac:dyDescent="0.3">
      <c r="A4006" s="245"/>
      <c r="B4006" s="246"/>
      <c r="C4006" s="245"/>
      <c r="D4006" s="245"/>
      <c r="E4006" s="245"/>
      <c r="F4006" s="245"/>
      <c r="G4006" s="245"/>
      <c r="H4006" s="245"/>
      <c r="I4006" s="245"/>
      <c r="J4006" s="245"/>
      <c r="K4006" s="245"/>
      <c r="L4006" s="246"/>
      <c r="M4006" s="245"/>
      <c r="N4006" s="245"/>
      <c r="O4006" s="245"/>
      <c r="P4006" s="245"/>
      <c r="Q4006" s="247"/>
      <c r="R4006" s="247"/>
      <c r="S4006" s="247"/>
      <c r="T4006" s="245"/>
      <c r="U4006" s="245"/>
      <c r="V4006" s="241"/>
      <c r="W4006" s="241"/>
      <c r="X4006" s="241"/>
    </row>
    <row r="4007" spans="1:24" ht="13.5" customHeight="1" x14ac:dyDescent="0.3">
      <c r="A4007" s="245"/>
      <c r="B4007" s="246"/>
      <c r="C4007" s="245"/>
      <c r="D4007" s="245"/>
      <c r="E4007" s="245"/>
      <c r="F4007" s="245"/>
      <c r="G4007" s="245"/>
      <c r="H4007" s="245"/>
      <c r="I4007" s="245"/>
      <c r="J4007" s="245"/>
      <c r="K4007" s="245"/>
      <c r="L4007" s="246"/>
      <c r="M4007" s="245"/>
      <c r="N4007" s="245"/>
      <c r="O4007" s="245"/>
      <c r="P4007" s="245"/>
      <c r="Q4007" s="247"/>
      <c r="R4007" s="247"/>
      <c r="S4007" s="247"/>
      <c r="T4007" s="245"/>
      <c r="U4007" s="245"/>
      <c r="V4007" s="241"/>
      <c r="W4007" s="241"/>
      <c r="X4007" s="241"/>
    </row>
    <row r="4008" spans="1:24" ht="13.5" customHeight="1" x14ac:dyDescent="0.3">
      <c r="A4008" s="245"/>
      <c r="B4008" s="246"/>
      <c r="C4008" s="245"/>
      <c r="D4008" s="245"/>
      <c r="E4008" s="245"/>
      <c r="F4008" s="245"/>
      <c r="G4008" s="245"/>
      <c r="H4008" s="245"/>
      <c r="I4008" s="245"/>
      <c r="J4008" s="245"/>
      <c r="K4008" s="245"/>
      <c r="L4008" s="246"/>
      <c r="M4008" s="245"/>
      <c r="N4008" s="245"/>
      <c r="O4008" s="245"/>
      <c r="P4008" s="245"/>
      <c r="Q4008" s="247"/>
      <c r="R4008" s="247"/>
      <c r="S4008" s="247"/>
      <c r="T4008" s="245"/>
      <c r="U4008" s="245"/>
      <c r="V4008" s="241"/>
      <c r="W4008" s="241"/>
      <c r="X4008" s="241"/>
    </row>
    <row r="4009" spans="1:24" ht="13.5" customHeight="1" x14ac:dyDescent="0.3">
      <c r="A4009" s="245"/>
      <c r="B4009" s="246"/>
      <c r="C4009" s="245"/>
      <c r="D4009" s="245"/>
      <c r="E4009" s="245"/>
      <c r="F4009" s="245"/>
      <c r="G4009" s="245"/>
      <c r="H4009" s="245"/>
      <c r="I4009" s="245"/>
      <c r="J4009" s="245"/>
      <c r="K4009" s="245"/>
      <c r="L4009" s="246"/>
      <c r="M4009" s="245"/>
      <c r="N4009" s="245"/>
      <c r="O4009" s="245"/>
      <c r="P4009" s="245"/>
      <c r="Q4009" s="247"/>
      <c r="R4009" s="247"/>
      <c r="S4009" s="247"/>
      <c r="T4009" s="245"/>
      <c r="U4009" s="245"/>
      <c r="V4009" s="241"/>
      <c r="W4009" s="241"/>
      <c r="X4009" s="241"/>
    </row>
    <row r="4010" spans="1:24" ht="13.5" customHeight="1" x14ac:dyDescent="0.3">
      <c r="A4010" s="245"/>
      <c r="B4010" s="246"/>
      <c r="C4010" s="245"/>
      <c r="D4010" s="245"/>
      <c r="E4010" s="245"/>
      <c r="F4010" s="245"/>
      <c r="G4010" s="245"/>
      <c r="H4010" s="245"/>
      <c r="I4010" s="245"/>
      <c r="J4010" s="245"/>
      <c r="K4010" s="245"/>
      <c r="L4010" s="246"/>
      <c r="M4010" s="245"/>
      <c r="N4010" s="245"/>
      <c r="O4010" s="245"/>
      <c r="P4010" s="245"/>
      <c r="Q4010" s="247"/>
      <c r="R4010" s="247"/>
      <c r="S4010" s="247"/>
      <c r="T4010" s="245"/>
      <c r="U4010" s="245"/>
      <c r="V4010" s="241"/>
      <c r="W4010" s="241"/>
      <c r="X4010" s="241"/>
    </row>
    <row r="4011" spans="1:24" ht="13.5" customHeight="1" x14ac:dyDescent="0.3">
      <c r="A4011" s="245"/>
      <c r="B4011" s="246"/>
      <c r="C4011" s="245"/>
      <c r="D4011" s="245"/>
      <c r="E4011" s="245"/>
      <c r="F4011" s="245"/>
      <c r="G4011" s="245"/>
      <c r="H4011" s="245"/>
      <c r="I4011" s="245"/>
      <c r="J4011" s="245"/>
      <c r="K4011" s="245"/>
      <c r="L4011" s="246"/>
      <c r="M4011" s="245"/>
      <c r="N4011" s="245"/>
      <c r="O4011" s="245"/>
      <c r="P4011" s="245"/>
      <c r="Q4011" s="247"/>
      <c r="R4011" s="247"/>
      <c r="S4011" s="247"/>
      <c r="T4011" s="245"/>
      <c r="U4011" s="245"/>
      <c r="V4011" s="241"/>
      <c r="W4011" s="241"/>
      <c r="X4011" s="241"/>
    </row>
    <row r="4012" spans="1:24" ht="13.5" customHeight="1" x14ac:dyDescent="0.3">
      <c r="A4012" s="245"/>
      <c r="B4012" s="246"/>
      <c r="C4012" s="245"/>
      <c r="D4012" s="245"/>
      <c r="E4012" s="245"/>
      <c r="F4012" s="245"/>
      <c r="G4012" s="245"/>
      <c r="H4012" s="245"/>
      <c r="I4012" s="245"/>
      <c r="J4012" s="245"/>
      <c r="K4012" s="245"/>
      <c r="L4012" s="246"/>
      <c r="M4012" s="245"/>
      <c r="N4012" s="245"/>
      <c r="O4012" s="245"/>
      <c r="P4012" s="245"/>
      <c r="Q4012" s="247"/>
      <c r="R4012" s="247"/>
      <c r="S4012" s="247"/>
      <c r="T4012" s="245"/>
      <c r="U4012" s="245"/>
      <c r="V4012" s="241"/>
      <c r="W4012" s="241"/>
      <c r="X4012" s="241"/>
    </row>
    <row r="4013" spans="1:24" ht="13.5" customHeight="1" x14ac:dyDescent="0.3">
      <c r="A4013" s="245"/>
      <c r="B4013" s="246"/>
      <c r="C4013" s="245"/>
      <c r="D4013" s="245"/>
      <c r="E4013" s="245"/>
      <c r="F4013" s="245"/>
      <c r="G4013" s="245"/>
      <c r="H4013" s="245"/>
      <c r="I4013" s="245"/>
      <c r="J4013" s="245"/>
      <c r="K4013" s="245"/>
      <c r="L4013" s="246"/>
      <c r="M4013" s="245"/>
      <c r="N4013" s="245"/>
      <c r="O4013" s="245"/>
      <c r="P4013" s="245"/>
      <c r="Q4013" s="247"/>
      <c r="R4013" s="247"/>
      <c r="S4013" s="247"/>
      <c r="T4013" s="245"/>
      <c r="U4013" s="245"/>
      <c r="V4013" s="241"/>
      <c r="W4013" s="241"/>
      <c r="X4013" s="241"/>
    </row>
    <row r="4014" spans="1:24" ht="13.5" customHeight="1" x14ac:dyDescent="0.3">
      <c r="A4014" s="245"/>
      <c r="B4014" s="246"/>
      <c r="C4014" s="245"/>
      <c r="D4014" s="245"/>
      <c r="E4014" s="245"/>
      <c r="F4014" s="245"/>
      <c r="G4014" s="245"/>
      <c r="H4014" s="245"/>
      <c r="I4014" s="245"/>
      <c r="J4014" s="245"/>
      <c r="K4014" s="245"/>
      <c r="L4014" s="246"/>
      <c r="M4014" s="245"/>
      <c r="N4014" s="245"/>
      <c r="O4014" s="245"/>
      <c r="P4014" s="245"/>
      <c r="Q4014" s="247"/>
      <c r="R4014" s="247"/>
      <c r="S4014" s="247"/>
      <c r="T4014" s="245"/>
      <c r="U4014" s="245"/>
      <c r="V4014" s="241"/>
      <c r="W4014" s="241"/>
      <c r="X4014" s="241"/>
    </row>
    <row r="4015" spans="1:24" ht="13.5" customHeight="1" x14ac:dyDescent="0.3">
      <c r="A4015" s="245"/>
      <c r="B4015" s="246"/>
      <c r="C4015" s="245"/>
      <c r="D4015" s="245"/>
      <c r="E4015" s="245"/>
      <c r="F4015" s="245"/>
      <c r="G4015" s="245"/>
      <c r="H4015" s="245"/>
      <c r="I4015" s="245"/>
      <c r="J4015" s="245"/>
      <c r="K4015" s="245"/>
      <c r="L4015" s="246"/>
      <c r="M4015" s="245"/>
      <c r="N4015" s="245"/>
      <c r="O4015" s="245"/>
      <c r="P4015" s="245"/>
      <c r="Q4015" s="247"/>
      <c r="R4015" s="247"/>
      <c r="S4015" s="247"/>
      <c r="T4015" s="245"/>
      <c r="U4015" s="245"/>
      <c r="V4015" s="241"/>
      <c r="W4015" s="241"/>
      <c r="X4015" s="241"/>
    </row>
    <row r="4016" spans="1:24" ht="13.5" customHeight="1" x14ac:dyDescent="0.3">
      <c r="A4016" s="245"/>
      <c r="B4016" s="246"/>
      <c r="C4016" s="245"/>
      <c r="D4016" s="245"/>
      <c r="E4016" s="245"/>
      <c r="F4016" s="245"/>
      <c r="G4016" s="245"/>
      <c r="H4016" s="245"/>
      <c r="I4016" s="245"/>
      <c r="J4016" s="245"/>
      <c r="K4016" s="245"/>
      <c r="L4016" s="246"/>
      <c r="M4016" s="245"/>
      <c r="N4016" s="245"/>
      <c r="O4016" s="245"/>
      <c r="P4016" s="245"/>
      <c r="Q4016" s="247"/>
      <c r="R4016" s="247"/>
      <c r="S4016" s="247"/>
      <c r="T4016" s="245"/>
      <c r="U4016" s="245"/>
      <c r="V4016" s="241"/>
      <c r="W4016" s="241"/>
      <c r="X4016" s="241"/>
    </row>
    <row r="4017" spans="1:24" ht="13.5" customHeight="1" x14ac:dyDescent="0.3">
      <c r="A4017" s="245"/>
      <c r="B4017" s="246"/>
      <c r="C4017" s="245"/>
      <c r="D4017" s="245"/>
      <c r="E4017" s="245"/>
      <c r="F4017" s="245"/>
      <c r="G4017" s="245"/>
      <c r="H4017" s="245"/>
      <c r="I4017" s="245"/>
      <c r="J4017" s="245"/>
      <c r="K4017" s="245"/>
      <c r="L4017" s="246"/>
      <c r="M4017" s="245"/>
      <c r="N4017" s="245"/>
      <c r="O4017" s="245"/>
      <c r="P4017" s="245"/>
      <c r="Q4017" s="247"/>
      <c r="R4017" s="247"/>
      <c r="S4017" s="247"/>
      <c r="T4017" s="245"/>
      <c r="U4017" s="245"/>
      <c r="V4017" s="241"/>
      <c r="W4017" s="241"/>
      <c r="X4017" s="241"/>
    </row>
    <row r="4018" spans="1:24" ht="13.5" customHeight="1" x14ac:dyDescent="0.3">
      <c r="A4018" s="245"/>
      <c r="B4018" s="246"/>
      <c r="C4018" s="245"/>
      <c r="D4018" s="245"/>
      <c r="E4018" s="245"/>
      <c r="F4018" s="245"/>
      <c r="G4018" s="245"/>
      <c r="H4018" s="245"/>
      <c r="I4018" s="245"/>
      <c r="J4018" s="245"/>
      <c r="K4018" s="245"/>
      <c r="L4018" s="246"/>
      <c r="M4018" s="245"/>
      <c r="N4018" s="245"/>
      <c r="O4018" s="245"/>
      <c r="P4018" s="245"/>
      <c r="Q4018" s="247"/>
      <c r="R4018" s="247"/>
      <c r="S4018" s="247"/>
      <c r="T4018" s="245"/>
      <c r="U4018" s="245"/>
      <c r="V4018" s="241"/>
      <c r="W4018" s="241"/>
      <c r="X4018" s="241"/>
    </row>
    <row r="4019" spans="1:24" ht="13.5" customHeight="1" x14ac:dyDescent="0.3">
      <c r="A4019" s="245"/>
      <c r="B4019" s="246"/>
      <c r="C4019" s="245"/>
      <c r="D4019" s="245"/>
      <c r="E4019" s="245"/>
      <c r="F4019" s="245"/>
      <c r="G4019" s="245"/>
      <c r="H4019" s="245"/>
      <c r="I4019" s="245"/>
      <c r="J4019" s="245"/>
      <c r="K4019" s="245"/>
      <c r="L4019" s="246"/>
      <c r="M4019" s="245"/>
      <c r="N4019" s="245"/>
      <c r="O4019" s="245"/>
      <c r="P4019" s="245"/>
      <c r="Q4019" s="247"/>
      <c r="R4019" s="247"/>
      <c r="S4019" s="247"/>
      <c r="T4019" s="245"/>
      <c r="U4019" s="245"/>
      <c r="V4019" s="241"/>
      <c r="W4019" s="241"/>
      <c r="X4019" s="241"/>
    </row>
    <row r="4020" spans="1:24" ht="13.5" customHeight="1" x14ac:dyDescent="0.3">
      <c r="A4020" s="245"/>
      <c r="B4020" s="246"/>
      <c r="C4020" s="245"/>
      <c r="D4020" s="245"/>
      <c r="E4020" s="245"/>
      <c r="F4020" s="245"/>
      <c r="G4020" s="245"/>
      <c r="H4020" s="245"/>
      <c r="I4020" s="245"/>
      <c r="J4020" s="245"/>
      <c r="K4020" s="245"/>
      <c r="L4020" s="246"/>
      <c r="M4020" s="245"/>
      <c r="N4020" s="245"/>
      <c r="O4020" s="245"/>
      <c r="P4020" s="245"/>
      <c r="Q4020" s="247"/>
      <c r="R4020" s="247"/>
      <c r="S4020" s="247"/>
      <c r="T4020" s="245"/>
      <c r="U4020" s="245"/>
      <c r="V4020" s="241"/>
      <c r="W4020" s="241"/>
      <c r="X4020" s="241"/>
    </row>
    <row r="4021" spans="1:24" ht="13.5" customHeight="1" x14ac:dyDescent="0.3">
      <c r="A4021" s="245"/>
      <c r="B4021" s="246"/>
      <c r="C4021" s="245"/>
      <c r="D4021" s="245"/>
      <c r="E4021" s="245"/>
      <c r="F4021" s="245"/>
      <c r="G4021" s="245"/>
      <c r="H4021" s="245"/>
      <c r="I4021" s="245"/>
      <c r="J4021" s="245"/>
      <c r="K4021" s="245"/>
      <c r="L4021" s="246"/>
      <c r="M4021" s="245"/>
      <c r="N4021" s="245"/>
      <c r="O4021" s="245"/>
      <c r="P4021" s="245"/>
      <c r="Q4021" s="247"/>
      <c r="R4021" s="247"/>
      <c r="S4021" s="247"/>
      <c r="T4021" s="245"/>
      <c r="U4021" s="245"/>
      <c r="V4021" s="241"/>
      <c r="W4021" s="241"/>
      <c r="X4021" s="241"/>
    </row>
    <row r="4022" spans="1:24" ht="13.5" customHeight="1" x14ac:dyDescent="0.3">
      <c r="A4022" s="245"/>
      <c r="B4022" s="246"/>
      <c r="C4022" s="245"/>
      <c r="D4022" s="245"/>
      <c r="E4022" s="245"/>
      <c r="F4022" s="245"/>
      <c r="G4022" s="245"/>
      <c r="H4022" s="245"/>
      <c r="I4022" s="245"/>
      <c r="J4022" s="245"/>
      <c r="K4022" s="245"/>
      <c r="L4022" s="246"/>
      <c r="M4022" s="245"/>
      <c r="N4022" s="245"/>
      <c r="O4022" s="245"/>
      <c r="P4022" s="245"/>
      <c r="Q4022" s="247"/>
      <c r="R4022" s="247"/>
      <c r="S4022" s="247"/>
      <c r="T4022" s="245"/>
      <c r="U4022" s="245"/>
      <c r="V4022" s="241"/>
      <c r="W4022" s="241"/>
      <c r="X4022" s="241"/>
    </row>
    <row r="4023" spans="1:24" ht="13.5" customHeight="1" x14ac:dyDescent="0.3">
      <c r="A4023" s="245"/>
      <c r="B4023" s="246"/>
      <c r="C4023" s="245"/>
      <c r="D4023" s="245"/>
      <c r="E4023" s="245"/>
      <c r="F4023" s="245"/>
      <c r="G4023" s="245"/>
      <c r="H4023" s="245"/>
      <c r="I4023" s="245"/>
      <c r="J4023" s="245"/>
      <c r="K4023" s="245"/>
      <c r="L4023" s="246"/>
      <c r="M4023" s="245"/>
      <c r="N4023" s="245"/>
      <c r="O4023" s="245"/>
      <c r="P4023" s="245"/>
      <c r="Q4023" s="247"/>
      <c r="R4023" s="247"/>
      <c r="S4023" s="247"/>
      <c r="T4023" s="245"/>
      <c r="U4023" s="245"/>
      <c r="V4023" s="241"/>
      <c r="W4023" s="241"/>
      <c r="X4023" s="241"/>
    </row>
    <row r="4024" spans="1:24" ht="13.5" customHeight="1" x14ac:dyDescent="0.3">
      <c r="A4024" s="245"/>
      <c r="B4024" s="246"/>
      <c r="C4024" s="245"/>
      <c r="D4024" s="245"/>
      <c r="E4024" s="245"/>
      <c r="F4024" s="245"/>
      <c r="G4024" s="245"/>
      <c r="H4024" s="245"/>
      <c r="I4024" s="245"/>
      <c r="J4024" s="245"/>
      <c r="K4024" s="245"/>
      <c r="L4024" s="246"/>
      <c r="M4024" s="245"/>
      <c r="N4024" s="245"/>
      <c r="O4024" s="245"/>
      <c r="P4024" s="245"/>
      <c r="Q4024" s="247"/>
      <c r="R4024" s="247"/>
      <c r="S4024" s="247"/>
      <c r="T4024" s="245"/>
      <c r="U4024" s="245"/>
      <c r="V4024" s="241"/>
      <c r="W4024" s="241"/>
      <c r="X4024" s="241"/>
    </row>
    <row r="4025" spans="1:24" ht="13.5" customHeight="1" x14ac:dyDescent="0.3">
      <c r="A4025" s="245"/>
      <c r="B4025" s="246"/>
      <c r="C4025" s="245"/>
      <c r="D4025" s="245"/>
      <c r="E4025" s="245"/>
      <c r="F4025" s="245"/>
      <c r="G4025" s="245"/>
      <c r="H4025" s="245"/>
      <c r="I4025" s="245"/>
      <c r="J4025" s="245"/>
      <c r="K4025" s="245"/>
      <c r="L4025" s="246"/>
      <c r="M4025" s="245"/>
      <c r="N4025" s="245"/>
      <c r="O4025" s="245"/>
      <c r="P4025" s="245"/>
      <c r="Q4025" s="247"/>
      <c r="R4025" s="247"/>
      <c r="S4025" s="247"/>
      <c r="T4025" s="245"/>
      <c r="U4025" s="245"/>
      <c r="V4025" s="241"/>
      <c r="W4025" s="241"/>
      <c r="X4025" s="241"/>
    </row>
    <row r="4026" spans="1:24" ht="13.5" customHeight="1" x14ac:dyDescent="0.3">
      <c r="A4026" s="245"/>
      <c r="B4026" s="246"/>
      <c r="C4026" s="245"/>
      <c r="D4026" s="245"/>
      <c r="E4026" s="245"/>
      <c r="F4026" s="245"/>
      <c r="G4026" s="245"/>
      <c r="H4026" s="245"/>
      <c r="I4026" s="245"/>
      <c r="J4026" s="245"/>
      <c r="K4026" s="245"/>
      <c r="L4026" s="246"/>
      <c r="M4026" s="245"/>
      <c r="N4026" s="245"/>
      <c r="O4026" s="245"/>
      <c r="P4026" s="245"/>
      <c r="Q4026" s="247"/>
      <c r="R4026" s="247"/>
      <c r="S4026" s="247"/>
      <c r="T4026" s="245"/>
      <c r="U4026" s="245"/>
      <c r="V4026" s="241"/>
      <c r="W4026" s="241"/>
      <c r="X4026" s="241"/>
    </row>
    <row r="4027" spans="1:24" ht="13.5" customHeight="1" x14ac:dyDescent="0.3">
      <c r="A4027" s="245"/>
      <c r="B4027" s="246"/>
      <c r="C4027" s="245"/>
      <c r="D4027" s="245"/>
      <c r="E4027" s="245"/>
      <c r="F4027" s="245"/>
      <c r="G4027" s="245"/>
      <c r="H4027" s="245"/>
      <c r="I4027" s="245"/>
      <c r="J4027" s="245"/>
      <c r="K4027" s="245"/>
      <c r="L4027" s="246"/>
      <c r="M4027" s="245"/>
      <c r="N4027" s="245"/>
      <c r="O4027" s="245"/>
      <c r="P4027" s="245"/>
      <c r="Q4027" s="247"/>
      <c r="R4027" s="247"/>
      <c r="S4027" s="247"/>
      <c r="T4027" s="245"/>
      <c r="U4027" s="245"/>
      <c r="V4027" s="241"/>
      <c r="W4027" s="241"/>
      <c r="X4027" s="241"/>
    </row>
    <row r="4028" spans="1:24" ht="13.5" customHeight="1" x14ac:dyDescent="0.3">
      <c r="A4028" s="245"/>
      <c r="B4028" s="246"/>
      <c r="C4028" s="245"/>
      <c r="D4028" s="245"/>
      <c r="E4028" s="245"/>
      <c r="F4028" s="245"/>
      <c r="G4028" s="245"/>
      <c r="H4028" s="245"/>
      <c r="I4028" s="245"/>
      <c r="J4028" s="245"/>
      <c r="K4028" s="245"/>
      <c r="L4028" s="246"/>
      <c r="M4028" s="245"/>
      <c r="N4028" s="245"/>
      <c r="O4028" s="245"/>
      <c r="P4028" s="245"/>
      <c r="Q4028" s="247"/>
      <c r="R4028" s="247"/>
      <c r="S4028" s="247"/>
      <c r="T4028" s="245"/>
      <c r="U4028" s="245"/>
      <c r="V4028" s="241"/>
      <c r="W4028" s="241"/>
      <c r="X4028" s="241"/>
    </row>
    <row r="4029" spans="1:24" ht="13.5" customHeight="1" x14ac:dyDescent="0.3">
      <c r="A4029" s="245"/>
      <c r="B4029" s="246"/>
      <c r="C4029" s="245"/>
      <c r="D4029" s="245"/>
      <c r="E4029" s="245"/>
      <c r="F4029" s="245"/>
      <c r="G4029" s="245"/>
      <c r="H4029" s="245"/>
      <c r="I4029" s="245"/>
      <c r="J4029" s="245"/>
      <c r="K4029" s="245"/>
      <c r="L4029" s="246"/>
      <c r="M4029" s="245"/>
      <c r="N4029" s="245"/>
      <c r="O4029" s="245"/>
      <c r="P4029" s="245"/>
      <c r="Q4029" s="247"/>
      <c r="R4029" s="247"/>
      <c r="S4029" s="247"/>
      <c r="T4029" s="245"/>
      <c r="U4029" s="245"/>
      <c r="V4029" s="241"/>
      <c r="W4029" s="241"/>
      <c r="X4029" s="241"/>
    </row>
    <row r="4030" spans="1:24" ht="13.5" customHeight="1" x14ac:dyDescent="0.3">
      <c r="A4030" s="245"/>
      <c r="B4030" s="246"/>
      <c r="C4030" s="245"/>
      <c r="D4030" s="245"/>
      <c r="E4030" s="245"/>
      <c r="F4030" s="245"/>
      <c r="G4030" s="245"/>
      <c r="H4030" s="245"/>
      <c r="I4030" s="245"/>
      <c r="J4030" s="245"/>
      <c r="K4030" s="245"/>
      <c r="L4030" s="246"/>
      <c r="M4030" s="245"/>
      <c r="N4030" s="245"/>
      <c r="O4030" s="245"/>
      <c r="P4030" s="245"/>
      <c r="Q4030" s="247"/>
      <c r="R4030" s="247"/>
      <c r="S4030" s="247"/>
      <c r="T4030" s="245"/>
      <c r="U4030" s="245"/>
      <c r="V4030" s="241"/>
      <c r="W4030" s="241"/>
      <c r="X4030" s="241"/>
    </row>
    <row r="4031" spans="1:24" ht="13.5" customHeight="1" x14ac:dyDescent="0.3">
      <c r="A4031" s="245"/>
      <c r="B4031" s="246"/>
      <c r="C4031" s="245"/>
      <c r="D4031" s="245"/>
      <c r="E4031" s="245"/>
      <c r="F4031" s="245"/>
      <c r="G4031" s="245"/>
      <c r="H4031" s="245"/>
      <c r="I4031" s="245"/>
      <c r="J4031" s="245"/>
      <c r="K4031" s="245"/>
      <c r="L4031" s="246"/>
      <c r="M4031" s="245"/>
      <c r="N4031" s="245"/>
      <c r="O4031" s="245"/>
      <c r="P4031" s="245"/>
      <c r="Q4031" s="247"/>
      <c r="R4031" s="247"/>
      <c r="S4031" s="247"/>
      <c r="T4031" s="245"/>
      <c r="U4031" s="245"/>
      <c r="V4031" s="241"/>
      <c r="W4031" s="241"/>
      <c r="X4031" s="241"/>
    </row>
    <row r="4032" spans="1:24" ht="13.5" customHeight="1" x14ac:dyDescent="0.3">
      <c r="A4032" s="245"/>
      <c r="B4032" s="246"/>
      <c r="C4032" s="245"/>
      <c r="D4032" s="245"/>
      <c r="E4032" s="245"/>
      <c r="F4032" s="245"/>
      <c r="G4032" s="245"/>
      <c r="H4032" s="245"/>
      <c r="I4032" s="245"/>
      <c r="J4032" s="245"/>
      <c r="K4032" s="245"/>
      <c r="L4032" s="246"/>
      <c r="M4032" s="245"/>
      <c r="N4032" s="245"/>
      <c r="O4032" s="245"/>
      <c r="P4032" s="245"/>
      <c r="Q4032" s="247"/>
      <c r="R4032" s="247"/>
      <c r="S4032" s="247"/>
      <c r="T4032" s="245"/>
      <c r="U4032" s="245"/>
      <c r="V4032" s="241"/>
      <c r="W4032" s="241"/>
      <c r="X4032" s="241"/>
    </row>
    <row r="4033" spans="1:24" ht="13.5" customHeight="1" x14ac:dyDescent="0.3">
      <c r="A4033" s="245"/>
      <c r="B4033" s="246"/>
      <c r="C4033" s="245"/>
      <c r="D4033" s="245"/>
      <c r="E4033" s="245"/>
      <c r="F4033" s="245"/>
      <c r="G4033" s="245"/>
      <c r="H4033" s="245"/>
      <c r="I4033" s="245"/>
      <c r="J4033" s="245"/>
      <c r="K4033" s="245"/>
      <c r="L4033" s="246"/>
      <c r="M4033" s="245"/>
      <c r="N4033" s="245"/>
      <c r="O4033" s="245"/>
      <c r="P4033" s="245"/>
      <c r="Q4033" s="247"/>
      <c r="R4033" s="247"/>
      <c r="S4033" s="247"/>
      <c r="T4033" s="245"/>
      <c r="U4033" s="245"/>
      <c r="V4033" s="241"/>
      <c r="W4033" s="241"/>
      <c r="X4033" s="241"/>
    </row>
    <row r="4034" spans="1:24" ht="13.5" customHeight="1" x14ac:dyDescent="0.3">
      <c r="A4034" s="245"/>
      <c r="B4034" s="246"/>
      <c r="C4034" s="245"/>
      <c r="D4034" s="245"/>
      <c r="E4034" s="245"/>
      <c r="F4034" s="245"/>
      <c r="G4034" s="245"/>
      <c r="H4034" s="245"/>
      <c r="I4034" s="245"/>
      <c r="J4034" s="245"/>
      <c r="K4034" s="245"/>
      <c r="L4034" s="246"/>
      <c r="M4034" s="245"/>
      <c r="N4034" s="245"/>
      <c r="O4034" s="245"/>
      <c r="P4034" s="245"/>
      <c r="Q4034" s="247"/>
      <c r="R4034" s="247"/>
      <c r="S4034" s="247"/>
      <c r="T4034" s="245"/>
      <c r="U4034" s="245"/>
      <c r="V4034" s="241"/>
      <c r="W4034" s="241"/>
      <c r="X4034" s="241"/>
    </row>
    <row r="4035" spans="1:24" ht="13.5" customHeight="1" x14ac:dyDescent="0.3">
      <c r="A4035" s="245"/>
      <c r="B4035" s="246"/>
      <c r="C4035" s="245"/>
      <c r="D4035" s="245"/>
      <c r="E4035" s="245"/>
      <c r="F4035" s="245"/>
      <c r="G4035" s="245"/>
      <c r="H4035" s="245"/>
      <c r="I4035" s="245"/>
      <c r="J4035" s="245"/>
      <c r="K4035" s="245"/>
      <c r="L4035" s="246"/>
      <c r="M4035" s="245"/>
      <c r="N4035" s="245"/>
      <c r="O4035" s="245"/>
      <c r="P4035" s="245"/>
      <c r="Q4035" s="247"/>
      <c r="R4035" s="247"/>
      <c r="S4035" s="247"/>
      <c r="T4035" s="245"/>
      <c r="U4035" s="245"/>
      <c r="V4035" s="241"/>
      <c r="W4035" s="241"/>
      <c r="X4035" s="241"/>
    </row>
    <row r="4036" spans="1:24" ht="13.5" customHeight="1" x14ac:dyDescent="0.3">
      <c r="A4036" s="245"/>
      <c r="B4036" s="246"/>
      <c r="C4036" s="245"/>
      <c r="D4036" s="245"/>
      <c r="E4036" s="245"/>
      <c r="F4036" s="245"/>
      <c r="G4036" s="245"/>
      <c r="H4036" s="245"/>
      <c r="I4036" s="245"/>
      <c r="J4036" s="245"/>
      <c r="K4036" s="245"/>
      <c r="L4036" s="246"/>
      <c r="M4036" s="245"/>
      <c r="N4036" s="245"/>
      <c r="O4036" s="245"/>
      <c r="P4036" s="245"/>
      <c r="Q4036" s="247"/>
      <c r="R4036" s="247"/>
      <c r="S4036" s="247"/>
      <c r="T4036" s="245"/>
      <c r="U4036" s="245"/>
      <c r="V4036" s="241"/>
      <c r="W4036" s="241"/>
      <c r="X4036" s="241"/>
    </row>
    <row r="4037" spans="1:24" ht="13.5" customHeight="1" x14ac:dyDescent="0.3">
      <c r="A4037" s="245"/>
      <c r="B4037" s="246"/>
      <c r="C4037" s="245"/>
      <c r="D4037" s="245"/>
      <c r="E4037" s="245"/>
      <c r="F4037" s="245"/>
      <c r="G4037" s="245"/>
      <c r="H4037" s="245"/>
      <c r="I4037" s="245"/>
      <c r="J4037" s="245"/>
      <c r="K4037" s="245"/>
      <c r="L4037" s="246"/>
      <c r="M4037" s="245"/>
      <c r="N4037" s="245"/>
      <c r="O4037" s="245"/>
      <c r="P4037" s="245"/>
      <c r="Q4037" s="247"/>
      <c r="R4037" s="247"/>
      <c r="S4037" s="247"/>
      <c r="T4037" s="245"/>
      <c r="U4037" s="245"/>
      <c r="V4037" s="241"/>
      <c r="W4037" s="241"/>
      <c r="X4037" s="241"/>
    </row>
    <row r="4038" spans="1:24" ht="13.5" customHeight="1" x14ac:dyDescent="0.3">
      <c r="A4038" s="245"/>
      <c r="B4038" s="246"/>
      <c r="C4038" s="245"/>
      <c r="D4038" s="245"/>
      <c r="E4038" s="245"/>
      <c r="F4038" s="245"/>
      <c r="G4038" s="245"/>
      <c r="H4038" s="245"/>
      <c r="I4038" s="245"/>
      <c r="J4038" s="245"/>
      <c r="K4038" s="245"/>
      <c r="L4038" s="246"/>
      <c r="M4038" s="245"/>
      <c r="N4038" s="245"/>
      <c r="O4038" s="245"/>
      <c r="P4038" s="245"/>
      <c r="Q4038" s="247"/>
      <c r="R4038" s="247"/>
      <c r="S4038" s="247"/>
      <c r="T4038" s="245"/>
      <c r="U4038" s="245"/>
      <c r="V4038" s="241"/>
      <c r="W4038" s="241"/>
      <c r="X4038" s="241"/>
    </row>
    <row r="4039" spans="1:24" ht="13.5" customHeight="1" x14ac:dyDescent="0.3">
      <c r="A4039" s="245"/>
      <c r="B4039" s="246"/>
      <c r="C4039" s="245"/>
      <c r="D4039" s="245"/>
      <c r="E4039" s="245"/>
      <c r="F4039" s="245"/>
      <c r="G4039" s="245"/>
      <c r="H4039" s="245"/>
      <c r="I4039" s="245"/>
      <c r="J4039" s="245"/>
      <c r="K4039" s="245"/>
      <c r="L4039" s="246"/>
      <c r="M4039" s="245"/>
      <c r="N4039" s="245"/>
      <c r="O4039" s="245"/>
      <c r="P4039" s="245"/>
      <c r="Q4039" s="247"/>
      <c r="R4039" s="247"/>
      <c r="S4039" s="247"/>
      <c r="T4039" s="245"/>
      <c r="U4039" s="245"/>
      <c r="V4039" s="241"/>
      <c r="W4039" s="241"/>
      <c r="X4039" s="241"/>
    </row>
    <row r="4040" spans="1:24" ht="13.5" customHeight="1" x14ac:dyDescent="0.3">
      <c r="A4040" s="245"/>
      <c r="B4040" s="246"/>
      <c r="C4040" s="245"/>
      <c r="D4040" s="245"/>
      <c r="E4040" s="245"/>
      <c r="F4040" s="245"/>
      <c r="G4040" s="245"/>
      <c r="H4040" s="245"/>
      <c r="I4040" s="245"/>
      <c r="J4040" s="245"/>
      <c r="K4040" s="245"/>
      <c r="L4040" s="246"/>
      <c r="M4040" s="245"/>
      <c r="N4040" s="245"/>
      <c r="O4040" s="245"/>
      <c r="P4040" s="245"/>
      <c r="Q4040" s="247"/>
      <c r="R4040" s="247"/>
      <c r="S4040" s="247"/>
      <c r="T4040" s="245"/>
      <c r="U4040" s="245"/>
      <c r="V4040" s="241"/>
      <c r="W4040" s="241"/>
      <c r="X4040" s="241"/>
    </row>
    <row r="4041" spans="1:24" ht="13.5" customHeight="1" x14ac:dyDescent="0.3">
      <c r="A4041" s="245"/>
      <c r="B4041" s="246"/>
      <c r="C4041" s="245"/>
      <c r="D4041" s="245"/>
      <c r="E4041" s="245"/>
      <c r="F4041" s="245"/>
      <c r="G4041" s="245"/>
      <c r="H4041" s="245"/>
      <c r="I4041" s="245"/>
      <c r="J4041" s="245"/>
      <c r="K4041" s="245"/>
      <c r="L4041" s="246"/>
      <c r="M4041" s="245"/>
      <c r="N4041" s="245"/>
      <c r="O4041" s="245"/>
      <c r="P4041" s="245"/>
      <c r="Q4041" s="247"/>
      <c r="R4041" s="247"/>
      <c r="S4041" s="247"/>
      <c r="T4041" s="245"/>
      <c r="U4041" s="245"/>
      <c r="V4041" s="241"/>
      <c r="W4041" s="241"/>
      <c r="X4041" s="241"/>
    </row>
    <row r="4042" spans="1:24" ht="13.5" customHeight="1" x14ac:dyDescent="0.3">
      <c r="A4042" s="245"/>
      <c r="B4042" s="246"/>
      <c r="C4042" s="245"/>
      <c r="D4042" s="245"/>
      <c r="E4042" s="245"/>
      <c r="F4042" s="245"/>
      <c r="G4042" s="245"/>
      <c r="H4042" s="245"/>
      <c r="I4042" s="245"/>
      <c r="J4042" s="245"/>
      <c r="K4042" s="245"/>
      <c r="L4042" s="246"/>
      <c r="M4042" s="245"/>
      <c r="N4042" s="245"/>
      <c r="O4042" s="245"/>
      <c r="P4042" s="245"/>
      <c r="Q4042" s="247"/>
      <c r="R4042" s="247"/>
      <c r="S4042" s="247"/>
      <c r="T4042" s="245"/>
      <c r="U4042" s="245"/>
      <c r="V4042" s="241"/>
      <c r="W4042" s="241"/>
      <c r="X4042" s="241"/>
    </row>
    <row r="4043" spans="1:24" ht="13.5" customHeight="1" x14ac:dyDescent="0.3">
      <c r="A4043" s="245"/>
      <c r="B4043" s="246"/>
      <c r="C4043" s="245"/>
      <c r="D4043" s="245"/>
      <c r="E4043" s="245"/>
      <c r="F4043" s="245"/>
      <c r="G4043" s="245"/>
      <c r="H4043" s="245"/>
      <c r="I4043" s="245"/>
      <c r="J4043" s="245"/>
      <c r="K4043" s="245"/>
      <c r="L4043" s="246"/>
      <c r="M4043" s="245"/>
      <c r="N4043" s="245"/>
      <c r="O4043" s="245"/>
      <c r="P4043" s="245"/>
      <c r="Q4043" s="247"/>
      <c r="R4043" s="247"/>
      <c r="S4043" s="247"/>
      <c r="T4043" s="245"/>
      <c r="U4043" s="245"/>
      <c r="V4043" s="241"/>
      <c r="W4043" s="241"/>
      <c r="X4043" s="241"/>
    </row>
    <row r="4044" spans="1:24" ht="13.5" customHeight="1" x14ac:dyDescent="0.3">
      <c r="A4044" s="245"/>
      <c r="B4044" s="246"/>
      <c r="C4044" s="245"/>
      <c r="D4044" s="245"/>
      <c r="E4044" s="245"/>
      <c r="F4044" s="245"/>
      <c r="G4044" s="245"/>
      <c r="H4044" s="245"/>
      <c r="I4044" s="245"/>
      <c r="J4044" s="245"/>
      <c r="K4044" s="245"/>
      <c r="L4044" s="246"/>
      <c r="M4044" s="245"/>
      <c r="N4044" s="245"/>
      <c r="O4044" s="245"/>
      <c r="P4044" s="245"/>
      <c r="Q4044" s="247"/>
      <c r="R4044" s="247"/>
      <c r="S4044" s="247"/>
      <c r="T4044" s="245"/>
      <c r="U4044" s="245"/>
      <c r="V4044" s="241"/>
      <c r="W4044" s="241"/>
      <c r="X4044" s="241"/>
    </row>
    <row r="4045" spans="1:24" ht="13.5" customHeight="1" x14ac:dyDescent="0.3">
      <c r="A4045" s="245"/>
      <c r="B4045" s="246"/>
      <c r="C4045" s="245"/>
      <c r="D4045" s="245"/>
      <c r="E4045" s="245"/>
      <c r="F4045" s="245"/>
      <c r="G4045" s="245"/>
      <c r="H4045" s="245"/>
      <c r="I4045" s="245"/>
      <c r="J4045" s="245"/>
      <c r="K4045" s="245"/>
      <c r="L4045" s="246"/>
      <c r="M4045" s="245"/>
      <c r="N4045" s="245"/>
      <c r="O4045" s="245"/>
      <c r="P4045" s="245"/>
      <c r="Q4045" s="247"/>
      <c r="R4045" s="247"/>
      <c r="S4045" s="247"/>
      <c r="T4045" s="245"/>
      <c r="U4045" s="245"/>
      <c r="V4045" s="241"/>
      <c r="W4045" s="241"/>
      <c r="X4045" s="241"/>
    </row>
    <row r="4046" spans="1:24" ht="13.5" customHeight="1" x14ac:dyDescent="0.3">
      <c r="A4046" s="245"/>
      <c r="B4046" s="246"/>
      <c r="C4046" s="245"/>
      <c r="D4046" s="245"/>
      <c r="E4046" s="245"/>
      <c r="F4046" s="245"/>
      <c r="G4046" s="245"/>
      <c r="H4046" s="245"/>
      <c r="I4046" s="245"/>
      <c r="J4046" s="245"/>
      <c r="K4046" s="245"/>
      <c r="L4046" s="246"/>
      <c r="M4046" s="245"/>
      <c r="N4046" s="245"/>
      <c r="O4046" s="245"/>
      <c r="P4046" s="245"/>
      <c r="Q4046" s="247"/>
      <c r="R4046" s="247"/>
      <c r="S4046" s="247"/>
      <c r="T4046" s="245"/>
      <c r="U4046" s="245"/>
      <c r="V4046" s="241"/>
      <c r="W4046" s="241"/>
      <c r="X4046" s="241"/>
    </row>
    <row r="4047" spans="1:24" ht="13.5" customHeight="1" x14ac:dyDescent="0.3">
      <c r="A4047" s="245"/>
      <c r="B4047" s="246"/>
      <c r="C4047" s="245"/>
      <c r="D4047" s="245"/>
      <c r="E4047" s="245"/>
      <c r="F4047" s="245"/>
      <c r="G4047" s="245"/>
      <c r="H4047" s="245"/>
      <c r="I4047" s="245"/>
      <c r="J4047" s="245"/>
      <c r="K4047" s="245"/>
      <c r="L4047" s="246"/>
      <c r="M4047" s="245"/>
      <c r="N4047" s="245"/>
      <c r="O4047" s="245"/>
      <c r="P4047" s="245"/>
      <c r="Q4047" s="247"/>
      <c r="R4047" s="247"/>
      <c r="S4047" s="247"/>
      <c r="T4047" s="245"/>
      <c r="U4047" s="245"/>
      <c r="V4047" s="241"/>
      <c r="W4047" s="241"/>
      <c r="X4047" s="241"/>
    </row>
    <row r="4048" spans="1:24" ht="13.5" customHeight="1" x14ac:dyDescent="0.3">
      <c r="A4048" s="245"/>
      <c r="B4048" s="246"/>
      <c r="C4048" s="245"/>
      <c r="D4048" s="245"/>
      <c r="E4048" s="245"/>
      <c r="F4048" s="245"/>
      <c r="G4048" s="245"/>
      <c r="H4048" s="245"/>
      <c r="I4048" s="245"/>
      <c r="J4048" s="245"/>
      <c r="K4048" s="245"/>
      <c r="L4048" s="246"/>
      <c r="M4048" s="245"/>
      <c r="N4048" s="245"/>
      <c r="O4048" s="245"/>
      <c r="P4048" s="245"/>
      <c r="Q4048" s="247"/>
      <c r="R4048" s="247"/>
      <c r="S4048" s="247"/>
      <c r="T4048" s="245"/>
      <c r="U4048" s="245"/>
      <c r="V4048" s="241"/>
      <c r="W4048" s="241"/>
      <c r="X4048" s="241"/>
    </row>
    <row r="4049" spans="1:24" ht="13.5" customHeight="1" x14ac:dyDescent="0.3">
      <c r="A4049" s="245"/>
      <c r="B4049" s="246"/>
      <c r="C4049" s="245"/>
      <c r="D4049" s="245"/>
      <c r="E4049" s="245"/>
      <c r="F4049" s="245"/>
      <c r="G4049" s="245"/>
      <c r="H4049" s="245"/>
      <c r="I4049" s="245"/>
      <c r="J4049" s="245"/>
      <c r="K4049" s="245"/>
      <c r="L4049" s="246"/>
      <c r="M4049" s="245"/>
      <c r="N4049" s="245"/>
      <c r="O4049" s="245"/>
      <c r="P4049" s="245"/>
      <c r="Q4049" s="247"/>
      <c r="R4049" s="247"/>
      <c r="S4049" s="247"/>
      <c r="T4049" s="245"/>
      <c r="U4049" s="245"/>
      <c r="V4049" s="241"/>
      <c r="W4049" s="241"/>
      <c r="X4049" s="241"/>
    </row>
    <row r="4050" spans="1:24" ht="13.5" customHeight="1" x14ac:dyDescent="0.3">
      <c r="A4050" s="245"/>
      <c r="B4050" s="246"/>
      <c r="C4050" s="245"/>
      <c r="D4050" s="245"/>
      <c r="E4050" s="245"/>
      <c r="F4050" s="245"/>
      <c r="G4050" s="245"/>
      <c r="H4050" s="245"/>
      <c r="I4050" s="245"/>
      <c r="J4050" s="245"/>
      <c r="K4050" s="245"/>
      <c r="L4050" s="246"/>
      <c r="M4050" s="245"/>
      <c r="N4050" s="245"/>
      <c r="O4050" s="245"/>
      <c r="P4050" s="245"/>
      <c r="Q4050" s="247"/>
      <c r="R4050" s="247"/>
      <c r="S4050" s="247"/>
      <c r="T4050" s="245"/>
      <c r="U4050" s="245"/>
      <c r="V4050" s="241"/>
      <c r="W4050" s="241"/>
      <c r="X4050" s="241"/>
    </row>
    <row r="4051" spans="1:24" ht="13.5" customHeight="1" x14ac:dyDescent="0.3">
      <c r="A4051" s="245"/>
      <c r="B4051" s="246"/>
      <c r="C4051" s="245"/>
      <c r="D4051" s="245"/>
      <c r="E4051" s="245"/>
      <c r="F4051" s="245"/>
      <c r="G4051" s="245"/>
      <c r="H4051" s="245"/>
      <c r="I4051" s="245"/>
      <c r="J4051" s="245"/>
      <c r="K4051" s="245"/>
      <c r="L4051" s="246"/>
      <c r="M4051" s="245"/>
      <c r="N4051" s="245"/>
      <c r="O4051" s="245"/>
      <c r="P4051" s="245"/>
      <c r="Q4051" s="247"/>
      <c r="R4051" s="247"/>
      <c r="S4051" s="247"/>
      <c r="T4051" s="245"/>
      <c r="U4051" s="245"/>
      <c r="V4051" s="241"/>
      <c r="W4051" s="241"/>
      <c r="X4051" s="241"/>
    </row>
    <row r="4052" spans="1:24" ht="13.5" customHeight="1" x14ac:dyDescent="0.3">
      <c r="A4052" s="245"/>
      <c r="B4052" s="246"/>
      <c r="C4052" s="245"/>
      <c r="D4052" s="245"/>
      <c r="E4052" s="245"/>
      <c r="F4052" s="245"/>
      <c r="G4052" s="245"/>
      <c r="H4052" s="245"/>
      <c r="I4052" s="245"/>
      <c r="J4052" s="245"/>
      <c r="K4052" s="245"/>
      <c r="L4052" s="246"/>
      <c r="M4052" s="245"/>
      <c r="N4052" s="245"/>
      <c r="O4052" s="245"/>
      <c r="P4052" s="245"/>
      <c r="Q4052" s="247"/>
      <c r="R4052" s="247"/>
      <c r="S4052" s="247"/>
      <c r="T4052" s="245"/>
      <c r="U4052" s="245"/>
      <c r="V4052" s="241"/>
      <c r="W4052" s="241"/>
      <c r="X4052" s="241"/>
    </row>
    <row r="4053" spans="1:24" ht="13.5" customHeight="1" x14ac:dyDescent="0.3">
      <c r="A4053" s="245"/>
      <c r="B4053" s="246"/>
      <c r="C4053" s="245"/>
      <c r="D4053" s="245"/>
      <c r="E4053" s="245"/>
      <c r="F4053" s="245"/>
      <c r="G4053" s="245"/>
      <c r="H4053" s="245"/>
      <c r="I4053" s="245"/>
      <c r="J4053" s="245"/>
      <c r="K4053" s="245"/>
      <c r="L4053" s="246"/>
      <c r="M4053" s="245"/>
      <c r="N4053" s="245"/>
      <c r="O4053" s="245"/>
      <c r="P4053" s="245"/>
      <c r="Q4053" s="247"/>
      <c r="R4053" s="247"/>
      <c r="S4053" s="247"/>
      <c r="T4053" s="245"/>
      <c r="U4053" s="245"/>
      <c r="V4053" s="241"/>
      <c r="W4053" s="241"/>
      <c r="X4053" s="241"/>
    </row>
    <row r="4054" spans="1:24" ht="13.5" customHeight="1" x14ac:dyDescent="0.3">
      <c r="A4054" s="245"/>
      <c r="B4054" s="246"/>
      <c r="C4054" s="245"/>
      <c r="D4054" s="245"/>
      <c r="E4054" s="245"/>
      <c r="F4054" s="245"/>
      <c r="G4054" s="245"/>
      <c r="H4054" s="245"/>
      <c r="I4054" s="245"/>
      <c r="J4054" s="245"/>
      <c r="K4054" s="245"/>
      <c r="L4054" s="246"/>
      <c r="M4054" s="245"/>
      <c r="N4054" s="245"/>
      <c r="O4054" s="245"/>
      <c r="P4054" s="245"/>
      <c r="Q4054" s="247"/>
      <c r="R4054" s="247"/>
      <c r="S4054" s="247"/>
      <c r="T4054" s="245"/>
      <c r="U4054" s="245"/>
      <c r="V4054" s="241"/>
      <c r="W4054" s="241"/>
      <c r="X4054" s="241"/>
    </row>
    <row r="4055" spans="1:24" ht="13.5" customHeight="1" x14ac:dyDescent="0.3">
      <c r="A4055" s="245"/>
      <c r="B4055" s="246"/>
      <c r="C4055" s="245"/>
      <c r="D4055" s="245"/>
      <c r="E4055" s="245"/>
      <c r="F4055" s="245"/>
      <c r="G4055" s="245"/>
      <c r="H4055" s="245"/>
      <c r="I4055" s="245"/>
      <c r="J4055" s="245"/>
      <c r="K4055" s="245"/>
      <c r="L4055" s="246"/>
      <c r="M4055" s="245"/>
      <c r="N4055" s="245"/>
      <c r="O4055" s="245"/>
      <c r="P4055" s="245"/>
      <c r="Q4055" s="247"/>
      <c r="R4055" s="247"/>
      <c r="S4055" s="247"/>
      <c r="T4055" s="245"/>
      <c r="U4055" s="245"/>
      <c r="V4055" s="241"/>
      <c r="W4055" s="241"/>
      <c r="X4055" s="241"/>
    </row>
    <row r="4056" spans="1:24" ht="13.5" customHeight="1" x14ac:dyDescent="0.3">
      <c r="A4056" s="245"/>
      <c r="B4056" s="246"/>
      <c r="C4056" s="245"/>
      <c r="D4056" s="245"/>
      <c r="E4056" s="245"/>
      <c r="F4056" s="245"/>
      <c r="G4056" s="245"/>
      <c r="H4056" s="245"/>
      <c r="I4056" s="245"/>
      <c r="J4056" s="245"/>
      <c r="K4056" s="245"/>
      <c r="L4056" s="246"/>
      <c r="M4056" s="245"/>
      <c r="N4056" s="245"/>
      <c r="O4056" s="245"/>
      <c r="P4056" s="245"/>
      <c r="Q4056" s="247"/>
      <c r="R4056" s="247"/>
      <c r="S4056" s="247"/>
      <c r="T4056" s="245"/>
      <c r="U4056" s="245"/>
      <c r="V4056" s="241"/>
      <c r="W4056" s="241"/>
      <c r="X4056" s="241"/>
    </row>
    <row r="4057" spans="1:24" ht="13.5" customHeight="1" x14ac:dyDescent="0.3">
      <c r="A4057" s="245"/>
      <c r="B4057" s="246"/>
      <c r="C4057" s="245"/>
      <c r="D4057" s="245"/>
      <c r="E4057" s="245"/>
      <c r="F4057" s="245"/>
      <c r="G4057" s="245"/>
      <c r="H4057" s="245"/>
      <c r="I4057" s="245"/>
      <c r="J4057" s="245"/>
      <c r="K4057" s="245"/>
      <c r="L4057" s="246"/>
      <c r="M4057" s="245"/>
      <c r="N4057" s="245"/>
      <c r="O4057" s="245"/>
      <c r="P4057" s="245"/>
      <c r="Q4057" s="247"/>
      <c r="R4057" s="247"/>
      <c r="S4057" s="247"/>
      <c r="T4057" s="245"/>
      <c r="U4057" s="245"/>
      <c r="V4057" s="241"/>
      <c r="W4057" s="241"/>
      <c r="X4057" s="241"/>
    </row>
    <row r="4058" spans="1:24" ht="13.5" customHeight="1" x14ac:dyDescent="0.3">
      <c r="A4058" s="245"/>
      <c r="B4058" s="246"/>
      <c r="C4058" s="245"/>
      <c r="D4058" s="245"/>
      <c r="E4058" s="245"/>
      <c r="F4058" s="245"/>
      <c r="G4058" s="245"/>
      <c r="H4058" s="245"/>
      <c r="I4058" s="245"/>
      <c r="J4058" s="245"/>
      <c r="K4058" s="245"/>
      <c r="L4058" s="246"/>
      <c r="M4058" s="245"/>
      <c r="N4058" s="245"/>
      <c r="O4058" s="245"/>
      <c r="P4058" s="245"/>
      <c r="Q4058" s="247"/>
      <c r="R4058" s="247"/>
      <c r="S4058" s="247"/>
      <c r="T4058" s="245"/>
      <c r="U4058" s="245"/>
      <c r="V4058" s="241"/>
      <c r="W4058" s="241"/>
      <c r="X4058" s="241"/>
    </row>
    <row r="4059" spans="1:24" ht="13.5" customHeight="1" x14ac:dyDescent="0.3">
      <c r="A4059" s="245"/>
      <c r="B4059" s="246"/>
      <c r="C4059" s="245"/>
      <c r="D4059" s="245"/>
      <c r="E4059" s="245"/>
      <c r="F4059" s="245"/>
      <c r="G4059" s="245"/>
      <c r="H4059" s="245"/>
      <c r="I4059" s="245"/>
      <c r="J4059" s="245"/>
      <c r="K4059" s="245"/>
      <c r="L4059" s="246"/>
      <c r="M4059" s="245"/>
      <c r="N4059" s="245"/>
      <c r="O4059" s="245"/>
      <c r="P4059" s="245"/>
      <c r="Q4059" s="247"/>
      <c r="R4059" s="247"/>
      <c r="S4059" s="247"/>
      <c r="T4059" s="245"/>
      <c r="U4059" s="245"/>
      <c r="V4059" s="241"/>
      <c r="W4059" s="241"/>
      <c r="X4059" s="241"/>
    </row>
    <row r="4060" spans="1:24" ht="13.5" customHeight="1" x14ac:dyDescent="0.3">
      <c r="A4060" s="245"/>
      <c r="B4060" s="246"/>
      <c r="C4060" s="245"/>
      <c r="D4060" s="245"/>
      <c r="E4060" s="245"/>
      <c r="F4060" s="245"/>
      <c r="G4060" s="245"/>
      <c r="H4060" s="245"/>
      <c r="I4060" s="245"/>
      <c r="J4060" s="245"/>
      <c r="K4060" s="245"/>
      <c r="L4060" s="246"/>
      <c r="M4060" s="245"/>
      <c r="N4060" s="245"/>
      <c r="O4060" s="245"/>
      <c r="P4060" s="245"/>
      <c r="Q4060" s="247"/>
      <c r="R4060" s="247"/>
      <c r="S4060" s="247"/>
      <c r="T4060" s="245"/>
      <c r="U4060" s="245"/>
      <c r="V4060" s="241"/>
      <c r="W4060" s="241"/>
      <c r="X4060" s="241"/>
    </row>
    <row r="4061" spans="1:24" ht="13.5" customHeight="1" x14ac:dyDescent="0.3">
      <c r="A4061" s="245"/>
      <c r="B4061" s="246"/>
      <c r="C4061" s="245"/>
      <c r="D4061" s="245"/>
      <c r="E4061" s="245"/>
      <c r="F4061" s="245"/>
      <c r="G4061" s="245"/>
      <c r="H4061" s="245"/>
      <c r="I4061" s="245"/>
      <c r="J4061" s="245"/>
      <c r="K4061" s="245"/>
      <c r="L4061" s="246"/>
      <c r="M4061" s="245"/>
      <c r="N4061" s="245"/>
      <c r="O4061" s="245"/>
      <c r="P4061" s="245"/>
      <c r="Q4061" s="247"/>
      <c r="R4061" s="247"/>
      <c r="S4061" s="247"/>
      <c r="T4061" s="245"/>
      <c r="U4061" s="245"/>
      <c r="V4061" s="241"/>
      <c r="W4061" s="241"/>
      <c r="X4061" s="241"/>
    </row>
    <row r="4062" spans="1:24" ht="13.5" customHeight="1" x14ac:dyDescent="0.3">
      <c r="A4062" s="245"/>
      <c r="B4062" s="246"/>
      <c r="C4062" s="245"/>
      <c r="D4062" s="245"/>
      <c r="E4062" s="245"/>
      <c r="F4062" s="245"/>
      <c r="G4062" s="245"/>
      <c r="H4062" s="245"/>
      <c r="I4062" s="245"/>
      <c r="J4062" s="245"/>
      <c r="K4062" s="245"/>
      <c r="L4062" s="246"/>
      <c r="M4062" s="245"/>
      <c r="N4062" s="245"/>
      <c r="O4062" s="245"/>
      <c r="P4062" s="245"/>
      <c r="Q4062" s="247"/>
      <c r="R4062" s="247"/>
      <c r="S4062" s="247"/>
      <c r="T4062" s="245"/>
      <c r="U4062" s="245"/>
      <c r="V4062" s="241"/>
      <c r="W4062" s="241"/>
      <c r="X4062" s="241"/>
    </row>
    <row r="4063" spans="1:24" ht="13.5" customHeight="1" x14ac:dyDescent="0.3">
      <c r="A4063" s="245"/>
      <c r="B4063" s="246"/>
      <c r="C4063" s="245"/>
      <c r="D4063" s="245"/>
      <c r="E4063" s="245"/>
      <c r="F4063" s="245"/>
      <c r="G4063" s="245"/>
      <c r="H4063" s="245"/>
      <c r="I4063" s="245"/>
      <c r="J4063" s="245"/>
      <c r="K4063" s="245"/>
      <c r="L4063" s="246"/>
      <c r="M4063" s="245"/>
      <c r="N4063" s="245"/>
      <c r="O4063" s="245"/>
      <c r="P4063" s="245"/>
      <c r="Q4063" s="247"/>
      <c r="R4063" s="247"/>
      <c r="S4063" s="247"/>
      <c r="T4063" s="245"/>
      <c r="U4063" s="245"/>
      <c r="V4063" s="241"/>
      <c r="W4063" s="241"/>
      <c r="X4063" s="241"/>
    </row>
    <row r="4064" spans="1:24" ht="13.5" customHeight="1" x14ac:dyDescent="0.3">
      <c r="A4064" s="245"/>
      <c r="B4064" s="246"/>
      <c r="C4064" s="245"/>
      <c r="D4064" s="245"/>
      <c r="E4064" s="245"/>
      <c r="F4064" s="245"/>
      <c r="G4064" s="245"/>
      <c r="H4064" s="245"/>
      <c r="I4064" s="245"/>
      <c r="J4064" s="245"/>
      <c r="K4064" s="245"/>
      <c r="L4064" s="246"/>
      <c r="M4064" s="245"/>
      <c r="N4064" s="245"/>
      <c r="O4064" s="245"/>
      <c r="P4064" s="245"/>
      <c r="Q4064" s="247"/>
      <c r="R4064" s="247"/>
      <c r="S4064" s="247"/>
      <c r="T4064" s="245"/>
      <c r="U4064" s="245"/>
      <c r="V4064" s="241"/>
      <c r="W4064" s="241"/>
      <c r="X4064" s="241"/>
    </row>
    <row r="4065" spans="1:24" ht="13.5" customHeight="1" x14ac:dyDescent="0.3">
      <c r="A4065" s="245"/>
      <c r="B4065" s="246"/>
      <c r="C4065" s="245"/>
      <c r="D4065" s="245"/>
      <c r="E4065" s="245"/>
      <c r="F4065" s="245"/>
      <c r="G4065" s="245"/>
      <c r="H4065" s="245"/>
      <c r="I4065" s="245"/>
      <c r="J4065" s="245"/>
      <c r="K4065" s="245"/>
      <c r="L4065" s="246"/>
      <c r="M4065" s="245"/>
      <c r="N4065" s="245"/>
      <c r="O4065" s="245"/>
      <c r="P4065" s="245"/>
      <c r="Q4065" s="247"/>
      <c r="R4065" s="247"/>
      <c r="S4065" s="247"/>
      <c r="T4065" s="245"/>
      <c r="U4065" s="245"/>
      <c r="V4065" s="241"/>
      <c r="W4065" s="241"/>
      <c r="X4065" s="241"/>
    </row>
    <row r="4066" spans="1:24" ht="13.5" customHeight="1" x14ac:dyDescent="0.3">
      <c r="A4066" s="245"/>
      <c r="B4066" s="246"/>
      <c r="C4066" s="245"/>
      <c r="D4066" s="245"/>
      <c r="E4066" s="245"/>
      <c r="F4066" s="245"/>
      <c r="G4066" s="245"/>
      <c r="H4066" s="245"/>
      <c r="I4066" s="245"/>
      <c r="J4066" s="245"/>
      <c r="K4066" s="245"/>
      <c r="L4066" s="246"/>
      <c r="M4066" s="245"/>
      <c r="N4066" s="245"/>
      <c r="O4066" s="245"/>
      <c r="P4066" s="245"/>
      <c r="Q4066" s="247"/>
      <c r="R4066" s="247"/>
      <c r="S4066" s="247"/>
      <c r="T4066" s="245"/>
      <c r="U4066" s="245"/>
      <c r="V4066" s="241"/>
      <c r="W4066" s="241"/>
      <c r="X4066" s="241"/>
    </row>
    <row r="4067" spans="1:24" ht="13.5" customHeight="1" x14ac:dyDescent="0.3">
      <c r="A4067" s="245"/>
      <c r="B4067" s="246"/>
      <c r="C4067" s="245"/>
      <c r="D4067" s="245"/>
      <c r="E4067" s="245"/>
      <c r="F4067" s="245"/>
      <c r="G4067" s="245"/>
      <c r="H4067" s="245"/>
      <c r="I4067" s="245"/>
      <c r="J4067" s="245"/>
      <c r="K4067" s="245"/>
      <c r="L4067" s="246"/>
      <c r="M4067" s="245"/>
      <c r="N4067" s="245"/>
      <c r="O4067" s="245"/>
      <c r="P4067" s="245"/>
      <c r="Q4067" s="247"/>
      <c r="R4067" s="247"/>
      <c r="S4067" s="247"/>
      <c r="T4067" s="245"/>
      <c r="U4067" s="245"/>
      <c r="V4067" s="241"/>
      <c r="W4067" s="241"/>
      <c r="X4067" s="241"/>
    </row>
    <row r="4068" spans="1:24" ht="13.5" customHeight="1" x14ac:dyDescent="0.3">
      <c r="A4068" s="245"/>
      <c r="B4068" s="246"/>
      <c r="C4068" s="245"/>
      <c r="D4068" s="245"/>
      <c r="E4068" s="245"/>
      <c r="F4068" s="245"/>
      <c r="G4068" s="245"/>
      <c r="H4068" s="245"/>
      <c r="I4068" s="245"/>
      <c r="J4068" s="245"/>
      <c r="K4068" s="245"/>
      <c r="L4068" s="246"/>
      <c r="M4068" s="245"/>
      <c r="N4068" s="245"/>
      <c r="O4068" s="245"/>
      <c r="P4068" s="245"/>
      <c r="Q4068" s="247"/>
      <c r="R4068" s="247"/>
      <c r="S4068" s="247"/>
      <c r="T4068" s="245"/>
      <c r="U4068" s="245"/>
      <c r="V4068" s="241"/>
      <c r="W4068" s="241"/>
      <c r="X4068" s="241"/>
    </row>
    <row r="4069" spans="1:24" ht="13.5" customHeight="1" x14ac:dyDescent="0.3">
      <c r="A4069" s="245"/>
      <c r="B4069" s="246"/>
      <c r="C4069" s="245"/>
      <c r="D4069" s="245"/>
      <c r="E4069" s="245"/>
      <c r="F4069" s="245"/>
      <c r="G4069" s="245"/>
      <c r="H4069" s="245"/>
      <c r="I4069" s="245"/>
      <c r="J4069" s="245"/>
      <c r="K4069" s="245"/>
      <c r="L4069" s="246"/>
      <c r="M4069" s="245"/>
      <c r="N4069" s="245"/>
      <c r="O4069" s="245"/>
      <c r="P4069" s="245"/>
      <c r="Q4069" s="247"/>
      <c r="R4069" s="247"/>
      <c r="S4069" s="247"/>
      <c r="T4069" s="245"/>
      <c r="U4069" s="245"/>
      <c r="V4069" s="241"/>
      <c r="W4069" s="241"/>
      <c r="X4069" s="241"/>
    </row>
    <row r="4070" spans="1:24" ht="13.5" customHeight="1" x14ac:dyDescent="0.3">
      <c r="A4070" s="245"/>
      <c r="B4070" s="246"/>
      <c r="C4070" s="245"/>
      <c r="D4070" s="245"/>
      <c r="E4070" s="245"/>
      <c r="F4070" s="245"/>
      <c r="G4070" s="245"/>
      <c r="H4070" s="245"/>
      <c r="I4070" s="245"/>
      <c r="J4070" s="245"/>
      <c r="K4070" s="245"/>
      <c r="L4070" s="246"/>
      <c r="M4070" s="245"/>
      <c r="N4070" s="245"/>
      <c r="O4070" s="245"/>
      <c r="P4070" s="245"/>
      <c r="Q4070" s="247"/>
      <c r="R4070" s="247"/>
      <c r="S4070" s="247"/>
      <c r="T4070" s="245"/>
      <c r="U4070" s="245"/>
      <c r="V4070" s="241"/>
      <c r="W4070" s="241"/>
      <c r="X4070" s="241"/>
    </row>
    <row r="4071" spans="1:24" ht="13.5" customHeight="1" x14ac:dyDescent="0.3">
      <c r="A4071" s="245"/>
      <c r="B4071" s="246"/>
      <c r="C4071" s="245"/>
      <c r="D4071" s="245"/>
      <c r="E4071" s="245"/>
      <c r="F4071" s="245"/>
      <c r="G4071" s="245"/>
      <c r="H4071" s="245"/>
      <c r="I4071" s="245"/>
      <c r="J4071" s="245"/>
      <c r="K4071" s="245"/>
      <c r="L4071" s="246"/>
      <c r="M4071" s="245"/>
      <c r="N4071" s="245"/>
      <c r="O4071" s="245"/>
      <c r="P4071" s="245"/>
      <c r="Q4071" s="247"/>
      <c r="R4071" s="247"/>
      <c r="S4071" s="247"/>
      <c r="T4071" s="245"/>
      <c r="U4071" s="245"/>
      <c r="V4071" s="241"/>
      <c r="W4071" s="241"/>
      <c r="X4071" s="241"/>
    </row>
    <row r="4072" spans="1:24" ht="13.5" customHeight="1" x14ac:dyDescent="0.3">
      <c r="A4072" s="245"/>
      <c r="B4072" s="246"/>
      <c r="C4072" s="245"/>
      <c r="D4072" s="245"/>
      <c r="E4072" s="245"/>
      <c r="F4072" s="245"/>
      <c r="G4072" s="245"/>
      <c r="H4072" s="245"/>
      <c r="I4072" s="245"/>
      <c r="J4072" s="245"/>
      <c r="K4072" s="245"/>
      <c r="L4072" s="246"/>
      <c r="M4072" s="245"/>
      <c r="N4072" s="245"/>
      <c r="O4072" s="245"/>
      <c r="P4072" s="245"/>
      <c r="Q4072" s="247"/>
      <c r="R4072" s="247"/>
      <c r="S4072" s="247"/>
      <c r="T4072" s="245"/>
      <c r="U4072" s="245"/>
      <c r="V4072" s="241"/>
      <c r="W4072" s="241"/>
      <c r="X4072" s="241"/>
    </row>
    <row r="4073" spans="1:24" ht="13.5" customHeight="1" x14ac:dyDescent="0.3">
      <c r="A4073" s="245"/>
      <c r="B4073" s="246"/>
      <c r="C4073" s="245"/>
      <c r="D4073" s="245"/>
      <c r="E4073" s="245"/>
      <c r="F4073" s="245"/>
      <c r="G4073" s="245"/>
      <c r="H4073" s="245"/>
      <c r="I4073" s="245"/>
      <c r="J4073" s="245"/>
      <c r="K4073" s="245"/>
      <c r="L4073" s="246"/>
      <c r="M4073" s="245"/>
      <c r="N4073" s="245"/>
      <c r="O4073" s="245"/>
      <c r="P4073" s="245"/>
      <c r="Q4073" s="247"/>
      <c r="R4073" s="247"/>
      <c r="S4073" s="247"/>
      <c r="T4073" s="245"/>
      <c r="U4073" s="245"/>
      <c r="V4073" s="241"/>
      <c r="W4073" s="241"/>
      <c r="X4073" s="241"/>
    </row>
    <row r="4074" spans="1:24" ht="13.5" customHeight="1" x14ac:dyDescent="0.3">
      <c r="A4074" s="245"/>
      <c r="B4074" s="246"/>
      <c r="C4074" s="245"/>
      <c r="D4074" s="245"/>
      <c r="E4074" s="245"/>
      <c r="F4074" s="245"/>
      <c r="G4074" s="245"/>
      <c r="H4074" s="245"/>
      <c r="I4074" s="245"/>
      <c r="J4074" s="245"/>
      <c r="K4074" s="245"/>
      <c r="L4074" s="246"/>
      <c r="M4074" s="245"/>
      <c r="N4074" s="245"/>
      <c r="O4074" s="245"/>
      <c r="P4074" s="245"/>
      <c r="Q4074" s="247"/>
      <c r="R4074" s="247"/>
      <c r="S4074" s="247"/>
      <c r="T4074" s="245"/>
      <c r="U4074" s="245"/>
      <c r="V4074" s="241"/>
      <c r="W4074" s="241"/>
      <c r="X4074" s="241"/>
    </row>
    <row r="4075" spans="1:24" ht="13.5" customHeight="1" x14ac:dyDescent="0.3">
      <c r="A4075" s="245"/>
      <c r="B4075" s="246"/>
      <c r="C4075" s="245"/>
      <c r="D4075" s="245"/>
      <c r="E4075" s="245"/>
      <c r="F4075" s="245"/>
      <c r="G4075" s="245"/>
      <c r="H4075" s="245"/>
      <c r="I4075" s="245"/>
      <c r="J4075" s="245"/>
      <c r="K4075" s="245"/>
      <c r="L4075" s="246"/>
      <c r="M4075" s="245"/>
      <c r="N4075" s="245"/>
      <c r="O4075" s="245"/>
      <c r="P4075" s="245"/>
      <c r="Q4075" s="247"/>
      <c r="R4075" s="247"/>
      <c r="S4075" s="247"/>
      <c r="T4075" s="245"/>
      <c r="U4075" s="245"/>
      <c r="V4075" s="241"/>
      <c r="W4075" s="241"/>
      <c r="X4075" s="241"/>
    </row>
    <row r="4076" spans="1:24" ht="13.5" customHeight="1" x14ac:dyDescent="0.3">
      <c r="A4076" s="245"/>
      <c r="B4076" s="246"/>
      <c r="C4076" s="245"/>
      <c r="D4076" s="245"/>
      <c r="E4076" s="245"/>
      <c r="F4076" s="245"/>
      <c r="G4076" s="245"/>
      <c r="H4076" s="245"/>
      <c r="I4076" s="245"/>
      <c r="J4076" s="245"/>
      <c r="K4076" s="245"/>
      <c r="L4076" s="246"/>
      <c r="M4076" s="245"/>
      <c r="N4076" s="245"/>
      <c r="O4076" s="245"/>
      <c r="P4076" s="245"/>
      <c r="Q4076" s="247"/>
      <c r="R4076" s="247"/>
      <c r="S4076" s="247"/>
      <c r="T4076" s="245"/>
      <c r="U4076" s="245"/>
      <c r="V4076" s="241"/>
      <c r="W4076" s="241"/>
      <c r="X4076" s="241"/>
    </row>
    <row r="4077" spans="1:24" ht="13.5" customHeight="1" x14ac:dyDescent="0.3">
      <c r="A4077" s="245"/>
      <c r="B4077" s="246"/>
      <c r="C4077" s="245"/>
      <c r="D4077" s="245"/>
      <c r="E4077" s="245"/>
      <c r="F4077" s="245"/>
      <c r="G4077" s="245"/>
      <c r="H4077" s="245"/>
      <c r="I4077" s="245"/>
      <c r="J4077" s="245"/>
      <c r="K4077" s="245"/>
      <c r="L4077" s="246"/>
      <c r="M4077" s="245"/>
      <c r="N4077" s="245"/>
      <c r="O4077" s="245"/>
      <c r="P4077" s="245"/>
      <c r="Q4077" s="247"/>
      <c r="R4077" s="247"/>
      <c r="S4077" s="247"/>
      <c r="T4077" s="245"/>
      <c r="U4077" s="245"/>
      <c r="V4077" s="241"/>
      <c r="W4077" s="241"/>
      <c r="X4077" s="241"/>
    </row>
    <row r="4078" spans="1:24" ht="13.5" customHeight="1" x14ac:dyDescent="0.3">
      <c r="A4078" s="245"/>
      <c r="B4078" s="246"/>
      <c r="C4078" s="245"/>
      <c r="D4078" s="245"/>
      <c r="E4078" s="245"/>
      <c r="F4078" s="245"/>
      <c r="G4078" s="245"/>
      <c r="H4078" s="245"/>
      <c r="I4078" s="245"/>
      <c r="J4078" s="245"/>
      <c r="K4078" s="245"/>
      <c r="L4078" s="246"/>
      <c r="M4078" s="245"/>
      <c r="N4078" s="245"/>
      <c r="O4078" s="245"/>
      <c r="P4078" s="245"/>
      <c r="Q4078" s="247"/>
      <c r="R4078" s="247"/>
      <c r="S4078" s="247"/>
      <c r="T4078" s="245"/>
      <c r="U4078" s="245"/>
      <c r="V4078" s="241"/>
      <c r="W4078" s="241"/>
      <c r="X4078" s="241"/>
    </row>
    <row r="4079" spans="1:24" ht="13.5" customHeight="1" x14ac:dyDescent="0.3">
      <c r="A4079" s="245"/>
      <c r="B4079" s="246"/>
      <c r="C4079" s="245"/>
      <c r="D4079" s="245"/>
      <c r="E4079" s="245"/>
      <c r="F4079" s="245"/>
      <c r="G4079" s="245"/>
      <c r="H4079" s="245"/>
      <c r="I4079" s="245"/>
      <c r="J4079" s="245"/>
      <c r="K4079" s="245"/>
      <c r="L4079" s="246"/>
      <c r="M4079" s="245"/>
      <c r="N4079" s="245"/>
      <c r="O4079" s="245"/>
      <c r="P4079" s="245"/>
      <c r="Q4079" s="247"/>
      <c r="R4079" s="247"/>
      <c r="S4079" s="247"/>
      <c r="T4079" s="245"/>
      <c r="U4079" s="245"/>
      <c r="V4079" s="241"/>
      <c r="W4079" s="241"/>
      <c r="X4079" s="241"/>
    </row>
    <row r="4080" spans="1:24" ht="13.5" customHeight="1" x14ac:dyDescent="0.3">
      <c r="A4080" s="245"/>
      <c r="B4080" s="246"/>
      <c r="C4080" s="245"/>
      <c r="D4080" s="245"/>
      <c r="E4080" s="245"/>
      <c r="F4080" s="245"/>
      <c r="G4080" s="245"/>
      <c r="H4080" s="245"/>
      <c r="I4080" s="245"/>
      <c r="J4080" s="245"/>
      <c r="K4080" s="245"/>
      <c r="L4080" s="246"/>
      <c r="M4080" s="245"/>
      <c r="N4080" s="245"/>
      <c r="O4080" s="245"/>
      <c r="P4080" s="245"/>
      <c r="Q4080" s="247"/>
      <c r="R4080" s="247"/>
      <c r="S4080" s="247"/>
      <c r="T4080" s="245"/>
      <c r="U4080" s="245"/>
      <c r="V4080" s="241"/>
      <c r="W4080" s="241"/>
      <c r="X4080" s="241"/>
    </row>
    <row r="4081" spans="1:24" ht="13.5" customHeight="1" x14ac:dyDescent="0.3">
      <c r="A4081" s="245"/>
      <c r="B4081" s="246"/>
      <c r="C4081" s="245"/>
      <c r="D4081" s="245"/>
      <c r="E4081" s="245"/>
      <c r="F4081" s="245"/>
      <c r="G4081" s="245"/>
      <c r="H4081" s="245"/>
      <c r="I4081" s="245"/>
      <c r="J4081" s="245"/>
      <c r="K4081" s="245"/>
      <c r="L4081" s="246"/>
      <c r="M4081" s="245"/>
      <c r="N4081" s="245"/>
      <c r="O4081" s="245"/>
      <c r="P4081" s="245"/>
      <c r="Q4081" s="247"/>
      <c r="R4081" s="247"/>
      <c r="S4081" s="247"/>
      <c r="T4081" s="245"/>
      <c r="U4081" s="245"/>
      <c r="V4081" s="241"/>
      <c r="W4081" s="241"/>
      <c r="X4081" s="241"/>
    </row>
    <row r="4082" spans="1:24" ht="13.5" customHeight="1" x14ac:dyDescent="0.3">
      <c r="A4082" s="245"/>
      <c r="B4082" s="246"/>
      <c r="C4082" s="245"/>
      <c r="D4082" s="245"/>
      <c r="E4082" s="245"/>
      <c r="F4082" s="245"/>
      <c r="G4082" s="245"/>
      <c r="H4082" s="245"/>
      <c r="I4082" s="245"/>
      <c r="J4082" s="245"/>
      <c r="K4082" s="245"/>
      <c r="L4082" s="246"/>
      <c r="M4082" s="245"/>
      <c r="N4082" s="245"/>
      <c r="O4082" s="245"/>
      <c r="P4082" s="245"/>
      <c r="Q4082" s="247"/>
      <c r="R4082" s="247"/>
      <c r="S4082" s="247"/>
      <c r="T4082" s="245"/>
      <c r="U4082" s="245"/>
      <c r="V4082" s="241"/>
      <c r="W4082" s="241"/>
      <c r="X4082" s="241"/>
    </row>
    <row r="4083" spans="1:24" ht="13.5" customHeight="1" x14ac:dyDescent="0.3">
      <c r="A4083" s="245"/>
      <c r="B4083" s="246"/>
      <c r="C4083" s="245"/>
      <c r="D4083" s="245"/>
      <c r="E4083" s="245"/>
      <c r="F4083" s="245"/>
      <c r="G4083" s="245"/>
      <c r="H4083" s="245"/>
      <c r="I4083" s="245"/>
      <c r="J4083" s="245"/>
      <c r="K4083" s="245"/>
      <c r="L4083" s="246"/>
      <c r="M4083" s="245"/>
      <c r="N4083" s="245"/>
      <c r="O4083" s="245"/>
      <c r="P4083" s="245"/>
      <c r="Q4083" s="247"/>
      <c r="R4083" s="247"/>
      <c r="S4083" s="247"/>
      <c r="T4083" s="245"/>
      <c r="U4083" s="245"/>
      <c r="V4083" s="241"/>
      <c r="W4083" s="241"/>
      <c r="X4083" s="241"/>
    </row>
    <row r="4084" spans="1:24" ht="13.5" customHeight="1" x14ac:dyDescent="0.3">
      <c r="A4084" s="245"/>
      <c r="B4084" s="246"/>
      <c r="C4084" s="245"/>
      <c r="D4084" s="245"/>
      <c r="E4084" s="245"/>
      <c r="F4084" s="245"/>
      <c r="G4084" s="245"/>
      <c r="H4084" s="245"/>
      <c r="I4084" s="245"/>
      <c r="J4084" s="245"/>
      <c r="K4084" s="245"/>
      <c r="L4084" s="246"/>
      <c r="M4084" s="245"/>
      <c r="N4084" s="245"/>
      <c r="O4084" s="245"/>
      <c r="P4084" s="245"/>
      <c r="Q4084" s="247"/>
      <c r="R4084" s="247"/>
      <c r="S4084" s="247"/>
      <c r="T4084" s="245"/>
      <c r="U4084" s="245"/>
      <c r="V4084" s="241"/>
      <c r="W4084" s="241"/>
      <c r="X4084" s="241"/>
    </row>
    <row r="4085" spans="1:24" ht="13.5" customHeight="1" x14ac:dyDescent="0.3">
      <c r="A4085" s="245"/>
      <c r="B4085" s="246"/>
      <c r="C4085" s="245"/>
      <c r="D4085" s="245"/>
      <c r="E4085" s="245"/>
      <c r="F4085" s="245"/>
      <c r="G4085" s="245"/>
      <c r="H4085" s="245"/>
      <c r="I4085" s="245"/>
      <c r="J4085" s="245"/>
      <c r="K4085" s="245"/>
      <c r="L4085" s="246"/>
      <c r="M4085" s="245"/>
      <c r="N4085" s="245"/>
      <c r="O4085" s="245"/>
      <c r="P4085" s="245"/>
      <c r="Q4085" s="247"/>
      <c r="R4085" s="247"/>
      <c r="S4085" s="247"/>
      <c r="T4085" s="245"/>
      <c r="U4085" s="245"/>
      <c r="V4085" s="241"/>
      <c r="W4085" s="241"/>
      <c r="X4085" s="241"/>
    </row>
    <row r="4086" spans="1:24" ht="13.5" customHeight="1" x14ac:dyDescent="0.3">
      <c r="A4086" s="245"/>
      <c r="B4086" s="246"/>
      <c r="C4086" s="245"/>
      <c r="D4086" s="245"/>
      <c r="E4086" s="245"/>
      <c r="F4086" s="245"/>
      <c r="G4086" s="245"/>
      <c r="H4086" s="245"/>
      <c r="I4086" s="245"/>
      <c r="J4086" s="245"/>
      <c r="K4086" s="245"/>
      <c r="L4086" s="246"/>
      <c r="M4086" s="245"/>
      <c r="N4086" s="245"/>
      <c r="O4086" s="245"/>
      <c r="P4086" s="245"/>
      <c r="Q4086" s="247"/>
      <c r="R4086" s="247"/>
      <c r="S4086" s="247"/>
      <c r="T4086" s="245"/>
      <c r="U4086" s="245"/>
      <c r="V4086" s="241"/>
      <c r="W4086" s="241"/>
      <c r="X4086" s="241"/>
    </row>
    <row r="4087" spans="1:24" ht="13.5" customHeight="1" x14ac:dyDescent="0.3">
      <c r="A4087" s="245"/>
      <c r="B4087" s="246"/>
      <c r="C4087" s="245"/>
      <c r="D4087" s="245"/>
      <c r="E4087" s="245"/>
      <c r="F4087" s="245"/>
      <c r="G4087" s="245"/>
      <c r="H4087" s="245"/>
      <c r="I4087" s="245"/>
      <c r="J4087" s="245"/>
      <c r="K4087" s="245"/>
      <c r="L4087" s="246"/>
      <c r="M4087" s="245"/>
      <c r="N4087" s="245"/>
      <c r="O4087" s="245"/>
      <c r="P4087" s="245"/>
      <c r="Q4087" s="247"/>
      <c r="R4087" s="247"/>
      <c r="S4087" s="247"/>
      <c r="T4087" s="245"/>
      <c r="U4087" s="245"/>
      <c r="V4087" s="241"/>
      <c r="W4087" s="241"/>
      <c r="X4087" s="241"/>
    </row>
    <row r="4088" spans="1:24" ht="13.5" customHeight="1" x14ac:dyDescent="0.3">
      <c r="A4088" s="245"/>
      <c r="B4088" s="246"/>
      <c r="C4088" s="245"/>
      <c r="D4088" s="245"/>
      <c r="E4088" s="245"/>
      <c r="F4088" s="245"/>
      <c r="G4088" s="245"/>
      <c r="H4088" s="245"/>
      <c r="I4088" s="245"/>
      <c r="J4088" s="245"/>
      <c r="K4088" s="245"/>
      <c r="L4088" s="246"/>
      <c r="M4088" s="245"/>
      <c r="N4088" s="245"/>
      <c r="O4088" s="245"/>
      <c r="P4088" s="245"/>
      <c r="Q4088" s="247"/>
      <c r="R4088" s="247"/>
      <c r="S4088" s="247"/>
      <c r="T4088" s="245"/>
      <c r="U4088" s="245"/>
      <c r="V4088" s="241"/>
      <c r="W4088" s="241"/>
      <c r="X4088" s="241"/>
    </row>
    <row r="4089" spans="1:24" ht="13.5" customHeight="1" x14ac:dyDescent="0.3">
      <c r="A4089" s="245"/>
      <c r="B4089" s="246"/>
      <c r="C4089" s="245"/>
      <c r="D4089" s="245"/>
      <c r="E4089" s="245"/>
      <c r="F4089" s="245"/>
      <c r="G4089" s="245"/>
      <c r="H4089" s="245"/>
      <c r="I4089" s="245"/>
      <c r="J4089" s="245"/>
      <c r="K4089" s="245"/>
      <c r="L4089" s="246"/>
      <c r="M4089" s="245"/>
      <c r="N4089" s="245"/>
      <c r="O4089" s="245"/>
      <c r="P4089" s="245"/>
      <c r="Q4089" s="247"/>
      <c r="R4089" s="247"/>
      <c r="S4089" s="247"/>
      <c r="T4089" s="245"/>
      <c r="U4089" s="245"/>
      <c r="V4089" s="241"/>
      <c r="W4089" s="241"/>
      <c r="X4089" s="241"/>
    </row>
    <row r="4090" spans="1:24" ht="13.5" customHeight="1" x14ac:dyDescent="0.3">
      <c r="A4090" s="245"/>
      <c r="B4090" s="246"/>
      <c r="C4090" s="245"/>
      <c r="D4090" s="245"/>
      <c r="E4090" s="245"/>
      <c r="F4090" s="245"/>
      <c r="G4090" s="245"/>
      <c r="H4090" s="245"/>
      <c r="I4090" s="245"/>
      <c r="J4090" s="245"/>
      <c r="K4090" s="245"/>
      <c r="L4090" s="246"/>
      <c r="M4090" s="245"/>
      <c r="N4090" s="245"/>
      <c r="O4090" s="245"/>
      <c r="P4090" s="245"/>
      <c r="Q4090" s="247"/>
      <c r="R4090" s="247"/>
      <c r="S4090" s="247"/>
      <c r="T4090" s="245"/>
      <c r="U4090" s="245"/>
      <c r="V4090" s="241"/>
      <c r="W4090" s="241"/>
      <c r="X4090" s="241"/>
    </row>
    <row r="4091" spans="1:24" ht="13.5" customHeight="1" x14ac:dyDescent="0.3">
      <c r="A4091" s="245"/>
      <c r="B4091" s="246"/>
      <c r="C4091" s="245"/>
      <c r="D4091" s="245"/>
      <c r="E4091" s="245"/>
      <c r="F4091" s="245"/>
      <c r="G4091" s="245"/>
      <c r="H4091" s="245"/>
      <c r="I4091" s="245"/>
      <c r="J4091" s="245"/>
      <c r="K4091" s="245"/>
      <c r="L4091" s="246"/>
      <c r="M4091" s="245"/>
      <c r="N4091" s="245"/>
      <c r="O4091" s="245"/>
      <c r="P4091" s="245"/>
      <c r="Q4091" s="247"/>
      <c r="R4091" s="247"/>
      <c r="S4091" s="247"/>
      <c r="T4091" s="245"/>
      <c r="U4091" s="245"/>
      <c r="V4091" s="241"/>
      <c r="W4091" s="241"/>
      <c r="X4091" s="241"/>
    </row>
    <row r="4092" spans="1:24" ht="13.5" customHeight="1" x14ac:dyDescent="0.3">
      <c r="A4092" s="245"/>
      <c r="B4092" s="246"/>
      <c r="C4092" s="245"/>
      <c r="D4092" s="245"/>
      <c r="E4092" s="245"/>
      <c r="F4092" s="245"/>
      <c r="G4092" s="245"/>
      <c r="H4092" s="245"/>
      <c r="I4092" s="245"/>
      <c r="J4092" s="245"/>
      <c r="K4092" s="245"/>
      <c r="L4092" s="246"/>
      <c r="M4092" s="245"/>
      <c r="N4092" s="245"/>
      <c r="O4092" s="245"/>
      <c r="P4092" s="245"/>
      <c r="Q4092" s="247"/>
      <c r="R4092" s="247"/>
      <c r="S4092" s="247"/>
      <c r="T4092" s="245"/>
      <c r="U4092" s="245"/>
      <c r="V4092" s="241"/>
      <c r="W4092" s="241"/>
      <c r="X4092" s="241"/>
    </row>
    <row r="4093" spans="1:24" ht="13.5" customHeight="1" x14ac:dyDescent="0.3">
      <c r="A4093" s="245"/>
      <c r="B4093" s="246"/>
      <c r="C4093" s="245"/>
      <c r="D4093" s="245"/>
      <c r="E4093" s="245"/>
      <c r="F4093" s="245"/>
      <c r="G4093" s="245"/>
      <c r="H4093" s="245"/>
      <c r="I4093" s="245"/>
      <c r="J4093" s="245"/>
      <c r="K4093" s="245"/>
      <c r="L4093" s="246"/>
      <c r="M4093" s="245"/>
      <c r="N4093" s="245"/>
      <c r="O4093" s="245"/>
      <c r="P4093" s="245"/>
      <c r="Q4093" s="247"/>
      <c r="R4093" s="247"/>
      <c r="S4093" s="247"/>
      <c r="T4093" s="245"/>
      <c r="U4093" s="245"/>
      <c r="V4093" s="241"/>
      <c r="W4093" s="241"/>
      <c r="X4093" s="241"/>
    </row>
    <row r="4094" spans="1:24" ht="13.5" customHeight="1" x14ac:dyDescent="0.3">
      <c r="A4094" s="245"/>
      <c r="B4094" s="246"/>
      <c r="C4094" s="245"/>
      <c r="D4094" s="245"/>
      <c r="E4094" s="245"/>
      <c r="F4094" s="245"/>
      <c r="G4094" s="245"/>
      <c r="H4094" s="245"/>
      <c r="I4094" s="245"/>
      <c r="J4094" s="245"/>
      <c r="K4094" s="245"/>
      <c r="L4094" s="246"/>
      <c r="M4094" s="245"/>
      <c r="N4094" s="245"/>
      <c r="O4094" s="245"/>
      <c r="P4094" s="245"/>
      <c r="Q4094" s="247"/>
      <c r="R4094" s="247"/>
      <c r="S4094" s="247"/>
      <c r="T4094" s="245"/>
      <c r="U4094" s="245"/>
      <c r="V4094" s="241"/>
      <c r="W4094" s="241"/>
      <c r="X4094" s="241"/>
    </row>
    <row r="4095" spans="1:24" ht="13.5" customHeight="1" x14ac:dyDescent="0.3">
      <c r="A4095" s="245"/>
      <c r="B4095" s="246"/>
      <c r="C4095" s="245"/>
      <c r="D4095" s="245"/>
      <c r="E4095" s="245"/>
      <c r="F4095" s="245"/>
      <c r="G4095" s="245"/>
      <c r="H4095" s="245"/>
      <c r="I4095" s="245"/>
      <c r="J4095" s="245"/>
      <c r="K4095" s="245"/>
      <c r="L4095" s="246"/>
      <c r="M4095" s="245"/>
      <c r="N4095" s="245"/>
      <c r="O4095" s="245"/>
      <c r="P4095" s="245"/>
      <c r="Q4095" s="247"/>
      <c r="R4095" s="247"/>
      <c r="S4095" s="247"/>
      <c r="T4095" s="245"/>
      <c r="U4095" s="245"/>
      <c r="V4095" s="241"/>
      <c r="W4095" s="241"/>
      <c r="X4095" s="241"/>
    </row>
    <row r="4096" spans="1:24" ht="13.5" customHeight="1" x14ac:dyDescent="0.3">
      <c r="A4096" s="245"/>
      <c r="B4096" s="246"/>
      <c r="C4096" s="245"/>
      <c r="D4096" s="245"/>
      <c r="E4096" s="245"/>
      <c r="F4096" s="245"/>
      <c r="G4096" s="245"/>
      <c r="H4096" s="245"/>
      <c r="I4096" s="245"/>
      <c r="J4096" s="245"/>
      <c r="K4096" s="245"/>
      <c r="L4096" s="246"/>
      <c r="M4096" s="245"/>
      <c r="N4096" s="245"/>
      <c r="O4096" s="245"/>
      <c r="P4096" s="245"/>
      <c r="Q4096" s="247"/>
      <c r="R4096" s="247"/>
      <c r="S4096" s="247"/>
      <c r="T4096" s="245"/>
      <c r="U4096" s="245"/>
      <c r="V4096" s="241"/>
      <c r="W4096" s="241"/>
      <c r="X4096" s="241"/>
    </row>
    <row r="4097" spans="1:24" ht="13.5" customHeight="1" x14ac:dyDescent="0.3">
      <c r="A4097" s="245"/>
      <c r="B4097" s="246"/>
      <c r="C4097" s="245"/>
      <c r="D4097" s="245"/>
      <c r="E4097" s="245"/>
      <c r="F4097" s="245"/>
      <c r="G4097" s="245"/>
      <c r="H4097" s="245"/>
      <c r="I4097" s="245"/>
      <c r="J4097" s="245"/>
      <c r="K4097" s="245"/>
      <c r="L4097" s="246"/>
      <c r="M4097" s="245"/>
      <c r="N4097" s="245"/>
      <c r="O4097" s="245"/>
      <c r="P4097" s="245"/>
      <c r="Q4097" s="247"/>
      <c r="R4097" s="247"/>
      <c r="S4097" s="247"/>
      <c r="T4097" s="245"/>
      <c r="U4097" s="245"/>
      <c r="V4097" s="241"/>
      <c r="W4097" s="241"/>
      <c r="X4097" s="241"/>
    </row>
    <row r="4098" spans="1:24" ht="13.5" customHeight="1" x14ac:dyDescent="0.3">
      <c r="A4098" s="245"/>
      <c r="B4098" s="246"/>
      <c r="C4098" s="245"/>
      <c r="D4098" s="245"/>
      <c r="E4098" s="245"/>
      <c r="F4098" s="245"/>
      <c r="G4098" s="245"/>
      <c r="H4098" s="245"/>
      <c r="I4098" s="245"/>
      <c r="J4098" s="245"/>
      <c r="K4098" s="245"/>
      <c r="L4098" s="246"/>
      <c r="M4098" s="245"/>
      <c r="N4098" s="245"/>
      <c r="O4098" s="245"/>
      <c r="P4098" s="245"/>
      <c r="Q4098" s="247"/>
      <c r="R4098" s="247"/>
      <c r="S4098" s="247"/>
      <c r="T4098" s="245"/>
      <c r="U4098" s="245"/>
      <c r="V4098" s="241"/>
      <c r="W4098" s="241"/>
      <c r="X4098" s="241"/>
    </row>
    <row r="4099" spans="1:24" ht="13.5" customHeight="1" x14ac:dyDescent="0.3">
      <c r="A4099" s="245"/>
      <c r="B4099" s="246"/>
      <c r="C4099" s="245"/>
      <c r="D4099" s="245"/>
      <c r="E4099" s="245"/>
      <c r="F4099" s="245"/>
      <c r="G4099" s="245"/>
      <c r="H4099" s="245"/>
      <c r="I4099" s="245"/>
      <c r="J4099" s="245"/>
      <c r="K4099" s="245"/>
      <c r="L4099" s="246"/>
      <c r="M4099" s="245"/>
      <c r="N4099" s="245"/>
      <c r="O4099" s="245"/>
      <c r="P4099" s="245"/>
      <c r="Q4099" s="247"/>
      <c r="R4099" s="247"/>
      <c r="S4099" s="247"/>
      <c r="T4099" s="245"/>
      <c r="U4099" s="245"/>
      <c r="V4099" s="241"/>
      <c r="W4099" s="241"/>
      <c r="X4099" s="241"/>
    </row>
    <row r="4100" spans="1:24" ht="13.5" customHeight="1" x14ac:dyDescent="0.3">
      <c r="A4100" s="245"/>
      <c r="B4100" s="246"/>
      <c r="C4100" s="245"/>
      <c r="D4100" s="245"/>
      <c r="E4100" s="245"/>
      <c r="F4100" s="245"/>
      <c r="G4100" s="245"/>
      <c r="H4100" s="245"/>
      <c r="I4100" s="245"/>
      <c r="J4100" s="245"/>
      <c r="K4100" s="245"/>
      <c r="L4100" s="246"/>
      <c r="M4100" s="245"/>
      <c r="N4100" s="245"/>
      <c r="O4100" s="245"/>
      <c r="P4100" s="245"/>
      <c r="Q4100" s="247"/>
      <c r="R4100" s="247"/>
      <c r="S4100" s="247"/>
      <c r="T4100" s="245"/>
      <c r="U4100" s="245"/>
      <c r="V4100" s="241"/>
      <c r="W4100" s="241"/>
      <c r="X4100" s="241"/>
    </row>
    <row r="4101" spans="1:24" ht="13.5" customHeight="1" x14ac:dyDescent="0.3">
      <c r="A4101" s="245"/>
      <c r="B4101" s="246"/>
      <c r="C4101" s="245"/>
      <c r="D4101" s="245"/>
      <c r="E4101" s="245"/>
      <c r="F4101" s="245"/>
      <c r="G4101" s="245"/>
      <c r="H4101" s="245"/>
      <c r="I4101" s="245"/>
      <c r="J4101" s="245"/>
      <c r="K4101" s="245"/>
      <c r="L4101" s="246"/>
      <c r="M4101" s="245"/>
      <c r="N4101" s="245"/>
      <c r="O4101" s="245"/>
      <c r="P4101" s="245"/>
      <c r="Q4101" s="247"/>
      <c r="R4101" s="247"/>
      <c r="S4101" s="247"/>
      <c r="T4101" s="245"/>
      <c r="U4101" s="245"/>
      <c r="V4101" s="241"/>
      <c r="W4101" s="241"/>
      <c r="X4101" s="241"/>
    </row>
    <row r="4102" spans="1:24" ht="13.5" customHeight="1" x14ac:dyDescent="0.3">
      <c r="A4102" s="245"/>
      <c r="B4102" s="246"/>
      <c r="C4102" s="245"/>
      <c r="D4102" s="245"/>
      <c r="E4102" s="245"/>
      <c r="F4102" s="245"/>
      <c r="G4102" s="245"/>
      <c r="H4102" s="245"/>
      <c r="I4102" s="245"/>
      <c r="J4102" s="245"/>
      <c r="K4102" s="245"/>
      <c r="L4102" s="246"/>
      <c r="M4102" s="245"/>
      <c r="N4102" s="245"/>
      <c r="O4102" s="245"/>
      <c r="P4102" s="245"/>
      <c r="Q4102" s="247"/>
      <c r="R4102" s="247"/>
      <c r="S4102" s="247"/>
      <c r="T4102" s="245"/>
      <c r="U4102" s="245"/>
      <c r="V4102" s="241"/>
      <c r="W4102" s="241"/>
      <c r="X4102" s="241"/>
    </row>
    <row r="4103" spans="1:24" ht="13.5" customHeight="1" x14ac:dyDescent="0.3">
      <c r="A4103" s="245"/>
      <c r="B4103" s="246"/>
      <c r="C4103" s="245"/>
      <c r="D4103" s="245"/>
      <c r="E4103" s="245"/>
      <c r="F4103" s="245"/>
      <c r="G4103" s="245"/>
      <c r="H4103" s="245"/>
      <c r="I4103" s="245"/>
      <c r="J4103" s="245"/>
      <c r="K4103" s="245"/>
      <c r="L4103" s="246"/>
      <c r="M4103" s="245"/>
      <c r="N4103" s="245"/>
      <c r="O4103" s="245"/>
      <c r="P4103" s="245"/>
      <c r="Q4103" s="247"/>
      <c r="R4103" s="247"/>
      <c r="S4103" s="247"/>
      <c r="T4103" s="245"/>
      <c r="U4103" s="245"/>
      <c r="V4103" s="241"/>
      <c r="W4103" s="241"/>
      <c r="X4103" s="241"/>
    </row>
    <row r="4104" spans="1:24" ht="13.5" customHeight="1" x14ac:dyDescent="0.3">
      <c r="A4104" s="245"/>
      <c r="B4104" s="246"/>
      <c r="C4104" s="245"/>
      <c r="D4104" s="245"/>
      <c r="E4104" s="245"/>
      <c r="F4104" s="245"/>
      <c r="G4104" s="245"/>
      <c r="H4104" s="245"/>
      <c r="I4104" s="245"/>
      <c r="J4104" s="245"/>
      <c r="K4104" s="245"/>
      <c r="L4104" s="246"/>
      <c r="M4104" s="245"/>
      <c r="N4104" s="245"/>
      <c r="O4104" s="245"/>
      <c r="P4104" s="245"/>
      <c r="Q4104" s="247"/>
      <c r="R4104" s="247"/>
      <c r="S4104" s="247"/>
      <c r="T4104" s="245"/>
      <c r="U4104" s="245"/>
      <c r="V4104" s="241"/>
      <c r="W4104" s="241"/>
      <c r="X4104" s="241"/>
    </row>
    <row r="4105" spans="1:24" ht="13.5" customHeight="1" x14ac:dyDescent="0.3">
      <c r="A4105" s="245"/>
      <c r="B4105" s="246"/>
      <c r="C4105" s="245"/>
      <c r="D4105" s="245"/>
      <c r="E4105" s="245"/>
      <c r="F4105" s="245"/>
      <c r="G4105" s="245"/>
      <c r="H4105" s="245"/>
      <c r="I4105" s="245"/>
      <c r="J4105" s="245"/>
      <c r="K4105" s="245"/>
      <c r="L4105" s="246"/>
      <c r="M4105" s="245"/>
      <c r="N4105" s="245"/>
      <c r="O4105" s="245"/>
      <c r="P4105" s="245"/>
      <c r="Q4105" s="247"/>
      <c r="R4105" s="247"/>
      <c r="S4105" s="247"/>
      <c r="T4105" s="245"/>
      <c r="U4105" s="245"/>
      <c r="V4105" s="241"/>
      <c r="W4105" s="241"/>
      <c r="X4105" s="241"/>
    </row>
    <row r="4106" spans="1:24" ht="13.5" customHeight="1" x14ac:dyDescent="0.3">
      <c r="A4106" s="245"/>
      <c r="B4106" s="246"/>
      <c r="C4106" s="245"/>
      <c r="D4106" s="245"/>
      <c r="E4106" s="245"/>
      <c r="F4106" s="245"/>
      <c r="G4106" s="245"/>
      <c r="H4106" s="245"/>
      <c r="I4106" s="245"/>
      <c r="J4106" s="245"/>
      <c r="K4106" s="245"/>
      <c r="L4106" s="246"/>
      <c r="M4106" s="245"/>
      <c r="N4106" s="245"/>
      <c r="O4106" s="245"/>
      <c r="P4106" s="245"/>
      <c r="Q4106" s="247"/>
      <c r="R4106" s="247"/>
      <c r="S4106" s="247"/>
      <c r="T4106" s="245"/>
      <c r="U4106" s="245"/>
      <c r="V4106" s="241"/>
      <c r="W4106" s="241"/>
      <c r="X4106" s="241"/>
    </row>
    <row r="4107" spans="1:24" ht="13.5" customHeight="1" x14ac:dyDescent="0.3">
      <c r="A4107" s="245"/>
      <c r="B4107" s="246"/>
      <c r="C4107" s="245"/>
      <c r="D4107" s="245"/>
      <c r="E4107" s="245"/>
      <c r="F4107" s="245"/>
      <c r="G4107" s="245"/>
      <c r="H4107" s="245"/>
      <c r="I4107" s="245"/>
      <c r="J4107" s="245"/>
      <c r="K4107" s="245"/>
      <c r="L4107" s="246"/>
      <c r="M4107" s="245"/>
      <c r="N4107" s="245"/>
      <c r="O4107" s="245"/>
      <c r="P4107" s="245"/>
      <c r="Q4107" s="247"/>
      <c r="R4107" s="247"/>
      <c r="S4107" s="247"/>
      <c r="T4107" s="245"/>
      <c r="U4107" s="245"/>
      <c r="V4107" s="241"/>
      <c r="W4107" s="241"/>
      <c r="X4107" s="241"/>
    </row>
    <row r="4108" spans="1:24" ht="13.5" customHeight="1" x14ac:dyDescent="0.3">
      <c r="A4108" s="245"/>
      <c r="B4108" s="246"/>
      <c r="C4108" s="245"/>
      <c r="D4108" s="245"/>
      <c r="E4108" s="245"/>
      <c r="F4108" s="245"/>
      <c r="G4108" s="245"/>
      <c r="H4108" s="245"/>
      <c r="I4108" s="245"/>
      <c r="J4108" s="245"/>
      <c r="K4108" s="245"/>
      <c r="L4108" s="246"/>
      <c r="M4108" s="245"/>
      <c r="N4108" s="245"/>
      <c r="O4108" s="245"/>
      <c r="P4108" s="245"/>
      <c r="Q4108" s="247"/>
      <c r="R4108" s="247"/>
      <c r="S4108" s="247"/>
      <c r="T4108" s="245"/>
      <c r="U4108" s="245"/>
      <c r="V4108" s="241"/>
      <c r="W4108" s="241"/>
      <c r="X4108" s="241"/>
    </row>
    <row r="4109" spans="1:24" ht="13.5" customHeight="1" x14ac:dyDescent="0.3">
      <c r="A4109" s="245"/>
      <c r="B4109" s="246"/>
      <c r="C4109" s="245"/>
      <c r="D4109" s="245"/>
      <c r="E4109" s="245"/>
      <c r="F4109" s="245"/>
      <c r="G4109" s="245"/>
      <c r="H4109" s="245"/>
      <c r="I4109" s="245"/>
      <c r="J4109" s="245"/>
      <c r="K4109" s="245"/>
      <c r="L4109" s="246"/>
      <c r="M4109" s="245"/>
      <c r="N4109" s="245"/>
      <c r="O4109" s="245"/>
      <c r="P4109" s="245"/>
      <c r="Q4109" s="247"/>
      <c r="R4109" s="247"/>
      <c r="S4109" s="247"/>
      <c r="T4109" s="245"/>
      <c r="U4109" s="245"/>
      <c r="V4109" s="241"/>
      <c r="W4109" s="241"/>
      <c r="X4109" s="241"/>
    </row>
    <row r="4110" spans="1:24" ht="13.5" customHeight="1" x14ac:dyDescent="0.3">
      <c r="A4110" s="245"/>
      <c r="B4110" s="246"/>
      <c r="C4110" s="245"/>
      <c r="D4110" s="245"/>
      <c r="E4110" s="245"/>
      <c r="F4110" s="245"/>
      <c r="G4110" s="245"/>
      <c r="H4110" s="245"/>
      <c r="I4110" s="245"/>
      <c r="J4110" s="245"/>
      <c r="K4110" s="245"/>
      <c r="L4110" s="246"/>
      <c r="M4110" s="245"/>
      <c r="N4110" s="245"/>
      <c r="O4110" s="245"/>
      <c r="P4110" s="245"/>
      <c r="Q4110" s="247"/>
      <c r="R4110" s="247"/>
      <c r="S4110" s="247"/>
      <c r="T4110" s="245"/>
      <c r="U4110" s="245"/>
      <c r="V4110" s="241"/>
      <c r="W4110" s="241"/>
      <c r="X4110" s="241"/>
    </row>
    <row r="4111" spans="1:24" ht="13.5" customHeight="1" x14ac:dyDescent="0.3">
      <c r="A4111" s="245"/>
      <c r="B4111" s="246"/>
      <c r="C4111" s="245"/>
      <c r="D4111" s="245"/>
      <c r="E4111" s="245"/>
      <c r="F4111" s="245"/>
      <c r="G4111" s="245"/>
      <c r="H4111" s="245"/>
      <c r="I4111" s="245"/>
      <c r="J4111" s="245"/>
      <c r="K4111" s="245"/>
      <c r="L4111" s="246"/>
      <c r="M4111" s="245"/>
      <c r="N4111" s="245"/>
      <c r="O4111" s="245"/>
      <c r="P4111" s="245"/>
      <c r="Q4111" s="247"/>
      <c r="R4111" s="247"/>
      <c r="S4111" s="247"/>
      <c r="T4111" s="245"/>
      <c r="U4111" s="245"/>
      <c r="V4111" s="241"/>
      <c r="W4111" s="241"/>
      <c r="X4111" s="241"/>
    </row>
    <row r="4112" spans="1:24" ht="13.5" customHeight="1" x14ac:dyDescent="0.3">
      <c r="A4112" s="245"/>
      <c r="B4112" s="246"/>
      <c r="C4112" s="245"/>
      <c r="D4112" s="245"/>
      <c r="E4112" s="245"/>
      <c r="F4112" s="245"/>
      <c r="G4112" s="245"/>
      <c r="H4112" s="245"/>
      <c r="I4112" s="245"/>
      <c r="J4112" s="245"/>
      <c r="K4112" s="245"/>
      <c r="L4112" s="246"/>
      <c r="M4112" s="245"/>
      <c r="N4112" s="245"/>
      <c r="O4112" s="245"/>
      <c r="P4112" s="245"/>
      <c r="Q4112" s="247"/>
      <c r="R4112" s="247"/>
      <c r="S4112" s="247"/>
      <c r="T4112" s="245"/>
      <c r="U4112" s="245"/>
      <c r="V4112" s="241"/>
      <c r="W4112" s="241"/>
      <c r="X4112" s="241"/>
    </row>
    <row r="4113" spans="1:24" ht="13.5" customHeight="1" x14ac:dyDescent="0.3">
      <c r="A4113" s="245"/>
      <c r="B4113" s="246"/>
      <c r="C4113" s="245"/>
      <c r="D4113" s="245"/>
      <c r="E4113" s="245"/>
      <c r="F4113" s="245"/>
      <c r="G4113" s="245"/>
      <c r="H4113" s="245"/>
      <c r="I4113" s="245"/>
      <c r="J4113" s="245"/>
      <c r="K4113" s="245"/>
      <c r="L4113" s="246"/>
      <c r="M4113" s="245"/>
      <c r="N4113" s="245"/>
      <c r="O4113" s="245"/>
      <c r="P4113" s="245"/>
      <c r="Q4113" s="247"/>
      <c r="R4113" s="247"/>
      <c r="S4113" s="247"/>
      <c r="T4113" s="245"/>
      <c r="U4113" s="245"/>
      <c r="V4113" s="241"/>
      <c r="W4113" s="241"/>
      <c r="X4113" s="241"/>
    </row>
    <row r="4114" spans="1:24" ht="13.5" customHeight="1" x14ac:dyDescent="0.3">
      <c r="A4114" s="245"/>
      <c r="B4114" s="246"/>
      <c r="C4114" s="245"/>
      <c r="D4114" s="245"/>
      <c r="E4114" s="245"/>
      <c r="F4114" s="245"/>
      <c r="G4114" s="245"/>
      <c r="H4114" s="245"/>
      <c r="I4114" s="245"/>
      <c r="J4114" s="245"/>
      <c r="K4114" s="245"/>
      <c r="L4114" s="246"/>
      <c r="M4114" s="245"/>
      <c r="N4114" s="245"/>
      <c r="O4114" s="245"/>
      <c r="P4114" s="245"/>
      <c r="Q4114" s="247"/>
      <c r="R4114" s="247"/>
      <c r="S4114" s="247"/>
      <c r="T4114" s="245"/>
      <c r="U4114" s="245"/>
      <c r="V4114" s="241"/>
      <c r="W4114" s="241"/>
      <c r="X4114" s="241"/>
    </row>
    <row r="4115" spans="1:24" ht="13.5" customHeight="1" x14ac:dyDescent="0.3">
      <c r="A4115" s="245"/>
      <c r="B4115" s="246"/>
      <c r="C4115" s="245"/>
      <c r="D4115" s="245"/>
      <c r="E4115" s="245"/>
      <c r="F4115" s="245"/>
      <c r="G4115" s="245"/>
      <c r="H4115" s="245"/>
      <c r="I4115" s="245"/>
      <c r="J4115" s="245"/>
      <c r="K4115" s="245"/>
      <c r="L4115" s="246"/>
      <c r="M4115" s="245"/>
      <c r="N4115" s="245"/>
      <c r="O4115" s="245"/>
      <c r="P4115" s="245"/>
      <c r="Q4115" s="247"/>
      <c r="R4115" s="247"/>
      <c r="S4115" s="247"/>
      <c r="T4115" s="245"/>
      <c r="U4115" s="245"/>
      <c r="V4115" s="241"/>
      <c r="W4115" s="241"/>
      <c r="X4115" s="241"/>
    </row>
    <row r="4116" spans="1:24" ht="13.5" customHeight="1" x14ac:dyDescent="0.3">
      <c r="A4116" s="245"/>
      <c r="B4116" s="246"/>
      <c r="C4116" s="245"/>
      <c r="D4116" s="245"/>
      <c r="E4116" s="245"/>
      <c r="F4116" s="245"/>
      <c r="G4116" s="245"/>
      <c r="H4116" s="245"/>
      <c r="I4116" s="245"/>
      <c r="J4116" s="245"/>
      <c r="K4116" s="245"/>
      <c r="L4116" s="246"/>
      <c r="M4116" s="245"/>
      <c r="N4116" s="245"/>
      <c r="O4116" s="245"/>
      <c r="P4116" s="245"/>
      <c r="Q4116" s="247"/>
      <c r="R4116" s="247"/>
      <c r="S4116" s="247"/>
      <c r="T4116" s="245"/>
      <c r="U4116" s="245"/>
      <c r="V4116" s="241"/>
      <c r="W4116" s="241"/>
      <c r="X4116" s="241"/>
    </row>
    <row r="4117" spans="1:24" ht="13.5" customHeight="1" x14ac:dyDescent="0.3">
      <c r="A4117" s="245"/>
      <c r="B4117" s="246"/>
      <c r="C4117" s="245"/>
      <c r="D4117" s="245"/>
      <c r="E4117" s="245"/>
      <c r="F4117" s="245"/>
      <c r="G4117" s="245"/>
      <c r="H4117" s="245"/>
      <c r="I4117" s="245"/>
      <c r="J4117" s="245"/>
      <c r="K4117" s="245"/>
      <c r="L4117" s="246"/>
      <c r="M4117" s="245"/>
      <c r="N4117" s="245"/>
      <c r="O4117" s="245"/>
      <c r="P4117" s="245"/>
      <c r="Q4117" s="247"/>
      <c r="R4117" s="247"/>
      <c r="S4117" s="247"/>
      <c r="T4117" s="245"/>
      <c r="U4117" s="245"/>
      <c r="V4117" s="241"/>
      <c r="W4117" s="241"/>
      <c r="X4117" s="241"/>
    </row>
    <row r="4118" spans="1:24" ht="13.5" customHeight="1" x14ac:dyDescent="0.3">
      <c r="A4118" s="245"/>
      <c r="B4118" s="246"/>
      <c r="C4118" s="245"/>
      <c r="D4118" s="245"/>
      <c r="E4118" s="245"/>
      <c r="F4118" s="245"/>
      <c r="G4118" s="245"/>
      <c r="H4118" s="245"/>
      <c r="I4118" s="245"/>
      <c r="J4118" s="245"/>
      <c r="K4118" s="245"/>
      <c r="L4118" s="246"/>
      <c r="M4118" s="245"/>
      <c r="N4118" s="245"/>
      <c r="O4118" s="245"/>
      <c r="P4118" s="245"/>
      <c r="Q4118" s="247"/>
      <c r="R4118" s="247"/>
      <c r="S4118" s="247"/>
      <c r="T4118" s="245"/>
      <c r="U4118" s="245"/>
      <c r="V4118" s="241"/>
      <c r="W4118" s="241"/>
      <c r="X4118" s="241"/>
    </row>
    <row r="4119" spans="1:24" ht="13.5" customHeight="1" x14ac:dyDescent="0.3">
      <c r="A4119" s="245"/>
      <c r="B4119" s="246"/>
      <c r="C4119" s="245"/>
      <c r="D4119" s="245"/>
      <c r="E4119" s="245"/>
      <c r="F4119" s="245"/>
      <c r="G4119" s="245"/>
      <c r="H4119" s="245"/>
      <c r="I4119" s="245"/>
      <c r="J4119" s="245"/>
      <c r="K4119" s="245"/>
      <c r="L4119" s="246"/>
      <c r="M4119" s="245"/>
      <c r="N4119" s="245"/>
      <c r="O4119" s="245"/>
      <c r="P4119" s="245"/>
      <c r="Q4119" s="247"/>
      <c r="R4119" s="247"/>
      <c r="S4119" s="247"/>
      <c r="T4119" s="245"/>
      <c r="U4119" s="245"/>
      <c r="V4119" s="241"/>
      <c r="W4119" s="241"/>
      <c r="X4119" s="241"/>
    </row>
    <row r="4120" spans="1:24" ht="13.5" customHeight="1" x14ac:dyDescent="0.3">
      <c r="A4120" s="245"/>
      <c r="B4120" s="246"/>
      <c r="C4120" s="245"/>
      <c r="D4120" s="245"/>
      <c r="E4120" s="245"/>
      <c r="F4120" s="245"/>
      <c r="G4120" s="245"/>
      <c r="H4120" s="245"/>
      <c r="I4120" s="245"/>
      <c r="J4120" s="245"/>
      <c r="K4120" s="245"/>
      <c r="L4120" s="246"/>
      <c r="M4120" s="245"/>
      <c r="N4120" s="245"/>
      <c r="O4120" s="245"/>
      <c r="P4120" s="245"/>
      <c r="Q4120" s="247"/>
      <c r="R4120" s="247"/>
      <c r="S4120" s="247"/>
      <c r="T4120" s="245"/>
      <c r="U4120" s="245"/>
      <c r="V4120" s="241"/>
      <c r="W4120" s="241"/>
      <c r="X4120" s="241"/>
    </row>
    <row r="4121" spans="1:24" ht="13.5" customHeight="1" x14ac:dyDescent="0.3">
      <c r="A4121" s="245"/>
      <c r="B4121" s="246"/>
      <c r="C4121" s="245"/>
      <c r="D4121" s="245"/>
      <c r="E4121" s="245"/>
      <c r="F4121" s="245"/>
      <c r="G4121" s="245"/>
      <c r="H4121" s="245"/>
      <c r="I4121" s="245"/>
      <c r="J4121" s="245"/>
      <c r="K4121" s="245"/>
      <c r="L4121" s="246"/>
      <c r="M4121" s="245"/>
      <c r="N4121" s="245"/>
      <c r="O4121" s="245"/>
      <c r="P4121" s="245"/>
      <c r="Q4121" s="247"/>
      <c r="R4121" s="247"/>
      <c r="S4121" s="247"/>
      <c r="T4121" s="245"/>
      <c r="U4121" s="245"/>
      <c r="V4121" s="241"/>
      <c r="W4121" s="241"/>
      <c r="X4121" s="241"/>
    </row>
    <row r="4122" spans="1:24" ht="13.5" customHeight="1" x14ac:dyDescent="0.3">
      <c r="A4122" s="245"/>
      <c r="B4122" s="246"/>
      <c r="C4122" s="245"/>
      <c r="D4122" s="245"/>
      <c r="E4122" s="245"/>
      <c r="F4122" s="245"/>
      <c r="G4122" s="245"/>
      <c r="H4122" s="245"/>
      <c r="I4122" s="245"/>
      <c r="J4122" s="245"/>
      <c r="K4122" s="245"/>
      <c r="L4122" s="246"/>
      <c r="M4122" s="245"/>
      <c r="N4122" s="245"/>
      <c r="O4122" s="245"/>
      <c r="P4122" s="245"/>
      <c r="Q4122" s="247"/>
      <c r="R4122" s="247"/>
      <c r="S4122" s="247"/>
      <c r="T4122" s="245"/>
      <c r="U4122" s="245"/>
      <c r="V4122" s="241"/>
      <c r="W4122" s="241"/>
      <c r="X4122" s="241"/>
    </row>
    <row r="4123" spans="1:24" ht="13.5" customHeight="1" x14ac:dyDescent="0.3">
      <c r="A4123" s="245"/>
      <c r="B4123" s="246"/>
      <c r="C4123" s="245"/>
      <c r="D4123" s="245"/>
      <c r="E4123" s="245"/>
      <c r="F4123" s="245"/>
      <c r="G4123" s="245"/>
      <c r="H4123" s="245"/>
      <c r="I4123" s="245"/>
      <c r="J4123" s="245"/>
      <c r="K4123" s="245"/>
      <c r="L4123" s="246"/>
      <c r="M4123" s="245"/>
      <c r="N4123" s="245"/>
      <c r="O4123" s="245"/>
      <c r="P4123" s="245"/>
      <c r="Q4123" s="247"/>
      <c r="R4123" s="247"/>
      <c r="S4123" s="247"/>
      <c r="T4123" s="245"/>
      <c r="U4123" s="245"/>
      <c r="V4123" s="241"/>
      <c r="W4123" s="241"/>
      <c r="X4123" s="241"/>
    </row>
    <row r="4124" spans="1:24" ht="13.5" customHeight="1" x14ac:dyDescent="0.3">
      <c r="A4124" s="245"/>
      <c r="B4124" s="246"/>
      <c r="C4124" s="245"/>
      <c r="D4124" s="245"/>
      <c r="E4124" s="245"/>
      <c r="F4124" s="245"/>
      <c r="G4124" s="245"/>
      <c r="H4124" s="245"/>
      <c r="I4124" s="245"/>
      <c r="J4124" s="245"/>
      <c r="K4124" s="245"/>
      <c r="L4124" s="246"/>
      <c r="M4124" s="245"/>
      <c r="N4124" s="245"/>
      <c r="O4124" s="245"/>
      <c r="P4124" s="245"/>
      <c r="Q4124" s="247"/>
      <c r="R4124" s="247"/>
      <c r="S4124" s="247"/>
      <c r="T4124" s="245"/>
      <c r="U4124" s="245"/>
      <c r="V4124" s="241"/>
      <c r="W4124" s="241"/>
      <c r="X4124" s="241"/>
    </row>
    <row r="4125" spans="1:24" ht="13.5" customHeight="1" x14ac:dyDescent="0.3">
      <c r="A4125" s="245"/>
      <c r="B4125" s="246"/>
      <c r="C4125" s="245"/>
      <c r="D4125" s="245"/>
      <c r="E4125" s="245"/>
      <c r="F4125" s="245"/>
      <c r="G4125" s="245"/>
      <c r="H4125" s="245"/>
      <c r="I4125" s="245"/>
      <c r="J4125" s="245"/>
      <c r="K4125" s="245"/>
      <c r="L4125" s="246"/>
      <c r="M4125" s="245"/>
      <c r="N4125" s="245"/>
      <c r="O4125" s="245"/>
      <c r="P4125" s="245"/>
      <c r="Q4125" s="247"/>
      <c r="R4125" s="247"/>
      <c r="S4125" s="247"/>
      <c r="T4125" s="245"/>
      <c r="U4125" s="245"/>
      <c r="V4125" s="241"/>
      <c r="W4125" s="241"/>
      <c r="X4125" s="241"/>
    </row>
    <row r="4126" spans="1:24" ht="13.5" customHeight="1" x14ac:dyDescent="0.3">
      <c r="A4126" s="245"/>
      <c r="B4126" s="246"/>
      <c r="C4126" s="245"/>
      <c r="D4126" s="245"/>
      <c r="E4126" s="245"/>
      <c r="F4126" s="245"/>
      <c r="G4126" s="245"/>
      <c r="H4126" s="245"/>
      <c r="I4126" s="245"/>
      <c r="J4126" s="245"/>
      <c r="K4126" s="245"/>
      <c r="L4126" s="246"/>
      <c r="M4126" s="245"/>
      <c r="N4126" s="245"/>
      <c r="O4126" s="245"/>
      <c r="P4126" s="245"/>
      <c r="Q4126" s="247"/>
      <c r="R4126" s="247"/>
      <c r="S4126" s="247"/>
      <c r="T4126" s="245"/>
      <c r="U4126" s="245"/>
      <c r="V4126" s="241"/>
      <c r="W4126" s="241"/>
      <c r="X4126" s="241"/>
    </row>
    <row r="4127" spans="1:24" ht="13.5" customHeight="1" x14ac:dyDescent="0.3">
      <c r="A4127" s="245"/>
      <c r="B4127" s="246"/>
      <c r="C4127" s="245"/>
      <c r="D4127" s="245"/>
      <c r="E4127" s="245"/>
      <c r="F4127" s="245"/>
      <c r="G4127" s="245"/>
      <c r="H4127" s="245"/>
      <c r="I4127" s="245"/>
      <c r="J4127" s="245"/>
      <c r="K4127" s="245"/>
      <c r="L4127" s="246"/>
      <c r="M4127" s="245"/>
      <c r="N4127" s="245"/>
      <c r="O4127" s="245"/>
      <c r="P4127" s="245"/>
      <c r="Q4127" s="247"/>
      <c r="R4127" s="247"/>
      <c r="S4127" s="247"/>
      <c r="T4127" s="245"/>
      <c r="U4127" s="245"/>
      <c r="V4127" s="241"/>
      <c r="W4127" s="241"/>
      <c r="X4127" s="241"/>
    </row>
    <row r="4128" spans="1:24" ht="13.5" customHeight="1" x14ac:dyDescent="0.3">
      <c r="A4128" s="245"/>
      <c r="B4128" s="246"/>
      <c r="C4128" s="245"/>
      <c r="D4128" s="245"/>
      <c r="E4128" s="245"/>
      <c r="F4128" s="245"/>
      <c r="G4128" s="245"/>
      <c r="H4128" s="245"/>
      <c r="I4128" s="245"/>
      <c r="J4128" s="245"/>
      <c r="K4128" s="245"/>
      <c r="L4128" s="246"/>
      <c r="M4128" s="245"/>
      <c r="N4128" s="245"/>
      <c r="O4128" s="245"/>
      <c r="P4128" s="245"/>
      <c r="Q4128" s="247"/>
      <c r="R4128" s="247"/>
      <c r="S4128" s="247"/>
      <c r="T4128" s="245"/>
      <c r="U4128" s="245"/>
      <c r="V4128" s="241"/>
      <c r="W4128" s="241"/>
      <c r="X4128" s="241"/>
    </row>
    <row r="4129" spans="1:24" ht="13.5" customHeight="1" x14ac:dyDescent="0.3">
      <c r="A4129" s="245"/>
      <c r="B4129" s="246"/>
      <c r="C4129" s="245"/>
      <c r="D4129" s="245"/>
      <c r="E4129" s="245"/>
      <c r="F4129" s="245"/>
      <c r="G4129" s="245"/>
      <c r="H4129" s="245"/>
      <c r="I4129" s="245"/>
      <c r="J4129" s="245"/>
      <c r="K4129" s="245"/>
      <c r="L4129" s="246"/>
      <c r="M4129" s="245"/>
      <c r="N4129" s="245"/>
      <c r="O4129" s="245"/>
      <c r="P4129" s="245"/>
      <c r="Q4129" s="247"/>
      <c r="R4129" s="247"/>
      <c r="S4129" s="247"/>
      <c r="T4129" s="245"/>
      <c r="U4129" s="245"/>
      <c r="V4129" s="241"/>
      <c r="W4129" s="241"/>
      <c r="X4129" s="241"/>
    </row>
    <row r="4130" spans="1:24" ht="13.5" customHeight="1" x14ac:dyDescent="0.3">
      <c r="A4130" s="245"/>
      <c r="B4130" s="246"/>
      <c r="C4130" s="245"/>
      <c r="D4130" s="245"/>
      <c r="E4130" s="245"/>
      <c r="F4130" s="245"/>
      <c r="G4130" s="245"/>
      <c r="H4130" s="245"/>
      <c r="I4130" s="245"/>
      <c r="J4130" s="245"/>
      <c r="K4130" s="245"/>
      <c r="L4130" s="246"/>
      <c r="M4130" s="245"/>
      <c r="N4130" s="245"/>
      <c r="O4130" s="245"/>
      <c r="P4130" s="245"/>
      <c r="Q4130" s="247"/>
      <c r="R4130" s="247"/>
      <c r="S4130" s="247"/>
      <c r="T4130" s="245"/>
      <c r="U4130" s="245"/>
      <c r="V4130" s="241"/>
      <c r="W4130" s="241"/>
      <c r="X4130" s="241"/>
    </row>
    <row r="4131" spans="1:24" ht="13.5" customHeight="1" x14ac:dyDescent="0.3">
      <c r="A4131" s="245"/>
      <c r="B4131" s="246"/>
      <c r="C4131" s="245"/>
      <c r="D4131" s="245"/>
      <c r="E4131" s="245"/>
      <c r="F4131" s="245"/>
      <c r="G4131" s="245"/>
      <c r="H4131" s="245"/>
      <c r="I4131" s="245"/>
      <c r="J4131" s="245"/>
      <c r="K4131" s="245"/>
      <c r="L4131" s="246"/>
      <c r="M4131" s="245"/>
      <c r="N4131" s="245"/>
      <c r="O4131" s="245"/>
      <c r="P4131" s="245"/>
      <c r="Q4131" s="247"/>
      <c r="R4131" s="247"/>
      <c r="S4131" s="247"/>
      <c r="T4131" s="245"/>
      <c r="U4131" s="245"/>
      <c r="V4131" s="241"/>
      <c r="W4131" s="241"/>
      <c r="X4131" s="241"/>
    </row>
    <row r="4132" spans="1:24" ht="13.5" customHeight="1" x14ac:dyDescent="0.3">
      <c r="A4132" s="245"/>
      <c r="B4132" s="246"/>
      <c r="C4132" s="245"/>
      <c r="D4132" s="245"/>
      <c r="E4132" s="245"/>
      <c r="F4132" s="245"/>
      <c r="G4132" s="245"/>
      <c r="H4132" s="245"/>
      <c r="I4132" s="245"/>
      <c r="J4132" s="245"/>
      <c r="K4132" s="245"/>
      <c r="L4132" s="246"/>
      <c r="M4132" s="245"/>
      <c r="N4132" s="245"/>
      <c r="O4132" s="245"/>
      <c r="P4132" s="245"/>
      <c r="Q4132" s="247"/>
      <c r="R4132" s="247"/>
      <c r="S4132" s="247"/>
      <c r="T4132" s="245"/>
      <c r="U4132" s="245"/>
      <c r="V4132" s="241"/>
      <c r="W4132" s="241"/>
      <c r="X4132" s="241"/>
    </row>
    <row r="4133" spans="1:24" ht="13.5" customHeight="1" x14ac:dyDescent="0.3">
      <c r="A4133" s="245"/>
      <c r="B4133" s="246"/>
      <c r="C4133" s="245"/>
      <c r="D4133" s="245"/>
      <c r="E4133" s="245"/>
      <c r="F4133" s="245"/>
      <c r="G4133" s="245"/>
      <c r="H4133" s="245"/>
      <c r="I4133" s="245"/>
      <c r="J4133" s="245"/>
      <c r="K4133" s="245"/>
      <c r="L4133" s="246"/>
      <c r="M4133" s="245"/>
      <c r="N4133" s="245"/>
      <c r="O4133" s="245"/>
      <c r="P4133" s="245"/>
      <c r="Q4133" s="247"/>
      <c r="R4133" s="247"/>
      <c r="S4133" s="247"/>
      <c r="T4133" s="245"/>
      <c r="U4133" s="245"/>
      <c r="V4133" s="241"/>
      <c r="W4133" s="241"/>
      <c r="X4133" s="241"/>
    </row>
    <row r="4134" spans="1:24" ht="13.5" customHeight="1" x14ac:dyDescent="0.3">
      <c r="A4134" s="245"/>
      <c r="B4134" s="246"/>
      <c r="C4134" s="245"/>
      <c r="D4134" s="245"/>
      <c r="E4134" s="245"/>
      <c r="F4134" s="245"/>
      <c r="G4134" s="245"/>
      <c r="H4134" s="245"/>
      <c r="I4134" s="245"/>
      <c r="J4134" s="245"/>
      <c r="K4134" s="245"/>
      <c r="L4134" s="246"/>
      <c r="M4134" s="245"/>
      <c r="N4134" s="245"/>
      <c r="O4134" s="245"/>
      <c r="P4134" s="245"/>
      <c r="Q4134" s="247"/>
      <c r="R4134" s="247"/>
      <c r="S4134" s="247"/>
      <c r="T4134" s="245"/>
      <c r="U4134" s="245"/>
      <c r="V4134" s="241"/>
      <c r="W4134" s="241"/>
      <c r="X4134" s="241"/>
    </row>
    <row r="4135" spans="1:24" ht="13.5" customHeight="1" x14ac:dyDescent="0.3">
      <c r="A4135" s="245"/>
      <c r="B4135" s="246"/>
      <c r="C4135" s="245"/>
      <c r="D4135" s="245"/>
      <c r="E4135" s="245"/>
      <c r="F4135" s="245"/>
      <c r="G4135" s="245"/>
      <c r="H4135" s="245"/>
      <c r="I4135" s="245"/>
      <c r="J4135" s="245"/>
      <c r="K4135" s="245"/>
      <c r="L4135" s="246"/>
      <c r="M4135" s="245"/>
      <c r="N4135" s="245"/>
      <c r="O4135" s="245"/>
      <c r="P4135" s="245"/>
      <c r="Q4135" s="247"/>
      <c r="R4135" s="247"/>
      <c r="S4135" s="247"/>
      <c r="T4135" s="245"/>
      <c r="U4135" s="245"/>
      <c r="V4135" s="241"/>
      <c r="W4135" s="241"/>
      <c r="X4135" s="241"/>
    </row>
    <row r="4136" spans="1:24" ht="13.5" customHeight="1" x14ac:dyDescent="0.3">
      <c r="A4136" s="245"/>
      <c r="B4136" s="246"/>
      <c r="C4136" s="245"/>
      <c r="D4136" s="245"/>
      <c r="E4136" s="245"/>
      <c r="F4136" s="245"/>
      <c r="G4136" s="245"/>
      <c r="H4136" s="245"/>
      <c r="I4136" s="245"/>
      <c r="J4136" s="245"/>
      <c r="K4136" s="245"/>
      <c r="L4136" s="246"/>
      <c r="M4136" s="245"/>
      <c r="N4136" s="245"/>
      <c r="O4136" s="245"/>
      <c r="P4136" s="245"/>
      <c r="Q4136" s="247"/>
      <c r="R4136" s="247"/>
      <c r="S4136" s="247"/>
      <c r="T4136" s="245"/>
      <c r="U4136" s="245"/>
      <c r="V4136" s="241"/>
      <c r="W4136" s="241"/>
      <c r="X4136" s="241"/>
    </row>
    <row r="4137" spans="1:24" ht="13.5" customHeight="1" x14ac:dyDescent="0.3">
      <c r="A4137" s="245"/>
      <c r="B4137" s="246"/>
      <c r="C4137" s="245"/>
      <c r="D4137" s="245"/>
      <c r="E4137" s="245"/>
      <c r="F4137" s="245"/>
      <c r="G4137" s="245"/>
      <c r="H4137" s="245"/>
      <c r="I4137" s="245"/>
      <c r="J4137" s="245"/>
      <c r="K4137" s="245"/>
      <c r="L4137" s="246"/>
      <c r="M4137" s="245"/>
      <c r="N4137" s="245"/>
      <c r="O4137" s="245"/>
      <c r="P4137" s="245"/>
      <c r="Q4137" s="247"/>
      <c r="R4137" s="247"/>
      <c r="S4137" s="247"/>
      <c r="T4137" s="245"/>
      <c r="U4137" s="245"/>
      <c r="V4137" s="241"/>
      <c r="W4137" s="241"/>
      <c r="X4137" s="241"/>
    </row>
    <row r="4138" spans="1:24" ht="13.5" customHeight="1" x14ac:dyDescent="0.3">
      <c r="A4138" s="245"/>
      <c r="B4138" s="246"/>
      <c r="C4138" s="245"/>
      <c r="D4138" s="245"/>
      <c r="E4138" s="245"/>
      <c r="F4138" s="245"/>
      <c r="G4138" s="245"/>
      <c r="H4138" s="245"/>
      <c r="I4138" s="245"/>
      <c r="J4138" s="245"/>
      <c r="K4138" s="245"/>
      <c r="L4138" s="246"/>
      <c r="M4138" s="245"/>
      <c r="N4138" s="245"/>
      <c r="O4138" s="245"/>
      <c r="P4138" s="245"/>
      <c r="Q4138" s="247"/>
      <c r="R4138" s="247"/>
      <c r="S4138" s="247"/>
      <c r="T4138" s="245"/>
      <c r="U4138" s="245"/>
      <c r="V4138" s="241"/>
      <c r="W4138" s="241"/>
      <c r="X4138" s="241"/>
    </row>
    <row r="4139" spans="1:24" ht="13.5" customHeight="1" x14ac:dyDescent="0.3">
      <c r="A4139" s="245"/>
      <c r="B4139" s="246"/>
      <c r="C4139" s="245"/>
      <c r="D4139" s="245"/>
      <c r="E4139" s="245"/>
      <c r="F4139" s="245"/>
      <c r="G4139" s="245"/>
      <c r="H4139" s="245"/>
      <c r="I4139" s="245"/>
      <c r="J4139" s="245"/>
      <c r="K4139" s="245"/>
      <c r="L4139" s="246"/>
      <c r="M4139" s="245"/>
      <c r="N4139" s="245"/>
      <c r="O4139" s="245"/>
      <c r="P4139" s="245"/>
      <c r="Q4139" s="247"/>
      <c r="R4139" s="247"/>
      <c r="S4139" s="247"/>
      <c r="T4139" s="245"/>
      <c r="U4139" s="245"/>
      <c r="V4139" s="241"/>
      <c r="W4139" s="241"/>
      <c r="X4139" s="241"/>
    </row>
    <row r="4140" spans="1:24" ht="13.5" customHeight="1" x14ac:dyDescent="0.3">
      <c r="A4140" s="245"/>
      <c r="B4140" s="246"/>
      <c r="C4140" s="245"/>
      <c r="D4140" s="245"/>
      <c r="E4140" s="245"/>
      <c r="F4140" s="245"/>
      <c r="G4140" s="245"/>
      <c r="H4140" s="245"/>
      <c r="I4140" s="245"/>
      <c r="J4140" s="245"/>
      <c r="K4140" s="245"/>
      <c r="L4140" s="246"/>
      <c r="M4140" s="245"/>
      <c r="N4140" s="245"/>
      <c r="O4140" s="245"/>
      <c r="P4140" s="245"/>
      <c r="Q4140" s="247"/>
      <c r="R4140" s="247"/>
      <c r="S4140" s="247"/>
      <c r="T4140" s="245"/>
      <c r="U4140" s="245"/>
      <c r="V4140" s="241"/>
      <c r="W4140" s="241"/>
      <c r="X4140" s="241"/>
    </row>
    <row r="4141" spans="1:24" ht="13.5" customHeight="1" x14ac:dyDescent="0.3">
      <c r="A4141" s="245"/>
      <c r="B4141" s="246"/>
      <c r="C4141" s="245"/>
      <c r="D4141" s="245"/>
      <c r="E4141" s="245"/>
      <c r="F4141" s="245"/>
      <c r="G4141" s="245"/>
      <c r="H4141" s="245"/>
      <c r="I4141" s="245"/>
      <c r="J4141" s="245"/>
      <c r="K4141" s="245"/>
      <c r="L4141" s="246"/>
      <c r="M4141" s="245"/>
      <c r="N4141" s="245"/>
      <c r="O4141" s="245"/>
      <c r="P4141" s="245"/>
      <c r="Q4141" s="247"/>
      <c r="R4141" s="247"/>
      <c r="S4141" s="247"/>
      <c r="T4141" s="245"/>
      <c r="U4141" s="245"/>
      <c r="V4141" s="241"/>
      <c r="W4141" s="241"/>
      <c r="X4141" s="241"/>
    </row>
    <row r="4142" spans="1:24" ht="13.5" customHeight="1" x14ac:dyDescent="0.3">
      <c r="A4142" s="245"/>
      <c r="B4142" s="246"/>
      <c r="C4142" s="245"/>
      <c r="D4142" s="245"/>
      <c r="E4142" s="245"/>
      <c r="F4142" s="245"/>
      <c r="G4142" s="245"/>
      <c r="H4142" s="245"/>
      <c r="I4142" s="245"/>
      <c r="J4142" s="245"/>
      <c r="K4142" s="245"/>
      <c r="L4142" s="246"/>
      <c r="M4142" s="245"/>
      <c r="N4142" s="245"/>
      <c r="O4142" s="245"/>
      <c r="P4142" s="245"/>
      <c r="Q4142" s="247"/>
      <c r="R4142" s="247"/>
      <c r="S4142" s="247"/>
      <c r="T4142" s="245"/>
      <c r="U4142" s="245"/>
      <c r="V4142" s="241"/>
      <c r="W4142" s="241"/>
      <c r="X4142" s="241"/>
    </row>
    <row r="4143" spans="1:24" ht="13.5" customHeight="1" x14ac:dyDescent="0.3">
      <c r="A4143" s="245"/>
      <c r="B4143" s="246"/>
      <c r="C4143" s="245"/>
      <c r="D4143" s="245"/>
      <c r="E4143" s="245"/>
      <c r="F4143" s="245"/>
      <c r="G4143" s="245"/>
      <c r="H4143" s="245"/>
      <c r="I4143" s="245"/>
      <c r="J4143" s="245"/>
      <c r="K4143" s="245"/>
      <c r="L4143" s="246"/>
      <c r="M4143" s="245"/>
      <c r="N4143" s="245"/>
      <c r="O4143" s="245"/>
      <c r="P4143" s="245"/>
      <c r="Q4143" s="247"/>
      <c r="R4143" s="247"/>
      <c r="S4143" s="247"/>
      <c r="T4143" s="245"/>
      <c r="U4143" s="245"/>
      <c r="V4143" s="241"/>
      <c r="W4143" s="241"/>
      <c r="X4143" s="241"/>
    </row>
    <row r="4144" spans="1:24" ht="13.5" customHeight="1" x14ac:dyDescent="0.3">
      <c r="A4144" s="245"/>
      <c r="B4144" s="246"/>
      <c r="C4144" s="245"/>
      <c r="D4144" s="245"/>
      <c r="E4144" s="245"/>
      <c r="F4144" s="245"/>
      <c r="G4144" s="245"/>
      <c r="H4144" s="245"/>
      <c r="I4144" s="245"/>
      <c r="J4144" s="245"/>
      <c r="K4144" s="245"/>
      <c r="L4144" s="246"/>
      <c r="M4144" s="245"/>
      <c r="N4144" s="245"/>
      <c r="O4144" s="245"/>
      <c r="P4144" s="245"/>
      <c r="Q4144" s="247"/>
      <c r="R4144" s="247"/>
      <c r="S4144" s="247"/>
      <c r="T4144" s="245"/>
      <c r="U4144" s="245"/>
      <c r="V4144" s="241"/>
      <c r="W4144" s="241"/>
      <c r="X4144" s="241"/>
    </row>
    <row r="4145" spans="1:24" ht="13.5" customHeight="1" x14ac:dyDescent="0.3">
      <c r="A4145" s="245"/>
      <c r="B4145" s="246"/>
      <c r="C4145" s="245"/>
      <c r="D4145" s="245"/>
      <c r="E4145" s="245"/>
      <c r="F4145" s="245"/>
      <c r="G4145" s="245"/>
      <c r="H4145" s="245"/>
      <c r="I4145" s="245"/>
      <c r="J4145" s="245"/>
      <c r="K4145" s="245"/>
      <c r="L4145" s="246"/>
      <c r="M4145" s="245"/>
      <c r="N4145" s="245"/>
      <c r="O4145" s="245"/>
      <c r="P4145" s="245"/>
      <c r="Q4145" s="247"/>
      <c r="R4145" s="247"/>
      <c r="S4145" s="247"/>
      <c r="T4145" s="245"/>
      <c r="U4145" s="245"/>
      <c r="V4145" s="241"/>
      <c r="W4145" s="241"/>
      <c r="X4145" s="241"/>
    </row>
    <row r="4146" spans="1:24" ht="13.5" customHeight="1" x14ac:dyDescent="0.3">
      <c r="A4146" s="245"/>
      <c r="B4146" s="246"/>
      <c r="C4146" s="245"/>
      <c r="D4146" s="245"/>
      <c r="E4146" s="245"/>
      <c r="F4146" s="245"/>
      <c r="G4146" s="245"/>
      <c r="H4146" s="245"/>
      <c r="I4146" s="245"/>
      <c r="J4146" s="245"/>
      <c r="K4146" s="245"/>
      <c r="L4146" s="246"/>
      <c r="M4146" s="245"/>
      <c r="N4146" s="245"/>
      <c r="O4146" s="245"/>
      <c r="P4146" s="245"/>
      <c r="Q4146" s="247"/>
      <c r="R4146" s="247"/>
      <c r="S4146" s="247"/>
      <c r="T4146" s="245"/>
      <c r="U4146" s="245"/>
      <c r="V4146" s="241"/>
      <c r="W4146" s="241"/>
      <c r="X4146" s="241"/>
    </row>
    <row r="4147" spans="1:24" ht="13.5" customHeight="1" x14ac:dyDescent="0.3">
      <c r="A4147" s="245"/>
      <c r="B4147" s="246"/>
      <c r="C4147" s="245"/>
      <c r="D4147" s="245"/>
      <c r="E4147" s="245"/>
      <c r="F4147" s="245"/>
      <c r="G4147" s="245"/>
      <c r="H4147" s="245"/>
      <c r="I4147" s="245"/>
      <c r="J4147" s="245"/>
      <c r="K4147" s="245"/>
      <c r="L4147" s="246"/>
      <c r="M4147" s="245"/>
      <c r="N4147" s="245"/>
      <c r="O4147" s="245"/>
      <c r="P4147" s="245"/>
      <c r="Q4147" s="247"/>
      <c r="R4147" s="247"/>
      <c r="S4147" s="247"/>
      <c r="T4147" s="245"/>
      <c r="U4147" s="245"/>
      <c r="V4147" s="241"/>
      <c r="W4147" s="241"/>
      <c r="X4147" s="241"/>
    </row>
    <row r="4148" spans="1:24" ht="13.5" customHeight="1" x14ac:dyDescent="0.3">
      <c r="A4148" s="245"/>
      <c r="B4148" s="246"/>
      <c r="C4148" s="245"/>
      <c r="D4148" s="245"/>
      <c r="E4148" s="245"/>
      <c r="F4148" s="245"/>
      <c r="G4148" s="245"/>
      <c r="H4148" s="245"/>
      <c r="I4148" s="245"/>
      <c r="J4148" s="245"/>
      <c r="K4148" s="245"/>
      <c r="L4148" s="246"/>
      <c r="M4148" s="245"/>
      <c r="N4148" s="245"/>
      <c r="O4148" s="245"/>
      <c r="P4148" s="245"/>
      <c r="Q4148" s="247"/>
      <c r="R4148" s="247"/>
      <c r="S4148" s="247"/>
      <c r="T4148" s="245"/>
      <c r="U4148" s="245"/>
      <c r="V4148" s="241"/>
      <c r="W4148" s="241"/>
      <c r="X4148" s="241"/>
    </row>
    <row r="4149" spans="1:24" ht="13.5" customHeight="1" x14ac:dyDescent="0.3">
      <c r="A4149" s="245"/>
      <c r="B4149" s="246"/>
      <c r="C4149" s="245"/>
      <c r="D4149" s="245"/>
      <c r="E4149" s="245"/>
      <c r="F4149" s="245"/>
      <c r="G4149" s="245"/>
      <c r="H4149" s="245"/>
      <c r="I4149" s="245"/>
      <c r="J4149" s="245"/>
      <c r="K4149" s="245"/>
      <c r="L4149" s="246"/>
      <c r="M4149" s="245"/>
      <c r="N4149" s="245"/>
      <c r="O4149" s="245"/>
      <c r="P4149" s="245"/>
      <c r="Q4149" s="247"/>
      <c r="R4149" s="247"/>
      <c r="S4149" s="247"/>
      <c r="T4149" s="245"/>
      <c r="U4149" s="245"/>
      <c r="V4149" s="241"/>
      <c r="W4149" s="241"/>
      <c r="X4149" s="241"/>
    </row>
    <row r="4150" spans="1:24" ht="13.5" customHeight="1" x14ac:dyDescent="0.3">
      <c r="A4150" s="245"/>
      <c r="B4150" s="246"/>
      <c r="C4150" s="245"/>
      <c r="D4150" s="245"/>
      <c r="E4150" s="245"/>
      <c r="F4150" s="245"/>
      <c r="G4150" s="245"/>
      <c r="H4150" s="245"/>
      <c r="I4150" s="245"/>
      <c r="J4150" s="245"/>
      <c r="K4150" s="245"/>
      <c r="L4150" s="246"/>
      <c r="M4150" s="245"/>
      <c r="N4150" s="245"/>
      <c r="O4150" s="245"/>
      <c r="P4150" s="245"/>
      <c r="Q4150" s="247"/>
      <c r="R4150" s="247"/>
      <c r="S4150" s="247"/>
      <c r="T4150" s="245"/>
      <c r="U4150" s="245"/>
      <c r="V4150" s="241"/>
      <c r="W4150" s="241"/>
      <c r="X4150" s="241"/>
    </row>
    <row r="4151" spans="1:24" ht="13.5" customHeight="1" x14ac:dyDescent="0.3">
      <c r="A4151" s="245"/>
      <c r="B4151" s="246"/>
      <c r="C4151" s="245"/>
      <c r="D4151" s="245"/>
      <c r="E4151" s="245"/>
      <c r="F4151" s="245"/>
      <c r="G4151" s="245"/>
      <c r="H4151" s="245"/>
      <c r="I4151" s="245"/>
      <c r="J4151" s="245"/>
      <c r="K4151" s="245"/>
      <c r="L4151" s="246"/>
      <c r="M4151" s="245"/>
      <c r="N4151" s="245"/>
      <c r="O4151" s="245"/>
      <c r="P4151" s="245"/>
      <c r="Q4151" s="247"/>
      <c r="R4151" s="247"/>
      <c r="S4151" s="247"/>
      <c r="T4151" s="245"/>
      <c r="U4151" s="245"/>
      <c r="V4151" s="241"/>
      <c r="W4151" s="241"/>
      <c r="X4151" s="241"/>
    </row>
    <row r="4152" spans="1:24" ht="13.5" customHeight="1" x14ac:dyDescent="0.3">
      <c r="A4152" s="245"/>
      <c r="B4152" s="246"/>
      <c r="C4152" s="245"/>
      <c r="D4152" s="245"/>
      <c r="E4152" s="245"/>
      <c r="F4152" s="245"/>
      <c r="G4152" s="245"/>
      <c r="H4152" s="245"/>
      <c r="I4152" s="245"/>
      <c r="J4152" s="245"/>
      <c r="K4152" s="245"/>
      <c r="L4152" s="246"/>
      <c r="M4152" s="245"/>
      <c r="N4152" s="245"/>
      <c r="O4152" s="245"/>
      <c r="P4152" s="245"/>
      <c r="Q4152" s="247"/>
      <c r="R4152" s="247"/>
      <c r="S4152" s="247"/>
      <c r="T4152" s="245"/>
      <c r="U4152" s="245"/>
      <c r="V4152" s="241"/>
      <c r="W4152" s="241"/>
      <c r="X4152" s="241"/>
    </row>
    <row r="4153" spans="1:24" ht="13.5" customHeight="1" x14ac:dyDescent="0.3">
      <c r="A4153" s="245"/>
      <c r="B4153" s="246"/>
      <c r="C4153" s="245"/>
      <c r="D4153" s="245"/>
      <c r="E4153" s="245"/>
      <c r="F4153" s="245"/>
      <c r="G4153" s="245"/>
      <c r="H4153" s="245"/>
      <c r="I4153" s="245"/>
      <c r="J4153" s="245"/>
      <c r="K4153" s="245"/>
      <c r="L4153" s="246"/>
      <c r="M4153" s="245"/>
      <c r="N4153" s="245"/>
      <c r="O4153" s="245"/>
      <c r="P4153" s="245"/>
      <c r="Q4153" s="247"/>
      <c r="R4153" s="247"/>
      <c r="S4153" s="247"/>
      <c r="T4153" s="245"/>
      <c r="U4153" s="245"/>
      <c r="V4153" s="241"/>
      <c r="W4153" s="241"/>
      <c r="X4153" s="241"/>
    </row>
    <row r="4154" spans="1:24" ht="13.5" customHeight="1" x14ac:dyDescent="0.3">
      <c r="A4154" s="245"/>
      <c r="B4154" s="246"/>
      <c r="C4154" s="245"/>
      <c r="D4154" s="245"/>
      <c r="E4154" s="245"/>
      <c r="F4154" s="245"/>
      <c r="G4154" s="245"/>
      <c r="H4154" s="245"/>
      <c r="I4154" s="245"/>
      <c r="J4154" s="245"/>
      <c r="K4154" s="245"/>
      <c r="L4154" s="246"/>
      <c r="M4154" s="245"/>
      <c r="N4154" s="245"/>
      <c r="O4154" s="245"/>
      <c r="P4154" s="245"/>
      <c r="Q4154" s="247"/>
      <c r="R4154" s="247"/>
      <c r="S4154" s="247"/>
      <c r="T4154" s="245"/>
      <c r="U4154" s="245"/>
      <c r="V4154" s="241"/>
      <c r="W4154" s="241"/>
      <c r="X4154" s="241"/>
    </row>
    <row r="4155" spans="1:24" ht="13.5" customHeight="1" x14ac:dyDescent="0.3">
      <c r="A4155" s="245"/>
      <c r="B4155" s="246"/>
      <c r="C4155" s="245"/>
      <c r="D4155" s="245"/>
      <c r="E4155" s="245"/>
      <c r="F4155" s="245"/>
      <c r="G4155" s="245"/>
      <c r="H4155" s="245"/>
      <c r="I4155" s="245"/>
      <c r="J4155" s="245"/>
      <c r="K4155" s="245"/>
      <c r="L4155" s="246"/>
      <c r="M4155" s="245"/>
      <c r="N4155" s="245"/>
      <c r="O4155" s="245"/>
      <c r="P4155" s="245"/>
      <c r="Q4155" s="247"/>
      <c r="R4155" s="247"/>
      <c r="S4155" s="247"/>
      <c r="T4155" s="245"/>
      <c r="U4155" s="245"/>
      <c r="V4155" s="241"/>
      <c r="W4155" s="241"/>
      <c r="X4155" s="241"/>
    </row>
  </sheetData>
  <autoFilter ref="A1:Y326" xr:uid="{D29599A9-00AE-40F5-96C2-354FF3F91C51}"/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02CC0-4740-4A58-BC6A-2325AAEA1582}">
  <sheetPr>
    <tabColor rgb="FFE5E5E5"/>
  </sheetPr>
  <dimension ref="A1:AA999"/>
  <sheetViews>
    <sheetView topLeftCell="L1" workbookViewId="0">
      <selection activeCell="M29" sqref="M29"/>
    </sheetView>
  </sheetViews>
  <sheetFormatPr defaultColWidth="12.6328125" defaultRowHeight="15" customHeight="1" x14ac:dyDescent="0.25"/>
  <cols>
    <col min="1" max="7" width="11.453125" style="242" customWidth="1"/>
    <col min="8" max="8" width="26" style="242" customWidth="1"/>
    <col min="9" max="9" width="11.453125" style="242" customWidth="1"/>
    <col min="10" max="10" width="35.08984375" style="242" customWidth="1"/>
    <col min="11" max="11" width="11.453125" style="242" customWidth="1"/>
    <col min="12" max="12" width="38.90625" style="242" customWidth="1"/>
    <col min="13" max="13" width="29.90625" style="242" customWidth="1"/>
    <col min="14" max="27" width="11.453125" style="242" customWidth="1"/>
    <col min="28" max="16384" width="12.6328125" style="242"/>
  </cols>
  <sheetData>
    <row r="1" spans="1:27" ht="13.5" customHeight="1" x14ac:dyDescent="0.3">
      <c r="A1" s="248" t="s">
        <v>2247</v>
      </c>
      <c r="B1" s="248" t="s">
        <v>2248</v>
      </c>
      <c r="C1" s="248" t="s">
        <v>2249</v>
      </c>
      <c r="D1" s="248" t="s">
        <v>2250</v>
      </c>
      <c r="E1" s="248" t="s">
        <v>2251</v>
      </c>
      <c r="F1" s="248" t="s">
        <v>2252</v>
      </c>
      <c r="G1" s="248" t="s">
        <v>2253</v>
      </c>
      <c r="H1" s="248" t="s">
        <v>2254</v>
      </c>
      <c r="I1" s="248" t="s">
        <v>2255</v>
      </c>
      <c r="J1" s="248" t="s">
        <v>2256</v>
      </c>
      <c r="K1" s="248" t="s">
        <v>2257</v>
      </c>
      <c r="L1" s="248" t="s">
        <v>2258</v>
      </c>
      <c r="M1" s="248" t="s">
        <v>2259</v>
      </c>
      <c r="N1" s="248" t="s">
        <v>2260</v>
      </c>
      <c r="O1" s="248" t="s">
        <v>2261</v>
      </c>
      <c r="P1" s="248" t="s">
        <v>2262</v>
      </c>
      <c r="Q1" s="248" t="s">
        <v>2263</v>
      </c>
      <c r="R1" s="248" t="s">
        <v>2264</v>
      </c>
      <c r="S1" s="248" t="s">
        <v>2265</v>
      </c>
      <c r="T1" s="248" t="s">
        <v>2266</v>
      </c>
      <c r="U1" s="248" t="s">
        <v>2267</v>
      </c>
      <c r="V1" s="248" t="s">
        <v>2268</v>
      </c>
      <c r="W1" s="248" t="s">
        <v>2269</v>
      </c>
      <c r="X1" s="248" t="s">
        <v>2270</v>
      </c>
      <c r="Y1" s="248" t="s">
        <v>2271</v>
      </c>
      <c r="Z1" s="248" t="s">
        <v>3033</v>
      </c>
      <c r="AA1" s="244" t="s">
        <v>1984</v>
      </c>
    </row>
    <row r="2" spans="1:27" ht="13.5" customHeight="1" x14ac:dyDescent="0.3">
      <c r="A2" s="249"/>
      <c r="B2" s="250"/>
      <c r="C2" s="249"/>
      <c r="D2" s="249"/>
      <c r="E2" s="249"/>
      <c r="F2" s="241"/>
      <c r="G2" s="249"/>
      <c r="H2" s="249"/>
      <c r="I2" s="249"/>
      <c r="J2" s="251"/>
      <c r="K2" s="249"/>
      <c r="L2" s="251"/>
      <c r="M2" s="251"/>
      <c r="N2" s="249"/>
      <c r="O2" s="249"/>
      <c r="P2" s="249"/>
      <c r="Q2" s="249"/>
      <c r="R2" s="241"/>
      <c r="S2" s="241"/>
      <c r="T2" s="249"/>
      <c r="U2" s="249"/>
      <c r="V2" s="249"/>
      <c r="W2" s="249"/>
      <c r="X2" s="252"/>
      <c r="Y2" s="249"/>
      <c r="Z2" s="241"/>
      <c r="AA2" s="253"/>
    </row>
    <row r="3" spans="1:27" ht="13.5" customHeight="1" x14ac:dyDescent="0.3">
      <c r="A3" s="254"/>
      <c r="B3" s="255"/>
      <c r="C3" s="254"/>
      <c r="D3" s="254"/>
      <c r="E3" s="254"/>
      <c r="F3" s="241"/>
      <c r="G3" s="254"/>
      <c r="H3" s="254"/>
      <c r="I3" s="254"/>
      <c r="J3" s="256"/>
      <c r="K3" s="254"/>
      <c r="L3" s="257"/>
      <c r="M3" s="256"/>
      <c r="N3" s="254"/>
      <c r="O3" s="254"/>
      <c r="P3" s="254"/>
      <c r="Q3" s="254"/>
      <c r="R3" s="241"/>
      <c r="S3" s="241"/>
      <c r="T3" s="254"/>
      <c r="U3" s="254"/>
      <c r="V3" s="254"/>
      <c r="W3" s="254"/>
      <c r="X3" s="258"/>
      <c r="Y3" s="254"/>
      <c r="Z3" s="241"/>
      <c r="AA3" s="241"/>
    </row>
    <row r="4" spans="1:27" ht="13.5" customHeight="1" x14ac:dyDescent="0.3">
      <c r="A4" s="254"/>
      <c r="B4" s="255"/>
      <c r="C4" s="254"/>
      <c r="D4" s="254"/>
      <c r="E4" s="254"/>
      <c r="F4" s="241"/>
      <c r="G4" s="254"/>
      <c r="H4" s="254"/>
      <c r="I4" s="254"/>
      <c r="J4" s="256"/>
      <c r="K4" s="254"/>
      <c r="L4" s="257"/>
      <c r="M4" s="256"/>
      <c r="N4" s="254"/>
      <c r="O4" s="254"/>
      <c r="P4" s="254"/>
      <c r="Q4" s="254"/>
      <c r="R4" s="241"/>
      <c r="S4" s="241"/>
      <c r="T4" s="254"/>
      <c r="U4" s="254"/>
      <c r="V4" s="254"/>
      <c r="W4" s="254"/>
      <c r="X4" s="258"/>
      <c r="Y4" s="254"/>
      <c r="Z4" s="241"/>
      <c r="AA4" s="241"/>
    </row>
    <row r="5" spans="1:27" ht="13.5" customHeight="1" x14ac:dyDescent="0.3">
      <c r="A5" s="254"/>
      <c r="B5" s="255"/>
      <c r="C5" s="254"/>
      <c r="D5" s="254"/>
      <c r="E5" s="254"/>
      <c r="F5" s="241"/>
      <c r="G5" s="254"/>
      <c r="H5" s="254"/>
      <c r="I5" s="254"/>
      <c r="J5" s="256"/>
      <c r="K5" s="254"/>
      <c r="L5" s="257"/>
      <c r="M5" s="256"/>
      <c r="N5" s="254"/>
      <c r="O5" s="254"/>
      <c r="P5" s="254"/>
      <c r="Q5" s="254"/>
      <c r="R5" s="241"/>
      <c r="S5" s="241"/>
      <c r="T5" s="254"/>
      <c r="U5" s="254"/>
      <c r="V5" s="254"/>
      <c r="W5" s="254"/>
      <c r="X5" s="258"/>
      <c r="Y5" s="254"/>
      <c r="Z5" s="241"/>
      <c r="AA5" s="241"/>
    </row>
    <row r="6" spans="1:27" ht="13.5" customHeight="1" x14ac:dyDescent="0.3">
      <c r="A6" s="254"/>
      <c r="B6" s="255"/>
      <c r="C6" s="254"/>
      <c r="D6" s="254"/>
      <c r="E6" s="254"/>
      <c r="F6" s="241"/>
      <c r="G6" s="254"/>
      <c r="H6" s="254"/>
      <c r="I6" s="254"/>
      <c r="J6" s="256"/>
      <c r="K6" s="254"/>
      <c r="L6" s="257"/>
      <c r="M6" s="256"/>
      <c r="N6" s="254"/>
      <c r="O6" s="254"/>
      <c r="P6" s="254"/>
      <c r="Q6" s="254"/>
      <c r="R6" s="241"/>
      <c r="S6" s="241"/>
      <c r="T6" s="254"/>
      <c r="U6" s="254"/>
      <c r="V6" s="254"/>
      <c r="W6" s="254"/>
      <c r="X6" s="258"/>
      <c r="Y6" s="254"/>
      <c r="Z6" s="241"/>
      <c r="AA6" s="241"/>
    </row>
    <row r="7" spans="1:27" ht="13.5" customHeight="1" x14ac:dyDescent="0.3">
      <c r="A7" s="254"/>
      <c r="B7" s="255"/>
      <c r="C7" s="254"/>
      <c r="D7" s="254"/>
      <c r="E7" s="254"/>
      <c r="F7" s="241"/>
      <c r="G7" s="254"/>
      <c r="H7" s="254"/>
      <c r="I7" s="254"/>
      <c r="J7" s="256"/>
      <c r="K7" s="254"/>
      <c r="L7" s="257"/>
      <c r="M7" s="256"/>
      <c r="N7" s="254"/>
      <c r="O7" s="254"/>
      <c r="P7" s="254"/>
      <c r="Q7" s="254"/>
      <c r="R7" s="241"/>
      <c r="S7" s="241"/>
      <c r="T7" s="254"/>
      <c r="U7" s="254"/>
      <c r="V7" s="254"/>
      <c r="W7" s="254"/>
      <c r="X7" s="258"/>
      <c r="Y7" s="254"/>
      <c r="Z7" s="241"/>
      <c r="AA7" s="241"/>
    </row>
    <row r="8" spans="1:27" ht="13.5" customHeight="1" x14ac:dyDescent="0.3">
      <c r="A8" s="254"/>
      <c r="B8" s="255"/>
      <c r="C8" s="254"/>
      <c r="D8" s="254"/>
      <c r="E8" s="254"/>
      <c r="F8" s="241"/>
      <c r="G8" s="254"/>
      <c r="H8" s="254"/>
      <c r="I8" s="254"/>
      <c r="J8" s="256"/>
      <c r="K8" s="254"/>
      <c r="L8" s="257"/>
      <c r="M8" s="256"/>
      <c r="N8" s="254"/>
      <c r="O8" s="254"/>
      <c r="P8" s="254"/>
      <c r="Q8" s="254"/>
      <c r="R8" s="241"/>
      <c r="S8" s="241"/>
      <c r="T8" s="254"/>
      <c r="U8" s="254"/>
      <c r="V8" s="254"/>
      <c r="W8" s="254"/>
      <c r="X8" s="258"/>
      <c r="Y8" s="254"/>
      <c r="Z8" s="241"/>
      <c r="AA8" s="241"/>
    </row>
    <row r="9" spans="1:27" ht="13.5" customHeight="1" x14ac:dyDescent="0.3">
      <c r="A9" s="254"/>
      <c r="B9" s="255"/>
      <c r="C9" s="254"/>
      <c r="D9" s="254"/>
      <c r="E9" s="254"/>
      <c r="F9" s="241"/>
      <c r="G9" s="254"/>
      <c r="H9" s="254"/>
      <c r="I9" s="254"/>
      <c r="J9" s="256"/>
      <c r="K9" s="254"/>
      <c r="L9" s="257"/>
      <c r="M9" s="256"/>
      <c r="N9" s="254"/>
      <c r="O9" s="254"/>
      <c r="P9" s="254"/>
      <c r="Q9" s="254"/>
      <c r="R9" s="241"/>
      <c r="S9" s="241"/>
      <c r="T9" s="254"/>
      <c r="U9" s="254"/>
      <c r="V9" s="254"/>
      <c r="W9" s="254"/>
      <c r="X9" s="258"/>
      <c r="Y9" s="254"/>
      <c r="Z9" s="241"/>
      <c r="AA9" s="241"/>
    </row>
    <row r="10" spans="1:27" ht="13.5" customHeight="1" x14ac:dyDescent="0.3">
      <c r="A10" s="254"/>
      <c r="B10" s="255"/>
      <c r="C10" s="254"/>
      <c r="D10" s="254"/>
      <c r="E10" s="254"/>
      <c r="F10" s="241"/>
      <c r="G10" s="254"/>
      <c r="H10" s="254"/>
      <c r="I10" s="254"/>
      <c r="J10" s="256"/>
      <c r="K10" s="254"/>
      <c r="L10" s="257"/>
      <c r="M10" s="256"/>
      <c r="N10" s="254"/>
      <c r="O10" s="254"/>
      <c r="P10" s="254"/>
      <c r="Q10" s="254"/>
      <c r="R10" s="241"/>
      <c r="S10" s="241"/>
      <c r="T10" s="254"/>
      <c r="U10" s="254"/>
      <c r="V10" s="254"/>
      <c r="W10" s="254"/>
      <c r="X10" s="258"/>
      <c r="Y10" s="254"/>
      <c r="Z10" s="241"/>
      <c r="AA10" s="241"/>
    </row>
    <row r="11" spans="1:27" ht="13.5" customHeight="1" x14ac:dyDescent="0.3">
      <c r="A11" s="254"/>
      <c r="B11" s="255"/>
      <c r="C11" s="254"/>
      <c r="D11" s="254"/>
      <c r="E11" s="254"/>
      <c r="F11" s="241"/>
      <c r="G11" s="254"/>
      <c r="H11" s="254"/>
      <c r="I11" s="254"/>
      <c r="J11" s="256"/>
      <c r="K11" s="254"/>
      <c r="L11" s="257"/>
      <c r="M11" s="256"/>
      <c r="N11" s="254"/>
      <c r="O11" s="254"/>
      <c r="P11" s="254"/>
      <c r="Q11" s="254"/>
      <c r="R11" s="241"/>
      <c r="S11" s="241"/>
      <c r="T11" s="254"/>
      <c r="U11" s="254"/>
      <c r="V11" s="254"/>
      <c r="W11" s="254"/>
      <c r="X11" s="258"/>
      <c r="Y11" s="254"/>
      <c r="Z11" s="241"/>
      <c r="AA11" s="241"/>
    </row>
    <row r="12" spans="1:27" ht="13.5" customHeight="1" x14ac:dyDescent="0.3">
      <c r="A12" s="254"/>
      <c r="B12" s="255"/>
      <c r="C12" s="254"/>
      <c r="D12" s="254"/>
      <c r="E12" s="254"/>
      <c r="F12" s="241"/>
      <c r="G12" s="254"/>
      <c r="H12" s="254"/>
      <c r="I12" s="254"/>
      <c r="J12" s="256"/>
      <c r="K12" s="254"/>
      <c r="L12" s="257"/>
      <c r="M12" s="256"/>
      <c r="N12" s="254"/>
      <c r="O12" s="254"/>
      <c r="P12" s="254"/>
      <c r="Q12" s="254"/>
      <c r="R12" s="241"/>
      <c r="S12" s="241"/>
      <c r="T12" s="254"/>
      <c r="U12" s="254"/>
      <c r="V12" s="254"/>
      <c r="W12" s="254"/>
      <c r="X12" s="258"/>
      <c r="Y12" s="254"/>
      <c r="Z12" s="241"/>
      <c r="AA12" s="241"/>
    </row>
    <row r="13" spans="1:27" ht="13.5" customHeight="1" x14ac:dyDescent="0.3">
      <c r="A13" s="254"/>
      <c r="B13" s="255"/>
      <c r="C13" s="254"/>
      <c r="D13" s="254"/>
      <c r="E13" s="254"/>
      <c r="F13" s="241"/>
      <c r="G13" s="254"/>
      <c r="H13" s="254"/>
      <c r="I13" s="254"/>
      <c r="J13" s="256"/>
      <c r="K13" s="254"/>
      <c r="L13" s="257"/>
      <c r="M13" s="256"/>
      <c r="N13" s="254"/>
      <c r="O13" s="254"/>
      <c r="P13" s="254"/>
      <c r="Q13" s="254"/>
      <c r="R13" s="241"/>
      <c r="S13" s="241"/>
      <c r="T13" s="254"/>
      <c r="U13" s="254"/>
      <c r="V13" s="254"/>
      <c r="W13" s="254"/>
      <c r="X13" s="258"/>
      <c r="Y13" s="254"/>
      <c r="Z13" s="241"/>
      <c r="AA13" s="241"/>
    </row>
    <row r="14" spans="1:27" ht="13.5" customHeight="1" x14ac:dyDescent="0.3">
      <c r="A14" s="254"/>
      <c r="B14" s="255"/>
      <c r="C14" s="254"/>
      <c r="D14" s="254"/>
      <c r="E14" s="254"/>
      <c r="F14" s="241"/>
      <c r="G14" s="254"/>
      <c r="H14" s="254"/>
      <c r="I14" s="254"/>
      <c r="J14" s="256"/>
      <c r="K14" s="254"/>
      <c r="L14" s="257"/>
      <c r="M14" s="256"/>
      <c r="N14" s="254"/>
      <c r="O14" s="254"/>
      <c r="P14" s="254"/>
      <c r="Q14" s="254"/>
      <c r="R14" s="241"/>
      <c r="S14" s="241"/>
      <c r="T14" s="254"/>
      <c r="U14" s="254"/>
      <c r="V14" s="254"/>
      <c r="W14" s="254"/>
      <c r="X14" s="258"/>
      <c r="Y14" s="254"/>
      <c r="Z14" s="241"/>
      <c r="AA14" s="241"/>
    </row>
    <row r="15" spans="1:27" ht="13.5" customHeight="1" x14ac:dyDescent="0.3">
      <c r="A15" s="254"/>
      <c r="B15" s="255"/>
      <c r="C15" s="254"/>
      <c r="D15" s="254"/>
      <c r="E15" s="254"/>
      <c r="F15" s="241"/>
      <c r="G15" s="254"/>
      <c r="H15" s="254"/>
      <c r="I15" s="254"/>
      <c r="J15" s="256"/>
      <c r="K15" s="254"/>
      <c r="L15" s="257"/>
      <c r="M15" s="256"/>
      <c r="N15" s="254"/>
      <c r="O15" s="254"/>
      <c r="P15" s="254"/>
      <c r="Q15" s="254"/>
      <c r="R15" s="241"/>
      <c r="S15" s="241"/>
      <c r="T15" s="254"/>
      <c r="U15" s="254"/>
      <c r="V15" s="254"/>
      <c r="W15" s="254"/>
      <c r="X15" s="258"/>
      <c r="Y15" s="254"/>
      <c r="Z15" s="241"/>
      <c r="AA15" s="241"/>
    </row>
    <row r="16" spans="1:27" ht="13.5" customHeight="1" x14ac:dyDescent="0.3">
      <c r="A16" s="254"/>
      <c r="B16" s="255"/>
      <c r="C16" s="254"/>
      <c r="D16" s="254"/>
      <c r="E16" s="254"/>
      <c r="F16" s="241"/>
      <c r="G16" s="254"/>
      <c r="H16" s="254"/>
      <c r="I16" s="254"/>
      <c r="J16" s="256"/>
      <c r="K16" s="254"/>
      <c r="L16" s="257"/>
      <c r="M16" s="256"/>
      <c r="N16" s="254"/>
      <c r="O16" s="254"/>
      <c r="P16" s="254"/>
      <c r="Q16" s="254"/>
      <c r="R16" s="241"/>
      <c r="S16" s="241"/>
      <c r="T16" s="254"/>
      <c r="U16" s="254"/>
      <c r="V16" s="254"/>
      <c r="W16" s="254"/>
      <c r="X16" s="258"/>
      <c r="Y16" s="254"/>
      <c r="Z16" s="241"/>
      <c r="AA16" s="241"/>
    </row>
    <row r="17" spans="1:27" ht="13.5" customHeight="1" x14ac:dyDescent="0.3">
      <c r="A17" s="254"/>
      <c r="B17" s="255"/>
      <c r="C17" s="254"/>
      <c r="D17" s="254"/>
      <c r="E17" s="254"/>
      <c r="F17" s="241"/>
      <c r="G17" s="254"/>
      <c r="H17" s="254"/>
      <c r="I17" s="254"/>
      <c r="J17" s="256"/>
      <c r="K17" s="254"/>
      <c r="L17" s="257"/>
      <c r="M17" s="256"/>
      <c r="N17" s="254"/>
      <c r="O17" s="254"/>
      <c r="P17" s="254"/>
      <c r="Q17" s="254"/>
      <c r="R17" s="241"/>
      <c r="S17" s="241"/>
      <c r="T17" s="254"/>
      <c r="U17" s="254"/>
      <c r="V17" s="254"/>
      <c r="W17" s="254"/>
      <c r="X17" s="258"/>
      <c r="Y17" s="254"/>
      <c r="Z17" s="241"/>
      <c r="AA17" s="241"/>
    </row>
    <row r="18" spans="1:27" ht="13.5" customHeight="1" x14ac:dyDescent="0.3">
      <c r="A18" s="254"/>
      <c r="B18" s="255"/>
      <c r="C18" s="254"/>
      <c r="D18" s="254"/>
      <c r="E18" s="254"/>
      <c r="F18" s="241"/>
      <c r="G18" s="254"/>
      <c r="H18" s="254"/>
      <c r="I18" s="254"/>
      <c r="J18" s="256"/>
      <c r="K18" s="254"/>
      <c r="L18" s="257"/>
      <c r="M18" s="256"/>
      <c r="N18" s="254"/>
      <c r="O18" s="254"/>
      <c r="P18" s="254"/>
      <c r="Q18" s="254"/>
      <c r="R18" s="241"/>
      <c r="S18" s="241"/>
      <c r="T18" s="254"/>
      <c r="U18" s="254"/>
      <c r="V18" s="254"/>
      <c r="W18" s="254"/>
      <c r="X18" s="258"/>
      <c r="Y18" s="254"/>
      <c r="Z18" s="241"/>
      <c r="AA18" s="241"/>
    </row>
    <row r="19" spans="1:27" ht="13.5" customHeight="1" x14ac:dyDescent="0.3">
      <c r="A19" s="254"/>
      <c r="B19" s="255"/>
      <c r="C19" s="254"/>
      <c r="D19" s="254"/>
      <c r="E19" s="254"/>
      <c r="F19" s="241"/>
      <c r="G19" s="254"/>
      <c r="H19" s="254"/>
      <c r="I19" s="254"/>
      <c r="J19" s="256"/>
      <c r="K19" s="254"/>
      <c r="L19" s="257"/>
      <c r="M19" s="256"/>
      <c r="N19" s="254"/>
      <c r="O19" s="254"/>
      <c r="P19" s="254"/>
      <c r="Q19" s="254"/>
      <c r="R19" s="241"/>
      <c r="S19" s="241"/>
      <c r="T19" s="254"/>
      <c r="U19" s="254"/>
      <c r="V19" s="254"/>
      <c r="W19" s="254"/>
      <c r="X19" s="258"/>
      <c r="Y19" s="254"/>
      <c r="Z19" s="241"/>
      <c r="AA19" s="241"/>
    </row>
    <row r="20" spans="1:27" ht="13.5" customHeight="1" x14ac:dyDescent="0.3">
      <c r="A20" s="254"/>
      <c r="B20" s="255"/>
      <c r="C20" s="254"/>
      <c r="D20" s="254"/>
      <c r="E20" s="254"/>
      <c r="F20" s="241"/>
      <c r="G20" s="254"/>
      <c r="H20" s="254"/>
      <c r="I20" s="254"/>
      <c r="J20" s="256"/>
      <c r="K20" s="254"/>
      <c r="L20" s="257"/>
      <c r="M20" s="256"/>
      <c r="N20" s="254"/>
      <c r="O20" s="254"/>
      <c r="P20" s="254"/>
      <c r="Q20" s="254"/>
      <c r="R20" s="241"/>
      <c r="S20" s="241"/>
      <c r="T20" s="254"/>
      <c r="U20" s="254"/>
      <c r="V20" s="254"/>
      <c r="W20" s="254"/>
      <c r="X20" s="258"/>
      <c r="Y20" s="254"/>
      <c r="Z20" s="241"/>
      <c r="AA20" s="241"/>
    </row>
    <row r="21" spans="1:27" ht="13.5" customHeight="1" x14ac:dyDescent="0.3">
      <c r="A21" s="254"/>
      <c r="B21" s="255"/>
      <c r="C21" s="254"/>
      <c r="D21" s="254"/>
      <c r="E21" s="254"/>
      <c r="F21" s="241"/>
      <c r="G21" s="254"/>
      <c r="H21" s="254"/>
      <c r="I21" s="254"/>
      <c r="J21" s="256"/>
      <c r="K21" s="254"/>
      <c r="L21" s="257"/>
      <c r="M21" s="256"/>
      <c r="N21" s="254"/>
      <c r="O21" s="254"/>
      <c r="P21" s="254"/>
      <c r="Q21" s="254"/>
      <c r="R21" s="241"/>
      <c r="S21" s="241"/>
      <c r="T21" s="254"/>
      <c r="U21" s="254"/>
      <c r="V21" s="254"/>
      <c r="W21" s="254"/>
      <c r="X21" s="258"/>
      <c r="Y21" s="254"/>
      <c r="Z21" s="241"/>
      <c r="AA21" s="241"/>
    </row>
    <row r="22" spans="1:27" ht="13.5" customHeight="1" x14ac:dyDescent="0.3">
      <c r="A22" s="254"/>
      <c r="B22" s="255"/>
      <c r="C22" s="254"/>
      <c r="D22" s="254"/>
      <c r="E22" s="254"/>
      <c r="F22" s="241"/>
      <c r="G22" s="254"/>
      <c r="H22" s="254"/>
      <c r="I22" s="254"/>
      <c r="J22" s="256"/>
      <c r="K22" s="254"/>
      <c r="L22" s="257"/>
      <c r="M22" s="256"/>
      <c r="N22" s="254"/>
      <c r="O22" s="254"/>
      <c r="P22" s="254"/>
      <c r="Q22" s="254"/>
      <c r="R22" s="241"/>
      <c r="S22" s="241"/>
      <c r="T22" s="254"/>
      <c r="U22" s="254"/>
      <c r="V22" s="254"/>
      <c r="W22" s="254"/>
      <c r="X22" s="258"/>
      <c r="Y22" s="254"/>
      <c r="Z22" s="241"/>
      <c r="AA22" s="241"/>
    </row>
    <row r="23" spans="1:27" ht="13.5" customHeight="1" x14ac:dyDescent="0.3">
      <c r="A23" s="254"/>
      <c r="B23" s="255"/>
      <c r="C23" s="254"/>
      <c r="D23" s="254"/>
      <c r="E23" s="254"/>
      <c r="F23" s="241"/>
      <c r="G23" s="254"/>
      <c r="H23" s="254"/>
      <c r="I23" s="254"/>
      <c r="J23" s="256"/>
      <c r="K23" s="254"/>
      <c r="L23" s="257"/>
      <c r="M23" s="256"/>
      <c r="N23" s="254"/>
      <c r="O23" s="254"/>
      <c r="P23" s="254"/>
      <c r="Q23" s="254"/>
      <c r="R23" s="241"/>
      <c r="S23" s="241"/>
      <c r="T23" s="254"/>
      <c r="U23" s="254"/>
      <c r="V23" s="254"/>
      <c r="W23" s="254"/>
      <c r="X23" s="258"/>
      <c r="Y23" s="254"/>
      <c r="Z23" s="241"/>
      <c r="AA23" s="241"/>
    </row>
    <row r="24" spans="1:27" ht="13.5" customHeight="1" x14ac:dyDescent="0.3">
      <c r="A24" s="254"/>
      <c r="B24" s="255"/>
      <c r="C24" s="254"/>
      <c r="D24" s="254"/>
      <c r="E24" s="254"/>
      <c r="F24" s="241"/>
      <c r="G24" s="254"/>
      <c r="H24" s="254"/>
      <c r="I24" s="254"/>
      <c r="J24" s="256"/>
      <c r="K24" s="254"/>
      <c r="L24" s="257"/>
      <c r="M24" s="256"/>
      <c r="N24" s="254"/>
      <c r="O24" s="254"/>
      <c r="P24" s="254"/>
      <c r="Q24" s="254"/>
      <c r="R24" s="241"/>
      <c r="S24" s="241"/>
      <c r="T24" s="254"/>
      <c r="U24" s="254"/>
      <c r="V24" s="254"/>
      <c r="W24" s="254"/>
      <c r="X24" s="258"/>
      <c r="Y24" s="254"/>
      <c r="Z24" s="241"/>
      <c r="AA24" s="241"/>
    </row>
    <row r="25" spans="1:27" ht="13.5" customHeight="1" x14ac:dyDescent="0.3">
      <c r="A25" s="254"/>
      <c r="B25" s="255"/>
      <c r="C25" s="254"/>
      <c r="D25" s="254"/>
      <c r="E25" s="254"/>
      <c r="F25" s="241"/>
      <c r="G25" s="254"/>
      <c r="H25" s="254"/>
      <c r="I25" s="254"/>
      <c r="J25" s="256"/>
      <c r="K25" s="254"/>
      <c r="L25" s="257"/>
      <c r="M25" s="256"/>
      <c r="N25" s="254"/>
      <c r="O25" s="254"/>
      <c r="P25" s="254"/>
      <c r="Q25" s="254"/>
      <c r="R25" s="241"/>
      <c r="S25" s="241"/>
      <c r="T25" s="254"/>
      <c r="U25" s="254"/>
      <c r="V25" s="254"/>
      <c r="W25" s="254"/>
      <c r="X25" s="258"/>
      <c r="Y25" s="254"/>
      <c r="Z25" s="241"/>
      <c r="AA25" s="241"/>
    </row>
    <row r="26" spans="1:27" ht="13.5" customHeight="1" x14ac:dyDescent="0.3">
      <c r="A26" s="254"/>
      <c r="B26" s="255"/>
      <c r="C26" s="254"/>
      <c r="D26" s="254"/>
      <c r="E26" s="254"/>
      <c r="F26" s="241"/>
      <c r="G26" s="254"/>
      <c r="H26" s="254"/>
      <c r="I26" s="254"/>
      <c r="J26" s="256"/>
      <c r="K26" s="254"/>
      <c r="L26" s="257"/>
      <c r="M26" s="256"/>
      <c r="N26" s="254"/>
      <c r="O26" s="254"/>
      <c r="P26" s="254"/>
      <c r="Q26" s="254"/>
      <c r="R26" s="241"/>
      <c r="S26" s="241"/>
      <c r="T26" s="254"/>
      <c r="U26" s="254"/>
      <c r="V26" s="254"/>
      <c r="W26" s="254"/>
      <c r="X26" s="258"/>
      <c r="Y26" s="254"/>
      <c r="Z26" s="241"/>
      <c r="AA26" s="241"/>
    </row>
    <row r="27" spans="1:27" ht="13.5" customHeight="1" x14ac:dyDescent="0.3">
      <c r="A27" s="254"/>
      <c r="B27" s="255"/>
      <c r="C27" s="254"/>
      <c r="D27" s="254"/>
      <c r="E27" s="254"/>
      <c r="F27" s="241"/>
      <c r="G27" s="254"/>
      <c r="H27" s="254"/>
      <c r="I27" s="254"/>
      <c r="J27" s="256"/>
      <c r="K27" s="254"/>
      <c r="L27" s="257"/>
      <c r="M27" s="256"/>
      <c r="N27" s="254"/>
      <c r="O27" s="254"/>
      <c r="P27" s="254"/>
      <c r="Q27" s="254"/>
      <c r="R27" s="241"/>
      <c r="S27" s="241"/>
      <c r="T27" s="254"/>
      <c r="U27" s="254"/>
      <c r="V27" s="254"/>
      <c r="W27" s="254"/>
      <c r="X27" s="258"/>
      <c r="Y27" s="254"/>
      <c r="Z27" s="241"/>
      <c r="AA27" s="241"/>
    </row>
    <row r="28" spans="1:27" ht="13.5" customHeight="1" x14ac:dyDescent="0.3">
      <c r="A28" s="254"/>
      <c r="B28" s="255"/>
      <c r="C28" s="254"/>
      <c r="D28" s="254"/>
      <c r="E28" s="254"/>
      <c r="F28" s="241"/>
      <c r="G28" s="254"/>
      <c r="H28" s="254"/>
      <c r="I28" s="254"/>
      <c r="J28" s="256"/>
      <c r="K28" s="254"/>
      <c r="L28" s="257"/>
      <c r="M28" s="256"/>
      <c r="N28" s="254"/>
      <c r="O28" s="254"/>
      <c r="P28" s="254"/>
      <c r="Q28" s="254"/>
      <c r="R28" s="241"/>
      <c r="S28" s="241"/>
      <c r="T28" s="254"/>
      <c r="U28" s="254"/>
      <c r="V28" s="254"/>
      <c r="W28" s="254"/>
      <c r="X28" s="258"/>
      <c r="Y28" s="254"/>
      <c r="Z28" s="241"/>
      <c r="AA28" s="241"/>
    </row>
    <row r="29" spans="1:27" ht="13.5" customHeight="1" x14ac:dyDescent="0.3">
      <c r="A29" s="254"/>
      <c r="B29" s="255"/>
      <c r="C29" s="254"/>
      <c r="D29" s="254"/>
      <c r="E29" s="254"/>
      <c r="F29" s="241"/>
      <c r="G29" s="254"/>
      <c r="H29" s="254"/>
      <c r="I29" s="254"/>
      <c r="J29" s="256"/>
      <c r="K29" s="254"/>
      <c r="L29" s="257"/>
      <c r="M29" s="256"/>
      <c r="N29" s="254"/>
      <c r="O29" s="254"/>
      <c r="P29" s="254"/>
      <c r="Q29" s="254"/>
      <c r="R29" s="241"/>
      <c r="S29" s="241"/>
      <c r="T29" s="254"/>
      <c r="U29" s="254"/>
      <c r="V29" s="254"/>
      <c r="W29" s="254"/>
      <c r="X29" s="258"/>
      <c r="Y29" s="254"/>
      <c r="Z29" s="241"/>
      <c r="AA29" s="241"/>
    </row>
    <row r="30" spans="1:27" ht="13.5" customHeight="1" x14ac:dyDescent="0.3">
      <c r="A30" s="254"/>
      <c r="B30" s="255"/>
      <c r="C30" s="254"/>
      <c r="D30" s="254"/>
      <c r="E30" s="254"/>
      <c r="F30" s="241"/>
      <c r="G30" s="254"/>
      <c r="H30" s="254"/>
      <c r="I30" s="254"/>
      <c r="J30" s="256"/>
      <c r="K30" s="254"/>
      <c r="L30" s="257"/>
      <c r="M30" s="256"/>
      <c r="N30" s="254"/>
      <c r="O30" s="254"/>
      <c r="P30" s="254"/>
      <c r="Q30" s="254"/>
      <c r="R30" s="241"/>
      <c r="S30" s="241"/>
      <c r="T30" s="254"/>
      <c r="U30" s="254"/>
      <c r="V30" s="254"/>
      <c r="W30" s="254"/>
      <c r="X30" s="258"/>
      <c r="Y30" s="254"/>
      <c r="Z30" s="241"/>
      <c r="AA30" s="241"/>
    </row>
    <row r="31" spans="1:27" ht="13.5" customHeight="1" x14ac:dyDescent="0.3">
      <c r="A31" s="254"/>
      <c r="B31" s="255"/>
      <c r="C31" s="254"/>
      <c r="D31" s="254"/>
      <c r="E31" s="254"/>
      <c r="F31" s="241"/>
      <c r="G31" s="254"/>
      <c r="H31" s="254"/>
      <c r="I31" s="254"/>
      <c r="J31" s="256"/>
      <c r="K31" s="254"/>
      <c r="L31" s="257"/>
      <c r="M31" s="256"/>
      <c r="N31" s="254"/>
      <c r="O31" s="254"/>
      <c r="P31" s="254"/>
      <c r="Q31" s="254"/>
      <c r="R31" s="241"/>
      <c r="S31" s="241"/>
      <c r="T31" s="254"/>
      <c r="U31" s="254"/>
      <c r="V31" s="254"/>
      <c r="W31" s="254"/>
      <c r="X31" s="258"/>
      <c r="Y31" s="254"/>
      <c r="Z31" s="241"/>
      <c r="AA31" s="241"/>
    </row>
    <row r="32" spans="1:27" ht="13.5" customHeight="1" x14ac:dyDescent="0.3">
      <c r="A32" s="254"/>
      <c r="B32" s="255"/>
      <c r="C32" s="254"/>
      <c r="D32" s="254"/>
      <c r="E32" s="254"/>
      <c r="F32" s="241"/>
      <c r="G32" s="254"/>
      <c r="H32" s="254"/>
      <c r="I32" s="254"/>
      <c r="J32" s="256"/>
      <c r="K32" s="254"/>
      <c r="L32" s="257"/>
      <c r="M32" s="256"/>
      <c r="N32" s="254"/>
      <c r="O32" s="254"/>
      <c r="P32" s="254"/>
      <c r="Q32" s="254"/>
      <c r="R32" s="241"/>
      <c r="S32" s="241"/>
      <c r="T32" s="254"/>
      <c r="U32" s="254"/>
      <c r="V32" s="254"/>
      <c r="W32" s="254"/>
      <c r="X32" s="258"/>
      <c r="Y32" s="254"/>
      <c r="Z32" s="241"/>
      <c r="AA32" s="241"/>
    </row>
    <row r="33" spans="1:27" ht="13.5" customHeight="1" x14ac:dyDescent="0.3">
      <c r="A33" s="254"/>
      <c r="B33" s="255"/>
      <c r="C33" s="254"/>
      <c r="D33" s="254"/>
      <c r="E33" s="254"/>
      <c r="F33" s="241"/>
      <c r="G33" s="254"/>
      <c r="H33" s="254"/>
      <c r="I33" s="254"/>
      <c r="J33" s="256"/>
      <c r="K33" s="254"/>
      <c r="L33" s="257"/>
      <c r="M33" s="256"/>
      <c r="N33" s="254"/>
      <c r="O33" s="254"/>
      <c r="P33" s="254"/>
      <c r="Q33" s="254"/>
      <c r="R33" s="241"/>
      <c r="S33" s="241"/>
      <c r="T33" s="254"/>
      <c r="U33" s="254"/>
      <c r="V33" s="254"/>
      <c r="W33" s="254"/>
      <c r="X33" s="258"/>
      <c r="Y33" s="254"/>
      <c r="Z33" s="241"/>
      <c r="AA33" s="241"/>
    </row>
    <row r="34" spans="1:27" ht="13.5" customHeight="1" x14ac:dyDescent="0.3">
      <c r="A34" s="254"/>
      <c r="B34" s="255"/>
      <c r="C34" s="254"/>
      <c r="D34" s="254"/>
      <c r="E34" s="254"/>
      <c r="F34" s="241"/>
      <c r="G34" s="254"/>
      <c r="H34" s="254"/>
      <c r="I34" s="254"/>
      <c r="J34" s="256"/>
      <c r="K34" s="254"/>
      <c r="L34" s="257"/>
      <c r="M34" s="256"/>
      <c r="N34" s="254"/>
      <c r="O34" s="254"/>
      <c r="P34" s="254"/>
      <c r="Q34" s="254"/>
      <c r="R34" s="241"/>
      <c r="S34" s="241"/>
      <c r="T34" s="254"/>
      <c r="U34" s="254"/>
      <c r="V34" s="254"/>
      <c r="W34" s="254"/>
      <c r="X34" s="258"/>
      <c r="Y34" s="254"/>
      <c r="Z34" s="241"/>
      <c r="AA34" s="241"/>
    </row>
    <row r="35" spans="1:27" ht="13.5" customHeight="1" x14ac:dyDescent="0.3">
      <c r="A35" s="254"/>
      <c r="B35" s="255"/>
      <c r="C35" s="254"/>
      <c r="D35" s="254"/>
      <c r="E35" s="254"/>
      <c r="F35" s="241"/>
      <c r="G35" s="254"/>
      <c r="H35" s="254"/>
      <c r="I35" s="254"/>
      <c r="J35" s="256"/>
      <c r="K35" s="254"/>
      <c r="L35" s="257"/>
      <c r="M35" s="256"/>
      <c r="N35" s="254"/>
      <c r="O35" s="254"/>
      <c r="P35" s="254"/>
      <c r="Q35" s="254"/>
      <c r="R35" s="241"/>
      <c r="S35" s="241"/>
      <c r="T35" s="254"/>
      <c r="U35" s="254"/>
      <c r="V35" s="254"/>
      <c r="W35" s="254"/>
      <c r="X35" s="258"/>
      <c r="Y35" s="254"/>
      <c r="Z35" s="241"/>
      <c r="AA35" s="241"/>
    </row>
    <row r="36" spans="1:27" ht="13.5" customHeight="1" x14ac:dyDescent="0.3">
      <c r="A36" s="254"/>
      <c r="B36" s="255"/>
      <c r="C36" s="254"/>
      <c r="D36" s="254"/>
      <c r="E36" s="254"/>
      <c r="F36" s="241"/>
      <c r="G36" s="254"/>
      <c r="H36" s="254"/>
      <c r="I36" s="254"/>
      <c r="J36" s="256"/>
      <c r="K36" s="254"/>
      <c r="L36" s="257"/>
      <c r="M36" s="256"/>
      <c r="N36" s="254"/>
      <c r="O36" s="254"/>
      <c r="P36" s="254"/>
      <c r="Q36" s="254"/>
      <c r="R36" s="241"/>
      <c r="S36" s="241"/>
      <c r="T36" s="254"/>
      <c r="U36" s="254"/>
      <c r="V36" s="254"/>
      <c r="W36" s="254"/>
      <c r="X36" s="258"/>
      <c r="Y36" s="254"/>
      <c r="Z36" s="241"/>
      <c r="AA36" s="241"/>
    </row>
    <row r="37" spans="1:27" ht="13.5" customHeight="1" x14ac:dyDescent="0.3">
      <c r="A37" s="254"/>
      <c r="B37" s="255"/>
      <c r="C37" s="254"/>
      <c r="D37" s="254"/>
      <c r="E37" s="254"/>
      <c r="F37" s="241"/>
      <c r="G37" s="254"/>
      <c r="H37" s="254"/>
      <c r="I37" s="254"/>
      <c r="J37" s="256"/>
      <c r="K37" s="254"/>
      <c r="L37" s="257"/>
      <c r="M37" s="256"/>
      <c r="N37" s="254"/>
      <c r="O37" s="254"/>
      <c r="P37" s="254"/>
      <c r="Q37" s="254"/>
      <c r="R37" s="241"/>
      <c r="S37" s="241"/>
      <c r="T37" s="254"/>
      <c r="U37" s="254"/>
      <c r="V37" s="254"/>
      <c r="W37" s="254"/>
      <c r="X37" s="258"/>
      <c r="Y37" s="254"/>
      <c r="Z37" s="241"/>
      <c r="AA37" s="241"/>
    </row>
    <row r="38" spans="1:27" ht="13.5" customHeight="1" x14ac:dyDescent="0.3">
      <c r="A38" s="254"/>
      <c r="B38" s="255"/>
      <c r="C38" s="254"/>
      <c r="D38" s="254"/>
      <c r="E38" s="254"/>
      <c r="F38" s="241"/>
      <c r="G38" s="254"/>
      <c r="H38" s="254"/>
      <c r="I38" s="254"/>
      <c r="J38" s="256"/>
      <c r="K38" s="254"/>
      <c r="L38" s="257"/>
      <c r="M38" s="256"/>
      <c r="N38" s="254"/>
      <c r="O38" s="254"/>
      <c r="P38" s="254"/>
      <c r="Q38" s="254"/>
      <c r="R38" s="241"/>
      <c r="S38" s="241"/>
      <c r="T38" s="254"/>
      <c r="U38" s="254"/>
      <c r="V38" s="254"/>
      <c r="W38" s="254"/>
      <c r="X38" s="258"/>
      <c r="Y38" s="254"/>
      <c r="Z38" s="241"/>
      <c r="AA38" s="241"/>
    </row>
    <row r="39" spans="1:27" ht="13.5" customHeight="1" x14ac:dyDescent="0.3">
      <c r="A39" s="254"/>
      <c r="B39" s="255"/>
      <c r="C39" s="254"/>
      <c r="D39" s="254"/>
      <c r="E39" s="254"/>
      <c r="F39" s="241"/>
      <c r="G39" s="254"/>
      <c r="H39" s="254"/>
      <c r="I39" s="254"/>
      <c r="J39" s="256"/>
      <c r="K39" s="254"/>
      <c r="L39" s="257"/>
      <c r="M39" s="256"/>
      <c r="N39" s="254"/>
      <c r="O39" s="254"/>
      <c r="P39" s="254"/>
      <c r="Q39" s="254"/>
      <c r="R39" s="241"/>
      <c r="S39" s="241"/>
      <c r="T39" s="254"/>
      <c r="U39" s="254"/>
      <c r="V39" s="254"/>
      <c r="W39" s="254"/>
      <c r="X39" s="258"/>
      <c r="Y39" s="254"/>
      <c r="Z39" s="241"/>
      <c r="AA39" s="241"/>
    </row>
    <row r="40" spans="1:27" ht="13.5" customHeight="1" x14ac:dyDescent="0.3">
      <c r="A40" s="254"/>
      <c r="B40" s="255"/>
      <c r="C40" s="254"/>
      <c r="D40" s="254"/>
      <c r="E40" s="254"/>
      <c r="F40" s="241"/>
      <c r="G40" s="254"/>
      <c r="H40" s="254"/>
      <c r="I40" s="254"/>
      <c r="J40" s="256"/>
      <c r="K40" s="254"/>
      <c r="L40" s="257"/>
      <c r="M40" s="256"/>
      <c r="N40" s="254"/>
      <c r="O40" s="254"/>
      <c r="P40" s="254"/>
      <c r="Q40" s="254"/>
      <c r="R40" s="241"/>
      <c r="S40" s="241"/>
      <c r="T40" s="254"/>
      <c r="U40" s="254"/>
      <c r="V40" s="254"/>
      <c r="W40" s="254"/>
      <c r="X40" s="258"/>
      <c r="Y40" s="254"/>
      <c r="Z40" s="241"/>
      <c r="AA40" s="241"/>
    </row>
    <row r="41" spans="1:27" ht="13.5" customHeight="1" x14ac:dyDescent="0.3">
      <c r="A41" s="254"/>
      <c r="B41" s="255"/>
      <c r="C41" s="254"/>
      <c r="D41" s="254"/>
      <c r="E41" s="254"/>
      <c r="F41" s="241"/>
      <c r="G41" s="254"/>
      <c r="H41" s="254"/>
      <c r="I41" s="254"/>
      <c r="J41" s="256"/>
      <c r="K41" s="254"/>
      <c r="L41" s="257"/>
      <c r="M41" s="256"/>
      <c r="N41" s="254"/>
      <c r="O41" s="254"/>
      <c r="P41" s="254"/>
      <c r="Q41" s="254"/>
      <c r="R41" s="241"/>
      <c r="S41" s="241"/>
      <c r="T41" s="254"/>
      <c r="U41" s="254"/>
      <c r="V41" s="254"/>
      <c r="W41" s="254"/>
      <c r="X41" s="258"/>
      <c r="Y41" s="254"/>
      <c r="Z41" s="241"/>
      <c r="AA41" s="241"/>
    </row>
    <row r="42" spans="1:27" ht="13.5" customHeight="1" x14ac:dyDescent="0.3">
      <c r="A42" s="254"/>
      <c r="B42" s="255"/>
      <c r="C42" s="254"/>
      <c r="D42" s="254"/>
      <c r="E42" s="254"/>
      <c r="F42" s="241"/>
      <c r="G42" s="254"/>
      <c r="H42" s="254"/>
      <c r="I42" s="254"/>
      <c r="J42" s="256"/>
      <c r="K42" s="254"/>
      <c r="L42" s="257"/>
      <c r="M42" s="256"/>
      <c r="N42" s="254"/>
      <c r="O42" s="254"/>
      <c r="P42" s="254"/>
      <c r="Q42" s="254"/>
      <c r="R42" s="241"/>
      <c r="S42" s="241"/>
      <c r="T42" s="254"/>
      <c r="U42" s="254"/>
      <c r="V42" s="254"/>
      <c r="W42" s="254"/>
      <c r="X42" s="258"/>
      <c r="Y42" s="254"/>
      <c r="Z42" s="241"/>
      <c r="AA42" s="241"/>
    </row>
    <row r="43" spans="1:27" ht="13.5" customHeight="1" x14ac:dyDescent="0.3">
      <c r="A43" s="254"/>
      <c r="B43" s="255"/>
      <c r="C43" s="254"/>
      <c r="D43" s="254"/>
      <c r="E43" s="254"/>
      <c r="F43" s="241"/>
      <c r="G43" s="254"/>
      <c r="H43" s="254"/>
      <c r="I43" s="254"/>
      <c r="J43" s="256"/>
      <c r="K43" s="254"/>
      <c r="L43" s="257"/>
      <c r="M43" s="256"/>
      <c r="N43" s="254"/>
      <c r="O43" s="254"/>
      <c r="P43" s="254"/>
      <c r="Q43" s="254"/>
      <c r="R43" s="241"/>
      <c r="S43" s="241"/>
      <c r="T43" s="254"/>
      <c r="U43" s="254"/>
      <c r="V43" s="254"/>
      <c r="W43" s="254"/>
      <c r="X43" s="258"/>
      <c r="Y43" s="254"/>
      <c r="Z43" s="241"/>
      <c r="AA43" s="241"/>
    </row>
    <row r="44" spans="1:27" ht="13.5" customHeight="1" x14ac:dyDescent="0.3">
      <c r="A44" s="254"/>
      <c r="B44" s="255"/>
      <c r="C44" s="254"/>
      <c r="D44" s="254"/>
      <c r="E44" s="254"/>
      <c r="F44" s="241"/>
      <c r="G44" s="254"/>
      <c r="H44" s="254"/>
      <c r="I44" s="254"/>
      <c r="J44" s="256"/>
      <c r="K44" s="254"/>
      <c r="L44" s="257"/>
      <c r="M44" s="256"/>
      <c r="N44" s="254"/>
      <c r="O44" s="254"/>
      <c r="P44" s="254"/>
      <c r="Q44" s="254"/>
      <c r="R44" s="241"/>
      <c r="S44" s="241"/>
      <c r="T44" s="254"/>
      <c r="U44" s="254"/>
      <c r="V44" s="254"/>
      <c r="W44" s="254"/>
      <c r="X44" s="258"/>
      <c r="Y44" s="254"/>
      <c r="Z44" s="241"/>
      <c r="AA44" s="241"/>
    </row>
    <row r="45" spans="1:27" ht="13.5" customHeight="1" x14ac:dyDescent="0.3">
      <c r="A45" s="254"/>
      <c r="B45" s="255"/>
      <c r="C45" s="254"/>
      <c r="D45" s="254"/>
      <c r="E45" s="254"/>
      <c r="F45" s="241"/>
      <c r="G45" s="254"/>
      <c r="H45" s="254"/>
      <c r="I45" s="254"/>
      <c r="J45" s="256"/>
      <c r="K45" s="254"/>
      <c r="L45" s="257"/>
      <c r="M45" s="256"/>
      <c r="N45" s="254"/>
      <c r="O45" s="254"/>
      <c r="P45" s="254"/>
      <c r="Q45" s="254"/>
      <c r="R45" s="241"/>
      <c r="S45" s="241"/>
      <c r="T45" s="254"/>
      <c r="U45" s="254"/>
      <c r="V45" s="254"/>
      <c r="W45" s="254"/>
      <c r="X45" s="258"/>
      <c r="Y45" s="254"/>
      <c r="Z45" s="241"/>
      <c r="AA45" s="241"/>
    </row>
    <row r="46" spans="1:27" ht="13.5" customHeight="1" x14ac:dyDescent="0.3">
      <c r="A46" s="254"/>
      <c r="B46" s="255"/>
      <c r="C46" s="254"/>
      <c r="D46" s="254"/>
      <c r="E46" s="254"/>
      <c r="F46" s="241"/>
      <c r="G46" s="254"/>
      <c r="H46" s="254"/>
      <c r="I46" s="254"/>
      <c r="J46" s="256"/>
      <c r="K46" s="254"/>
      <c r="L46" s="257"/>
      <c r="M46" s="256"/>
      <c r="N46" s="254"/>
      <c r="O46" s="254"/>
      <c r="P46" s="254"/>
      <c r="Q46" s="254"/>
      <c r="R46" s="241"/>
      <c r="S46" s="241"/>
      <c r="T46" s="254"/>
      <c r="U46" s="254"/>
      <c r="V46" s="254"/>
      <c r="W46" s="254"/>
      <c r="X46" s="258"/>
      <c r="Y46" s="254"/>
      <c r="Z46" s="241"/>
      <c r="AA46" s="241"/>
    </row>
    <row r="47" spans="1:27" ht="13.5" customHeight="1" x14ac:dyDescent="0.3">
      <c r="A47" s="254"/>
      <c r="B47" s="255"/>
      <c r="C47" s="254"/>
      <c r="D47" s="254"/>
      <c r="E47" s="254"/>
      <c r="F47" s="241"/>
      <c r="G47" s="254"/>
      <c r="H47" s="254"/>
      <c r="I47" s="254"/>
      <c r="J47" s="256"/>
      <c r="K47" s="254"/>
      <c r="L47" s="257"/>
      <c r="M47" s="256"/>
      <c r="N47" s="254"/>
      <c r="O47" s="254"/>
      <c r="P47" s="254"/>
      <c r="Q47" s="254"/>
      <c r="R47" s="241"/>
      <c r="S47" s="241"/>
      <c r="T47" s="254"/>
      <c r="U47" s="254"/>
      <c r="V47" s="254"/>
      <c r="W47" s="254"/>
      <c r="X47" s="258"/>
      <c r="Y47" s="254"/>
      <c r="Z47" s="241"/>
      <c r="AA47" s="241"/>
    </row>
    <row r="48" spans="1:27" ht="13.5" customHeight="1" x14ac:dyDescent="0.3">
      <c r="A48" s="254"/>
      <c r="B48" s="255"/>
      <c r="C48" s="254"/>
      <c r="D48" s="254"/>
      <c r="E48" s="254"/>
      <c r="F48" s="241"/>
      <c r="G48" s="254"/>
      <c r="H48" s="254"/>
      <c r="I48" s="254"/>
      <c r="J48" s="256"/>
      <c r="K48" s="254"/>
      <c r="L48" s="257"/>
      <c r="M48" s="256"/>
      <c r="N48" s="254"/>
      <c r="O48" s="254"/>
      <c r="P48" s="254"/>
      <c r="Q48" s="254"/>
      <c r="R48" s="241"/>
      <c r="S48" s="241"/>
      <c r="T48" s="254"/>
      <c r="U48" s="254"/>
      <c r="V48" s="254"/>
      <c r="W48" s="254"/>
      <c r="X48" s="258"/>
      <c r="Y48" s="254"/>
      <c r="Z48" s="241"/>
      <c r="AA48" s="241"/>
    </row>
    <row r="49" spans="1:27" ht="13.5" customHeight="1" x14ac:dyDescent="0.3">
      <c r="A49" s="254"/>
      <c r="B49" s="255"/>
      <c r="C49" s="254"/>
      <c r="D49" s="254"/>
      <c r="E49" s="254"/>
      <c r="F49" s="241"/>
      <c r="G49" s="254"/>
      <c r="H49" s="254"/>
      <c r="I49" s="254"/>
      <c r="J49" s="256"/>
      <c r="K49" s="254"/>
      <c r="L49" s="257"/>
      <c r="M49" s="256"/>
      <c r="N49" s="254"/>
      <c r="O49" s="254"/>
      <c r="P49" s="254"/>
      <c r="Q49" s="254"/>
      <c r="R49" s="241"/>
      <c r="S49" s="241"/>
      <c r="T49" s="254"/>
      <c r="U49" s="254"/>
      <c r="V49" s="254"/>
      <c r="W49" s="254"/>
      <c r="X49" s="258"/>
      <c r="Y49" s="254"/>
      <c r="Z49" s="241"/>
      <c r="AA49" s="241"/>
    </row>
    <row r="50" spans="1:27" ht="13.5" customHeight="1" x14ac:dyDescent="0.3">
      <c r="A50" s="254"/>
      <c r="B50" s="255"/>
      <c r="C50" s="254"/>
      <c r="D50" s="254"/>
      <c r="E50" s="254"/>
      <c r="F50" s="241"/>
      <c r="G50" s="254"/>
      <c r="H50" s="254"/>
      <c r="I50" s="254"/>
      <c r="J50" s="256"/>
      <c r="K50" s="254"/>
      <c r="L50" s="257"/>
      <c r="M50" s="256"/>
      <c r="N50" s="254"/>
      <c r="O50" s="254"/>
      <c r="P50" s="254"/>
      <c r="Q50" s="254"/>
      <c r="R50" s="241"/>
      <c r="S50" s="241"/>
      <c r="T50" s="254"/>
      <c r="U50" s="254"/>
      <c r="V50" s="254"/>
      <c r="W50" s="254"/>
      <c r="X50" s="258"/>
      <c r="Y50" s="254"/>
      <c r="Z50" s="241"/>
      <c r="AA50" s="241"/>
    </row>
    <row r="51" spans="1:27" ht="13.5" customHeight="1" x14ac:dyDescent="0.3">
      <c r="A51" s="254"/>
      <c r="B51" s="255"/>
      <c r="C51" s="254"/>
      <c r="D51" s="254"/>
      <c r="E51" s="254"/>
      <c r="F51" s="241"/>
      <c r="G51" s="254"/>
      <c r="H51" s="254"/>
      <c r="I51" s="254"/>
      <c r="J51" s="256"/>
      <c r="K51" s="254"/>
      <c r="L51" s="257"/>
      <c r="M51" s="256"/>
      <c r="N51" s="254"/>
      <c r="O51" s="254"/>
      <c r="P51" s="254"/>
      <c r="Q51" s="254"/>
      <c r="R51" s="241"/>
      <c r="S51" s="241"/>
      <c r="T51" s="254"/>
      <c r="U51" s="254"/>
      <c r="V51" s="254"/>
      <c r="W51" s="254"/>
      <c r="X51" s="258"/>
      <c r="Y51" s="254"/>
      <c r="Z51" s="241"/>
      <c r="AA51" s="241"/>
    </row>
    <row r="52" spans="1:27" ht="13.5" customHeight="1" x14ac:dyDescent="0.3">
      <c r="A52" s="254"/>
      <c r="B52" s="255"/>
      <c r="C52" s="254"/>
      <c r="D52" s="254"/>
      <c r="E52" s="254"/>
      <c r="F52" s="241"/>
      <c r="G52" s="254"/>
      <c r="H52" s="254"/>
      <c r="I52" s="254"/>
      <c r="J52" s="256"/>
      <c r="K52" s="254"/>
      <c r="L52" s="257"/>
      <c r="M52" s="256"/>
      <c r="N52" s="254"/>
      <c r="O52" s="254"/>
      <c r="P52" s="254"/>
      <c r="Q52" s="254"/>
      <c r="R52" s="241"/>
      <c r="S52" s="241"/>
      <c r="T52" s="254"/>
      <c r="U52" s="254"/>
      <c r="V52" s="254"/>
      <c r="W52" s="254"/>
      <c r="X52" s="258"/>
      <c r="Y52" s="254"/>
      <c r="Z52" s="241"/>
      <c r="AA52" s="241"/>
    </row>
    <row r="53" spans="1:27" ht="13.5" customHeight="1" x14ac:dyDescent="0.3">
      <c r="A53" s="254"/>
      <c r="B53" s="255"/>
      <c r="C53" s="254"/>
      <c r="D53" s="254"/>
      <c r="E53" s="254"/>
      <c r="F53" s="241"/>
      <c r="G53" s="254"/>
      <c r="H53" s="254"/>
      <c r="I53" s="254"/>
      <c r="J53" s="256"/>
      <c r="K53" s="254"/>
      <c r="L53" s="257"/>
      <c r="M53" s="256"/>
      <c r="N53" s="254"/>
      <c r="O53" s="254"/>
      <c r="P53" s="254"/>
      <c r="Q53" s="254"/>
      <c r="R53" s="241"/>
      <c r="S53" s="241"/>
      <c r="T53" s="254"/>
      <c r="U53" s="254"/>
      <c r="V53" s="254"/>
      <c r="W53" s="254"/>
      <c r="X53" s="258"/>
      <c r="Y53" s="254"/>
      <c r="Z53" s="241"/>
      <c r="AA53" s="241"/>
    </row>
    <row r="54" spans="1:27" ht="13.5" customHeight="1" x14ac:dyDescent="0.3">
      <c r="A54" s="254"/>
      <c r="B54" s="255"/>
      <c r="C54" s="254"/>
      <c r="D54" s="254"/>
      <c r="E54" s="254"/>
      <c r="F54" s="241"/>
      <c r="G54" s="254"/>
      <c r="H54" s="254"/>
      <c r="I54" s="254"/>
      <c r="J54" s="256"/>
      <c r="K54" s="254"/>
      <c r="L54" s="257"/>
      <c r="M54" s="256"/>
      <c r="N54" s="254"/>
      <c r="O54" s="254"/>
      <c r="P54" s="254"/>
      <c r="Q54" s="254"/>
      <c r="R54" s="241"/>
      <c r="S54" s="241"/>
      <c r="T54" s="254"/>
      <c r="U54" s="254"/>
      <c r="V54" s="254"/>
      <c r="W54" s="254"/>
      <c r="X54" s="258"/>
      <c r="Y54" s="254"/>
      <c r="Z54" s="241"/>
      <c r="AA54" s="241"/>
    </row>
    <row r="55" spans="1:27" ht="13.5" customHeight="1" x14ac:dyDescent="0.3">
      <c r="A55" s="254"/>
      <c r="B55" s="255"/>
      <c r="C55" s="254"/>
      <c r="D55" s="254"/>
      <c r="E55" s="254"/>
      <c r="F55" s="241"/>
      <c r="G55" s="254"/>
      <c r="H55" s="254"/>
      <c r="I55" s="254"/>
      <c r="J55" s="256"/>
      <c r="K55" s="254"/>
      <c r="L55" s="257"/>
      <c r="M55" s="256"/>
      <c r="N55" s="254"/>
      <c r="O55" s="254"/>
      <c r="P55" s="254"/>
      <c r="Q55" s="254"/>
      <c r="R55" s="241"/>
      <c r="S55" s="241"/>
      <c r="T55" s="254"/>
      <c r="U55" s="254"/>
      <c r="V55" s="254"/>
      <c r="W55" s="254"/>
      <c r="X55" s="258"/>
      <c r="Y55" s="254"/>
      <c r="Z55" s="241"/>
      <c r="AA55" s="241"/>
    </row>
    <row r="56" spans="1:27" ht="13.5" customHeight="1" x14ac:dyDescent="0.3">
      <c r="A56" s="254"/>
      <c r="B56" s="255"/>
      <c r="C56" s="254"/>
      <c r="D56" s="254"/>
      <c r="E56" s="254"/>
      <c r="F56" s="241"/>
      <c r="G56" s="254"/>
      <c r="H56" s="254"/>
      <c r="I56" s="254"/>
      <c r="J56" s="256"/>
      <c r="K56" s="254"/>
      <c r="L56" s="257"/>
      <c r="M56" s="256"/>
      <c r="N56" s="254"/>
      <c r="O56" s="254"/>
      <c r="P56" s="254"/>
      <c r="Q56" s="254"/>
      <c r="R56" s="241"/>
      <c r="S56" s="241"/>
      <c r="T56" s="254"/>
      <c r="U56" s="254"/>
      <c r="V56" s="254"/>
      <c r="W56" s="254"/>
      <c r="X56" s="258"/>
      <c r="Y56" s="254"/>
      <c r="Z56" s="241"/>
      <c r="AA56" s="241"/>
    </row>
    <row r="57" spans="1:27" ht="13.5" customHeight="1" x14ac:dyDescent="0.3">
      <c r="A57" s="254"/>
      <c r="B57" s="255"/>
      <c r="C57" s="254"/>
      <c r="D57" s="254"/>
      <c r="E57" s="254"/>
      <c r="F57" s="241"/>
      <c r="G57" s="254"/>
      <c r="H57" s="254"/>
      <c r="I57" s="254"/>
      <c r="J57" s="256"/>
      <c r="K57" s="254"/>
      <c r="L57" s="257"/>
      <c r="M57" s="256"/>
      <c r="N57" s="254"/>
      <c r="O57" s="254"/>
      <c r="P57" s="254"/>
      <c r="Q57" s="254"/>
      <c r="R57" s="241"/>
      <c r="S57" s="241"/>
      <c r="T57" s="254"/>
      <c r="U57" s="254"/>
      <c r="V57" s="254"/>
      <c r="W57" s="254"/>
      <c r="X57" s="258"/>
      <c r="Y57" s="254"/>
      <c r="Z57" s="241"/>
      <c r="AA57" s="241"/>
    </row>
    <row r="58" spans="1:27" ht="13.5" customHeight="1" x14ac:dyDescent="0.3">
      <c r="A58" s="254"/>
      <c r="B58" s="255"/>
      <c r="C58" s="254"/>
      <c r="D58" s="254"/>
      <c r="E58" s="254"/>
      <c r="F58" s="241"/>
      <c r="G58" s="254"/>
      <c r="H58" s="254"/>
      <c r="I58" s="254"/>
      <c r="J58" s="256"/>
      <c r="K58" s="254"/>
      <c r="L58" s="257"/>
      <c r="M58" s="256"/>
      <c r="N58" s="254"/>
      <c r="O58" s="254"/>
      <c r="P58" s="254"/>
      <c r="Q58" s="254"/>
      <c r="R58" s="241"/>
      <c r="S58" s="241"/>
      <c r="T58" s="254"/>
      <c r="U58" s="254"/>
      <c r="V58" s="254"/>
      <c r="W58" s="254"/>
      <c r="X58" s="258"/>
      <c r="Y58" s="254"/>
      <c r="Z58" s="241"/>
      <c r="AA58" s="241"/>
    </row>
    <row r="59" spans="1:27" ht="13.5" customHeight="1" x14ac:dyDescent="0.3">
      <c r="A59" s="254"/>
      <c r="B59" s="255"/>
      <c r="C59" s="254"/>
      <c r="D59" s="254"/>
      <c r="E59" s="254"/>
      <c r="F59" s="241"/>
      <c r="G59" s="254"/>
      <c r="H59" s="254"/>
      <c r="I59" s="254"/>
      <c r="J59" s="256"/>
      <c r="K59" s="254"/>
      <c r="L59" s="257"/>
      <c r="M59" s="256"/>
      <c r="N59" s="254"/>
      <c r="O59" s="254"/>
      <c r="P59" s="254"/>
      <c r="Q59" s="254"/>
      <c r="R59" s="241"/>
      <c r="S59" s="241"/>
      <c r="T59" s="254"/>
      <c r="U59" s="254"/>
      <c r="V59" s="254"/>
      <c r="W59" s="254"/>
      <c r="X59" s="258"/>
      <c r="Y59" s="254"/>
      <c r="Z59" s="241"/>
      <c r="AA59" s="241"/>
    </row>
    <row r="60" spans="1:27" ht="13.5" customHeight="1" x14ac:dyDescent="0.3">
      <c r="A60" s="254"/>
      <c r="B60" s="255"/>
      <c r="C60" s="254"/>
      <c r="D60" s="254"/>
      <c r="E60" s="254"/>
      <c r="F60" s="241"/>
      <c r="G60" s="254"/>
      <c r="H60" s="254"/>
      <c r="I60" s="254"/>
      <c r="J60" s="256"/>
      <c r="K60" s="254"/>
      <c r="L60" s="257"/>
      <c r="M60" s="256"/>
      <c r="N60" s="254"/>
      <c r="O60" s="254"/>
      <c r="P60" s="254"/>
      <c r="Q60" s="254"/>
      <c r="R60" s="241"/>
      <c r="S60" s="241"/>
      <c r="T60" s="254"/>
      <c r="U60" s="254"/>
      <c r="V60" s="254"/>
      <c r="W60" s="254"/>
      <c r="X60" s="258"/>
      <c r="Y60" s="254"/>
      <c r="Z60" s="241"/>
      <c r="AA60" s="241"/>
    </row>
    <row r="61" spans="1:27" ht="13.5" customHeight="1" x14ac:dyDescent="0.3">
      <c r="A61" s="254"/>
      <c r="B61" s="255"/>
      <c r="C61" s="254"/>
      <c r="D61" s="254"/>
      <c r="E61" s="254"/>
      <c r="F61" s="241"/>
      <c r="G61" s="254"/>
      <c r="H61" s="254"/>
      <c r="I61" s="254"/>
      <c r="J61" s="256"/>
      <c r="K61" s="254"/>
      <c r="L61" s="257"/>
      <c r="M61" s="256"/>
      <c r="N61" s="254"/>
      <c r="O61" s="254"/>
      <c r="P61" s="254"/>
      <c r="Q61" s="254"/>
      <c r="R61" s="241"/>
      <c r="S61" s="241"/>
      <c r="T61" s="254"/>
      <c r="U61" s="254"/>
      <c r="V61" s="254"/>
      <c r="W61" s="254"/>
      <c r="X61" s="258"/>
      <c r="Y61" s="254"/>
      <c r="Z61" s="241"/>
      <c r="AA61" s="241"/>
    </row>
    <row r="62" spans="1:27" ht="13.5" customHeight="1" x14ac:dyDescent="0.3">
      <c r="A62" s="254"/>
      <c r="B62" s="255"/>
      <c r="C62" s="254"/>
      <c r="D62" s="254"/>
      <c r="E62" s="254"/>
      <c r="F62" s="241"/>
      <c r="G62" s="254"/>
      <c r="H62" s="254"/>
      <c r="I62" s="254"/>
      <c r="J62" s="256"/>
      <c r="K62" s="254"/>
      <c r="L62" s="257"/>
      <c r="M62" s="256"/>
      <c r="N62" s="254"/>
      <c r="O62" s="254"/>
      <c r="P62" s="254"/>
      <c r="Q62" s="254"/>
      <c r="R62" s="241"/>
      <c r="S62" s="241"/>
      <c r="T62" s="254"/>
      <c r="U62" s="254"/>
      <c r="V62" s="254"/>
      <c r="W62" s="254"/>
      <c r="X62" s="258"/>
      <c r="Y62" s="254"/>
      <c r="Z62" s="241"/>
      <c r="AA62" s="241"/>
    </row>
    <row r="63" spans="1:27" ht="13.5" customHeight="1" x14ac:dyDescent="0.3">
      <c r="A63" s="254"/>
      <c r="B63" s="255"/>
      <c r="C63" s="254"/>
      <c r="D63" s="254"/>
      <c r="E63" s="254"/>
      <c r="F63" s="241"/>
      <c r="G63" s="254"/>
      <c r="H63" s="254"/>
      <c r="I63" s="254"/>
      <c r="J63" s="256"/>
      <c r="K63" s="254"/>
      <c r="L63" s="257"/>
      <c r="M63" s="256"/>
      <c r="N63" s="254"/>
      <c r="O63" s="254"/>
      <c r="P63" s="254"/>
      <c r="Q63" s="254"/>
      <c r="R63" s="241"/>
      <c r="S63" s="241"/>
      <c r="T63" s="254"/>
      <c r="U63" s="254"/>
      <c r="V63" s="254"/>
      <c r="W63" s="254"/>
      <c r="X63" s="258"/>
      <c r="Y63" s="254"/>
      <c r="Z63" s="241"/>
      <c r="AA63" s="241"/>
    </row>
    <row r="64" spans="1:27" ht="13.5" customHeight="1" x14ac:dyDescent="0.3">
      <c r="A64" s="254"/>
      <c r="B64" s="255"/>
      <c r="C64" s="254"/>
      <c r="D64" s="254"/>
      <c r="E64" s="254"/>
      <c r="F64" s="241"/>
      <c r="G64" s="254"/>
      <c r="H64" s="254"/>
      <c r="I64" s="254"/>
      <c r="J64" s="256"/>
      <c r="K64" s="254"/>
      <c r="L64" s="257"/>
      <c r="M64" s="256"/>
      <c r="N64" s="254"/>
      <c r="O64" s="254"/>
      <c r="P64" s="254"/>
      <c r="Q64" s="254"/>
      <c r="R64" s="241"/>
      <c r="S64" s="241"/>
      <c r="T64" s="254"/>
      <c r="U64" s="254"/>
      <c r="V64" s="254"/>
      <c r="W64" s="254"/>
      <c r="X64" s="258"/>
      <c r="Y64" s="254"/>
      <c r="Z64" s="241"/>
      <c r="AA64" s="241"/>
    </row>
    <row r="65" spans="1:27" ht="13.5" customHeight="1" x14ac:dyDescent="0.3">
      <c r="A65" s="254"/>
      <c r="B65" s="255"/>
      <c r="C65" s="254"/>
      <c r="D65" s="254"/>
      <c r="E65" s="254"/>
      <c r="F65" s="241"/>
      <c r="G65" s="254"/>
      <c r="H65" s="254"/>
      <c r="I65" s="254"/>
      <c r="J65" s="256"/>
      <c r="K65" s="254"/>
      <c r="L65" s="257"/>
      <c r="M65" s="256"/>
      <c r="N65" s="254"/>
      <c r="O65" s="254"/>
      <c r="P65" s="254"/>
      <c r="Q65" s="254"/>
      <c r="R65" s="241"/>
      <c r="S65" s="241"/>
      <c r="T65" s="254"/>
      <c r="U65" s="254"/>
      <c r="V65" s="254"/>
      <c r="W65" s="254"/>
      <c r="X65" s="258"/>
      <c r="Y65" s="254"/>
      <c r="Z65" s="241"/>
      <c r="AA65" s="241"/>
    </row>
    <row r="66" spans="1:27" ht="13.5" customHeight="1" x14ac:dyDescent="0.3">
      <c r="A66" s="254"/>
      <c r="B66" s="255"/>
      <c r="C66" s="254"/>
      <c r="D66" s="254"/>
      <c r="E66" s="254"/>
      <c r="F66" s="241"/>
      <c r="G66" s="254"/>
      <c r="H66" s="254"/>
      <c r="I66" s="254"/>
      <c r="J66" s="256"/>
      <c r="K66" s="254"/>
      <c r="L66" s="257"/>
      <c r="M66" s="256"/>
      <c r="N66" s="254"/>
      <c r="O66" s="254"/>
      <c r="P66" s="254"/>
      <c r="Q66" s="254"/>
      <c r="R66" s="241"/>
      <c r="S66" s="241"/>
      <c r="T66" s="254"/>
      <c r="U66" s="254"/>
      <c r="V66" s="254"/>
      <c r="W66" s="254"/>
      <c r="X66" s="258"/>
      <c r="Y66" s="254"/>
      <c r="Z66" s="241"/>
      <c r="AA66" s="241"/>
    </row>
    <row r="67" spans="1:27" ht="13.5" customHeight="1" x14ac:dyDescent="0.3">
      <c r="A67" s="254"/>
      <c r="B67" s="255"/>
      <c r="C67" s="254"/>
      <c r="D67" s="254"/>
      <c r="E67" s="254"/>
      <c r="F67" s="241"/>
      <c r="G67" s="254"/>
      <c r="H67" s="254"/>
      <c r="I67" s="254"/>
      <c r="J67" s="256"/>
      <c r="K67" s="254"/>
      <c r="L67" s="257"/>
      <c r="M67" s="256"/>
      <c r="N67" s="254"/>
      <c r="O67" s="254"/>
      <c r="P67" s="254"/>
      <c r="Q67" s="254"/>
      <c r="R67" s="241"/>
      <c r="S67" s="241"/>
      <c r="T67" s="254"/>
      <c r="U67" s="254"/>
      <c r="V67" s="254"/>
      <c r="W67" s="254"/>
      <c r="X67" s="258"/>
      <c r="Y67" s="254"/>
      <c r="Z67" s="241"/>
      <c r="AA67" s="241"/>
    </row>
    <row r="68" spans="1:27" ht="13.5" customHeight="1" x14ac:dyDescent="0.3">
      <c r="A68" s="254"/>
      <c r="B68" s="255"/>
      <c r="C68" s="254"/>
      <c r="D68" s="254"/>
      <c r="E68" s="254"/>
      <c r="F68" s="241"/>
      <c r="G68" s="254"/>
      <c r="H68" s="254"/>
      <c r="I68" s="254"/>
      <c r="J68" s="256"/>
      <c r="K68" s="254"/>
      <c r="L68" s="257"/>
      <c r="M68" s="256"/>
      <c r="N68" s="254"/>
      <c r="O68" s="254"/>
      <c r="P68" s="254"/>
      <c r="Q68" s="254"/>
      <c r="R68" s="241"/>
      <c r="S68" s="241"/>
      <c r="T68" s="254"/>
      <c r="U68" s="254"/>
      <c r="V68" s="254"/>
      <c r="W68" s="254"/>
      <c r="X68" s="258"/>
      <c r="Y68" s="254"/>
      <c r="Z68" s="241"/>
      <c r="AA68" s="241"/>
    </row>
    <row r="69" spans="1:27" ht="13.5" customHeight="1" x14ac:dyDescent="0.3">
      <c r="A69" s="254"/>
      <c r="B69" s="255"/>
      <c r="C69" s="254"/>
      <c r="D69" s="254"/>
      <c r="E69" s="254"/>
      <c r="F69" s="241"/>
      <c r="G69" s="254"/>
      <c r="H69" s="254"/>
      <c r="I69" s="254"/>
      <c r="J69" s="256"/>
      <c r="K69" s="254"/>
      <c r="L69" s="257"/>
      <c r="M69" s="256"/>
      <c r="N69" s="254"/>
      <c r="O69" s="254"/>
      <c r="P69" s="254"/>
      <c r="Q69" s="254"/>
      <c r="R69" s="241"/>
      <c r="S69" s="241"/>
      <c r="T69" s="254"/>
      <c r="U69" s="254"/>
      <c r="V69" s="254"/>
      <c r="W69" s="254"/>
      <c r="X69" s="258"/>
      <c r="Y69" s="254"/>
      <c r="Z69" s="241"/>
      <c r="AA69" s="241"/>
    </row>
    <row r="70" spans="1:27" ht="13.5" customHeight="1" x14ac:dyDescent="0.3">
      <c r="A70" s="254"/>
      <c r="B70" s="255"/>
      <c r="C70" s="254"/>
      <c r="D70" s="254"/>
      <c r="E70" s="254"/>
      <c r="F70" s="241"/>
      <c r="G70" s="254"/>
      <c r="H70" s="254"/>
      <c r="I70" s="254"/>
      <c r="J70" s="256"/>
      <c r="K70" s="254"/>
      <c r="L70" s="257"/>
      <c r="M70" s="256"/>
      <c r="N70" s="254"/>
      <c r="O70" s="254"/>
      <c r="P70" s="254"/>
      <c r="Q70" s="254"/>
      <c r="R70" s="241"/>
      <c r="S70" s="241"/>
      <c r="T70" s="254"/>
      <c r="U70" s="254"/>
      <c r="V70" s="254"/>
      <c r="W70" s="254"/>
      <c r="X70" s="258"/>
      <c r="Y70" s="254"/>
      <c r="Z70" s="241"/>
      <c r="AA70" s="241"/>
    </row>
    <row r="71" spans="1:27" ht="13.5" customHeight="1" x14ac:dyDescent="0.3">
      <c r="A71" s="254"/>
      <c r="B71" s="255"/>
      <c r="C71" s="254"/>
      <c r="D71" s="254"/>
      <c r="E71" s="254"/>
      <c r="F71" s="241"/>
      <c r="G71" s="254"/>
      <c r="H71" s="254"/>
      <c r="I71" s="254"/>
      <c r="J71" s="256"/>
      <c r="K71" s="254"/>
      <c r="L71" s="257"/>
      <c r="M71" s="256"/>
      <c r="N71" s="254"/>
      <c r="O71" s="254"/>
      <c r="P71" s="254"/>
      <c r="Q71" s="254"/>
      <c r="R71" s="241"/>
      <c r="S71" s="241"/>
      <c r="T71" s="254"/>
      <c r="U71" s="254"/>
      <c r="V71" s="254"/>
      <c r="W71" s="254"/>
      <c r="X71" s="258"/>
      <c r="Y71" s="254"/>
      <c r="Z71" s="241"/>
      <c r="AA71" s="241"/>
    </row>
    <row r="72" spans="1:27" ht="13.5" customHeight="1" x14ac:dyDescent="0.3">
      <c r="A72" s="254"/>
      <c r="B72" s="255"/>
      <c r="C72" s="254"/>
      <c r="D72" s="254"/>
      <c r="E72" s="254"/>
      <c r="F72" s="241"/>
      <c r="G72" s="254"/>
      <c r="H72" s="254"/>
      <c r="I72" s="254"/>
      <c r="J72" s="256"/>
      <c r="K72" s="254"/>
      <c r="L72" s="257"/>
      <c r="M72" s="256"/>
      <c r="N72" s="254"/>
      <c r="O72" s="254"/>
      <c r="P72" s="254"/>
      <c r="Q72" s="254"/>
      <c r="R72" s="241"/>
      <c r="S72" s="241"/>
      <c r="T72" s="254"/>
      <c r="U72" s="254"/>
      <c r="V72" s="254"/>
      <c r="W72" s="254"/>
      <c r="X72" s="258"/>
      <c r="Y72" s="254"/>
      <c r="Z72" s="241"/>
      <c r="AA72" s="241"/>
    </row>
    <row r="73" spans="1:27" ht="13.5" customHeight="1" x14ac:dyDescent="0.3">
      <c r="A73" s="254"/>
      <c r="B73" s="255"/>
      <c r="C73" s="254"/>
      <c r="D73" s="254"/>
      <c r="E73" s="254"/>
      <c r="F73" s="241"/>
      <c r="G73" s="254"/>
      <c r="H73" s="254"/>
      <c r="I73" s="254"/>
      <c r="J73" s="256"/>
      <c r="K73" s="254"/>
      <c r="L73" s="257"/>
      <c r="M73" s="256"/>
      <c r="N73" s="254"/>
      <c r="O73" s="254"/>
      <c r="P73" s="254"/>
      <c r="Q73" s="254"/>
      <c r="R73" s="241"/>
      <c r="S73" s="241"/>
      <c r="T73" s="254"/>
      <c r="U73" s="254"/>
      <c r="V73" s="254"/>
      <c r="W73" s="254"/>
      <c r="X73" s="258"/>
      <c r="Y73" s="254"/>
      <c r="Z73" s="241"/>
      <c r="AA73" s="241"/>
    </row>
    <row r="74" spans="1:27" ht="13.5" customHeight="1" x14ac:dyDescent="0.3">
      <c r="A74" s="254"/>
      <c r="B74" s="255"/>
      <c r="C74" s="254"/>
      <c r="D74" s="254"/>
      <c r="E74" s="254"/>
      <c r="F74" s="241"/>
      <c r="G74" s="254"/>
      <c r="H74" s="254"/>
      <c r="I74" s="254"/>
      <c r="J74" s="256"/>
      <c r="K74" s="254"/>
      <c r="L74" s="257"/>
      <c r="M74" s="256"/>
      <c r="N74" s="254"/>
      <c r="O74" s="254"/>
      <c r="P74" s="254"/>
      <c r="Q74" s="254"/>
      <c r="R74" s="241"/>
      <c r="S74" s="241"/>
      <c r="T74" s="254"/>
      <c r="U74" s="254"/>
      <c r="V74" s="254"/>
      <c r="W74" s="254"/>
      <c r="X74" s="258"/>
      <c r="Y74" s="254"/>
      <c r="Z74" s="241"/>
      <c r="AA74" s="241"/>
    </row>
    <row r="75" spans="1:27" ht="13.5" customHeight="1" x14ac:dyDescent="0.3">
      <c r="A75" s="254"/>
      <c r="B75" s="255"/>
      <c r="C75" s="254"/>
      <c r="D75" s="254"/>
      <c r="E75" s="254"/>
      <c r="F75" s="241"/>
      <c r="G75" s="254"/>
      <c r="H75" s="254"/>
      <c r="I75" s="254"/>
      <c r="J75" s="256"/>
      <c r="K75" s="254"/>
      <c r="L75" s="257"/>
      <c r="M75" s="256"/>
      <c r="N75" s="254"/>
      <c r="O75" s="254"/>
      <c r="P75" s="254"/>
      <c r="Q75" s="254"/>
      <c r="R75" s="241"/>
      <c r="S75" s="241"/>
      <c r="T75" s="254"/>
      <c r="U75" s="254"/>
      <c r="V75" s="254"/>
      <c r="W75" s="254"/>
      <c r="X75" s="258"/>
      <c r="Y75" s="254"/>
      <c r="Z75" s="241"/>
      <c r="AA75" s="241"/>
    </row>
    <row r="76" spans="1:27" ht="13.5" customHeight="1" x14ac:dyDescent="0.3">
      <c r="A76" s="254"/>
      <c r="B76" s="255"/>
      <c r="C76" s="254"/>
      <c r="D76" s="254"/>
      <c r="E76" s="254"/>
      <c r="F76" s="241"/>
      <c r="G76" s="254"/>
      <c r="H76" s="254"/>
      <c r="I76" s="254"/>
      <c r="J76" s="256"/>
      <c r="K76" s="254"/>
      <c r="L76" s="257"/>
      <c r="M76" s="256"/>
      <c r="N76" s="254"/>
      <c r="O76" s="254"/>
      <c r="P76" s="254"/>
      <c r="Q76" s="254"/>
      <c r="R76" s="241"/>
      <c r="S76" s="241"/>
      <c r="T76" s="254"/>
      <c r="U76" s="254"/>
      <c r="V76" s="254"/>
      <c r="W76" s="254"/>
      <c r="X76" s="258"/>
      <c r="Y76" s="254"/>
      <c r="Z76" s="241"/>
      <c r="AA76" s="241"/>
    </row>
    <row r="77" spans="1:27" ht="13.5" customHeight="1" x14ac:dyDescent="0.3">
      <c r="A77" s="254"/>
      <c r="B77" s="255"/>
      <c r="C77" s="254"/>
      <c r="D77" s="254"/>
      <c r="E77" s="254"/>
      <c r="F77" s="241"/>
      <c r="G77" s="254"/>
      <c r="H77" s="254"/>
      <c r="I77" s="254"/>
      <c r="J77" s="256"/>
      <c r="K77" s="254"/>
      <c r="L77" s="257"/>
      <c r="M77" s="256"/>
      <c r="N77" s="254"/>
      <c r="O77" s="254"/>
      <c r="P77" s="254"/>
      <c r="Q77" s="254"/>
      <c r="R77" s="241"/>
      <c r="S77" s="241"/>
      <c r="T77" s="254"/>
      <c r="U77" s="254"/>
      <c r="V77" s="254"/>
      <c r="W77" s="254"/>
      <c r="X77" s="258"/>
      <c r="Y77" s="254"/>
      <c r="Z77" s="241"/>
      <c r="AA77" s="241"/>
    </row>
    <row r="78" spans="1:27" ht="13.5" customHeight="1" x14ac:dyDescent="0.3">
      <c r="A78" s="254"/>
      <c r="B78" s="255"/>
      <c r="C78" s="254"/>
      <c r="D78" s="254"/>
      <c r="E78" s="254"/>
      <c r="F78" s="241"/>
      <c r="G78" s="254"/>
      <c r="H78" s="254"/>
      <c r="I78" s="254"/>
      <c r="J78" s="256"/>
      <c r="K78" s="254"/>
      <c r="L78" s="257"/>
      <c r="M78" s="256"/>
      <c r="N78" s="254"/>
      <c r="O78" s="254"/>
      <c r="P78" s="254"/>
      <c r="Q78" s="254"/>
      <c r="R78" s="241"/>
      <c r="S78" s="241"/>
      <c r="T78" s="254"/>
      <c r="U78" s="254"/>
      <c r="V78" s="254"/>
      <c r="W78" s="254"/>
      <c r="X78" s="258"/>
      <c r="Y78" s="254"/>
      <c r="Z78" s="241"/>
      <c r="AA78" s="241"/>
    </row>
    <row r="79" spans="1:27" ht="13.5" customHeight="1" x14ac:dyDescent="0.3">
      <c r="A79" s="254"/>
      <c r="B79" s="255"/>
      <c r="C79" s="254"/>
      <c r="D79" s="254"/>
      <c r="E79" s="254"/>
      <c r="F79" s="241"/>
      <c r="G79" s="254"/>
      <c r="H79" s="254"/>
      <c r="I79" s="254"/>
      <c r="J79" s="256"/>
      <c r="K79" s="254"/>
      <c r="L79" s="257"/>
      <c r="M79" s="256"/>
      <c r="N79" s="254"/>
      <c r="O79" s="254"/>
      <c r="P79" s="254"/>
      <c r="Q79" s="254"/>
      <c r="R79" s="241"/>
      <c r="S79" s="241"/>
      <c r="T79" s="254"/>
      <c r="U79" s="254"/>
      <c r="V79" s="254"/>
      <c r="W79" s="254"/>
      <c r="X79" s="258"/>
      <c r="Y79" s="254"/>
      <c r="Z79" s="241"/>
      <c r="AA79" s="241"/>
    </row>
    <row r="80" spans="1:27" ht="13.5" customHeight="1" x14ac:dyDescent="0.3">
      <c r="A80" s="254"/>
      <c r="B80" s="255"/>
      <c r="C80" s="254"/>
      <c r="D80" s="254"/>
      <c r="E80" s="254"/>
      <c r="F80" s="241"/>
      <c r="G80" s="254"/>
      <c r="H80" s="254"/>
      <c r="I80" s="254"/>
      <c r="J80" s="256"/>
      <c r="K80" s="254"/>
      <c r="L80" s="257"/>
      <c r="M80" s="256"/>
      <c r="N80" s="254"/>
      <c r="O80" s="254"/>
      <c r="P80" s="254"/>
      <c r="Q80" s="254"/>
      <c r="R80" s="241"/>
      <c r="S80" s="241"/>
      <c r="T80" s="254"/>
      <c r="U80" s="254"/>
      <c r="V80" s="254"/>
      <c r="W80" s="254"/>
      <c r="X80" s="258"/>
      <c r="Y80" s="254"/>
      <c r="Z80" s="241"/>
      <c r="AA80" s="241"/>
    </row>
    <row r="81" spans="1:27" ht="13.5" customHeight="1" x14ac:dyDescent="0.3">
      <c r="A81" s="254"/>
      <c r="B81" s="255"/>
      <c r="C81" s="254"/>
      <c r="D81" s="254"/>
      <c r="E81" s="254"/>
      <c r="F81" s="241"/>
      <c r="G81" s="254"/>
      <c r="H81" s="254"/>
      <c r="I81" s="254"/>
      <c r="J81" s="256"/>
      <c r="K81" s="254"/>
      <c r="L81" s="257"/>
      <c r="M81" s="256"/>
      <c r="N81" s="254"/>
      <c r="O81" s="254"/>
      <c r="P81" s="254"/>
      <c r="Q81" s="254"/>
      <c r="R81" s="241"/>
      <c r="S81" s="241"/>
      <c r="T81" s="254"/>
      <c r="U81" s="254"/>
      <c r="V81" s="254"/>
      <c r="W81" s="254"/>
      <c r="X81" s="258"/>
      <c r="Y81" s="254"/>
      <c r="Z81" s="241"/>
      <c r="AA81" s="241"/>
    </row>
    <row r="82" spans="1:27" ht="13.5" customHeight="1" x14ac:dyDescent="0.3">
      <c r="A82" s="254"/>
      <c r="B82" s="255"/>
      <c r="C82" s="254"/>
      <c r="D82" s="254"/>
      <c r="E82" s="254"/>
      <c r="F82" s="241"/>
      <c r="G82" s="254"/>
      <c r="H82" s="254"/>
      <c r="I82" s="254"/>
      <c r="J82" s="256"/>
      <c r="K82" s="254"/>
      <c r="L82" s="257"/>
      <c r="M82" s="256"/>
      <c r="N82" s="254"/>
      <c r="O82" s="254"/>
      <c r="P82" s="254"/>
      <c r="Q82" s="254"/>
      <c r="R82" s="241"/>
      <c r="S82" s="241"/>
      <c r="T82" s="254"/>
      <c r="U82" s="254"/>
      <c r="V82" s="254"/>
      <c r="W82" s="254"/>
      <c r="X82" s="258"/>
      <c r="Y82" s="254"/>
      <c r="Z82" s="241"/>
      <c r="AA82" s="241"/>
    </row>
    <row r="83" spans="1:27" ht="13.5" customHeight="1" x14ac:dyDescent="0.3">
      <c r="A83" s="254"/>
      <c r="B83" s="255"/>
      <c r="C83" s="254"/>
      <c r="D83" s="254"/>
      <c r="E83" s="254"/>
      <c r="F83" s="241"/>
      <c r="G83" s="254"/>
      <c r="H83" s="254"/>
      <c r="I83" s="254"/>
      <c r="J83" s="256"/>
      <c r="K83" s="254"/>
      <c r="L83" s="257"/>
      <c r="M83" s="256"/>
      <c r="N83" s="254"/>
      <c r="O83" s="254"/>
      <c r="P83" s="254"/>
      <c r="Q83" s="254"/>
      <c r="R83" s="241"/>
      <c r="S83" s="241"/>
      <c r="T83" s="254"/>
      <c r="U83" s="254"/>
      <c r="V83" s="254"/>
      <c r="W83" s="254"/>
      <c r="X83" s="258"/>
      <c r="Y83" s="254"/>
      <c r="Z83" s="241"/>
      <c r="AA83" s="241"/>
    </row>
    <row r="84" spans="1:27" ht="13.5" customHeight="1" x14ac:dyDescent="0.3">
      <c r="A84" s="254"/>
      <c r="B84" s="255"/>
      <c r="C84" s="254"/>
      <c r="D84" s="254"/>
      <c r="E84" s="254"/>
      <c r="F84" s="241"/>
      <c r="G84" s="254"/>
      <c r="H84" s="254"/>
      <c r="I84" s="254"/>
      <c r="J84" s="256"/>
      <c r="K84" s="254"/>
      <c r="L84" s="257"/>
      <c r="M84" s="256"/>
      <c r="N84" s="254"/>
      <c r="O84" s="254"/>
      <c r="P84" s="254"/>
      <c r="Q84" s="254"/>
      <c r="R84" s="241"/>
      <c r="S84" s="241"/>
      <c r="T84" s="254"/>
      <c r="U84" s="254"/>
      <c r="V84" s="254"/>
      <c r="W84" s="254"/>
      <c r="X84" s="258"/>
      <c r="Y84" s="254"/>
      <c r="Z84" s="241"/>
      <c r="AA84" s="241"/>
    </row>
    <row r="85" spans="1:27" ht="13.5" customHeight="1" x14ac:dyDescent="0.3">
      <c r="A85" s="254"/>
      <c r="B85" s="255"/>
      <c r="C85" s="254"/>
      <c r="D85" s="254"/>
      <c r="E85" s="254"/>
      <c r="F85" s="241"/>
      <c r="G85" s="254"/>
      <c r="H85" s="254"/>
      <c r="I85" s="254"/>
      <c r="J85" s="256"/>
      <c r="K85" s="254"/>
      <c r="L85" s="257"/>
      <c r="M85" s="256"/>
      <c r="N85" s="254"/>
      <c r="O85" s="254"/>
      <c r="P85" s="254"/>
      <c r="Q85" s="254"/>
      <c r="R85" s="241"/>
      <c r="S85" s="241"/>
      <c r="T85" s="254"/>
      <c r="U85" s="254"/>
      <c r="V85" s="254"/>
      <c r="W85" s="254"/>
      <c r="X85" s="258"/>
      <c r="Y85" s="254"/>
      <c r="Z85" s="241"/>
      <c r="AA85" s="241"/>
    </row>
    <row r="86" spans="1:27" ht="13.5" customHeight="1" x14ac:dyDescent="0.3">
      <c r="A86" s="254"/>
      <c r="B86" s="255"/>
      <c r="C86" s="254"/>
      <c r="D86" s="254"/>
      <c r="E86" s="254"/>
      <c r="F86" s="241"/>
      <c r="G86" s="254"/>
      <c r="H86" s="254"/>
      <c r="I86" s="254"/>
      <c r="J86" s="256"/>
      <c r="K86" s="254"/>
      <c r="L86" s="257"/>
      <c r="M86" s="256"/>
      <c r="N86" s="254"/>
      <c r="O86" s="254"/>
      <c r="P86" s="254"/>
      <c r="Q86" s="254"/>
      <c r="R86" s="241"/>
      <c r="S86" s="241"/>
      <c r="T86" s="254"/>
      <c r="U86" s="254"/>
      <c r="V86" s="254"/>
      <c r="W86" s="254"/>
      <c r="X86" s="258"/>
      <c r="Y86" s="254"/>
      <c r="Z86" s="241"/>
      <c r="AA86" s="241"/>
    </row>
    <row r="87" spans="1:27" ht="13.5" customHeight="1" x14ac:dyDescent="0.3">
      <c r="A87" s="254"/>
      <c r="B87" s="255"/>
      <c r="C87" s="254"/>
      <c r="D87" s="254"/>
      <c r="E87" s="254"/>
      <c r="F87" s="241"/>
      <c r="G87" s="254"/>
      <c r="H87" s="254"/>
      <c r="I87" s="254"/>
      <c r="J87" s="256"/>
      <c r="K87" s="254"/>
      <c r="L87" s="257"/>
      <c r="M87" s="256"/>
      <c r="N87" s="254"/>
      <c r="O87" s="254"/>
      <c r="P87" s="254"/>
      <c r="Q87" s="254"/>
      <c r="R87" s="241"/>
      <c r="S87" s="241"/>
      <c r="T87" s="254"/>
      <c r="U87" s="254"/>
      <c r="V87" s="254"/>
      <c r="W87" s="254"/>
      <c r="X87" s="258"/>
      <c r="Y87" s="254"/>
      <c r="Z87" s="241"/>
      <c r="AA87" s="241"/>
    </row>
    <row r="88" spans="1:27" ht="13.5" customHeight="1" x14ac:dyDescent="0.3">
      <c r="A88" s="254"/>
      <c r="B88" s="255"/>
      <c r="C88" s="254"/>
      <c r="D88" s="254"/>
      <c r="E88" s="254"/>
      <c r="F88" s="241"/>
      <c r="G88" s="254"/>
      <c r="H88" s="254"/>
      <c r="I88" s="254"/>
      <c r="J88" s="256"/>
      <c r="K88" s="254"/>
      <c r="L88" s="257"/>
      <c r="M88" s="256"/>
      <c r="N88" s="254"/>
      <c r="O88" s="254"/>
      <c r="P88" s="254"/>
      <c r="Q88" s="254"/>
      <c r="R88" s="241"/>
      <c r="S88" s="241"/>
      <c r="T88" s="254"/>
      <c r="U88" s="254"/>
      <c r="V88" s="254"/>
      <c r="W88" s="254"/>
      <c r="X88" s="258"/>
      <c r="Y88" s="254"/>
      <c r="Z88" s="241"/>
      <c r="AA88" s="241"/>
    </row>
    <row r="89" spans="1:27" ht="13.5" customHeight="1" x14ac:dyDescent="0.3">
      <c r="A89" s="254"/>
      <c r="B89" s="255"/>
      <c r="C89" s="254"/>
      <c r="D89" s="254"/>
      <c r="E89" s="254"/>
      <c r="F89" s="241"/>
      <c r="G89" s="254"/>
      <c r="H89" s="254"/>
      <c r="I89" s="254"/>
      <c r="J89" s="256"/>
      <c r="K89" s="254"/>
      <c r="L89" s="257"/>
      <c r="M89" s="256"/>
      <c r="N89" s="254"/>
      <c r="O89" s="254"/>
      <c r="P89" s="254"/>
      <c r="Q89" s="254"/>
      <c r="R89" s="241"/>
      <c r="S89" s="241"/>
      <c r="T89" s="254"/>
      <c r="U89" s="254"/>
      <c r="V89" s="254"/>
      <c r="W89" s="254"/>
      <c r="X89" s="258"/>
      <c r="Y89" s="254"/>
      <c r="Z89" s="241"/>
      <c r="AA89" s="241"/>
    </row>
    <row r="90" spans="1:27" ht="13.5" customHeight="1" x14ac:dyDescent="0.3">
      <c r="A90" s="254"/>
      <c r="B90" s="255"/>
      <c r="C90" s="254"/>
      <c r="D90" s="254"/>
      <c r="E90" s="254"/>
      <c r="F90" s="241"/>
      <c r="G90" s="254"/>
      <c r="H90" s="254"/>
      <c r="I90" s="254"/>
      <c r="J90" s="256"/>
      <c r="K90" s="254"/>
      <c r="L90" s="257"/>
      <c r="M90" s="256"/>
      <c r="N90" s="254"/>
      <c r="O90" s="254"/>
      <c r="P90" s="254"/>
      <c r="Q90" s="254"/>
      <c r="R90" s="241"/>
      <c r="S90" s="241"/>
      <c r="T90" s="254"/>
      <c r="U90" s="254"/>
      <c r="V90" s="254"/>
      <c r="W90" s="254"/>
      <c r="X90" s="258"/>
      <c r="Y90" s="254"/>
      <c r="Z90" s="241"/>
      <c r="AA90" s="241"/>
    </row>
    <row r="91" spans="1:27" ht="13.5" customHeight="1" x14ac:dyDescent="0.3">
      <c r="A91" s="254"/>
      <c r="B91" s="255"/>
      <c r="C91" s="254"/>
      <c r="D91" s="254"/>
      <c r="E91" s="254"/>
      <c r="F91" s="241"/>
      <c r="G91" s="254"/>
      <c r="H91" s="254"/>
      <c r="I91" s="254"/>
      <c r="J91" s="256"/>
      <c r="K91" s="254"/>
      <c r="L91" s="257"/>
      <c r="M91" s="256"/>
      <c r="N91" s="254"/>
      <c r="O91" s="254"/>
      <c r="P91" s="254"/>
      <c r="Q91" s="254"/>
      <c r="R91" s="241"/>
      <c r="S91" s="241"/>
      <c r="T91" s="254"/>
      <c r="U91" s="254"/>
      <c r="V91" s="254"/>
      <c r="W91" s="254"/>
      <c r="X91" s="258"/>
      <c r="Y91" s="254"/>
      <c r="Z91" s="241"/>
      <c r="AA91" s="241"/>
    </row>
    <row r="92" spans="1:27" ht="13.5" customHeight="1" x14ac:dyDescent="0.3">
      <c r="A92" s="254"/>
      <c r="B92" s="255"/>
      <c r="C92" s="254"/>
      <c r="D92" s="254"/>
      <c r="E92" s="254"/>
      <c r="F92" s="241"/>
      <c r="G92" s="254"/>
      <c r="H92" s="254"/>
      <c r="I92" s="254"/>
      <c r="J92" s="256"/>
      <c r="K92" s="254"/>
      <c r="L92" s="257"/>
      <c r="M92" s="256"/>
      <c r="N92" s="254"/>
      <c r="O92" s="254"/>
      <c r="P92" s="254"/>
      <c r="Q92" s="254"/>
      <c r="R92" s="241"/>
      <c r="S92" s="241"/>
      <c r="T92" s="254"/>
      <c r="U92" s="254"/>
      <c r="V92" s="254"/>
      <c r="W92" s="254"/>
      <c r="X92" s="258"/>
      <c r="Y92" s="254"/>
      <c r="Z92" s="241"/>
      <c r="AA92" s="241"/>
    </row>
    <row r="93" spans="1:27" ht="13.5" customHeight="1" x14ac:dyDescent="0.3">
      <c r="A93" s="254"/>
      <c r="B93" s="255"/>
      <c r="C93" s="254"/>
      <c r="D93" s="254"/>
      <c r="E93" s="254"/>
      <c r="F93" s="241"/>
      <c r="G93" s="254"/>
      <c r="H93" s="254"/>
      <c r="I93" s="254"/>
      <c r="J93" s="256"/>
      <c r="K93" s="254"/>
      <c r="L93" s="257"/>
      <c r="M93" s="256"/>
      <c r="N93" s="254"/>
      <c r="O93" s="254"/>
      <c r="P93" s="254"/>
      <c r="Q93" s="254"/>
      <c r="R93" s="241"/>
      <c r="S93" s="241"/>
      <c r="T93" s="254"/>
      <c r="U93" s="254"/>
      <c r="V93" s="254"/>
      <c r="W93" s="254"/>
      <c r="X93" s="258"/>
      <c r="Y93" s="254"/>
      <c r="Z93" s="241"/>
      <c r="AA93" s="241"/>
    </row>
    <row r="94" spans="1:27" ht="13.5" customHeight="1" x14ac:dyDescent="0.3">
      <c r="A94" s="254"/>
      <c r="B94" s="255"/>
      <c r="C94" s="254"/>
      <c r="D94" s="254"/>
      <c r="E94" s="254"/>
      <c r="F94" s="241"/>
      <c r="G94" s="254"/>
      <c r="H94" s="254"/>
      <c r="I94" s="254"/>
      <c r="J94" s="256"/>
      <c r="K94" s="254"/>
      <c r="L94" s="257"/>
      <c r="M94" s="256"/>
      <c r="N94" s="254"/>
      <c r="O94" s="254"/>
      <c r="P94" s="254"/>
      <c r="Q94" s="254"/>
      <c r="R94" s="241"/>
      <c r="S94" s="241"/>
      <c r="T94" s="254"/>
      <c r="U94" s="254"/>
      <c r="V94" s="254"/>
      <c r="W94" s="254"/>
      <c r="X94" s="258"/>
      <c r="Y94" s="254"/>
      <c r="Z94" s="241"/>
      <c r="AA94" s="241"/>
    </row>
    <row r="95" spans="1:27" ht="13.5" customHeight="1" x14ac:dyDescent="0.3">
      <c r="A95" s="254"/>
      <c r="B95" s="255"/>
      <c r="C95" s="254"/>
      <c r="D95" s="254"/>
      <c r="E95" s="254"/>
      <c r="F95" s="241"/>
      <c r="G95" s="254"/>
      <c r="H95" s="254"/>
      <c r="I95" s="254"/>
      <c r="J95" s="256"/>
      <c r="K95" s="254"/>
      <c r="L95" s="257"/>
      <c r="M95" s="256"/>
      <c r="N95" s="254"/>
      <c r="O95" s="254"/>
      <c r="P95" s="254"/>
      <c r="Q95" s="254"/>
      <c r="R95" s="241"/>
      <c r="S95" s="241"/>
      <c r="T95" s="254"/>
      <c r="U95" s="254"/>
      <c r="V95" s="254"/>
      <c r="W95" s="254"/>
      <c r="X95" s="258"/>
      <c r="Y95" s="254"/>
      <c r="Z95" s="241"/>
      <c r="AA95" s="241"/>
    </row>
    <row r="96" spans="1:27" ht="13.5" customHeight="1" x14ac:dyDescent="0.3">
      <c r="A96" s="254"/>
      <c r="B96" s="255"/>
      <c r="C96" s="254"/>
      <c r="D96" s="254"/>
      <c r="E96" s="254"/>
      <c r="F96" s="241"/>
      <c r="G96" s="254"/>
      <c r="H96" s="254"/>
      <c r="I96" s="254"/>
      <c r="J96" s="256"/>
      <c r="K96" s="254"/>
      <c r="L96" s="257"/>
      <c r="M96" s="256"/>
      <c r="N96" s="254"/>
      <c r="O96" s="254"/>
      <c r="P96" s="254"/>
      <c r="Q96" s="254"/>
      <c r="R96" s="241"/>
      <c r="S96" s="241"/>
      <c r="T96" s="254"/>
      <c r="U96" s="254"/>
      <c r="V96" s="254"/>
      <c r="W96" s="254"/>
      <c r="X96" s="258"/>
      <c r="Y96" s="254"/>
      <c r="Z96" s="241"/>
      <c r="AA96" s="241"/>
    </row>
    <row r="97" spans="1:27" ht="13.5" customHeight="1" x14ac:dyDescent="0.3">
      <c r="A97" s="254"/>
      <c r="B97" s="255"/>
      <c r="C97" s="254"/>
      <c r="D97" s="254"/>
      <c r="E97" s="254"/>
      <c r="F97" s="241"/>
      <c r="G97" s="254"/>
      <c r="H97" s="254"/>
      <c r="I97" s="254"/>
      <c r="J97" s="256"/>
      <c r="K97" s="254"/>
      <c r="L97" s="257"/>
      <c r="M97" s="256"/>
      <c r="N97" s="254"/>
      <c r="O97" s="254"/>
      <c r="P97" s="254"/>
      <c r="Q97" s="254"/>
      <c r="R97" s="241"/>
      <c r="S97" s="241"/>
      <c r="T97" s="254"/>
      <c r="U97" s="254"/>
      <c r="V97" s="254"/>
      <c r="W97" s="254"/>
      <c r="X97" s="258"/>
      <c r="Y97" s="254"/>
      <c r="Z97" s="241"/>
      <c r="AA97" s="241"/>
    </row>
    <row r="98" spans="1:27" ht="13.5" customHeight="1" x14ac:dyDescent="0.3">
      <c r="A98" s="254"/>
      <c r="B98" s="255"/>
      <c r="C98" s="254"/>
      <c r="D98" s="254"/>
      <c r="E98" s="254"/>
      <c r="F98" s="241"/>
      <c r="G98" s="254"/>
      <c r="H98" s="254"/>
      <c r="I98" s="254"/>
      <c r="J98" s="256"/>
      <c r="K98" s="254"/>
      <c r="L98" s="257"/>
      <c r="M98" s="256"/>
      <c r="N98" s="254"/>
      <c r="O98" s="254"/>
      <c r="P98" s="254"/>
      <c r="Q98" s="254"/>
      <c r="R98" s="241"/>
      <c r="S98" s="241"/>
      <c r="T98" s="254"/>
      <c r="U98" s="254"/>
      <c r="V98" s="254"/>
      <c r="W98" s="254"/>
      <c r="X98" s="258"/>
      <c r="Y98" s="254"/>
      <c r="Z98" s="241"/>
      <c r="AA98" s="241"/>
    </row>
    <row r="99" spans="1:27" ht="13.5" customHeight="1" x14ac:dyDescent="0.3">
      <c r="A99" s="254"/>
      <c r="B99" s="255"/>
      <c r="C99" s="254"/>
      <c r="D99" s="254"/>
      <c r="E99" s="254"/>
      <c r="F99" s="241"/>
      <c r="G99" s="254"/>
      <c r="H99" s="254"/>
      <c r="I99" s="254"/>
      <c r="J99" s="256"/>
      <c r="K99" s="254"/>
      <c r="L99" s="257"/>
      <c r="M99" s="256"/>
      <c r="N99" s="254"/>
      <c r="O99" s="254"/>
      <c r="P99" s="254"/>
      <c r="Q99" s="254"/>
      <c r="R99" s="241"/>
      <c r="S99" s="241"/>
      <c r="T99" s="254"/>
      <c r="U99" s="254"/>
      <c r="V99" s="254"/>
      <c r="W99" s="254"/>
      <c r="X99" s="258"/>
      <c r="Y99" s="254"/>
      <c r="Z99" s="241"/>
      <c r="AA99" s="241"/>
    </row>
    <row r="100" spans="1:27" ht="13.5" customHeight="1" x14ac:dyDescent="0.3">
      <c r="A100" s="254"/>
      <c r="B100" s="255"/>
      <c r="C100" s="254"/>
      <c r="D100" s="254"/>
      <c r="E100" s="254"/>
      <c r="F100" s="241"/>
      <c r="G100" s="254"/>
      <c r="H100" s="254"/>
      <c r="I100" s="254"/>
      <c r="J100" s="256"/>
      <c r="K100" s="254"/>
      <c r="L100" s="257"/>
      <c r="M100" s="256"/>
      <c r="N100" s="254"/>
      <c r="O100" s="254"/>
      <c r="P100" s="254"/>
      <c r="Q100" s="254"/>
      <c r="R100" s="241"/>
      <c r="S100" s="241"/>
      <c r="T100" s="254"/>
      <c r="U100" s="254"/>
      <c r="V100" s="254"/>
      <c r="W100" s="254"/>
      <c r="X100" s="258"/>
      <c r="Y100" s="254"/>
      <c r="Z100" s="241"/>
      <c r="AA100" s="241"/>
    </row>
    <row r="101" spans="1:27" ht="13.5" customHeight="1" x14ac:dyDescent="0.3">
      <c r="A101" s="254"/>
      <c r="B101" s="255"/>
      <c r="C101" s="254"/>
      <c r="D101" s="254"/>
      <c r="E101" s="254"/>
      <c r="F101" s="241"/>
      <c r="G101" s="254"/>
      <c r="H101" s="254"/>
      <c r="I101" s="254"/>
      <c r="J101" s="256"/>
      <c r="K101" s="254"/>
      <c r="L101" s="257"/>
      <c r="M101" s="256"/>
      <c r="N101" s="254"/>
      <c r="O101" s="254"/>
      <c r="P101" s="254"/>
      <c r="Q101" s="254"/>
      <c r="R101" s="241"/>
      <c r="S101" s="241"/>
      <c r="T101" s="254"/>
      <c r="U101" s="254"/>
      <c r="V101" s="254"/>
      <c r="W101" s="254"/>
      <c r="X101" s="258"/>
      <c r="Y101" s="254"/>
      <c r="Z101" s="241"/>
      <c r="AA101" s="241"/>
    </row>
    <row r="102" spans="1:27" ht="13.5" customHeight="1" x14ac:dyDescent="0.3">
      <c r="A102" s="254"/>
      <c r="B102" s="255"/>
      <c r="C102" s="254"/>
      <c r="D102" s="254"/>
      <c r="E102" s="254"/>
      <c r="F102" s="241"/>
      <c r="G102" s="254"/>
      <c r="H102" s="254"/>
      <c r="I102" s="254"/>
      <c r="J102" s="256"/>
      <c r="K102" s="254"/>
      <c r="L102" s="257"/>
      <c r="M102" s="256"/>
      <c r="N102" s="254"/>
      <c r="O102" s="254"/>
      <c r="P102" s="254"/>
      <c r="Q102" s="254"/>
      <c r="R102" s="241"/>
      <c r="S102" s="241"/>
      <c r="T102" s="254"/>
      <c r="U102" s="254"/>
      <c r="V102" s="254"/>
      <c r="W102" s="254"/>
      <c r="X102" s="258"/>
      <c r="Y102" s="254"/>
      <c r="Z102" s="241"/>
      <c r="AA102" s="241"/>
    </row>
    <row r="103" spans="1:27" ht="13.5" customHeight="1" x14ac:dyDescent="0.3">
      <c r="A103" s="254"/>
      <c r="B103" s="255"/>
      <c r="C103" s="254"/>
      <c r="D103" s="254"/>
      <c r="E103" s="254"/>
      <c r="F103" s="241"/>
      <c r="G103" s="254"/>
      <c r="H103" s="254"/>
      <c r="I103" s="254"/>
      <c r="J103" s="256"/>
      <c r="K103" s="254"/>
      <c r="L103" s="257"/>
      <c r="M103" s="256"/>
      <c r="N103" s="254"/>
      <c r="O103" s="254"/>
      <c r="P103" s="254"/>
      <c r="Q103" s="254"/>
      <c r="R103" s="241"/>
      <c r="S103" s="241"/>
      <c r="T103" s="254"/>
      <c r="U103" s="254"/>
      <c r="V103" s="254"/>
      <c r="W103" s="254"/>
      <c r="X103" s="258"/>
      <c r="Y103" s="254"/>
      <c r="Z103" s="241"/>
      <c r="AA103" s="241"/>
    </row>
    <row r="104" spans="1:27" ht="13.5" customHeight="1" x14ac:dyDescent="0.3">
      <c r="A104" s="254"/>
      <c r="B104" s="255"/>
      <c r="C104" s="254"/>
      <c r="D104" s="254"/>
      <c r="E104" s="254"/>
      <c r="F104" s="241"/>
      <c r="G104" s="254"/>
      <c r="H104" s="254"/>
      <c r="I104" s="254"/>
      <c r="J104" s="256"/>
      <c r="K104" s="254"/>
      <c r="L104" s="257"/>
      <c r="M104" s="256"/>
      <c r="N104" s="254"/>
      <c r="O104" s="254"/>
      <c r="P104" s="254"/>
      <c r="Q104" s="254"/>
      <c r="R104" s="241"/>
      <c r="S104" s="241"/>
      <c r="T104" s="254"/>
      <c r="U104" s="254"/>
      <c r="V104" s="254"/>
      <c r="W104" s="254"/>
      <c r="X104" s="258"/>
      <c r="Y104" s="254"/>
      <c r="Z104" s="241"/>
      <c r="AA104" s="241"/>
    </row>
    <row r="105" spans="1:27" ht="13.5" customHeight="1" x14ac:dyDescent="0.3">
      <c r="A105" s="254"/>
      <c r="B105" s="255"/>
      <c r="C105" s="254"/>
      <c r="D105" s="254"/>
      <c r="E105" s="254"/>
      <c r="F105" s="241"/>
      <c r="G105" s="254"/>
      <c r="H105" s="254"/>
      <c r="I105" s="254"/>
      <c r="J105" s="256"/>
      <c r="K105" s="254"/>
      <c r="L105" s="257"/>
      <c r="M105" s="256"/>
      <c r="N105" s="254"/>
      <c r="O105" s="254"/>
      <c r="P105" s="254"/>
      <c r="Q105" s="254"/>
      <c r="R105" s="241"/>
      <c r="S105" s="241"/>
      <c r="T105" s="254"/>
      <c r="U105" s="254"/>
      <c r="V105" s="254"/>
      <c r="W105" s="254"/>
      <c r="X105" s="258"/>
      <c r="Y105" s="254"/>
      <c r="Z105" s="241"/>
      <c r="AA105" s="241"/>
    </row>
    <row r="106" spans="1:27" ht="13.5" customHeight="1" x14ac:dyDescent="0.3">
      <c r="A106" s="254"/>
      <c r="B106" s="255"/>
      <c r="C106" s="254"/>
      <c r="D106" s="254"/>
      <c r="E106" s="254"/>
      <c r="F106" s="241"/>
      <c r="G106" s="254"/>
      <c r="H106" s="254"/>
      <c r="I106" s="254"/>
      <c r="J106" s="256"/>
      <c r="K106" s="254"/>
      <c r="L106" s="257"/>
      <c r="M106" s="256"/>
      <c r="N106" s="254"/>
      <c r="O106" s="254"/>
      <c r="P106" s="254"/>
      <c r="Q106" s="254"/>
      <c r="R106" s="241"/>
      <c r="S106" s="241"/>
      <c r="T106" s="254"/>
      <c r="U106" s="254"/>
      <c r="V106" s="254"/>
      <c r="W106" s="254"/>
      <c r="X106" s="258"/>
      <c r="Y106" s="254"/>
      <c r="Z106" s="241"/>
      <c r="AA106" s="241"/>
    </row>
    <row r="107" spans="1:27" ht="13.5" customHeight="1" x14ac:dyDescent="0.3">
      <c r="A107" s="254"/>
      <c r="B107" s="255"/>
      <c r="C107" s="254"/>
      <c r="D107" s="254"/>
      <c r="E107" s="254"/>
      <c r="F107" s="241"/>
      <c r="G107" s="254"/>
      <c r="H107" s="254"/>
      <c r="I107" s="254"/>
      <c r="J107" s="256"/>
      <c r="K107" s="254"/>
      <c r="L107" s="257"/>
      <c r="M107" s="256"/>
      <c r="N107" s="254"/>
      <c r="O107" s="254"/>
      <c r="P107" s="254"/>
      <c r="Q107" s="254"/>
      <c r="R107" s="241"/>
      <c r="S107" s="241"/>
      <c r="T107" s="254"/>
      <c r="U107" s="254"/>
      <c r="V107" s="254"/>
      <c r="W107" s="254"/>
      <c r="X107" s="258"/>
      <c r="Y107" s="254"/>
      <c r="Z107" s="241"/>
      <c r="AA107" s="241"/>
    </row>
    <row r="108" spans="1:27" ht="13.5" customHeight="1" x14ac:dyDescent="0.3">
      <c r="A108" s="254"/>
      <c r="B108" s="255"/>
      <c r="C108" s="254"/>
      <c r="D108" s="254"/>
      <c r="E108" s="254"/>
      <c r="F108" s="241"/>
      <c r="G108" s="254"/>
      <c r="H108" s="254"/>
      <c r="I108" s="254"/>
      <c r="J108" s="256"/>
      <c r="K108" s="254"/>
      <c r="L108" s="257"/>
      <c r="M108" s="256"/>
      <c r="N108" s="254"/>
      <c r="O108" s="254"/>
      <c r="P108" s="254"/>
      <c r="Q108" s="254"/>
      <c r="R108" s="241"/>
      <c r="S108" s="241"/>
      <c r="T108" s="254"/>
      <c r="U108" s="254"/>
      <c r="V108" s="254"/>
      <c r="W108" s="254"/>
      <c r="X108" s="258"/>
      <c r="Y108" s="254"/>
      <c r="Z108" s="241"/>
      <c r="AA108" s="241"/>
    </row>
    <row r="109" spans="1:27" ht="13.5" customHeight="1" x14ac:dyDescent="0.3">
      <c r="A109" s="254"/>
      <c r="B109" s="255"/>
      <c r="C109" s="254"/>
      <c r="D109" s="254"/>
      <c r="E109" s="254"/>
      <c r="F109" s="241"/>
      <c r="G109" s="254"/>
      <c r="H109" s="254"/>
      <c r="I109" s="254"/>
      <c r="J109" s="256"/>
      <c r="K109" s="254"/>
      <c r="L109" s="257"/>
      <c r="M109" s="256"/>
      <c r="N109" s="254"/>
      <c r="O109" s="254"/>
      <c r="P109" s="254"/>
      <c r="Q109" s="254"/>
      <c r="R109" s="241"/>
      <c r="S109" s="241"/>
      <c r="T109" s="254"/>
      <c r="U109" s="254"/>
      <c r="V109" s="254"/>
      <c r="W109" s="254"/>
      <c r="X109" s="258"/>
      <c r="Y109" s="254"/>
      <c r="Z109" s="241"/>
      <c r="AA109" s="241"/>
    </row>
    <row r="110" spans="1:27" ht="13.5" customHeight="1" x14ac:dyDescent="0.3">
      <c r="A110" s="254"/>
      <c r="B110" s="255"/>
      <c r="C110" s="254"/>
      <c r="D110" s="254"/>
      <c r="E110" s="254"/>
      <c r="F110" s="241"/>
      <c r="G110" s="254"/>
      <c r="H110" s="254"/>
      <c r="I110" s="254"/>
      <c r="J110" s="256"/>
      <c r="K110" s="254"/>
      <c r="L110" s="257"/>
      <c r="M110" s="256"/>
      <c r="N110" s="254"/>
      <c r="O110" s="254"/>
      <c r="P110" s="254"/>
      <c r="Q110" s="254"/>
      <c r="R110" s="241"/>
      <c r="S110" s="241"/>
      <c r="T110" s="254"/>
      <c r="U110" s="254"/>
      <c r="V110" s="254"/>
      <c r="W110" s="254"/>
      <c r="X110" s="258"/>
      <c r="Y110" s="254"/>
      <c r="Z110" s="241"/>
      <c r="AA110" s="241"/>
    </row>
    <row r="111" spans="1:27" ht="13.5" customHeight="1" x14ac:dyDescent="0.3">
      <c r="A111" s="254"/>
      <c r="B111" s="255"/>
      <c r="C111" s="254"/>
      <c r="D111" s="254"/>
      <c r="E111" s="254"/>
      <c r="F111" s="241"/>
      <c r="G111" s="254"/>
      <c r="H111" s="254"/>
      <c r="I111" s="254"/>
      <c r="J111" s="256"/>
      <c r="K111" s="254"/>
      <c r="L111" s="257"/>
      <c r="M111" s="256"/>
      <c r="N111" s="254"/>
      <c r="O111" s="254"/>
      <c r="P111" s="254"/>
      <c r="Q111" s="254"/>
      <c r="R111" s="241"/>
      <c r="S111" s="241"/>
      <c r="T111" s="254"/>
      <c r="U111" s="254"/>
      <c r="V111" s="254"/>
      <c r="W111" s="254"/>
      <c r="X111" s="258"/>
      <c r="Y111" s="254"/>
      <c r="Z111" s="241"/>
      <c r="AA111" s="241"/>
    </row>
    <row r="112" spans="1:27" ht="13.5" customHeight="1" x14ac:dyDescent="0.3">
      <c r="A112" s="254"/>
      <c r="B112" s="255"/>
      <c r="C112" s="254"/>
      <c r="D112" s="254"/>
      <c r="E112" s="254"/>
      <c r="F112" s="241"/>
      <c r="G112" s="254"/>
      <c r="H112" s="254"/>
      <c r="I112" s="254"/>
      <c r="J112" s="256"/>
      <c r="K112" s="254"/>
      <c r="L112" s="257"/>
      <c r="M112" s="256"/>
      <c r="N112" s="254"/>
      <c r="O112" s="254"/>
      <c r="P112" s="254"/>
      <c r="Q112" s="254"/>
      <c r="R112" s="241"/>
      <c r="S112" s="241"/>
      <c r="T112" s="254"/>
      <c r="U112" s="254"/>
      <c r="V112" s="254"/>
      <c r="W112" s="254"/>
      <c r="X112" s="258"/>
      <c r="Y112" s="254"/>
      <c r="Z112" s="241"/>
      <c r="AA112" s="241"/>
    </row>
    <row r="113" spans="1:27" ht="13.5" customHeight="1" x14ac:dyDescent="0.3">
      <c r="A113" s="254"/>
      <c r="B113" s="255"/>
      <c r="C113" s="254"/>
      <c r="D113" s="254"/>
      <c r="E113" s="254"/>
      <c r="F113" s="241"/>
      <c r="G113" s="254"/>
      <c r="H113" s="254"/>
      <c r="I113" s="254"/>
      <c r="J113" s="256"/>
      <c r="K113" s="254"/>
      <c r="L113" s="257"/>
      <c r="M113" s="256"/>
      <c r="N113" s="254"/>
      <c r="O113" s="254"/>
      <c r="P113" s="254"/>
      <c r="Q113" s="254"/>
      <c r="R113" s="241"/>
      <c r="S113" s="241"/>
      <c r="T113" s="254"/>
      <c r="U113" s="254"/>
      <c r="V113" s="254"/>
      <c r="W113" s="254"/>
      <c r="X113" s="258"/>
      <c r="Y113" s="254"/>
      <c r="Z113" s="241"/>
      <c r="AA113" s="241"/>
    </row>
    <row r="114" spans="1:27" ht="13.5" customHeight="1" x14ac:dyDescent="0.3">
      <c r="A114" s="254"/>
      <c r="B114" s="255"/>
      <c r="C114" s="254"/>
      <c r="D114" s="254"/>
      <c r="E114" s="254"/>
      <c r="F114" s="241"/>
      <c r="G114" s="254"/>
      <c r="H114" s="254"/>
      <c r="I114" s="254"/>
      <c r="J114" s="256"/>
      <c r="K114" s="254"/>
      <c r="L114" s="257"/>
      <c r="M114" s="256"/>
      <c r="N114" s="254"/>
      <c r="O114" s="254"/>
      <c r="P114" s="254"/>
      <c r="Q114" s="254"/>
      <c r="R114" s="241"/>
      <c r="S114" s="241"/>
      <c r="T114" s="254"/>
      <c r="U114" s="254"/>
      <c r="V114" s="254"/>
      <c r="W114" s="254"/>
      <c r="X114" s="258"/>
      <c r="Y114" s="254"/>
      <c r="Z114" s="241"/>
      <c r="AA114" s="241"/>
    </row>
    <row r="115" spans="1:27" ht="13.5" customHeight="1" x14ac:dyDescent="0.3">
      <c r="A115" s="254"/>
      <c r="B115" s="255"/>
      <c r="C115" s="254"/>
      <c r="D115" s="254"/>
      <c r="E115" s="254"/>
      <c r="F115" s="241"/>
      <c r="G115" s="254"/>
      <c r="H115" s="254"/>
      <c r="I115" s="254"/>
      <c r="J115" s="256"/>
      <c r="K115" s="254"/>
      <c r="L115" s="257"/>
      <c r="M115" s="256"/>
      <c r="N115" s="254"/>
      <c r="O115" s="254"/>
      <c r="P115" s="254"/>
      <c r="Q115" s="254"/>
      <c r="R115" s="241"/>
      <c r="S115" s="241"/>
      <c r="T115" s="254"/>
      <c r="U115" s="254"/>
      <c r="V115" s="254"/>
      <c r="W115" s="254"/>
      <c r="X115" s="258"/>
      <c r="Y115" s="254"/>
      <c r="Z115" s="241"/>
      <c r="AA115" s="241"/>
    </row>
    <row r="116" spans="1:27" ht="13.5" customHeight="1" x14ac:dyDescent="0.3">
      <c r="A116" s="254"/>
      <c r="B116" s="255"/>
      <c r="C116" s="254"/>
      <c r="D116" s="254"/>
      <c r="E116" s="254"/>
      <c r="F116" s="241"/>
      <c r="G116" s="254"/>
      <c r="H116" s="254"/>
      <c r="I116" s="254"/>
      <c r="J116" s="256"/>
      <c r="K116" s="254"/>
      <c r="L116" s="257"/>
      <c r="M116" s="256"/>
      <c r="N116" s="254"/>
      <c r="O116" s="254"/>
      <c r="P116" s="254"/>
      <c r="Q116" s="254"/>
      <c r="R116" s="241"/>
      <c r="S116" s="241"/>
      <c r="T116" s="254"/>
      <c r="U116" s="254"/>
      <c r="V116" s="254"/>
      <c r="W116" s="254"/>
      <c r="X116" s="258"/>
      <c r="Y116" s="254"/>
      <c r="Z116" s="241"/>
      <c r="AA116" s="241"/>
    </row>
    <row r="117" spans="1:27" ht="13.5" customHeight="1" x14ac:dyDescent="0.3">
      <c r="A117" s="254"/>
      <c r="B117" s="255"/>
      <c r="C117" s="254"/>
      <c r="D117" s="254"/>
      <c r="E117" s="254"/>
      <c r="F117" s="241"/>
      <c r="G117" s="254"/>
      <c r="H117" s="254"/>
      <c r="I117" s="254"/>
      <c r="J117" s="256"/>
      <c r="K117" s="254"/>
      <c r="L117" s="257"/>
      <c r="M117" s="256"/>
      <c r="N117" s="254"/>
      <c r="O117" s="254"/>
      <c r="P117" s="254"/>
      <c r="Q117" s="254"/>
      <c r="R117" s="241"/>
      <c r="S117" s="241"/>
      <c r="T117" s="254"/>
      <c r="U117" s="254"/>
      <c r="V117" s="254"/>
      <c r="W117" s="254"/>
      <c r="X117" s="258"/>
      <c r="Y117" s="254"/>
      <c r="Z117" s="241"/>
      <c r="AA117" s="241"/>
    </row>
    <row r="118" spans="1:27" ht="13.5" customHeight="1" x14ac:dyDescent="0.3">
      <c r="A118" s="254"/>
      <c r="B118" s="255"/>
      <c r="C118" s="254"/>
      <c r="D118" s="254"/>
      <c r="E118" s="254"/>
      <c r="F118" s="241"/>
      <c r="G118" s="254"/>
      <c r="H118" s="254"/>
      <c r="I118" s="254"/>
      <c r="J118" s="256"/>
      <c r="K118" s="254"/>
      <c r="L118" s="257"/>
      <c r="M118" s="256"/>
      <c r="N118" s="254"/>
      <c r="O118" s="254"/>
      <c r="P118" s="254"/>
      <c r="Q118" s="254"/>
      <c r="R118" s="241"/>
      <c r="S118" s="241"/>
      <c r="T118" s="254"/>
      <c r="U118" s="254"/>
      <c r="V118" s="254"/>
      <c r="W118" s="254"/>
      <c r="X118" s="258"/>
      <c r="Y118" s="254"/>
      <c r="Z118" s="241"/>
      <c r="AA118" s="241"/>
    </row>
    <row r="119" spans="1:27" ht="13.5" customHeight="1" x14ac:dyDescent="0.3">
      <c r="A119" s="254"/>
      <c r="B119" s="255"/>
      <c r="C119" s="254"/>
      <c r="D119" s="254"/>
      <c r="E119" s="254"/>
      <c r="F119" s="241"/>
      <c r="G119" s="254"/>
      <c r="H119" s="254"/>
      <c r="I119" s="254"/>
      <c r="J119" s="256"/>
      <c r="K119" s="254"/>
      <c r="L119" s="257"/>
      <c r="M119" s="256"/>
      <c r="N119" s="254"/>
      <c r="O119" s="254"/>
      <c r="P119" s="254"/>
      <c r="Q119" s="254"/>
      <c r="R119" s="241"/>
      <c r="S119" s="241"/>
      <c r="T119" s="254"/>
      <c r="U119" s="254"/>
      <c r="V119" s="254"/>
      <c r="W119" s="254"/>
      <c r="X119" s="258"/>
      <c r="Y119" s="254"/>
      <c r="Z119" s="241"/>
      <c r="AA119" s="241"/>
    </row>
    <row r="120" spans="1:27" ht="13.5" customHeight="1" x14ac:dyDescent="0.3">
      <c r="A120" s="254"/>
      <c r="B120" s="255"/>
      <c r="C120" s="254"/>
      <c r="D120" s="254"/>
      <c r="E120" s="254"/>
      <c r="F120" s="241"/>
      <c r="G120" s="254"/>
      <c r="H120" s="254"/>
      <c r="I120" s="254"/>
      <c r="J120" s="256"/>
      <c r="K120" s="254"/>
      <c r="L120" s="257"/>
      <c r="M120" s="256"/>
      <c r="N120" s="254"/>
      <c r="O120" s="254"/>
      <c r="P120" s="254"/>
      <c r="Q120" s="254"/>
      <c r="R120" s="241"/>
      <c r="S120" s="241"/>
      <c r="T120" s="254"/>
      <c r="U120" s="254"/>
      <c r="V120" s="254"/>
      <c r="W120" s="254"/>
      <c r="X120" s="258"/>
      <c r="Y120" s="254"/>
      <c r="Z120" s="241"/>
      <c r="AA120" s="241"/>
    </row>
    <row r="121" spans="1:27" ht="13.5" customHeight="1" x14ac:dyDescent="0.3">
      <c r="A121" s="254"/>
      <c r="B121" s="255"/>
      <c r="C121" s="254"/>
      <c r="D121" s="254"/>
      <c r="E121" s="254"/>
      <c r="F121" s="241"/>
      <c r="G121" s="254"/>
      <c r="H121" s="254"/>
      <c r="I121" s="254"/>
      <c r="J121" s="256"/>
      <c r="K121" s="254"/>
      <c r="L121" s="257"/>
      <c r="M121" s="256"/>
      <c r="N121" s="254"/>
      <c r="O121" s="254"/>
      <c r="P121" s="254"/>
      <c r="Q121" s="254"/>
      <c r="R121" s="241"/>
      <c r="S121" s="241"/>
      <c r="T121" s="254"/>
      <c r="U121" s="254"/>
      <c r="V121" s="254"/>
      <c r="W121" s="254"/>
      <c r="X121" s="258"/>
      <c r="Y121" s="254"/>
      <c r="Z121" s="241"/>
      <c r="AA121" s="241"/>
    </row>
    <row r="122" spans="1:27" ht="13.5" customHeight="1" x14ac:dyDescent="0.3">
      <c r="A122" s="254"/>
      <c r="B122" s="255"/>
      <c r="C122" s="254"/>
      <c r="D122" s="254"/>
      <c r="E122" s="254"/>
      <c r="F122" s="241"/>
      <c r="G122" s="254"/>
      <c r="H122" s="254"/>
      <c r="I122" s="254"/>
      <c r="J122" s="256"/>
      <c r="K122" s="254"/>
      <c r="L122" s="257"/>
      <c r="M122" s="256"/>
      <c r="N122" s="254"/>
      <c r="O122" s="254"/>
      <c r="P122" s="254"/>
      <c r="Q122" s="254"/>
      <c r="R122" s="241"/>
      <c r="S122" s="241"/>
      <c r="T122" s="254"/>
      <c r="U122" s="254"/>
      <c r="V122" s="254"/>
      <c r="W122" s="254"/>
      <c r="X122" s="258"/>
      <c r="Y122" s="254"/>
      <c r="Z122" s="241"/>
      <c r="AA122" s="241"/>
    </row>
    <row r="123" spans="1:27" ht="13.5" customHeight="1" x14ac:dyDescent="0.3">
      <c r="A123" s="254"/>
      <c r="B123" s="255"/>
      <c r="C123" s="254"/>
      <c r="D123" s="254"/>
      <c r="E123" s="254"/>
      <c r="F123" s="241"/>
      <c r="G123" s="254"/>
      <c r="H123" s="254"/>
      <c r="I123" s="254"/>
      <c r="J123" s="256"/>
      <c r="K123" s="254"/>
      <c r="L123" s="257"/>
      <c r="M123" s="256"/>
      <c r="N123" s="254"/>
      <c r="O123" s="254"/>
      <c r="P123" s="254"/>
      <c r="Q123" s="254"/>
      <c r="R123" s="241"/>
      <c r="S123" s="241"/>
      <c r="T123" s="254"/>
      <c r="U123" s="254"/>
      <c r="V123" s="254"/>
      <c r="W123" s="254"/>
      <c r="X123" s="258"/>
      <c r="Y123" s="254"/>
      <c r="Z123" s="241"/>
      <c r="AA123" s="241"/>
    </row>
    <row r="124" spans="1:27" ht="13.5" customHeight="1" x14ac:dyDescent="0.3">
      <c r="A124" s="254"/>
      <c r="B124" s="255"/>
      <c r="C124" s="254"/>
      <c r="D124" s="254"/>
      <c r="E124" s="254"/>
      <c r="F124" s="241"/>
      <c r="G124" s="254"/>
      <c r="H124" s="254"/>
      <c r="I124" s="254"/>
      <c r="J124" s="256"/>
      <c r="K124" s="254"/>
      <c r="L124" s="257"/>
      <c r="M124" s="256"/>
      <c r="N124" s="254"/>
      <c r="O124" s="254"/>
      <c r="P124" s="254"/>
      <c r="Q124" s="254"/>
      <c r="R124" s="241"/>
      <c r="S124" s="241"/>
      <c r="T124" s="254"/>
      <c r="U124" s="254"/>
      <c r="V124" s="254"/>
      <c r="W124" s="254"/>
      <c r="X124" s="258"/>
      <c r="Y124" s="254"/>
      <c r="Z124" s="241"/>
      <c r="AA124" s="241"/>
    </row>
    <row r="125" spans="1:27" ht="13.5" customHeight="1" x14ac:dyDescent="0.3">
      <c r="A125" s="254"/>
      <c r="B125" s="255"/>
      <c r="C125" s="254"/>
      <c r="D125" s="254"/>
      <c r="E125" s="254"/>
      <c r="F125" s="241"/>
      <c r="G125" s="254"/>
      <c r="H125" s="254"/>
      <c r="I125" s="254"/>
      <c r="J125" s="256"/>
      <c r="K125" s="254"/>
      <c r="L125" s="257"/>
      <c r="M125" s="256"/>
      <c r="N125" s="254"/>
      <c r="O125" s="254"/>
      <c r="P125" s="254"/>
      <c r="Q125" s="254"/>
      <c r="R125" s="241"/>
      <c r="S125" s="241"/>
      <c r="T125" s="254"/>
      <c r="U125" s="254"/>
      <c r="V125" s="254"/>
      <c r="W125" s="254"/>
      <c r="X125" s="258"/>
      <c r="Y125" s="254"/>
      <c r="Z125" s="241"/>
      <c r="AA125" s="241"/>
    </row>
    <row r="126" spans="1:27" ht="13.5" customHeight="1" x14ac:dyDescent="0.3">
      <c r="A126" s="254"/>
      <c r="B126" s="255"/>
      <c r="C126" s="254"/>
      <c r="D126" s="254"/>
      <c r="E126" s="254"/>
      <c r="F126" s="241"/>
      <c r="G126" s="254"/>
      <c r="H126" s="254"/>
      <c r="I126" s="254"/>
      <c r="J126" s="256"/>
      <c r="K126" s="254"/>
      <c r="L126" s="257"/>
      <c r="M126" s="256"/>
      <c r="N126" s="254"/>
      <c r="O126" s="254"/>
      <c r="P126" s="254"/>
      <c r="Q126" s="254"/>
      <c r="R126" s="241"/>
      <c r="S126" s="241"/>
      <c r="T126" s="254"/>
      <c r="U126" s="254"/>
      <c r="V126" s="254"/>
      <c r="W126" s="254"/>
      <c r="X126" s="258"/>
      <c r="Y126" s="254"/>
      <c r="Z126" s="241"/>
      <c r="AA126" s="241"/>
    </row>
    <row r="127" spans="1:27" ht="13.5" customHeight="1" x14ac:dyDescent="0.3">
      <c r="A127" s="254"/>
      <c r="B127" s="255"/>
      <c r="C127" s="254"/>
      <c r="D127" s="254"/>
      <c r="E127" s="254"/>
      <c r="F127" s="241"/>
      <c r="G127" s="254"/>
      <c r="H127" s="254"/>
      <c r="I127" s="254"/>
      <c r="J127" s="256"/>
      <c r="K127" s="254"/>
      <c r="L127" s="257"/>
      <c r="M127" s="256"/>
      <c r="N127" s="254"/>
      <c r="O127" s="254"/>
      <c r="P127" s="254"/>
      <c r="Q127" s="254"/>
      <c r="R127" s="241"/>
      <c r="S127" s="241"/>
      <c r="T127" s="254"/>
      <c r="U127" s="254"/>
      <c r="V127" s="254"/>
      <c r="W127" s="254"/>
      <c r="X127" s="258"/>
      <c r="Y127" s="254"/>
      <c r="Z127" s="241"/>
      <c r="AA127" s="241"/>
    </row>
    <row r="128" spans="1:27" ht="13.5" customHeight="1" x14ac:dyDescent="0.3">
      <c r="A128" s="254"/>
      <c r="B128" s="255"/>
      <c r="C128" s="254"/>
      <c r="D128" s="254"/>
      <c r="E128" s="254"/>
      <c r="F128" s="241"/>
      <c r="G128" s="254"/>
      <c r="H128" s="254"/>
      <c r="I128" s="254"/>
      <c r="J128" s="256"/>
      <c r="K128" s="254"/>
      <c r="L128" s="257"/>
      <c r="M128" s="256"/>
      <c r="N128" s="254"/>
      <c r="O128" s="254"/>
      <c r="P128" s="254"/>
      <c r="Q128" s="254"/>
      <c r="R128" s="241"/>
      <c r="S128" s="241"/>
      <c r="T128" s="254"/>
      <c r="U128" s="254"/>
      <c r="V128" s="254"/>
      <c r="W128" s="254"/>
      <c r="X128" s="258"/>
      <c r="Y128" s="254"/>
      <c r="Z128" s="241"/>
      <c r="AA128" s="241"/>
    </row>
    <row r="129" spans="1:27" ht="13.5" customHeight="1" x14ac:dyDescent="0.3">
      <c r="A129" s="254"/>
      <c r="B129" s="255"/>
      <c r="C129" s="254"/>
      <c r="D129" s="254"/>
      <c r="E129" s="254"/>
      <c r="F129" s="241"/>
      <c r="G129" s="254"/>
      <c r="H129" s="254"/>
      <c r="I129" s="254"/>
      <c r="J129" s="256"/>
      <c r="K129" s="254"/>
      <c r="L129" s="257"/>
      <c r="M129" s="256"/>
      <c r="N129" s="254"/>
      <c r="O129" s="254"/>
      <c r="P129" s="254"/>
      <c r="Q129" s="254"/>
      <c r="R129" s="241"/>
      <c r="S129" s="241"/>
      <c r="T129" s="254"/>
      <c r="U129" s="254"/>
      <c r="V129" s="254"/>
      <c r="W129" s="254"/>
      <c r="X129" s="258"/>
      <c r="Y129" s="254"/>
      <c r="Z129" s="241"/>
      <c r="AA129" s="241"/>
    </row>
    <row r="130" spans="1:27" ht="13.5" customHeight="1" x14ac:dyDescent="0.3">
      <c r="A130" s="254"/>
      <c r="B130" s="255"/>
      <c r="C130" s="254"/>
      <c r="D130" s="254"/>
      <c r="E130" s="254"/>
      <c r="F130" s="241"/>
      <c r="G130" s="254"/>
      <c r="H130" s="254"/>
      <c r="I130" s="254"/>
      <c r="J130" s="256"/>
      <c r="K130" s="254"/>
      <c r="L130" s="257"/>
      <c r="M130" s="256"/>
      <c r="N130" s="254"/>
      <c r="O130" s="254"/>
      <c r="P130" s="254"/>
      <c r="Q130" s="254"/>
      <c r="R130" s="241"/>
      <c r="S130" s="241"/>
      <c r="T130" s="254"/>
      <c r="U130" s="254"/>
      <c r="V130" s="254"/>
      <c r="W130" s="254"/>
      <c r="X130" s="258"/>
      <c r="Y130" s="254"/>
      <c r="Z130" s="241"/>
      <c r="AA130" s="241"/>
    </row>
    <row r="131" spans="1:27" ht="13.5" customHeight="1" x14ac:dyDescent="0.3">
      <c r="A131" s="254"/>
      <c r="B131" s="255"/>
      <c r="C131" s="254"/>
      <c r="D131" s="254"/>
      <c r="E131" s="254"/>
      <c r="F131" s="241"/>
      <c r="G131" s="254"/>
      <c r="H131" s="254"/>
      <c r="I131" s="254"/>
      <c r="J131" s="256"/>
      <c r="K131" s="254"/>
      <c r="L131" s="257"/>
      <c r="M131" s="256"/>
      <c r="N131" s="254"/>
      <c r="O131" s="254"/>
      <c r="P131" s="254"/>
      <c r="Q131" s="254"/>
      <c r="R131" s="241"/>
      <c r="S131" s="241"/>
      <c r="T131" s="254"/>
      <c r="U131" s="254"/>
      <c r="V131" s="254"/>
      <c r="W131" s="254"/>
      <c r="X131" s="258"/>
      <c r="Y131" s="254"/>
      <c r="Z131" s="241"/>
      <c r="AA131" s="241"/>
    </row>
    <row r="132" spans="1:27" ht="13.5" customHeight="1" x14ac:dyDescent="0.3">
      <c r="A132" s="254"/>
      <c r="B132" s="255"/>
      <c r="C132" s="254"/>
      <c r="D132" s="254"/>
      <c r="E132" s="254"/>
      <c r="F132" s="241"/>
      <c r="G132" s="254"/>
      <c r="H132" s="254"/>
      <c r="I132" s="254"/>
      <c r="J132" s="256"/>
      <c r="K132" s="254"/>
      <c r="L132" s="257"/>
      <c r="M132" s="256"/>
      <c r="N132" s="254"/>
      <c r="O132" s="254"/>
      <c r="P132" s="254"/>
      <c r="Q132" s="254"/>
      <c r="R132" s="241"/>
      <c r="S132" s="241"/>
      <c r="T132" s="254"/>
      <c r="U132" s="254"/>
      <c r="V132" s="254"/>
      <c r="W132" s="254"/>
      <c r="X132" s="258"/>
      <c r="Y132" s="254"/>
      <c r="Z132" s="241"/>
      <c r="AA132" s="241"/>
    </row>
    <row r="133" spans="1:27" ht="13.5" customHeight="1" x14ac:dyDescent="0.3">
      <c r="A133" s="254"/>
      <c r="B133" s="255"/>
      <c r="C133" s="254"/>
      <c r="D133" s="254"/>
      <c r="E133" s="254"/>
      <c r="F133" s="241"/>
      <c r="G133" s="254"/>
      <c r="H133" s="254"/>
      <c r="I133" s="254"/>
      <c r="J133" s="256"/>
      <c r="K133" s="254"/>
      <c r="L133" s="257"/>
      <c r="M133" s="256"/>
      <c r="N133" s="254"/>
      <c r="O133" s="254"/>
      <c r="P133" s="254"/>
      <c r="Q133" s="254"/>
      <c r="R133" s="241"/>
      <c r="S133" s="241"/>
      <c r="T133" s="254"/>
      <c r="U133" s="254"/>
      <c r="V133" s="254"/>
      <c r="W133" s="254"/>
      <c r="X133" s="258"/>
      <c r="Y133" s="254"/>
      <c r="Z133" s="241"/>
      <c r="AA133" s="241"/>
    </row>
    <row r="134" spans="1:27" ht="13.5" customHeight="1" x14ac:dyDescent="0.3">
      <c r="A134" s="254"/>
      <c r="B134" s="255"/>
      <c r="C134" s="254"/>
      <c r="D134" s="254"/>
      <c r="E134" s="254"/>
      <c r="F134" s="241"/>
      <c r="G134" s="254"/>
      <c r="H134" s="254"/>
      <c r="I134" s="254"/>
      <c r="J134" s="256"/>
      <c r="K134" s="254"/>
      <c r="L134" s="257"/>
      <c r="M134" s="256"/>
      <c r="N134" s="254"/>
      <c r="O134" s="254"/>
      <c r="P134" s="254"/>
      <c r="Q134" s="254"/>
      <c r="R134" s="241"/>
      <c r="S134" s="241"/>
      <c r="T134" s="254"/>
      <c r="U134" s="254"/>
      <c r="V134" s="254"/>
      <c r="W134" s="254"/>
      <c r="X134" s="258"/>
      <c r="Y134" s="254"/>
      <c r="Z134" s="241"/>
      <c r="AA134" s="241"/>
    </row>
    <row r="135" spans="1:27" ht="13.5" customHeight="1" x14ac:dyDescent="0.3">
      <c r="A135" s="254"/>
      <c r="B135" s="255"/>
      <c r="C135" s="254"/>
      <c r="D135" s="254"/>
      <c r="E135" s="254"/>
      <c r="F135" s="241"/>
      <c r="G135" s="254"/>
      <c r="H135" s="254"/>
      <c r="I135" s="254"/>
      <c r="J135" s="256"/>
      <c r="K135" s="254"/>
      <c r="L135" s="257"/>
      <c r="M135" s="256"/>
      <c r="N135" s="254"/>
      <c r="O135" s="254"/>
      <c r="P135" s="254"/>
      <c r="Q135" s="254"/>
      <c r="R135" s="241"/>
      <c r="S135" s="241"/>
      <c r="T135" s="254"/>
      <c r="U135" s="254"/>
      <c r="V135" s="254"/>
      <c r="W135" s="254"/>
      <c r="X135" s="258"/>
      <c r="Y135" s="254"/>
      <c r="Z135" s="241"/>
      <c r="AA135" s="241"/>
    </row>
    <row r="136" spans="1:27" ht="13.5" customHeight="1" x14ac:dyDescent="0.3">
      <c r="A136" s="254"/>
      <c r="B136" s="255"/>
      <c r="C136" s="254"/>
      <c r="D136" s="254"/>
      <c r="E136" s="254"/>
      <c r="F136" s="241"/>
      <c r="G136" s="254"/>
      <c r="H136" s="254"/>
      <c r="I136" s="254"/>
      <c r="J136" s="256"/>
      <c r="K136" s="254"/>
      <c r="L136" s="257"/>
      <c r="M136" s="256"/>
      <c r="N136" s="254"/>
      <c r="O136" s="254"/>
      <c r="P136" s="254"/>
      <c r="Q136" s="254"/>
      <c r="R136" s="241"/>
      <c r="S136" s="241"/>
      <c r="T136" s="254"/>
      <c r="U136" s="254"/>
      <c r="V136" s="254"/>
      <c r="W136" s="254"/>
      <c r="X136" s="258"/>
      <c r="Y136" s="254"/>
      <c r="Z136" s="241"/>
      <c r="AA136" s="241"/>
    </row>
    <row r="137" spans="1:27" ht="13.5" customHeight="1" x14ac:dyDescent="0.3">
      <c r="A137" s="254"/>
      <c r="B137" s="255"/>
      <c r="C137" s="254"/>
      <c r="D137" s="254"/>
      <c r="E137" s="254"/>
      <c r="F137" s="241"/>
      <c r="G137" s="254"/>
      <c r="H137" s="254"/>
      <c r="I137" s="254"/>
      <c r="J137" s="256"/>
      <c r="K137" s="254"/>
      <c r="L137" s="257"/>
      <c r="M137" s="256"/>
      <c r="N137" s="254"/>
      <c r="O137" s="254"/>
      <c r="P137" s="254"/>
      <c r="Q137" s="254"/>
      <c r="R137" s="241"/>
      <c r="S137" s="241"/>
      <c r="T137" s="254"/>
      <c r="U137" s="254"/>
      <c r="V137" s="254"/>
      <c r="W137" s="254"/>
      <c r="X137" s="258"/>
      <c r="Y137" s="254"/>
      <c r="Z137" s="241"/>
      <c r="AA137" s="241"/>
    </row>
    <row r="138" spans="1:27" ht="13.5" customHeight="1" x14ac:dyDescent="0.3">
      <c r="A138" s="254"/>
      <c r="B138" s="255"/>
      <c r="C138" s="254"/>
      <c r="D138" s="254"/>
      <c r="E138" s="254"/>
      <c r="F138" s="241"/>
      <c r="G138" s="254"/>
      <c r="H138" s="254"/>
      <c r="I138" s="254"/>
      <c r="J138" s="256"/>
      <c r="K138" s="254"/>
      <c r="L138" s="257"/>
      <c r="M138" s="256"/>
      <c r="N138" s="254"/>
      <c r="O138" s="254"/>
      <c r="P138" s="254"/>
      <c r="Q138" s="254"/>
      <c r="R138" s="241"/>
      <c r="S138" s="241"/>
      <c r="T138" s="254"/>
      <c r="U138" s="254"/>
      <c r="V138" s="254"/>
      <c r="W138" s="254"/>
      <c r="X138" s="258"/>
      <c r="Y138" s="254"/>
      <c r="Z138" s="241"/>
      <c r="AA138" s="241"/>
    </row>
    <row r="139" spans="1:27" ht="13.5" customHeight="1" x14ac:dyDescent="0.3">
      <c r="A139" s="254"/>
      <c r="B139" s="255"/>
      <c r="C139" s="254"/>
      <c r="D139" s="254"/>
      <c r="E139" s="254"/>
      <c r="F139" s="241"/>
      <c r="G139" s="254"/>
      <c r="H139" s="254"/>
      <c r="I139" s="254"/>
      <c r="J139" s="256"/>
      <c r="K139" s="254"/>
      <c r="L139" s="257"/>
      <c r="M139" s="256"/>
      <c r="N139" s="254"/>
      <c r="O139" s="254"/>
      <c r="P139" s="254"/>
      <c r="Q139" s="254"/>
      <c r="R139" s="241"/>
      <c r="S139" s="241"/>
      <c r="T139" s="254"/>
      <c r="U139" s="254"/>
      <c r="V139" s="254"/>
      <c r="W139" s="254"/>
      <c r="X139" s="258"/>
      <c r="Y139" s="254"/>
      <c r="Z139" s="241"/>
      <c r="AA139" s="241"/>
    </row>
    <row r="140" spans="1:27" ht="13.5" customHeight="1" x14ac:dyDescent="0.3">
      <c r="A140" s="254"/>
      <c r="B140" s="255"/>
      <c r="C140" s="254"/>
      <c r="D140" s="254"/>
      <c r="E140" s="254"/>
      <c r="F140" s="241"/>
      <c r="G140" s="254"/>
      <c r="H140" s="254"/>
      <c r="I140" s="254"/>
      <c r="J140" s="256"/>
      <c r="K140" s="254"/>
      <c r="L140" s="257"/>
      <c r="M140" s="256"/>
      <c r="N140" s="254"/>
      <c r="O140" s="254"/>
      <c r="P140" s="254"/>
      <c r="Q140" s="254"/>
      <c r="R140" s="241"/>
      <c r="S140" s="241"/>
      <c r="T140" s="254"/>
      <c r="U140" s="254"/>
      <c r="V140" s="254"/>
      <c r="W140" s="254"/>
      <c r="X140" s="258"/>
      <c r="Y140" s="254"/>
      <c r="Z140" s="241"/>
      <c r="AA140" s="241"/>
    </row>
    <row r="141" spans="1:27" ht="13.5" customHeight="1" x14ac:dyDescent="0.3">
      <c r="A141" s="254"/>
      <c r="B141" s="255"/>
      <c r="C141" s="254"/>
      <c r="D141" s="254"/>
      <c r="E141" s="254"/>
      <c r="F141" s="241"/>
      <c r="G141" s="254"/>
      <c r="H141" s="254"/>
      <c r="I141" s="254"/>
      <c r="J141" s="256"/>
      <c r="K141" s="254"/>
      <c r="L141" s="257"/>
      <c r="M141" s="256"/>
      <c r="N141" s="254"/>
      <c r="O141" s="254"/>
      <c r="P141" s="254"/>
      <c r="Q141" s="254"/>
      <c r="R141" s="241"/>
      <c r="S141" s="241"/>
      <c r="T141" s="254"/>
      <c r="U141" s="254"/>
      <c r="V141" s="254"/>
      <c r="W141" s="254"/>
      <c r="X141" s="258"/>
      <c r="Y141" s="254"/>
      <c r="Z141" s="241"/>
      <c r="AA141" s="241"/>
    </row>
    <row r="142" spans="1:27" ht="13.5" customHeight="1" x14ac:dyDescent="0.3">
      <c r="A142" s="254"/>
      <c r="B142" s="255"/>
      <c r="C142" s="254"/>
      <c r="D142" s="254"/>
      <c r="E142" s="254"/>
      <c r="F142" s="241"/>
      <c r="G142" s="254"/>
      <c r="H142" s="254"/>
      <c r="I142" s="254"/>
      <c r="J142" s="256"/>
      <c r="K142" s="254"/>
      <c r="L142" s="257"/>
      <c r="M142" s="256"/>
      <c r="N142" s="254"/>
      <c r="O142" s="254"/>
      <c r="P142" s="254"/>
      <c r="Q142" s="254"/>
      <c r="R142" s="241"/>
      <c r="S142" s="241"/>
      <c r="T142" s="254"/>
      <c r="U142" s="254"/>
      <c r="V142" s="254"/>
      <c r="W142" s="254"/>
      <c r="X142" s="258"/>
      <c r="Y142" s="254"/>
      <c r="Z142" s="241"/>
      <c r="AA142" s="241"/>
    </row>
    <row r="143" spans="1:27" ht="13.5" customHeight="1" x14ac:dyDescent="0.3">
      <c r="A143" s="254"/>
      <c r="B143" s="255"/>
      <c r="C143" s="254"/>
      <c r="D143" s="254"/>
      <c r="E143" s="254"/>
      <c r="F143" s="241"/>
      <c r="G143" s="254"/>
      <c r="H143" s="254"/>
      <c r="I143" s="254"/>
      <c r="J143" s="256"/>
      <c r="K143" s="254"/>
      <c r="L143" s="257"/>
      <c r="M143" s="256"/>
      <c r="N143" s="254"/>
      <c r="O143" s="254"/>
      <c r="P143" s="254"/>
      <c r="Q143" s="254"/>
      <c r="R143" s="241"/>
      <c r="S143" s="241"/>
      <c r="T143" s="254"/>
      <c r="U143" s="254"/>
      <c r="V143" s="254"/>
      <c r="W143" s="254"/>
      <c r="X143" s="258"/>
      <c r="Y143" s="254"/>
      <c r="Z143" s="241"/>
      <c r="AA143" s="241"/>
    </row>
    <row r="144" spans="1:27" ht="13.5" customHeight="1" x14ac:dyDescent="0.3">
      <c r="A144" s="254"/>
      <c r="B144" s="255"/>
      <c r="C144" s="254"/>
      <c r="D144" s="254"/>
      <c r="E144" s="254"/>
      <c r="F144" s="241"/>
      <c r="G144" s="254"/>
      <c r="H144" s="254"/>
      <c r="I144" s="254"/>
      <c r="J144" s="256"/>
      <c r="K144" s="254"/>
      <c r="L144" s="257"/>
      <c r="M144" s="256"/>
      <c r="N144" s="254"/>
      <c r="O144" s="254"/>
      <c r="P144" s="254"/>
      <c r="Q144" s="254"/>
      <c r="R144" s="241"/>
      <c r="S144" s="241"/>
      <c r="T144" s="254"/>
      <c r="U144" s="254"/>
      <c r="V144" s="254"/>
      <c r="W144" s="254"/>
      <c r="X144" s="258"/>
      <c r="Y144" s="254"/>
      <c r="Z144" s="241"/>
      <c r="AA144" s="241"/>
    </row>
    <row r="145" spans="1:27" ht="13.5" customHeight="1" x14ac:dyDescent="0.3">
      <c r="A145" s="254"/>
      <c r="B145" s="255"/>
      <c r="C145" s="254"/>
      <c r="D145" s="254"/>
      <c r="E145" s="254"/>
      <c r="F145" s="241"/>
      <c r="G145" s="254"/>
      <c r="H145" s="254"/>
      <c r="I145" s="254"/>
      <c r="J145" s="256"/>
      <c r="K145" s="254"/>
      <c r="L145" s="257"/>
      <c r="M145" s="256"/>
      <c r="N145" s="254"/>
      <c r="O145" s="254"/>
      <c r="P145" s="254"/>
      <c r="Q145" s="254"/>
      <c r="R145" s="241"/>
      <c r="S145" s="241"/>
      <c r="T145" s="254"/>
      <c r="U145" s="254"/>
      <c r="V145" s="254"/>
      <c r="W145" s="254"/>
      <c r="X145" s="258"/>
      <c r="Y145" s="254"/>
      <c r="Z145" s="241"/>
      <c r="AA145" s="241"/>
    </row>
    <row r="146" spans="1:27" ht="13.5" customHeight="1" x14ac:dyDescent="0.3">
      <c r="A146" s="254"/>
      <c r="B146" s="255"/>
      <c r="C146" s="254"/>
      <c r="D146" s="254"/>
      <c r="E146" s="254"/>
      <c r="F146" s="241"/>
      <c r="G146" s="254"/>
      <c r="H146" s="254"/>
      <c r="I146" s="254"/>
      <c r="J146" s="256"/>
      <c r="K146" s="254"/>
      <c r="L146" s="257"/>
      <c r="M146" s="256"/>
      <c r="N146" s="254"/>
      <c r="O146" s="254"/>
      <c r="P146" s="254"/>
      <c r="Q146" s="254"/>
      <c r="R146" s="241"/>
      <c r="S146" s="241"/>
      <c r="T146" s="254"/>
      <c r="U146" s="254"/>
      <c r="V146" s="254"/>
      <c r="W146" s="254"/>
      <c r="X146" s="258"/>
      <c r="Y146" s="254"/>
      <c r="Z146" s="241"/>
      <c r="AA146" s="241"/>
    </row>
    <row r="147" spans="1:27" ht="13.5" customHeight="1" x14ac:dyDescent="0.3">
      <c r="A147" s="254"/>
      <c r="B147" s="255"/>
      <c r="C147" s="254"/>
      <c r="D147" s="254"/>
      <c r="E147" s="254"/>
      <c r="F147" s="241"/>
      <c r="G147" s="254"/>
      <c r="H147" s="254"/>
      <c r="I147" s="254"/>
      <c r="J147" s="256"/>
      <c r="K147" s="254"/>
      <c r="L147" s="257"/>
      <c r="M147" s="256"/>
      <c r="N147" s="254"/>
      <c r="O147" s="254"/>
      <c r="P147" s="254"/>
      <c r="Q147" s="254"/>
      <c r="R147" s="241"/>
      <c r="S147" s="241"/>
      <c r="T147" s="254"/>
      <c r="U147" s="254"/>
      <c r="V147" s="254"/>
      <c r="W147" s="254"/>
      <c r="X147" s="258"/>
      <c r="Y147" s="254"/>
      <c r="Z147" s="241"/>
      <c r="AA147" s="241"/>
    </row>
    <row r="148" spans="1:27" ht="13.5" customHeight="1" x14ac:dyDescent="0.3">
      <c r="A148" s="254"/>
      <c r="B148" s="255"/>
      <c r="C148" s="254"/>
      <c r="D148" s="254"/>
      <c r="E148" s="254"/>
      <c r="F148" s="241"/>
      <c r="G148" s="254"/>
      <c r="H148" s="254"/>
      <c r="I148" s="254"/>
      <c r="J148" s="256"/>
      <c r="K148" s="254"/>
      <c r="L148" s="257"/>
      <c r="M148" s="256"/>
      <c r="N148" s="254"/>
      <c r="O148" s="254"/>
      <c r="P148" s="254"/>
      <c r="Q148" s="254"/>
      <c r="R148" s="241"/>
      <c r="S148" s="241"/>
      <c r="T148" s="254"/>
      <c r="U148" s="254"/>
      <c r="V148" s="254"/>
      <c r="W148" s="254"/>
      <c r="X148" s="258"/>
      <c r="Y148" s="254"/>
      <c r="Z148" s="241"/>
      <c r="AA148" s="241"/>
    </row>
    <row r="149" spans="1:27" ht="13.5" customHeight="1" x14ac:dyDescent="0.3">
      <c r="A149" s="254"/>
      <c r="B149" s="255"/>
      <c r="C149" s="254"/>
      <c r="D149" s="254"/>
      <c r="E149" s="254"/>
      <c r="F149" s="241"/>
      <c r="G149" s="254"/>
      <c r="H149" s="254"/>
      <c r="I149" s="254"/>
      <c r="J149" s="256"/>
      <c r="K149" s="254"/>
      <c r="L149" s="257"/>
      <c r="M149" s="256"/>
      <c r="N149" s="254"/>
      <c r="O149" s="254"/>
      <c r="P149" s="254"/>
      <c r="Q149" s="254"/>
      <c r="R149" s="241"/>
      <c r="S149" s="241"/>
      <c r="T149" s="254"/>
      <c r="U149" s="254"/>
      <c r="V149" s="254"/>
      <c r="W149" s="254"/>
      <c r="X149" s="258"/>
      <c r="Y149" s="254"/>
      <c r="Z149" s="241"/>
      <c r="AA149" s="241"/>
    </row>
    <row r="150" spans="1:27" ht="13.5" customHeight="1" x14ac:dyDescent="0.3">
      <c r="A150" s="254"/>
      <c r="B150" s="255"/>
      <c r="C150" s="254"/>
      <c r="D150" s="254"/>
      <c r="E150" s="254"/>
      <c r="F150" s="241"/>
      <c r="G150" s="254"/>
      <c r="H150" s="254"/>
      <c r="I150" s="254"/>
      <c r="J150" s="256"/>
      <c r="K150" s="254"/>
      <c r="L150" s="257"/>
      <c r="M150" s="256"/>
      <c r="N150" s="254"/>
      <c r="O150" s="254"/>
      <c r="P150" s="254"/>
      <c r="Q150" s="254"/>
      <c r="R150" s="241"/>
      <c r="S150" s="241"/>
      <c r="T150" s="254"/>
      <c r="U150" s="254"/>
      <c r="V150" s="254"/>
      <c r="W150" s="254"/>
      <c r="X150" s="258"/>
      <c r="Y150" s="254"/>
      <c r="Z150" s="241"/>
      <c r="AA150" s="241"/>
    </row>
    <row r="151" spans="1:27" ht="13.5" customHeight="1" x14ac:dyDescent="0.3">
      <c r="A151" s="254"/>
      <c r="B151" s="255"/>
      <c r="C151" s="254"/>
      <c r="D151" s="254"/>
      <c r="E151" s="254"/>
      <c r="F151" s="241"/>
      <c r="G151" s="254"/>
      <c r="H151" s="254"/>
      <c r="I151" s="254"/>
      <c r="J151" s="256"/>
      <c r="K151" s="254"/>
      <c r="L151" s="257"/>
      <c r="M151" s="256"/>
      <c r="N151" s="254"/>
      <c r="O151" s="254"/>
      <c r="P151" s="254"/>
      <c r="Q151" s="254"/>
      <c r="R151" s="241"/>
      <c r="S151" s="241"/>
      <c r="T151" s="254"/>
      <c r="U151" s="254"/>
      <c r="V151" s="254"/>
      <c r="W151" s="254"/>
      <c r="X151" s="258"/>
      <c r="Y151" s="254"/>
      <c r="Z151" s="241"/>
      <c r="AA151" s="241"/>
    </row>
    <row r="152" spans="1:27" ht="13.5" customHeight="1" x14ac:dyDescent="0.3">
      <c r="A152" s="254"/>
      <c r="B152" s="255"/>
      <c r="C152" s="254"/>
      <c r="D152" s="254"/>
      <c r="E152" s="254"/>
      <c r="F152" s="241"/>
      <c r="G152" s="254"/>
      <c r="H152" s="254"/>
      <c r="I152" s="254"/>
      <c r="J152" s="256"/>
      <c r="K152" s="254"/>
      <c r="L152" s="257"/>
      <c r="M152" s="256"/>
      <c r="N152" s="254"/>
      <c r="O152" s="254"/>
      <c r="P152" s="254"/>
      <c r="Q152" s="254"/>
      <c r="R152" s="241"/>
      <c r="S152" s="241"/>
      <c r="T152" s="254"/>
      <c r="U152" s="254"/>
      <c r="V152" s="254"/>
      <c r="W152" s="254"/>
      <c r="X152" s="258"/>
      <c r="Y152" s="254"/>
      <c r="Z152" s="241"/>
      <c r="AA152" s="241"/>
    </row>
    <row r="153" spans="1:27" ht="13.5" customHeight="1" x14ac:dyDescent="0.3">
      <c r="A153" s="254"/>
      <c r="B153" s="255"/>
      <c r="C153" s="254"/>
      <c r="D153" s="254"/>
      <c r="E153" s="254"/>
      <c r="F153" s="241"/>
      <c r="G153" s="254"/>
      <c r="H153" s="254"/>
      <c r="I153" s="254"/>
      <c r="J153" s="256"/>
      <c r="K153" s="254"/>
      <c r="L153" s="257"/>
      <c r="M153" s="256"/>
      <c r="N153" s="254"/>
      <c r="O153" s="254"/>
      <c r="P153" s="254"/>
      <c r="Q153" s="254"/>
      <c r="R153" s="241"/>
      <c r="S153" s="241"/>
      <c r="T153" s="254"/>
      <c r="U153" s="254"/>
      <c r="V153" s="254"/>
      <c r="W153" s="254"/>
      <c r="X153" s="258"/>
      <c r="Y153" s="254"/>
      <c r="Z153" s="241"/>
      <c r="AA153" s="241"/>
    </row>
    <row r="154" spans="1:27" ht="13.5" customHeight="1" x14ac:dyDescent="0.3">
      <c r="A154" s="254"/>
      <c r="B154" s="255"/>
      <c r="C154" s="254"/>
      <c r="D154" s="254"/>
      <c r="E154" s="254"/>
      <c r="F154" s="241"/>
      <c r="G154" s="254"/>
      <c r="H154" s="254"/>
      <c r="I154" s="254"/>
      <c r="J154" s="256"/>
      <c r="K154" s="254"/>
      <c r="L154" s="257"/>
      <c r="M154" s="256"/>
      <c r="N154" s="254"/>
      <c r="O154" s="254"/>
      <c r="P154" s="254"/>
      <c r="Q154" s="254"/>
      <c r="R154" s="241"/>
      <c r="S154" s="241"/>
      <c r="T154" s="254"/>
      <c r="U154" s="254"/>
      <c r="V154" s="254"/>
      <c r="W154" s="254"/>
      <c r="X154" s="258"/>
      <c r="Y154" s="254"/>
      <c r="Z154" s="241"/>
      <c r="AA154" s="241"/>
    </row>
    <row r="155" spans="1:27" ht="13.5" customHeight="1" x14ac:dyDescent="0.3">
      <c r="A155" s="254"/>
      <c r="B155" s="255"/>
      <c r="C155" s="254"/>
      <c r="D155" s="254"/>
      <c r="E155" s="254"/>
      <c r="F155" s="241"/>
      <c r="G155" s="254"/>
      <c r="H155" s="254"/>
      <c r="I155" s="254"/>
      <c r="J155" s="256"/>
      <c r="K155" s="254"/>
      <c r="L155" s="257"/>
      <c r="M155" s="256"/>
      <c r="N155" s="254"/>
      <c r="O155" s="254"/>
      <c r="P155" s="254"/>
      <c r="Q155" s="254"/>
      <c r="R155" s="241"/>
      <c r="S155" s="241"/>
      <c r="T155" s="254"/>
      <c r="U155" s="254"/>
      <c r="V155" s="254"/>
      <c r="W155" s="254"/>
      <c r="X155" s="258"/>
      <c r="Y155" s="254"/>
      <c r="Z155" s="241"/>
      <c r="AA155" s="241"/>
    </row>
    <row r="156" spans="1:27" ht="13.5" customHeight="1" x14ac:dyDescent="0.3">
      <c r="A156" s="254"/>
      <c r="B156" s="255"/>
      <c r="C156" s="254"/>
      <c r="D156" s="254"/>
      <c r="E156" s="254"/>
      <c r="F156" s="241"/>
      <c r="G156" s="254"/>
      <c r="H156" s="254"/>
      <c r="I156" s="254"/>
      <c r="J156" s="256"/>
      <c r="K156" s="254"/>
      <c r="L156" s="257"/>
      <c r="M156" s="256"/>
      <c r="N156" s="254"/>
      <c r="O156" s="254"/>
      <c r="P156" s="254"/>
      <c r="Q156" s="254"/>
      <c r="R156" s="241"/>
      <c r="S156" s="241"/>
      <c r="T156" s="254"/>
      <c r="U156" s="254"/>
      <c r="V156" s="254"/>
      <c r="W156" s="254"/>
      <c r="X156" s="258"/>
      <c r="Y156" s="254"/>
      <c r="Z156" s="241"/>
      <c r="AA156" s="241"/>
    </row>
    <row r="157" spans="1:27" ht="13.5" customHeight="1" x14ac:dyDescent="0.3">
      <c r="A157" s="254"/>
      <c r="B157" s="255"/>
      <c r="C157" s="254"/>
      <c r="D157" s="254"/>
      <c r="E157" s="254"/>
      <c r="F157" s="241"/>
      <c r="G157" s="254"/>
      <c r="H157" s="254"/>
      <c r="I157" s="254"/>
      <c r="J157" s="256"/>
      <c r="K157" s="254"/>
      <c r="L157" s="257"/>
      <c r="M157" s="256"/>
      <c r="N157" s="254"/>
      <c r="O157" s="254"/>
      <c r="P157" s="254"/>
      <c r="Q157" s="254"/>
      <c r="R157" s="241"/>
      <c r="S157" s="241"/>
      <c r="T157" s="254"/>
      <c r="U157" s="254"/>
      <c r="V157" s="254"/>
      <c r="W157" s="254"/>
      <c r="X157" s="258"/>
      <c r="Y157" s="254"/>
      <c r="Z157" s="241"/>
      <c r="AA157" s="241"/>
    </row>
    <row r="158" spans="1:27" ht="13.5" customHeight="1" x14ac:dyDescent="0.3">
      <c r="A158" s="254"/>
      <c r="B158" s="255"/>
      <c r="C158" s="254"/>
      <c r="D158" s="254"/>
      <c r="E158" s="254"/>
      <c r="F158" s="241"/>
      <c r="G158" s="254"/>
      <c r="H158" s="254"/>
      <c r="I158" s="254"/>
      <c r="J158" s="256"/>
      <c r="K158" s="254"/>
      <c r="L158" s="257"/>
      <c r="M158" s="256"/>
      <c r="N158" s="254"/>
      <c r="O158" s="254"/>
      <c r="P158" s="254"/>
      <c r="Q158" s="254"/>
      <c r="R158" s="241"/>
      <c r="S158" s="241"/>
      <c r="T158" s="254"/>
      <c r="U158" s="254"/>
      <c r="V158" s="254"/>
      <c r="W158" s="254"/>
      <c r="X158" s="258"/>
      <c r="Y158" s="254"/>
      <c r="Z158" s="241"/>
      <c r="AA158" s="241"/>
    </row>
    <row r="159" spans="1:27" ht="13.5" customHeight="1" x14ac:dyDescent="0.3">
      <c r="A159" s="254"/>
      <c r="B159" s="255"/>
      <c r="C159" s="254"/>
      <c r="D159" s="254"/>
      <c r="E159" s="254"/>
      <c r="F159" s="241"/>
      <c r="G159" s="254"/>
      <c r="H159" s="254"/>
      <c r="I159" s="254"/>
      <c r="J159" s="256"/>
      <c r="K159" s="254"/>
      <c r="L159" s="257"/>
      <c r="M159" s="256"/>
      <c r="N159" s="254"/>
      <c r="O159" s="254"/>
      <c r="P159" s="254"/>
      <c r="Q159" s="254"/>
      <c r="R159" s="241"/>
      <c r="S159" s="241"/>
      <c r="T159" s="254"/>
      <c r="U159" s="254"/>
      <c r="V159" s="254"/>
      <c r="W159" s="254"/>
      <c r="X159" s="258"/>
      <c r="Y159" s="254"/>
      <c r="Z159" s="241"/>
      <c r="AA159" s="241"/>
    </row>
    <row r="160" spans="1:27" ht="13.5" customHeight="1" x14ac:dyDescent="0.3">
      <c r="A160" s="254"/>
      <c r="B160" s="255"/>
      <c r="C160" s="254"/>
      <c r="D160" s="254"/>
      <c r="E160" s="254"/>
      <c r="F160" s="241"/>
      <c r="G160" s="254"/>
      <c r="H160" s="254"/>
      <c r="I160" s="254"/>
      <c r="J160" s="256"/>
      <c r="K160" s="254"/>
      <c r="L160" s="257"/>
      <c r="M160" s="256"/>
      <c r="N160" s="254"/>
      <c r="O160" s="254"/>
      <c r="P160" s="254"/>
      <c r="Q160" s="254"/>
      <c r="R160" s="241"/>
      <c r="S160" s="241"/>
      <c r="T160" s="254"/>
      <c r="U160" s="254"/>
      <c r="V160" s="254"/>
      <c r="W160" s="254"/>
      <c r="X160" s="258"/>
      <c r="Y160" s="254"/>
      <c r="Z160" s="241"/>
      <c r="AA160" s="241"/>
    </row>
    <row r="161" spans="1:27" ht="13.5" customHeight="1" x14ac:dyDescent="0.3">
      <c r="A161" s="254"/>
      <c r="B161" s="255"/>
      <c r="C161" s="254"/>
      <c r="D161" s="254"/>
      <c r="E161" s="254"/>
      <c r="F161" s="241"/>
      <c r="G161" s="254"/>
      <c r="H161" s="254"/>
      <c r="I161" s="254"/>
      <c r="J161" s="256"/>
      <c r="K161" s="254"/>
      <c r="L161" s="257"/>
      <c r="M161" s="256"/>
      <c r="N161" s="254"/>
      <c r="O161" s="254"/>
      <c r="P161" s="254"/>
      <c r="Q161" s="254"/>
      <c r="R161" s="241"/>
      <c r="S161" s="241"/>
      <c r="T161" s="254"/>
      <c r="U161" s="254"/>
      <c r="V161" s="254"/>
      <c r="W161" s="254"/>
      <c r="X161" s="258"/>
      <c r="Y161" s="254"/>
      <c r="Z161" s="241"/>
      <c r="AA161" s="241"/>
    </row>
    <row r="162" spans="1:27" ht="13.5" customHeight="1" x14ac:dyDescent="0.3">
      <c r="A162" s="254"/>
      <c r="B162" s="255"/>
      <c r="C162" s="254"/>
      <c r="D162" s="254"/>
      <c r="E162" s="254"/>
      <c r="F162" s="241"/>
      <c r="G162" s="254"/>
      <c r="H162" s="254"/>
      <c r="I162" s="254"/>
      <c r="J162" s="256"/>
      <c r="K162" s="254"/>
      <c r="L162" s="257"/>
      <c r="M162" s="256"/>
      <c r="N162" s="254"/>
      <c r="O162" s="254"/>
      <c r="P162" s="254"/>
      <c r="Q162" s="254"/>
      <c r="R162" s="241"/>
      <c r="S162" s="241"/>
      <c r="T162" s="254"/>
      <c r="U162" s="254"/>
      <c r="V162" s="254"/>
      <c r="W162" s="254"/>
      <c r="X162" s="258"/>
      <c r="Y162" s="254"/>
      <c r="Z162" s="241"/>
      <c r="AA162" s="241"/>
    </row>
    <row r="163" spans="1:27" ht="13.5" customHeight="1" x14ac:dyDescent="0.3">
      <c r="A163" s="254"/>
      <c r="B163" s="255"/>
      <c r="C163" s="254"/>
      <c r="D163" s="254"/>
      <c r="E163" s="254"/>
      <c r="F163" s="241"/>
      <c r="G163" s="254"/>
      <c r="H163" s="254"/>
      <c r="I163" s="254"/>
      <c r="J163" s="256"/>
      <c r="K163" s="254"/>
      <c r="L163" s="257"/>
      <c r="M163" s="256"/>
      <c r="N163" s="254"/>
      <c r="O163" s="254"/>
      <c r="P163" s="254"/>
      <c r="Q163" s="254"/>
      <c r="R163" s="241"/>
      <c r="S163" s="241"/>
      <c r="T163" s="254"/>
      <c r="U163" s="254"/>
      <c r="V163" s="254"/>
      <c r="W163" s="254"/>
      <c r="X163" s="258"/>
      <c r="Y163" s="254"/>
      <c r="Z163" s="241"/>
      <c r="AA163" s="241"/>
    </row>
    <row r="164" spans="1:27" ht="13.5" customHeight="1" x14ac:dyDescent="0.3">
      <c r="A164" s="254"/>
      <c r="B164" s="255"/>
      <c r="C164" s="254"/>
      <c r="D164" s="254"/>
      <c r="E164" s="254"/>
      <c r="F164" s="241"/>
      <c r="G164" s="254"/>
      <c r="H164" s="254"/>
      <c r="I164" s="254"/>
      <c r="J164" s="256"/>
      <c r="K164" s="254"/>
      <c r="L164" s="257"/>
      <c r="M164" s="256"/>
      <c r="N164" s="254"/>
      <c r="O164" s="254"/>
      <c r="P164" s="254"/>
      <c r="Q164" s="254"/>
      <c r="R164" s="241"/>
      <c r="S164" s="241"/>
      <c r="T164" s="254"/>
      <c r="U164" s="254"/>
      <c r="V164" s="254"/>
      <c r="W164" s="254"/>
      <c r="X164" s="258"/>
      <c r="Y164" s="254"/>
      <c r="Z164" s="241"/>
      <c r="AA164" s="241"/>
    </row>
    <row r="165" spans="1:27" ht="13.5" customHeight="1" x14ac:dyDescent="0.3">
      <c r="A165" s="254"/>
      <c r="B165" s="255"/>
      <c r="C165" s="254"/>
      <c r="D165" s="254"/>
      <c r="E165" s="254"/>
      <c r="F165" s="241"/>
      <c r="G165" s="254"/>
      <c r="H165" s="254"/>
      <c r="I165" s="254"/>
      <c r="J165" s="256"/>
      <c r="K165" s="254"/>
      <c r="L165" s="257"/>
      <c r="M165" s="256"/>
      <c r="N165" s="254"/>
      <c r="O165" s="254"/>
      <c r="P165" s="254"/>
      <c r="Q165" s="254"/>
      <c r="R165" s="241"/>
      <c r="S165" s="241"/>
      <c r="T165" s="254"/>
      <c r="U165" s="254"/>
      <c r="V165" s="254"/>
      <c r="W165" s="254"/>
      <c r="X165" s="258"/>
      <c r="Y165" s="254"/>
      <c r="Z165" s="241"/>
      <c r="AA165" s="241"/>
    </row>
    <row r="166" spans="1:27" ht="13.5" customHeight="1" x14ac:dyDescent="0.3">
      <c r="A166" s="254"/>
      <c r="B166" s="255"/>
      <c r="C166" s="254"/>
      <c r="D166" s="254"/>
      <c r="E166" s="254"/>
      <c r="F166" s="241"/>
      <c r="G166" s="254"/>
      <c r="H166" s="254"/>
      <c r="I166" s="254"/>
      <c r="J166" s="256"/>
      <c r="K166" s="254"/>
      <c r="L166" s="257"/>
      <c r="M166" s="256"/>
      <c r="N166" s="254"/>
      <c r="O166" s="254"/>
      <c r="P166" s="254"/>
      <c r="Q166" s="254"/>
      <c r="R166" s="241"/>
      <c r="S166" s="241"/>
      <c r="T166" s="254"/>
      <c r="U166" s="254"/>
      <c r="V166" s="254"/>
      <c r="W166" s="254"/>
      <c r="X166" s="258"/>
      <c r="Y166" s="254"/>
      <c r="Z166" s="241"/>
      <c r="AA166" s="241"/>
    </row>
    <row r="167" spans="1:27" ht="13.5" customHeight="1" x14ac:dyDescent="0.3">
      <c r="A167" s="254"/>
      <c r="B167" s="255"/>
      <c r="C167" s="254"/>
      <c r="D167" s="254"/>
      <c r="E167" s="254"/>
      <c r="F167" s="241"/>
      <c r="G167" s="254"/>
      <c r="H167" s="254"/>
      <c r="I167" s="254"/>
      <c r="J167" s="256"/>
      <c r="K167" s="254"/>
      <c r="L167" s="257"/>
      <c r="M167" s="256"/>
      <c r="N167" s="254"/>
      <c r="O167" s="254"/>
      <c r="P167" s="254"/>
      <c r="Q167" s="254"/>
      <c r="R167" s="241"/>
      <c r="S167" s="241"/>
      <c r="T167" s="254"/>
      <c r="U167" s="254"/>
      <c r="V167" s="254"/>
      <c r="W167" s="254"/>
      <c r="X167" s="258"/>
      <c r="Y167" s="254"/>
      <c r="Z167" s="241"/>
      <c r="AA167" s="241"/>
    </row>
    <row r="168" spans="1:27" ht="13.5" customHeight="1" x14ac:dyDescent="0.3">
      <c r="A168" s="254"/>
      <c r="B168" s="255"/>
      <c r="C168" s="254"/>
      <c r="D168" s="254"/>
      <c r="E168" s="254"/>
      <c r="F168" s="241"/>
      <c r="G168" s="254"/>
      <c r="H168" s="254"/>
      <c r="I168" s="254"/>
      <c r="J168" s="256"/>
      <c r="K168" s="254"/>
      <c r="L168" s="257"/>
      <c r="M168" s="256"/>
      <c r="N168" s="254"/>
      <c r="O168" s="254"/>
      <c r="P168" s="254"/>
      <c r="Q168" s="254"/>
      <c r="R168" s="241"/>
      <c r="S168" s="241"/>
      <c r="T168" s="254"/>
      <c r="U168" s="254"/>
      <c r="V168" s="254"/>
      <c r="W168" s="254"/>
      <c r="X168" s="258"/>
      <c r="Y168" s="254"/>
      <c r="Z168" s="241"/>
      <c r="AA168" s="241"/>
    </row>
    <row r="169" spans="1:27" ht="13.5" customHeight="1" x14ac:dyDescent="0.3">
      <c r="A169" s="254"/>
      <c r="B169" s="255"/>
      <c r="C169" s="254"/>
      <c r="D169" s="254"/>
      <c r="E169" s="254"/>
      <c r="F169" s="241"/>
      <c r="G169" s="254"/>
      <c r="H169" s="254"/>
      <c r="I169" s="254"/>
      <c r="J169" s="256"/>
      <c r="K169" s="254"/>
      <c r="L169" s="257"/>
      <c r="M169" s="256"/>
      <c r="N169" s="254"/>
      <c r="O169" s="254"/>
      <c r="P169" s="254"/>
      <c r="Q169" s="254"/>
      <c r="R169" s="241"/>
      <c r="S169" s="241"/>
      <c r="T169" s="254"/>
      <c r="U169" s="254"/>
      <c r="V169" s="254"/>
      <c r="W169" s="254"/>
      <c r="X169" s="258"/>
      <c r="Y169" s="254"/>
      <c r="Z169" s="241"/>
      <c r="AA169" s="241"/>
    </row>
    <row r="170" spans="1:27" ht="13.5" customHeight="1" x14ac:dyDescent="0.3">
      <c r="A170" s="254"/>
      <c r="B170" s="255"/>
      <c r="C170" s="254"/>
      <c r="D170" s="254"/>
      <c r="E170" s="254"/>
      <c r="F170" s="241"/>
      <c r="G170" s="254"/>
      <c r="H170" s="254"/>
      <c r="I170" s="254"/>
      <c r="J170" s="256"/>
      <c r="K170" s="254"/>
      <c r="L170" s="257"/>
      <c r="M170" s="256"/>
      <c r="N170" s="254"/>
      <c r="O170" s="254"/>
      <c r="P170" s="254"/>
      <c r="Q170" s="254"/>
      <c r="R170" s="241"/>
      <c r="S170" s="241"/>
      <c r="T170" s="254"/>
      <c r="U170" s="254"/>
      <c r="V170" s="254"/>
      <c r="W170" s="254"/>
      <c r="X170" s="258"/>
      <c r="Y170" s="254"/>
      <c r="Z170" s="241"/>
      <c r="AA170" s="241"/>
    </row>
    <row r="171" spans="1:27" ht="13.5" customHeight="1" x14ac:dyDescent="0.3">
      <c r="A171" s="254"/>
      <c r="B171" s="255"/>
      <c r="C171" s="254"/>
      <c r="D171" s="254"/>
      <c r="E171" s="254"/>
      <c r="F171" s="241"/>
      <c r="G171" s="254"/>
      <c r="H171" s="254"/>
      <c r="I171" s="254"/>
      <c r="J171" s="256"/>
      <c r="K171" s="254"/>
      <c r="L171" s="257"/>
      <c r="M171" s="256"/>
      <c r="N171" s="254"/>
      <c r="O171" s="254"/>
      <c r="P171" s="254"/>
      <c r="Q171" s="254"/>
      <c r="R171" s="241"/>
      <c r="S171" s="241"/>
      <c r="T171" s="254"/>
      <c r="U171" s="254"/>
      <c r="V171" s="254"/>
      <c r="W171" s="254"/>
      <c r="X171" s="258"/>
      <c r="Y171" s="254"/>
      <c r="Z171" s="241"/>
      <c r="AA171" s="241"/>
    </row>
    <row r="172" spans="1:27" ht="13.5" customHeight="1" x14ac:dyDescent="0.3">
      <c r="A172" s="254"/>
      <c r="B172" s="255"/>
      <c r="C172" s="254"/>
      <c r="D172" s="254"/>
      <c r="E172" s="254"/>
      <c r="F172" s="241"/>
      <c r="G172" s="254"/>
      <c r="H172" s="254"/>
      <c r="I172" s="254"/>
      <c r="J172" s="256"/>
      <c r="K172" s="254"/>
      <c r="L172" s="257"/>
      <c r="M172" s="256"/>
      <c r="N172" s="254"/>
      <c r="O172" s="254"/>
      <c r="P172" s="254"/>
      <c r="Q172" s="254"/>
      <c r="R172" s="241"/>
      <c r="S172" s="241"/>
      <c r="T172" s="254"/>
      <c r="U172" s="254"/>
      <c r="V172" s="254"/>
      <c r="W172" s="254"/>
      <c r="X172" s="258"/>
      <c r="Y172" s="254"/>
      <c r="Z172" s="241"/>
      <c r="AA172" s="241"/>
    </row>
    <row r="173" spans="1:27" ht="13.5" customHeight="1" x14ac:dyDescent="0.3">
      <c r="A173" s="254"/>
      <c r="B173" s="255"/>
      <c r="C173" s="254"/>
      <c r="D173" s="254"/>
      <c r="E173" s="254"/>
      <c r="F173" s="241"/>
      <c r="G173" s="254"/>
      <c r="H173" s="254"/>
      <c r="I173" s="254"/>
      <c r="J173" s="256"/>
      <c r="K173" s="254"/>
      <c r="L173" s="257"/>
      <c r="M173" s="256"/>
      <c r="N173" s="254"/>
      <c r="O173" s="254"/>
      <c r="P173" s="254"/>
      <c r="Q173" s="254"/>
      <c r="R173" s="241"/>
      <c r="S173" s="241"/>
      <c r="T173" s="254"/>
      <c r="U173" s="254"/>
      <c r="V173" s="254"/>
      <c r="W173" s="254"/>
      <c r="X173" s="258"/>
      <c r="Y173" s="254"/>
      <c r="Z173" s="241"/>
      <c r="AA173" s="241"/>
    </row>
    <row r="174" spans="1:27" ht="13.5" customHeight="1" x14ac:dyDescent="0.3">
      <c r="A174" s="254"/>
      <c r="B174" s="255"/>
      <c r="C174" s="254"/>
      <c r="D174" s="254"/>
      <c r="E174" s="254"/>
      <c r="F174" s="241"/>
      <c r="G174" s="254"/>
      <c r="H174" s="254"/>
      <c r="I174" s="254"/>
      <c r="J174" s="256"/>
      <c r="K174" s="254"/>
      <c r="L174" s="257"/>
      <c r="M174" s="256"/>
      <c r="N174" s="254"/>
      <c r="O174" s="254"/>
      <c r="P174" s="254"/>
      <c r="Q174" s="254"/>
      <c r="R174" s="241"/>
      <c r="S174" s="241"/>
      <c r="T174" s="254"/>
      <c r="U174" s="254"/>
      <c r="V174" s="254"/>
      <c r="W174" s="254"/>
      <c r="X174" s="258"/>
      <c r="Y174" s="254"/>
      <c r="Z174" s="241"/>
      <c r="AA174" s="241"/>
    </row>
    <row r="175" spans="1:27" ht="13.5" customHeight="1" x14ac:dyDescent="0.3">
      <c r="A175" s="254"/>
      <c r="B175" s="255"/>
      <c r="C175" s="254"/>
      <c r="D175" s="254"/>
      <c r="E175" s="254"/>
      <c r="F175" s="241"/>
      <c r="G175" s="254"/>
      <c r="H175" s="254"/>
      <c r="I175" s="254"/>
      <c r="J175" s="256"/>
      <c r="K175" s="254"/>
      <c r="L175" s="257"/>
      <c r="M175" s="256"/>
      <c r="N175" s="254"/>
      <c r="O175" s="254"/>
      <c r="P175" s="254"/>
      <c r="Q175" s="254"/>
      <c r="R175" s="241"/>
      <c r="S175" s="241"/>
      <c r="T175" s="254"/>
      <c r="U175" s="254"/>
      <c r="V175" s="254"/>
      <c r="W175" s="254"/>
      <c r="X175" s="258"/>
      <c r="Y175" s="254"/>
      <c r="Z175" s="241"/>
      <c r="AA175" s="241"/>
    </row>
    <row r="176" spans="1:27" ht="13.5" customHeight="1" x14ac:dyDescent="0.3">
      <c r="A176" s="254"/>
      <c r="B176" s="255"/>
      <c r="C176" s="254"/>
      <c r="D176" s="254"/>
      <c r="E176" s="254"/>
      <c r="F176" s="241"/>
      <c r="G176" s="254"/>
      <c r="H176" s="254"/>
      <c r="I176" s="254"/>
      <c r="J176" s="256"/>
      <c r="K176" s="254"/>
      <c r="L176" s="257"/>
      <c r="M176" s="256"/>
      <c r="N176" s="254"/>
      <c r="O176" s="254"/>
      <c r="P176" s="254"/>
      <c r="Q176" s="254"/>
      <c r="R176" s="241"/>
      <c r="S176" s="241"/>
      <c r="T176" s="254"/>
      <c r="U176" s="254"/>
      <c r="V176" s="254"/>
      <c r="W176" s="254"/>
      <c r="X176" s="258"/>
      <c r="Y176" s="254"/>
      <c r="Z176" s="241"/>
      <c r="AA176" s="241"/>
    </row>
    <row r="177" spans="1:27" ht="13.5" customHeight="1" x14ac:dyDescent="0.3">
      <c r="A177" s="254"/>
      <c r="B177" s="255"/>
      <c r="C177" s="254"/>
      <c r="D177" s="254"/>
      <c r="E177" s="254"/>
      <c r="F177" s="241"/>
      <c r="G177" s="254"/>
      <c r="H177" s="254"/>
      <c r="I177" s="254"/>
      <c r="J177" s="256"/>
      <c r="K177" s="254"/>
      <c r="L177" s="257"/>
      <c r="M177" s="256"/>
      <c r="N177" s="254"/>
      <c r="O177" s="254"/>
      <c r="P177" s="254"/>
      <c r="Q177" s="254"/>
      <c r="R177" s="241"/>
      <c r="S177" s="241"/>
      <c r="T177" s="254"/>
      <c r="U177" s="254"/>
      <c r="V177" s="254"/>
      <c r="W177" s="254"/>
      <c r="X177" s="258"/>
      <c r="Y177" s="254"/>
      <c r="Z177" s="241"/>
      <c r="AA177" s="241"/>
    </row>
    <row r="178" spans="1:27" ht="13.5" customHeight="1" x14ac:dyDescent="0.3">
      <c r="A178" s="254"/>
      <c r="B178" s="255"/>
      <c r="C178" s="254"/>
      <c r="D178" s="254"/>
      <c r="E178" s="254"/>
      <c r="F178" s="241"/>
      <c r="G178" s="254"/>
      <c r="H178" s="254"/>
      <c r="I178" s="254"/>
      <c r="J178" s="256"/>
      <c r="K178" s="254"/>
      <c r="L178" s="257"/>
      <c r="M178" s="256"/>
      <c r="N178" s="254"/>
      <c r="O178" s="254"/>
      <c r="P178" s="254"/>
      <c r="Q178" s="254"/>
      <c r="R178" s="241"/>
      <c r="S178" s="241"/>
      <c r="T178" s="254"/>
      <c r="U178" s="254"/>
      <c r="V178" s="254"/>
      <c r="W178" s="254"/>
      <c r="X178" s="258"/>
      <c r="Y178" s="254"/>
      <c r="Z178" s="241"/>
      <c r="AA178" s="241"/>
    </row>
    <row r="179" spans="1:27" ht="13.5" customHeight="1" x14ac:dyDescent="0.3">
      <c r="A179" s="254"/>
      <c r="B179" s="255"/>
      <c r="C179" s="254"/>
      <c r="D179" s="254"/>
      <c r="E179" s="254"/>
      <c r="F179" s="241"/>
      <c r="G179" s="254"/>
      <c r="H179" s="254"/>
      <c r="I179" s="254"/>
      <c r="J179" s="256"/>
      <c r="K179" s="254"/>
      <c r="L179" s="257"/>
      <c r="M179" s="256"/>
      <c r="N179" s="254"/>
      <c r="O179" s="254"/>
      <c r="P179" s="254"/>
      <c r="Q179" s="254"/>
      <c r="R179" s="241"/>
      <c r="S179" s="241"/>
      <c r="T179" s="254"/>
      <c r="U179" s="254"/>
      <c r="V179" s="254"/>
      <c r="W179" s="254"/>
      <c r="X179" s="258"/>
      <c r="Y179" s="254"/>
      <c r="Z179" s="241"/>
      <c r="AA179" s="241"/>
    </row>
    <row r="180" spans="1:27" ht="13.5" customHeight="1" x14ac:dyDescent="0.3">
      <c r="A180" s="254"/>
      <c r="B180" s="255"/>
      <c r="C180" s="254"/>
      <c r="D180" s="254"/>
      <c r="E180" s="254"/>
      <c r="F180" s="241"/>
      <c r="G180" s="254"/>
      <c r="H180" s="254"/>
      <c r="I180" s="254"/>
      <c r="J180" s="256"/>
      <c r="K180" s="254"/>
      <c r="L180" s="257"/>
      <c r="M180" s="256"/>
      <c r="N180" s="254"/>
      <c r="O180" s="254"/>
      <c r="P180" s="254"/>
      <c r="Q180" s="254"/>
      <c r="R180" s="241"/>
      <c r="S180" s="241"/>
      <c r="T180" s="254"/>
      <c r="U180" s="254"/>
      <c r="V180" s="254"/>
      <c r="W180" s="254"/>
      <c r="X180" s="258"/>
      <c r="Y180" s="254"/>
      <c r="Z180" s="241"/>
      <c r="AA180" s="241"/>
    </row>
    <row r="181" spans="1:27" ht="13.5" customHeight="1" x14ac:dyDescent="0.3">
      <c r="A181" s="254"/>
      <c r="B181" s="255"/>
      <c r="C181" s="254"/>
      <c r="D181" s="254"/>
      <c r="E181" s="254"/>
      <c r="F181" s="241"/>
      <c r="G181" s="254"/>
      <c r="H181" s="254"/>
      <c r="I181" s="254"/>
      <c r="J181" s="256"/>
      <c r="K181" s="254"/>
      <c r="L181" s="257"/>
      <c r="M181" s="256"/>
      <c r="N181" s="254"/>
      <c r="O181" s="254"/>
      <c r="P181" s="254"/>
      <c r="Q181" s="254"/>
      <c r="R181" s="241"/>
      <c r="S181" s="241"/>
      <c r="T181" s="254"/>
      <c r="U181" s="254"/>
      <c r="V181" s="254"/>
      <c r="W181" s="254"/>
      <c r="X181" s="258"/>
      <c r="Y181" s="254"/>
      <c r="Z181" s="241"/>
      <c r="AA181" s="241"/>
    </row>
    <row r="182" spans="1:27" ht="13.5" customHeight="1" x14ac:dyDescent="0.3">
      <c r="A182" s="254"/>
      <c r="B182" s="255"/>
      <c r="C182" s="254"/>
      <c r="D182" s="254"/>
      <c r="E182" s="254"/>
      <c r="F182" s="241"/>
      <c r="G182" s="254"/>
      <c r="H182" s="254"/>
      <c r="I182" s="254"/>
      <c r="J182" s="256"/>
      <c r="K182" s="254"/>
      <c r="L182" s="257"/>
      <c r="M182" s="256"/>
      <c r="N182" s="254"/>
      <c r="O182" s="254"/>
      <c r="P182" s="254"/>
      <c r="Q182" s="254"/>
      <c r="R182" s="241"/>
      <c r="S182" s="241"/>
      <c r="T182" s="254"/>
      <c r="U182" s="254"/>
      <c r="V182" s="254"/>
      <c r="W182" s="254"/>
      <c r="X182" s="258"/>
      <c r="Y182" s="254"/>
      <c r="Z182" s="241"/>
      <c r="AA182" s="241"/>
    </row>
    <row r="183" spans="1:27" ht="13.5" customHeight="1" x14ac:dyDescent="0.3">
      <c r="A183" s="254"/>
      <c r="B183" s="255"/>
      <c r="C183" s="254"/>
      <c r="D183" s="254"/>
      <c r="E183" s="254"/>
      <c r="F183" s="241"/>
      <c r="G183" s="254"/>
      <c r="H183" s="254"/>
      <c r="I183" s="254"/>
      <c r="J183" s="256"/>
      <c r="K183" s="254"/>
      <c r="L183" s="257"/>
      <c r="M183" s="256"/>
      <c r="N183" s="254"/>
      <c r="O183" s="254"/>
      <c r="P183" s="254"/>
      <c r="Q183" s="254"/>
      <c r="R183" s="241"/>
      <c r="S183" s="241"/>
      <c r="T183" s="254"/>
      <c r="U183" s="254"/>
      <c r="V183" s="254"/>
      <c r="W183" s="254"/>
      <c r="X183" s="258"/>
      <c r="Y183" s="254"/>
      <c r="Z183" s="241"/>
      <c r="AA183" s="241"/>
    </row>
    <row r="184" spans="1:27" ht="13.5" customHeight="1" x14ac:dyDescent="0.3">
      <c r="A184" s="254"/>
      <c r="B184" s="255"/>
      <c r="C184" s="254"/>
      <c r="D184" s="254"/>
      <c r="E184" s="254"/>
      <c r="F184" s="241"/>
      <c r="G184" s="254"/>
      <c r="H184" s="254"/>
      <c r="I184" s="254"/>
      <c r="J184" s="256"/>
      <c r="K184" s="254"/>
      <c r="L184" s="257"/>
      <c r="M184" s="256"/>
      <c r="N184" s="254"/>
      <c r="O184" s="254"/>
      <c r="P184" s="254"/>
      <c r="Q184" s="254"/>
      <c r="R184" s="241"/>
      <c r="S184" s="241"/>
      <c r="T184" s="254"/>
      <c r="U184" s="254"/>
      <c r="V184" s="254"/>
      <c r="W184" s="254"/>
      <c r="X184" s="258"/>
      <c r="Y184" s="254"/>
      <c r="Z184" s="241"/>
      <c r="AA184" s="241"/>
    </row>
    <row r="185" spans="1:27" ht="13.5" customHeight="1" x14ac:dyDescent="0.3">
      <c r="A185" s="254"/>
      <c r="B185" s="255"/>
      <c r="C185" s="254"/>
      <c r="D185" s="254"/>
      <c r="E185" s="254"/>
      <c r="F185" s="241"/>
      <c r="G185" s="254"/>
      <c r="H185" s="254"/>
      <c r="I185" s="254"/>
      <c r="J185" s="256"/>
      <c r="K185" s="254"/>
      <c r="L185" s="257"/>
      <c r="M185" s="256"/>
      <c r="N185" s="254"/>
      <c r="O185" s="254"/>
      <c r="P185" s="254"/>
      <c r="Q185" s="254"/>
      <c r="R185" s="241"/>
      <c r="S185" s="241"/>
      <c r="T185" s="254"/>
      <c r="U185" s="254"/>
      <c r="V185" s="254"/>
      <c r="W185" s="254"/>
      <c r="X185" s="258"/>
      <c r="Y185" s="254"/>
      <c r="Z185" s="241"/>
      <c r="AA185" s="241"/>
    </row>
    <row r="186" spans="1:27" ht="13.5" customHeight="1" x14ac:dyDescent="0.3">
      <c r="A186" s="254"/>
      <c r="B186" s="255"/>
      <c r="C186" s="254"/>
      <c r="D186" s="254"/>
      <c r="E186" s="254"/>
      <c r="F186" s="241"/>
      <c r="G186" s="254"/>
      <c r="H186" s="254"/>
      <c r="I186" s="254"/>
      <c r="J186" s="256"/>
      <c r="K186" s="254"/>
      <c r="L186" s="257"/>
      <c r="M186" s="256"/>
      <c r="N186" s="254"/>
      <c r="O186" s="254"/>
      <c r="P186" s="254"/>
      <c r="Q186" s="254"/>
      <c r="R186" s="241"/>
      <c r="S186" s="241"/>
      <c r="T186" s="254"/>
      <c r="U186" s="254"/>
      <c r="V186" s="254"/>
      <c r="W186" s="254"/>
      <c r="X186" s="258"/>
      <c r="Y186" s="254"/>
      <c r="Z186" s="241"/>
      <c r="AA186" s="241"/>
    </row>
    <row r="187" spans="1:27" ht="13.5" customHeight="1" x14ac:dyDescent="0.3">
      <c r="A187" s="254"/>
      <c r="B187" s="255"/>
      <c r="C187" s="254"/>
      <c r="D187" s="254"/>
      <c r="E187" s="254"/>
      <c r="F187" s="241"/>
      <c r="G187" s="254"/>
      <c r="H187" s="254"/>
      <c r="I187" s="254"/>
      <c r="J187" s="256"/>
      <c r="K187" s="254"/>
      <c r="L187" s="257"/>
      <c r="M187" s="256"/>
      <c r="N187" s="254"/>
      <c r="O187" s="254"/>
      <c r="P187" s="254"/>
      <c r="Q187" s="254"/>
      <c r="R187" s="241"/>
      <c r="S187" s="241"/>
      <c r="T187" s="254"/>
      <c r="U187" s="254"/>
      <c r="V187" s="254"/>
      <c r="W187" s="254"/>
      <c r="X187" s="258"/>
      <c r="Y187" s="254"/>
      <c r="Z187" s="241"/>
      <c r="AA187" s="241"/>
    </row>
    <row r="188" spans="1:27" ht="13.5" customHeight="1" x14ac:dyDescent="0.3">
      <c r="A188" s="254"/>
      <c r="B188" s="255"/>
      <c r="C188" s="254"/>
      <c r="D188" s="254"/>
      <c r="E188" s="254"/>
      <c r="F188" s="241"/>
      <c r="G188" s="254"/>
      <c r="H188" s="254"/>
      <c r="I188" s="254"/>
      <c r="J188" s="256"/>
      <c r="K188" s="254"/>
      <c r="L188" s="257"/>
      <c r="M188" s="256"/>
      <c r="N188" s="254"/>
      <c r="O188" s="254"/>
      <c r="P188" s="254"/>
      <c r="Q188" s="254"/>
      <c r="R188" s="241"/>
      <c r="S188" s="241"/>
      <c r="T188" s="254"/>
      <c r="U188" s="254"/>
      <c r="V188" s="254"/>
      <c r="W188" s="254"/>
      <c r="X188" s="258"/>
      <c r="Y188" s="254"/>
      <c r="Z188" s="241"/>
      <c r="AA188" s="241"/>
    </row>
    <row r="189" spans="1:27" ht="13.5" customHeight="1" x14ac:dyDescent="0.3">
      <c r="A189" s="254"/>
      <c r="B189" s="255"/>
      <c r="C189" s="254"/>
      <c r="D189" s="254"/>
      <c r="E189" s="254"/>
      <c r="F189" s="241"/>
      <c r="G189" s="254"/>
      <c r="H189" s="254"/>
      <c r="I189" s="254"/>
      <c r="J189" s="256"/>
      <c r="K189" s="254"/>
      <c r="L189" s="257"/>
      <c r="M189" s="256"/>
      <c r="N189" s="254"/>
      <c r="O189" s="254"/>
      <c r="P189" s="254"/>
      <c r="Q189" s="254"/>
      <c r="R189" s="241"/>
      <c r="S189" s="241"/>
      <c r="T189" s="254"/>
      <c r="U189" s="254"/>
      <c r="V189" s="254"/>
      <c r="W189" s="254"/>
      <c r="X189" s="258"/>
      <c r="Y189" s="254"/>
      <c r="Z189" s="241"/>
      <c r="AA189" s="241"/>
    </row>
    <row r="190" spans="1:27" ht="13.5" customHeight="1" x14ac:dyDescent="0.3">
      <c r="A190" s="254"/>
      <c r="B190" s="255"/>
      <c r="C190" s="254"/>
      <c r="D190" s="254"/>
      <c r="E190" s="254"/>
      <c r="F190" s="241"/>
      <c r="G190" s="254"/>
      <c r="H190" s="254"/>
      <c r="I190" s="254"/>
      <c r="J190" s="256"/>
      <c r="K190" s="254"/>
      <c r="L190" s="257"/>
      <c r="M190" s="256"/>
      <c r="N190" s="254"/>
      <c r="O190" s="254"/>
      <c r="P190" s="254"/>
      <c r="Q190" s="254"/>
      <c r="R190" s="241"/>
      <c r="S190" s="241"/>
      <c r="T190" s="254"/>
      <c r="U190" s="254"/>
      <c r="V190" s="254"/>
      <c r="W190" s="254"/>
      <c r="X190" s="258"/>
      <c r="Y190" s="254"/>
      <c r="Z190" s="241"/>
      <c r="AA190" s="241"/>
    </row>
    <row r="191" spans="1:27" ht="13.5" customHeight="1" x14ac:dyDescent="0.3">
      <c r="A191" s="254"/>
      <c r="B191" s="255"/>
      <c r="C191" s="254"/>
      <c r="D191" s="254"/>
      <c r="E191" s="254"/>
      <c r="F191" s="241"/>
      <c r="G191" s="254"/>
      <c r="H191" s="254"/>
      <c r="I191" s="254"/>
      <c r="J191" s="256"/>
      <c r="K191" s="254"/>
      <c r="L191" s="257"/>
      <c r="M191" s="256"/>
      <c r="N191" s="254"/>
      <c r="O191" s="254"/>
      <c r="P191" s="254"/>
      <c r="Q191" s="254"/>
      <c r="R191" s="241"/>
      <c r="S191" s="241"/>
      <c r="T191" s="254"/>
      <c r="U191" s="254"/>
      <c r="V191" s="254"/>
      <c r="W191" s="254"/>
      <c r="X191" s="258"/>
      <c r="Y191" s="254"/>
      <c r="Z191" s="241"/>
      <c r="AA191" s="241"/>
    </row>
    <row r="192" spans="1:27" ht="13.5" customHeight="1" x14ac:dyDescent="0.3">
      <c r="A192" s="254"/>
      <c r="B192" s="255"/>
      <c r="C192" s="254"/>
      <c r="D192" s="254"/>
      <c r="E192" s="254"/>
      <c r="F192" s="241"/>
      <c r="G192" s="254"/>
      <c r="H192" s="254"/>
      <c r="I192" s="254"/>
      <c r="J192" s="256"/>
      <c r="K192" s="254"/>
      <c r="L192" s="257"/>
      <c r="M192" s="256"/>
      <c r="N192" s="254"/>
      <c r="O192" s="254"/>
      <c r="P192" s="254"/>
      <c r="Q192" s="254"/>
      <c r="R192" s="241"/>
      <c r="S192" s="241"/>
      <c r="T192" s="254"/>
      <c r="U192" s="254"/>
      <c r="V192" s="254"/>
      <c r="W192" s="254"/>
      <c r="X192" s="258"/>
      <c r="Y192" s="254"/>
      <c r="Z192" s="241"/>
      <c r="AA192" s="241"/>
    </row>
    <row r="193" spans="1:27" ht="13.5" customHeight="1" x14ac:dyDescent="0.3">
      <c r="A193" s="254"/>
      <c r="B193" s="255"/>
      <c r="C193" s="254"/>
      <c r="D193" s="254"/>
      <c r="E193" s="254"/>
      <c r="F193" s="241"/>
      <c r="G193" s="254"/>
      <c r="H193" s="254"/>
      <c r="I193" s="254"/>
      <c r="J193" s="256"/>
      <c r="K193" s="254"/>
      <c r="L193" s="257"/>
      <c r="M193" s="256"/>
      <c r="N193" s="254"/>
      <c r="O193" s="254"/>
      <c r="P193" s="254"/>
      <c r="Q193" s="254"/>
      <c r="R193" s="241"/>
      <c r="S193" s="241"/>
      <c r="T193" s="254"/>
      <c r="U193" s="254"/>
      <c r="V193" s="254"/>
      <c r="W193" s="254"/>
      <c r="X193" s="258"/>
      <c r="Y193" s="254"/>
      <c r="Z193" s="241"/>
      <c r="AA193" s="241"/>
    </row>
    <row r="194" spans="1:27" ht="13.5" customHeight="1" x14ac:dyDescent="0.3">
      <c r="A194" s="254"/>
      <c r="B194" s="255"/>
      <c r="C194" s="254"/>
      <c r="D194" s="254"/>
      <c r="E194" s="254"/>
      <c r="F194" s="241"/>
      <c r="G194" s="254"/>
      <c r="H194" s="254"/>
      <c r="I194" s="254"/>
      <c r="J194" s="256"/>
      <c r="K194" s="254"/>
      <c r="L194" s="257"/>
      <c r="M194" s="256"/>
      <c r="N194" s="254"/>
      <c r="O194" s="254"/>
      <c r="P194" s="254"/>
      <c r="Q194" s="254"/>
      <c r="R194" s="241"/>
      <c r="S194" s="241"/>
      <c r="T194" s="254"/>
      <c r="U194" s="254"/>
      <c r="V194" s="254"/>
      <c r="W194" s="254"/>
      <c r="X194" s="258"/>
      <c r="Y194" s="254"/>
      <c r="Z194" s="241"/>
      <c r="AA194" s="241"/>
    </row>
    <row r="195" spans="1:27" ht="13.5" customHeight="1" x14ac:dyDescent="0.3">
      <c r="A195" s="254"/>
      <c r="B195" s="255"/>
      <c r="C195" s="254"/>
      <c r="D195" s="254"/>
      <c r="E195" s="254"/>
      <c r="F195" s="241"/>
      <c r="G195" s="254"/>
      <c r="H195" s="254"/>
      <c r="I195" s="254"/>
      <c r="J195" s="256"/>
      <c r="K195" s="254"/>
      <c r="L195" s="257"/>
      <c r="M195" s="256"/>
      <c r="N195" s="254"/>
      <c r="O195" s="254"/>
      <c r="P195" s="254"/>
      <c r="Q195" s="254"/>
      <c r="R195" s="241"/>
      <c r="S195" s="241"/>
      <c r="T195" s="254"/>
      <c r="U195" s="254"/>
      <c r="V195" s="254"/>
      <c r="W195" s="254"/>
      <c r="X195" s="258"/>
      <c r="Y195" s="254"/>
      <c r="Z195" s="241"/>
      <c r="AA195" s="241"/>
    </row>
    <row r="196" spans="1:27" ht="13.5" customHeight="1" x14ac:dyDescent="0.3">
      <c r="A196" s="254"/>
      <c r="B196" s="255"/>
      <c r="C196" s="254"/>
      <c r="D196" s="254"/>
      <c r="E196" s="254"/>
      <c r="F196" s="241"/>
      <c r="G196" s="254"/>
      <c r="H196" s="254"/>
      <c r="I196" s="254"/>
      <c r="J196" s="256"/>
      <c r="K196" s="254"/>
      <c r="L196" s="257"/>
      <c r="M196" s="256"/>
      <c r="N196" s="254"/>
      <c r="O196" s="254"/>
      <c r="P196" s="254"/>
      <c r="Q196" s="254"/>
      <c r="R196" s="241"/>
      <c r="S196" s="241"/>
      <c r="T196" s="254"/>
      <c r="U196" s="254"/>
      <c r="V196" s="254"/>
      <c r="W196" s="254"/>
      <c r="X196" s="258"/>
      <c r="Y196" s="254"/>
      <c r="Z196" s="241"/>
      <c r="AA196" s="241"/>
    </row>
    <row r="197" spans="1:27" ht="13.5" customHeight="1" x14ac:dyDescent="0.3">
      <c r="A197" s="254"/>
      <c r="B197" s="255"/>
      <c r="C197" s="254"/>
      <c r="D197" s="254"/>
      <c r="E197" s="254"/>
      <c r="F197" s="241"/>
      <c r="G197" s="254"/>
      <c r="H197" s="254"/>
      <c r="I197" s="254"/>
      <c r="J197" s="256"/>
      <c r="K197" s="254"/>
      <c r="L197" s="257"/>
      <c r="M197" s="256"/>
      <c r="N197" s="254"/>
      <c r="O197" s="254"/>
      <c r="P197" s="254"/>
      <c r="Q197" s="254"/>
      <c r="R197" s="241"/>
      <c r="S197" s="241"/>
      <c r="T197" s="254"/>
      <c r="U197" s="254"/>
      <c r="V197" s="254"/>
      <c r="W197" s="254"/>
      <c r="X197" s="258"/>
      <c r="Y197" s="254"/>
      <c r="Z197" s="241"/>
      <c r="AA197" s="241"/>
    </row>
    <row r="198" spans="1:27" ht="13.5" customHeight="1" x14ac:dyDescent="0.3">
      <c r="A198" s="254"/>
      <c r="B198" s="255"/>
      <c r="C198" s="254"/>
      <c r="D198" s="254"/>
      <c r="E198" s="254"/>
      <c r="F198" s="241"/>
      <c r="G198" s="254"/>
      <c r="H198" s="254"/>
      <c r="I198" s="254"/>
      <c r="J198" s="256"/>
      <c r="K198" s="254"/>
      <c r="L198" s="257"/>
      <c r="M198" s="256"/>
      <c r="N198" s="254"/>
      <c r="O198" s="254"/>
      <c r="P198" s="254"/>
      <c r="Q198" s="254"/>
      <c r="R198" s="241"/>
      <c r="S198" s="241"/>
      <c r="T198" s="254"/>
      <c r="U198" s="254"/>
      <c r="V198" s="254"/>
      <c r="W198" s="254"/>
      <c r="X198" s="258"/>
      <c r="Y198" s="254"/>
      <c r="Z198" s="241"/>
      <c r="AA198" s="241"/>
    </row>
    <row r="199" spans="1:27" ht="13.5" customHeight="1" x14ac:dyDescent="0.3">
      <c r="A199" s="254"/>
      <c r="B199" s="255"/>
      <c r="C199" s="254"/>
      <c r="D199" s="254"/>
      <c r="E199" s="254"/>
      <c r="F199" s="241"/>
      <c r="G199" s="254"/>
      <c r="H199" s="254"/>
      <c r="I199" s="254"/>
      <c r="J199" s="256"/>
      <c r="K199" s="254"/>
      <c r="L199" s="257"/>
      <c r="M199" s="256"/>
      <c r="N199" s="254"/>
      <c r="O199" s="254"/>
      <c r="P199" s="254"/>
      <c r="Q199" s="254"/>
      <c r="R199" s="241"/>
      <c r="S199" s="241"/>
      <c r="T199" s="254"/>
      <c r="U199" s="254"/>
      <c r="V199" s="254"/>
      <c r="W199" s="254"/>
      <c r="X199" s="258"/>
      <c r="Y199" s="254"/>
      <c r="Z199" s="241"/>
      <c r="AA199" s="241"/>
    </row>
    <row r="200" spans="1:27" ht="13.5" customHeight="1" x14ac:dyDescent="0.3">
      <c r="A200" s="254"/>
      <c r="B200" s="255"/>
      <c r="C200" s="254"/>
      <c r="D200" s="254"/>
      <c r="E200" s="254"/>
      <c r="F200" s="241"/>
      <c r="G200" s="254"/>
      <c r="H200" s="254"/>
      <c r="I200" s="254"/>
      <c r="J200" s="256"/>
      <c r="K200" s="254"/>
      <c r="L200" s="257"/>
      <c r="M200" s="256"/>
      <c r="N200" s="254"/>
      <c r="O200" s="254"/>
      <c r="P200" s="254"/>
      <c r="Q200" s="254"/>
      <c r="R200" s="241"/>
      <c r="S200" s="241"/>
      <c r="T200" s="254"/>
      <c r="U200" s="254"/>
      <c r="V200" s="254"/>
      <c r="W200" s="254"/>
      <c r="X200" s="258"/>
      <c r="Y200" s="254"/>
      <c r="Z200" s="241"/>
      <c r="AA200" s="241"/>
    </row>
    <row r="201" spans="1:27" ht="13.5" customHeight="1" x14ac:dyDescent="0.3">
      <c r="A201" s="254"/>
      <c r="B201" s="255"/>
      <c r="C201" s="254"/>
      <c r="D201" s="254"/>
      <c r="E201" s="254"/>
      <c r="F201" s="241"/>
      <c r="G201" s="254"/>
      <c r="H201" s="254"/>
      <c r="I201" s="254"/>
      <c r="J201" s="256"/>
      <c r="K201" s="254"/>
      <c r="L201" s="257"/>
      <c r="M201" s="256"/>
      <c r="N201" s="254"/>
      <c r="O201" s="254"/>
      <c r="P201" s="254"/>
      <c r="Q201" s="254"/>
      <c r="R201" s="241"/>
      <c r="S201" s="241"/>
      <c r="T201" s="254"/>
      <c r="U201" s="254"/>
      <c r="V201" s="254"/>
      <c r="W201" s="254"/>
      <c r="X201" s="258"/>
      <c r="Y201" s="254"/>
      <c r="Z201" s="241"/>
      <c r="AA201" s="241"/>
    </row>
    <row r="202" spans="1:27" ht="13.5" customHeight="1" x14ac:dyDescent="0.3">
      <c r="A202" s="254"/>
      <c r="B202" s="255"/>
      <c r="C202" s="254"/>
      <c r="D202" s="254"/>
      <c r="E202" s="254"/>
      <c r="F202" s="241"/>
      <c r="G202" s="254"/>
      <c r="H202" s="254"/>
      <c r="I202" s="254"/>
      <c r="J202" s="256"/>
      <c r="K202" s="254"/>
      <c r="L202" s="257"/>
      <c r="M202" s="256"/>
      <c r="N202" s="254"/>
      <c r="O202" s="254"/>
      <c r="P202" s="254"/>
      <c r="Q202" s="254"/>
      <c r="R202" s="241"/>
      <c r="S202" s="241"/>
      <c r="T202" s="254"/>
      <c r="U202" s="254"/>
      <c r="V202" s="254"/>
      <c r="W202" s="254"/>
      <c r="X202" s="258"/>
      <c r="Y202" s="254"/>
      <c r="Z202" s="241"/>
      <c r="AA202" s="241"/>
    </row>
    <row r="203" spans="1:27" ht="13.5" customHeight="1" x14ac:dyDescent="0.3">
      <c r="A203" s="254"/>
      <c r="B203" s="255"/>
      <c r="C203" s="254"/>
      <c r="D203" s="254"/>
      <c r="E203" s="254"/>
      <c r="F203" s="241"/>
      <c r="G203" s="254"/>
      <c r="H203" s="254"/>
      <c r="I203" s="254"/>
      <c r="J203" s="256"/>
      <c r="K203" s="254"/>
      <c r="L203" s="257"/>
      <c r="M203" s="256"/>
      <c r="N203" s="254"/>
      <c r="O203" s="254"/>
      <c r="P203" s="254"/>
      <c r="Q203" s="254"/>
      <c r="R203" s="241"/>
      <c r="S203" s="241"/>
      <c r="T203" s="254"/>
      <c r="U203" s="254"/>
      <c r="V203" s="254"/>
      <c r="W203" s="254"/>
      <c r="X203" s="258"/>
      <c r="Y203" s="254"/>
      <c r="Z203" s="241"/>
      <c r="AA203" s="241"/>
    </row>
    <row r="204" spans="1:27" ht="13.5" customHeight="1" x14ac:dyDescent="0.3">
      <c r="A204" s="254"/>
      <c r="B204" s="255"/>
      <c r="C204" s="254"/>
      <c r="D204" s="254"/>
      <c r="E204" s="254"/>
      <c r="F204" s="241"/>
      <c r="G204" s="254"/>
      <c r="H204" s="254"/>
      <c r="I204" s="254"/>
      <c r="J204" s="256"/>
      <c r="K204" s="254"/>
      <c r="L204" s="257"/>
      <c r="M204" s="256"/>
      <c r="N204" s="254"/>
      <c r="O204" s="254"/>
      <c r="P204" s="254"/>
      <c r="Q204" s="254"/>
      <c r="R204" s="241"/>
      <c r="S204" s="241"/>
      <c r="T204" s="254"/>
      <c r="U204" s="254"/>
      <c r="V204" s="254"/>
      <c r="W204" s="254"/>
      <c r="X204" s="258"/>
      <c r="Y204" s="254"/>
      <c r="Z204" s="241"/>
      <c r="AA204" s="241"/>
    </row>
    <row r="205" spans="1:27" ht="13.5" customHeight="1" x14ac:dyDescent="0.3">
      <c r="A205" s="254"/>
      <c r="B205" s="255"/>
      <c r="C205" s="254"/>
      <c r="D205" s="254"/>
      <c r="E205" s="254"/>
      <c r="F205" s="241"/>
      <c r="G205" s="254"/>
      <c r="H205" s="254"/>
      <c r="I205" s="254"/>
      <c r="J205" s="256"/>
      <c r="K205" s="254"/>
      <c r="L205" s="257"/>
      <c r="M205" s="256"/>
      <c r="N205" s="254"/>
      <c r="O205" s="254"/>
      <c r="P205" s="254"/>
      <c r="Q205" s="254"/>
      <c r="R205" s="241"/>
      <c r="S205" s="241"/>
      <c r="T205" s="254"/>
      <c r="U205" s="254"/>
      <c r="V205" s="254"/>
      <c r="W205" s="254"/>
      <c r="X205" s="258"/>
      <c r="Y205" s="254"/>
      <c r="Z205" s="241"/>
      <c r="AA205" s="241"/>
    </row>
    <row r="206" spans="1:27" ht="13.5" customHeight="1" x14ac:dyDescent="0.3">
      <c r="A206" s="254"/>
      <c r="B206" s="255"/>
      <c r="C206" s="254"/>
      <c r="D206" s="254"/>
      <c r="E206" s="254"/>
      <c r="F206" s="241"/>
      <c r="G206" s="254"/>
      <c r="H206" s="254"/>
      <c r="I206" s="254"/>
      <c r="J206" s="256"/>
      <c r="K206" s="254"/>
      <c r="L206" s="257"/>
      <c r="M206" s="256"/>
      <c r="N206" s="254"/>
      <c r="O206" s="254"/>
      <c r="P206" s="254"/>
      <c r="Q206" s="254"/>
      <c r="R206" s="241"/>
      <c r="S206" s="241"/>
      <c r="T206" s="254"/>
      <c r="U206" s="254"/>
      <c r="V206" s="254"/>
      <c r="W206" s="254"/>
      <c r="X206" s="258"/>
      <c r="Y206" s="254"/>
      <c r="Z206" s="241"/>
      <c r="AA206" s="241"/>
    </row>
    <row r="207" spans="1:27" ht="13.5" customHeight="1" x14ac:dyDescent="0.3">
      <c r="A207" s="254"/>
      <c r="B207" s="255"/>
      <c r="C207" s="254"/>
      <c r="D207" s="254"/>
      <c r="E207" s="254"/>
      <c r="F207" s="241"/>
      <c r="G207" s="254"/>
      <c r="H207" s="254"/>
      <c r="I207" s="254"/>
      <c r="J207" s="256"/>
      <c r="K207" s="254"/>
      <c r="L207" s="257"/>
      <c r="M207" s="256"/>
      <c r="N207" s="254"/>
      <c r="O207" s="254"/>
      <c r="P207" s="254"/>
      <c r="Q207" s="254"/>
      <c r="R207" s="241"/>
      <c r="S207" s="241"/>
      <c r="T207" s="254"/>
      <c r="U207" s="254"/>
      <c r="V207" s="254"/>
      <c r="W207" s="254"/>
      <c r="X207" s="258"/>
      <c r="Y207" s="254"/>
      <c r="Z207" s="241"/>
      <c r="AA207" s="241"/>
    </row>
    <row r="208" spans="1:27" ht="13.5" customHeight="1" x14ac:dyDescent="0.3">
      <c r="A208" s="254"/>
      <c r="B208" s="255"/>
      <c r="C208" s="254"/>
      <c r="D208" s="254"/>
      <c r="E208" s="254"/>
      <c r="F208" s="241"/>
      <c r="G208" s="254"/>
      <c r="H208" s="254"/>
      <c r="I208" s="254"/>
      <c r="J208" s="256"/>
      <c r="K208" s="254"/>
      <c r="L208" s="257"/>
      <c r="M208" s="256"/>
      <c r="N208" s="254"/>
      <c r="O208" s="254"/>
      <c r="P208" s="254"/>
      <c r="Q208" s="254"/>
      <c r="R208" s="241"/>
      <c r="S208" s="241"/>
      <c r="T208" s="254"/>
      <c r="U208" s="254"/>
      <c r="V208" s="254"/>
      <c r="W208" s="254"/>
      <c r="X208" s="258"/>
      <c r="Y208" s="254"/>
      <c r="Z208" s="241"/>
      <c r="AA208" s="241"/>
    </row>
    <row r="209" spans="1:27" ht="13.5" customHeight="1" x14ac:dyDescent="0.3">
      <c r="A209" s="254"/>
      <c r="B209" s="255"/>
      <c r="C209" s="254"/>
      <c r="D209" s="254"/>
      <c r="E209" s="254"/>
      <c r="F209" s="241"/>
      <c r="G209" s="254"/>
      <c r="H209" s="254"/>
      <c r="I209" s="254"/>
      <c r="J209" s="256"/>
      <c r="K209" s="254"/>
      <c r="L209" s="257"/>
      <c r="M209" s="256"/>
      <c r="N209" s="254"/>
      <c r="O209" s="254"/>
      <c r="P209" s="254"/>
      <c r="Q209" s="254"/>
      <c r="R209" s="241"/>
      <c r="S209" s="241"/>
      <c r="T209" s="254"/>
      <c r="U209" s="254"/>
      <c r="V209" s="254"/>
      <c r="W209" s="254"/>
      <c r="X209" s="258"/>
      <c r="Y209" s="254"/>
      <c r="Z209" s="241"/>
      <c r="AA209" s="241"/>
    </row>
    <row r="210" spans="1:27" ht="13.5" customHeight="1" x14ac:dyDescent="0.3">
      <c r="A210" s="254"/>
      <c r="B210" s="255"/>
      <c r="C210" s="254"/>
      <c r="D210" s="254"/>
      <c r="E210" s="254"/>
      <c r="F210" s="241"/>
      <c r="G210" s="254"/>
      <c r="H210" s="254"/>
      <c r="I210" s="254"/>
      <c r="J210" s="256"/>
      <c r="K210" s="254"/>
      <c r="L210" s="257"/>
      <c r="M210" s="256"/>
      <c r="N210" s="254"/>
      <c r="O210" s="254"/>
      <c r="P210" s="254"/>
      <c r="Q210" s="254"/>
      <c r="R210" s="241"/>
      <c r="S210" s="241"/>
      <c r="T210" s="254"/>
      <c r="U210" s="254"/>
      <c r="V210" s="254"/>
      <c r="W210" s="254"/>
      <c r="X210" s="258"/>
      <c r="Y210" s="254"/>
      <c r="Z210" s="241"/>
      <c r="AA210" s="241"/>
    </row>
    <row r="211" spans="1:27" ht="13.5" customHeight="1" x14ac:dyDescent="0.3">
      <c r="A211" s="254"/>
      <c r="B211" s="255"/>
      <c r="C211" s="254"/>
      <c r="D211" s="254"/>
      <c r="E211" s="254"/>
      <c r="F211" s="241"/>
      <c r="G211" s="254"/>
      <c r="H211" s="254"/>
      <c r="I211" s="254"/>
      <c r="J211" s="256"/>
      <c r="K211" s="254"/>
      <c r="L211" s="257"/>
      <c r="M211" s="256"/>
      <c r="N211" s="254"/>
      <c r="O211" s="254"/>
      <c r="P211" s="254"/>
      <c r="Q211" s="254"/>
      <c r="R211" s="241"/>
      <c r="S211" s="241"/>
      <c r="T211" s="254"/>
      <c r="U211" s="254"/>
      <c r="V211" s="254"/>
      <c r="W211" s="254"/>
      <c r="X211" s="258"/>
      <c r="Y211" s="254"/>
      <c r="Z211" s="241"/>
      <c r="AA211" s="241"/>
    </row>
    <row r="212" spans="1:27" ht="13.5" customHeight="1" x14ac:dyDescent="0.3">
      <c r="A212" s="254"/>
      <c r="B212" s="255"/>
      <c r="C212" s="254"/>
      <c r="D212" s="254"/>
      <c r="E212" s="254"/>
      <c r="F212" s="241"/>
      <c r="G212" s="254"/>
      <c r="H212" s="254"/>
      <c r="I212" s="254"/>
      <c r="J212" s="256"/>
      <c r="K212" s="254"/>
      <c r="L212" s="257"/>
      <c r="M212" s="256"/>
      <c r="N212" s="254"/>
      <c r="O212" s="254"/>
      <c r="P212" s="254"/>
      <c r="Q212" s="254"/>
      <c r="R212" s="241"/>
      <c r="S212" s="241"/>
      <c r="T212" s="254"/>
      <c r="U212" s="254"/>
      <c r="V212" s="254"/>
      <c r="W212" s="254"/>
      <c r="X212" s="258"/>
      <c r="Y212" s="254"/>
      <c r="Z212" s="241"/>
      <c r="AA212" s="241"/>
    </row>
    <row r="213" spans="1:27" ht="13.5" customHeight="1" x14ac:dyDescent="0.3">
      <c r="A213" s="254"/>
      <c r="B213" s="255"/>
      <c r="C213" s="254"/>
      <c r="D213" s="254"/>
      <c r="E213" s="254"/>
      <c r="F213" s="241"/>
      <c r="G213" s="254"/>
      <c r="H213" s="254"/>
      <c r="I213" s="254"/>
      <c r="J213" s="256"/>
      <c r="K213" s="254"/>
      <c r="L213" s="257"/>
      <c r="M213" s="256"/>
      <c r="N213" s="254"/>
      <c r="O213" s="254"/>
      <c r="P213" s="254"/>
      <c r="Q213" s="254"/>
      <c r="R213" s="241"/>
      <c r="S213" s="241"/>
      <c r="T213" s="254"/>
      <c r="U213" s="254"/>
      <c r="V213" s="254"/>
      <c r="W213" s="254"/>
      <c r="X213" s="258"/>
      <c r="Y213" s="254"/>
      <c r="Z213" s="241"/>
      <c r="AA213" s="241"/>
    </row>
    <row r="214" spans="1:27" ht="13.5" customHeight="1" x14ac:dyDescent="0.3">
      <c r="A214" s="254"/>
      <c r="B214" s="255"/>
      <c r="C214" s="254"/>
      <c r="D214" s="254"/>
      <c r="E214" s="254"/>
      <c r="F214" s="241"/>
      <c r="G214" s="254"/>
      <c r="H214" s="254"/>
      <c r="I214" s="254"/>
      <c r="J214" s="256"/>
      <c r="K214" s="254"/>
      <c r="L214" s="257"/>
      <c r="M214" s="256"/>
      <c r="N214" s="254"/>
      <c r="O214" s="254"/>
      <c r="P214" s="254"/>
      <c r="Q214" s="254"/>
      <c r="R214" s="241"/>
      <c r="S214" s="241"/>
      <c r="T214" s="254"/>
      <c r="U214" s="254"/>
      <c r="V214" s="254"/>
      <c r="W214" s="254"/>
      <c r="X214" s="258"/>
      <c r="Y214" s="254"/>
      <c r="Z214" s="241"/>
      <c r="AA214" s="241"/>
    </row>
    <row r="215" spans="1:27" ht="13.5" customHeight="1" x14ac:dyDescent="0.3">
      <c r="A215" s="254"/>
      <c r="B215" s="255"/>
      <c r="C215" s="254"/>
      <c r="D215" s="254"/>
      <c r="E215" s="254"/>
      <c r="F215" s="241"/>
      <c r="G215" s="254"/>
      <c r="H215" s="254"/>
      <c r="I215" s="254"/>
      <c r="J215" s="256"/>
      <c r="K215" s="254"/>
      <c r="L215" s="257"/>
      <c r="M215" s="256"/>
      <c r="N215" s="254"/>
      <c r="O215" s="254"/>
      <c r="P215" s="254"/>
      <c r="Q215" s="254"/>
      <c r="R215" s="241"/>
      <c r="S215" s="241"/>
      <c r="T215" s="254"/>
      <c r="U215" s="254"/>
      <c r="V215" s="254"/>
      <c r="W215" s="254"/>
      <c r="X215" s="258"/>
      <c r="Y215" s="254"/>
      <c r="Z215" s="241"/>
      <c r="AA215" s="241"/>
    </row>
    <row r="216" spans="1:27" ht="13.5" customHeight="1" x14ac:dyDescent="0.3">
      <c r="A216" s="254"/>
      <c r="B216" s="255"/>
      <c r="C216" s="254"/>
      <c r="D216" s="254"/>
      <c r="E216" s="254"/>
      <c r="F216" s="241"/>
      <c r="G216" s="254"/>
      <c r="H216" s="254"/>
      <c r="I216" s="254"/>
      <c r="J216" s="256"/>
      <c r="K216" s="254"/>
      <c r="L216" s="257"/>
      <c r="M216" s="256"/>
      <c r="N216" s="254"/>
      <c r="O216" s="254"/>
      <c r="P216" s="254"/>
      <c r="Q216" s="254"/>
      <c r="R216" s="241"/>
      <c r="S216" s="241"/>
      <c r="T216" s="254"/>
      <c r="U216" s="254"/>
      <c r="V216" s="254"/>
      <c r="W216" s="254"/>
      <c r="X216" s="258"/>
      <c r="Y216" s="254"/>
      <c r="Z216" s="241"/>
      <c r="AA216" s="241"/>
    </row>
    <row r="217" spans="1:27" ht="13.5" customHeight="1" x14ac:dyDescent="0.3">
      <c r="A217" s="254"/>
      <c r="B217" s="255"/>
      <c r="C217" s="254"/>
      <c r="D217" s="254"/>
      <c r="E217" s="254"/>
      <c r="F217" s="241"/>
      <c r="G217" s="254"/>
      <c r="H217" s="254"/>
      <c r="I217" s="254"/>
      <c r="J217" s="256"/>
      <c r="K217" s="254"/>
      <c r="L217" s="257"/>
      <c r="M217" s="256"/>
      <c r="N217" s="254"/>
      <c r="O217" s="254"/>
      <c r="P217" s="254"/>
      <c r="Q217" s="254"/>
      <c r="R217" s="241"/>
      <c r="S217" s="241"/>
      <c r="T217" s="254"/>
      <c r="U217" s="254"/>
      <c r="V217" s="254"/>
      <c r="W217" s="254"/>
      <c r="X217" s="258"/>
      <c r="Y217" s="254"/>
      <c r="Z217" s="241"/>
      <c r="AA217" s="241"/>
    </row>
    <row r="218" spans="1:27" ht="13.5" customHeight="1" x14ac:dyDescent="0.3">
      <c r="A218" s="254"/>
      <c r="B218" s="255"/>
      <c r="C218" s="254"/>
      <c r="D218" s="254"/>
      <c r="E218" s="254"/>
      <c r="F218" s="241"/>
      <c r="G218" s="254"/>
      <c r="H218" s="254"/>
      <c r="I218" s="254"/>
      <c r="J218" s="256"/>
      <c r="K218" s="254"/>
      <c r="L218" s="257"/>
      <c r="M218" s="256"/>
      <c r="N218" s="254"/>
      <c r="O218" s="254"/>
      <c r="P218" s="254"/>
      <c r="Q218" s="254"/>
      <c r="R218" s="241"/>
      <c r="S218" s="241"/>
      <c r="T218" s="254"/>
      <c r="U218" s="254"/>
      <c r="V218" s="254"/>
      <c r="W218" s="254"/>
      <c r="X218" s="258"/>
      <c r="Y218" s="254"/>
      <c r="Z218" s="241"/>
      <c r="AA218" s="241"/>
    </row>
    <row r="219" spans="1:27" ht="13.5" customHeight="1" x14ac:dyDescent="0.3">
      <c r="A219" s="254"/>
      <c r="B219" s="255"/>
      <c r="C219" s="254"/>
      <c r="D219" s="254"/>
      <c r="E219" s="254"/>
      <c r="F219" s="241"/>
      <c r="G219" s="254"/>
      <c r="H219" s="254"/>
      <c r="I219" s="254"/>
      <c r="J219" s="256"/>
      <c r="K219" s="254"/>
      <c r="L219" s="257"/>
      <c r="M219" s="256"/>
      <c r="N219" s="254"/>
      <c r="O219" s="254"/>
      <c r="P219" s="254"/>
      <c r="Q219" s="254"/>
      <c r="R219" s="241"/>
      <c r="S219" s="241"/>
      <c r="T219" s="254"/>
      <c r="U219" s="254"/>
      <c r="V219" s="254"/>
      <c r="W219" s="254"/>
      <c r="X219" s="258"/>
      <c r="Y219" s="254"/>
      <c r="Z219" s="241"/>
      <c r="AA219" s="241"/>
    </row>
    <row r="220" spans="1:27" ht="13.5" customHeight="1" x14ac:dyDescent="0.3">
      <c r="A220" s="241"/>
      <c r="B220" s="241"/>
      <c r="C220" s="241"/>
      <c r="D220" s="241"/>
      <c r="E220" s="241"/>
      <c r="F220" s="241"/>
      <c r="G220" s="241"/>
      <c r="H220" s="241"/>
      <c r="I220" s="241"/>
      <c r="J220" s="241"/>
      <c r="K220" s="241"/>
      <c r="L220" s="241"/>
      <c r="M220" s="241"/>
      <c r="N220" s="241"/>
      <c r="O220" s="241"/>
      <c r="P220" s="241"/>
      <c r="Q220" s="241"/>
      <c r="R220" s="241"/>
      <c r="S220" s="241"/>
      <c r="T220" s="241"/>
      <c r="U220" s="241"/>
      <c r="V220" s="241"/>
      <c r="W220" s="241"/>
      <c r="X220" s="241"/>
      <c r="Y220" s="241"/>
      <c r="Z220" s="241"/>
      <c r="AA220" s="241"/>
    </row>
    <row r="221" spans="1:27" ht="13.5" customHeight="1" x14ac:dyDescent="0.3">
      <c r="A221" s="241"/>
      <c r="B221" s="241"/>
      <c r="C221" s="241"/>
      <c r="D221" s="241"/>
      <c r="E221" s="241"/>
      <c r="F221" s="241"/>
      <c r="G221" s="241"/>
      <c r="H221" s="241"/>
      <c r="I221" s="241"/>
      <c r="J221" s="241"/>
      <c r="K221" s="241"/>
      <c r="L221" s="241"/>
      <c r="M221" s="241"/>
      <c r="N221" s="241"/>
      <c r="O221" s="241"/>
      <c r="P221" s="241"/>
      <c r="Q221" s="241"/>
      <c r="R221" s="241"/>
      <c r="S221" s="241"/>
      <c r="T221" s="241"/>
      <c r="U221" s="241"/>
      <c r="V221" s="241"/>
      <c r="W221" s="241"/>
      <c r="X221" s="241"/>
      <c r="Y221" s="241"/>
      <c r="Z221" s="241"/>
      <c r="AA221" s="241"/>
    </row>
    <row r="222" spans="1:27" ht="13.5" customHeight="1" x14ac:dyDescent="0.3">
      <c r="A222" s="241"/>
      <c r="B222" s="241"/>
      <c r="C222" s="241"/>
      <c r="D222" s="241"/>
      <c r="E222" s="241"/>
      <c r="F222" s="241"/>
      <c r="G222" s="241"/>
      <c r="H222" s="241"/>
      <c r="I222" s="241"/>
      <c r="J222" s="241"/>
      <c r="K222" s="241"/>
      <c r="L222" s="241"/>
      <c r="M222" s="241"/>
      <c r="N222" s="241"/>
      <c r="O222" s="241"/>
      <c r="P222" s="241"/>
      <c r="Q222" s="241"/>
      <c r="R222" s="241"/>
      <c r="S222" s="241"/>
      <c r="T222" s="241"/>
      <c r="U222" s="241"/>
      <c r="V222" s="241"/>
      <c r="W222" s="241"/>
      <c r="X222" s="241"/>
      <c r="Y222" s="241"/>
      <c r="Z222" s="241"/>
      <c r="AA222" s="241"/>
    </row>
    <row r="223" spans="1:27" ht="13.5" customHeight="1" x14ac:dyDescent="0.3">
      <c r="A223" s="241"/>
      <c r="B223" s="241"/>
      <c r="C223" s="241"/>
      <c r="D223" s="241"/>
      <c r="E223" s="241"/>
      <c r="F223" s="241"/>
      <c r="G223" s="241"/>
      <c r="H223" s="241"/>
      <c r="I223" s="241"/>
      <c r="J223" s="241"/>
      <c r="K223" s="241"/>
      <c r="L223" s="241"/>
      <c r="M223" s="241"/>
      <c r="N223" s="241"/>
      <c r="O223" s="241"/>
      <c r="P223" s="241"/>
      <c r="Q223" s="241"/>
      <c r="R223" s="241"/>
      <c r="S223" s="241"/>
      <c r="T223" s="241"/>
      <c r="U223" s="241"/>
      <c r="V223" s="241"/>
      <c r="W223" s="241"/>
      <c r="X223" s="241"/>
      <c r="Y223" s="241"/>
      <c r="Z223" s="241"/>
      <c r="AA223" s="241"/>
    </row>
    <row r="224" spans="1:27" ht="13.5" customHeight="1" x14ac:dyDescent="0.3">
      <c r="A224" s="241"/>
      <c r="B224" s="241"/>
      <c r="C224" s="241"/>
      <c r="D224" s="241"/>
      <c r="E224" s="241"/>
      <c r="F224" s="241"/>
      <c r="G224" s="241"/>
      <c r="H224" s="241"/>
      <c r="I224" s="241"/>
      <c r="J224" s="241"/>
      <c r="K224" s="241"/>
      <c r="L224" s="241"/>
      <c r="M224" s="241"/>
      <c r="N224" s="241"/>
      <c r="O224" s="241"/>
      <c r="P224" s="241"/>
      <c r="Q224" s="241"/>
      <c r="R224" s="241"/>
      <c r="S224" s="241"/>
      <c r="T224" s="241"/>
      <c r="U224" s="241"/>
      <c r="V224" s="241"/>
      <c r="W224" s="241"/>
      <c r="X224" s="241"/>
      <c r="Y224" s="241"/>
      <c r="Z224" s="241"/>
      <c r="AA224" s="241"/>
    </row>
    <row r="225" spans="1:27" ht="13.5" customHeight="1" x14ac:dyDescent="0.3">
      <c r="A225" s="241"/>
      <c r="B225" s="241"/>
      <c r="C225" s="241"/>
      <c r="D225" s="241"/>
      <c r="E225" s="241"/>
      <c r="F225" s="241"/>
      <c r="G225" s="241"/>
      <c r="H225" s="241"/>
      <c r="I225" s="241"/>
      <c r="J225" s="241"/>
      <c r="K225" s="241"/>
      <c r="L225" s="241"/>
      <c r="M225" s="241"/>
      <c r="N225" s="241"/>
      <c r="O225" s="241"/>
      <c r="P225" s="241"/>
      <c r="Q225" s="241"/>
      <c r="R225" s="241"/>
      <c r="S225" s="241"/>
      <c r="T225" s="241"/>
      <c r="U225" s="241"/>
      <c r="V225" s="241"/>
      <c r="W225" s="241"/>
      <c r="X225" s="241"/>
      <c r="Y225" s="241"/>
      <c r="Z225" s="241"/>
      <c r="AA225" s="241"/>
    </row>
    <row r="226" spans="1:27" ht="13.5" customHeight="1" x14ac:dyDescent="0.3">
      <c r="A226" s="241"/>
      <c r="B226" s="241"/>
      <c r="C226" s="241"/>
      <c r="D226" s="241"/>
      <c r="E226" s="241"/>
      <c r="F226" s="241"/>
      <c r="G226" s="241"/>
      <c r="H226" s="241"/>
      <c r="I226" s="241"/>
      <c r="J226" s="241"/>
      <c r="K226" s="241"/>
      <c r="L226" s="241"/>
      <c r="M226" s="241"/>
      <c r="N226" s="241"/>
      <c r="O226" s="241"/>
      <c r="P226" s="241"/>
      <c r="Q226" s="241"/>
      <c r="R226" s="241"/>
      <c r="S226" s="241"/>
      <c r="T226" s="241"/>
      <c r="U226" s="241"/>
      <c r="V226" s="241"/>
      <c r="W226" s="241"/>
      <c r="X226" s="241"/>
      <c r="Y226" s="241"/>
      <c r="Z226" s="241"/>
      <c r="AA226" s="241"/>
    </row>
    <row r="227" spans="1:27" ht="13.5" customHeight="1" x14ac:dyDescent="0.3">
      <c r="A227" s="241"/>
      <c r="B227" s="241"/>
      <c r="C227" s="241"/>
      <c r="D227" s="241"/>
      <c r="E227" s="241"/>
      <c r="F227" s="241"/>
      <c r="G227" s="241"/>
      <c r="H227" s="241"/>
      <c r="I227" s="241"/>
      <c r="J227" s="241"/>
      <c r="K227" s="241"/>
      <c r="L227" s="241"/>
      <c r="M227" s="241"/>
      <c r="N227" s="241"/>
      <c r="O227" s="241"/>
      <c r="P227" s="241"/>
      <c r="Q227" s="241"/>
      <c r="R227" s="241"/>
      <c r="S227" s="241"/>
      <c r="T227" s="241"/>
      <c r="U227" s="241"/>
      <c r="V227" s="241"/>
      <c r="W227" s="241"/>
      <c r="X227" s="241"/>
      <c r="Y227" s="241"/>
      <c r="Z227" s="241"/>
      <c r="AA227" s="241"/>
    </row>
    <row r="228" spans="1:27" ht="13.5" customHeight="1" x14ac:dyDescent="0.3">
      <c r="A228" s="241"/>
      <c r="B228" s="241"/>
      <c r="C228" s="241"/>
      <c r="D228" s="241"/>
      <c r="E228" s="241"/>
      <c r="F228" s="241"/>
      <c r="G228" s="241"/>
      <c r="H228" s="241"/>
      <c r="I228" s="241"/>
      <c r="J228" s="241"/>
      <c r="K228" s="241"/>
      <c r="L228" s="241"/>
      <c r="M228" s="241"/>
      <c r="N228" s="241"/>
      <c r="O228" s="241"/>
      <c r="P228" s="241"/>
      <c r="Q228" s="241"/>
      <c r="R228" s="241"/>
      <c r="S228" s="241"/>
      <c r="T228" s="241"/>
      <c r="U228" s="241"/>
      <c r="V228" s="241"/>
      <c r="W228" s="241"/>
      <c r="X228" s="241"/>
      <c r="Y228" s="241"/>
      <c r="Z228" s="241"/>
      <c r="AA228" s="241"/>
    </row>
    <row r="229" spans="1:27" ht="13.5" customHeight="1" x14ac:dyDescent="0.3">
      <c r="A229" s="241"/>
      <c r="B229" s="241"/>
      <c r="C229" s="241"/>
      <c r="D229" s="241"/>
      <c r="E229" s="241"/>
      <c r="F229" s="241"/>
      <c r="G229" s="241"/>
      <c r="H229" s="241"/>
      <c r="I229" s="241"/>
      <c r="J229" s="241"/>
      <c r="K229" s="241"/>
      <c r="L229" s="241"/>
      <c r="M229" s="241"/>
      <c r="N229" s="241"/>
      <c r="O229" s="241"/>
      <c r="P229" s="241"/>
      <c r="Q229" s="241"/>
      <c r="R229" s="241"/>
      <c r="S229" s="241"/>
      <c r="T229" s="241"/>
      <c r="U229" s="241"/>
      <c r="V229" s="241"/>
      <c r="W229" s="241"/>
      <c r="X229" s="241"/>
      <c r="Y229" s="241"/>
      <c r="Z229" s="241"/>
      <c r="AA229" s="241"/>
    </row>
    <row r="230" spans="1:27" ht="13.5" customHeight="1" x14ac:dyDescent="0.3">
      <c r="A230" s="241"/>
      <c r="B230" s="241"/>
      <c r="C230" s="241"/>
      <c r="D230" s="241"/>
      <c r="E230" s="241"/>
      <c r="F230" s="241"/>
      <c r="G230" s="241"/>
      <c r="H230" s="241"/>
      <c r="I230" s="241"/>
      <c r="J230" s="241"/>
      <c r="K230" s="241"/>
      <c r="L230" s="241"/>
      <c r="M230" s="241"/>
      <c r="N230" s="241"/>
      <c r="O230" s="241"/>
      <c r="P230" s="241"/>
      <c r="Q230" s="241"/>
      <c r="R230" s="241"/>
      <c r="S230" s="241"/>
      <c r="T230" s="241"/>
      <c r="U230" s="241"/>
      <c r="V230" s="241"/>
      <c r="W230" s="241"/>
      <c r="X230" s="241"/>
      <c r="Y230" s="241"/>
      <c r="Z230" s="241"/>
      <c r="AA230" s="241"/>
    </row>
    <row r="231" spans="1:27" ht="13.5" customHeight="1" x14ac:dyDescent="0.3">
      <c r="A231" s="241"/>
      <c r="B231" s="241"/>
      <c r="C231" s="241"/>
      <c r="D231" s="241"/>
      <c r="E231" s="241"/>
      <c r="F231" s="241"/>
      <c r="G231" s="241"/>
      <c r="H231" s="241"/>
      <c r="I231" s="241"/>
      <c r="J231" s="241"/>
      <c r="K231" s="241"/>
      <c r="L231" s="241"/>
      <c r="M231" s="241"/>
      <c r="N231" s="241"/>
      <c r="O231" s="241"/>
      <c r="P231" s="241"/>
      <c r="Q231" s="241"/>
      <c r="R231" s="241"/>
      <c r="S231" s="241"/>
      <c r="T231" s="241"/>
      <c r="U231" s="241"/>
      <c r="V231" s="241"/>
      <c r="W231" s="241"/>
      <c r="X231" s="241"/>
      <c r="Y231" s="241"/>
      <c r="Z231" s="241"/>
      <c r="AA231" s="241"/>
    </row>
    <row r="232" spans="1:27" ht="13.5" customHeight="1" x14ac:dyDescent="0.3">
      <c r="A232" s="241"/>
      <c r="B232" s="241"/>
      <c r="C232" s="241"/>
      <c r="D232" s="241"/>
      <c r="E232" s="241"/>
      <c r="F232" s="241"/>
      <c r="G232" s="241"/>
      <c r="H232" s="241"/>
      <c r="I232" s="241"/>
      <c r="J232" s="241"/>
      <c r="K232" s="241"/>
      <c r="L232" s="241"/>
      <c r="M232" s="241"/>
      <c r="N232" s="241"/>
      <c r="O232" s="241"/>
      <c r="P232" s="241"/>
      <c r="Q232" s="241"/>
      <c r="R232" s="241"/>
      <c r="S232" s="241"/>
      <c r="T232" s="241"/>
      <c r="U232" s="241"/>
      <c r="V232" s="241"/>
      <c r="W232" s="241"/>
      <c r="X232" s="241"/>
      <c r="Y232" s="241"/>
      <c r="Z232" s="241"/>
      <c r="AA232" s="241"/>
    </row>
    <row r="233" spans="1:27" ht="13.5" customHeight="1" x14ac:dyDescent="0.3">
      <c r="A233" s="241"/>
      <c r="B233" s="241"/>
      <c r="C233" s="241"/>
      <c r="D233" s="241"/>
      <c r="E233" s="241"/>
      <c r="F233" s="241"/>
      <c r="G233" s="241"/>
      <c r="H233" s="241"/>
      <c r="I233" s="241"/>
      <c r="J233" s="241"/>
      <c r="K233" s="241"/>
      <c r="L233" s="241"/>
      <c r="M233" s="241"/>
      <c r="N233" s="241"/>
      <c r="O233" s="241"/>
      <c r="P233" s="241"/>
      <c r="Q233" s="241"/>
      <c r="R233" s="241"/>
      <c r="S233" s="241"/>
      <c r="T233" s="241"/>
      <c r="U233" s="241"/>
      <c r="V233" s="241"/>
      <c r="W233" s="241"/>
      <c r="X233" s="241"/>
      <c r="Y233" s="241"/>
      <c r="Z233" s="241"/>
      <c r="AA233" s="241"/>
    </row>
    <row r="234" spans="1:27" ht="13.5" customHeight="1" x14ac:dyDescent="0.3">
      <c r="A234" s="241"/>
      <c r="B234" s="241"/>
      <c r="C234" s="241"/>
      <c r="D234" s="241"/>
      <c r="E234" s="241"/>
      <c r="F234" s="241"/>
      <c r="G234" s="241"/>
      <c r="H234" s="241"/>
      <c r="I234" s="241"/>
      <c r="J234" s="241"/>
      <c r="K234" s="241"/>
      <c r="L234" s="241"/>
      <c r="M234" s="241"/>
      <c r="N234" s="241"/>
      <c r="O234" s="241"/>
      <c r="P234" s="241"/>
      <c r="Q234" s="241"/>
      <c r="R234" s="241"/>
      <c r="S234" s="241"/>
      <c r="T234" s="241"/>
      <c r="U234" s="241"/>
      <c r="V234" s="241"/>
      <c r="W234" s="241"/>
      <c r="X234" s="241"/>
      <c r="Y234" s="241"/>
      <c r="Z234" s="241"/>
      <c r="AA234" s="241"/>
    </row>
    <row r="235" spans="1:27" ht="13.5" customHeight="1" x14ac:dyDescent="0.3">
      <c r="A235" s="241"/>
      <c r="B235" s="241"/>
      <c r="C235" s="241"/>
      <c r="D235" s="241"/>
      <c r="E235" s="241"/>
      <c r="F235" s="241"/>
      <c r="G235" s="241"/>
      <c r="H235" s="241"/>
      <c r="I235" s="241"/>
      <c r="J235" s="241"/>
      <c r="K235" s="241"/>
      <c r="L235" s="241"/>
      <c r="M235" s="241"/>
      <c r="N235" s="241"/>
      <c r="O235" s="241"/>
      <c r="P235" s="241"/>
      <c r="Q235" s="241"/>
      <c r="R235" s="241"/>
      <c r="S235" s="241"/>
      <c r="T235" s="241"/>
      <c r="U235" s="241"/>
      <c r="V235" s="241"/>
      <c r="W235" s="241"/>
      <c r="X235" s="241"/>
      <c r="Y235" s="241"/>
      <c r="Z235" s="241"/>
      <c r="AA235" s="241"/>
    </row>
    <row r="236" spans="1:27" ht="13.5" customHeight="1" x14ac:dyDescent="0.3">
      <c r="A236" s="241"/>
      <c r="B236" s="241"/>
      <c r="C236" s="241"/>
      <c r="D236" s="241"/>
      <c r="E236" s="241"/>
      <c r="F236" s="241"/>
      <c r="G236" s="241"/>
      <c r="H236" s="241"/>
      <c r="I236" s="241"/>
      <c r="J236" s="241"/>
      <c r="K236" s="241"/>
      <c r="L236" s="241"/>
      <c r="M236" s="241"/>
      <c r="N236" s="241"/>
      <c r="O236" s="241"/>
      <c r="P236" s="241"/>
      <c r="Q236" s="241"/>
      <c r="R236" s="241"/>
      <c r="S236" s="241"/>
      <c r="T236" s="241"/>
      <c r="U236" s="241"/>
      <c r="V236" s="241"/>
      <c r="W236" s="241"/>
      <c r="X236" s="241"/>
      <c r="Y236" s="241"/>
      <c r="Z236" s="241"/>
      <c r="AA236" s="241"/>
    </row>
    <row r="237" spans="1:27" ht="13.5" customHeight="1" x14ac:dyDescent="0.3">
      <c r="A237" s="241"/>
      <c r="B237" s="241"/>
      <c r="C237" s="241"/>
      <c r="D237" s="241"/>
      <c r="E237" s="241"/>
      <c r="F237" s="241"/>
      <c r="G237" s="241"/>
      <c r="H237" s="241"/>
      <c r="I237" s="241"/>
      <c r="J237" s="241"/>
      <c r="K237" s="241"/>
      <c r="L237" s="241"/>
      <c r="M237" s="241"/>
      <c r="N237" s="241"/>
      <c r="O237" s="241"/>
      <c r="P237" s="241"/>
      <c r="Q237" s="241"/>
      <c r="R237" s="241"/>
      <c r="S237" s="241"/>
      <c r="T237" s="241"/>
      <c r="U237" s="241"/>
      <c r="V237" s="241"/>
      <c r="W237" s="241"/>
      <c r="X237" s="241"/>
      <c r="Y237" s="241"/>
      <c r="Z237" s="241"/>
      <c r="AA237" s="241"/>
    </row>
    <row r="238" spans="1:27" ht="13.5" customHeight="1" x14ac:dyDescent="0.3">
      <c r="A238" s="241"/>
      <c r="B238" s="241"/>
      <c r="C238" s="241"/>
      <c r="D238" s="241"/>
      <c r="E238" s="241"/>
      <c r="F238" s="241"/>
      <c r="G238" s="241"/>
      <c r="H238" s="241"/>
      <c r="I238" s="241"/>
      <c r="J238" s="241"/>
      <c r="K238" s="241"/>
      <c r="L238" s="241"/>
      <c r="M238" s="241"/>
      <c r="N238" s="241"/>
      <c r="O238" s="241"/>
      <c r="P238" s="241"/>
      <c r="Q238" s="241"/>
      <c r="R238" s="241"/>
      <c r="S238" s="241"/>
      <c r="T238" s="241"/>
      <c r="U238" s="241"/>
      <c r="V238" s="241"/>
      <c r="W238" s="241"/>
      <c r="X238" s="241"/>
      <c r="Y238" s="241"/>
      <c r="Z238" s="241"/>
      <c r="AA238" s="241"/>
    </row>
    <row r="239" spans="1:27" ht="13.5" customHeight="1" x14ac:dyDescent="0.3">
      <c r="A239" s="241"/>
      <c r="B239" s="241"/>
      <c r="C239" s="241"/>
      <c r="D239" s="241"/>
      <c r="E239" s="241"/>
      <c r="F239" s="241"/>
      <c r="G239" s="241"/>
      <c r="H239" s="241"/>
      <c r="I239" s="241"/>
      <c r="J239" s="241"/>
      <c r="K239" s="241"/>
      <c r="L239" s="241"/>
      <c r="M239" s="241"/>
      <c r="N239" s="241"/>
      <c r="O239" s="241"/>
      <c r="P239" s="241"/>
      <c r="Q239" s="241"/>
      <c r="R239" s="241"/>
      <c r="S239" s="241"/>
      <c r="T239" s="241"/>
      <c r="U239" s="241"/>
      <c r="V239" s="241"/>
      <c r="W239" s="241"/>
      <c r="X239" s="241"/>
      <c r="Y239" s="241"/>
      <c r="Z239" s="241"/>
      <c r="AA239" s="241"/>
    </row>
    <row r="240" spans="1:27" ht="13.5" customHeight="1" x14ac:dyDescent="0.3">
      <c r="A240" s="241"/>
      <c r="B240" s="241"/>
      <c r="C240" s="241"/>
      <c r="D240" s="241"/>
      <c r="E240" s="241"/>
      <c r="F240" s="241"/>
      <c r="G240" s="241"/>
      <c r="H240" s="241"/>
      <c r="I240" s="241"/>
      <c r="J240" s="241"/>
      <c r="K240" s="241"/>
      <c r="L240" s="241"/>
      <c r="M240" s="241"/>
      <c r="N240" s="241"/>
      <c r="O240" s="241"/>
      <c r="P240" s="241"/>
      <c r="Q240" s="241"/>
      <c r="R240" s="241"/>
      <c r="S240" s="241"/>
      <c r="T240" s="241"/>
      <c r="U240" s="241"/>
      <c r="V240" s="241"/>
      <c r="W240" s="241"/>
      <c r="X240" s="241"/>
      <c r="Y240" s="241"/>
      <c r="Z240" s="241"/>
      <c r="AA240" s="241"/>
    </row>
    <row r="241" spans="1:27" ht="13.5" customHeight="1" x14ac:dyDescent="0.3">
      <c r="A241" s="241"/>
      <c r="B241" s="241"/>
      <c r="C241" s="241"/>
      <c r="D241" s="241"/>
      <c r="E241" s="241"/>
      <c r="F241" s="241"/>
      <c r="G241" s="241"/>
      <c r="H241" s="241"/>
      <c r="I241" s="241"/>
      <c r="J241" s="241"/>
      <c r="K241" s="241"/>
      <c r="L241" s="241"/>
      <c r="M241" s="241"/>
      <c r="N241" s="241"/>
      <c r="O241" s="241"/>
      <c r="P241" s="241"/>
      <c r="Q241" s="241"/>
      <c r="R241" s="241"/>
      <c r="S241" s="241"/>
      <c r="T241" s="241"/>
      <c r="U241" s="241"/>
      <c r="V241" s="241"/>
      <c r="W241" s="241"/>
      <c r="X241" s="241"/>
      <c r="Y241" s="241"/>
      <c r="Z241" s="241"/>
      <c r="AA241" s="241"/>
    </row>
    <row r="242" spans="1:27" ht="13.5" customHeight="1" x14ac:dyDescent="0.3">
      <c r="A242" s="241"/>
      <c r="B242" s="241"/>
      <c r="C242" s="241"/>
      <c r="D242" s="241"/>
      <c r="E242" s="241"/>
      <c r="F242" s="241"/>
      <c r="G242" s="241"/>
      <c r="H242" s="241"/>
      <c r="I242" s="241"/>
      <c r="J242" s="241"/>
      <c r="K242" s="241"/>
      <c r="L242" s="241"/>
      <c r="M242" s="241"/>
      <c r="N242" s="241"/>
      <c r="O242" s="241"/>
      <c r="P242" s="241"/>
      <c r="Q242" s="241"/>
      <c r="R242" s="241"/>
      <c r="S242" s="241"/>
      <c r="T242" s="241"/>
      <c r="U242" s="241"/>
      <c r="V242" s="241"/>
      <c r="W242" s="241"/>
      <c r="X242" s="241"/>
      <c r="Y242" s="241"/>
      <c r="Z242" s="241"/>
      <c r="AA242" s="241"/>
    </row>
    <row r="243" spans="1:27" ht="13.5" customHeight="1" x14ac:dyDescent="0.3">
      <c r="A243" s="241"/>
      <c r="B243" s="241"/>
      <c r="C243" s="241"/>
      <c r="D243" s="241"/>
      <c r="E243" s="241"/>
      <c r="F243" s="241"/>
      <c r="G243" s="241"/>
      <c r="H243" s="241"/>
      <c r="I243" s="241"/>
      <c r="J243" s="241"/>
      <c r="K243" s="241"/>
      <c r="L243" s="241"/>
      <c r="M243" s="241"/>
      <c r="N243" s="241"/>
      <c r="O243" s="241"/>
      <c r="P243" s="241"/>
      <c r="Q243" s="241"/>
      <c r="R243" s="241"/>
      <c r="S243" s="241"/>
      <c r="T243" s="241"/>
      <c r="U243" s="241"/>
      <c r="V243" s="241"/>
      <c r="W243" s="241"/>
      <c r="X243" s="241"/>
      <c r="Y243" s="241"/>
      <c r="Z243" s="241"/>
      <c r="AA243" s="241"/>
    </row>
    <row r="244" spans="1:27" ht="13.5" customHeight="1" x14ac:dyDescent="0.3">
      <c r="A244" s="241"/>
      <c r="B244" s="241"/>
      <c r="C244" s="241"/>
      <c r="D244" s="241"/>
      <c r="E244" s="241"/>
      <c r="F244" s="241"/>
      <c r="G244" s="241"/>
      <c r="H244" s="241"/>
      <c r="I244" s="241"/>
      <c r="J244" s="241"/>
      <c r="K244" s="241"/>
      <c r="L244" s="241"/>
      <c r="M244" s="241"/>
      <c r="N244" s="241"/>
      <c r="O244" s="241"/>
      <c r="P244" s="241"/>
      <c r="Q244" s="241"/>
      <c r="R244" s="241"/>
      <c r="S244" s="241"/>
      <c r="T244" s="241"/>
      <c r="U244" s="241"/>
      <c r="V244" s="241"/>
      <c r="W244" s="241"/>
      <c r="X244" s="241"/>
      <c r="Y244" s="241"/>
      <c r="Z244" s="241"/>
      <c r="AA244" s="241"/>
    </row>
    <row r="245" spans="1:27" ht="13.5" customHeight="1" x14ac:dyDescent="0.3">
      <c r="A245" s="241"/>
      <c r="B245" s="241"/>
      <c r="C245" s="241"/>
      <c r="D245" s="241"/>
      <c r="E245" s="241"/>
      <c r="F245" s="241"/>
      <c r="G245" s="241"/>
      <c r="H245" s="241"/>
      <c r="I245" s="241"/>
      <c r="J245" s="241"/>
      <c r="K245" s="241"/>
      <c r="L245" s="241"/>
      <c r="M245" s="241"/>
      <c r="N245" s="241"/>
      <c r="O245" s="241"/>
      <c r="P245" s="241"/>
      <c r="Q245" s="241"/>
      <c r="R245" s="241"/>
      <c r="S245" s="241"/>
      <c r="T245" s="241"/>
      <c r="U245" s="241"/>
      <c r="V245" s="241"/>
      <c r="W245" s="241"/>
      <c r="X245" s="241"/>
      <c r="Y245" s="241"/>
      <c r="Z245" s="241"/>
      <c r="AA245" s="241"/>
    </row>
    <row r="246" spans="1:27" ht="13.5" customHeight="1" x14ac:dyDescent="0.3">
      <c r="A246" s="241"/>
      <c r="B246" s="241"/>
      <c r="C246" s="241"/>
      <c r="D246" s="241"/>
      <c r="E246" s="241"/>
      <c r="F246" s="241"/>
      <c r="G246" s="241"/>
      <c r="H246" s="241"/>
      <c r="I246" s="241"/>
      <c r="J246" s="241"/>
      <c r="K246" s="241"/>
      <c r="L246" s="241"/>
      <c r="M246" s="241"/>
      <c r="N246" s="241"/>
      <c r="O246" s="241"/>
      <c r="P246" s="241"/>
      <c r="Q246" s="241"/>
      <c r="R246" s="241"/>
      <c r="S246" s="241"/>
      <c r="T246" s="241"/>
      <c r="U246" s="241"/>
      <c r="V246" s="241"/>
      <c r="W246" s="241"/>
      <c r="X246" s="241"/>
      <c r="Y246" s="241"/>
      <c r="Z246" s="241"/>
      <c r="AA246" s="241"/>
    </row>
    <row r="247" spans="1:27" ht="13.5" customHeight="1" x14ac:dyDescent="0.3">
      <c r="A247" s="241"/>
      <c r="B247" s="241"/>
      <c r="C247" s="241"/>
      <c r="D247" s="241"/>
      <c r="E247" s="241"/>
      <c r="F247" s="241"/>
      <c r="G247" s="241"/>
      <c r="H247" s="241"/>
      <c r="I247" s="241"/>
      <c r="J247" s="241"/>
      <c r="K247" s="241"/>
      <c r="L247" s="241"/>
      <c r="M247" s="241"/>
      <c r="N247" s="241"/>
      <c r="O247" s="241"/>
      <c r="P247" s="241"/>
      <c r="Q247" s="241"/>
      <c r="R247" s="241"/>
      <c r="S247" s="241"/>
      <c r="T247" s="241"/>
      <c r="U247" s="241"/>
      <c r="V247" s="241"/>
      <c r="W247" s="241"/>
      <c r="X247" s="241"/>
      <c r="Y247" s="241"/>
      <c r="Z247" s="241"/>
      <c r="AA247" s="241"/>
    </row>
    <row r="248" spans="1:27" ht="13.5" customHeight="1" x14ac:dyDescent="0.3">
      <c r="A248" s="241"/>
      <c r="B248" s="241"/>
      <c r="C248" s="241"/>
      <c r="D248" s="241"/>
      <c r="E248" s="241"/>
      <c r="F248" s="241"/>
      <c r="G248" s="241"/>
      <c r="H248" s="241"/>
      <c r="I248" s="241"/>
      <c r="J248" s="241"/>
      <c r="K248" s="241"/>
      <c r="L248" s="241"/>
      <c r="M248" s="241"/>
      <c r="N248" s="241"/>
      <c r="O248" s="241"/>
      <c r="P248" s="241"/>
      <c r="Q248" s="241"/>
      <c r="R248" s="241"/>
      <c r="S248" s="241"/>
      <c r="T248" s="241"/>
      <c r="U248" s="241"/>
      <c r="V248" s="241"/>
      <c r="W248" s="241"/>
      <c r="X248" s="241"/>
      <c r="Y248" s="241"/>
      <c r="Z248" s="241"/>
      <c r="AA248" s="241"/>
    </row>
    <row r="249" spans="1:27" ht="13.5" customHeight="1" x14ac:dyDescent="0.3">
      <c r="A249" s="241"/>
      <c r="B249" s="241"/>
      <c r="C249" s="241"/>
      <c r="D249" s="241"/>
      <c r="E249" s="241"/>
      <c r="F249" s="241"/>
      <c r="G249" s="241"/>
      <c r="H249" s="241"/>
      <c r="I249" s="241"/>
      <c r="J249" s="241"/>
      <c r="K249" s="241"/>
      <c r="L249" s="241"/>
      <c r="M249" s="241"/>
      <c r="N249" s="241"/>
      <c r="O249" s="241"/>
      <c r="P249" s="241"/>
      <c r="Q249" s="241"/>
      <c r="R249" s="241"/>
      <c r="S249" s="241"/>
      <c r="T249" s="241"/>
      <c r="U249" s="241"/>
      <c r="V249" s="241"/>
      <c r="W249" s="241"/>
      <c r="X249" s="241"/>
      <c r="Y249" s="241"/>
      <c r="Z249" s="241"/>
      <c r="AA249" s="241"/>
    </row>
    <row r="250" spans="1:27" ht="13.5" customHeight="1" x14ac:dyDescent="0.3">
      <c r="A250" s="241"/>
      <c r="B250" s="241"/>
      <c r="C250" s="241"/>
      <c r="D250" s="241"/>
      <c r="E250" s="241"/>
      <c r="F250" s="241"/>
      <c r="G250" s="241"/>
      <c r="H250" s="241"/>
      <c r="I250" s="241"/>
      <c r="J250" s="241"/>
      <c r="K250" s="241"/>
      <c r="L250" s="241"/>
      <c r="M250" s="241"/>
      <c r="N250" s="241"/>
      <c r="O250" s="241"/>
      <c r="P250" s="241"/>
      <c r="Q250" s="241"/>
      <c r="R250" s="241"/>
      <c r="S250" s="241"/>
      <c r="T250" s="241"/>
      <c r="U250" s="241"/>
      <c r="V250" s="241"/>
      <c r="W250" s="241"/>
      <c r="X250" s="241"/>
      <c r="Y250" s="241"/>
      <c r="Z250" s="241"/>
      <c r="AA250" s="241"/>
    </row>
    <row r="251" spans="1:27" ht="13.5" customHeight="1" x14ac:dyDescent="0.3">
      <c r="A251" s="241"/>
      <c r="B251" s="241"/>
      <c r="C251" s="241"/>
      <c r="D251" s="241"/>
      <c r="E251" s="241"/>
      <c r="F251" s="241"/>
      <c r="G251" s="241"/>
      <c r="H251" s="241"/>
      <c r="I251" s="241"/>
      <c r="J251" s="241"/>
      <c r="K251" s="241"/>
      <c r="L251" s="241"/>
      <c r="M251" s="241"/>
      <c r="N251" s="241"/>
      <c r="O251" s="241"/>
      <c r="P251" s="241"/>
      <c r="Q251" s="241"/>
      <c r="R251" s="241"/>
      <c r="S251" s="241"/>
      <c r="T251" s="241"/>
      <c r="U251" s="241"/>
      <c r="V251" s="241"/>
      <c r="W251" s="241"/>
      <c r="X251" s="241"/>
      <c r="Y251" s="241"/>
      <c r="Z251" s="241"/>
      <c r="AA251" s="241"/>
    </row>
    <row r="252" spans="1:27" ht="13.5" customHeight="1" x14ac:dyDescent="0.3">
      <c r="A252" s="241"/>
      <c r="B252" s="241"/>
      <c r="C252" s="241"/>
      <c r="D252" s="241"/>
      <c r="E252" s="241"/>
      <c r="F252" s="241"/>
      <c r="G252" s="241"/>
      <c r="H252" s="241"/>
      <c r="I252" s="241"/>
      <c r="J252" s="241"/>
      <c r="K252" s="241"/>
      <c r="L252" s="241"/>
      <c r="M252" s="241"/>
      <c r="N252" s="241"/>
      <c r="O252" s="241"/>
      <c r="P252" s="241"/>
      <c r="Q252" s="241"/>
      <c r="R252" s="241"/>
      <c r="S252" s="241"/>
      <c r="T252" s="241"/>
      <c r="U252" s="241"/>
      <c r="V252" s="241"/>
      <c r="W252" s="241"/>
      <c r="X252" s="241"/>
      <c r="Y252" s="241"/>
      <c r="Z252" s="241"/>
      <c r="AA252" s="241"/>
    </row>
    <row r="253" spans="1:27" ht="13.5" customHeight="1" x14ac:dyDescent="0.3">
      <c r="A253" s="241"/>
      <c r="B253" s="241"/>
      <c r="C253" s="241"/>
      <c r="D253" s="241"/>
      <c r="E253" s="241"/>
      <c r="F253" s="241"/>
      <c r="G253" s="241"/>
      <c r="H253" s="241"/>
      <c r="I253" s="241"/>
      <c r="J253" s="241"/>
      <c r="K253" s="241"/>
      <c r="L253" s="241"/>
      <c r="M253" s="241"/>
      <c r="N253" s="241"/>
      <c r="O253" s="241"/>
      <c r="P253" s="241"/>
      <c r="Q253" s="241"/>
      <c r="R253" s="241"/>
      <c r="S253" s="241"/>
      <c r="T253" s="241"/>
      <c r="U253" s="241"/>
      <c r="V253" s="241"/>
      <c r="W253" s="241"/>
      <c r="X253" s="241"/>
      <c r="Y253" s="241"/>
      <c r="Z253" s="241"/>
      <c r="AA253" s="241"/>
    </row>
    <row r="254" spans="1:27" ht="13.5" customHeight="1" x14ac:dyDescent="0.3">
      <c r="A254" s="241"/>
      <c r="B254" s="241"/>
      <c r="C254" s="241"/>
      <c r="D254" s="241"/>
      <c r="E254" s="241"/>
      <c r="F254" s="241"/>
      <c r="G254" s="241"/>
      <c r="H254" s="241"/>
      <c r="I254" s="241"/>
      <c r="J254" s="241"/>
      <c r="K254" s="241"/>
      <c r="L254" s="241"/>
      <c r="M254" s="241"/>
      <c r="N254" s="241"/>
      <c r="O254" s="241"/>
      <c r="P254" s="241"/>
      <c r="Q254" s="241"/>
      <c r="R254" s="241"/>
      <c r="S254" s="241"/>
      <c r="T254" s="241"/>
      <c r="U254" s="241"/>
      <c r="V254" s="241"/>
      <c r="W254" s="241"/>
      <c r="X254" s="241"/>
      <c r="Y254" s="241"/>
      <c r="Z254" s="241"/>
      <c r="AA254" s="241"/>
    </row>
    <row r="255" spans="1:27" ht="13.5" customHeight="1" x14ac:dyDescent="0.3">
      <c r="A255" s="241"/>
      <c r="B255" s="241"/>
      <c r="C255" s="241"/>
      <c r="D255" s="241"/>
      <c r="E255" s="241"/>
      <c r="F255" s="241"/>
      <c r="G255" s="241"/>
      <c r="H255" s="241"/>
      <c r="I255" s="241"/>
      <c r="J255" s="241"/>
      <c r="K255" s="241"/>
      <c r="L255" s="241"/>
      <c r="M255" s="241"/>
      <c r="N255" s="241"/>
      <c r="O255" s="241"/>
      <c r="P255" s="241"/>
      <c r="Q255" s="241"/>
      <c r="R255" s="241"/>
      <c r="S255" s="241"/>
      <c r="T255" s="241"/>
      <c r="U255" s="241"/>
      <c r="V255" s="241"/>
      <c r="W255" s="241"/>
      <c r="X255" s="241"/>
      <c r="Y255" s="241"/>
      <c r="Z255" s="241"/>
      <c r="AA255" s="241"/>
    </row>
    <row r="256" spans="1:27" ht="13.5" customHeight="1" x14ac:dyDescent="0.3">
      <c r="A256" s="241"/>
      <c r="B256" s="241"/>
      <c r="C256" s="241"/>
      <c r="D256" s="241"/>
      <c r="E256" s="241"/>
      <c r="F256" s="241"/>
      <c r="G256" s="241"/>
      <c r="H256" s="241"/>
      <c r="I256" s="241"/>
      <c r="J256" s="241"/>
      <c r="K256" s="241"/>
      <c r="L256" s="241"/>
      <c r="M256" s="241"/>
      <c r="N256" s="241"/>
      <c r="O256" s="241"/>
      <c r="P256" s="241"/>
      <c r="Q256" s="241"/>
      <c r="R256" s="241"/>
      <c r="S256" s="241"/>
      <c r="T256" s="241"/>
      <c r="U256" s="241"/>
      <c r="V256" s="241"/>
      <c r="W256" s="241"/>
      <c r="X256" s="241"/>
      <c r="Y256" s="241"/>
      <c r="Z256" s="241"/>
      <c r="AA256" s="241"/>
    </row>
    <row r="257" spans="1:27" ht="13.5" customHeight="1" x14ac:dyDescent="0.3">
      <c r="A257" s="241"/>
      <c r="B257" s="241"/>
      <c r="C257" s="241"/>
      <c r="D257" s="241"/>
      <c r="E257" s="241"/>
      <c r="F257" s="241"/>
      <c r="G257" s="241"/>
      <c r="H257" s="241"/>
      <c r="I257" s="241"/>
      <c r="J257" s="241"/>
      <c r="K257" s="241"/>
      <c r="L257" s="241"/>
      <c r="M257" s="241"/>
      <c r="N257" s="241"/>
      <c r="O257" s="241"/>
      <c r="P257" s="241"/>
      <c r="Q257" s="241"/>
      <c r="R257" s="241"/>
      <c r="S257" s="241"/>
      <c r="T257" s="241"/>
      <c r="U257" s="241"/>
      <c r="V257" s="241"/>
      <c r="W257" s="241"/>
      <c r="X257" s="241"/>
      <c r="Y257" s="241"/>
      <c r="Z257" s="241"/>
      <c r="AA257" s="241"/>
    </row>
    <row r="258" spans="1:27" ht="13.5" customHeight="1" x14ac:dyDescent="0.3">
      <c r="A258" s="241"/>
      <c r="B258" s="241"/>
      <c r="C258" s="241"/>
      <c r="D258" s="241"/>
      <c r="E258" s="241"/>
      <c r="F258" s="241"/>
      <c r="G258" s="241"/>
      <c r="H258" s="241"/>
      <c r="I258" s="241"/>
      <c r="J258" s="241"/>
      <c r="K258" s="241"/>
      <c r="L258" s="241"/>
      <c r="M258" s="241"/>
      <c r="N258" s="241"/>
      <c r="O258" s="241"/>
      <c r="P258" s="241"/>
      <c r="Q258" s="241"/>
      <c r="R258" s="241"/>
      <c r="S258" s="241"/>
      <c r="T258" s="241"/>
      <c r="U258" s="241"/>
      <c r="V258" s="241"/>
      <c r="W258" s="241"/>
      <c r="X258" s="241"/>
      <c r="Y258" s="241"/>
      <c r="Z258" s="241"/>
      <c r="AA258" s="241"/>
    </row>
    <row r="259" spans="1:27" ht="13.5" customHeight="1" x14ac:dyDescent="0.3">
      <c r="A259" s="241"/>
      <c r="B259" s="241"/>
      <c r="C259" s="241"/>
      <c r="D259" s="241"/>
      <c r="E259" s="241"/>
      <c r="F259" s="241"/>
      <c r="G259" s="241"/>
      <c r="H259" s="241"/>
      <c r="I259" s="241"/>
      <c r="J259" s="241"/>
      <c r="K259" s="241"/>
      <c r="L259" s="241"/>
      <c r="M259" s="241"/>
      <c r="N259" s="241"/>
      <c r="O259" s="241"/>
      <c r="P259" s="241"/>
      <c r="Q259" s="241"/>
      <c r="R259" s="241"/>
      <c r="S259" s="241"/>
      <c r="T259" s="241"/>
      <c r="U259" s="241"/>
      <c r="V259" s="241"/>
      <c r="W259" s="241"/>
      <c r="X259" s="241"/>
      <c r="Y259" s="241"/>
      <c r="Z259" s="241"/>
      <c r="AA259" s="241"/>
    </row>
    <row r="260" spans="1:27" ht="13.5" customHeight="1" x14ac:dyDescent="0.3">
      <c r="A260" s="241"/>
      <c r="B260" s="241"/>
      <c r="C260" s="241"/>
      <c r="D260" s="241"/>
      <c r="E260" s="241"/>
      <c r="F260" s="241"/>
      <c r="G260" s="241"/>
      <c r="H260" s="241"/>
      <c r="I260" s="241"/>
      <c r="J260" s="241"/>
      <c r="K260" s="241"/>
      <c r="L260" s="241"/>
      <c r="M260" s="241"/>
      <c r="N260" s="241"/>
      <c r="O260" s="241"/>
      <c r="P260" s="241"/>
      <c r="Q260" s="241"/>
      <c r="R260" s="241"/>
      <c r="S260" s="241"/>
      <c r="T260" s="241"/>
      <c r="U260" s="241"/>
      <c r="V260" s="241"/>
      <c r="W260" s="241"/>
      <c r="X260" s="241"/>
      <c r="Y260" s="241"/>
      <c r="Z260" s="241"/>
      <c r="AA260" s="241"/>
    </row>
    <row r="261" spans="1:27" ht="13.5" customHeight="1" x14ac:dyDescent="0.3">
      <c r="A261" s="241"/>
      <c r="B261" s="241"/>
      <c r="C261" s="241"/>
      <c r="D261" s="241"/>
      <c r="E261" s="241"/>
      <c r="F261" s="241"/>
      <c r="G261" s="241"/>
      <c r="H261" s="241"/>
      <c r="I261" s="241"/>
      <c r="J261" s="241"/>
      <c r="K261" s="241"/>
      <c r="L261" s="241"/>
      <c r="M261" s="241"/>
      <c r="N261" s="241"/>
      <c r="O261" s="241"/>
      <c r="P261" s="241"/>
      <c r="Q261" s="241"/>
      <c r="R261" s="241"/>
      <c r="S261" s="241"/>
      <c r="T261" s="241"/>
      <c r="U261" s="241"/>
      <c r="V261" s="241"/>
      <c r="W261" s="241"/>
      <c r="X261" s="241"/>
      <c r="Y261" s="241"/>
      <c r="Z261" s="241"/>
      <c r="AA261" s="241"/>
    </row>
    <row r="262" spans="1:27" ht="13.5" customHeight="1" x14ac:dyDescent="0.3">
      <c r="A262" s="241"/>
      <c r="B262" s="241"/>
      <c r="C262" s="241"/>
      <c r="D262" s="241"/>
      <c r="E262" s="241"/>
      <c r="F262" s="241"/>
      <c r="G262" s="241"/>
      <c r="H262" s="241"/>
      <c r="I262" s="241"/>
      <c r="J262" s="241"/>
      <c r="K262" s="241"/>
      <c r="L262" s="241"/>
      <c r="M262" s="241"/>
      <c r="N262" s="241"/>
      <c r="O262" s="241"/>
      <c r="P262" s="241"/>
      <c r="Q262" s="241"/>
      <c r="R262" s="241"/>
      <c r="S262" s="241"/>
      <c r="T262" s="241"/>
      <c r="U262" s="241"/>
      <c r="V262" s="241"/>
      <c r="W262" s="241"/>
      <c r="X262" s="241"/>
      <c r="Y262" s="241"/>
      <c r="Z262" s="241"/>
      <c r="AA262" s="241"/>
    </row>
    <row r="263" spans="1:27" ht="13.5" customHeight="1" x14ac:dyDescent="0.3">
      <c r="A263" s="241"/>
      <c r="B263" s="241"/>
      <c r="C263" s="241"/>
      <c r="D263" s="241"/>
      <c r="E263" s="241"/>
      <c r="F263" s="241"/>
      <c r="G263" s="241"/>
      <c r="H263" s="241"/>
      <c r="I263" s="241"/>
      <c r="J263" s="241"/>
      <c r="K263" s="241"/>
      <c r="L263" s="241"/>
      <c r="M263" s="241"/>
      <c r="N263" s="241"/>
      <c r="O263" s="241"/>
      <c r="P263" s="241"/>
      <c r="Q263" s="241"/>
      <c r="R263" s="241"/>
      <c r="S263" s="241"/>
      <c r="T263" s="241"/>
      <c r="U263" s="241"/>
      <c r="V263" s="241"/>
      <c r="W263" s="241"/>
      <c r="X263" s="241"/>
      <c r="Y263" s="241"/>
      <c r="Z263" s="241"/>
      <c r="AA263" s="241"/>
    </row>
    <row r="264" spans="1:27" ht="13.5" customHeight="1" x14ac:dyDescent="0.3">
      <c r="A264" s="241"/>
      <c r="B264" s="241"/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</row>
    <row r="265" spans="1:27" ht="13.5" customHeight="1" x14ac:dyDescent="0.3">
      <c r="A265" s="241"/>
      <c r="B265" s="241"/>
      <c r="C265" s="241"/>
      <c r="D265" s="241"/>
      <c r="E265" s="241"/>
      <c r="F265" s="241"/>
      <c r="G265" s="241"/>
      <c r="H265" s="241"/>
      <c r="I265" s="241"/>
      <c r="J265" s="241"/>
      <c r="K265" s="241"/>
      <c r="L265" s="241"/>
      <c r="M265" s="241"/>
      <c r="N265" s="241"/>
      <c r="O265" s="241"/>
      <c r="P265" s="241"/>
      <c r="Q265" s="241"/>
      <c r="R265" s="241"/>
      <c r="S265" s="241"/>
      <c r="T265" s="241"/>
      <c r="U265" s="241"/>
      <c r="V265" s="241"/>
      <c r="W265" s="241"/>
      <c r="X265" s="241"/>
      <c r="Y265" s="241"/>
      <c r="Z265" s="241"/>
      <c r="AA265" s="241"/>
    </row>
    <row r="266" spans="1:27" ht="13.5" customHeight="1" x14ac:dyDescent="0.3">
      <c r="A266" s="241"/>
      <c r="B266" s="241"/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</row>
    <row r="267" spans="1:27" ht="13.5" customHeight="1" x14ac:dyDescent="0.3">
      <c r="A267" s="241"/>
      <c r="B267" s="241"/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</row>
    <row r="268" spans="1:27" ht="13.5" customHeight="1" x14ac:dyDescent="0.3">
      <c r="A268" s="241"/>
      <c r="B268" s="241"/>
      <c r="C268" s="241"/>
      <c r="D268" s="241"/>
      <c r="E268" s="241"/>
      <c r="F268" s="241"/>
      <c r="G268" s="241"/>
      <c r="H268" s="241"/>
      <c r="I268" s="241"/>
      <c r="J268" s="241"/>
      <c r="K268" s="241"/>
      <c r="L268" s="241"/>
      <c r="M268" s="241"/>
      <c r="N268" s="241"/>
      <c r="O268" s="241"/>
      <c r="P268" s="241"/>
      <c r="Q268" s="241"/>
      <c r="R268" s="241"/>
      <c r="S268" s="241"/>
      <c r="T268" s="241"/>
      <c r="U268" s="241"/>
      <c r="V268" s="241"/>
      <c r="W268" s="241"/>
      <c r="X268" s="241"/>
      <c r="Y268" s="241"/>
      <c r="Z268" s="241"/>
      <c r="AA268" s="241"/>
    </row>
    <row r="269" spans="1:27" ht="13.5" customHeight="1" x14ac:dyDescent="0.3">
      <c r="A269" s="241"/>
      <c r="B269" s="241"/>
      <c r="C269" s="241"/>
      <c r="D269" s="241"/>
      <c r="E269" s="241"/>
      <c r="F269" s="241"/>
      <c r="G269" s="241"/>
      <c r="H269" s="241"/>
      <c r="I269" s="241"/>
      <c r="J269" s="241"/>
      <c r="K269" s="241"/>
      <c r="L269" s="241"/>
      <c r="M269" s="241"/>
      <c r="N269" s="241"/>
      <c r="O269" s="241"/>
      <c r="P269" s="241"/>
      <c r="Q269" s="241"/>
      <c r="R269" s="241"/>
      <c r="S269" s="241"/>
      <c r="T269" s="241"/>
      <c r="U269" s="241"/>
      <c r="V269" s="241"/>
      <c r="W269" s="241"/>
      <c r="X269" s="241"/>
      <c r="Y269" s="241"/>
      <c r="Z269" s="241"/>
      <c r="AA269" s="241"/>
    </row>
    <row r="270" spans="1:27" ht="13.5" customHeight="1" x14ac:dyDescent="0.3">
      <c r="A270" s="241"/>
      <c r="B270" s="241"/>
      <c r="C270" s="241"/>
      <c r="D270" s="241"/>
      <c r="E270" s="241"/>
      <c r="F270" s="241"/>
      <c r="G270" s="241"/>
      <c r="H270" s="241"/>
      <c r="I270" s="241"/>
      <c r="J270" s="241"/>
      <c r="K270" s="241"/>
      <c r="L270" s="241"/>
      <c r="M270" s="241"/>
      <c r="N270" s="241"/>
      <c r="O270" s="241"/>
      <c r="P270" s="241"/>
      <c r="Q270" s="241"/>
      <c r="R270" s="241"/>
      <c r="S270" s="241"/>
      <c r="T270" s="241"/>
      <c r="U270" s="241"/>
      <c r="V270" s="241"/>
      <c r="W270" s="241"/>
      <c r="X270" s="241"/>
      <c r="Y270" s="241"/>
      <c r="Z270" s="241"/>
      <c r="AA270" s="241"/>
    </row>
    <row r="271" spans="1:27" ht="13.5" customHeight="1" x14ac:dyDescent="0.3">
      <c r="A271" s="241"/>
      <c r="B271" s="241"/>
      <c r="C271" s="241"/>
      <c r="D271" s="241"/>
      <c r="E271" s="241"/>
      <c r="F271" s="241"/>
      <c r="G271" s="241"/>
      <c r="H271" s="241"/>
      <c r="I271" s="241"/>
      <c r="J271" s="241"/>
      <c r="K271" s="241"/>
      <c r="L271" s="241"/>
      <c r="M271" s="241"/>
      <c r="N271" s="241"/>
      <c r="O271" s="241"/>
      <c r="P271" s="241"/>
      <c r="Q271" s="241"/>
      <c r="R271" s="241"/>
      <c r="S271" s="241"/>
      <c r="T271" s="241"/>
      <c r="U271" s="241"/>
      <c r="V271" s="241"/>
      <c r="W271" s="241"/>
      <c r="X271" s="241"/>
      <c r="Y271" s="241"/>
      <c r="Z271" s="241"/>
      <c r="AA271" s="241"/>
    </row>
    <row r="272" spans="1:27" ht="13.5" customHeight="1" x14ac:dyDescent="0.3">
      <c r="A272" s="241"/>
      <c r="B272" s="241"/>
      <c r="C272" s="241"/>
      <c r="D272" s="241"/>
      <c r="E272" s="241"/>
      <c r="F272" s="241"/>
      <c r="G272" s="241"/>
      <c r="H272" s="241"/>
      <c r="I272" s="241"/>
      <c r="J272" s="241"/>
      <c r="K272" s="241"/>
      <c r="L272" s="241"/>
      <c r="M272" s="241"/>
      <c r="N272" s="241"/>
      <c r="O272" s="241"/>
      <c r="P272" s="241"/>
      <c r="Q272" s="241"/>
      <c r="R272" s="241"/>
      <c r="S272" s="241"/>
      <c r="T272" s="241"/>
      <c r="U272" s="241"/>
      <c r="V272" s="241"/>
      <c r="W272" s="241"/>
      <c r="X272" s="241"/>
      <c r="Y272" s="241"/>
      <c r="Z272" s="241"/>
      <c r="AA272" s="241"/>
    </row>
    <row r="273" spans="1:27" ht="13.5" customHeight="1" x14ac:dyDescent="0.3">
      <c r="A273" s="241"/>
      <c r="B273" s="241"/>
      <c r="C273" s="241"/>
      <c r="D273" s="241"/>
      <c r="E273" s="241"/>
      <c r="F273" s="241"/>
      <c r="G273" s="241"/>
      <c r="H273" s="241"/>
      <c r="I273" s="241"/>
      <c r="J273" s="241"/>
      <c r="K273" s="241"/>
      <c r="L273" s="241"/>
      <c r="M273" s="241"/>
      <c r="N273" s="241"/>
      <c r="O273" s="241"/>
      <c r="P273" s="241"/>
      <c r="Q273" s="241"/>
      <c r="R273" s="241"/>
      <c r="S273" s="241"/>
      <c r="T273" s="241"/>
      <c r="U273" s="241"/>
      <c r="V273" s="241"/>
      <c r="W273" s="241"/>
      <c r="X273" s="241"/>
      <c r="Y273" s="241"/>
      <c r="Z273" s="241"/>
      <c r="AA273" s="241"/>
    </row>
    <row r="274" spans="1:27" ht="13.5" customHeight="1" x14ac:dyDescent="0.3">
      <c r="A274" s="241"/>
      <c r="B274" s="241"/>
      <c r="C274" s="241"/>
      <c r="D274" s="241"/>
      <c r="E274" s="241"/>
      <c r="F274" s="241"/>
      <c r="G274" s="241"/>
      <c r="H274" s="241"/>
      <c r="I274" s="241"/>
      <c r="J274" s="241"/>
      <c r="K274" s="241"/>
      <c r="L274" s="241"/>
      <c r="M274" s="241"/>
      <c r="N274" s="241"/>
      <c r="O274" s="241"/>
      <c r="P274" s="241"/>
      <c r="Q274" s="241"/>
      <c r="R274" s="241"/>
      <c r="S274" s="241"/>
      <c r="T274" s="241"/>
      <c r="U274" s="241"/>
      <c r="V274" s="241"/>
      <c r="W274" s="241"/>
      <c r="X274" s="241"/>
      <c r="Y274" s="241"/>
      <c r="Z274" s="241"/>
      <c r="AA274" s="241"/>
    </row>
    <row r="275" spans="1:27" ht="13.5" customHeight="1" x14ac:dyDescent="0.3">
      <c r="A275" s="241"/>
      <c r="B275" s="241"/>
      <c r="C275" s="241"/>
      <c r="D275" s="241"/>
      <c r="E275" s="241"/>
      <c r="F275" s="241"/>
      <c r="G275" s="241"/>
      <c r="H275" s="241"/>
      <c r="I275" s="241"/>
      <c r="J275" s="241"/>
      <c r="K275" s="241"/>
      <c r="L275" s="241"/>
      <c r="M275" s="241"/>
      <c r="N275" s="241"/>
      <c r="O275" s="241"/>
      <c r="P275" s="241"/>
      <c r="Q275" s="241"/>
      <c r="R275" s="241"/>
      <c r="S275" s="241"/>
      <c r="T275" s="241"/>
      <c r="U275" s="241"/>
      <c r="V275" s="241"/>
      <c r="W275" s="241"/>
      <c r="X275" s="241"/>
      <c r="Y275" s="241"/>
      <c r="Z275" s="241"/>
      <c r="AA275" s="241"/>
    </row>
    <row r="276" spans="1:27" ht="13.5" customHeight="1" x14ac:dyDescent="0.3">
      <c r="A276" s="241"/>
      <c r="B276" s="241"/>
      <c r="C276" s="241"/>
      <c r="D276" s="241"/>
      <c r="E276" s="241"/>
      <c r="F276" s="241"/>
      <c r="G276" s="241"/>
      <c r="H276" s="241"/>
      <c r="I276" s="241"/>
      <c r="J276" s="241"/>
      <c r="K276" s="241"/>
      <c r="L276" s="241"/>
      <c r="M276" s="241"/>
      <c r="N276" s="241"/>
      <c r="O276" s="241"/>
      <c r="P276" s="241"/>
      <c r="Q276" s="241"/>
      <c r="R276" s="241"/>
      <c r="S276" s="241"/>
      <c r="T276" s="241"/>
      <c r="U276" s="241"/>
      <c r="V276" s="241"/>
      <c r="W276" s="241"/>
      <c r="X276" s="241"/>
      <c r="Y276" s="241"/>
      <c r="Z276" s="241"/>
      <c r="AA276" s="241"/>
    </row>
    <row r="277" spans="1:27" ht="13.5" customHeight="1" x14ac:dyDescent="0.3">
      <c r="A277" s="241"/>
      <c r="B277" s="241"/>
      <c r="C277" s="241"/>
      <c r="D277" s="241"/>
      <c r="E277" s="241"/>
      <c r="F277" s="241"/>
      <c r="G277" s="241"/>
      <c r="H277" s="241"/>
      <c r="I277" s="241"/>
      <c r="J277" s="241"/>
      <c r="K277" s="241"/>
      <c r="L277" s="241"/>
      <c r="M277" s="241"/>
      <c r="N277" s="241"/>
      <c r="O277" s="241"/>
      <c r="P277" s="241"/>
      <c r="Q277" s="241"/>
      <c r="R277" s="241"/>
      <c r="S277" s="241"/>
      <c r="T277" s="241"/>
      <c r="U277" s="241"/>
      <c r="V277" s="241"/>
      <c r="W277" s="241"/>
      <c r="X277" s="241"/>
      <c r="Y277" s="241"/>
      <c r="Z277" s="241"/>
      <c r="AA277" s="241"/>
    </row>
    <row r="278" spans="1:27" ht="13.5" customHeight="1" x14ac:dyDescent="0.3">
      <c r="A278" s="241"/>
      <c r="B278" s="241"/>
      <c r="C278" s="241"/>
      <c r="D278" s="241"/>
      <c r="E278" s="241"/>
      <c r="F278" s="241"/>
      <c r="G278" s="241"/>
      <c r="H278" s="241"/>
      <c r="I278" s="241"/>
      <c r="J278" s="241"/>
      <c r="K278" s="241"/>
      <c r="L278" s="241"/>
      <c r="M278" s="241"/>
      <c r="N278" s="241"/>
      <c r="O278" s="241"/>
      <c r="P278" s="241"/>
      <c r="Q278" s="241"/>
      <c r="R278" s="241"/>
      <c r="S278" s="241"/>
      <c r="T278" s="241"/>
      <c r="U278" s="241"/>
      <c r="V278" s="241"/>
      <c r="W278" s="241"/>
      <c r="X278" s="241"/>
      <c r="Y278" s="241"/>
      <c r="Z278" s="241"/>
      <c r="AA278" s="241"/>
    </row>
    <row r="279" spans="1:27" ht="13.5" customHeight="1" x14ac:dyDescent="0.3">
      <c r="A279" s="241"/>
      <c r="B279" s="241"/>
      <c r="C279" s="241"/>
      <c r="D279" s="241"/>
      <c r="E279" s="241"/>
      <c r="F279" s="241"/>
      <c r="G279" s="241"/>
      <c r="H279" s="241"/>
      <c r="I279" s="241"/>
      <c r="J279" s="241"/>
      <c r="K279" s="241"/>
      <c r="L279" s="241"/>
      <c r="M279" s="241"/>
      <c r="N279" s="241"/>
      <c r="O279" s="241"/>
      <c r="P279" s="241"/>
      <c r="Q279" s="241"/>
      <c r="R279" s="241"/>
      <c r="S279" s="241"/>
      <c r="T279" s="241"/>
      <c r="U279" s="241"/>
      <c r="V279" s="241"/>
      <c r="W279" s="241"/>
      <c r="X279" s="241"/>
      <c r="Y279" s="241"/>
      <c r="Z279" s="241"/>
      <c r="AA279" s="241"/>
    </row>
    <row r="280" spans="1:27" ht="13.5" customHeight="1" x14ac:dyDescent="0.3">
      <c r="A280" s="241"/>
      <c r="B280" s="241"/>
      <c r="C280" s="241"/>
      <c r="D280" s="241"/>
      <c r="E280" s="241"/>
      <c r="F280" s="241"/>
      <c r="G280" s="241"/>
      <c r="H280" s="241"/>
      <c r="I280" s="241"/>
      <c r="J280" s="241"/>
      <c r="K280" s="241"/>
      <c r="L280" s="241"/>
      <c r="M280" s="241"/>
      <c r="N280" s="241"/>
      <c r="O280" s="241"/>
      <c r="P280" s="241"/>
      <c r="Q280" s="241"/>
      <c r="R280" s="241"/>
      <c r="S280" s="241"/>
      <c r="T280" s="241"/>
      <c r="U280" s="241"/>
      <c r="V280" s="241"/>
      <c r="W280" s="241"/>
      <c r="X280" s="241"/>
      <c r="Y280" s="241"/>
      <c r="Z280" s="241"/>
      <c r="AA280" s="241"/>
    </row>
    <row r="281" spans="1:27" ht="13.5" customHeight="1" x14ac:dyDescent="0.3">
      <c r="A281" s="241"/>
      <c r="B281" s="241"/>
      <c r="C281" s="241"/>
      <c r="D281" s="241"/>
      <c r="E281" s="241"/>
      <c r="F281" s="241"/>
      <c r="G281" s="241"/>
      <c r="H281" s="241"/>
      <c r="I281" s="241"/>
      <c r="J281" s="241"/>
      <c r="K281" s="241"/>
      <c r="L281" s="241"/>
      <c r="M281" s="241"/>
      <c r="N281" s="241"/>
      <c r="O281" s="241"/>
      <c r="P281" s="241"/>
      <c r="Q281" s="241"/>
      <c r="R281" s="241"/>
      <c r="S281" s="241"/>
      <c r="T281" s="241"/>
      <c r="U281" s="241"/>
      <c r="V281" s="241"/>
      <c r="W281" s="241"/>
      <c r="X281" s="241"/>
      <c r="Y281" s="241"/>
      <c r="Z281" s="241"/>
      <c r="AA281" s="241"/>
    </row>
    <row r="282" spans="1:27" ht="13.5" customHeight="1" x14ac:dyDescent="0.3">
      <c r="A282" s="241"/>
      <c r="B282" s="241"/>
      <c r="C282" s="241"/>
      <c r="D282" s="241"/>
      <c r="E282" s="241"/>
      <c r="F282" s="241"/>
      <c r="G282" s="241"/>
      <c r="H282" s="241"/>
      <c r="I282" s="241"/>
      <c r="J282" s="241"/>
      <c r="K282" s="241"/>
      <c r="L282" s="241"/>
      <c r="M282" s="241"/>
      <c r="N282" s="241"/>
      <c r="O282" s="241"/>
      <c r="P282" s="241"/>
      <c r="Q282" s="241"/>
      <c r="R282" s="241"/>
      <c r="S282" s="241"/>
      <c r="T282" s="241"/>
      <c r="U282" s="241"/>
      <c r="V282" s="241"/>
      <c r="W282" s="241"/>
      <c r="X282" s="241"/>
      <c r="Y282" s="241"/>
      <c r="Z282" s="241"/>
      <c r="AA282" s="241"/>
    </row>
    <row r="283" spans="1:27" ht="13.5" customHeight="1" x14ac:dyDescent="0.3">
      <c r="A283" s="241"/>
      <c r="B283" s="241"/>
      <c r="C283" s="241"/>
      <c r="D283" s="241"/>
      <c r="E283" s="241"/>
      <c r="F283" s="241"/>
      <c r="G283" s="241"/>
      <c r="H283" s="241"/>
      <c r="I283" s="241"/>
      <c r="J283" s="241"/>
      <c r="K283" s="241"/>
      <c r="L283" s="241"/>
      <c r="M283" s="241"/>
      <c r="N283" s="241"/>
      <c r="O283" s="241"/>
      <c r="P283" s="241"/>
      <c r="Q283" s="241"/>
      <c r="R283" s="241"/>
      <c r="S283" s="241"/>
      <c r="T283" s="241"/>
      <c r="U283" s="241"/>
      <c r="V283" s="241"/>
      <c r="W283" s="241"/>
      <c r="X283" s="241"/>
      <c r="Y283" s="241"/>
      <c r="Z283" s="241"/>
      <c r="AA283" s="241"/>
    </row>
    <row r="284" spans="1:27" ht="13.5" customHeight="1" x14ac:dyDescent="0.3">
      <c r="A284" s="241"/>
      <c r="B284" s="241"/>
      <c r="C284" s="241"/>
      <c r="D284" s="241"/>
      <c r="E284" s="241"/>
      <c r="F284" s="241"/>
      <c r="G284" s="241"/>
      <c r="H284" s="241"/>
      <c r="I284" s="241"/>
      <c r="J284" s="241"/>
      <c r="K284" s="241"/>
      <c r="L284" s="241"/>
      <c r="M284" s="241"/>
      <c r="N284" s="241"/>
      <c r="O284" s="241"/>
      <c r="P284" s="241"/>
      <c r="Q284" s="241"/>
      <c r="R284" s="241"/>
      <c r="S284" s="241"/>
      <c r="T284" s="241"/>
      <c r="U284" s="241"/>
      <c r="V284" s="241"/>
      <c r="W284" s="241"/>
      <c r="X284" s="241"/>
      <c r="Y284" s="241"/>
      <c r="Z284" s="241"/>
      <c r="AA284" s="241"/>
    </row>
    <row r="285" spans="1:27" ht="13.5" customHeight="1" x14ac:dyDescent="0.3">
      <c r="A285" s="241"/>
      <c r="B285" s="241"/>
      <c r="C285" s="241"/>
      <c r="D285" s="241"/>
      <c r="E285" s="241"/>
      <c r="F285" s="241"/>
      <c r="G285" s="241"/>
      <c r="H285" s="241"/>
      <c r="I285" s="241"/>
      <c r="J285" s="241"/>
      <c r="K285" s="241"/>
      <c r="L285" s="241"/>
      <c r="M285" s="241"/>
      <c r="N285" s="241"/>
      <c r="O285" s="241"/>
      <c r="P285" s="241"/>
      <c r="Q285" s="241"/>
      <c r="R285" s="241"/>
      <c r="S285" s="241"/>
      <c r="T285" s="241"/>
      <c r="U285" s="241"/>
      <c r="V285" s="241"/>
      <c r="W285" s="241"/>
      <c r="X285" s="241"/>
      <c r="Y285" s="241"/>
      <c r="Z285" s="241"/>
      <c r="AA285" s="241"/>
    </row>
    <row r="286" spans="1:27" ht="13.5" customHeight="1" x14ac:dyDescent="0.3">
      <c r="A286" s="241"/>
      <c r="B286" s="241"/>
      <c r="C286" s="241"/>
      <c r="D286" s="241"/>
      <c r="E286" s="241"/>
      <c r="F286" s="241"/>
      <c r="G286" s="241"/>
      <c r="H286" s="241"/>
      <c r="I286" s="241"/>
      <c r="J286" s="241"/>
      <c r="K286" s="241"/>
      <c r="L286" s="241"/>
      <c r="M286" s="241"/>
      <c r="N286" s="241"/>
      <c r="O286" s="241"/>
      <c r="P286" s="241"/>
      <c r="Q286" s="241"/>
      <c r="R286" s="241"/>
      <c r="S286" s="241"/>
      <c r="T286" s="241"/>
      <c r="U286" s="241"/>
      <c r="V286" s="241"/>
      <c r="W286" s="241"/>
      <c r="X286" s="241"/>
      <c r="Y286" s="241"/>
      <c r="Z286" s="241"/>
      <c r="AA286" s="241"/>
    </row>
    <row r="287" spans="1:27" ht="13.5" customHeight="1" x14ac:dyDescent="0.3">
      <c r="A287" s="241"/>
      <c r="B287" s="241"/>
      <c r="C287" s="241"/>
      <c r="D287" s="241"/>
      <c r="E287" s="241"/>
      <c r="F287" s="241"/>
      <c r="G287" s="241"/>
      <c r="H287" s="241"/>
      <c r="I287" s="241"/>
      <c r="J287" s="241"/>
      <c r="K287" s="241"/>
      <c r="L287" s="241"/>
      <c r="M287" s="241"/>
      <c r="N287" s="241"/>
      <c r="O287" s="241"/>
      <c r="P287" s="241"/>
      <c r="Q287" s="241"/>
      <c r="R287" s="241"/>
      <c r="S287" s="241"/>
      <c r="T287" s="241"/>
      <c r="U287" s="241"/>
      <c r="V287" s="241"/>
      <c r="W287" s="241"/>
      <c r="X287" s="241"/>
      <c r="Y287" s="241"/>
      <c r="Z287" s="241"/>
      <c r="AA287" s="241"/>
    </row>
    <row r="288" spans="1:27" ht="13.5" customHeight="1" x14ac:dyDescent="0.3">
      <c r="A288" s="241"/>
      <c r="B288" s="241"/>
      <c r="C288" s="241"/>
      <c r="D288" s="241"/>
      <c r="E288" s="241"/>
      <c r="F288" s="241"/>
      <c r="G288" s="241"/>
      <c r="H288" s="241"/>
      <c r="I288" s="241"/>
      <c r="J288" s="241"/>
      <c r="K288" s="241"/>
      <c r="L288" s="241"/>
      <c r="M288" s="241"/>
      <c r="N288" s="241"/>
      <c r="O288" s="241"/>
      <c r="P288" s="241"/>
      <c r="Q288" s="241"/>
      <c r="R288" s="241"/>
      <c r="S288" s="241"/>
      <c r="T288" s="241"/>
      <c r="U288" s="241"/>
      <c r="V288" s="241"/>
      <c r="W288" s="241"/>
      <c r="X288" s="241"/>
      <c r="Y288" s="241"/>
      <c r="Z288" s="241"/>
      <c r="AA288" s="241"/>
    </row>
    <row r="289" spans="1:27" ht="13.5" customHeight="1" x14ac:dyDescent="0.3">
      <c r="A289" s="241"/>
      <c r="B289" s="241"/>
      <c r="C289" s="241"/>
      <c r="D289" s="241"/>
      <c r="E289" s="241"/>
      <c r="F289" s="241"/>
      <c r="G289" s="241"/>
      <c r="H289" s="241"/>
      <c r="I289" s="241"/>
      <c r="J289" s="241"/>
      <c r="K289" s="241"/>
      <c r="L289" s="241"/>
      <c r="M289" s="241"/>
      <c r="N289" s="241"/>
      <c r="O289" s="241"/>
      <c r="P289" s="241"/>
      <c r="Q289" s="241"/>
      <c r="R289" s="241"/>
      <c r="S289" s="241"/>
      <c r="T289" s="241"/>
      <c r="U289" s="241"/>
      <c r="V289" s="241"/>
      <c r="W289" s="241"/>
      <c r="X289" s="241"/>
      <c r="Y289" s="241"/>
      <c r="Z289" s="241"/>
      <c r="AA289" s="241"/>
    </row>
    <row r="290" spans="1:27" ht="13.5" customHeight="1" x14ac:dyDescent="0.3">
      <c r="A290" s="241"/>
      <c r="B290" s="241"/>
      <c r="C290" s="241"/>
      <c r="D290" s="241"/>
      <c r="E290" s="241"/>
      <c r="F290" s="241"/>
      <c r="G290" s="241"/>
      <c r="H290" s="241"/>
      <c r="I290" s="241"/>
      <c r="J290" s="241"/>
      <c r="K290" s="241"/>
      <c r="L290" s="241"/>
      <c r="M290" s="241"/>
      <c r="N290" s="241"/>
      <c r="O290" s="241"/>
      <c r="P290" s="241"/>
      <c r="Q290" s="241"/>
      <c r="R290" s="241"/>
      <c r="S290" s="241"/>
      <c r="T290" s="241"/>
      <c r="U290" s="241"/>
      <c r="V290" s="241"/>
      <c r="W290" s="241"/>
      <c r="X290" s="241"/>
      <c r="Y290" s="241"/>
      <c r="Z290" s="241"/>
      <c r="AA290" s="241"/>
    </row>
    <row r="291" spans="1:27" ht="13.5" customHeight="1" x14ac:dyDescent="0.3">
      <c r="A291" s="241"/>
      <c r="B291" s="241"/>
      <c r="C291" s="241"/>
      <c r="D291" s="241"/>
      <c r="E291" s="241"/>
      <c r="F291" s="241"/>
      <c r="G291" s="241"/>
      <c r="H291" s="241"/>
      <c r="I291" s="241"/>
      <c r="J291" s="241"/>
      <c r="K291" s="241"/>
      <c r="L291" s="241"/>
      <c r="M291" s="241"/>
      <c r="N291" s="241"/>
      <c r="O291" s="241"/>
      <c r="P291" s="241"/>
      <c r="Q291" s="241"/>
      <c r="R291" s="241"/>
      <c r="S291" s="241"/>
      <c r="T291" s="241"/>
      <c r="U291" s="241"/>
      <c r="V291" s="241"/>
      <c r="W291" s="241"/>
      <c r="X291" s="241"/>
      <c r="Y291" s="241"/>
      <c r="Z291" s="241"/>
      <c r="AA291" s="241"/>
    </row>
    <row r="292" spans="1:27" ht="13.5" customHeight="1" x14ac:dyDescent="0.3">
      <c r="A292" s="241"/>
      <c r="B292" s="241"/>
      <c r="C292" s="241"/>
      <c r="D292" s="241"/>
      <c r="E292" s="241"/>
      <c r="F292" s="241"/>
      <c r="G292" s="241"/>
      <c r="H292" s="241"/>
      <c r="I292" s="241"/>
      <c r="J292" s="241"/>
      <c r="K292" s="241"/>
      <c r="L292" s="241"/>
      <c r="M292" s="241"/>
      <c r="N292" s="241"/>
      <c r="O292" s="241"/>
      <c r="P292" s="241"/>
      <c r="Q292" s="241"/>
      <c r="R292" s="241"/>
      <c r="S292" s="241"/>
      <c r="T292" s="241"/>
      <c r="U292" s="241"/>
      <c r="V292" s="241"/>
      <c r="W292" s="241"/>
      <c r="X292" s="241"/>
      <c r="Y292" s="241"/>
      <c r="Z292" s="241"/>
      <c r="AA292" s="241"/>
    </row>
    <row r="293" spans="1:27" ht="13.5" customHeight="1" x14ac:dyDescent="0.3">
      <c r="A293" s="241"/>
      <c r="B293" s="241"/>
      <c r="C293" s="241"/>
      <c r="D293" s="241"/>
      <c r="E293" s="241"/>
      <c r="F293" s="241"/>
      <c r="G293" s="241"/>
      <c r="H293" s="241"/>
      <c r="I293" s="241"/>
      <c r="J293" s="241"/>
      <c r="K293" s="241"/>
      <c r="L293" s="241"/>
      <c r="M293" s="241"/>
      <c r="N293" s="241"/>
      <c r="O293" s="241"/>
      <c r="P293" s="241"/>
      <c r="Q293" s="241"/>
      <c r="R293" s="241"/>
      <c r="S293" s="241"/>
      <c r="T293" s="241"/>
      <c r="U293" s="241"/>
      <c r="V293" s="241"/>
      <c r="W293" s="241"/>
      <c r="X293" s="241"/>
      <c r="Y293" s="241"/>
      <c r="Z293" s="241"/>
      <c r="AA293" s="241"/>
    </row>
    <row r="294" spans="1:27" ht="13.5" customHeight="1" x14ac:dyDescent="0.3">
      <c r="A294" s="241"/>
      <c r="B294" s="241"/>
      <c r="C294" s="241"/>
      <c r="D294" s="241"/>
      <c r="E294" s="241"/>
      <c r="F294" s="241"/>
      <c r="G294" s="241"/>
      <c r="H294" s="241"/>
      <c r="I294" s="241"/>
      <c r="J294" s="241"/>
      <c r="K294" s="241"/>
      <c r="L294" s="241"/>
      <c r="M294" s="241"/>
      <c r="N294" s="241"/>
      <c r="O294" s="241"/>
      <c r="P294" s="241"/>
      <c r="Q294" s="241"/>
      <c r="R294" s="241"/>
      <c r="S294" s="241"/>
      <c r="T294" s="241"/>
      <c r="U294" s="241"/>
      <c r="V294" s="241"/>
      <c r="W294" s="241"/>
      <c r="X294" s="241"/>
      <c r="Y294" s="241"/>
      <c r="Z294" s="241"/>
      <c r="AA294" s="241"/>
    </row>
    <row r="295" spans="1:27" ht="13.5" customHeight="1" x14ac:dyDescent="0.3">
      <c r="A295" s="241"/>
      <c r="B295" s="241"/>
      <c r="C295" s="241"/>
      <c r="D295" s="241"/>
      <c r="E295" s="241"/>
      <c r="F295" s="241"/>
      <c r="G295" s="241"/>
      <c r="H295" s="241"/>
      <c r="I295" s="241"/>
      <c r="J295" s="241"/>
      <c r="K295" s="241"/>
      <c r="L295" s="241"/>
      <c r="M295" s="241"/>
      <c r="N295" s="241"/>
      <c r="O295" s="241"/>
      <c r="P295" s="241"/>
      <c r="Q295" s="241"/>
      <c r="R295" s="241"/>
      <c r="S295" s="241"/>
      <c r="T295" s="241"/>
      <c r="U295" s="241"/>
      <c r="V295" s="241"/>
      <c r="W295" s="241"/>
      <c r="X295" s="241"/>
      <c r="Y295" s="241"/>
      <c r="Z295" s="241"/>
      <c r="AA295" s="241"/>
    </row>
    <row r="296" spans="1:27" ht="13.5" customHeight="1" x14ac:dyDescent="0.3">
      <c r="A296" s="241"/>
      <c r="B296" s="241"/>
      <c r="C296" s="241"/>
      <c r="D296" s="241"/>
      <c r="E296" s="241"/>
      <c r="F296" s="241"/>
      <c r="G296" s="241"/>
      <c r="H296" s="241"/>
      <c r="I296" s="241"/>
      <c r="J296" s="241"/>
      <c r="K296" s="241"/>
      <c r="L296" s="241"/>
      <c r="M296" s="241"/>
      <c r="N296" s="241"/>
      <c r="O296" s="241"/>
      <c r="P296" s="241"/>
      <c r="Q296" s="241"/>
      <c r="R296" s="241"/>
      <c r="S296" s="241"/>
      <c r="T296" s="241"/>
      <c r="U296" s="241"/>
      <c r="V296" s="241"/>
      <c r="W296" s="241"/>
      <c r="X296" s="241"/>
      <c r="Y296" s="241"/>
      <c r="Z296" s="241"/>
      <c r="AA296" s="241"/>
    </row>
    <row r="297" spans="1:27" ht="13.5" customHeight="1" x14ac:dyDescent="0.3">
      <c r="A297" s="241"/>
      <c r="B297" s="241"/>
      <c r="C297" s="241"/>
      <c r="D297" s="241"/>
      <c r="E297" s="241"/>
      <c r="F297" s="241"/>
      <c r="G297" s="241"/>
      <c r="H297" s="241"/>
      <c r="I297" s="241"/>
      <c r="J297" s="241"/>
      <c r="K297" s="241"/>
      <c r="L297" s="241"/>
      <c r="M297" s="241"/>
      <c r="N297" s="241"/>
      <c r="O297" s="241"/>
      <c r="P297" s="241"/>
      <c r="Q297" s="241"/>
      <c r="R297" s="241"/>
      <c r="S297" s="241"/>
      <c r="T297" s="241"/>
      <c r="U297" s="241"/>
      <c r="V297" s="241"/>
      <c r="W297" s="241"/>
      <c r="X297" s="241"/>
      <c r="Y297" s="241"/>
      <c r="Z297" s="241"/>
      <c r="AA297" s="241"/>
    </row>
    <row r="298" spans="1:27" ht="13.5" customHeight="1" x14ac:dyDescent="0.3">
      <c r="A298" s="241"/>
      <c r="B298" s="241"/>
      <c r="C298" s="241"/>
      <c r="D298" s="241"/>
      <c r="E298" s="241"/>
      <c r="F298" s="241"/>
      <c r="G298" s="241"/>
      <c r="H298" s="241"/>
      <c r="I298" s="241"/>
      <c r="J298" s="241"/>
      <c r="K298" s="241"/>
      <c r="L298" s="241"/>
      <c r="M298" s="241"/>
      <c r="N298" s="241"/>
      <c r="O298" s="241"/>
      <c r="P298" s="241"/>
      <c r="Q298" s="241"/>
      <c r="R298" s="241"/>
      <c r="S298" s="241"/>
      <c r="T298" s="241"/>
      <c r="U298" s="241"/>
      <c r="V298" s="241"/>
      <c r="W298" s="241"/>
      <c r="X298" s="241"/>
      <c r="Y298" s="241"/>
      <c r="Z298" s="241"/>
      <c r="AA298" s="241"/>
    </row>
    <row r="299" spans="1:27" ht="13.5" customHeight="1" x14ac:dyDescent="0.3">
      <c r="A299" s="241"/>
      <c r="B299" s="241"/>
      <c r="C299" s="241"/>
      <c r="D299" s="241"/>
      <c r="E299" s="241"/>
      <c r="F299" s="241"/>
      <c r="G299" s="241"/>
      <c r="H299" s="241"/>
      <c r="I299" s="241"/>
      <c r="J299" s="241"/>
      <c r="K299" s="241"/>
      <c r="L299" s="241"/>
      <c r="M299" s="241"/>
      <c r="N299" s="241"/>
      <c r="O299" s="241"/>
      <c r="P299" s="241"/>
      <c r="Q299" s="241"/>
      <c r="R299" s="241"/>
      <c r="S299" s="241"/>
      <c r="T299" s="241"/>
      <c r="U299" s="241"/>
      <c r="V299" s="241"/>
      <c r="W299" s="241"/>
      <c r="X299" s="241"/>
      <c r="Y299" s="241"/>
      <c r="Z299" s="241"/>
      <c r="AA299" s="241"/>
    </row>
    <row r="300" spans="1:27" ht="13.5" customHeight="1" x14ac:dyDescent="0.3">
      <c r="A300" s="241"/>
      <c r="B300" s="241"/>
      <c r="C300" s="241"/>
      <c r="D300" s="241"/>
      <c r="E300" s="241"/>
      <c r="F300" s="241"/>
      <c r="G300" s="241"/>
      <c r="H300" s="241"/>
      <c r="I300" s="241"/>
      <c r="J300" s="241"/>
      <c r="K300" s="241"/>
      <c r="L300" s="241"/>
      <c r="M300" s="241"/>
      <c r="N300" s="241"/>
      <c r="O300" s="241"/>
      <c r="P300" s="241"/>
      <c r="Q300" s="241"/>
      <c r="R300" s="241"/>
      <c r="S300" s="241"/>
      <c r="T300" s="241"/>
      <c r="U300" s="241"/>
      <c r="V300" s="241"/>
      <c r="W300" s="241"/>
      <c r="X300" s="241"/>
      <c r="Y300" s="241"/>
      <c r="Z300" s="241"/>
      <c r="AA300" s="241"/>
    </row>
    <row r="301" spans="1:27" ht="13.5" customHeight="1" x14ac:dyDescent="0.3">
      <c r="A301" s="241"/>
      <c r="B301" s="241"/>
      <c r="C301" s="241"/>
      <c r="D301" s="241"/>
      <c r="E301" s="241"/>
      <c r="F301" s="241"/>
      <c r="G301" s="241"/>
      <c r="H301" s="241"/>
      <c r="I301" s="241"/>
      <c r="J301" s="241"/>
      <c r="K301" s="241"/>
      <c r="L301" s="241"/>
      <c r="M301" s="241"/>
      <c r="N301" s="241"/>
      <c r="O301" s="241"/>
      <c r="P301" s="241"/>
      <c r="Q301" s="241"/>
      <c r="R301" s="241"/>
      <c r="S301" s="241"/>
      <c r="T301" s="241"/>
      <c r="U301" s="241"/>
      <c r="V301" s="241"/>
      <c r="W301" s="241"/>
      <c r="X301" s="241"/>
      <c r="Y301" s="241"/>
      <c r="Z301" s="241"/>
      <c r="AA301" s="241"/>
    </row>
    <row r="302" spans="1:27" ht="13.5" customHeight="1" x14ac:dyDescent="0.3">
      <c r="A302" s="241"/>
      <c r="B302" s="241"/>
      <c r="C302" s="241"/>
      <c r="D302" s="241"/>
      <c r="E302" s="241"/>
      <c r="F302" s="241"/>
      <c r="G302" s="241"/>
      <c r="H302" s="241"/>
      <c r="I302" s="241"/>
      <c r="J302" s="241"/>
      <c r="K302" s="241"/>
      <c r="L302" s="241"/>
      <c r="M302" s="241"/>
      <c r="N302" s="241"/>
      <c r="O302" s="241"/>
      <c r="P302" s="241"/>
      <c r="Q302" s="241"/>
      <c r="R302" s="241"/>
      <c r="S302" s="241"/>
      <c r="T302" s="241"/>
      <c r="U302" s="241"/>
      <c r="V302" s="241"/>
      <c r="W302" s="241"/>
      <c r="X302" s="241"/>
      <c r="Y302" s="241"/>
      <c r="Z302" s="241"/>
      <c r="AA302" s="241"/>
    </row>
    <row r="303" spans="1:27" ht="13.5" customHeight="1" x14ac:dyDescent="0.3">
      <c r="A303" s="241"/>
      <c r="B303" s="241"/>
      <c r="C303" s="241"/>
      <c r="D303" s="241"/>
      <c r="E303" s="241"/>
      <c r="F303" s="241"/>
      <c r="G303" s="241"/>
      <c r="H303" s="241"/>
      <c r="I303" s="241"/>
      <c r="J303" s="241"/>
      <c r="K303" s="241"/>
      <c r="L303" s="241"/>
      <c r="M303" s="241"/>
      <c r="N303" s="241"/>
      <c r="O303" s="241"/>
      <c r="P303" s="241"/>
      <c r="Q303" s="241"/>
      <c r="R303" s="241"/>
      <c r="S303" s="241"/>
      <c r="T303" s="241"/>
      <c r="U303" s="241"/>
      <c r="V303" s="241"/>
      <c r="W303" s="241"/>
      <c r="X303" s="241"/>
      <c r="Y303" s="241"/>
      <c r="Z303" s="241"/>
      <c r="AA303" s="241"/>
    </row>
    <row r="304" spans="1:27" ht="13.5" customHeight="1" x14ac:dyDescent="0.3">
      <c r="A304" s="241"/>
      <c r="B304" s="241"/>
      <c r="C304" s="241"/>
      <c r="D304" s="241"/>
      <c r="E304" s="241"/>
      <c r="F304" s="241"/>
      <c r="G304" s="241"/>
      <c r="H304" s="241"/>
      <c r="I304" s="241"/>
      <c r="J304" s="241"/>
      <c r="K304" s="241"/>
      <c r="L304" s="241"/>
      <c r="M304" s="241"/>
      <c r="N304" s="241"/>
      <c r="O304" s="241"/>
      <c r="P304" s="241"/>
      <c r="Q304" s="241"/>
      <c r="R304" s="241"/>
      <c r="S304" s="241"/>
      <c r="T304" s="241"/>
      <c r="U304" s="241"/>
      <c r="V304" s="241"/>
      <c r="W304" s="241"/>
      <c r="X304" s="241"/>
      <c r="Y304" s="241"/>
      <c r="Z304" s="241"/>
      <c r="AA304" s="241"/>
    </row>
    <row r="305" spans="1:27" ht="13.5" customHeight="1" x14ac:dyDescent="0.3">
      <c r="A305" s="241"/>
      <c r="B305" s="241"/>
      <c r="C305" s="241"/>
      <c r="D305" s="241"/>
      <c r="E305" s="241"/>
      <c r="F305" s="241"/>
      <c r="G305" s="241"/>
      <c r="H305" s="241"/>
      <c r="I305" s="241"/>
      <c r="J305" s="241"/>
      <c r="K305" s="241"/>
      <c r="L305" s="241"/>
      <c r="M305" s="241"/>
      <c r="N305" s="241"/>
      <c r="O305" s="241"/>
      <c r="P305" s="241"/>
      <c r="Q305" s="241"/>
      <c r="R305" s="241"/>
      <c r="S305" s="241"/>
      <c r="T305" s="241"/>
      <c r="U305" s="241"/>
      <c r="V305" s="241"/>
      <c r="W305" s="241"/>
      <c r="X305" s="241"/>
      <c r="Y305" s="241"/>
      <c r="Z305" s="241"/>
      <c r="AA305" s="241"/>
    </row>
    <row r="306" spans="1:27" ht="13.5" customHeight="1" x14ac:dyDescent="0.3">
      <c r="A306" s="241"/>
      <c r="B306" s="241"/>
      <c r="C306" s="241"/>
      <c r="D306" s="241"/>
      <c r="E306" s="241"/>
      <c r="F306" s="241"/>
      <c r="G306" s="241"/>
      <c r="H306" s="241"/>
      <c r="I306" s="241"/>
      <c r="J306" s="241"/>
      <c r="K306" s="241"/>
      <c r="L306" s="241"/>
      <c r="M306" s="241"/>
      <c r="N306" s="241"/>
      <c r="O306" s="241"/>
      <c r="P306" s="241"/>
      <c r="Q306" s="241"/>
      <c r="R306" s="241"/>
      <c r="S306" s="241"/>
      <c r="T306" s="241"/>
      <c r="U306" s="241"/>
      <c r="V306" s="241"/>
      <c r="W306" s="241"/>
      <c r="X306" s="241"/>
      <c r="Y306" s="241"/>
      <c r="Z306" s="241"/>
      <c r="AA306" s="241"/>
    </row>
    <row r="307" spans="1:27" ht="13.5" customHeight="1" x14ac:dyDescent="0.3">
      <c r="A307" s="241"/>
      <c r="B307" s="241"/>
      <c r="C307" s="241"/>
      <c r="D307" s="241"/>
      <c r="E307" s="241"/>
      <c r="F307" s="241"/>
      <c r="G307" s="241"/>
      <c r="H307" s="241"/>
      <c r="I307" s="241"/>
      <c r="J307" s="241"/>
      <c r="K307" s="241"/>
      <c r="L307" s="241"/>
      <c r="M307" s="241"/>
      <c r="N307" s="241"/>
      <c r="O307" s="241"/>
      <c r="P307" s="241"/>
      <c r="Q307" s="241"/>
      <c r="R307" s="241"/>
      <c r="S307" s="241"/>
      <c r="T307" s="241"/>
      <c r="U307" s="241"/>
      <c r="V307" s="241"/>
      <c r="W307" s="241"/>
      <c r="X307" s="241"/>
      <c r="Y307" s="241"/>
      <c r="Z307" s="241"/>
      <c r="AA307" s="241"/>
    </row>
    <row r="308" spans="1:27" ht="13.5" customHeight="1" x14ac:dyDescent="0.3">
      <c r="A308" s="241"/>
      <c r="B308" s="241"/>
      <c r="C308" s="241"/>
      <c r="D308" s="241"/>
      <c r="E308" s="241"/>
      <c r="F308" s="241"/>
      <c r="G308" s="241"/>
      <c r="H308" s="241"/>
      <c r="I308" s="241"/>
      <c r="J308" s="241"/>
      <c r="K308" s="241"/>
      <c r="L308" s="241"/>
      <c r="M308" s="241"/>
      <c r="N308" s="241"/>
      <c r="O308" s="241"/>
      <c r="P308" s="241"/>
      <c r="Q308" s="241"/>
      <c r="R308" s="241"/>
      <c r="S308" s="241"/>
      <c r="T308" s="241"/>
      <c r="U308" s="241"/>
      <c r="V308" s="241"/>
      <c r="W308" s="241"/>
      <c r="X308" s="241"/>
      <c r="Y308" s="241"/>
      <c r="Z308" s="241"/>
      <c r="AA308" s="241"/>
    </row>
    <row r="309" spans="1:27" ht="13.5" customHeight="1" x14ac:dyDescent="0.3">
      <c r="A309" s="241"/>
      <c r="B309" s="241"/>
      <c r="C309" s="241"/>
      <c r="D309" s="241"/>
      <c r="E309" s="241"/>
      <c r="F309" s="241"/>
      <c r="G309" s="241"/>
      <c r="H309" s="241"/>
      <c r="I309" s="241"/>
      <c r="J309" s="241"/>
      <c r="K309" s="241"/>
      <c r="L309" s="241"/>
      <c r="M309" s="241"/>
      <c r="N309" s="241"/>
      <c r="O309" s="241"/>
      <c r="P309" s="241"/>
      <c r="Q309" s="241"/>
      <c r="R309" s="241"/>
      <c r="S309" s="241"/>
      <c r="T309" s="241"/>
      <c r="U309" s="241"/>
      <c r="V309" s="241"/>
      <c r="W309" s="241"/>
      <c r="X309" s="241"/>
      <c r="Y309" s="241"/>
      <c r="Z309" s="241"/>
      <c r="AA309" s="241"/>
    </row>
    <row r="310" spans="1:27" ht="13.5" customHeight="1" x14ac:dyDescent="0.3">
      <c r="A310" s="241"/>
      <c r="B310" s="241"/>
      <c r="C310" s="241"/>
      <c r="D310" s="241"/>
      <c r="E310" s="241"/>
      <c r="F310" s="241"/>
      <c r="G310" s="241"/>
      <c r="H310" s="241"/>
      <c r="I310" s="241"/>
      <c r="J310" s="241"/>
      <c r="K310" s="241"/>
      <c r="L310" s="241"/>
      <c r="M310" s="241"/>
      <c r="N310" s="241"/>
      <c r="O310" s="241"/>
      <c r="P310" s="241"/>
      <c r="Q310" s="241"/>
      <c r="R310" s="241"/>
      <c r="S310" s="241"/>
      <c r="T310" s="241"/>
      <c r="U310" s="241"/>
      <c r="V310" s="241"/>
      <c r="W310" s="241"/>
      <c r="X310" s="241"/>
      <c r="Y310" s="241"/>
      <c r="Z310" s="241"/>
      <c r="AA310" s="241"/>
    </row>
    <row r="311" spans="1:27" ht="13.5" customHeight="1" x14ac:dyDescent="0.3">
      <c r="A311" s="241"/>
      <c r="B311" s="241"/>
      <c r="C311" s="241"/>
      <c r="D311" s="241"/>
      <c r="E311" s="241"/>
      <c r="F311" s="241"/>
      <c r="G311" s="241"/>
      <c r="H311" s="241"/>
      <c r="I311" s="241"/>
      <c r="J311" s="241"/>
      <c r="K311" s="241"/>
      <c r="L311" s="241"/>
      <c r="M311" s="241"/>
      <c r="N311" s="241"/>
      <c r="O311" s="241"/>
      <c r="P311" s="241"/>
      <c r="Q311" s="241"/>
      <c r="R311" s="241"/>
      <c r="S311" s="241"/>
      <c r="T311" s="241"/>
      <c r="U311" s="241"/>
      <c r="V311" s="241"/>
      <c r="W311" s="241"/>
      <c r="X311" s="241"/>
      <c r="Y311" s="241"/>
      <c r="Z311" s="241"/>
      <c r="AA311" s="241"/>
    </row>
    <row r="312" spans="1:27" ht="13.5" customHeight="1" x14ac:dyDescent="0.3">
      <c r="A312" s="241"/>
      <c r="B312" s="241"/>
      <c r="C312" s="241"/>
      <c r="D312" s="241"/>
      <c r="E312" s="241"/>
      <c r="F312" s="241"/>
      <c r="G312" s="241"/>
      <c r="H312" s="241"/>
      <c r="I312" s="241"/>
      <c r="J312" s="241"/>
      <c r="K312" s="241"/>
      <c r="L312" s="241"/>
      <c r="M312" s="241"/>
      <c r="N312" s="241"/>
      <c r="O312" s="241"/>
      <c r="P312" s="241"/>
      <c r="Q312" s="241"/>
      <c r="R312" s="241"/>
      <c r="S312" s="241"/>
      <c r="T312" s="241"/>
      <c r="U312" s="241"/>
      <c r="V312" s="241"/>
      <c r="W312" s="241"/>
      <c r="X312" s="241"/>
      <c r="Y312" s="241"/>
      <c r="Z312" s="241"/>
      <c r="AA312" s="241"/>
    </row>
    <row r="313" spans="1:27" ht="13.5" customHeight="1" x14ac:dyDescent="0.3">
      <c r="A313" s="241"/>
      <c r="B313" s="241"/>
      <c r="C313" s="241"/>
      <c r="D313" s="241"/>
      <c r="E313" s="241"/>
      <c r="F313" s="241"/>
      <c r="G313" s="241"/>
      <c r="H313" s="241"/>
      <c r="I313" s="241"/>
      <c r="J313" s="241"/>
      <c r="K313" s="241"/>
      <c r="L313" s="241"/>
      <c r="M313" s="241"/>
      <c r="N313" s="241"/>
      <c r="O313" s="241"/>
      <c r="P313" s="241"/>
      <c r="Q313" s="241"/>
      <c r="R313" s="241"/>
      <c r="S313" s="241"/>
      <c r="T313" s="241"/>
      <c r="U313" s="241"/>
      <c r="V313" s="241"/>
      <c r="W313" s="241"/>
      <c r="X313" s="241"/>
      <c r="Y313" s="241"/>
      <c r="Z313" s="241"/>
      <c r="AA313" s="241"/>
    </row>
    <row r="314" spans="1:27" ht="13.5" customHeight="1" x14ac:dyDescent="0.3">
      <c r="A314" s="241"/>
      <c r="B314" s="241"/>
      <c r="C314" s="241"/>
      <c r="D314" s="241"/>
      <c r="E314" s="241"/>
      <c r="F314" s="241"/>
      <c r="G314" s="241"/>
      <c r="H314" s="241"/>
      <c r="I314" s="241"/>
      <c r="J314" s="241"/>
      <c r="K314" s="241"/>
      <c r="L314" s="241"/>
      <c r="M314" s="241"/>
      <c r="N314" s="241"/>
      <c r="O314" s="241"/>
      <c r="P314" s="241"/>
      <c r="Q314" s="241"/>
      <c r="R314" s="241"/>
      <c r="S314" s="241"/>
      <c r="T314" s="241"/>
      <c r="U314" s="241"/>
      <c r="V314" s="241"/>
      <c r="W314" s="241"/>
      <c r="X314" s="241"/>
      <c r="Y314" s="241"/>
      <c r="Z314" s="241"/>
      <c r="AA314" s="241"/>
    </row>
    <row r="315" spans="1:27" ht="13.5" customHeight="1" x14ac:dyDescent="0.3">
      <c r="A315" s="241"/>
      <c r="B315" s="241"/>
      <c r="C315" s="241"/>
      <c r="D315" s="241"/>
      <c r="E315" s="241"/>
      <c r="F315" s="241"/>
      <c r="G315" s="241"/>
      <c r="H315" s="241"/>
      <c r="I315" s="241"/>
      <c r="J315" s="241"/>
      <c r="K315" s="241"/>
      <c r="L315" s="241"/>
      <c r="M315" s="241"/>
      <c r="N315" s="241"/>
      <c r="O315" s="241"/>
      <c r="P315" s="241"/>
      <c r="Q315" s="241"/>
      <c r="R315" s="241"/>
      <c r="S315" s="241"/>
      <c r="T315" s="241"/>
      <c r="U315" s="241"/>
      <c r="V315" s="241"/>
      <c r="W315" s="241"/>
      <c r="X315" s="241"/>
      <c r="Y315" s="241"/>
      <c r="Z315" s="241"/>
      <c r="AA315" s="241"/>
    </row>
    <row r="316" spans="1:27" ht="13.5" customHeight="1" x14ac:dyDescent="0.3">
      <c r="A316" s="241"/>
      <c r="B316" s="241"/>
      <c r="C316" s="241"/>
      <c r="D316" s="241"/>
      <c r="E316" s="241"/>
      <c r="F316" s="241"/>
      <c r="G316" s="241"/>
      <c r="H316" s="241"/>
      <c r="I316" s="241"/>
      <c r="J316" s="241"/>
      <c r="K316" s="241"/>
      <c r="L316" s="241"/>
      <c r="M316" s="241"/>
      <c r="N316" s="241"/>
      <c r="O316" s="241"/>
      <c r="P316" s="241"/>
      <c r="Q316" s="241"/>
      <c r="R316" s="241"/>
      <c r="S316" s="241"/>
      <c r="T316" s="241"/>
      <c r="U316" s="241"/>
      <c r="V316" s="241"/>
      <c r="W316" s="241"/>
      <c r="X316" s="241"/>
      <c r="Y316" s="241"/>
      <c r="Z316" s="241"/>
      <c r="AA316" s="241"/>
    </row>
    <row r="317" spans="1:27" ht="13.5" customHeight="1" x14ac:dyDescent="0.3">
      <c r="A317" s="241"/>
      <c r="B317" s="241"/>
      <c r="C317" s="241"/>
      <c r="D317" s="241"/>
      <c r="E317" s="241"/>
      <c r="F317" s="241"/>
      <c r="G317" s="241"/>
      <c r="H317" s="241"/>
      <c r="I317" s="241"/>
      <c r="J317" s="241"/>
      <c r="K317" s="241"/>
      <c r="L317" s="241"/>
      <c r="M317" s="241"/>
      <c r="N317" s="241"/>
      <c r="O317" s="241"/>
      <c r="P317" s="241"/>
      <c r="Q317" s="241"/>
      <c r="R317" s="241"/>
      <c r="S317" s="241"/>
      <c r="T317" s="241"/>
      <c r="U317" s="241"/>
      <c r="V317" s="241"/>
      <c r="W317" s="241"/>
      <c r="X317" s="241"/>
      <c r="Y317" s="241"/>
      <c r="Z317" s="241"/>
      <c r="AA317" s="241"/>
    </row>
    <row r="318" spans="1:27" ht="13.5" customHeight="1" x14ac:dyDescent="0.3">
      <c r="A318" s="241"/>
      <c r="B318" s="241"/>
      <c r="C318" s="241"/>
      <c r="D318" s="241"/>
      <c r="E318" s="241"/>
      <c r="F318" s="241"/>
      <c r="G318" s="241"/>
      <c r="H318" s="241"/>
      <c r="I318" s="241"/>
      <c r="J318" s="241"/>
      <c r="K318" s="241"/>
      <c r="L318" s="241"/>
      <c r="M318" s="241"/>
      <c r="N318" s="241"/>
      <c r="O318" s="241"/>
      <c r="P318" s="241"/>
      <c r="Q318" s="241"/>
      <c r="R318" s="241"/>
      <c r="S318" s="241"/>
      <c r="T318" s="241"/>
      <c r="U318" s="241"/>
      <c r="V318" s="241"/>
      <c r="W318" s="241"/>
      <c r="X318" s="241"/>
      <c r="Y318" s="241"/>
      <c r="Z318" s="241"/>
      <c r="AA318" s="241"/>
    </row>
    <row r="319" spans="1:27" ht="13.5" customHeight="1" x14ac:dyDescent="0.3">
      <c r="A319" s="241"/>
      <c r="B319" s="241"/>
      <c r="C319" s="241"/>
      <c r="D319" s="241"/>
      <c r="E319" s="241"/>
      <c r="F319" s="241"/>
      <c r="G319" s="241"/>
      <c r="H319" s="241"/>
      <c r="I319" s="241"/>
      <c r="J319" s="241"/>
      <c r="K319" s="241"/>
      <c r="L319" s="241"/>
      <c r="M319" s="241"/>
      <c r="N319" s="241"/>
      <c r="O319" s="241"/>
      <c r="P319" s="241"/>
      <c r="Q319" s="241"/>
      <c r="R319" s="241"/>
      <c r="S319" s="241"/>
      <c r="T319" s="241"/>
      <c r="U319" s="241"/>
      <c r="V319" s="241"/>
      <c r="W319" s="241"/>
      <c r="X319" s="241"/>
      <c r="Y319" s="241"/>
      <c r="Z319" s="241"/>
      <c r="AA319" s="241"/>
    </row>
    <row r="320" spans="1:27" ht="13.5" customHeight="1" x14ac:dyDescent="0.3">
      <c r="A320" s="241"/>
      <c r="B320" s="241"/>
      <c r="C320" s="241"/>
      <c r="D320" s="241"/>
      <c r="E320" s="241"/>
      <c r="F320" s="241"/>
      <c r="G320" s="241"/>
      <c r="H320" s="241"/>
      <c r="I320" s="241"/>
      <c r="J320" s="241"/>
      <c r="K320" s="241"/>
      <c r="L320" s="241"/>
      <c r="M320" s="241"/>
      <c r="N320" s="241"/>
      <c r="O320" s="241"/>
      <c r="P320" s="241"/>
      <c r="Q320" s="241"/>
      <c r="R320" s="241"/>
      <c r="S320" s="241"/>
      <c r="T320" s="241"/>
      <c r="U320" s="241"/>
      <c r="V320" s="241"/>
      <c r="W320" s="241"/>
      <c r="X320" s="241"/>
      <c r="Y320" s="241"/>
      <c r="Z320" s="241"/>
      <c r="AA320" s="241"/>
    </row>
    <row r="321" spans="1:27" ht="13.5" customHeight="1" x14ac:dyDescent="0.3">
      <c r="A321" s="241"/>
      <c r="B321" s="241"/>
      <c r="C321" s="241"/>
      <c r="D321" s="241"/>
      <c r="E321" s="241"/>
      <c r="F321" s="241"/>
      <c r="G321" s="241"/>
      <c r="H321" s="241"/>
      <c r="I321" s="241"/>
      <c r="J321" s="241"/>
      <c r="K321" s="241"/>
      <c r="L321" s="241"/>
      <c r="M321" s="241"/>
      <c r="N321" s="241"/>
      <c r="O321" s="241"/>
      <c r="P321" s="241"/>
      <c r="Q321" s="241"/>
      <c r="R321" s="241"/>
      <c r="S321" s="241"/>
      <c r="T321" s="241"/>
      <c r="U321" s="241"/>
      <c r="V321" s="241"/>
      <c r="W321" s="241"/>
      <c r="X321" s="241"/>
      <c r="Y321" s="241"/>
      <c r="Z321" s="241"/>
      <c r="AA321" s="241"/>
    </row>
    <row r="322" spans="1:27" ht="13.5" customHeight="1" x14ac:dyDescent="0.3">
      <c r="A322" s="241"/>
      <c r="B322" s="241"/>
      <c r="C322" s="241"/>
      <c r="D322" s="241"/>
      <c r="E322" s="241"/>
      <c r="F322" s="241"/>
      <c r="G322" s="241"/>
      <c r="H322" s="241"/>
      <c r="I322" s="241"/>
      <c r="J322" s="241"/>
      <c r="K322" s="241"/>
      <c r="L322" s="241"/>
      <c r="M322" s="241"/>
      <c r="N322" s="241"/>
      <c r="O322" s="241"/>
      <c r="P322" s="241"/>
      <c r="Q322" s="241"/>
      <c r="R322" s="241"/>
      <c r="S322" s="241"/>
      <c r="T322" s="241"/>
      <c r="U322" s="241"/>
      <c r="V322" s="241"/>
      <c r="W322" s="241"/>
      <c r="X322" s="241"/>
      <c r="Y322" s="241"/>
      <c r="Z322" s="241"/>
      <c r="AA322" s="241"/>
    </row>
    <row r="323" spans="1:27" ht="13.5" customHeight="1" x14ac:dyDescent="0.3">
      <c r="A323" s="241"/>
      <c r="B323" s="241"/>
      <c r="C323" s="241"/>
      <c r="D323" s="241"/>
      <c r="E323" s="241"/>
      <c r="F323" s="241"/>
      <c r="G323" s="241"/>
      <c r="H323" s="241"/>
      <c r="I323" s="241"/>
      <c r="J323" s="241"/>
      <c r="K323" s="241"/>
      <c r="L323" s="241"/>
      <c r="M323" s="241"/>
      <c r="N323" s="241"/>
      <c r="O323" s="241"/>
      <c r="P323" s="241"/>
      <c r="Q323" s="241"/>
      <c r="R323" s="241"/>
      <c r="S323" s="241"/>
      <c r="T323" s="241"/>
      <c r="U323" s="241"/>
      <c r="V323" s="241"/>
      <c r="W323" s="241"/>
      <c r="X323" s="241"/>
      <c r="Y323" s="241"/>
      <c r="Z323" s="241"/>
      <c r="AA323" s="241"/>
    </row>
    <row r="324" spans="1:27" ht="13.5" customHeight="1" x14ac:dyDescent="0.3">
      <c r="A324" s="241"/>
      <c r="B324" s="241"/>
      <c r="C324" s="241"/>
      <c r="D324" s="241"/>
      <c r="E324" s="241"/>
      <c r="F324" s="241"/>
      <c r="G324" s="241"/>
      <c r="H324" s="241"/>
      <c r="I324" s="241"/>
      <c r="J324" s="241"/>
      <c r="K324" s="241"/>
      <c r="L324" s="241"/>
      <c r="M324" s="241"/>
      <c r="N324" s="241"/>
      <c r="O324" s="241"/>
      <c r="P324" s="241"/>
      <c r="Q324" s="241"/>
      <c r="R324" s="241"/>
      <c r="S324" s="241"/>
      <c r="T324" s="241"/>
      <c r="U324" s="241"/>
      <c r="V324" s="241"/>
      <c r="W324" s="241"/>
      <c r="X324" s="241"/>
      <c r="Y324" s="241"/>
      <c r="Z324" s="241"/>
      <c r="AA324" s="241"/>
    </row>
    <row r="325" spans="1:27" ht="13.5" customHeight="1" x14ac:dyDescent="0.3">
      <c r="A325" s="241"/>
      <c r="B325" s="241"/>
      <c r="C325" s="241"/>
      <c r="D325" s="241"/>
      <c r="E325" s="241"/>
      <c r="F325" s="241"/>
      <c r="G325" s="241"/>
      <c r="H325" s="241"/>
      <c r="I325" s="241"/>
      <c r="J325" s="241"/>
      <c r="K325" s="241"/>
      <c r="L325" s="241"/>
      <c r="M325" s="241"/>
      <c r="N325" s="241"/>
      <c r="O325" s="241"/>
      <c r="P325" s="241"/>
      <c r="Q325" s="241"/>
      <c r="R325" s="241"/>
      <c r="S325" s="241"/>
      <c r="T325" s="241"/>
      <c r="U325" s="241"/>
      <c r="V325" s="241"/>
      <c r="W325" s="241"/>
      <c r="X325" s="241"/>
      <c r="Y325" s="241"/>
      <c r="Z325" s="241"/>
      <c r="AA325" s="241"/>
    </row>
    <row r="326" spans="1:27" ht="13.5" customHeight="1" x14ac:dyDescent="0.3">
      <c r="A326" s="241"/>
      <c r="B326" s="241"/>
      <c r="C326" s="241"/>
      <c r="D326" s="241"/>
      <c r="E326" s="241"/>
      <c r="F326" s="241"/>
      <c r="G326" s="241"/>
      <c r="H326" s="241"/>
      <c r="I326" s="241"/>
      <c r="J326" s="241"/>
      <c r="K326" s="241"/>
      <c r="L326" s="241"/>
      <c r="M326" s="241"/>
      <c r="N326" s="241"/>
      <c r="O326" s="241"/>
      <c r="P326" s="241"/>
      <c r="Q326" s="241"/>
      <c r="R326" s="241"/>
      <c r="S326" s="241"/>
      <c r="T326" s="241"/>
      <c r="U326" s="241"/>
      <c r="V326" s="241"/>
      <c r="W326" s="241"/>
      <c r="X326" s="241"/>
      <c r="Y326" s="241"/>
      <c r="Z326" s="241"/>
      <c r="AA326" s="241"/>
    </row>
    <row r="327" spans="1:27" ht="13.5" customHeight="1" x14ac:dyDescent="0.3">
      <c r="A327" s="241"/>
      <c r="B327" s="241"/>
      <c r="C327" s="241"/>
      <c r="D327" s="241"/>
      <c r="E327" s="241"/>
      <c r="F327" s="241"/>
      <c r="G327" s="241"/>
      <c r="H327" s="241"/>
      <c r="I327" s="241"/>
      <c r="J327" s="241"/>
      <c r="K327" s="241"/>
      <c r="L327" s="241"/>
      <c r="M327" s="241"/>
      <c r="N327" s="241"/>
      <c r="O327" s="241"/>
      <c r="P327" s="241"/>
      <c r="Q327" s="241"/>
      <c r="R327" s="241"/>
      <c r="S327" s="241"/>
      <c r="T327" s="241"/>
      <c r="U327" s="241"/>
      <c r="V327" s="241"/>
      <c r="W327" s="241"/>
      <c r="X327" s="241"/>
      <c r="Y327" s="241"/>
      <c r="Z327" s="241"/>
      <c r="AA327" s="241"/>
    </row>
    <row r="328" spans="1:27" ht="13.5" customHeight="1" x14ac:dyDescent="0.3">
      <c r="A328" s="241"/>
      <c r="B328" s="241"/>
      <c r="C328" s="241"/>
      <c r="D328" s="241"/>
      <c r="E328" s="241"/>
      <c r="F328" s="241"/>
      <c r="G328" s="241"/>
      <c r="H328" s="241"/>
      <c r="I328" s="241"/>
      <c r="J328" s="241"/>
      <c r="K328" s="241"/>
      <c r="L328" s="241"/>
      <c r="M328" s="241"/>
      <c r="N328" s="241"/>
      <c r="O328" s="241"/>
      <c r="P328" s="241"/>
      <c r="Q328" s="241"/>
      <c r="R328" s="241"/>
      <c r="S328" s="241"/>
      <c r="T328" s="241"/>
      <c r="U328" s="241"/>
      <c r="V328" s="241"/>
      <c r="W328" s="241"/>
      <c r="X328" s="241"/>
      <c r="Y328" s="241"/>
      <c r="Z328" s="241"/>
      <c r="AA328" s="241"/>
    </row>
    <row r="329" spans="1:27" ht="13.5" customHeight="1" x14ac:dyDescent="0.3">
      <c r="A329" s="241"/>
      <c r="B329" s="241"/>
      <c r="C329" s="241"/>
      <c r="D329" s="241"/>
      <c r="E329" s="241"/>
      <c r="F329" s="241"/>
      <c r="G329" s="241"/>
      <c r="H329" s="241"/>
      <c r="I329" s="241"/>
      <c r="J329" s="241"/>
      <c r="K329" s="241"/>
      <c r="L329" s="241"/>
      <c r="M329" s="241"/>
      <c r="N329" s="241"/>
      <c r="O329" s="241"/>
      <c r="P329" s="241"/>
      <c r="Q329" s="241"/>
      <c r="R329" s="241"/>
      <c r="S329" s="241"/>
      <c r="T329" s="241"/>
      <c r="U329" s="241"/>
      <c r="V329" s="241"/>
      <c r="W329" s="241"/>
      <c r="X329" s="241"/>
      <c r="Y329" s="241"/>
      <c r="Z329" s="241"/>
      <c r="AA329" s="241"/>
    </row>
    <row r="330" spans="1:27" ht="13.5" customHeight="1" x14ac:dyDescent="0.3">
      <c r="A330" s="241"/>
      <c r="B330" s="241"/>
      <c r="C330" s="241"/>
      <c r="D330" s="241"/>
      <c r="E330" s="241"/>
      <c r="F330" s="241"/>
      <c r="G330" s="241"/>
      <c r="H330" s="241"/>
      <c r="I330" s="241"/>
      <c r="J330" s="241"/>
      <c r="K330" s="241"/>
      <c r="L330" s="241"/>
      <c r="M330" s="241"/>
      <c r="N330" s="241"/>
      <c r="O330" s="241"/>
      <c r="P330" s="241"/>
      <c r="Q330" s="241"/>
      <c r="R330" s="241"/>
      <c r="S330" s="241"/>
      <c r="T330" s="241"/>
      <c r="U330" s="241"/>
      <c r="V330" s="241"/>
      <c r="W330" s="241"/>
      <c r="X330" s="241"/>
      <c r="Y330" s="241"/>
      <c r="Z330" s="241"/>
      <c r="AA330" s="241"/>
    </row>
    <row r="331" spans="1:27" ht="13.5" customHeight="1" x14ac:dyDescent="0.3">
      <c r="A331" s="241"/>
      <c r="B331" s="241"/>
      <c r="C331" s="241"/>
      <c r="D331" s="241"/>
      <c r="E331" s="241"/>
      <c r="F331" s="241"/>
      <c r="G331" s="241"/>
      <c r="H331" s="241"/>
      <c r="I331" s="241"/>
      <c r="J331" s="241"/>
      <c r="K331" s="241"/>
      <c r="L331" s="241"/>
      <c r="M331" s="241"/>
      <c r="N331" s="241"/>
      <c r="O331" s="241"/>
      <c r="P331" s="241"/>
      <c r="Q331" s="241"/>
      <c r="R331" s="241"/>
      <c r="S331" s="241"/>
      <c r="T331" s="241"/>
      <c r="U331" s="241"/>
      <c r="V331" s="241"/>
      <c r="W331" s="241"/>
      <c r="X331" s="241"/>
      <c r="Y331" s="241"/>
      <c r="Z331" s="241"/>
      <c r="AA331" s="241"/>
    </row>
    <row r="332" spans="1:27" ht="13.5" customHeight="1" x14ac:dyDescent="0.3">
      <c r="A332" s="241"/>
      <c r="B332" s="241"/>
      <c r="C332" s="241"/>
      <c r="D332" s="241"/>
      <c r="E332" s="241"/>
      <c r="F332" s="241"/>
      <c r="G332" s="241"/>
      <c r="H332" s="241"/>
      <c r="I332" s="241"/>
      <c r="J332" s="241"/>
      <c r="K332" s="241"/>
      <c r="L332" s="241"/>
      <c r="M332" s="241"/>
      <c r="N332" s="241"/>
      <c r="O332" s="241"/>
      <c r="P332" s="241"/>
      <c r="Q332" s="241"/>
      <c r="R332" s="241"/>
      <c r="S332" s="241"/>
      <c r="T332" s="241"/>
      <c r="U332" s="241"/>
      <c r="V332" s="241"/>
      <c r="W332" s="241"/>
      <c r="X332" s="241"/>
      <c r="Y332" s="241"/>
      <c r="Z332" s="241"/>
      <c r="AA332" s="241"/>
    </row>
    <row r="333" spans="1:27" ht="13.5" customHeight="1" x14ac:dyDescent="0.3">
      <c r="A333" s="241"/>
      <c r="B333" s="241"/>
      <c r="C333" s="241"/>
      <c r="D333" s="241"/>
      <c r="E333" s="241"/>
      <c r="F333" s="241"/>
      <c r="G333" s="241"/>
      <c r="H333" s="241"/>
      <c r="I333" s="241"/>
      <c r="J333" s="241"/>
      <c r="K333" s="241"/>
      <c r="L333" s="241"/>
      <c r="M333" s="241"/>
      <c r="N333" s="241"/>
      <c r="O333" s="241"/>
      <c r="P333" s="241"/>
      <c r="Q333" s="241"/>
      <c r="R333" s="241"/>
      <c r="S333" s="241"/>
      <c r="T333" s="241"/>
      <c r="U333" s="241"/>
      <c r="V333" s="241"/>
      <c r="W333" s="241"/>
      <c r="X333" s="241"/>
      <c r="Y333" s="241"/>
      <c r="Z333" s="241"/>
      <c r="AA333" s="241"/>
    </row>
    <row r="334" spans="1:27" ht="13.5" customHeight="1" x14ac:dyDescent="0.3">
      <c r="A334" s="241"/>
      <c r="B334" s="241"/>
      <c r="C334" s="241"/>
      <c r="D334" s="241"/>
      <c r="E334" s="241"/>
      <c r="F334" s="241"/>
      <c r="G334" s="241"/>
      <c r="H334" s="241"/>
      <c r="I334" s="241"/>
      <c r="J334" s="241"/>
      <c r="K334" s="241"/>
      <c r="L334" s="241"/>
      <c r="M334" s="241"/>
      <c r="N334" s="241"/>
      <c r="O334" s="241"/>
      <c r="P334" s="241"/>
      <c r="Q334" s="241"/>
      <c r="R334" s="241"/>
      <c r="S334" s="241"/>
      <c r="T334" s="241"/>
      <c r="U334" s="241"/>
      <c r="V334" s="241"/>
      <c r="W334" s="241"/>
      <c r="X334" s="241"/>
      <c r="Y334" s="241"/>
      <c r="Z334" s="241"/>
      <c r="AA334" s="241"/>
    </row>
    <row r="335" spans="1:27" ht="13.5" customHeight="1" x14ac:dyDescent="0.3">
      <c r="A335" s="241"/>
      <c r="B335" s="241"/>
      <c r="C335" s="241"/>
      <c r="D335" s="241"/>
      <c r="E335" s="241"/>
      <c r="F335" s="241"/>
      <c r="G335" s="241"/>
      <c r="H335" s="241"/>
      <c r="I335" s="241"/>
      <c r="J335" s="241"/>
      <c r="K335" s="241"/>
      <c r="L335" s="241"/>
      <c r="M335" s="241"/>
      <c r="N335" s="241"/>
      <c r="O335" s="241"/>
      <c r="P335" s="241"/>
      <c r="Q335" s="241"/>
      <c r="R335" s="241"/>
      <c r="S335" s="241"/>
      <c r="T335" s="241"/>
      <c r="U335" s="241"/>
      <c r="V335" s="241"/>
      <c r="W335" s="241"/>
      <c r="X335" s="241"/>
      <c r="Y335" s="241"/>
      <c r="Z335" s="241"/>
      <c r="AA335" s="241"/>
    </row>
    <row r="336" spans="1:27" ht="13.5" customHeight="1" x14ac:dyDescent="0.3">
      <c r="A336" s="241"/>
      <c r="B336" s="241"/>
      <c r="C336" s="241"/>
      <c r="D336" s="241"/>
      <c r="E336" s="241"/>
      <c r="F336" s="241"/>
      <c r="G336" s="241"/>
      <c r="H336" s="241"/>
      <c r="I336" s="241"/>
      <c r="J336" s="241"/>
      <c r="K336" s="241"/>
      <c r="L336" s="241"/>
      <c r="M336" s="241"/>
      <c r="N336" s="241"/>
      <c r="O336" s="241"/>
      <c r="P336" s="241"/>
      <c r="Q336" s="241"/>
      <c r="R336" s="241"/>
      <c r="S336" s="241"/>
      <c r="T336" s="241"/>
      <c r="U336" s="241"/>
      <c r="V336" s="241"/>
      <c r="W336" s="241"/>
      <c r="X336" s="241"/>
      <c r="Y336" s="241"/>
      <c r="Z336" s="241"/>
      <c r="AA336" s="241"/>
    </row>
    <row r="337" spans="1:27" ht="13.5" customHeight="1" x14ac:dyDescent="0.3">
      <c r="A337" s="241"/>
      <c r="B337" s="241"/>
      <c r="C337" s="241"/>
      <c r="D337" s="241"/>
      <c r="E337" s="241"/>
      <c r="F337" s="241"/>
      <c r="G337" s="241"/>
      <c r="H337" s="241"/>
      <c r="I337" s="241"/>
      <c r="J337" s="241"/>
      <c r="K337" s="241"/>
      <c r="L337" s="241"/>
      <c r="M337" s="241"/>
      <c r="N337" s="241"/>
      <c r="O337" s="241"/>
      <c r="P337" s="241"/>
      <c r="Q337" s="241"/>
      <c r="R337" s="241"/>
      <c r="S337" s="241"/>
      <c r="T337" s="241"/>
      <c r="U337" s="241"/>
      <c r="V337" s="241"/>
      <c r="W337" s="241"/>
      <c r="X337" s="241"/>
      <c r="Y337" s="241"/>
      <c r="Z337" s="241"/>
      <c r="AA337" s="241"/>
    </row>
    <row r="338" spans="1:27" ht="13.5" customHeight="1" x14ac:dyDescent="0.3">
      <c r="A338" s="241"/>
      <c r="B338" s="241"/>
      <c r="C338" s="241"/>
      <c r="D338" s="241"/>
      <c r="E338" s="241"/>
      <c r="F338" s="241"/>
      <c r="G338" s="241"/>
      <c r="H338" s="241"/>
      <c r="I338" s="241"/>
      <c r="J338" s="241"/>
      <c r="K338" s="241"/>
      <c r="L338" s="241"/>
      <c r="M338" s="241"/>
      <c r="N338" s="241"/>
      <c r="O338" s="241"/>
      <c r="P338" s="241"/>
      <c r="Q338" s="241"/>
      <c r="R338" s="241"/>
      <c r="S338" s="241"/>
      <c r="T338" s="241"/>
      <c r="U338" s="241"/>
      <c r="V338" s="241"/>
      <c r="W338" s="241"/>
      <c r="X338" s="241"/>
      <c r="Y338" s="241"/>
      <c r="Z338" s="241"/>
      <c r="AA338" s="241"/>
    </row>
    <row r="339" spans="1:27" ht="13.5" customHeight="1" x14ac:dyDescent="0.3">
      <c r="A339" s="241"/>
      <c r="B339" s="241"/>
      <c r="C339" s="241"/>
      <c r="D339" s="241"/>
      <c r="E339" s="241"/>
      <c r="F339" s="241"/>
      <c r="G339" s="241"/>
      <c r="H339" s="241"/>
      <c r="I339" s="241"/>
      <c r="J339" s="241"/>
      <c r="K339" s="241"/>
      <c r="L339" s="241"/>
      <c r="M339" s="241"/>
      <c r="N339" s="241"/>
      <c r="O339" s="241"/>
      <c r="P339" s="241"/>
      <c r="Q339" s="241"/>
      <c r="R339" s="241"/>
      <c r="S339" s="241"/>
      <c r="T339" s="241"/>
      <c r="U339" s="241"/>
      <c r="V339" s="241"/>
      <c r="W339" s="241"/>
      <c r="X339" s="241"/>
      <c r="Y339" s="241"/>
      <c r="Z339" s="241"/>
      <c r="AA339" s="241"/>
    </row>
    <row r="340" spans="1:27" ht="13.5" customHeight="1" x14ac:dyDescent="0.3">
      <c r="A340" s="241"/>
      <c r="B340" s="241"/>
      <c r="C340" s="241"/>
      <c r="D340" s="241"/>
      <c r="E340" s="241"/>
      <c r="F340" s="241"/>
      <c r="G340" s="241"/>
      <c r="H340" s="241"/>
      <c r="I340" s="241"/>
      <c r="J340" s="241"/>
      <c r="K340" s="241"/>
      <c r="L340" s="241"/>
      <c r="M340" s="241"/>
      <c r="N340" s="241"/>
      <c r="O340" s="241"/>
      <c r="P340" s="241"/>
      <c r="Q340" s="241"/>
      <c r="R340" s="241"/>
      <c r="S340" s="241"/>
      <c r="T340" s="241"/>
      <c r="U340" s="241"/>
      <c r="V340" s="241"/>
      <c r="W340" s="241"/>
      <c r="X340" s="241"/>
      <c r="Y340" s="241"/>
      <c r="Z340" s="241"/>
      <c r="AA340" s="241"/>
    </row>
    <row r="341" spans="1:27" ht="13.5" customHeight="1" x14ac:dyDescent="0.3">
      <c r="A341" s="241"/>
      <c r="B341" s="241"/>
      <c r="C341" s="241"/>
      <c r="D341" s="241"/>
      <c r="E341" s="241"/>
      <c r="F341" s="241"/>
      <c r="G341" s="241"/>
      <c r="H341" s="241"/>
      <c r="I341" s="241"/>
      <c r="J341" s="241"/>
      <c r="K341" s="241"/>
      <c r="L341" s="241"/>
      <c r="M341" s="241"/>
      <c r="N341" s="241"/>
      <c r="O341" s="241"/>
      <c r="P341" s="241"/>
      <c r="Q341" s="241"/>
      <c r="R341" s="241"/>
      <c r="S341" s="241"/>
      <c r="T341" s="241"/>
      <c r="U341" s="241"/>
      <c r="V341" s="241"/>
      <c r="W341" s="241"/>
      <c r="X341" s="241"/>
      <c r="Y341" s="241"/>
      <c r="Z341" s="241"/>
      <c r="AA341" s="241"/>
    </row>
    <row r="342" spans="1:27" ht="13.5" customHeight="1" x14ac:dyDescent="0.3">
      <c r="A342" s="241"/>
      <c r="B342" s="241"/>
      <c r="C342" s="241"/>
      <c r="D342" s="241"/>
      <c r="E342" s="241"/>
      <c r="F342" s="241"/>
      <c r="G342" s="241"/>
      <c r="H342" s="241"/>
      <c r="I342" s="241"/>
      <c r="J342" s="241"/>
      <c r="K342" s="241"/>
      <c r="L342" s="241"/>
      <c r="M342" s="241"/>
      <c r="N342" s="241"/>
      <c r="O342" s="241"/>
      <c r="P342" s="241"/>
      <c r="Q342" s="241"/>
      <c r="R342" s="241"/>
      <c r="S342" s="241"/>
      <c r="T342" s="241"/>
      <c r="U342" s="241"/>
      <c r="V342" s="241"/>
      <c r="W342" s="241"/>
      <c r="X342" s="241"/>
      <c r="Y342" s="241"/>
      <c r="Z342" s="241"/>
      <c r="AA342" s="241"/>
    </row>
    <row r="343" spans="1:27" ht="13.5" customHeight="1" x14ac:dyDescent="0.3">
      <c r="A343" s="241"/>
      <c r="B343" s="241"/>
      <c r="C343" s="241"/>
      <c r="D343" s="241"/>
      <c r="E343" s="241"/>
      <c r="F343" s="241"/>
      <c r="G343" s="241"/>
      <c r="H343" s="241"/>
      <c r="I343" s="241"/>
      <c r="J343" s="241"/>
      <c r="K343" s="241"/>
      <c r="L343" s="241"/>
      <c r="M343" s="241"/>
      <c r="N343" s="241"/>
      <c r="O343" s="241"/>
      <c r="P343" s="241"/>
      <c r="Q343" s="241"/>
      <c r="R343" s="241"/>
      <c r="S343" s="241"/>
      <c r="T343" s="241"/>
      <c r="U343" s="241"/>
      <c r="V343" s="241"/>
      <c r="W343" s="241"/>
      <c r="X343" s="241"/>
      <c r="Y343" s="241"/>
      <c r="Z343" s="241"/>
      <c r="AA343" s="241"/>
    </row>
    <row r="344" spans="1:27" ht="13.5" customHeight="1" x14ac:dyDescent="0.3">
      <c r="A344" s="241"/>
      <c r="B344" s="241"/>
      <c r="C344" s="241"/>
      <c r="D344" s="241"/>
      <c r="E344" s="241"/>
      <c r="F344" s="241"/>
      <c r="G344" s="241"/>
      <c r="H344" s="241"/>
      <c r="I344" s="241"/>
      <c r="J344" s="241"/>
      <c r="K344" s="241"/>
      <c r="L344" s="241"/>
      <c r="M344" s="241"/>
      <c r="N344" s="241"/>
      <c r="O344" s="241"/>
      <c r="P344" s="241"/>
      <c r="Q344" s="241"/>
      <c r="R344" s="241"/>
      <c r="S344" s="241"/>
      <c r="T344" s="241"/>
      <c r="U344" s="241"/>
      <c r="V344" s="241"/>
      <c r="W344" s="241"/>
      <c r="X344" s="241"/>
      <c r="Y344" s="241"/>
      <c r="Z344" s="241"/>
      <c r="AA344" s="241"/>
    </row>
    <row r="345" spans="1:27" ht="13.5" customHeight="1" x14ac:dyDescent="0.3">
      <c r="A345" s="241"/>
      <c r="B345" s="241"/>
      <c r="C345" s="241"/>
      <c r="D345" s="241"/>
      <c r="E345" s="241"/>
      <c r="F345" s="241"/>
      <c r="G345" s="241"/>
      <c r="H345" s="241"/>
      <c r="I345" s="241"/>
      <c r="J345" s="241"/>
      <c r="K345" s="241"/>
      <c r="L345" s="241"/>
      <c r="M345" s="241"/>
      <c r="N345" s="241"/>
      <c r="O345" s="241"/>
      <c r="P345" s="241"/>
      <c r="Q345" s="241"/>
      <c r="R345" s="241"/>
      <c r="S345" s="241"/>
      <c r="T345" s="241"/>
      <c r="U345" s="241"/>
      <c r="V345" s="241"/>
      <c r="W345" s="241"/>
      <c r="X345" s="241"/>
      <c r="Y345" s="241"/>
      <c r="Z345" s="241"/>
      <c r="AA345" s="241"/>
    </row>
    <row r="346" spans="1:27" ht="13.5" customHeight="1" x14ac:dyDescent="0.3">
      <c r="A346" s="241"/>
      <c r="B346" s="241"/>
      <c r="C346" s="241"/>
      <c r="D346" s="241"/>
      <c r="E346" s="241"/>
      <c r="F346" s="241"/>
      <c r="G346" s="241"/>
      <c r="H346" s="241"/>
      <c r="I346" s="241"/>
      <c r="J346" s="241"/>
      <c r="K346" s="241"/>
      <c r="L346" s="241"/>
      <c r="M346" s="241"/>
      <c r="N346" s="241"/>
      <c r="O346" s="241"/>
      <c r="P346" s="241"/>
      <c r="Q346" s="241"/>
      <c r="R346" s="241"/>
      <c r="S346" s="241"/>
      <c r="T346" s="241"/>
      <c r="U346" s="241"/>
      <c r="V346" s="241"/>
      <c r="W346" s="241"/>
      <c r="X346" s="241"/>
      <c r="Y346" s="241"/>
      <c r="Z346" s="241"/>
      <c r="AA346" s="241"/>
    </row>
    <row r="347" spans="1:27" ht="13.5" customHeight="1" x14ac:dyDescent="0.3">
      <c r="A347" s="241"/>
      <c r="B347" s="241"/>
      <c r="C347" s="241"/>
      <c r="D347" s="241"/>
      <c r="E347" s="241"/>
      <c r="F347" s="241"/>
      <c r="G347" s="241"/>
      <c r="H347" s="241"/>
      <c r="I347" s="241"/>
      <c r="J347" s="241"/>
      <c r="K347" s="241"/>
      <c r="L347" s="241"/>
      <c r="M347" s="241"/>
      <c r="N347" s="241"/>
      <c r="O347" s="241"/>
      <c r="P347" s="241"/>
      <c r="Q347" s="241"/>
      <c r="R347" s="241"/>
      <c r="S347" s="241"/>
      <c r="T347" s="241"/>
      <c r="U347" s="241"/>
      <c r="V347" s="241"/>
      <c r="W347" s="241"/>
      <c r="X347" s="241"/>
      <c r="Y347" s="241"/>
      <c r="Z347" s="241"/>
      <c r="AA347" s="241"/>
    </row>
    <row r="348" spans="1:27" ht="13.5" customHeight="1" x14ac:dyDescent="0.3">
      <c r="A348" s="241"/>
      <c r="B348" s="241"/>
      <c r="C348" s="241"/>
      <c r="D348" s="241"/>
      <c r="E348" s="241"/>
      <c r="F348" s="241"/>
      <c r="G348" s="241"/>
      <c r="H348" s="241"/>
      <c r="I348" s="241"/>
      <c r="J348" s="241"/>
      <c r="K348" s="241"/>
      <c r="L348" s="241"/>
      <c r="M348" s="241"/>
      <c r="N348" s="241"/>
      <c r="O348" s="241"/>
      <c r="P348" s="241"/>
      <c r="Q348" s="241"/>
      <c r="R348" s="241"/>
      <c r="S348" s="241"/>
      <c r="T348" s="241"/>
      <c r="U348" s="241"/>
      <c r="V348" s="241"/>
      <c r="W348" s="241"/>
      <c r="X348" s="241"/>
      <c r="Y348" s="241"/>
      <c r="Z348" s="241"/>
      <c r="AA348" s="241"/>
    </row>
    <row r="349" spans="1:27" ht="13.5" customHeight="1" x14ac:dyDescent="0.3">
      <c r="A349" s="241"/>
      <c r="B349" s="241"/>
      <c r="C349" s="241"/>
      <c r="D349" s="241"/>
      <c r="E349" s="241"/>
      <c r="F349" s="241"/>
      <c r="G349" s="241"/>
      <c r="H349" s="241"/>
      <c r="I349" s="241"/>
      <c r="J349" s="241"/>
      <c r="K349" s="241"/>
      <c r="L349" s="241"/>
      <c r="M349" s="241"/>
      <c r="N349" s="241"/>
      <c r="O349" s="241"/>
      <c r="P349" s="241"/>
      <c r="Q349" s="241"/>
      <c r="R349" s="241"/>
      <c r="S349" s="241"/>
      <c r="T349" s="241"/>
      <c r="U349" s="241"/>
      <c r="V349" s="241"/>
      <c r="W349" s="241"/>
      <c r="X349" s="241"/>
      <c r="Y349" s="241"/>
      <c r="Z349" s="241"/>
      <c r="AA349" s="241"/>
    </row>
    <row r="350" spans="1:27" ht="13.5" customHeight="1" x14ac:dyDescent="0.3">
      <c r="A350" s="241"/>
      <c r="B350" s="241"/>
      <c r="C350" s="241"/>
      <c r="D350" s="241"/>
      <c r="E350" s="241"/>
      <c r="F350" s="241"/>
      <c r="G350" s="241"/>
      <c r="H350" s="241"/>
      <c r="I350" s="241"/>
      <c r="J350" s="241"/>
      <c r="K350" s="241"/>
      <c r="L350" s="241"/>
      <c r="M350" s="241"/>
      <c r="N350" s="241"/>
      <c r="O350" s="241"/>
      <c r="P350" s="241"/>
      <c r="Q350" s="241"/>
      <c r="R350" s="241"/>
      <c r="S350" s="241"/>
      <c r="T350" s="241"/>
      <c r="U350" s="241"/>
      <c r="V350" s="241"/>
      <c r="W350" s="241"/>
      <c r="X350" s="241"/>
      <c r="Y350" s="241"/>
      <c r="Z350" s="241"/>
      <c r="AA350" s="241"/>
    </row>
    <row r="351" spans="1:27" ht="13.5" customHeight="1" x14ac:dyDescent="0.3">
      <c r="A351" s="241"/>
      <c r="B351" s="241"/>
      <c r="C351" s="241"/>
      <c r="D351" s="241"/>
      <c r="E351" s="241"/>
      <c r="F351" s="241"/>
      <c r="G351" s="241"/>
      <c r="H351" s="241"/>
      <c r="I351" s="241"/>
      <c r="J351" s="241"/>
      <c r="K351" s="241"/>
      <c r="L351" s="241"/>
      <c r="M351" s="241"/>
      <c r="N351" s="241"/>
      <c r="O351" s="241"/>
      <c r="P351" s="241"/>
      <c r="Q351" s="241"/>
      <c r="R351" s="241"/>
      <c r="S351" s="241"/>
      <c r="T351" s="241"/>
      <c r="U351" s="241"/>
      <c r="V351" s="241"/>
      <c r="W351" s="241"/>
      <c r="X351" s="241"/>
      <c r="Y351" s="241"/>
      <c r="Z351" s="241"/>
      <c r="AA351" s="241"/>
    </row>
    <row r="352" spans="1:27" ht="13.5" customHeight="1" x14ac:dyDescent="0.3">
      <c r="A352" s="241"/>
      <c r="B352" s="241"/>
      <c r="C352" s="241"/>
      <c r="D352" s="241"/>
      <c r="E352" s="241"/>
      <c r="F352" s="241"/>
      <c r="G352" s="241"/>
      <c r="H352" s="241"/>
      <c r="I352" s="241"/>
      <c r="J352" s="241"/>
      <c r="K352" s="241"/>
      <c r="L352" s="241"/>
      <c r="M352" s="241"/>
      <c r="N352" s="241"/>
      <c r="O352" s="241"/>
      <c r="P352" s="241"/>
      <c r="Q352" s="241"/>
      <c r="R352" s="241"/>
      <c r="S352" s="241"/>
      <c r="T352" s="241"/>
      <c r="U352" s="241"/>
      <c r="V352" s="241"/>
      <c r="W352" s="241"/>
      <c r="X352" s="241"/>
      <c r="Y352" s="241"/>
      <c r="Z352" s="241"/>
      <c r="AA352" s="241"/>
    </row>
    <row r="353" spans="1:27" ht="13.5" customHeight="1" x14ac:dyDescent="0.3">
      <c r="A353" s="241"/>
      <c r="B353" s="241"/>
      <c r="C353" s="241"/>
      <c r="D353" s="241"/>
      <c r="E353" s="241"/>
      <c r="F353" s="241"/>
      <c r="G353" s="241"/>
      <c r="H353" s="241"/>
      <c r="I353" s="241"/>
      <c r="J353" s="241"/>
      <c r="K353" s="241"/>
      <c r="L353" s="241"/>
      <c r="M353" s="241"/>
      <c r="N353" s="241"/>
      <c r="O353" s="241"/>
      <c r="P353" s="241"/>
      <c r="Q353" s="241"/>
      <c r="R353" s="241"/>
      <c r="S353" s="241"/>
      <c r="T353" s="241"/>
      <c r="U353" s="241"/>
      <c r="V353" s="241"/>
      <c r="W353" s="241"/>
      <c r="X353" s="241"/>
      <c r="Y353" s="241"/>
      <c r="Z353" s="241"/>
      <c r="AA353" s="241"/>
    </row>
    <row r="354" spans="1:27" ht="13.5" customHeight="1" x14ac:dyDescent="0.3">
      <c r="A354" s="241"/>
      <c r="B354" s="241"/>
      <c r="C354" s="241"/>
      <c r="D354" s="241"/>
      <c r="E354" s="241"/>
      <c r="F354" s="241"/>
      <c r="G354" s="241"/>
      <c r="H354" s="241"/>
      <c r="I354" s="241"/>
      <c r="J354" s="241"/>
      <c r="K354" s="241"/>
      <c r="L354" s="241"/>
      <c r="M354" s="241"/>
      <c r="N354" s="241"/>
      <c r="O354" s="241"/>
      <c r="P354" s="241"/>
      <c r="Q354" s="241"/>
      <c r="R354" s="241"/>
      <c r="S354" s="241"/>
      <c r="T354" s="241"/>
      <c r="U354" s="241"/>
      <c r="V354" s="241"/>
      <c r="W354" s="241"/>
      <c r="X354" s="241"/>
      <c r="Y354" s="241"/>
      <c r="Z354" s="241"/>
      <c r="AA354" s="241"/>
    </row>
    <row r="355" spans="1:27" ht="13.5" customHeight="1" x14ac:dyDescent="0.3">
      <c r="A355" s="241"/>
      <c r="B355" s="241"/>
      <c r="C355" s="241"/>
      <c r="D355" s="241"/>
      <c r="E355" s="241"/>
      <c r="F355" s="241"/>
      <c r="G355" s="241"/>
      <c r="H355" s="241"/>
      <c r="I355" s="241"/>
      <c r="J355" s="241"/>
      <c r="K355" s="241"/>
      <c r="L355" s="241"/>
      <c r="M355" s="241"/>
      <c r="N355" s="241"/>
      <c r="O355" s="241"/>
      <c r="P355" s="241"/>
      <c r="Q355" s="241"/>
      <c r="R355" s="241"/>
      <c r="S355" s="241"/>
      <c r="T355" s="241"/>
      <c r="U355" s="241"/>
      <c r="V355" s="241"/>
      <c r="W355" s="241"/>
      <c r="X355" s="241"/>
      <c r="Y355" s="241"/>
      <c r="Z355" s="241"/>
      <c r="AA355" s="241"/>
    </row>
    <row r="356" spans="1:27" ht="13.5" customHeight="1" x14ac:dyDescent="0.3">
      <c r="A356" s="241"/>
      <c r="B356" s="241"/>
      <c r="C356" s="241"/>
      <c r="D356" s="241"/>
      <c r="E356" s="241"/>
      <c r="F356" s="241"/>
      <c r="G356" s="241"/>
      <c r="H356" s="241"/>
      <c r="I356" s="241"/>
      <c r="J356" s="241"/>
      <c r="K356" s="241"/>
      <c r="L356" s="241"/>
      <c r="M356" s="241"/>
      <c r="N356" s="241"/>
      <c r="O356" s="241"/>
      <c r="P356" s="241"/>
      <c r="Q356" s="241"/>
      <c r="R356" s="241"/>
      <c r="S356" s="241"/>
      <c r="T356" s="241"/>
      <c r="U356" s="241"/>
      <c r="V356" s="241"/>
      <c r="W356" s="241"/>
      <c r="X356" s="241"/>
      <c r="Y356" s="241"/>
      <c r="Z356" s="241"/>
      <c r="AA356" s="241"/>
    </row>
    <row r="357" spans="1:27" ht="13.5" customHeight="1" x14ac:dyDescent="0.3">
      <c r="A357" s="241"/>
      <c r="B357" s="241"/>
      <c r="C357" s="241"/>
      <c r="D357" s="241"/>
      <c r="E357" s="241"/>
      <c r="F357" s="241"/>
      <c r="G357" s="241"/>
      <c r="H357" s="241"/>
      <c r="I357" s="241"/>
      <c r="J357" s="241"/>
      <c r="K357" s="241"/>
      <c r="L357" s="241"/>
      <c r="M357" s="241"/>
      <c r="N357" s="241"/>
      <c r="O357" s="241"/>
      <c r="P357" s="241"/>
      <c r="Q357" s="241"/>
      <c r="R357" s="241"/>
      <c r="S357" s="241"/>
      <c r="T357" s="241"/>
      <c r="U357" s="241"/>
      <c r="V357" s="241"/>
      <c r="W357" s="241"/>
      <c r="X357" s="241"/>
      <c r="Y357" s="241"/>
      <c r="Z357" s="241"/>
      <c r="AA357" s="241"/>
    </row>
    <row r="358" spans="1:27" ht="13.5" customHeight="1" x14ac:dyDescent="0.3">
      <c r="A358" s="241"/>
      <c r="B358" s="241"/>
      <c r="C358" s="241"/>
      <c r="D358" s="241"/>
      <c r="E358" s="241"/>
      <c r="F358" s="241"/>
      <c r="G358" s="241"/>
      <c r="H358" s="241"/>
      <c r="I358" s="241"/>
      <c r="J358" s="241"/>
      <c r="K358" s="241"/>
      <c r="L358" s="241"/>
      <c r="M358" s="241"/>
      <c r="N358" s="241"/>
      <c r="O358" s="241"/>
      <c r="P358" s="241"/>
      <c r="Q358" s="241"/>
      <c r="R358" s="241"/>
      <c r="S358" s="241"/>
      <c r="T358" s="241"/>
      <c r="U358" s="241"/>
      <c r="V358" s="241"/>
      <c r="W358" s="241"/>
      <c r="X358" s="241"/>
      <c r="Y358" s="241"/>
      <c r="Z358" s="241"/>
      <c r="AA358" s="241"/>
    </row>
    <row r="359" spans="1:27" ht="13.5" customHeight="1" x14ac:dyDescent="0.3">
      <c r="A359" s="241"/>
      <c r="B359" s="241"/>
      <c r="C359" s="241"/>
      <c r="D359" s="241"/>
      <c r="E359" s="241"/>
      <c r="F359" s="241"/>
      <c r="G359" s="241"/>
      <c r="H359" s="241"/>
      <c r="I359" s="241"/>
      <c r="J359" s="241"/>
      <c r="K359" s="241"/>
      <c r="L359" s="241"/>
      <c r="M359" s="241"/>
      <c r="N359" s="241"/>
      <c r="O359" s="241"/>
      <c r="P359" s="241"/>
      <c r="Q359" s="241"/>
      <c r="R359" s="241"/>
      <c r="S359" s="241"/>
      <c r="T359" s="241"/>
      <c r="U359" s="241"/>
      <c r="V359" s="241"/>
      <c r="W359" s="241"/>
      <c r="X359" s="241"/>
      <c r="Y359" s="241"/>
      <c r="Z359" s="241"/>
      <c r="AA359" s="241"/>
    </row>
    <row r="360" spans="1:27" ht="13.5" customHeight="1" x14ac:dyDescent="0.3">
      <c r="A360" s="241"/>
      <c r="B360" s="241"/>
      <c r="C360" s="241"/>
      <c r="D360" s="241"/>
      <c r="E360" s="241"/>
      <c r="F360" s="241"/>
      <c r="G360" s="241"/>
      <c r="H360" s="241"/>
      <c r="I360" s="241"/>
      <c r="J360" s="241"/>
      <c r="K360" s="241"/>
      <c r="L360" s="241"/>
      <c r="M360" s="241"/>
      <c r="N360" s="241"/>
      <c r="O360" s="241"/>
      <c r="P360" s="241"/>
      <c r="Q360" s="241"/>
      <c r="R360" s="241"/>
      <c r="S360" s="241"/>
      <c r="T360" s="241"/>
      <c r="U360" s="241"/>
      <c r="V360" s="241"/>
      <c r="W360" s="241"/>
      <c r="X360" s="241"/>
      <c r="Y360" s="241"/>
      <c r="Z360" s="241"/>
      <c r="AA360" s="241"/>
    </row>
    <row r="361" spans="1:27" ht="13.5" customHeight="1" x14ac:dyDescent="0.3">
      <c r="A361" s="241"/>
      <c r="B361" s="241"/>
      <c r="C361" s="241"/>
      <c r="D361" s="241"/>
      <c r="E361" s="241"/>
      <c r="F361" s="241"/>
      <c r="G361" s="241"/>
      <c r="H361" s="241"/>
      <c r="I361" s="241"/>
      <c r="J361" s="241"/>
      <c r="K361" s="241"/>
      <c r="L361" s="241"/>
      <c r="M361" s="241"/>
      <c r="N361" s="241"/>
      <c r="O361" s="241"/>
      <c r="P361" s="241"/>
      <c r="Q361" s="241"/>
      <c r="R361" s="241"/>
      <c r="S361" s="241"/>
      <c r="T361" s="241"/>
      <c r="U361" s="241"/>
      <c r="V361" s="241"/>
      <c r="W361" s="241"/>
      <c r="X361" s="241"/>
      <c r="Y361" s="241"/>
      <c r="Z361" s="241"/>
      <c r="AA361" s="241"/>
    </row>
    <row r="362" spans="1:27" ht="13.5" customHeight="1" x14ac:dyDescent="0.3">
      <c r="A362" s="241"/>
      <c r="B362" s="241"/>
      <c r="C362" s="241"/>
      <c r="D362" s="241"/>
      <c r="E362" s="241"/>
      <c r="F362" s="241"/>
      <c r="G362" s="241"/>
      <c r="H362" s="241"/>
      <c r="I362" s="241"/>
      <c r="J362" s="241"/>
      <c r="K362" s="241"/>
      <c r="L362" s="241"/>
      <c r="M362" s="241"/>
      <c r="N362" s="241"/>
      <c r="O362" s="241"/>
      <c r="P362" s="241"/>
      <c r="Q362" s="241"/>
      <c r="R362" s="241"/>
      <c r="S362" s="241"/>
      <c r="T362" s="241"/>
      <c r="U362" s="241"/>
      <c r="V362" s="241"/>
      <c r="W362" s="241"/>
      <c r="X362" s="241"/>
      <c r="Y362" s="241"/>
      <c r="Z362" s="241"/>
      <c r="AA362" s="241"/>
    </row>
    <row r="363" spans="1:27" ht="13.5" customHeight="1" x14ac:dyDescent="0.3">
      <c r="A363" s="241"/>
      <c r="B363" s="241"/>
      <c r="C363" s="241"/>
      <c r="D363" s="241"/>
      <c r="E363" s="241"/>
      <c r="F363" s="241"/>
      <c r="G363" s="241"/>
      <c r="H363" s="241"/>
      <c r="I363" s="241"/>
      <c r="J363" s="241"/>
      <c r="K363" s="241"/>
      <c r="L363" s="241"/>
      <c r="M363" s="241"/>
      <c r="N363" s="241"/>
      <c r="O363" s="241"/>
      <c r="P363" s="241"/>
      <c r="Q363" s="241"/>
      <c r="R363" s="241"/>
      <c r="S363" s="241"/>
      <c r="T363" s="241"/>
      <c r="U363" s="241"/>
      <c r="V363" s="241"/>
      <c r="W363" s="241"/>
      <c r="X363" s="241"/>
      <c r="Y363" s="241"/>
      <c r="Z363" s="241"/>
      <c r="AA363" s="241"/>
    </row>
    <row r="364" spans="1:27" ht="13.5" customHeight="1" x14ac:dyDescent="0.3">
      <c r="A364" s="241"/>
      <c r="B364" s="241"/>
      <c r="C364" s="241"/>
      <c r="D364" s="241"/>
      <c r="E364" s="241"/>
      <c r="F364" s="241"/>
      <c r="G364" s="241"/>
      <c r="H364" s="241"/>
      <c r="I364" s="241"/>
      <c r="J364" s="241"/>
      <c r="K364" s="241"/>
      <c r="L364" s="241"/>
      <c r="M364" s="241"/>
      <c r="N364" s="241"/>
      <c r="O364" s="241"/>
      <c r="P364" s="241"/>
      <c r="Q364" s="241"/>
      <c r="R364" s="241"/>
      <c r="S364" s="241"/>
      <c r="T364" s="241"/>
      <c r="U364" s="241"/>
      <c r="V364" s="241"/>
      <c r="W364" s="241"/>
      <c r="X364" s="241"/>
      <c r="Y364" s="241"/>
      <c r="Z364" s="241"/>
      <c r="AA364" s="241"/>
    </row>
    <row r="365" spans="1:27" ht="13.5" customHeight="1" x14ac:dyDescent="0.3">
      <c r="A365" s="241"/>
      <c r="B365" s="241"/>
      <c r="C365" s="241"/>
      <c r="D365" s="241"/>
      <c r="E365" s="241"/>
      <c r="F365" s="241"/>
      <c r="G365" s="241"/>
      <c r="H365" s="241"/>
      <c r="I365" s="241"/>
      <c r="J365" s="241"/>
      <c r="K365" s="241"/>
      <c r="L365" s="241"/>
      <c r="M365" s="241"/>
      <c r="N365" s="241"/>
      <c r="O365" s="241"/>
      <c r="P365" s="241"/>
      <c r="Q365" s="241"/>
      <c r="R365" s="241"/>
      <c r="S365" s="241"/>
      <c r="T365" s="241"/>
      <c r="U365" s="241"/>
      <c r="V365" s="241"/>
      <c r="W365" s="241"/>
      <c r="X365" s="241"/>
      <c r="Y365" s="241"/>
      <c r="Z365" s="241"/>
      <c r="AA365" s="241"/>
    </row>
    <row r="366" spans="1:27" ht="13.5" customHeight="1" x14ac:dyDescent="0.3">
      <c r="A366" s="241"/>
      <c r="B366" s="241"/>
      <c r="C366" s="241"/>
      <c r="D366" s="241"/>
      <c r="E366" s="241"/>
      <c r="F366" s="241"/>
      <c r="G366" s="241"/>
      <c r="H366" s="241"/>
      <c r="I366" s="241"/>
      <c r="J366" s="241"/>
      <c r="K366" s="241"/>
      <c r="L366" s="241"/>
      <c r="M366" s="241"/>
      <c r="N366" s="241"/>
      <c r="O366" s="241"/>
      <c r="P366" s="241"/>
      <c r="Q366" s="241"/>
      <c r="R366" s="241"/>
      <c r="S366" s="241"/>
      <c r="T366" s="241"/>
      <c r="U366" s="241"/>
      <c r="V366" s="241"/>
      <c r="W366" s="241"/>
      <c r="X366" s="241"/>
      <c r="Y366" s="241"/>
      <c r="Z366" s="241"/>
      <c r="AA366" s="241"/>
    </row>
    <row r="367" spans="1:27" ht="13.5" customHeight="1" x14ac:dyDescent="0.3">
      <c r="A367" s="241"/>
      <c r="B367" s="241"/>
      <c r="C367" s="241"/>
      <c r="D367" s="241"/>
      <c r="E367" s="241"/>
      <c r="F367" s="241"/>
      <c r="G367" s="241"/>
      <c r="H367" s="241"/>
      <c r="I367" s="241"/>
      <c r="J367" s="241"/>
      <c r="K367" s="241"/>
      <c r="L367" s="241"/>
      <c r="M367" s="241"/>
      <c r="N367" s="241"/>
      <c r="O367" s="241"/>
      <c r="P367" s="241"/>
      <c r="Q367" s="241"/>
      <c r="R367" s="241"/>
      <c r="S367" s="241"/>
      <c r="T367" s="241"/>
      <c r="U367" s="241"/>
      <c r="V367" s="241"/>
      <c r="W367" s="241"/>
      <c r="X367" s="241"/>
      <c r="Y367" s="241"/>
      <c r="Z367" s="241"/>
      <c r="AA367" s="241"/>
    </row>
    <row r="368" spans="1:27" ht="13.5" customHeight="1" x14ac:dyDescent="0.3">
      <c r="A368" s="241"/>
      <c r="B368" s="241"/>
      <c r="C368" s="241"/>
      <c r="D368" s="241"/>
      <c r="E368" s="241"/>
      <c r="F368" s="241"/>
      <c r="G368" s="241"/>
      <c r="H368" s="241"/>
      <c r="I368" s="241"/>
      <c r="J368" s="241"/>
      <c r="K368" s="241"/>
      <c r="L368" s="241"/>
      <c r="M368" s="241"/>
      <c r="N368" s="241"/>
      <c r="O368" s="241"/>
      <c r="P368" s="241"/>
      <c r="Q368" s="241"/>
      <c r="R368" s="241"/>
      <c r="S368" s="241"/>
      <c r="T368" s="241"/>
      <c r="U368" s="241"/>
      <c r="V368" s="241"/>
      <c r="W368" s="241"/>
      <c r="X368" s="241"/>
      <c r="Y368" s="241"/>
      <c r="Z368" s="241"/>
      <c r="AA368" s="241"/>
    </row>
    <row r="369" spans="1:27" ht="13.5" customHeight="1" x14ac:dyDescent="0.3">
      <c r="A369" s="241"/>
      <c r="B369" s="241"/>
      <c r="C369" s="241"/>
      <c r="D369" s="241"/>
      <c r="E369" s="241"/>
      <c r="F369" s="241"/>
      <c r="G369" s="241"/>
      <c r="H369" s="241"/>
      <c r="I369" s="241"/>
      <c r="J369" s="241"/>
      <c r="K369" s="241"/>
      <c r="L369" s="241"/>
      <c r="M369" s="241"/>
      <c r="N369" s="241"/>
      <c r="O369" s="241"/>
      <c r="P369" s="241"/>
      <c r="Q369" s="241"/>
      <c r="R369" s="241"/>
      <c r="S369" s="241"/>
      <c r="T369" s="241"/>
      <c r="U369" s="241"/>
      <c r="V369" s="241"/>
      <c r="W369" s="241"/>
      <c r="X369" s="241"/>
      <c r="Y369" s="241"/>
      <c r="Z369" s="241"/>
      <c r="AA369" s="241"/>
    </row>
    <row r="370" spans="1:27" ht="13.5" customHeight="1" x14ac:dyDescent="0.3">
      <c r="A370" s="241"/>
      <c r="B370" s="241"/>
      <c r="C370" s="241"/>
      <c r="D370" s="241"/>
      <c r="E370" s="241"/>
      <c r="F370" s="241"/>
      <c r="G370" s="241"/>
      <c r="H370" s="241"/>
      <c r="I370" s="241"/>
      <c r="J370" s="241"/>
      <c r="K370" s="241"/>
      <c r="L370" s="241"/>
      <c r="M370" s="241"/>
      <c r="N370" s="241"/>
      <c r="O370" s="241"/>
      <c r="P370" s="241"/>
      <c r="Q370" s="241"/>
      <c r="R370" s="241"/>
      <c r="S370" s="241"/>
      <c r="T370" s="241"/>
      <c r="U370" s="241"/>
      <c r="V370" s="241"/>
      <c r="W370" s="241"/>
      <c r="X370" s="241"/>
      <c r="Y370" s="241"/>
      <c r="Z370" s="241"/>
      <c r="AA370" s="241"/>
    </row>
    <row r="371" spans="1:27" ht="13.5" customHeight="1" x14ac:dyDescent="0.3">
      <c r="A371" s="241"/>
      <c r="B371" s="241"/>
      <c r="C371" s="241"/>
      <c r="D371" s="241"/>
      <c r="E371" s="241"/>
      <c r="F371" s="241"/>
      <c r="G371" s="241"/>
      <c r="H371" s="241"/>
      <c r="I371" s="241"/>
      <c r="J371" s="241"/>
      <c r="K371" s="241"/>
      <c r="L371" s="241"/>
      <c r="M371" s="241"/>
      <c r="N371" s="241"/>
      <c r="O371" s="241"/>
      <c r="P371" s="241"/>
      <c r="Q371" s="241"/>
      <c r="R371" s="241"/>
      <c r="S371" s="241"/>
      <c r="T371" s="241"/>
      <c r="U371" s="241"/>
      <c r="V371" s="241"/>
      <c r="W371" s="241"/>
      <c r="X371" s="241"/>
      <c r="Y371" s="241"/>
      <c r="Z371" s="241"/>
      <c r="AA371" s="241"/>
    </row>
    <row r="372" spans="1:27" ht="13.5" customHeight="1" x14ac:dyDescent="0.3">
      <c r="A372" s="241"/>
      <c r="B372" s="241"/>
      <c r="C372" s="241"/>
      <c r="D372" s="241"/>
      <c r="E372" s="241"/>
      <c r="F372" s="241"/>
      <c r="G372" s="241"/>
      <c r="H372" s="241"/>
      <c r="I372" s="241"/>
      <c r="J372" s="241"/>
      <c r="K372" s="241"/>
      <c r="L372" s="241"/>
      <c r="M372" s="241"/>
      <c r="N372" s="241"/>
      <c r="O372" s="241"/>
      <c r="P372" s="241"/>
      <c r="Q372" s="241"/>
      <c r="R372" s="241"/>
      <c r="S372" s="241"/>
      <c r="T372" s="241"/>
      <c r="U372" s="241"/>
      <c r="V372" s="241"/>
      <c r="W372" s="241"/>
      <c r="X372" s="241"/>
      <c r="Y372" s="241"/>
      <c r="Z372" s="241"/>
      <c r="AA372" s="241"/>
    </row>
    <row r="373" spans="1:27" ht="13.5" customHeight="1" x14ac:dyDescent="0.3">
      <c r="A373" s="241"/>
      <c r="B373" s="241"/>
      <c r="C373" s="241"/>
      <c r="D373" s="241"/>
      <c r="E373" s="241"/>
      <c r="F373" s="241"/>
      <c r="G373" s="241"/>
      <c r="H373" s="241"/>
      <c r="I373" s="241"/>
      <c r="J373" s="241"/>
      <c r="K373" s="241"/>
      <c r="L373" s="241"/>
      <c r="M373" s="241"/>
      <c r="N373" s="241"/>
      <c r="O373" s="241"/>
      <c r="P373" s="241"/>
      <c r="Q373" s="241"/>
      <c r="R373" s="241"/>
      <c r="S373" s="241"/>
      <c r="T373" s="241"/>
      <c r="U373" s="241"/>
      <c r="V373" s="241"/>
      <c r="W373" s="241"/>
      <c r="X373" s="241"/>
      <c r="Y373" s="241"/>
      <c r="Z373" s="241"/>
      <c r="AA373" s="241"/>
    </row>
    <row r="374" spans="1:27" ht="13.5" customHeight="1" x14ac:dyDescent="0.3">
      <c r="A374" s="241"/>
      <c r="B374" s="241"/>
      <c r="C374" s="241"/>
      <c r="D374" s="241"/>
      <c r="E374" s="241"/>
      <c r="F374" s="241"/>
      <c r="G374" s="241"/>
      <c r="H374" s="241"/>
      <c r="I374" s="241"/>
      <c r="J374" s="241"/>
      <c r="K374" s="241"/>
      <c r="L374" s="241"/>
      <c r="M374" s="241"/>
      <c r="N374" s="241"/>
      <c r="O374" s="241"/>
      <c r="P374" s="241"/>
      <c r="Q374" s="241"/>
      <c r="R374" s="241"/>
      <c r="S374" s="241"/>
      <c r="T374" s="241"/>
      <c r="U374" s="241"/>
      <c r="V374" s="241"/>
      <c r="W374" s="241"/>
      <c r="X374" s="241"/>
      <c r="Y374" s="241"/>
      <c r="Z374" s="241"/>
      <c r="AA374" s="241"/>
    </row>
    <row r="375" spans="1:27" ht="13.5" customHeight="1" x14ac:dyDescent="0.3">
      <c r="A375" s="241"/>
      <c r="B375" s="241"/>
      <c r="C375" s="241"/>
      <c r="D375" s="241"/>
      <c r="E375" s="241"/>
      <c r="F375" s="241"/>
      <c r="G375" s="241"/>
      <c r="H375" s="241"/>
      <c r="I375" s="241"/>
      <c r="J375" s="241"/>
      <c r="K375" s="241"/>
      <c r="L375" s="241"/>
      <c r="M375" s="241"/>
      <c r="N375" s="241"/>
      <c r="O375" s="241"/>
      <c r="P375" s="241"/>
      <c r="Q375" s="241"/>
      <c r="R375" s="241"/>
      <c r="S375" s="241"/>
      <c r="T375" s="241"/>
      <c r="U375" s="241"/>
      <c r="V375" s="241"/>
      <c r="W375" s="241"/>
      <c r="X375" s="241"/>
      <c r="Y375" s="241"/>
      <c r="Z375" s="241"/>
      <c r="AA375" s="241"/>
    </row>
    <row r="376" spans="1:27" ht="13.5" customHeight="1" x14ac:dyDescent="0.3">
      <c r="A376" s="241"/>
      <c r="B376" s="241"/>
      <c r="C376" s="241"/>
      <c r="D376" s="241"/>
      <c r="E376" s="241"/>
      <c r="F376" s="241"/>
      <c r="G376" s="241"/>
      <c r="H376" s="241"/>
      <c r="I376" s="241"/>
      <c r="J376" s="241"/>
      <c r="K376" s="241"/>
      <c r="L376" s="241"/>
      <c r="M376" s="241"/>
      <c r="N376" s="241"/>
      <c r="O376" s="241"/>
      <c r="P376" s="241"/>
      <c r="Q376" s="241"/>
      <c r="R376" s="241"/>
      <c r="S376" s="241"/>
      <c r="T376" s="241"/>
      <c r="U376" s="241"/>
      <c r="V376" s="241"/>
      <c r="W376" s="241"/>
      <c r="X376" s="241"/>
      <c r="Y376" s="241"/>
      <c r="Z376" s="241"/>
      <c r="AA376" s="241"/>
    </row>
    <row r="377" spans="1:27" ht="13.5" customHeight="1" x14ac:dyDescent="0.3">
      <c r="A377" s="241"/>
      <c r="B377" s="241"/>
      <c r="C377" s="241"/>
      <c r="D377" s="241"/>
      <c r="E377" s="241"/>
      <c r="F377" s="241"/>
      <c r="G377" s="241"/>
      <c r="H377" s="241"/>
      <c r="I377" s="241"/>
      <c r="J377" s="241"/>
      <c r="K377" s="241"/>
      <c r="L377" s="241"/>
      <c r="M377" s="241"/>
      <c r="N377" s="241"/>
      <c r="O377" s="241"/>
      <c r="P377" s="241"/>
      <c r="Q377" s="241"/>
      <c r="R377" s="241"/>
      <c r="S377" s="241"/>
      <c r="T377" s="241"/>
      <c r="U377" s="241"/>
      <c r="V377" s="241"/>
      <c r="W377" s="241"/>
      <c r="X377" s="241"/>
      <c r="Y377" s="241"/>
      <c r="Z377" s="241"/>
      <c r="AA377" s="241"/>
    </row>
    <row r="378" spans="1:27" ht="13.5" customHeight="1" x14ac:dyDescent="0.3">
      <c r="A378" s="241"/>
      <c r="B378" s="241"/>
      <c r="C378" s="241"/>
      <c r="D378" s="241"/>
      <c r="E378" s="241"/>
      <c r="F378" s="241"/>
      <c r="G378" s="241"/>
      <c r="H378" s="241"/>
      <c r="I378" s="241"/>
      <c r="J378" s="241"/>
      <c r="K378" s="241"/>
      <c r="L378" s="241"/>
      <c r="M378" s="241"/>
      <c r="N378" s="241"/>
      <c r="O378" s="241"/>
      <c r="P378" s="241"/>
      <c r="Q378" s="241"/>
      <c r="R378" s="241"/>
      <c r="S378" s="241"/>
      <c r="T378" s="241"/>
      <c r="U378" s="241"/>
      <c r="V378" s="241"/>
      <c r="W378" s="241"/>
      <c r="X378" s="241"/>
      <c r="Y378" s="241"/>
      <c r="Z378" s="241"/>
      <c r="AA378" s="241"/>
    </row>
    <row r="379" spans="1:27" ht="13.5" customHeight="1" x14ac:dyDescent="0.3">
      <c r="A379" s="241"/>
      <c r="B379" s="241"/>
      <c r="C379" s="241"/>
      <c r="D379" s="241"/>
      <c r="E379" s="241"/>
      <c r="F379" s="241"/>
      <c r="G379" s="241"/>
      <c r="H379" s="241"/>
      <c r="I379" s="241"/>
      <c r="J379" s="241"/>
      <c r="K379" s="241"/>
      <c r="L379" s="241"/>
      <c r="M379" s="241"/>
      <c r="N379" s="241"/>
      <c r="O379" s="241"/>
      <c r="P379" s="241"/>
      <c r="Q379" s="241"/>
      <c r="R379" s="241"/>
      <c r="S379" s="241"/>
      <c r="T379" s="241"/>
      <c r="U379" s="241"/>
      <c r="V379" s="241"/>
      <c r="W379" s="241"/>
      <c r="X379" s="241"/>
      <c r="Y379" s="241"/>
      <c r="Z379" s="241"/>
      <c r="AA379" s="241"/>
    </row>
    <row r="380" spans="1:27" ht="13.5" customHeight="1" x14ac:dyDescent="0.3">
      <c r="A380" s="241"/>
      <c r="B380" s="241"/>
      <c r="C380" s="241"/>
      <c r="D380" s="241"/>
      <c r="E380" s="241"/>
      <c r="F380" s="241"/>
      <c r="G380" s="241"/>
      <c r="H380" s="241"/>
      <c r="I380" s="241"/>
      <c r="J380" s="241"/>
      <c r="K380" s="241"/>
      <c r="L380" s="241"/>
      <c r="M380" s="241"/>
      <c r="N380" s="241"/>
      <c r="O380" s="241"/>
      <c r="P380" s="241"/>
      <c r="Q380" s="241"/>
      <c r="R380" s="241"/>
      <c r="S380" s="241"/>
      <c r="T380" s="241"/>
      <c r="U380" s="241"/>
      <c r="V380" s="241"/>
      <c r="W380" s="241"/>
      <c r="X380" s="241"/>
      <c r="Y380" s="241"/>
      <c r="Z380" s="241"/>
      <c r="AA380" s="241"/>
    </row>
    <row r="381" spans="1:27" ht="13.5" customHeight="1" x14ac:dyDescent="0.3">
      <c r="A381" s="241"/>
      <c r="B381" s="241"/>
      <c r="C381" s="241"/>
      <c r="D381" s="241"/>
      <c r="E381" s="241"/>
      <c r="F381" s="241"/>
      <c r="G381" s="241"/>
      <c r="H381" s="241"/>
      <c r="I381" s="241"/>
      <c r="J381" s="241"/>
      <c r="K381" s="241"/>
      <c r="L381" s="241"/>
      <c r="M381" s="241"/>
      <c r="N381" s="241"/>
      <c r="O381" s="241"/>
      <c r="P381" s="241"/>
      <c r="Q381" s="241"/>
      <c r="R381" s="241"/>
      <c r="S381" s="241"/>
      <c r="T381" s="241"/>
      <c r="U381" s="241"/>
      <c r="V381" s="241"/>
      <c r="W381" s="241"/>
      <c r="X381" s="241"/>
      <c r="Y381" s="241"/>
      <c r="Z381" s="241"/>
      <c r="AA381" s="241"/>
    </row>
    <row r="382" spans="1:27" ht="13.5" customHeight="1" x14ac:dyDescent="0.3">
      <c r="A382" s="241"/>
      <c r="B382" s="241"/>
      <c r="C382" s="241"/>
      <c r="D382" s="241"/>
      <c r="E382" s="241"/>
      <c r="F382" s="241"/>
      <c r="G382" s="241"/>
      <c r="H382" s="241"/>
      <c r="I382" s="241"/>
      <c r="J382" s="241"/>
      <c r="K382" s="241"/>
      <c r="L382" s="241"/>
      <c r="M382" s="241"/>
      <c r="N382" s="241"/>
      <c r="O382" s="241"/>
      <c r="P382" s="241"/>
      <c r="Q382" s="241"/>
      <c r="R382" s="241"/>
      <c r="S382" s="241"/>
      <c r="T382" s="241"/>
      <c r="U382" s="241"/>
      <c r="V382" s="241"/>
      <c r="W382" s="241"/>
      <c r="X382" s="241"/>
      <c r="Y382" s="241"/>
      <c r="Z382" s="241"/>
      <c r="AA382" s="241"/>
    </row>
    <row r="383" spans="1:27" ht="13.5" customHeight="1" x14ac:dyDescent="0.3">
      <c r="A383" s="241"/>
      <c r="B383" s="241"/>
      <c r="C383" s="241"/>
      <c r="D383" s="241"/>
      <c r="E383" s="241"/>
      <c r="F383" s="241"/>
      <c r="G383" s="241"/>
      <c r="H383" s="241"/>
      <c r="I383" s="241"/>
      <c r="J383" s="241"/>
      <c r="K383" s="241"/>
      <c r="L383" s="241"/>
      <c r="M383" s="241"/>
      <c r="N383" s="241"/>
      <c r="O383" s="241"/>
      <c r="P383" s="241"/>
      <c r="Q383" s="241"/>
      <c r="R383" s="241"/>
      <c r="S383" s="241"/>
      <c r="T383" s="241"/>
      <c r="U383" s="241"/>
      <c r="V383" s="241"/>
      <c r="W383" s="241"/>
      <c r="X383" s="241"/>
      <c r="Y383" s="241"/>
      <c r="Z383" s="241"/>
      <c r="AA383" s="241"/>
    </row>
    <row r="384" spans="1:27" ht="13.5" customHeight="1" x14ac:dyDescent="0.3">
      <c r="A384" s="241"/>
      <c r="B384" s="241"/>
      <c r="C384" s="241"/>
      <c r="D384" s="241"/>
      <c r="E384" s="241"/>
      <c r="F384" s="241"/>
      <c r="G384" s="241"/>
      <c r="H384" s="241"/>
      <c r="I384" s="241"/>
      <c r="J384" s="241"/>
      <c r="K384" s="241"/>
      <c r="L384" s="241"/>
      <c r="M384" s="241"/>
      <c r="N384" s="241"/>
      <c r="O384" s="241"/>
      <c r="P384" s="241"/>
      <c r="Q384" s="241"/>
      <c r="R384" s="241"/>
      <c r="S384" s="241"/>
      <c r="T384" s="241"/>
      <c r="U384" s="241"/>
      <c r="V384" s="241"/>
      <c r="W384" s="241"/>
      <c r="X384" s="241"/>
      <c r="Y384" s="241"/>
      <c r="Z384" s="241"/>
      <c r="AA384" s="241"/>
    </row>
    <row r="385" spans="1:27" ht="13.5" customHeight="1" x14ac:dyDescent="0.3">
      <c r="A385" s="241"/>
      <c r="B385" s="241"/>
      <c r="C385" s="241"/>
      <c r="D385" s="241"/>
      <c r="E385" s="241"/>
      <c r="F385" s="241"/>
      <c r="G385" s="241"/>
      <c r="H385" s="241"/>
      <c r="I385" s="241"/>
      <c r="J385" s="241"/>
      <c r="K385" s="241"/>
      <c r="L385" s="241"/>
      <c r="M385" s="241"/>
      <c r="N385" s="241"/>
      <c r="O385" s="241"/>
      <c r="P385" s="241"/>
      <c r="Q385" s="241"/>
      <c r="R385" s="241"/>
      <c r="S385" s="241"/>
      <c r="T385" s="241"/>
      <c r="U385" s="241"/>
      <c r="V385" s="241"/>
      <c r="W385" s="241"/>
      <c r="X385" s="241"/>
      <c r="Y385" s="241"/>
      <c r="Z385" s="241"/>
      <c r="AA385" s="241"/>
    </row>
    <row r="386" spans="1:27" ht="13.5" customHeight="1" x14ac:dyDescent="0.3">
      <c r="A386" s="241"/>
      <c r="B386" s="241"/>
      <c r="C386" s="241"/>
      <c r="D386" s="241"/>
      <c r="E386" s="241"/>
      <c r="F386" s="241"/>
      <c r="G386" s="241"/>
      <c r="H386" s="241"/>
      <c r="I386" s="241"/>
      <c r="J386" s="241"/>
      <c r="K386" s="241"/>
      <c r="L386" s="241"/>
      <c r="M386" s="241"/>
      <c r="N386" s="241"/>
      <c r="O386" s="241"/>
      <c r="P386" s="241"/>
      <c r="Q386" s="241"/>
      <c r="R386" s="241"/>
      <c r="S386" s="241"/>
      <c r="T386" s="241"/>
      <c r="U386" s="241"/>
      <c r="V386" s="241"/>
      <c r="W386" s="241"/>
      <c r="X386" s="241"/>
      <c r="Y386" s="241"/>
      <c r="Z386" s="241"/>
      <c r="AA386" s="241"/>
    </row>
    <row r="387" spans="1:27" ht="13.5" customHeight="1" x14ac:dyDescent="0.3">
      <c r="A387" s="241"/>
      <c r="B387" s="241"/>
      <c r="C387" s="241"/>
      <c r="D387" s="241"/>
      <c r="E387" s="241"/>
      <c r="F387" s="241"/>
      <c r="G387" s="241"/>
      <c r="H387" s="241"/>
      <c r="I387" s="241"/>
      <c r="J387" s="241"/>
      <c r="K387" s="241"/>
      <c r="L387" s="241"/>
      <c r="M387" s="241"/>
      <c r="N387" s="241"/>
      <c r="O387" s="241"/>
      <c r="P387" s="241"/>
      <c r="Q387" s="241"/>
      <c r="R387" s="241"/>
      <c r="S387" s="241"/>
      <c r="T387" s="241"/>
      <c r="U387" s="241"/>
      <c r="V387" s="241"/>
      <c r="W387" s="241"/>
      <c r="X387" s="241"/>
      <c r="Y387" s="241"/>
      <c r="Z387" s="241"/>
      <c r="AA387" s="241"/>
    </row>
    <row r="388" spans="1:27" ht="13.5" customHeight="1" x14ac:dyDescent="0.3">
      <c r="A388" s="241"/>
      <c r="B388" s="241"/>
      <c r="C388" s="241"/>
      <c r="D388" s="241"/>
      <c r="E388" s="241"/>
      <c r="F388" s="241"/>
      <c r="G388" s="241"/>
      <c r="H388" s="241"/>
      <c r="I388" s="241"/>
      <c r="J388" s="241"/>
      <c r="K388" s="241"/>
      <c r="L388" s="241"/>
      <c r="M388" s="241"/>
      <c r="N388" s="241"/>
      <c r="O388" s="241"/>
      <c r="P388" s="241"/>
      <c r="Q388" s="241"/>
      <c r="R388" s="241"/>
      <c r="S388" s="241"/>
      <c r="T388" s="241"/>
      <c r="U388" s="241"/>
      <c r="V388" s="241"/>
      <c r="W388" s="241"/>
      <c r="X388" s="241"/>
      <c r="Y388" s="241"/>
      <c r="Z388" s="241"/>
      <c r="AA388" s="241"/>
    </row>
    <row r="389" spans="1:27" ht="13.5" customHeight="1" x14ac:dyDescent="0.3">
      <c r="A389" s="241"/>
      <c r="B389" s="241"/>
      <c r="C389" s="241"/>
      <c r="D389" s="241"/>
      <c r="E389" s="241"/>
      <c r="F389" s="241"/>
      <c r="G389" s="241"/>
      <c r="H389" s="241"/>
      <c r="I389" s="241"/>
      <c r="J389" s="241"/>
      <c r="K389" s="241"/>
      <c r="L389" s="241"/>
      <c r="M389" s="241"/>
      <c r="N389" s="241"/>
      <c r="O389" s="241"/>
      <c r="P389" s="241"/>
      <c r="Q389" s="241"/>
      <c r="R389" s="241"/>
      <c r="S389" s="241"/>
      <c r="T389" s="241"/>
      <c r="U389" s="241"/>
      <c r="V389" s="241"/>
      <c r="W389" s="241"/>
      <c r="X389" s="241"/>
      <c r="Y389" s="241"/>
      <c r="Z389" s="241"/>
      <c r="AA389" s="241"/>
    </row>
    <row r="390" spans="1:27" ht="13.5" customHeight="1" x14ac:dyDescent="0.3">
      <c r="A390" s="241"/>
      <c r="B390" s="241"/>
      <c r="C390" s="241"/>
      <c r="D390" s="241"/>
      <c r="E390" s="241"/>
      <c r="F390" s="241"/>
      <c r="G390" s="241"/>
      <c r="H390" s="241"/>
      <c r="I390" s="241"/>
      <c r="J390" s="241"/>
      <c r="K390" s="241"/>
      <c r="L390" s="241"/>
      <c r="M390" s="241"/>
      <c r="N390" s="241"/>
      <c r="O390" s="241"/>
      <c r="P390" s="241"/>
      <c r="Q390" s="241"/>
      <c r="R390" s="241"/>
      <c r="S390" s="241"/>
      <c r="T390" s="241"/>
      <c r="U390" s="241"/>
      <c r="V390" s="241"/>
      <c r="W390" s="241"/>
      <c r="X390" s="241"/>
      <c r="Y390" s="241"/>
      <c r="Z390" s="241"/>
      <c r="AA390" s="241"/>
    </row>
    <row r="391" spans="1:27" ht="13.5" customHeight="1" x14ac:dyDescent="0.3">
      <c r="A391" s="241"/>
      <c r="B391" s="241"/>
      <c r="C391" s="241"/>
      <c r="D391" s="241"/>
      <c r="E391" s="241"/>
      <c r="F391" s="241"/>
      <c r="G391" s="241"/>
      <c r="H391" s="241"/>
      <c r="I391" s="241"/>
      <c r="J391" s="241"/>
      <c r="K391" s="241"/>
      <c r="L391" s="241"/>
      <c r="M391" s="241"/>
      <c r="N391" s="241"/>
      <c r="O391" s="241"/>
      <c r="P391" s="241"/>
      <c r="Q391" s="241"/>
      <c r="R391" s="241"/>
      <c r="S391" s="241"/>
      <c r="T391" s="241"/>
      <c r="U391" s="241"/>
      <c r="V391" s="241"/>
      <c r="W391" s="241"/>
      <c r="X391" s="241"/>
      <c r="Y391" s="241"/>
      <c r="Z391" s="241"/>
      <c r="AA391" s="241"/>
    </row>
    <row r="392" spans="1:27" ht="13.5" customHeight="1" x14ac:dyDescent="0.3">
      <c r="A392" s="241"/>
      <c r="B392" s="241"/>
      <c r="C392" s="241"/>
      <c r="D392" s="241"/>
      <c r="E392" s="241"/>
      <c r="F392" s="241"/>
      <c r="G392" s="241"/>
      <c r="H392" s="241"/>
      <c r="I392" s="241"/>
      <c r="J392" s="241"/>
      <c r="K392" s="241"/>
      <c r="L392" s="241"/>
      <c r="M392" s="241"/>
      <c r="N392" s="241"/>
      <c r="O392" s="241"/>
      <c r="P392" s="241"/>
      <c r="Q392" s="241"/>
      <c r="R392" s="241"/>
      <c r="S392" s="241"/>
      <c r="T392" s="241"/>
      <c r="U392" s="241"/>
      <c r="V392" s="241"/>
      <c r="W392" s="241"/>
      <c r="X392" s="241"/>
      <c r="Y392" s="241"/>
      <c r="Z392" s="241"/>
      <c r="AA392" s="241"/>
    </row>
    <row r="393" spans="1:27" ht="13.5" customHeight="1" x14ac:dyDescent="0.3">
      <c r="A393" s="241"/>
      <c r="B393" s="241"/>
      <c r="C393" s="241"/>
      <c r="D393" s="241"/>
      <c r="E393" s="241"/>
      <c r="F393" s="241"/>
      <c r="G393" s="241"/>
      <c r="H393" s="241"/>
      <c r="I393" s="241"/>
      <c r="J393" s="241"/>
      <c r="K393" s="241"/>
      <c r="L393" s="241"/>
      <c r="M393" s="241"/>
      <c r="N393" s="241"/>
      <c r="O393" s="241"/>
      <c r="P393" s="241"/>
      <c r="Q393" s="241"/>
      <c r="R393" s="241"/>
      <c r="S393" s="241"/>
      <c r="T393" s="241"/>
      <c r="U393" s="241"/>
      <c r="V393" s="241"/>
      <c r="W393" s="241"/>
      <c r="X393" s="241"/>
      <c r="Y393" s="241"/>
      <c r="Z393" s="241"/>
      <c r="AA393" s="241"/>
    </row>
    <row r="394" spans="1:27" ht="13.5" customHeight="1" x14ac:dyDescent="0.3">
      <c r="A394" s="241"/>
      <c r="B394" s="241"/>
      <c r="C394" s="241"/>
      <c r="D394" s="241"/>
      <c r="E394" s="241"/>
      <c r="F394" s="241"/>
      <c r="G394" s="241"/>
      <c r="H394" s="241"/>
      <c r="I394" s="241"/>
      <c r="J394" s="241"/>
      <c r="K394" s="241"/>
      <c r="L394" s="241"/>
      <c r="M394" s="241"/>
      <c r="N394" s="241"/>
      <c r="O394" s="241"/>
      <c r="P394" s="241"/>
      <c r="Q394" s="241"/>
      <c r="R394" s="241"/>
      <c r="S394" s="241"/>
      <c r="T394" s="241"/>
      <c r="U394" s="241"/>
      <c r="V394" s="241"/>
      <c r="W394" s="241"/>
      <c r="X394" s="241"/>
      <c r="Y394" s="241"/>
      <c r="Z394" s="241"/>
      <c r="AA394" s="241"/>
    </row>
    <row r="395" spans="1:27" ht="13.5" customHeight="1" x14ac:dyDescent="0.3">
      <c r="A395" s="241"/>
      <c r="B395" s="241"/>
      <c r="C395" s="241"/>
      <c r="D395" s="241"/>
      <c r="E395" s="241"/>
      <c r="F395" s="241"/>
      <c r="G395" s="241"/>
      <c r="H395" s="241"/>
      <c r="I395" s="241"/>
      <c r="J395" s="241"/>
      <c r="K395" s="241"/>
      <c r="L395" s="241"/>
      <c r="M395" s="241"/>
      <c r="N395" s="241"/>
      <c r="O395" s="241"/>
      <c r="P395" s="241"/>
      <c r="Q395" s="241"/>
      <c r="R395" s="241"/>
      <c r="S395" s="241"/>
      <c r="T395" s="241"/>
      <c r="U395" s="241"/>
      <c r="V395" s="241"/>
      <c r="W395" s="241"/>
      <c r="X395" s="241"/>
      <c r="Y395" s="241"/>
      <c r="Z395" s="241"/>
      <c r="AA395" s="241"/>
    </row>
    <row r="396" spans="1:27" ht="13.5" customHeight="1" x14ac:dyDescent="0.3">
      <c r="A396" s="241"/>
      <c r="B396" s="241"/>
      <c r="C396" s="241"/>
      <c r="D396" s="241"/>
      <c r="E396" s="241"/>
      <c r="F396" s="241"/>
      <c r="G396" s="241"/>
      <c r="H396" s="241"/>
      <c r="I396" s="241"/>
      <c r="J396" s="241"/>
      <c r="K396" s="241"/>
      <c r="L396" s="241"/>
      <c r="M396" s="241"/>
      <c r="N396" s="241"/>
      <c r="O396" s="241"/>
      <c r="P396" s="241"/>
      <c r="Q396" s="241"/>
      <c r="R396" s="241"/>
      <c r="S396" s="241"/>
      <c r="T396" s="241"/>
      <c r="U396" s="241"/>
      <c r="V396" s="241"/>
      <c r="W396" s="241"/>
      <c r="X396" s="241"/>
      <c r="Y396" s="241"/>
      <c r="Z396" s="241"/>
      <c r="AA396" s="241"/>
    </row>
    <row r="397" spans="1:27" ht="13.5" customHeight="1" x14ac:dyDescent="0.3">
      <c r="A397" s="241"/>
      <c r="B397" s="241"/>
      <c r="C397" s="241"/>
      <c r="D397" s="241"/>
      <c r="E397" s="241"/>
      <c r="F397" s="241"/>
      <c r="G397" s="241"/>
      <c r="H397" s="241"/>
      <c r="I397" s="241"/>
      <c r="J397" s="241"/>
      <c r="K397" s="241"/>
      <c r="L397" s="241"/>
      <c r="M397" s="241"/>
      <c r="N397" s="241"/>
      <c r="O397" s="241"/>
      <c r="P397" s="241"/>
      <c r="Q397" s="241"/>
      <c r="R397" s="241"/>
      <c r="S397" s="241"/>
      <c r="T397" s="241"/>
      <c r="U397" s="241"/>
      <c r="V397" s="241"/>
      <c r="W397" s="241"/>
      <c r="X397" s="241"/>
      <c r="Y397" s="241"/>
      <c r="Z397" s="241"/>
      <c r="AA397" s="241"/>
    </row>
    <row r="398" spans="1:27" ht="13.5" customHeight="1" x14ac:dyDescent="0.3">
      <c r="A398" s="241"/>
      <c r="B398" s="241"/>
      <c r="C398" s="241"/>
      <c r="D398" s="241"/>
      <c r="E398" s="241"/>
      <c r="F398" s="241"/>
      <c r="G398" s="241"/>
      <c r="H398" s="241"/>
      <c r="I398" s="241"/>
      <c r="J398" s="241"/>
      <c r="K398" s="241"/>
      <c r="L398" s="241"/>
      <c r="M398" s="241"/>
      <c r="N398" s="241"/>
      <c r="O398" s="241"/>
      <c r="P398" s="241"/>
      <c r="Q398" s="241"/>
      <c r="R398" s="241"/>
      <c r="S398" s="241"/>
      <c r="T398" s="241"/>
      <c r="U398" s="241"/>
      <c r="V398" s="241"/>
      <c r="W398" s="241"/>
      <c r="X398" s="241"/>
      <c r="Y398" s="241"/>
      <c r="Z398" s="241"/>
      <c r="AA398" s="241"/>
    </row>
    <row r="399" spans="1:27" ht="13.5" customHeight="1" x14ac:dyDescent="0.3">
      <c r="A399" s="241"/>
      <c r="B399" s="241"/>
      <c r="C399" s="241"/>
      <c r="D399" s="241"/>
      <c r="E399" s="241"/>
      <c r="F399" s="241"/>
      <c r="G399" s="241"/>
      <c r="H399" s="241"/>
      <c r="I399" s="241"/>
      <c r="J399" s="241"/>
      <c r="K399" s="241"/>
      <c r="L399" s="241"/>
      <c r="M399" s="241"/>
      <c r="N399" s="241"/>
      <c r="O399" s="241"/>
      <c r="P399" s="241"/>
      <c r="Q399" s="241"/>
      <c r="R399" s="241"/>
      <c r="S399" s="241"/>
      <c r="T399" s="241"/>
      <c r="U399" s="241"/>
      <c r="V399" s="241"/>
      <c r="W399" s="241"/>
      <c r="X399" s="241"/>
      <c r="Y399" s="241"/>
      <c r="Z399" s="241"/>
      <c r="AA399" s="241"/>
    </row>
    <row r="400" spans="1:27" ht="13.5" customHeight="1" x14ac:dyDescent="0.3">
      <c r="A400" s="241"/>
      <c r="B400" s="241"/>
      <c r="C400" s="241"/>
      <c r="D400" s="241"/>
      <c r="E400" s="241"/>
      <c r="F400" s="241"/>
      <c r="G400" s="241"/>
      <c r="H400" s="241"/>
      <c r="I400" s="241"/>
      <c r="J400" s="241"/>
      <c r="K400" s="241"/>
      <c r="L400" s="241"/>
      <c r="M400" s="241"/>
      <c r="N400" s="241"/>
      <c r="O400" s="241"/>
      <c r="P400" s="241"/>
      <c r="Q400" s="241"/>
      <c r="R400" s="241"/>
      <c r="S400" s="241"/>
      <c r="T400" s="241"/>
      <c r="U400" s="241"/>
      <c r="V400" s="241"/>
      <c r="W400" s="241"/>
      <c r="X400" s="241"/>
      <c r="Y400" s="241"/>
      <c r="Z400" s="241"/>
      <c r="AA400" s="241"/>
    </row>
    <row r="401" spans="1:27" ht="13.5" customHeight="1" x14ac:dyDescent="0.3">
      <c r="A401" s="241"/>
      <c r="B401" s="241"/>
      <c r="C401" s="241"/>
      <c r="D401" s="241"/>
      <c r="E401" s="241"/>
      <c r="F401" s="241"/>
      <c r="G401" s="241"/>
      <c r="H401" s="241"/>
      <c r="I401" s="241"/>
      <c r="J401" s="241"/>
      <c r="K401" s="241"/>
      <c r="L401" s="241"/>
      <c r="M401" s="241"/>
      <c r="N401" s="241"/>
      <c r="O401" s="241"/>
      <c r="P401" s="241"/>
      <c r="Q401" s="241"/>
      <c r="R401" s="241"/>
      <c r="S401" s="241"/>
      <c r="T401" s="241"/>
      <c r="U401" s="241"/>
      <c r="V401" s="241"/>
      <c r="W401" s="241"/>
      <c r="X401" s="241"/>
      <c r="Y401" s="241"/>
      <c r="Z401" s="241"/>
      <c r="AA401" s="241"/>
    </row>
    <row r="402" spans="1:27" ht="13.5" customHeight="1" x14ac:dyDescent="0.3">
      <c r="A402" s="241"/>
      <c r="B402" s="241"/>
      <c r="C402" s="241"/>
      <c r="D402" s="241"/>
      <c r="E402" s="241"/>
      <c r="F402" s="241"/>
      <c r="G402" s="241"/>
      <c r="H402" s="241"/>
      <c r="I402" s="241"/>
      <c r="J402" s="241"/>
      <c r="K402" s="241"/>
      <c r="L402" s="241"/>
      <c r="M402" s="241"/>
      <c r="N402" s="241"/>
      <c r="O402" s="241"/>
      <c r="P402" s="241"/>
      <c r="Q402" s="241"/>
      <c r="R402" s="241"/>
      <c r="S402" s="241"/>
      <c r="T402" s="241"/>
      <c r="U402" s="241"/>
      <c r="V402" s="241"/>
      <c r="W402" s="241"/>
      <c r="X402" s="241"/>
      <c r="Y402" s="241"/>
      <c r="Z402" s="241"/>
      <c r="AA402" s="241"/>
    </row>
    <row r="403" spans="1:27" ht="13.5" customHeight="1" x14ac:dyDescent="0.3">
      <c r="A403" s="241"/>
      <c r="B403" s="241"/>
      <c r="C403" s="241"/>
      <c r="D403" s="241"/>
      <c r="E403" s="241"/>
      <c r="F403" s="241"/>
      <c r="G403" s="241"/>
      <c r="H403" s="241"/>
      <c r="I403" s="241"/>
      <c r="J403" s="241"/>
      <c r="K403" s="241"/>
      <c r="L403" s="241"/>
      <c r="M403" s="241"/>
      <c r="N403" s="241"/>
      <c r="O403" s="241"/>
      <c r="P403" s="241"/>
      <c r="Q403" s="241"/>
      <c r="R403" s="241"/>
      <c r="S403" s="241"/>
      <c r="T403" s="241"/>
      <c r="U403" s="241"/>
      <c r="V403" s="241"/>
      <c r="W403" s="241"/>
      <c r="X403" s="241"/>
      <c r="Y403" s="241"/>
      <c r="Z403" s="241"/>
      <c r="AA403" s="241"/>
    </row>
    <row r="404" spans="1:27" ht="13.5" customHeight="1" x14ac:dyDescent="0.3">
      <c r="A404" s="241"/>
      <c r="B404" s="241"/>
      <c r="C404" s="241"/>
      <c r="D404" s="241"/>
      <c r="E404" s="241"/>
      <c r="F404" s="241"/>
      <c r="G404" s="241"/>
      <c r="H404" s="241"/>
      <c r="I404" s="241"/>
      <c r="J404" s="241"/>
      <c r="K404" s="241"/>
      <c r="L404" s="241"/>
      <c r="M404" s="241"/>
      <c r="N404" s="241"/>
      <c r="O404" s="241"/>
      <c r="P404" s="241"/>
      <c r="Q404" s="241"/>
      <c r="R404" s="241"/>
      <c r="S404" s="241"/>
      <c r="T404" s="241"/>
      <c r="U404" s="241"/>
      <c r="V404" s="241"/>
      <c r="W404" s="241"/>
      <c r="X404" s="241"/>
      <c r="Y404" s="241"/>
      <c r="Z404" s="241"/>
      <c r="AA404" s="241"/>
    </row>
    <row r="405" spans="1:27" ht="13.5" customHeight="1" x14ac:dyDescent="0.3">
      <c r="A405" s="241"/>
      <c r="B405" s="241"/>
      <c r="C405" s="241"/>
      <c r="D405" s="241"/>
      <c r="E405" s="241"/>
      <c r="F405" s="241"/>
      <c r="G405" s="241"/>
      <c r="H405" s="241"/>
      <c r="I405" s="241"/>
      <c r="J405" s="241"/>
      <c r="K405" s="241"/>
      <c r="L405" s="241"/>
      <c r="M405" s="241"/>
      <c r="N405" s="241"/>
      <c r="O405" s="241"/>
      <c r="P405" s="241"/>
      <c r="Q405" s="241"/>
      <c r="R405" s="241"/>
      <c r="S405" s="241"/>
      <c r="T405" s="241"/>
      <c r="U405" s="241"/>
      <c r="V405" s="241"/>
      <c r="W405" s="241"/>
      <c r="X405" s="241"/>
      <c r="Y405" s="241"/>
      <c r="Z405" s="241"/>
      <c r="AA405" s="241"/>
    </row>
    <row r="406" spans="1:27" ht="13.5" customHeight="1" x14ac:dyDescent="0.3">
      <c r="A406" s="241"/>
      <c r="B406" s="241"/>
      <c r="C406" s="241"/>
      <c r="D406" s="241"/>
      <c r="E406" s="241"/>
      <c r="F406" s="241"/>
      <c r="G406" s="241"/>
      <c r="H406" s="241"/>
      <c r="I406" s="241"/>
      <c r="J406" s="241"/>
      <c r="K406" s="241"/>
      <c r="L406" s="241"/>
      <c r="M406" s="241"/>
      <c r="N406" s="241"/>
      <c r="O406" s="241"/>
      <c r="P406" s="241"/>
      <c r="Q406" s="241"/>
      <c r="R406" s="241"/>
      <c r="S406" s="241"/>
      <c r="T406" s="241"/>
      <c r="U406" s="241"/>
      <c r="V406" s="241"/>
      <c r="W406" s="241"/>
      <c r="X406" s="241"/>
      <c r="Y406" s="241"/>
      <c r="Z406" s="241"/>
      <c r="AA406" s="241"/>
    </row>
    <row r="407" spans="1:27" ht="13.5" customHeight="1" x14ac:dyDescent="0.3">
      <c r="A407" s="241"/>
      <c r="B407" s="241"/>
      <c r="C407" s="241"/>
      <c r="D407" s="241"/>
      <c r="E407" s="241"/>
      <c r="F407" s="241"/>
      <c r="G407" s="241"/>
      <c r="H407" s="241"/>
      <c r="I407" s="241"/>
      <c r="J407" s="241"/>
      <c r="K407" s="241"/>
      <c r="L407" s="241"/>
      <c r="M407" s="241"/>
      <c r="N407" s="241"/>
      <c r="O407" s="241"/>
      <c r="P407" s="241"/>
      <c r="Q407" s="241"/>
      <c r="R407" s="241"/>
      <c r="S407" s="241"/>
      <c r="T407" s="241"/>
      <c r="U407" s="241"/>
      <c r="V407" s="241"/>
      <c r="W407" s="241"/>
      <c r="X407" s="241"/>
      <c r="Y407" s="241"/>
      <c r="Z407" s="241"/>
      <c r="AA407" s="241"/>
    </row>
    <row r="408" spans="1:27" ht="13.5" customHeight="1" x14ac:dyDescent="0.3">
      <c r="A408" s="241"/>
      <c r="B408" s="241"/>
      <c r="C408" s="241"/>
      <c r="D408" s="241"/>
      <c r="E408" s="241"/>
      <c r="F408" s="241"/>
      <c r="G408" s="241"/>
      <c r="H408" s="241"/>
      <c r="I408" s="241"/>
      <c r="J408" s="241"/>
      <c r="K408" s="241"/>
      <c r="L408" s="241"/>
      <c r="M408" s="241"/>
      <c r="N408" s="241"/>
      <c r="O408" s="241"/>
      <c r="P408" s="241"/>
      <c r="Q408" s="241"/>
      <c r="R408" s="241"/>
      <c r="S408" s="241"/>
      <c r="T408" s="241"/>
      <c r="U408" s="241"/>
      <c r="V408" s="241"/>
      <c r="W408" s="241"/>
      <c r="X408" s="241"/>
      <c r="Y408" s="241"/>
      <c r="Z408" s="241"/>
      <c r="AA408" s="241"/>
    </row>
    <row r="409" spans="1:27" ht="13.5" customHeight="1" x14ac:dyDescent="0.3">
      <c r="A409" s="241"/>
      <c r="B409" s="241"/>
      <c r="C409" s="241"/>
      <c r="D409" s="241"/>
      <c r="E409" s="241"/>
      <c r="F409" s="241"/>
      <c r="G409" s="241"/>
      <c r="H409" s="241"/>
      <c r="I409" s="241"/>
      <c r="J409" s="241"/>
      <c r="K409" s="241"/>
      <c r="L409" s="241"/>
      <c r="M409" s="241"/>
      <c r="N409" s="241"/>
      <c r="O409" s="241"/>
      <c r="P409" s="241"/>
      <c r="Q409" s="241"/>
      <c r="R409" s="241"/>
      <c r="S409" s="241"/>
      <c r="T409" s="241"/>
      <c r="U409" s="241"/>
      <c r="V409" s="241"/>
      <c r="W409" s="241"/>
      <c r="X409" s="241"/>
      <c r="Y409" s="241"/>
      <c r="Z409" s="241"/>
      <c r="AA409" s="241"/>
    </row>
    <row r="410" spans="1:27" ht="13.5" customHeight="1" x14ac:dyDescent="0.3">
      <c r="A410" s="241"/>
      <c r="B410" s="241"/>
      <c r="C410" s="241"/>
      <c r="D410" s="241"/>
      <c r="E410" s="241"/>
      <c r="F410" s="241"/>
      <c r="G410" s="241"/>
      <c r="H410" s="241"/>
      <c r="I410" s="241"/>
      <c r="J410" s="241"/>
      <c r="K410" s="241"/>
      <c r="L410" s="241"/>
      <c r="M410" s="241"/>
      <c r="N410" s="241"/>
      <c r="O410" s="241"/>
      <c r="P410" s="241"/>
      <c r="Q410" s="241"/>
      <c r="R410" s="241"/>
      <c r="S410" s="241"/>
      <c r="T410" s="241"/>
      <c r="U410" s="241"/>
      <c r="V410" s="241"/>
      <c r="W410" s="241"/>
      <c r="X410" s="241"/>
      <c r="Y410" s="241"/>
      <c r="Z410" s="241"/>
      <c r="AA410" s="241"/>
    </row>
    <row r="411" spans="1:27" ht="13.5" customHeight="1" x14ac:dyDescent="0.3">
      <c r="A411" s="241"/>
      <c r="B411" s="241"/>
      <c r="C411" s="241"/>
      <c r="D411" s="241"/>
      <c r="E411" s="241"/>
      <c r="F411" s="241"/>
      <c r="G411" s="241"/>
      <c r="H411" s="241"/>
      <c r="I411" s="241"/>
      <c r="J411" s="241"/>
      <c r="K411" s="241"/>
      <c r="L411" s="241"/>
      <c r="M411" s="241"/>
      <c r="N411" s="241"/>
      <c r="O411" s="241"/>
      <c r="P411" s="241"/>
      <c r="Q411" s="241"/>
      <c r="R411" s="241"/>
      <c r="S411" s="241"/>
      <c r="T411" s="241"/>
      <c r="U411" s="241"/>
      <c r="V411" s="241"/>
      <c r="W411" s="241"/>
      <c r="X411" s="241"/>
      <c r="Y411" s="241"/>
      <c r="Z411" s="241"/>
      <c r="AA411" s="241"/>
    </row>
    <row r="412" spans="1:27" ht="13.5" customHeight="1" x14ac:dyDescent="0.3">
      <c r="A412" s="241"/>
      <c r="B412" s="241"/>
      <c r="C412" s="241"/>
      <c r="D412" s="241"/>
      <c r="E412" s="241"/>
      <c r="F412" s="241"/>
      <c r="G412" s="241"/>
      <c r="H412" s="241"/>
      <c r="I412" s="241"/>
      <c r="J412" s="241"/>
      <c r="K412" s="241"/>
      <c r="L412" s="241"/>
      <c r="M412" s="241"/>
      <c r="N412" s="241"/>
      <c r="O412" s="241"/>
      <c r="P412" s="241"/>
      <c r="Q412" s="241"/>
      <c r="R412" s="241"/>
      <c r="S412" s="241"/>
      <c r="T412" s="241"/>
      <c r="U412" s="241"/>
      <c r="V412" s="241"/>
      <c r="W412" s="241"/>
      <c r="X412" s="241"/>
      <c r="Y412" s="241"/>
      <c r="Z412" s="241"/>
      <c r="AA412" s="241"/>
    </row>
    <row r="413" spans="1:27" ht="13.5" customHeight="1" x14ac:dyDescent="0.3">
      <c r="A413" s="241"/>
      <c r="B413" s="241"/>
      <c r="C413" s="241"/>
      <c r="D413" s="241"/>
      <c r="E413" s="241"/>
      <c r="F413" s="241"/>
      <c r="G413" s="241"/>
      <c r="H413" s="241"/>
      <c r="I413" s="241"/>
      <c r="J413" s="241"/>
      <c r="K413" s="241"/>
      <c r="L413" s="241"/>
      <c r="M413" s="241"/>
      <c r="N413" s="241"/>
      <c r="O413" s="241"/>
      <c r="P413" s="241"/>
      <c r="Q413" s="241"/>
      <c r="R413" s="241"/>
      <c r="S413" s="241"/>
      <c r="T413" s="241"/>
      <c r="U413" s="241"/>
      <c r="V413" s="241"/>
      <c r="W413" s="241"/>
      <c r="X413" s="241"/>
      <c r="Y413" s="241"/>
      <c r="Z413" s="241"/>
      <c r="AA413" s="241"/>
    </row>
    <row r="414" spans="1:27" ht="13.5" customHeight="1" x14ac:dyDescent="0.3">
      <c r="A414" s="241"/>
      <c r="B414" s="241"/>
      <c r="C414" s="241"/>
      <c r="D414" s="241"/>
      <c r="E414" s="241"/>
      <c r="F414" s="241"/>
      <c r="G414" s="241"/>
      <c r="H414" s="241"/>
      <c r="I414" s="241"/>
      <c r="J414" s="241"/>
      <c r="K414" s="241"/>
      <c r="L414" s="241"/>
      <c r="M414" s="241"/>
      <c r="N414" s="241"/>
      <c r="O414" s="241"/>
      <c r="P414" s="241"/>
      <c r="Q414" s="241"/>
      <c r="R414" s="241"/>
      <c r="S414" s="241"/>
      <c r="T414" s="241"/>
      <c r="U414" s="241"/>
      <c r="V414" s="241"/>
      <c r="W414" s="241"/>
      <c r="X414" s="241"/>
      <c r="Y414" s="241"/>
      <c r="Z414" s="241"/>
      <c r="AA414" s="241"/>
    </row>
    <row r="415" spans="1:27" ht="13.5" customHeight="1" x14ac:dyDescent="0.3">
      <c r="A415" s="241"/>
      <c r="B415" s="241"/>
      <c r="C415" s="241"/>
      <c r="D415" s="241"/>
      <c r="E415" s="241"/>
      <c r="F415" s="241"/>
      <c r="G415" s="241"/>
      <c r="H415" s="241"/>
      <c r="I415" s="241"/>
      <c r="J415" s="241"/>
      <c r="K415" s="241"/>
      <c r="L415" s="241"/>
      <c r="M415" s="241"/>
      <c r="N415" s="241"/>
      <c r="O415" s="241"/>
      <c r="P415" s="241"/>
      <c r="Q415" s="241"/>
      <c r="R415" s="241"/>
      <c r="S415" s="241"/>
      <c r="T415" s="241"/>
      <c r="U415" s="241"/>
      <c r="V415" s="241"/>
      <c r="W415" s="241"/>
      <c r="X415" s="241"/>
      <c r="Y415" s="241"/>
      <c r="Z415" s="241"/>
      <c r="AA415" s="241"/>
    </row>
    <row r="416" spans="1:27" ht="13.5" customHeight="1" x14ac:dyDescent="0.3">
      <c r="A416" s="241"/>
      <c r="B416" s="241"/>
      <c r="C416" s="241"/>
      <c r="D416" s="241"/>
      <c r="E416" s="241"/>
      <c r="F416" s="241"/>
      <c r="G416" s="241"/>
      <c r="H416" s="241"/>
      <c r="I416" s="241"/>
      <c r="J416" s="241"/>
      <c r="K416" s="241"/>
      <c r="L416" s="241"/>
      <c r="M416" s="241"/>
      <c r="N416" s="241"/>
      <c r="O416" s="241"/>
      <c r="P416" s="241"/>
      <c r="Q416" s="241"/>
      <c r="R416" s="241"/>
      <c r="S416" s="241"/>
      <c r="T416" s="241"/>
      <c r="U416" s="241"/>
      <c r="V416" s="241"/>
      <c r="W416" s="241"/>
      <c r="X416" s="241"/>
      <c r="Y416" s="241"/>
      <c r="Z416" s="241"/>
      <c r="AA416" s="241"/>
    </row>
    <row r="417" spans="1:27" ht="13.5" customHeight="1" x14ac:dyDescent="0.3">
      <c r="A417" s="241"/>
      <c r="B417" s="241"/>
      <c r="C417" s="241"/>
      <c r="D417" s="241"/>
      <c r="E417" s="241"/>
      <c r="F417" s="241"/>
      <c r="G417" s="241"/>
      <c r="H417" s="241"/>
      <c r="I417" s="241"/>
      <c r="J417" s="241"/>
      <c r="K417" s="241"/>
      <c r="L417" s="241"/>
      <c r="M417" s="241"/>
      <c r="N417" s="241"/>
      <c r="O417" s="241"/>
      <c r="P417" s="241"/>
      <c r="Q417" s="241"/>
      <c r="R417" s="241"/>
      <c r="S417" s="241"/>
      <c r="T417" s="241"/>
      <c r="U417" s="241"/>
      <c r="V417" s="241"/>
      <c r="W417" s="241"/>
      <c r="X417" s="241"/>
      <c r="Y417" s="241"/>
      <c r="Z417" s="241"/>
      <c r="AA417" s="241"/>
    </row>
    <row r="418" spans="1:27" ht="13.5" customHeight="1" x14ac:dyDescent="0.3">
      <c r="A418" s="241"/>
      <c r="B418" s="241"/>
      <c r="C418" s="241"/>
      <c r="D418" s="241"/>
      <c r="E418" s="241"/>
      <c r="F418" s="241"/>
      <c r="G418" s="241"/>
      <c r="H418" s="241"/>
      <c r="I418" s="241"/>
      <c r="J418" s="241"/>
      <c r="K418" s="241"/>
      <c r="L418" s="241"/>
      <c r="M418" s="241"/>
      <c r="N418" s="241"/>
      <c r="O418" s="241"/>
      <c r="P418" s="241"/>
      <c r="Q418" s="241"/>
      <c r="R418" s="241"/>
      <c r="S418" s="241"/>
      <c r="T418" s="241"/>
      <c r="U418" s="241"/>
      <c r="V418" s="241"/>
      <c r="W418" s="241"/>
      <c r="X418" s="241"/>
      <c r="Y418" s="241"/>
      <c r="Z418" s="241"/>
      <c r="AA418" s="241"/>
    </row>
    <row r="419" spans="1:27" ht="13.5" customHeight="1" x14ac:dyDescent="0.3">
      <c r="A419" s="241"/>
      <c r="B419" s="241"/>
      <c r="C419" s="241"/>
      <c r="D419" s="241"/>
      <c r="E419" s="241"/>
      <c r="F419" s="241"/>
      <c r="G419" s="241"/>
      <c r="H419" s="241"/>
      <c r="I419" s="241"/>
      <c r="J419" s="241"/>
      <c r="K419" s="241"/>
      <c r="L419" s="241"/>
      <c r="M419" s="241"/>
      <c r="N419" s="241"/>
      <c r="O419" s="241"/>
      <c r="P419" s="241"/>
      <c r="Q419" s="241"/>
      <c r="R419" s="241"/>
      <c r="S419" s="241"/>
      <c r="T419" s="241"/>
      <c r="U419" s="241"/>
      <c r="V419" s="241"/>
      <c r="W419" s="241"/>
      <c r="X419" s="241"/>
      <c r="Y419" s="241"/>
      <c r="Z419" s="241"/>
      <c r="AA419" s="241"/>
    </row>
    <row r="420" spans="1:27" ht="13.5" customHeight="1" x14ac:dyDescent="0.3">
      <c r="A420" s="241"/>
      <c r="B420" s="241"/>
      <c r="C420" s="241"/>
      <c r="D420" s="241"/>
      <c r="E420" s="241"/>
      <c r="F420" s="241"/>
      <c r="G420" s="241"/>
      <c r="H420" s="241"/>
      <c r="I420" s="241"/>
      <c r="J420" s="241"/>
      <c r="K420" s="241"/>
      <c r="L420" s="241"/>
      <c r="M420" s="241"/>
      <c r="N420" s="241"/>
      <c r="O420" s="241"/>
      <c r="P420" s="241"/>
      <c r="Q420" s="241"/>
      <c r="R420" s="241"/>
      <c r="S420" s="241"/>
      <c r="T420" s="241"/>
      <c r="U420" s="241"/>
      <c r="V420" s="241"/>
      <c r="W420" s="241"/>
      <c r="X420" s="241"/>
      <c r="Y420" s="241"/>
      <c r="Z420" s="241"/>
      <c r="AA420" s="241"/>
    </row>
    <row r="421" spans="1:27" ht="13.5" customHeight="1" x14ac:dyDescent="0.3">
      <c r="A421" s="241"/>
      <c r="B421" s="241"/>
      <c r="C421" s="241"/>
      <c r="D421" s="241"/>
      <c r="E421" s="241"/>
      <c r="F421" s="241"/>
      <c r="G421" s="241"/>
      <c r="H421" s="241"/>
      <c r="I421" s="241"/>
      <c r="J421" s="241"/>
      <c r="K421" s="241"/>
      <c r="L421" s="241"/>
      <c r="M421" s="241"/>
      <c r="N421" s="241"/>
      <c r="O421" s="241"/>
      <c r="P421" s="241"/>
      <c r="Q421" s="241"/>
      <c r="R421" s="241"/>
      <c r="S421" s="241"/>
      <c r="T421" s="241"/>
      <c r="U421" s="241"/>
      <c r="V421" s="241"/>
      <c r="W421" s="241"/>
      <c r="X421" s="241"/>
      <c r="Y421" s="241"/>
      <c r="Z421" s="241"/>
      <c r="AA421" s="241"/>
    </row>
    <row r="422" spans="1:27" ht="13.5" customHeight="1" x14ac:dyDescent="0.3">
      <c r="A422" s="241"/>
      <c r="B422" s="241"/>
      <c r="C422" s="241"/>
      <c r="D422" s="241"/>
      <c r="E422" s="241"/>
      <c r="F422" s="241"/>
      <c r="G422" s="241"/>
      <c r="H422" s="241"/>
      <c r="I422" s="241"/>
      <c r="J422" s="241"/>
      <c r="K422" s="241"/>
      <c r="L422" s="241"/>
      <c r="M422" s="241"/>
      <c r="N422" s="241"/>
      <c r="O422" s="241"/>
      <c r="P422" s="241"/>
      <c r="Q422" s="241"/>
      <c r="R422" s="241"/>
      <c r="S422" s="241"/>
      <c r="T422" s="241"/>
      <c r="U422" s="241"/>
      <c r="V422" s="241"/>
      <c r="W422" s="241"/>
      <c r="X422" s="241"/>
      <c r="Y422" s="241"/>
      <c r="Z422" s="241"/>
      <c r="AA422" s="241"/>
    </row>
    <row r="423" spans="1:27" ht="13.5" customHeight="1" x14ac:dyDescent="0.3">
      <c r="A423" s="241"/>
      <c r="B423" s="241"/>
      <c r="C423" s="241"/>
      <c r="D423" s="241"/>
      <c r="E423" s="241"/>
      <c r="F423" s="241"/>
      <c r="G423" s="241"/>
      <c r="H423" s="241"/>
      <c r="I423" s="241"/>
      <c r="J423" s="241"/>
      <c r="K423" s="241"/>
      <c r="L423" s="241"/>
      <c r="M423" s="241"/>
      <c r="N423" s="241"/>
      <c r="O423" s="241"/>
      <c r="P423" s="241"/>
      <c r="Q423" s="241"/>
      <c r="R423" s="241"/>
      <c r="S423" s="241"/>
      <c r="T423" s="241"/>
      <c r="U423" s="241"/>
      <c r="V423" s="241"/>
      <c r="W423" s="241"/>
      <c r="X423" s="241"/>
      <c r="Y423" s="241"/>
      <c r="Z423" s="241"/>
      <c r="AA423" s="241"/>
    </row>
    <row r="424" spans="1:27" ht="13.5" customHeight="1" x14ac:dyDescent="0.3">
      <c r="A424" s="241"/>
      <c r="B424" s="241"/>
      <c r="C424" s="241"/>
      <c r="D424" s="241"/>
      <c r="E424" s="241"/>
      <c r="F424" s="241"/>
      <c r="G424" s="241"/>
      <c r="H424" s="241"/>
      <c r="I424" s="241"/>
      <c r="J424" s="241"/>
      <c r="K424" s="241"/>
      <c r="L424" s="241"/>
      <c r="M424" s="241"/>
      <c r="N424" s="241"/>
      <c r="O424" s="241"/>
      <c r="P424" s="241"/>
      <c r="Q424" s="241"/>
      <c r="R424" s="241"/>
      <c r="S424" s="241"/>
      <c r="T424" s="241"/>
      <c r="U424" s="241"/>
      <c r="V424" s="241"/>
      <c r="W424" s="241"/>
      <c r="X424" s="241"/>
      <c r="Y424" s="241"/>
      <c r="Z424" s="241"/>
      <c r="AA424" s="241"/>
    </row>
    <row r="425" spans="1:27" ht="13.5" customHeight="1" x14ac:dyDescent="0.3">
      <c r="A425" s="241"/>
      <c r="B425" s="241"/>
      <c r="C425" s="241"/>
      <c r="D425" s="241"/>
      <c r="E425" s="241"/>
      <c r="F425" s="241"/>
      <c r="G425" s="241"/>
      <c r="H425" s="241"/>
      <c r="I425" s="241"/>
      <c r="J425" s="241"/>
      <c r="K425" s="241"/>
      <c r="L425" s="241"/>
      <c r="M425" s="241"/>
      <c r="N425" s="241"/>
      <c r="O425" s="241"/>
      <c r="P425" s="241"/>
      <c r="Q425" s="241"/>
      <c r="R425" s="241"/>
      <c r="S425" s="241"/>
      <c r="T425" s="241"/>
      <c r="U425" s="241"/>
      <c r="V425" s="241"/>
      <c r="W425" s="241"/>
      <c r="X425" s="241"/>
      <c r="Y425" s="241"/>
      <c r="Z425" s="241"/>
      <c r="AA425" s="241"/>
    </row>
    <row r="426" spans="1:27" ht="13.5" customHeight="1" x14ac:dyDescent="0.3">
      <c r="A426" s="241"/>
      <c r="B426" s="241"/>
      <c r="C426" s="241"/>
      <c r="D426" s="241"/>
      <c r="E426" s="241"/>
      <c r="F426" s="241"/>
      <c r="G426" s="241"/>
      <c r="H426" s="241"/>
      <c r="I426" s="241"/>
      <c r="J426" s="241"/>
      <c r="K426" s="241"/>
      <c r="L426" s="241"/>
      <c r="M426" s="241"/>
      <c r="N426" s="241"/>
      <c r="O426" s="241"/>
      <c r="P426" s="241"/>
      <c r="Q426" s="241"/>
      <c r="R426" s="241"/>
      <c r="S426" s="241"/>
      <c r="T426" s="241"/>
      <c r="U426" s="241"/>
      <c r="V426" s="241"/>
      <c r="W426" s="241"/>
      <c r="X426" s="241"/>
      <c r="Y426" s="241"/>
      <c r="Z426" s="241"/>
      <c r="AA426" s="241"/>
    </row>
    <row r="427" spans="1:27" ht="13.5" customHeight="1" x14ac:dyDescent="0.3">
      <c r="A427" s="241"/>
      <c r="B427" s="241"/>
      <c r="C427" s="241"/>
      <c r="D427" s="241"/>
      <c r="E427" s="241"/>
      <c r="F427" s="241"/>
      <c r="G427" s="241"/>
      <c r="H427" s="241"/>
      <c r="I427" s="241"/>
      <c r="J427" s="241"/>
      <c r="K427" s="241"/>
      <c r="L427" s="241"/>
      <c r="M427" s="241"/>
      <c r="N427" s="241"/>
      <c r="O427" s="241"/>
      <c r="P427" s="241"/>
      <c r="Q427" s="241"/>
      <c r="R427" s="241"/>
      <c r="S427" s="241"/>
      <c r="T427" s="241"/>
      <c r="U427" s="241"/>
      <c r="V427" s="241"/>
      <c r="W427" s="241"/>
      <c r="X427" s="241"/>
      <c r="Y427" s="241"/>
      <c r="Z427" s="241"/>
      <c r="AA427" s="241"/>
    </row>
    <row r="428" spans="1:27" ht="13.5" customHeight="1" x14ac:dyDescent="0.3">
      <c r="A428" s="241"/>
      <c r="B428" s="241"/>
      <c r="C428" s="241"/>
      <c r="D428" s="241"/>
      <c r="E428" s="241"/>
      <c r="F428" s="241"/>
      <c r="G428" s="241"/>
      <c r="H428" s="241"/>
      <c r="I428" s="241"/>
      <c r="J428" s="241"/>
      <c r="K428" s="241"/>
      <c r="L428" s="241"/>
      <c r="M428" s="241"/>
      <c r="N428" s="241"/>
      <c r="O428" s="241"/>
      <c r="P428" s="241"/>
      <c r="Q428" s="241"/>
      <c r="R428" s="241"/>
      <c r="S428" s="241"/>
      <c r="T428" s="241"/>
      <c r="U428" s="241"/>
      <c r="V428" s="241"/>
      <c r="W428" s="241"/>
      <c r="X428" s="241"/>
      <c r="Y428" s="241"/>
      <c r="Z428" s="241"/>
      <c r="AA428" s="241"/>
    </row>
    <row r="429" spans="1:27" ht="13.5" customHeight="1" x14ac:dyDescent="0.3">
      <c r="A429" s="241"/>
      <c r="B429" s="241"/>
      <c r="C429" s="241"/>
      <c r="D429" s="241"/>
      <c r="E429" s="241"/>
      <c r="F429" s="241"/>
      <c r="G429" s="241"/>
      <c r="H429" s="241"/>
      <c r="I429" s="241"/>
      <c r="J429" s="241"/>
      <c r="K429" s="241"/>
      <c r="L429" s="241"/>
      <c r="M429" s="241"/>
      <c r="N429" s="241"/>
      <c r="O429" s="241"/>
      <c r="P429" s="241"/>
      <c r="Q429" s="241"/>
      <c r="R429" s="241"/>
      <c r="S429" s="241"/>
      <c r="T429" s="241"/>
      <c r="U429" s="241"/>
      <c r="V429" s="241"/>
      <c r="W429" s="241"/>
      <c r="X429" s="241"/>
      <c r="Y429" s="241"/>
      <c r="Z429" s="241"/>
      <c r="AA429" s="241"/>
    </row>
    <row r="430" spans="1:27" ht="13.5" customHeight="1" x14ac:dyDescent="0.3">
      <c r="A430" s="241"/>
      <c r="B430" s="241"/>
      <c r="C430" s="241"/>
      <c r="D430" s="241"/>
      <c r="E430" s="241"/>
      <c r="F430" s="241"/>
      <c r="G430" s="241"/>
      <c r="H430" s="241"/>
      <c r="I430" s="241"/>
      <c r="J430" s="241"/>
      <c r="K430" s="241"/>
      <c r="L430" s="241"/>
      <c r="M430" s="241"/>
      <c r="N430" s="241"/>
      <c r="O430" s="241"/>
      <c r="P430" s="241"/>
      <c r="Q430" s="241"/>
      <c r="R430" s="241"/>
      <c r="S430" s="241"/>
      <c r="T430" s="241"/>
      <c r="U430" s="241"/>
      <c r="V430" s="241"/>
      <c r="W430" s="241"/>
      <c r="X430" s="241"/>
      <c r="Y430" s="241"/>
      <c r="Z430" s="241"/>
      <c r="AA430" s="241"/>
    </row>
    <row r="431" spans="1:27" ht="13.5" customHeight="1" x14ac:dyDescent="0.3">
      <c r="A431" s="241"/>
      <c r="B431" s="241"/>
      <c r="C431" s="241"/>
      <c r="D431" s="241"/>
      <c r="E431" s="241"/>
      <c r="F431" s="241"/>
      <c r="G431" s="241"/>
      <c r="H431" s="241"/>
      <c r="I431" s="241"/>
      <c r="J431" s="241"/>
      <c r="K431" s="241"/>
      <c r="L431" s="241"/>
      <c r="M431" s="241"/>
      <c r="N431" s="241"/>
      <c r="O431" s="241"/>
      <c r="P431" s="241"/>
      <c r="Q431" s="241"/>
      <c r="R431" s="241"/>
      <c r="S431" s="241"/>
      <c r="T431" s="241"/>
      <c r="U431" s="241"/>
      <c r="V431" s="241"/>
      <c r="W431" s="241"/>
      <c r="X431" s="241"/>
      <c r="Y431" s="241"/>
      <c r="Z431" s="241"/>
      <c r="AA431" s="241"/>
    </row>
    <row r="432" spans="1:27" ht="13.5" customHeight="1" x14ac:dyDescent="0.3">
      <c r="A432" s="241"/>
      <c r="B432" s="241"/>
      <c r="C432" s="241"/>
      <c r="D432" s="241"/>
      <c r="E432" s="241"/>
      <c r="F432" s="241"/>
      <c r="G432" s="241"/>
      <c r="H432" s="241"/>
      <c r="I432" s="241"/>
      <c r="J432" s="241"/>
      <c r="K432" s="241"/>
      <c r="L432" s="241"/>
      <c r="M432" s="241"/>
      <c r="N432" s="241"/>
      <c r="O432" s="241"/>
      <c r="P432" s="241"/>
      <c r="Q432" s="241"/>
      <c r="R432" s="241"/>
      <c r="S432" s="241"/>
      <c r="T432" s="241"/>
      <c r="U432" s="241"/>
      <c r="V432" s="241"/>
      <c r="W432" s="241"/>
      <c r="X432" s="241"/>
      <c r="Y432" s="241"/>
      <c r="Z432" s="241"/>
      <c r="AA432" s="241"/>
    </row>
    <row r="433" spans="1:27" ht="13.5" customHeight="1" x14ac:dyDescent="0.3">
      <c r="A433" s="241"/>
      <c r="B433" s="241"/>
      <c r="C433" s="241"/>
      <c r="D433" s="241"/>
      <c r="E433" s="241"/>
      <c r="F433" s="241"/>
      <c r="G433" s="241"/>
      <c r="H433" s="241"/>
      <c r="I433" s="241"/>
      <c r="J433" s="241"/>
      <c r="K433" s="241"/>
      <c r="L433" s="241"/>
      <c r="M433" s="241"/>
      <c r="N433" s="241"/>
      <c r="O433" s="241"/>
      <c r="P433" s="241"/>
      <c r="Q433" s="241"/>
      <c r="R433" s="241"/>
      <c r="S433" s="241"/>
      <c r="T433" s="241"/>
      <c r="U433" s="241"/>
      <c r="V433" s="241"/>
      <c r="W433" s="241"/>
      <c r="X433" s="241"/>
      <c r="Y433" s="241"/>
      <c r="Z433" s="241"/>
      <c r="AA433" s="241"/>
    </row>
    <row r="434" spans="1:27" ht="13.5" customHeight="1" x14ac:dyDescent="0.3">
      <c r="A434" s="241"/>
      <c r="B434" s="241"/>
      <c r="C434" s="241"/>
      <c r="D434" s="241"/>
      <c r="E434" s="241"/>
      <c r="F434" s="241"/>
      <c r="G434" s="241"/>
      <c r="H434" s="241"/>
      <c r="I434" s="241"/>
      <c r="J434" s="241"/>
      <c r="K434" s="241"/>
      <c r="L434" s="241"/>
      <c r="M434" s="241"/>
      <c r="N434" s="241"/>
      <c r="O434" s="241"/>
      <c r="P434" s="241"/>
      <c r="Q434" s="241"/>
      <c r="R434" s="241"/>
      <c r="S434" s="241"/>
      <c r="T434" s="241"/>
      <c r="U434" s="241"/>
      <c r="V434" s="241"/>
      <c r="W434" s="241"/>
      <c r="X434" s="241"/>
      <c r="Y434" s="241"/>
      <c r="Z434" s="241"/>
      <c r="AA434" s="241"/>
    </row>
    <row r="435" spans="1:27" ht="13.5" customHeight="1" x14ac:dyDescent="0.3">
      <c r="A435" s="241"/>
      <c r="B435" s="241"/>
      <c r="C435" s="241"/>
      <c r="D435" s="241"/>
      <c r="E435" s="241"/>
      <c r="F435" s="241"/>
      <c r="G435" s="241"/>
      <c r="H435" s="241"/>
      <c r="I435" s="241"/>
      <c r="J435" s="241"/>
      <c r="K435" s="241"/>
      <c r="L435" s="241"/>
      <c r="M435" s="241"/>
      <c r="N435" s="241"/>
      <c r="O435" s="241"/>
      <c r="P435" s="241"/>
      <c r="Q435" s="241"/>
      <c r="R435" s="241"/>
      <c r="S435" s="241"/>
      <c r="T435" s="241"/>
      <c r="U435" s="241"/>
      <c r="V435" s="241"/>
      <c r="W435" s="241"/>
      <c r="X435" s="241"/>
      <c r="Y435" s="241"/>
      <c r="Z435" s="241"/>
      <c r="AA435" s="241"/>
    </row>
    <row r="436" spans="1:27" ht="13.5" customHeight="1" x14ac:dyDescent="0.3">
      <c r="A436" s="241"/>
      <c r="B436" s="241"/>
      <c r="C436" s="241"/>
      <c r="D436" s="241"/>
      <c r="E436" s="241"/>
      <c r="F436" s="241"/>
      <c r="G436" s="241"/>
      <c r="H436" s="241"/>
      <c r="I436" s="241"/>
      <c r="J436" s="241"/>
      <c r="K436" s="241"/>
      <c r="L436" s="241"/>
      <c r="M436" s="241"/>
      <c r="N436" s="241"/>
      <c r="O436" s="241"/>
      <c r="P436" s="241"/>
      <c r="Q436" s="241"/>
      <c r="R436" s="241"/>
      <c r="S436" s="241"/>
      <c r="T436" s="241"/>
      <c r="U436" s="241"/>
      <c r="V436" s="241"/>
      <c r="W436" s="241"/>
      <c r="X436" s="241"/>
      <c r="Y436" s="241"/>
      <c r="Z436" s="241"/>
      <c r="AA436" s="241"/>
    </row>
    <row r="437" spans="1:27" ht="13.5" customHeight="1" x14ac:dyDescent="0.3">
      <c r="A437" s="241"/>
      <c r="B437" s="241"/>
      <c r="C437" s="241"/>
      <c r="D437" s="241"/>
      <c r="E437" s="241"/>
      <c r="F437" s="241"/>
      <c r="G437" s="241"/>
      <c r="H437" s="241"/>
      <c r="I437" s="241"/>
      <c r="J437" s="241"/>
      <c r="K437" s="241"/>
      <c r="L437" s="241"/>
      <c r="M437" s="241"/>
      <c r="N437" s="241"/>
      <c r="O437" s="241"/>
      <c r="P437" s="241"/>
      <c r="Q437" s="241"/>
      <c r="R437" s="241"/>
      <c r="S437" s="241"/>
      <c r="T437" s="241"/>
      <c r="U437" s="241"/>
      <c r="V437" s="241"/>
      <c r="W437" s="241"/>
      <c r="X437" s="241"/>
      <c r="Y437" s="241"/>
      <c r="Z437" s="241"/>
      <c r="AA437" s="241"/>
    </row>
    <row r="438" spans="1:27" ht="13.5" customHeight="1" x14ac:dyDescent="0.3">
      <c r="A438" s="241"/>
      <c r="B438" s="241"/>
      <c r="C438" s="241"/>
      <c r="D438" s="241"/>
      <c r="E438" s="241"/>
      <c r="F438" s="241"/>
      <c r="G438" s="241"/>
      <c r="H438" s="241"/>
      <c r="I438" s="241"/>
      <c r="J438" s="241"/>
      <c r="K438" s="241"/>
      <c r="L438" s="241"/>
      <c r="M438" s="241"/>
      <c r="N438" s="241"/>
      <c r="O438" s="241"/>
      <c r="P438" s="241"/>
      <c r="Q438" s="241"/>
      <c r="R438" s="241"/>
      <c r="S438" s="241"/>
      <c r="T438" s="241"/>
      <c r="U438" s="241"/>
      <c r="V438" s="241"/>
      <c r="W438" s="241"/>
      <c r="X438" s="241"/>
      <c r="Y438" s="241"/>
      <c r="Z438" s="241"/>
      <c r="AA438" s="241"/>
    </row>
    <row r="439" spans="1:27" ht="13.5" customHeight="1" x14ac:dyDescent="0.3">
      <c r="A439" s="241"/>
      <c r="B439" s="241"/>
      <c r="C439" s="241"/>
      <c r="D439" s="241"/>
      <c r="E439" s="241"/>
      <c r="F439" s="241"/>
      <c r="G439" s="241"/>
      <c r="H439" s="241"/>
      <c r="I439" s="241"/>
      <c r="J439" s="241"/>
      <c r="K439" s="241"/>
      <c r="L439" s="241"/>
      <c r="M439" s="241"/>
      <c r="N439" s="241"/>
      <c r="O439" s="241"/>
      <c r="P439" s="241"/>
      <c r="Q439" s="241"/>
      <c r="R439" s="241"/>
      <c r="S439" s="241"/>
      <c r="T439" s="241"/>
      <c r="U439" s="241"/>
      <c r="V439" s="241"/>
      <c r="W439" s="241"/>
      <c r="X439" s="241"/>
      <c r="Y439" s="241"/>
      <c r="Z439" s="241"/>
      <c r="AA439" s="241"/>
    </row>
    <row r="440" spans="1:27" ht="13.5" customHeight="1" x14ac:dyDescent="0.3">
      <c r="A440" s="241"/>
      <c r="B440" s="241"/>
      <c r="C440" s="241"/>
      <c r="D440" s="241"/>
      <c r="E440" s="241"/>
      <c r="F440" s="241"/>
      <c r="G440" s="241"/>
      <c r="H440" s="241"/>
      <c r="I440" s="241"/>
      <c r="J440" s="241"/>
      <c r="K440" s="241"/>
      <c r="L440" s="241"/>
      <c r="M440" s="241"/>
      <c r="N440" s="241"/>
      <c r="O440" s="241"/>
      <c r="P440" s="241"/>
      <c r="Q440" s="241"/>
      <c r="R440" s="241"/>
      <c r="S440" s="241"/>
      <c r="T440" s="241"/>
      <c r="U440" s="241"/>
      <c r="V440" s="241"/>
      <c r="W440" s="241"/>
      <c r="X440" s="241"/>
      <c r="Y440" s="241"/>
      <c r="Z440" s="241"/>
      <c r="AA440" s="241"/>
    </row>
    <row r="441" spans="1:27" ht="13.5" customHeight="1" x14ac:dyDescent="0.3">
      <c r="A441" s="241"/>
      <c r="B441" s="241"/>
      <c r="C441" s="241"/>
      <c r="D441" s="241"/>
      <c r="E441" s="241"/>
      <c r="F441" s="241"/>
      <c r="G441" s="241"/>
      <c r="H441" s="241"/>
      <c r="I441" s="241"/>
      <c r="J441" s="241"/>
      <c r="K441" s="241"/>
      <c r="L441" s="241"/>
      <c r="M441" s="241"/>
      <c r="N441" s="241"/>
      <c r="O441" s="241"/>
      <c r="P441" s="241"/>
      <c r="Q441" s="241"/>
      <c r="R441" s="241"/>
      <c r="S441" s="241"/>
      <c r="T441" s="241"/>
      <c r="U441" s="241"/>
      <c r="V441" s="241"/>
      <c r="W441" s="241"/>
      <c r="X441" s="241"/>
      <c r="Y441" s="241"/>
      <c r="Z441" s="241"/>
      <c r="AA441" s="241"/>
    </row>
    <row r="442" spans="1:27" ht="13.5" customHeight="1" x14ac:dyDescent="0.3">
      <c r="A442" s="241"/>
      <c r="B442" s="241"/>
      <c r="C442" s="241"/>
      <c r="D442" s="241"/>
      <c r="E442" s="241"/>
      <c r="F442" s="241"/>
      <c r="G442" s="241"/>
      <c r="H442" s="241"/>
      <c r="I442" s="241"/>
      <c r="J442" s="241"/>
      <c r="K442" s="241"/>
      <c r="L442" s="241"/>
      <c r="M442" s="241"/>
      <c r="N442" s="241"/>
      <c r="O442" s="241"/>
      <c r="P442" s="241"/>
      <c r="Q442" s="241"/>
      <c r="R442" s="241"/>
      <c r="S442" s="241"/>
      <c r="T442" s="241"/>
      <c r="U442" s="241"/>
      <c r="V442" s="241"/>
      <c r="W442" s="241"/>
      <c r="X442" s="241"/>
      <c r="Y442" s="241"/>
      <c r="Z442" s="241"/>
      <c r="AA442" s="241"/>
    </row>
    <row r="443" spans="1:27" ht="13.5" customHeight="1" x14ac:dyDescent="0.3">
      <c r="A443" s="241"/>
      <c r="B443" s="241"/>
      <c r="C443" s="241"/>
      <c r="D443" s="241"/>
      <c r="E443" s="241"/>
      <c r="F443" s="241"/>
      <c r="G443" s="241"/>
      <c r="H443" s="241"/>
      <c r="I443" s="241"/>
      <c r="J443" s="241"/>
      <c r="K443" s="241"/>
      <c r="L443" s="241"/>
      <c r="M443" s="241"/>
      <c r="N443" s="241"/>
      <c r="O443" s="241"/>
      <c r="P443" s="241"/>
      <c r="Q443" s="241"/>
      <c r="R443" s="241"/>
      <c r="S443" s="241"/>
      <c r="T443" s="241"/>
      <c r="U443" s="241"/>
      <c r="V443" s="241"/>
      <c r="W443" s="241"/>
      <c r="X443" s="241"/>
      <c r="Y443" s="241"/>
      <c r="Z443" s="241"/>
      <c r="AA443" s="241"/>
    </row>
    <row r="444" spans="1:27" ht="13.5" customHeight="1" x14ac:dyDescent="0.3">
      <c r="A444" s="241"/>
      <c r="B444" s="241"/>
      <c r="C444" s="241"/>
      <c r="D444" s="241"/>
      <c r="E444" s="241"/>
      <c r="F444" s="241"/>
      <c r="G444" s="241"/>
      <c r="H444" s="241"/>
      <c r="I444" s="241"/>
      <c r="J444" s="241"/>
      <c r="K444" s="241"/>
      <c r="L444" s="241"/>
      <c r="M444" s="241"/>
      <c r="N444" s="241"/>
      <c r="O444" s="241"/>
      <c r="P444" s="241"/>
      <c r="Q444" s="241"/>
      <c r="R444" s="241"/>
      <c r="S444" s="241"/>
      <c r="T444" s="241"/>
      <c r="U444" s="241"/>
      <c r="V444" s="241"/>
      <c r="W444" s="241"/>
      <c r="X444" s="241"/>
      <c r="Y444" s="241"/>
      <c r="Z444" s="241"/>
      <c r="AA444" s="241"/>
    </row>
    <row r="445" spans="1:27" ht="13.5" customHeight="1" x14ac:dyDescent="0.3">
      <c r="A445" s="241"/>
      <c r="B445" s="241"/>
      <c r="C445" s="241"/>
      <c r="D445" s="241"/>
      <c r="E445" s="241"/>
      <c r="F445" s="241"/>
      <c r="G445" s="241"/>
      <c r="H445" s="241"/>
      <c r="I445" s="241"/>
      <c r="J445" s="241"/>
      <c r="K445" s="241"/>
      <c r="L445" s="241"/>
      <c r="M445" s="241"/>
      <c r="N445" s="241"/>
      <c r="O445" s="241"/>
      <c r="P445" s="241"/>
      <c r="Q445" s="241"/>
      <c r="R445" s="241"/>
      <c r="S445" s="241"/>
      <c r="T445" s="241"/>
      <c r="U445" s="241"/>
      <c r="V445" s="241"/>
      <c r="W445" s="241"/>
      <c r="X445" s="241"/>
      <c r="Y445" s="241"/>
      <c r="Z445" s="241"/>
      <c r="AA445" s="241"/>
    </row>
    <row r="446" spans="1:27" ht="13.5" customHeight="1" x14ac:dyDescent="0.3">
      <c r="A446" s="241"/>
      <c r="B446" s="241"/>
      <c r="C446" s="241"/>
      <c r="D446" s="241"/>
      <c r="E446" s="241"/>
      <c r="F446" s="241"/>
      <c r="G446" s="241"/>
      <c r="H446" s="241"/>
      <c r="I446" s="241"/>
      <c r="J446" s="241"/>
      <c r="K446" s="241"/>
      <c r="L446" s="241"/>
      <c r="M446" s="241"/>
      <c r="N446" s="241"/>
      <c r="O446" s="241"/>
      <c r="P446" s="241"/>
      <c r="Q446" s="241"/>
      <c r="R446" s="241"/>
      <c r="S446" s="241"/>
      <c r="T446" s="241"/>
      <c r="U446" s="241"/>
      <c r="V446" s="241"/>
      <c r="W446" s="241"/>
      <c r="X446" s="241"/>
      <c r="Y446" s="241"/>
      <c r="Z446" s="241"/>
      <c r="AA446" s="241"/>
    </row>
    <row r="447" spans="1:27" ht="13.5" customHeight="1" x14ac:dyDescent="0.3">
      <c r="A447" s="241"/>
      <c r="B447" s="241"/>
      <c r="C447" s="241"/>
      <c r="D447" s="241"/>
      <c r="E447" s="241"/>
      <c r="F447" s="241"/>
      <c r="G447" s="241"/>
      <c r="H447" s="241"/>
      <c r="I447" s="241"/>
      <c r="J447" s="241"/>
      <c r="K447" s="241"/>
      <c r="L447" s="241"/>
      <c r="M447" s="241"/>
      <c r="N447" s="241"/>
      <c r="O447" s="241"/>
      <c r="P447" s="241"/>
      <c r="Q447" s="241"/>
      <c r="R447" s="241"/>
      <c r="S447" s="241"/>
      <c r="T447" s="241"/>
      <c r="U447" s="241"/>
      <c r="V447" s="241"/>
      <c r="W447" s="241"/>
      <c r="X447" s="241"/>
      <c r="Y447" s="241"/>
      <c r="Z447" s="241"/>
      <c r="AA447" s="241"/>
    </row>
    <row r="448" spans="1:27" ht="13.5" customHeight="1" x14ac:dyDescent="0.3">
      <c r="A448" s="241"/>
      <c r="B448" s="241"/>
      <c r="C448" s="241"/>
      <c r="D448" s="241"/>
      <c r="E448" s="241"/>
      <c r="F448" s="241"/>
      <c r="G448" s="241"/>
      <c r="H448" s="241"/>
      <c r="I448" s="241"/>
      <c r="J448" s="241"/>
      <c r="K448" s="241"/>
      <c r="L448" s="241"/>
      <c r="M448" s="241"/>
      <c r="N448" s="241"/>
      <c r="O448" s="241"/>
      <c r="P448" s="241"/>
      <c r="Q448" s="241"/>
      <c r="R448" s="241"/>
      <c r="S448" s="241"/>
      <c r="T448" s="241"/>
      <c r="U448" s="241"/>
      <c r="V448" s="241"/>
      <c r="W448" s="241"/>
      <c r="X448" s="241"/>
      <c r="Y448" s="241"/>
      <c r="Z448" s="241"/>
      <c r="AA448" s="241"/>
    </row>
    <row r="449" spans="1:27" ht="13.5" customHeight="1" x14ac:dyDescent="0.3">
      <c r="A449" s="241"/>
      <c r="B449" s="241"/>
      <c r="C449" s="241"/>
      <c r="D449" s="241"/>
      <c r="E449" s="241"/>
      <c r="F449" s="241"/>
      <c r="G449" s="241"/>
      <c r="H449" s="241"/>
      <c r="I449" s="241"/>
      <c r="J449" s="241"/>
      <c r="K449" s="241"/>
      <c r="L449" s="241"/>
      <c r="M449" s="241"/>
      <c r="N449" s="241"/>
      <c r="O449" s="241"/>
      <c r="P449" s="241"/>
      <c r="Q449" s="241"/>
      <c r="R449" s="241"/>
      <c r="S449" s="241"/>
      <c r="T449" s="241"/>
      <c r="U449" s="241"/>
      <c r="V449" s="241"/>
      <c r="W449" s="241"/>
      <c r="X449" s="241"/>
      <c r="Y449" s="241"/>
      <c r="Z449" s="241"/>
      <c r="AA449" s="241"/>
    </row>
    <row r="450" spans="1:27" ht="13.5" customHeight="1" x14ac:dyDescent="0.3">
      <c r="A450" s="241"/>
      <c r="B450" s="241"/>
      <c r="C450" s="241"/>
      <c r="D450" s="241"/>
      <c r="E450" s="241"/>
      <c r="F450" s="241"/>
      <c r="G450" s="241"/>
      <c r="H450" s="241"/>
      <c r="I450" s="241"/>
      <c r="J450" s="241"/>
      <c r="K450" s="241"/>
      <c r="L450" s="241"/>
      <c r="M450" s="241"/>
      <c r="N450" s="241"/>
      <c r="O450" s="241"/>
      <c r="P450" s="241"/>
      <c r="Q450" s="241"/>
      <c r="R450" s="241"/>
      <c r="S450" s="241"/>
      <c r="T450" s="241"/>
      <c r="U450" s="241"/>
      <c r="V450" s="241"/>
      <c r="W450" s="241"/>
      <c r="X450" s="241"/>
      <c r="Y450" s="241"/>
      <c r="Z450" s="241"/>
      <c r="AA450" s="241"/>
    </row>
    <row r="451" spans="1:27" ht="13.5" customHeight="1" x14ac:dyDescent="0.3">
      <c r="A451" s="241"/>
      <c r="B451" s="241"/>
      <c r="C451" s="241"/>
      <c r="D451" s="241"/>
      <c r="E451" s="241"/>
      <c r="F451" s="241"/>
      <c r="G451" s="241"/>
      <c r="H451" s="241"/>
      <c r="I451" s="241"/>
      <c r="J451" s="241"/>
      <c r="K451" s="241"/>
      <c r="L451" s="241"/>
      <c r="M451" s="241"/>
      <c r="N451" s="241"/>
      <c r="O451" s="241"/>
      <c r="P451" s="241"/>
      <c r="Q451" s="241"/>
      <c r="R451" s="241"/>
      <c r="S451" s="241"/>
      <c r="T451" s="241"/>
      <c r="U451" s="241"/>
      <c r="V451" s="241"/>
      <c r="W451" s="241"/>
      <c r="X451" s="241"/>
      <c r="Y451" s="241"/>
      <c r="Z451" s="241"/>
      <c r="AA451" s="241"/>
    </row>
    <row r="452" spans="1:27" ht="13.5" customHeight="1" x14ac:dyDescent="0.3">
      <c r="A452" s="241"/>
      <c r="B452" s="241"/>
      <c r="C452" s="241"/>
      <c r="D452" s="241"/>
      <c r="E452" s="241"/>
      <c r="F452" s="241"/>
      <c r="G452" s="241"/>
      <c r="H452" s="241"/>
      <c r="I452" s="241"/>
      <c r="J452" s="241"/>
      <c r="K452" s="241"/>
      <c r="L452" s="241"/>
      <c r="M452" s="241"/>
      <c r="N452" s="241"/>
      <c r="O452" s="241"/>
      <c r="P452" s="241"/>
      <c r="Q452" s="241"/>
      <c r="R452" s="241"/>
      <c r="S452" s="241"/>
      <c r="T452" s="241"/>
      <c r="U452" s="241"/>
      <c r="V452" s="241"/>
      <c r="W452" s="241"/>
      <c r="X452" s="241"/>
      <c r="Y452" s="241"/>
      <c r="Z452" s="241"/>
      <c r="AA452" s="241"/>
    </row>
    <row r="453" spans="1:27" ht="13.5" customHeight="1" x14ac:dyDescent="0.3">
      <c r="A453" s="241"/>
      <c r="B453" s="241"/>
      <c r="C453" s="241"/>
      <c r="D453" s="241"/>
      <c r="E453" s="241"/>
      <c r="F453" s="241"/>
      <c r="G453" s="241"/>
      <c r="H453" s="241"/>
      <c r="I453" s="241"/>
      <c r="J453" s="241"/>
      <c r="K453" s="241"/>
      <c r="L453" s="241"/>
      <c r="M453" s="241"/>
      <c r="N453" s="241"/>
      <c r="O453" s="241"/>
      <c r="P453" s="241"/>
      <c r="Q453" s="241"/>
      <c r="R453" s="241"/>
      <c r="S453" s="241"/>
      <c r="T453" s="241"/>
      <c r="U453" s="241"/>
      <c r="V453" s="241"/>
      <c r="W453" s="241"/>
      <c r="X453" s="241"/>
      <c r="Y453" s="241"/>
      <c r="Z453" s="241"/>
      <c r="AA453" s="241"/>
    </row>
    <row r="454" spans="1:27" ht="13.5" customHeight="1" x14ac:dyDescent="0.3">
      <c r="A454" s="241"/>
      <c r="B454" s="241"/>
      <c r="C454" s="241"/>
      <c r="D454" s="241"/>
      <c r="E454" s="241"/>
      <c r="F454" s="241"/>
      <c r="G454" s="241"/>
      <c r="H454" s="241"/>
      <c r="I454" s="241"/>
      <c r="J454" s="241"/>
      <c r="K454" s="241"/>
      <c r="L454" s="241"/>
      <c r="M454" s="241"/>
      <c r="N454" s="241"/>
      <c r="O454" s="241"/>
      <c r="P454" s="241"/>
      <c r="Q454" s="241"/>
      <c r="R454" s="241"/>
      <c r="S454" s="241"/>
      <c r="T454" s="241"/>
      <c r="U454" s="241"/>
      <c r="V454" s="241"/>
      <c r="W454" s="241"/>
      <c r="X454" s="241"/>
      <c r="Y454" s="241"/>
      <c r="Z454" s="241"/>
      <c r="AA454" s="241"/>
    </row>
    <row r="455" spans="1:27" ht="13.5" customHeight="1" x14ac:dyDescent="0.3">
      <c r="A455" s="241"/>
      <c r="B455" s="241"/>
      <c r="C455" s="241"/>
      <c r="D455" s="241"/>
      <c r="E455" s="241"/>
      <c r="F455" s="241"/>
      <c r="G455" s="241"/>
      <c r="H455" s="241"/>
      <c r="I455" s="241"/>
      <c r="J455" s="241"/>
      <c r="K455" s="241"/>
      <c r="L455" s="241"/>
      <c r="M455" s="241"/>
      <c r="N455" s="241"/>
      <c r="O455" s="241"/>
      <c r="P455" s="241"/>
      <c r="Q455" s="241"/>
      <c r="R455" s="241"/>
      <c r="S455" s="241"/>
      <c r="T455" s="241"/>
      <c r="U455" s="241"/>
      <c r="V455" s="241"/>
      <c r="W455" s="241"/>
      <c r="X455" s="241"/>
      <c r="Y455" s="241"/>
      <c r="Z455" s="241"/>
      <c r="AA455" s="241"/>
    </row>
    <row r="456" spans="1:27" ht="13.5" customHeight="1" x14ac:dyDescent="0.3">
      <c r="A456" s="241"/>
      <c r="B456" s="241"/>
      <c r="C456" s="241"/>
      <c r="D456" s="241"/>
      <c r="E456" s="241"/>
      <c r="F456" s="241"/>
      <c r="G456" s="241"/>
      <c r="H456" s="241"/>
      <c r="I456" s="241"/>
      <c r="J456" s="241"/>
      <c r="K456" s="241"/>
      <c r="L456" s="241"/>
      <c r="M456" s="241"/>
      <c r="N456" s="241"/>
      <c r="O456" s="241"/>
      <c r="P456" s="241"/>
      <c r="Q456" s="241"/>
      <c r="R456" s="241"/>
      <c r="S456" s="241"/>
      <c r="T456" s="241"/>
      <c r="U456" s="241"/>
      <c r="V456" s="241"/>
      <c r="W456" s="241"/>
      <c r="X456" s="241"/>
      <c r="Y456" s="241"/>
      <c r="Z456" s="241"/>
      <c r="AA456" s="241"/>
    </row>
    <row r="457" spans="1:27" ht="13.5" customHeight="1" x14ac:dyDescent="0.3">
      <c r="A457" s="241"/>
      <c r="B457" s="241"/>
      <c r="C457" s="241"/>
      <c r="D457" s="241"/>
      <c r="E457" s="241"/>
      <c r="F457" s="241"/>
      <c r="G457" s="241"/>
      <c r="H457" s="241"/>
      <c r="I457" s="241"/>
      <c r="J457" s="241"/>
      <c r="K457" s="241"/>
      <c r="L457" s="241"/>
      <c r="M457" s="241"/>
      <c r="N457" s="241"/>
      <c r="O457" s="241"/>
      <c r="P457" s="241"/>
      <c r="Q457" s="241"/>
      <c r="R457" s="241"/>
      <c r="S457" s="241"/>
      <c r="T457" s="241"/>
      <c r="U457" s="241"/>
      <c r="V457" s="241"/>
      <c r="W457" s="241"/>
      <c r="X457" s="241"/>
      <c r="Y457" s="241"/>
      <c r="Z457" s="241"/>
      <c r="AA457" s="241"/>
    </row>
    <row r="458" spans="1:27" ht="13.5" customHeight="1" x14ac:dyDescent="0.3">
      <c r="A458" s="241"/>
      <c r="B458" s="241"/>
      <c r="C458" s="241"/>
      <c r="D458" s="241"/>
      <c r="E458" s="241"/>
      <c r="F458" s="241"/>
      <c r="G458" s="241"/>
      <c r="H458" s="241"/>
      <c r="I458" s="241"/>
      <c r="J458" s="241"/>
      <c r="K458" s="241"/>
      <c r="L458" s="241"/>
      <c r="M458" s="241"/>
      <c r="N458" s="241"/>
      <c r="O458" s="241"/>
      <c r="P458" s="241"/>
      <c r="Q458" s="241"/>
      <c r="R458" s="241"/>
      <c r="S458" s="241"/>
      <c r="T458" s="241"/>
      <c r="U458" s="241"/>
      <c r="V458" s="241"/>
      <c r="W458" s="241"/>
      <c r="X458" s="241"/>
      <c r="Y458" s="241"/>
      <c r="Z458" s="241"/>
      <c r="AA458" s="241"/>
    </row>
    <row r="459" spans="1:27" ht="13.5" customHeight="1" x14ac:dyDescent="0.3">
      <c r="A459" s="241"/>
      <c r="B459" s="241"/>
      <c r="C459" s="241"/>
      <c r="D459" s="241"/>
      <c r="E459" s="241"/>
      <c r="F459" s="241"/>
      <c r="G459" s="241"/>
      <c r="H459" s="241"/>
      <c r="I459" s="241"/>
      <c r="J459" s="241"/>
      <c r="K459" s="241"/>
      <c r="L459" s="241"/>
      <c r="M459" s="241"/>
      <c r="N459" s="241"/>
      <c r="O459" s="241"/>
      <c r="P459" s="241"/>
      <c r="Q459" s="241"/>
      <c r="R459" s="241"/>
      <c r="S459" s="241"/>
      <c r="T459" s="241"/>
      <c r="U459" s="241"/>
      <c r="V459" s="241"/>
      <c r="W459" s="241"/>
      <c r="X459" s="241"/>
      <c r="Y459" s="241"/>
      <c r="Z459" s="241"/>
      <c r="AA459" s="241"/>
    </row>
    <row r="460" spans="1:27" ht="13.5" customHeight="1" x14ac:dyDescent="0.3">
      <c r="A460" s="241"/>
      <c r="B460" s="241"/>
      <c r="C460" s="241"/>
      <c r="D460" s="241"/>
      <c r="E460" s="241"/>
      <c r="F460" s="241"/>
      <c r="G460" s="241"/>
      <c r="H460" s="241"/>
      <c r="I460" s="241"/>
      <c r="J460" s="241"/>
      <c r="K460" s="241"/>
      <c r="L460" s="241"/>
      <c r="M460" s="241"/>
      <c r="N460" s="241"/>
      <c r="O460" s="241"/>
      <c r="P460" s="241"/>
      <c r="Q460" s="241"/>
      <c r="R460" s="241"/>
      <c r="S460" s="241"/>
      <c r="T460" s="241"/>
      <c r="U460" s="241"/>
      <c r="V460" s="241"/>
      <c r="W460" s="241"/>
      <c r="X460" s="241"/>
      <c r="Y460" s="241"/>
      <c r="Z460" s="241"/>
      <c r="AA460" s="241"/>
    </row>
    <row r="461" spans="1:27" ht="13.5" customHeight="1" x14ac:dyDescent="0.3">
      <c r="A461" s="241"/>
      <c r="B461" s="241"/>
      <c r="C461" s="241"/>
      <c r="D461" s="241"/>
      <c r="E461" s="241"/>
      <c r="F461" s="241"/>
      <c r="G461" s="241"/>
      <c r="H461" s="241"/>
      <c r="I461" s="241"/>
      <c r="J461" s="241"/>
      <c r="K461" s="241"/>
      <c r="L461" s="241"/>
      <c r="M461" s="241"/>
      <c r="N461" s="241"/>
      <c r="O461" s="241"/>
      <c r="P461" s="241"/>
      <c r="Q461" s="241"/>
      <c r="R461" s="241"/>
      <c r="S461" s="241"/>
      <c r="T461" s="241"/>
      <c r="U461" s="241"/>
      <c r="V461" s="241"/>
      <c r="W461" s="241"/>
      <c r="X461" s="241"/>
      <c r="Y461" s="241"/>
      <c r="Z461" s="241"/>
      <c r="AA461" s="241"/>
    </row>
    <row r="462" spans="1:27" ht="13.5" customHeight="1" x14ac:dyDescent="0.3">
      <c r="A462" s="241"/>
      <c r="B462" s="241"/>
      <c r="C462" s="241"/>
      <c r="D462" s="241"/>
      <c r="E462" s="241"/>
      <c r="F462" s="241"/>
      <c r="G462" s="241"/>
      <c r="H462" s="241"/>
      <c r="I462" s="241"/>
      <c r="J462" s="241"/>
      <c r="K462" s="241"/>
      <c r="L462" s="241"/>
      <c r="M462" s="241"/>
      <c r="N462" s="241"/>
      <c r="O462" s="241"/>
      <c r="P462" s="241"/>
      <c r="Q462" s="241"/>
      <c r="R462" s="241"/>
      <c r="S462" s="241"/>
      <c r="T462" s="241"/>
      <c r="U462" s="241"/>
      <c r="V462" s="241"/>
      <c r="W462" s="241"/>
      <c r="X462" s="241"/>
      <c r="Y462" s="241"/>
      <c r="Z462" s="241"/>
      <c r="AA462" s="241"/>
    </row>
    <row r="463" spans="1:27" ht="13.5" customHeight="1" x14ac:dyDescent="0.3">
      <c r="A463" s="241"/>
      <c r="B463" s="241"/>
      <c r="C463" s="241"/>
      <c r="D463" s="241"/>
      <c r="E463" s="241"/>
      <c r="F463" s="241"/>
      <c r="G463" s="241"/>
      <c r="H463" s="241"/>
      <c r="I463" s="241"/>
      <c r="J463" s="241"/>
      <c r="K463" s="241"/>
      <c r="L463" s="241"/>
      <c r="M463" s="241"/>
      <c r="N463" s="241"/>
      <c r="O463" s="241"/>
      <c r="P463" s="241"/>
      <c r="Q463" s="241"/>
      <c r="R463" s="241"/>
      <c r="S463" s="241"/>
      <c r="T463" s="241"/>
      <c r="U463" s="241"/>
      <c r="V463" s="241"/>
      <c r="W463" s="241"/>
      <c r="X463" s="241"/>
      <c r="Y463" s="241"/>
      <c r="Z463" s="241"/>
      <c r="AA463" s="241"/>
    </row>
    <row r="464" spans="1:27" ht="13.5" customHeight="1" x14ac:dyDescent="0.3">
      <c r="A464" s="241"/>
      <c r="B464" s="241"/>
      <c r="C464" s="241"/>
      <c r="D464" s="241"/>
      <c r="E464" s="241"/>
      <c r="F464" s="241"/>
      <c r="G464" s="241"/>
      <c r="H464" s="241"/>
      <c r="I464" s="241"/>
      <c r="J464" s="241"/>
      <c r="K464" s="241"/>
      <c r="L464" s="241"/>
      <c r="M464" s="241"/>
      <c r="N464" s="241"/>
      <c r="O464" s="241"/>
      <c r="P464" s="241"/>
      <c r="Q464" s="241"/>
      <c r="R464" s="241"/>
      <c r="S464" s="241"/>
      <c r="T464" s="241"/>
      <c r="U464" s="241"/>
      <c r="V464" s="241"/>
      <c r="W464" s="241"/>
      <c r="X464" s="241"/>
      <c r="Y464" s="241"/>
      <c r="Z464" s="241"/>
      <c r="AA464" s="241"/>
    </row>
    <row r="465" spans="1:27" ht="13.5" customHeight="1" x14ac:dyDescent="0.3">
      <c r="A465" s="241"/>
      <c r="B465" s="241"/>
      <c r="C465" s="241"/>
      <c r="D465" s="241"/>
      <c r="E465" s="241"/>
      <c r="F465" s="241"/>
      <c r="G465" s="241"/>
      <c r="H465" s="241"/>
      <c r="I465" s="241"/>
      <c r="J465" s="241"/>
      <c r="K465" s="241"/>
      <c r="L465" s="241"/>
      <c r="M465" s="241"/>
      <c r="N465" s="241"/>
      <c r="O465" s="241"/>
      <c r="P465" s="241"/>
      <c r="Q465" s="241"/>
      <c r="R465" s="241"/>
      <c r="S465" s="241"/>
      <c r="T465" s="241"/>
      <c r="U465" s="241"/>
      <c r="V465" s="241"/>
      <c r="W465" s="241"/>
      <c r="X465" s="241"/>
      <c r="Y465" s="241"/>
      <c r="Z465" s="241"/>
      <c r="AA465" s="241"/>
    </row>
    <row r="466" spans="1:27" ht="13.5" customHeight="1" x14ac:dyDescent="0.3">
      <c r="A466" s="241"/>
      <c r="B466" s="241"/>
      <c r="C466" s="241"/>
      <c r="D466" s="241"/>
      <c r="E466" s="241"/>
      <c r="F466" s="241"/>
      <c r="G466" s="241"/>
      <c r="H466" s="241"/>
      <c r="I466" s="241"/>
      <c r="J466" s="241"/>
      <c r="K466" s="241"/>
      <c r="L466" s="241"/>
      <c r="M466" s="241"/>
      <c r="N466" s="241"/>
      <c r="O466" s="241"/>
      <c r="P466" s="241"/>
      <c r="Q466" s="241"/>
      <c r="R466" s="241"/>
      <c r="S466" s="241"/>
      <c r="T466" s="241"/>
      <c r="U466" s="241"/>
      <c r="V466" s="241"/>
      <c r="W466" s="241"/>
      <c r="X466" s="241"/>
      <c r="Y466" s="241"/>
      <c r="Z466" s="241"/>
      <c r="AA466" s="241"/>
    </row>
    <row r="467" spans="1:27" ht="13.5" customHeight="1" x14ac:dyDescent="0.3">
      <c r="A467" s="241"/>
      <c r="B467" s="241"/>
      <c r="C467" s="241"/>
      <c r="D467" s="241"/>
      <c r="E467" s="241"/>
      <c r="F467" s="241"/>
      <c r="G467" s="241"/>
      <c r="H467" s="241"/>
      <c r="I467" s="241"/>
      <c r="J467" s="241"/>
      <c r="K467" s="241"/>
      <c r="L467" s="241"/>
      <c r="M467" s="241"/>
      <c r="N467" s="241"/>
      <c r="O467" s="241"/>
      <c r="P467" s="241"/>
      <c r="Q467" s="241"/>
      <c r="R467" s="241"/>
      <c r="S467" s="241"/>
      <c r="T467" s="241"/>
      <c r="U467" s="241"/>
      <c r="V467" s="241"/>
      <c r="W467" s="241"/>
      <c r="X467" s="241"/>
      <c r="Y467" s="241"/>
      <c r="Z467" s="241"/>
      <c r="AA467" s="241"/>
    </row>
    <row r="468" spans="1:27" ht="13.5" customHeight="1" x14ac:dyDescent="0.3">
      <c r="A468" s="241"/>
      <c r="B468" s="241"/>
      <c r="C468" s="241"/>
      <c r="D468" s="241"/>
      <c r="E468" s="241"/>
      <c r="F468" s="241"/>
      <c r="G468" s="241"/>
      <c r="H468" s="241"/>
      <c r="I468" s="241"/>
      <c r="J468" s="241"/>
      <c r="K468" s="241"/>
      <c r="L468" s="241"/>
      <c r="M468" s="241"/>
      <c r="N468" s="241"/>
      <c r="O468" s="241"/>
      <c r="P468" s="241"/>
      <c r="Q468" s="241"/>
      <c r="R468" s="241"/>
      <c r="S468" s="241"/>
      <c r="T468" s="241"/>
      <c r="U468" s="241"/>
      <c r="V468" s="241"/>
      <c r="W468" s="241"/>
      <c r="X468" s="241"/>
      <c r="Y468" s="241"/>
      <c r="Z468" s="241"/>
      <c r="AA468" s="241"/>
    </row>
    <row r="469" spans="1:27" ht="13.5" customHeight="1" x14ac:dyDescent="0.3">
      <c r="A469" s="241"/>
      <c r="B469" s="241"/>
      <c r="C469" s="241"/>
      <c r="D469" s="241"/>
      <c r="E469" s="241"/>
      <c r="F469" s="241"/>
      <c r="G469" s="241"/>
      <c r="H469" s="241"/>
      <c r="I469" s="241"/>
      <c r="J469" s="241"/>
      <c r="K469" s="241"/>
      <c r="L469" s="241"/>
      <c r="M469" s="241"/>
      <c r="N469" s="241"/>
      <c r="O469" s="241"/>
      <c r="P469" s="241"/>
      <c r="Q469" s="241"/>
      <c r="R469" s="241"/>
      <c r="S469" s="241"/>
      <c r="T469" s="241"/>
      <c r="U469" s="241"/>
      <c r="V469" s="241"/>
      <c r="W469" s="241"/>
      <c r="X469" s="241"/>
      <c r="Y469" s="241"/>
      <c r="Z469" s="241"/>
      <c r="AA469" s="241"/>
    </row>
    <row r="470" spans="1:27" ht="13.5" customHeight="1" x14ac:dyDescent="0.3">
      <c r="A470" s="241"/>
      <c r="B470" s="241"/>
      <c r="C470" s="241"/>
      <c r="D470" s="241"/>
      <c r="E470" s="241"/>
      <c r="F470" s="241"/>
      <c r="G470" s="241"/>
      <c r="H470" s="241"/>
      <c r="I470" s="241"/>
      <c r="J470" s="241"/>
      <c r="K470" s="241"/>
      <c r="L470" s="241"/>
      <c r="M470" s="241"/>
      <c r="N470" s="241"/>
      <c r="O470" s="241"/>
      <c r="P470" s="241"/>
      <c r="Q470" s="241"/>
      <c r="R470" s="241"/>
      <c r="S470" s="241"/>
      <c r="T470" s="241"/>
      <c r="U470" s="241"/>
      <c r="V470" s="241"/>
      <c r="W470" s="241"/>
      <c r="X470" s="241"/>
      <c r="Y470" s="241"/>
      <c r="Z470" s="241"/>
      <c r="AA470" s="241"/>
    </row>
    <row r="471" spans="1:27" ht="13.5" customHeight="1" x14ac:dyDescent="0.3">
      <c r="A471" s="241"/>
      <c r="B471" s="241"/>
      <c r="C471" s="241"/>
      <c r="D471" s="241"/>
      <c r="E471" s="241"/>
      <c r="F471" s="241"/>
      <c r="G471" s="241"/>
      <c r="H471" s="241"/>
      <c r="I471" s="241"/>
      <c r="J471" s="241"/>
      <c r="K471" s="241"/>
      <c r="L471" s="241"/>
      <c r="M471" s="241"/>
      <c r="N471" s="241"/>
      <c r="O471" s="241"/>
      <c r="P471" s="241"/>
      <c r="Q471" s="241"/>
      <c r="R471" s="241"/>
      <c r="S471" s="241"/>
      <c r="T471" s="241"/>
      <c r="U471" s="241"/>
      <c r="V471" s="241"/>
      <c r="W471" s="241"/>
      <c r="X471" s="241"/>
      <c r="Y471" s="241"/>
      <c r="Z471" s="241"/>
      <c r="AA471" s="241"/>
    </row>
    <row r="472" spans="1:27" ht="13.5" customHeight="1" x14ac:dyDescent="0.3">
      <c r="A472" s="241"/>
      <c r="B472" s="241"/>
      <c r="C472" s="241"/>
      <c r="D472" s="241"/>
      <c r="E472" s="241"/>
      <c r="F472" s="241"/>
      <c r="G472" s="241"/>
      <c r="H472" s="241"/>
      <c r="I472" s="241"/>
      <c r="J472" s="241"/>
      <c r="K472" s="241"/>
      <c r="L472" s="241"/>
      <c r="M472" s="241"/>
      <c r="N472" s="241"/>
      <c r="O472" s="241"/>
      <c r="P472" s="241"/>
      <c r="Q472" s="241"/>
      <c r="R472" s="241"/>
      <c r="S472" s="241"/>
      <c r="T472" s="241"/>
      <c r="U472" s="241"/>
      <c r="V472" s="241"/>
      <c r="W472" s="241"/>
      <c r="X472" s="241"/>
      <c r="Y472" s="241"/>
      <c r="Z472" s="241"/>
      <c r="AA472" s="241"/>
    </row>
    <row r="473" spans="1:27" ht="13.5" customHeight="1" x14ac:dyDescent="0.3">
      <c r="A473" s="241"/>
      <c r="B473" s="241"/>
      <c r="C473" s="241"/>
      <c r="D473" s="241"/>
      <c r="E473" s="241"/>
      <c r="F473" s="241"/>
      <c r="G473" s="241"/>
      <c r="H473" s="241"/>
      <c r="I473" s="241"/>
      <c r="J473" s="241"/>
      <c r="K473" s="241"/>
      <c r="L473" s="241"/>
      <c r="M473" s="241"/>
      <c r="N473" s="241"/>
      <c r="O473" s="241"/>
      <c r="P473" s="241"/>
      <c r="Q473" s="241"/>
      <c r="R473" s="241"/>
      <c r="S473" s="241"/>
      <c r="T473" s="241"/>
      <c r="U473" s="241"/>
      <c r="V473" s="241"/>
      <c r="W473" s="241"/>
      <c r="X473" s="241"/>
      <c r="Y473" s="241"/>
      <c r="Z473" s="241"/>
      <c r="AA473" s="241"/>
    </row>
    <row r="474" spans="1:27" ht="13.5" customHeight="1" x14ac:dyDescent="0.3">
      <c r="A474" s="241"/>
      <c r="B474" s="241"/>
      <c r="C474" s="241"/>
      <c r="D474" s="241"/>
      <c r="E474" s="241"/>
      <c r="F474" s="241"/>
      <c r="G474" s="241"/>
      <c r="H474" s="241"/>
      <c r="I474" s="241"/>
      <c r="J474" s="241"/>
      <c r="K474" s="241"/>
      <c r="L474" s="241"/>
      <c r="M474" s="241"/>
      <c r="N474" s="241"/>
      <c r="O474" s="241"/>
      <c r="P474" s="241"/>
      <c r="Q474" s="241"/>
      <c r="R474" s="241"/>
      <c r="S474" s="241"/>
      <c r="T474" s="241"/>
      <c r="U474" s="241"/>
      <c r="V474" s="241"/>
      <c r="W474" s="241"/>
      <c r="X474" s="241"/>
      <c r="Y474" s="241"/>
      <c r="Z474" s="241"/>
      <c r="AA474" s="241"/>
    </row>
    <row r="475" spans="1:27" ht="13.5" customHeight="1" x14ac:dyDescent="0.3">
      <c r="A475" s="241"/>
      <c r="B475" s="241"/>
      <c r="C475" s="241"/>
      <c r="D475" s="241"/>
      <c r="E475" s="241"/>
      <c r="F475" s="241"/>
      <c r="G475" s="241"/>
      <c r="H475" s="241"/>
      <c r="I475" s="241"/>
      <c r="J475" s="241"/>
      <c r="K475" s="241"/>
      <c r="L475" s="241"/>
      <c r="M475" s="241"/>
      <c r="N475" s="241"/>
      <c r="O475" s="241"/>
      <c r="P475" s="241"/>
      <c r="Q475" s="241"/>
      <c r="R475" s="241"/>
      <c r="S475" s="241"/>
      <c r="T475" s="241"/>
      <c r="U475" s="241"/>
      <c r="V475" s="241"/>
      <c r="W475" s="241"/>
      <c r="X475" s="241"/>
      <c r="Y475" s="241"/>
      <c r="Z475" s="241"/>
      <c r="AA475" s="241"/>
    </row>
    <row r="476" spans="1:27" ht="13.5" customHeight="1" x14ac:dyDescent="0.3">
      <c r="A476" s="241"/>
      <c r="B476" s="241"/>
      <c r="C476" s="241"/>
      <c r="D476" s="241"/>
      <c r="E476" s="241"/>
      <c r="F476" s="241"/>
      <c r="G476" s="241"/>
      <c r="H476" s="241"/>
      <c r="I476" s="241"/>
      <c r="J476" s="241"/>
      <c r="K476" s="241"/>
      <c r="L476" s="241"/>
      <c r="M476" s="241"/>
      <c r="N476" s="241"/>
      <c r="O476" s="241"/>
      <c r="P476" s="241"/>
      <c r="Q476" s="241"/>
      <c r="R476" s="241"/>
      <c r="S476" s="241"/>
      <c r="T476" s="241"/>
      <c r="U476" s="241"/>
      <c r="V476" s="241"/>
      <c r="W476" s="241"/>
      <c r="X476" s="241"/>
      <c r="Y476" s="241"/>
      <c r="Z476" s="241"/>
      <c r="AA476" s="241"/>
    </row>
    <row r="477" spans="1:27" ht="13.5" customHeight="1" x14ac:dyDescent="0.3">
      <c r="A477" s="241"/>
      <c r="B477" s="241"/>
      <c r="C477" s="241"/>
      <c r="D477" s="241"/>
      <c r="E477" s="241"/>
      <c r="F477" s="241"/>
      <c r="G477" s="241"/>
      <c r="H477" s="241"/>
      <c r="I477" s="241"/>
      <c r="J477" s="241"/>
      <c r="K477" s="241"/>
      <c r="L477" s="241"/>
      <c r="M477" s="241"/>
      <c r="N477" s="241"/>
      <c r="O477" s="241"/>
      <c r="P477" s="241"/>
      <c r="Q477" s="241"/>
      <c r="R477" s="241"/>
      <c r="S477" s="241"/>
      <c r="T477" s="241"/>
      <c r="U477" s="241"/>
      <c r="V477" s="241"/>
      <c r="W477" s="241"/>
      <c r="X477" s="241"/>
      <c r="Y477" s="241"/>
      <c r="Z477" s="241"/>
      <c r="AA477" s="241"/>
    </row>
    <row r="478" spans="1:27" ht="13.5" customHeight="1" x14ac:dyDescent="0.3">
      <c r="A478" s="241"/>
      <c r="B478" s="241"/>
      <c r="C478" s="241"/>
      <c r="D478" s="241"/>
      <c r="E478" s="241"/>
      <c r="F478" s="241"/>
      <c r="G478" s="241"/>
      <c r="H478" s="241"/>
      <c r="I478" s="241"/>
      <c r="J478" s="241"/>
      <c r="K478" s="241"/>
      <c r="L478" s="241"/>
      <c r="M478" s="241"/>
      <c r="N478" s="241"/>
      <c r="O478" s="241"/>
      <c r="P478" s="241"/>
      <c r="Q478" s="241"/>
      <c r="R478" s="241"/>
      <c r="S478" s="241"/>
      <c r="T478" s="241"/>
      <c r="U478" s="241"/>
      <c r="V478" s="241"/>
      <c r="W478" s="241"/>
      <c r="X478" s="241"/>
      <c r="Y478" s="241"/>
      <c r="Z478" s="241"/>
      <c r="AA478" s="241"/>
    </row>
    <row r="479" spans="1:27" ht="13.5" customHeight="1" x14ac:dyDescent="0.3">
      <c r="A479" s="241"/>
      <c r="B479" s="241"/>
      <c r="C479" s="241"/>
      <c r="D479" s="241"/>
      <c r="E479" s="241"/>
      <c r="F479" s="241"/>
      <c r="G479" s="241"/>
      <c r="H479" s="241"/>
      <c r="I479" s="241"/>
      <c r="J479" s="241"/>
      <c r="K479" s="241"/>
      <c r="L479" s="241"/>
      <c r="M479" s="241"/>
      <c r="N479" s="241"/>
      <c r="O479" s="241"/>
      <c r="P479" s="241"/>
      <c r="Q479" s="241"/>
      <c r="R479" s="241"/>
      <c r="S479" s="241"/>
      <c r="T479" s="241"/>
      <c r="U479" s="241"/>
      <c r="V479" s="241"/>
      <c r="W479" s="241"/>
      <c r="X479" s="241"/>
      <c r="Y479" s="241"/>
      <c r="Z479" s="241"/>
      <c r="AA479" s="241"/>
    </row>
    <row r="480" spans="1:27" ht="13.5" customHeight="1" x14ac:dyDescent="0.3">
      <c r="A480" s="241"/>
      <c r="B480" s="241"/>
      <c r="C480" s="241"/>
      <c r="D480" s="241"/>
      <c r="E480" s="241"/>
      <c r="F480" s="241"/>
      <c r="G480" s="241"/>
      <c r="H480" s="241"/>
      <c r="I480" s="241"/>
      <c r="J480" s="241"/>
      <c r="K480" s="241"/>
      <c r="L480" s="241"/>
      <c r="M480" s="241"/>
      <c r="N480" s="241"/>
      <c r="O480" s="241"/>
      <c r="P480" s="241"/>
      <c r="Q480" s="241"/>
      <c r="R480" s="241"/>
      <c r="S480" s="241"/>
      <c r="T480" s="241"/>
      <c r="U480" s="241"/>
      <c r="V480" s="241"/>
      <c r="W480" s="241"/>
      <c r="X480" s="241"/>
      <c r="Y480" s="241"/>
      <c r="Z480" s="241"/>
      <c r="AA480" s="241"/>
    </row>
    <row r="481" spans="1:27" ht="13.5" customHeight="1" x14ac:dyDescent="0.3">
      <c r="A481" s="241"/>
      <c r="B481" s="241"/>
      <c r="C481" s="241"/>
      <c r="D481" s="241"/>
      <c r="E481" s="241"/>
      <c r="F481" s="241"/>
      <c r="G481" s="241"/>
      <c r="H481" s="241"/>
      <c r="I481" s="241"/>
      <c r="J481" s="241"/>
      <c r="K481" s="241"/>
      <c r="L481" s="241"/>
      <c r="M481" s="241"/>
      <c r="N481" s="241"/>
      <c r="O481" s="241"/>
      <c r="P481" s="241"/>
      <c r="Q481" s="241"/>
      <c r="R481" s="241"/>
      <c r="S481" s="241"/>
      <c r="T481" s="241"/>
      <c r="U481" s="241"/>
      <c r="V481" s="241"/>
      <c r="W481" s="241"/>
      <c r="X481" s="241"/>
      <c r="Y481" s="241"/>
      <c r="Z481" s="241"/>
      <c r="AA481" s="241"/>
    </row>
    <row r="482" spans="1:27" ht="13.5" customHeight="1" x14ac:dyDescent="0.3">
      <c r="A482" s="241"/>
      <c r="B482" s="241"/>
      <c r="C482" s="241"/>
      <c r="D482" s="241"/>
      <c r="E482" s="241"/>
      <c r="F482" s="241"/>
      <c r="G482" s="241"/>
      <c r="H482" s="241"/>
      <c r="I482" s="241"/>
      <c r="J482" s="241"/>
      <c r="K482" s="241"/>
      <c r="L482" s="241"/>
      <c r="M482" s="241"/>
      <c r="N482" s="241"/>
      <c r="O482" s="241"/>
      <c r="P482" s="241"/>
      <c r="Q482" s="241"/>
      <c r="R482" s="241"/>
      <c r="S482" s="241"/>
      <c r="T482" s="241"/>
      <c r="U482" s="241"/>
      <c r="V482" s="241"/>
      <c r="W482" s="241"/>
      <c r="X482" s="241"/>
      <c r="Y482" s="241"/>
      <c r="Z482" s="241"/>
      <c r="AA482" s="241"/>
    </row>
    <row r="483" spans="1:27" ht="13.5" customHeight="1" x14ac:dyDescent="0.3">
      <c r="A483" s="241"/>
      <c r="B483" s="241"/>
      <c r="C483" s="241"/>
      <c r="D483" s="241"/>
      <c r="E483" s="241"/>
      <c r="F483" s="241"/>
      <c r="G483" s="241"/>
      <c r="H483" s="241"/>
      <c r="I483" s="241"/>
      <c r="J483" s="241"/>
      <c r="K483" s="241"/>
      <c r="L483" s="241"/>
      <c r="M483" s="241"/>
      <c r="N483" s="241"/>
      <c r="O483" s="241"/>
      <c r="P483" s="241"/>
      <c r="Q483" s="241"/>
      <c r="R483" s="241"/>
      <c r="S483" s="241"/>
      <c r="T483" s="241"/>
      <c r="U483" s="241"/>
      <c r="V483" s="241"/>
      <c r="W483" s="241"/>
      <c r="X483" s="241"/>
      <c r="Y483" s="241"/>
      <c r="Z483" s="241"/>
      <c r="AA483" s="241"/>
    </row>
    <row r="484" spans="1:27" ht="13.5" customHeight="1" x14ac:dyDescent="0.3">
      <c r="A484" s="241"/>
      <c r="B484" s="241"/>
      <c r="C484" s="241"/>
      <c r="D484" s="241"/>
      <c r="E484" s="241"/>
      <c r="F484" s="241"/>
      <c r="G484" s="241"/>
      <c r="H484" s="241"/>
      <c r="I484" s="241"/>
      <c r="J484" s="241"/>
      <c r="K484" s="241"/>
      <c r="L484" s="241"/>
      <c r="M484" s="241"/>
      <c r="N484" s="241"/>
      <c r="O484" s="241"/>
      <c r="P484" s="241"/>
      <c r="Q484" s="241"/>
      <c r="R484" s="241"/>
      <c r="S484" s="241"/>
      <c r="T484" s="241"/>
      <c r="U484" s="241"/>
      <c r="V484" s="241"/>
      <c r="W484" s="241"/>
      <c r="X484" s="241"/>
      <c r="Y484" s="241"/>
      <c r="Z484" s="241"/>
      <c r="AA484" s="241"/>
    </row>
    <row r="485" spans="1:27" ht="13.5" customHeight="1" x14ac:dyDescent="0.3">
      <c r="A485" s="241"/>
      <c r="B485" s="241"/>
      <c r="C485" s="241"/>
      <c r="D485" s="241"/>
      <c r="E485" s="241"/>
      <c r="F485" s="241"/>
      <c r="G485" s="241"/>
      <c r="H485" s="241"/>
      <c r="I485" s="241"/>
      <c r="J485" s="241"/>
      <c r="K485" s="241"/>
      <c r="L485" s="241"/>
      <c r="M485" s="241"/>
      <c r="N485" s="241"/>
      <c r="O485" s="241"/>
      <c r="P485" s="241"/>
      <c r="Q485" s="241"/>
      <c r="R485" s="241"/>
      <c r="S485" s="241"/>
      <c r="T485" s="241"/>
      <c r="U485" s="241"/>
      <c r="V485" s="241"/>
      <c r="W485" s="241"/>
      <c r="X485" s="241"/>
      <c r="Y485" s="241"/>
      <c r="Z485" s="241"/>
      <c r="AA485" s="241"/>
    </row>
    <row r="486" spans="1:27" ht="13.5" customHeight="1" x14ac:dyDescent="0.3">
      <c r="A486" s="241"/>
      <c r="B486" s="241"/>
      <c r="C486" s="241"/>
      <c r="D486" s="241"/>
      <c r="E486" s="241"/>
      <c r="F486" s="241"/>
      <c r="G486" s="241"/>
      <c r="H486" s="241"/>
      <c r="I486" s="241"/>
      <c r="J486" s="241"/>
      <c r="K486" s="241"/>
      <c r="L486" s="241"/>
      <c r="M486" s="241"/>
      <c r="N486" s="241"/>
      <c r="O486" s="241"/>
      <c r="P486" s="241"/>
      <c r="Q486" s="241"/>
      <c r="R486" s="241"/>
      <c r="S486" s="241"/>
      <c r="T486" s="241"/>
      <c r="U486" s="241"/>
      <c r="V486" s="241"/>
      <c r="W486" s="241"/>
      <c r="X486" s="241"/>
      <c r="Y486" s="241"/>
      <c r="Z486" s="241"/>
      <c r="AA486" s="241"/>
    </row>
    <row r="487" spans="1:27" ht="13.5" customHeight="1" x14ac:dyDescent="0.3">
      <c r="A487" s="241"/>
      <c r="B487" s="241"/>
      <c r="C487" s="241"/>
      <c r="D487" s="241"/>
      <c r="E487" s="241"/>
      <c r="F487" s="241"/>
      <c r="G487" s="241"/>
      <c r="H487" s="241"/>
      <c r="I487" s="241"/>
      <c r="J487" s="241"/>
      <c r="K487" s="241"/>
      <c r="L487" s="241"/>
      <c r="M487" s="241"/>
      <c r="N487" s="241"/>
      <c r="O487" s="241"/>
      <c r="P487" s="241"/>
      <c r="Q487" s="241"/>
      <c r="R487" s="241"/>
      <c r="S487" s="241"/>
      <c r="T487" s="241"/>
      <c r="U487" s="241"/>
      <c r="V487" s="241"/>
      <c r="W487" s="241"/>
      <c r="X487" s="241"/>
      <c r="Y487" s="241"/>
      <c r="Z487" s="241"/>
      <c r="AA487" s="241"/>
    </row>
    <row r="488" spans="1:27" ht="13.5" customHeight="1" x14ac:dyDescent="0.3">
      <c r="A488" s="241"/>
      <c r="B488" s="241"/>
      <c r="C488" s="241"/>
      <c r="D488" s="241"/>
      <c r="E488" s="241"/>
      <c r="F488" s="241"/>
      <c r="G488" s="241"/>
      <c r="H488" s="241"/>
      <c r="I488" s="241"/>
      <c r="J488" s="241"/>
      <c r="K488" s="241"/>
      <c r="L488" s="241"/>
      <c r="M488" s="241"/>
      <c r="N488" s="241"/>
      <c r="O488" s="241"/>
      <c r="P488" s="241"/>
      <c r="Q488" s="241"/>
      <c r="R488" s="241"/>
      <c r="S488" s="241"/>
      <c r="T488" s="241"/>
      <c r="U488" s="241"/>
      <c r="V488" s="241"/>
      <c r="W488" s="241"/>
      <c r="X488" s="241"/>
      <c r="Y488" s="241"/>
      <c r="Z488" s="241"/>
      <c r="AA488" s="241"/>
    </row>
    <row r="489" spans="1:27" ht="13.5" customHeight="1" x14ac:dyDescent="0.3">
      <c r="A489" s="241"/>
      <c r="B489" s="241"/>
      <c r="C489" s="241"/>
      <c r="D489" s="241"/>
      <c r="E489" s="241"/>
      <c r="F489" s="241"/>
      <c r="G489" s="241"/>
      <c r="H489" s="241"/>
      <c r="I489" s="241"/>
      <c r="J489" s="241"/>
      <c r="K489" s="241"/>
      <c r="L489" s="241"/>
      <c r="M489" s="241"/>
      <c r="N489" s="241"/>
      <c r="O489" s="241"/>
      <c r="P489" s="241"/>
      <c r="Q489" s="241"/>
      <c r="R489" s="241"/>
      <c r="S489" s="241"/>
      <c r="T489" s="241"/>
      <c r="U489" s="241"/>
      <c r="V489" s="241"/>
      <c r="W489" s="241"/>
      <c r="X489" s="241"/>
      <c r="Y489" s="241"/>
      <c r="Z489" s="241"/>
      <c r="AA489" s="241"/>
    </row>
    <row r="490" spans="1:27" ht="13.5" customHeight="1" x14ac:dyDescent="0.3">
      <c r="A490" s="241"/>
      <c r="B490" s="241"/>
      <c r="C490" s="241"/>
      <c r="D490" s="241"/>
      <c r="E490" s="241"/>
      <c r="F490" s="241"/>
      <c r="G490" s="241"/>
      <c r="H490" s="241"/>
      <c r="I490" s="241"/>
      <c r="J490" s="241"/>
      <c r="K490" s="241"/>
      <c r="L490" s="241"/>
      <c r="M490" s="241"/>
      <c r="N490" s="241"/>
      <c r="O490" s="241"/>
      <c r="P490" s="241"/>
      <c r="Q490" s="241"/>
      <c r="R490" s="241"/>
      <c r="S490" s="241"/>
      <c r="T490" s="241"/>
      <c r="U490" s="241"/>
      <c r="V490" s="241"/>
      <c r="W490" s="241"/>
      <c r="X490" s="241"/>
      <c r="Y490" s="241"/>
      <c r="Z490" s="241"/>
      <c r="AA490" s="241"/>
    </row>
    <row r="491" spans="1:27" ht="13.5" customHeight="1" x14ac:dyDescent="0.3">
      <c r="A491" s="241"/>
      <c r="B491" s="241"/>
      <c r="C491" s="241"/>
      <c r="D491" s="241"/>
      <c r="E491" s="241"/>
      <c r="F491" s="241"/>
      <c r="G491" s="241"/>
      <c r="H491" s="241"/>
      <c r="I491" s="241"/>
      <c r="J491" s="241"/>
      <c r="K491" s="241"/>
      <c r="L491" s="241"/>
      <c r="M491" s="241"/>
      <c r="N491" s="241"/>
      <c r="O491" s="241"/>
      <c r="P491" s="241"/>
      <c r="Q491" s="241"/>
      <c r="R491" s="241"/>
      <c r="S491" s="241"/>
      <c r="T491" s="241"/>
      <c r="U491" s="241"/>
      <c r="V491" s="241"/>
      <c r="W491" s="241"/>
      <c r="X491" s="241"/>
      <c r="Y491" s="241"/>
      <c r="Z491" s="241"/>
      <c r="AA491" s="241"/>
    </row>
    <row r="492" spans="1:27" ht="13.5" customHeight="1" x14ac:dyDescent="0.3">
      <c r="A492" s="241"/>
      <c r="B492" s="241"/>
      <c r="C492" s="241"/>
      <c r="D492" s="241"/>
      <c r="E492" s="241"/>
      <c r="F492" s="241"/>
      <c r="G492" s="241"/>
      <c r="H492" s="241"/>
      <c r="I492" s="241"/>
      <c r="J492" s="241"/>
      <c r="K492" s="241"/>
      <c r="L492" s="241"/>
      <c r="M492" s="241"/>
      <c r="N492" s="241"/>
      <c r="O492" s="241"/>
      <c r="P492" s="241"/>
      <c r="Q492" s="241"/>
      <c r="R492" s="241"/>
      <c r="S492" s="241"/>
      <c r="T492" s="241"/>
      <c r="U492" s="241"/>
      <c r="V492" s="241"/>
      <c r="W492" s="241"/>
      <c r="X492" s="241"/>
      <c r="Y492" s="241"/>
      <c r="Z492" s="241"/>
      <c r="AA492" s="241"/>
    </row>
    <row r="493" spans="1:27" ht="13.5" customHeight="1" x14ac:dyDescent="0.3">
      <c r="A493" s="241"/>
      <c r="B493" s="241"/>
      <c r="C493" s="241"/>
      <c r="D493" s="241"/>
      <c r="E493" s="241"/>
      <c r="F493" s="241"/>
      <c r="G493" s="241"/>
      <c r="H493" s="241"/>
      <c r="I493" s="241"/>
      <c r="J493" s="241"/>
      <c r="K493" s="241"/>
      <c r="L493" s="241"/>
      <c r="M493" s="241"/>
      <c r="N493" s="241"/>
      <c r="O493" s="241"/>
      <c r="P493" s="241"/>
      <c r="Q493" s="241"/>
      <c r="R493" s="241"/>
      <c r="S493" s="241"/>
      <c r="T493" s="241"/>
      <c r="U493" s="241"/>
      <c r="V493" s="241"/>
      <c r="W493" s="241"/>
      <c r="X493" s="241"/>
      <c r="Y493" s="241"/>
      <c r="Z493" s="241"/>
      <c r="AA493" s="241"/>
    </row>
    <row r="494" spans="1:27" ht="13.5" customHeight="1" x14ac:dyDescent="0.3">
      <c r="A494" s="241"/>
      <c r="B494" s="241"/>
      <c r="C494" s="241"/>
      <c r="D494" s="241"/>
      <c r="E494" s="241"/>
      <c r="F494" s="241"/>
      <c r="G494" s="241"/>
      <c r="H494" s="241"/>
      <c r="I494" s="241"/>
      <c r="J494" s="241"/>
      <c r="K494" s="241"/>
      <c r="L494" s="241"/>
      <c r="M494" s="241"/>
      <c r="N494" s="241"/>
      <c r="O494" s="241"/>
      <c r="P494" s="241"/>
      <c r="Q494" s="241"/>
      <c r="R494" s="241"/>
      <c r="S494" s="241"/>
      <c r="T494" s="241"/>
      <c r="U494" s="241"/>
      <c r="V494" s="241"/>
      <c r="W494" s="241"/>
      <c r="X494" s="241"/>
      <c r="Y494" s="241"/>
      <c r="Z494" s="241"/>
      <c r="AA494" s="241"/>
    </row>
    <row r="495" spans="1:27" ht="13.5" customHeight="1" x14ac:dyDescent="0.3">
      <c r="A495" s="241"/>
      <c r="B495" s="241"/>
      <c r="C495" s="241"/>
      <c r="D495" s="241"/>
      <c r="E495" s="241"/>
      <c r="F495" s="241"/>
      <c r="G495" s="241"/>
      <c r="H495" s="241"/>
      <c r="I495" s="241"/>
      <c r="J495" s="241"/>
      <c r="K495" s="241"/>
      <c r="L495" s="241"/>
      <c r="M495" s="241"/>
      <c r="N495" s="241"/>
      <c r="O495" s="241"/>
      <c r="P495" s="241"/>
      <c r="Q495" s="241"/>
      <c r="R495" s="241"/>
      <c r="S495" s="241"/>
      <c r="T495" s="241"/>
      <c r="U495" s="241"/>
      <c r="V495" s="241"/>
      <c r="W495" s="241"/>
      <c r="X495" s="241"/>
      <c r="Y495" s="241"/>
      <c r="Z495" s="241"/>
      <c r="AA495" s="241"/>
    </row>
    <row r="496" spans="1:27" ht="13.5" customHeight="1" x14ac:dyDescent="0.3">
      <c r="A496" s="241"/>
      <c r="B496" s="241"/>
      <c r="C496" s="241"/>
      <c r="D496" s="241"/>
      <c r="E496" s="241"/>
      <c r="F496" s="241"/>
      <c r="G496" s="241"/>
      <c r="H496" s="241"/>
      <c r="I496" s="241"/>
      <c r="J496" s="241"/>
      <c r="K496" s="241"/>
      <c r="L496" s="241"/>
      <c r="M496" s="241"/>
      <c r="N496" s="241"/>
      <c r="O496" s="241"/>
      <c r="P496" s="241"/>
      <c r="Q496" s="241"/>
      <c r="R496" s="241"/>
      <c r="S496" s="241"/>
      <c r="T496" s="241"/>
      <c r="U496" s="241"/>
      <c r="V496" s="241"/>
      <c r="W496" s="241"/>
      <c r="X496" s="241"/>
      <c r="Y496" s="241"/>
      <c r="Z496" s="241"/>
      <c r="AA496" s="241"/>
    </row>
    <row r="497" spans="1:27" ht="13.5" customHeight="1" x14ac:dyDescent="0.3">
      <c r="A497" s="241"/>
      <c r="B497" s="241"/>
      <c r="C497" s="241"/>
      <c r="D497" s="241"/>
      <c r="E497" s="241"/>
      <c r="F497" s="241"/>
      <c r="G497" s="241"/>
      <c r="H497" s="241"/>
      <c r="I497" s="241"/>
      <c r="J497" s="241"/>
      <c r="K497" s="241"/>
      <c r="L497" s="241"/>
      <c r="M497" s="241"/>
      <c r="N497" s="241"/>
      <c r="O497" s="241"/>
      <c r="P497" s="241"/>
      <c r="Q497" s="241"/>
      <c r="R497" s="241"/>
      <c r="S497" s="241"/>
      <c r="T497" s="241"/>
      <c r="U497" s="241"/>
      <c r="V497" s="241"/>
      <c r="W497" s="241"/>
      <c r="X497" s="241"/>
      <c r="Y497" s="241"/>
      <c r="Z497" s="241"/>
      <c r="AA497" s="241"/>
    </row>
    <row r="498" spans="1:27" ht="13.5" customHeight="1" x14ac:dyDescent="0.3">
      <c r="A498" s="241"/>
      <c r="B498" s="241"/>
      <c r="C498" s="241"/>
      <c r="D498" s="241"/>
      <c r="E498" s="241"/>
      <c r="F498" s="241"/>
      <c r="G498" s="241"/>
      <c r="H498" s="241"/>
      <c r="I498" s="241"/>
      <c r="J498" s="241"/>
      <c r="K498" s="241"/>
      <c r="L498" s="241"/>
      <c r="M498" s="241"/>
      <c r="N498" s="241"/>
      <c r="O498" s="241"/>
      <c r="P498" s="241"/>
      <c r="Q498" s="241"/>
      <c r="R498" s="241"/>
      <c r="S498" s="241"/>
      <c r="T498" s="241"/>
      <c r="U498" s="241"/>
      <c r="V498" s="241"/>
      <c r="W498" s="241"/>
      <c r="X498" s="241"/>
      <c r="Y498" s="241"/>
      <c r="Z498" s="241"/>
      <c r="AA498" s="241"/>
    </row>
    <row r="499" spans="1:27" ht="13.5" customHeight="1" x14ac:dyDescent="0.3">
      <c r="A499" s="241"/>
      <c r="B499" s="241"/>
      <c r="C499" s="241"/>
      <c r="D499" s="241"/>
      <c r="E499" s="241"/>
      <c r="F499" s="241"/>
      <c r="G499" s="241"/>
      <c r="H499" s="241"/>
      <c r="I499" s="241"/>
      <c r="J499" s="241"/>
      <c r="K499" s="241"/>
      <c r="L499" s="241"/>
      <c r="M499" s="241"/>
      <c r="N499" s="241"/>
      <c r="O499" s="241"/>
      <c r="P499" s="241"/>
      <c r="Q499" s="241"/>
      <c r="R499" s="241"/>
      <c r="S499" s="241"/>
      <c r="T499" s="241"/>
      <c r="U499" s="241"/>
      <c r="V499" s="241"/>
      <c r="W499" s="241"/>
      <c r="X499" s="241"/>
      <c r="Y499" s="241"/>
      <c r="Z499" s="241"/>
      <c r="AA499" s="241"/>
    </row>
    <row r="500" spans="1:27" ht="13.5" customHeight="1" x14ac:dyDescent="0.3">
      <c r="A500" s="241"/>
      <c r="B500" s="241"/>
      <c r="C500" s="241"/>
      <c r="D500" s="241"/>
      <c r="E500" s="241"/>
      <c r="F500" s="241"/>
      <c r="G500" s="241"/>
      <c r="H500" s="241"/>
      <c r="I500" s="241"/>
      <c r="J500" s="241"/>
      <c r="K500" s="241"/>
      <c r="L500" s="241"/>
      <c r="M500" s="241"/>
      <c r="N500" s="241"/>
      <c r="O500" s="241"/>
      <c r="P500" s="241"/>
      <c r="Q500" s="241"/>
      <c r="R500" s="241"/>
      <c r="S500" s="241"/>
      <c r="T500" s="241"/>
      <c r="U500" s="241"/>
      <c r="V500" s="241"/>
      <c r="W500" s="241"/>
      <c r="X500" s="241"/>
      <c r="Y500" s="241"/>
      <c r="Z500" s="241"/>
      <c r="AA500" s="241"/>
    </row>
    <row r="501" spans="1:27" ht="13.5" customHeight="1" x14ac:dyDescent="0.3">
      <c r="A501" s="241"/>
      <c r="B501" s="241"/>
      <c r="C501" s="241"/>
      <c r="D501" s="241"/>
      <c r="E501" s="241"/>
      <c r="F501" s="241"/>
      <c r="G501" s="241"/>
      <c r="H501" s="241"/>
      <c r="I501" s="241"/>
      <c r="J501" s="241"/>
      <c r="K501" s="241"/>
      <c r="L501" s="241"/>
      <c r="M501" s="241"/>
      <c r="N501" s="241"/>
      <c r="O501" s="241"/>
      <c r="P501" s="241"/>
      <c r="Q501" s="241"/>
      <c r="R501" s="241"/>
      <c r="S501" s="241"/>
      <c r="T501" s="241"/>
      <c r="U501" s="241"/>
      <c r="V501" s="241"/>
      <c r="W501" s="241"/>
      <c r="X501" s="241"/>
      <c r="Y501" s="241"/>
      <c r="Z501" s="241"/>
      <c r="AA501" s="241"/>
    </row>
    <row r="502" spans="1:27" ht="13.5" customHeight="1" x14ac:dyDescent="0.3">
      <c r="A502" s="241"/>
      <c r="B502" s="241"/>
      <c r="C502" s="241"/>
      <c r="D502" s="241"/>
      <c r="E502" s="241"/>
      <c r="F502" s="241"/>
      <c r="G502" s="241"/>
      <c r="H502" s="241"/>
      <c r="I502" s="241"/>
      <c r="J502" s="241"/>
      <c r="K502" s="241"/>
      <c r="L502" s="241"/>
      <c r="M502" s="241"/>
      <c r="N502" s="241"/>
      <c r="O502" s="241"/>
      <c r="P502" s="241"/>
      <c r="Q502" s="241"/>
      <c r="R502" s="241"/>
      <c r="S502" s="241"/>
      <c r="T502" s="241"/>
      <c r="U502" s="241"/>
      <c r="V502" s="241"/>
      <c r="W502" s="241"/>
      <c r="X502" s="241"/>
      <c r="Y502" s="241"/>
      <c r="Z502" s="241"/>
      <c r="AA502" s="241"/>
    </row>
    <row r="503" spans="1:27" ht="13.5" customHeight="1" x14ac:dyDescent="0.3">
      <c r="A503" s="241"/>
      <c r="B503" s="241"/>
      <c r="C503" s="241"/>
      <c r="D503" s="241"/>
      <c r="E503" s="241"/>
      <c r="F503" s="241"/>
      <c r="G503" s="241"/>
      <c r="H503" s="241"/>
      <c r="I503" s="241"/>
      <c r="J503" s="241"/>
      <c r="K503" s="241"/>
      <c r="L503" s="241"/>
      <c r="M503" s="241"/>
      <c r="N503" s="241"/>
      <c r="O503" s="241"/>
      <c r="P503" s="241"/>
      <c r="Q503" s="241"/>
      <c r="R503" s="241"/>
      <c r="S503" s="241"/>
      <c r="T503" s="241"/>
      <c r="U503" s="241"/>
      <c r="V503" s="241"/>
      <c r="W503" s="241"/>
      <c r="X503" s="241"/>
      <c r="Y503" s="241"/>
      <c r="Z503" s="241"/>
      <c r="AA503" s="241"/>
    </row>
    <row r="504" spans="1:27" ht="13.5" customHeight="1" x14ac:dyDescent="0.3">
      <c r="A504" s="241"/>
      <c r="B504" s="241"/>
      <c r="C504" s="241"/>
      <c r="D504" s="241"/>
      <c r="E504" s="241"/>
      <c r="F504" s="241"/>
      <c r="G504" s="241"/>
      <c r="H504" s="241"/>
      <c r="I504" s="241"/>
      <c r="J504" s="241"/>
      <c r="K504" s="241"/>
      <c r="L504" s="241"/>
      <c r="M504" s="241"/>
      <c r="N504" s="241"/>
      <c r="O504" s="241"/>
      <c r="P504" s="241"/>
      <c r="Q504" s="241"/>
      <c r="R504" s="241"/>
      <c r="S504" s="241"/>
      <c r="T504" s="241"/>
      <c r="U504" s="241"/>
      <c r="V504" s="241"/>
      <c r="W504" s="241"/>
      <c r="X504" s="241"/>
      <c r="Y504" s="241"/>
      <c r="Z504" s="241"/>
      <c r="AA504" s="241"/>
    </row>
    <row r="505" spans="1:27" ht="13.5" customHeight="1" x14ac:dyDescent="0.3">
      <c r="A505" s="241"/>
      <c r="B505" s="241"/>
      <c r="C505" s="241"/>
      <c r="D505" s="241"/>
      <c r="E505" s="241"/>
      <c r="F505" s="241"/>
      <c r="G505" s="241"/>
      <c r="H505" s="241"/>
      <c r="I505" s="241"/>
      <c r="J505" s="241"/>
      <c r="K505" s="241"/>
      <c r="L505" s="241"/>
      <c r="M505" s="241"/>
      <c r="N505" s="241"/>
      <c r="O505" s="241"/>
      <c r="P505" s="241"/>
      <c r="Q505" s="241"/>
      <c r="R505" s="241"/>
      <c r="S505" s="241"/>
      <c r="T505" s="241"/>
      <c r="U505" s="241"/>
      <c r="V505" s="241"/>
      <c r="W505" s="241"/>
      <c r="X505" s="241"/>
      <c r="Y505" s="241"/>
      <c r="Z505" s="241"/>
      <c r="AA505" s="241"/>
    </row>
    <row r="506" spans="1:27" ht="13.5" customHeight="1" x14ac:dyDescent="0.3">
      <c r="A506" s="241"/>
      <c r="B506" s="241"/>
      <c r="C506" s="241"/>
      <c r="D506" s="241"/>
      <c r="E506" s="241"/>
      <c r="F506" s="241"/>
      <c r="G506" s="241"/>
      <c r="H506" s="241"/>
      <c r="I506" s="241"/>
      <c r="J506" s="241"/>
      <c r="K506" s="241"/>
      <c r="L506" s="241"/>
      <c r="M506" s="241"/>
      <c r="N506" s="241"/>
      <c r="O506" s="241"/>
      <c r="P506" s="241"/>
      <c r="Q506" s="241"/>
      <c r="R506" s="241"/>
      <c r="S506" s="241"/>
      <c r="T506" s="241"/>
      <c r="U506" s="241"/>
      <c r="V506" s="241"/>
      <c r="W506" s="241"/>
      <c r="X506" s="241"/>
      <c r="Y506" s="241"/>
      <c r="Z506" s="241"/>
      <c r="AA506" s="241"/>
    </row>
    <row r="507" spans="1:27" ht="13.5" customHeight="1" x14ac:dyDescent="0.3">
      <c r="A507" s="241"/>
      <c r="B507" s="241"/>
      <c r="C507" s="241"/>
      <c r="D507" s="241"/>
      <c r="E507" s="241"/>
      <c r="F507" s="241"/>
      <c r="G507" s="241"/>
      <c r="H507" s="241"/>
      <c r="I507" s="241"/>
      <c r="J507" s="241"/>
      <c r="K507" s="241"/>
      <c r="L507" s="241"/>
      <c r="M507" s="241"/>
      <c r="N507" s="241"/>
      <c r="O507" s="241"/>
      <c r="P507" s="241"/>
      <c r="Q507" s="241"/>
      <c r="R507" s="241"/>
      <c r="S507" s="241"/>
      <c r="T507" s="241"/>
      <c r="U507" s="241"/>
      <c r="V507" s="241"/>
      <c r="W507" s="241"/>
      <c r="X507" s="241"/>
      <c r="Y507" s="241"/>
      <c r="Z507" s="241"/>
      <c r="AA507" s="241"/>
    </row>
    <row r="508" spans="1:27" ht="13.5" customHeight="1" x14ac:dyDescent="0.3">
      <c r="A508" s="241"/>
      <c r="B508" s="241"/>
      <c r="C508" s="241"/>
      <c r="D508" s="241"/>
      <c r="E508" s="241"/>
      <c r="F508" s="241"/>
      <c r="G508" s="241"/>
      <c r="H508" s="241"/>
      <c r="I508" s="241"/>
      <c r="J508" s="241"/>
      <c r="K508" s="241"/>
      <c r="L508" s="241"/>
      <c r="M508" s="241"/>
      <c r="N508" s="241"/>
      <c r="O508" s="241"/>
      <c r="P508" s="241"/>
      <c r="Q508" s="241"/>
      <c r="R508" s="241"/>
      <c r="S508" s="241"/>
      <c r="T508" s="241"/>
      <c r="U508" s="241"/>
      <c r="V508" s="241"/>
      <c r="W508" s="241"/>
      <c r="X508" s="241"/>
      <c r="Y508" s="241"/>
      <c r="Z508" s="241"/>
      <c r="AA508" s="241"/>
    </row>
    <row r="509" spans="1:27" ht="13.5" customHeight="1" x14ac:dyDescent="0.3">
      <c r="A509" s="241"/>
      <c r="B509" s="241"/>
      <c r="C509" s="241"/>
      <c r="D509" s="241"/>
      <c r="E509" s="241"/>
      <c r="F509" s="241"/>
      <c r="G509" s="241"/>
      <c r="H509" s="241"/>
      <c r="I509" s="241"/>
      <c r="J509" s="241"/>
      <c r="K509" s="241"/>
      <c r="L509" s="241"/>
      <c r="M509" s="241"/>
      <c r="N509" s="241"/>
      <c r="O509" s="241"/>
      <c r="P509" s="241"/>
      <c r="Q509" s="241"/>
      <c r="R509" s="241"/>
      <c r="S509" s="241"/>
      <c r="T509" s="241"/>
      <c r="U509" s="241"/>
      <c r="V509" s="241"/>
      <c r="W509" s="241"/>
      <c r="X509" s="241"/>
      <c r="Y509" s="241"/>
      <c r="Z509" s="241"/>
      <c r="AA509" s="241"/>
    </row>
    <row r="510" spans="1:27" ht="13.5" customHeight="1" x14ac:dyDescent="0.3">
      <c r="A510" s="241"/>
      <c r="B510" s="241"/>
      <c r="C510" s="241"/>
      <c r="D510" s="241"/>
      <c r="E510" s="241"/>
      <c r="F510" s="241"/>
      <c r="G510" s="241"/>
      <c r="H510" s="241"/>
      <c r="I510" s="241"/>
      <c r="J510" s="241"/>
      <c r="K510" s="241"/>
      <c r="L510" s="241"/>
      <c r="M510" s="241"/>
      <c r="N510" s="241"/>
      <c r="O510" s="241"/>
      <c r="P510" s="241"/>
      <c r="Q510" s="241"/>
      <c r="R510" s="241"/>
      <c r="S510" s="241"/>
      <c r="T510" s="241"/>
      <c r="U510" s="241"/>
      <c r="V510" s="241"/>
      <c r="W510" s="241"/>
      <c r="X510" s="241"/>
      <c r="Y510" s="241"/>
      <c r="Z510" s="241"/>
      <c r="AA510" s="241"/>
    </row>
    <row r="511" spans="1:27" ht="13.5" customHeight="1" x14ac:dyDescent="0.3">
      <c r="A511" s="241"/>
      <c r="B511" s="241"/>
      <c r="C511" s="241"/>
      <c r="D511" s="241"/>
      <c r="E511" s="241"/>
      <c r="F511" s="241"/>
      <c r="G511" s="241"/>
      <c r="H511" s="241"/>
      <c r="I511" s="241"/>
      <c r="J511" s="241"/>
      <c r="K511" s="241"/>
      <c r="L511" s="241"/>
      <c r="M511" s="241"/>
      <c r="N511" s="241"/>
      <c r="O511" s="241"/>
      <c r="P511" s="241"/>
      <c r="Q511" s="241"/>
      <c r="R511" s="241"/>
      <c r="S511" s="241"/>
      <c r="T511" s="241"/>
      <c r="U511" s="241"/>
      <c r="V511" s="241"/>
      <c r="W511" s="241"/>
      <c r="X511" s="241"/>
      <c r="Y511" s="241"/>
      <c r="Z511" s="241"/>
      <c r="AA511" s="241"/>
    </row>
    <row r="512" spans="1:27" ht="13.5" customHeight="1" x14ac:dyDescent="0.3">
      <c r="A512" s="241"/>
      <c r="B512" s="241"/>
      <c r="C512" s="241"/>
      <c r="D512" s="241"/>
      <c r="E512" s="241"/>
      <c r="F512" s="241"/>
      <c r="G512" s="241"/>
      <c r="H512" s="241"/>
      <c r="I512" s="241"/>
      <c r="J512" s="241"/>
      <c r="K512" s="241"/>
      <c r="L512" s="241"/>
      <c r="M512" s="241"/>
      <c r="N512" s="241"/>
      <c r="O512" s="241"/>
      <c r="P512" s="241"/>
      <c r="Q512" s="241"/>
      <c r="R512" s="241"/>
      <c r="S512" s="241"/>
      <c r="T512" s="241"/>
      <c r="U512" s="241"/>
      <c r="V512" s="241"/>
      <c r="W512" s="241"/>
      <c r="X512" s="241"/>
      <c r="Y512" s="241"/>
      <c r="Z512" s="241"/>
      <c r="AA512" s="241"/>
    </row>
    <row r="513" spans="1:27" ht="13.5" customHeight="1" x14ac:dyDescent="0.3">
      <c r="A513" s="241"/>
      <c r="B513" s="241"/>
      <c r="C513" s="241"/>
      <c r="D513" s="241"/>
      <c r="E513" s="241"/>
      <c r="F513" s="241"/>
      <c r="G513" s="241"/>
      <c r="H513" s="241"/>
      <c r="I513" s="241"/>
      <c r="J513" s="241"/>
      <c r="K513" s="241"/>
      <c r="L513" s="241"/>
      <c r="M513" s="241"/>
      <c r="N513" s="241"/>
      <c r="O513" s="241"/>
      <c r="P513" s="241"/>
      <c r="Q513" s="241"/>
      <c r="R513" s="241"/>
      <c r="S513" s="241"/>
      <c r="T513" s="241"/>
      <c r="U513" s="241"/>
      <c r="V513" s="241"/>
      <c r="W513" s="241"/>
      <c r="X513" s="241"/>
      <c r="Y513" s="241"/>
      <c r="Z513" s="241"/>
      <c r="AA513" s="241"/>
    </row>
    <row r="514" spans="1:27" ht="13.5" customHeight="1" x14ac:dyDescent="0.3">
      <c r="A514" s="241"/>
      <c r="B514" s="241"/>
      <c r="C514" s="241"/>
      <c r="D514" s="241"/>
      <c r="E514" s="241"/>
      <c r="F514" s="241"/>
      <c r="G514" s="241"/>
      <c r="H514" s="241"/>
      <c r="I514" s="241"/>
      <c r="J514" s="241"/>
      <c r="K514" s="241"/>
      <c r="L514" s="241"/>
      <c r="M514" s="241"/>
      <c r="N514" s="241"/>
      <c r="O514" s="241"/>
      <c r="P514" s="241"/>
      <c r="Q514" s="241"/>
      <c r="R514" s="241"/>
      <c r="S514" s="241"/>
      <c r="T514" s="241"/>
      <c r="U514" s="241"/>
      <c r="V514" s="241"/>
      <c r="W514" s="241"/>
      <c r="X514" s="241"/>
      <c r="Y514" s="241"/>
      <c r="Z514" s="241"/>
      <c r="AA514" s="241"/>
    </row>
    <row r="515" spans="1:27" ht="13.5" customHeight="1" x14ac:dyDescent="0.3">
      <c r="A515" s="241"/>
      <c r="B515" s="241"/>
      <c r="C515" s="241"/>
      <c r="D515" s="241"/>
      <c r="E515" s="241"/>
      <c r="F515" s="241"/>
      <c r="G515" s="241"/>
      <c r="H515" s="241"/>
      <c r="I515" s="241"/>
      <c r="J515" s="241"/>
      <c r="K515" s="241"/>
      <c r="L515" s="241"/>
      <c r="M515" s="241"/>
      <c r="N515" s="241"/>
      <c r="O515" s="241"/>
      <c r="P515" s="241"/>
      <c r="Q515" s="241"/>
      <c r="R515" s="241"/>
      <c r="S515" s="241"/>
      <c r="T515" s="241"/>
      <c r="U515" s="241"/>
      <c r="V515" s="241"/>
      <c r="W515" s="241"/>
      <c r="X515" s="241"/>
      <c r="Y515" s="241"/>
      <c r="Z515" s="241"/>
      <c r="AA515" s="241"/>
    </row>
    <row r="516" spans="1:27" ht="13.5" customHeight="1" x14ac:dyDescent="0.3">
      <c r="A516" s="241"/>
      <c r="B516" s="241"/>
      <c r="C516" s="241"/>
      <c r="D516" s="241"/>
      <c r="E516" s="241"/>
      <c r="F516" s="241"/>
      <c r="G516" s="241"/>
      <c r="H516" s="241"/>
      <c r="I516" s="241"/>
      <c r="J516" s="241"/>
      <c r="K516" s="241"/>
      <c r="L516" s="241"/>
      <c r="M516" s="241"/>
      <c r="N516" s="241"/>
      <c r="O516" s="241"/>
      <c r="P516" s="241"/>
      <c r="Q516" s="241"/>
      <c r="R516" s="241"/>
      <c r="S516" s="241"/>
      <c r="T516" s="241"/>
      <c r="U516" s="241"/>
      <c r="V516" s="241"/>
      <c r="W516" s="241"/>
      <c r="X516" s="241"/>
      <c r="Y516" s="241"/>
      <c r="Z516" s="241"/>
      <c r="AA516" s="241"/>
    </row>
    <row r="517" spans="1:27" ht="13.5" customHeight="1" x14ac:dyDescent="0.3">
      <c r="A517" s="241"/>
      <c r="B517" s="241"/>
      <c r="C517" s="241"/>
      <c r="D517" s="241"/>
      <c r="E517" s="241"/>
      <c r="F517" s="241"/>
      <c r="G517" s="241"/>
      <c r="H517" s="241"/>
      <c r="I517" s="241"/>
      <c r="J517" s="241"/>
      <c r="K517" s="241"/>
      <c r="L517" s="241"/>
      <c r="M517" s="241"/>
      <c r="N517" s="241"/>
      <c r="O517" s="241"/>
      <c r="P517" s="241"/>
      <c r="Q517" s="241"/>
      <c r="R517" s="241"/>
      <c r="S517" s="241"/>
      <c r="T517" s="241"/>
      <c r="U517" s="241"/>
      <c r="V517" s="241"/>
      <c r="W517" s="241"/>
      <c r="X517" s="241"/>
      <c r="Y517" s="241"/>
      <c r="Z517" s="241"/>
      <c r="AA517" s="241"/>
    </row>
    <row r="518" spans="1:27" ht="13.5" customHeight="1" x14ac:dyDescent="0.3">
      <c r="A518" s="241"/>
      <c r="B518" s="241"/>
      <c r="C518" s="241"/>
      <c r="D518" s="241"/>
      <c r="E518" s="241"/>
      <c r="F518" s="241"/>
      <c r="G518" s="241"/>
      <c r="H518" s="241"/>
      <c r="I518" s="241"/>
      <c r="J518" s="241"/>
      <c r="K518" s="241"/>
      <c r="L518" s="241"/>
      <c r="M518" s="241"/>
      <c r="N518" s="241"/>
      <c r="O518" s="241"/>
      <c r="P518" s="241"/>
      <c r="Q518" s="241"/>
      <c r="R518" s="241"/>
      <c r="S518" s="241"/>
      <c r="T518" s="241"/>
      <c r="U518" s="241"/>
      <c r="V518" s="241"/>
      <c r="W518" s="241"/>
      <c r="X518" s="241"/>
      <c r="Y518" s="241"/>
      <c r="Z518" s="241"/>
      <c r="AA518" s="241"/>
    </row>
    <row r="519" spans="1:27" ht="13.5" customHeight="1" x14ac:dyDescent="0.3">
      <c r="A519" s="241"/>
      <c r="B519" s="241"/>
      <c r="C519" s="241"/>
      <c r="D519" s="241"/>
      <c r="E519" s="241"/>
      <c r="F519" s="241"/>
      <c r="G519" s="241"/>
      <c r="H519" s="241"/>
      <c r="I519" s="241"/>
      <c r="J519" s="241"/>
      <c r="K519" s="241"/>
      <c r="L519" s="241"/>
      <c r="M519" s="241"/>
      <c r="N519" s="241"/>
      <c r="O519" s="241"/>
      <c r="P519" s="241"/>
      <c r="Q519" s="241"/>
      <c r="R519" s="241"/>
      <c r="S519" s="241"/>
      <c r="T519" s="241"/>
      <c r="U519" s="241"/>
      <c r="V519" s="241"/>
      <c r="W519" s="241"/>
      <c r="X519" s="241"/>
      <c r="Y519" s="241"/>
      <c r="Z519" s="241"/>
      <c r="AA519" s="241"/>
    </row>
    <row r="520" spans="1:27" ht="13.5" customHeight="1" x14ac:dyDescent="0.3">
      <c r="A520" s="241"/>
      <c r="B520" s="241"/>
      <c r="C520" s="241"/>
      <c r="D520" s="241"/>
      <c r="E520" s="241"/>
      <c r="F520" s="241"/>
      <c r="G520" s="241"/>
      <c r="H520" s="241"/>
      <c r="I520" s="241"/>
      <c r="J520" s="241"/>
      <c r="K520" s="241"/>
      <c r="L520" s="241"/>
      <c r="M520" s="241"/>
      <c r="N520" s="241"/>
      <c r="O520" s="241"/>
      <c r="P520" s="241"/>
      <c r="Q520" s="241"/>
      <c r="R520" s="241"/>
      <c r="S520" s="241"/>
      <c r="T520" s="241"/>
      <c r="U520" s="241"/>
      <c r="V520" s="241"/>
      <c r="W520" s="241"/>
      <c r="X520" s="241"/>
      <c r="Y520" s="241"/>
      <c r="Z520" s="241"/>
      <c r="AA520" s="241"/>
    </row>
    <row r="521" spans="1:27" ht="13.5" customHeight="1" x14ac:dyDescent="0.3">
      <c r="A521" s="241"/>
      <c r="B521" s="241"/>
      <c r="C521" s="241"/>
      <c r="D521" s="241"/>
      <c r="E521" s="241"/>
      <c r="F521" s="241"/>
      <c r="G521" s="241"/>
      <c r="H521" s="241"/>
      <c r="I521" s="241"/>
      <c r="J521" s="241"/>
      <c r="K521" s="241"/>
      <c r="L521" s="241"/>
      <c r="M521" s="241"/>
      <c r="N521" s="241"/>
      <c r="O521" s="241"/>
      <c r="P521" s="241"/>
      <c r="Q521" s="241"/>
      <c r="R521" s="241"/>
      <c r="S521" s="241"/>
      <c r="T521" s="241"/>
      <c r="U521" s="241"/>
      <c r="V521" s="241"/>
      <c r="W521" s="241"/>
      <c r="X521" s="241"/>
      <c r="Y521" s="241"/>
      <c r="Z521" s="241"/>
      <c r="AA521" s="241"/>
    </row>
    <row r="522" spans="1:27" ht="13.5" customHeight="1" x14ac:dyDescent="0.3">
      <c r="A522" s="241"/>
      <c r="B522" s="241"/>
      <c r="C522" s="241"/>
      <c r="D522" s="241"/>
      <c r="E522" s="241"/>
      <c r="F522" s="241"/>
      <c r="G522" s="241"/>
      <c r="H522" s="241"/>
      <c r="I522" s="241"/>
      <c r="J522" s="241"/>
      <c r="K522" s="241"/>
      <c r="L522" s="241"/>
      <c r="M522" s="241"/>
      <c r="N522" s="241"/>
      <c r="O522" s="241"/>
      <c r="P522" s="241"/>
      <c r="Q522" s="241"/>
      <c r="R522" s="241"/>
      <c r="S522" s="241"/>
      <c r="T522" s="241"/>
      <c r="U522" s="241"/>
      <c r="V522" s="241"/>
      <c r="W522" s="241"/>
      <c r="X522" s="241"/>
      <c r="Y522" s="241"/>
      <c r="Z522" s="241"/>
      <c r="AA522" s="241"/>
    </row>
    <row r="523" spans="1:27" ht="13.5" customHeight="1" x14ac:dyDescent="0.3">
      <c r="A523" s="241"/>
      <c r="B523" s="241"/>
      <c r="C523" s="241"/>
      <c r="D523" s="241"/>
      <c r="E523" s="241"/>
      <c r="F523" s="241"/>
      <c r="G523" s="241"/>
      <c r="H523" s="241"/>
      <c r="I523" s="241"/>
      <c r="J523" s="241"/>
      <c r="K523" s="241"/>
      <c r="L523" s="241"/>
      <c r="M523" s="241"/>
      <c r="N523" s="241"/>
      <c r="O523" s="241"/>
      <c r="P523" s="241"/>
      <c r="Q523" s="241"/>
      <c r="R523" s="241"/>
      <c r="S523" s="241"/>
      <c r="T523" s="241"/>
      <c r="U523" s="241"/>
      <c r="V523" s="241"/>
      <c r="W523" s="241"/>
      <c r="X523" s="241"/>
      <c r="Y523" s="241"/>
      <c r="Z523" s="241"/>
      <c r="AA523" s="241"/>
    </row>
    <row r="524" spans="1:27" ht="13.5" customHeight="1" x14ac:dyDescent="0.3">
      <c r="A524" s="241"/>
      <c r="B524" s="241"/>
      <c r="C524" s="241"/>
      <c r="D524" s="241"/>
      <c r="E524" s="241"/>
      <c r="F524" s="241"/>
      <c r="G524" s="241"/>
      <c r="H524" s="241"/>
      <c r="I524" s="241"/>
      <c r="J524" s="241"/>
      <c r="K524" s="241"/>
      <c r="L524" s="241"/>
      <c r="M524" s="241"/>
      <c r="N524" s="241"/>
      <c r="O524" s="241"/>
      <c r="P524" s="241"/>
      <c r="Q524" s="241"/>
      <c r="R524" s="241"/>
      <c r="S524" s="241"/>
      <c r="T524" s="241"/>
      <c r="U524" s="241"/>
      <c r="V524" s="241"/>
      <c r="W524" s="241"/>
      <c r="X524" s="241"/>
      <c r="Y524" s="241"/>
      <c r="Z524" s="241"/>
      <c r="AA524" s="241"/>
    </row>
    <row r="525" spans="1:27" ht="13.5" customHeight="1" x14ac:dyDescent="0.3">
      <c r="A525" s="241"/>
      <c r="B525" s="241"/>
      <c r="C525" s="241"/>
      <c r="D525" s="241"/>
      <c r="E525" s="241"/>
      <c r="F525" s="241"/>
      <c r="G525" s="241"/>
      <c r="H525" s="241"/>
      <c r="I525" s="241"/>
      <c r="J525" s="241"/>
      <c r="K525" s="241"/>
      <c r="L525" s="241"/>
      <c r="M525" s="241"/>
      <c r="N525" s="241"/>
      <c r="O525" s="241"/>
      <c r="P525" s="241"/>
      <c r="Q525" s="241"/>
      <c r="R525" s="241"/>
      <c r="S525" s="241"/>
      <c r="T525" s="241"/>
      <c r="U525" s="241"/>
      <c r="V525" s="241"/>
      <c r="W525" s="241"/>
      <c r="X525" s="241"/>
      <c r="Y525" s="241"/>
      <c r="Z525" s="241"/>
      <c r="AA525" s="241"/>
    </row>
    <row r="526" spans="1:27" ht="13.5" customHeight="1" x14ac:dyDescent="0.3">
      <c r="A526" s="241"/>
      <c r="B526" s="241"/>
      <c r="C526" s="241"/>
      <c r="D526" s="241"/>
      <c r="E526" s="241"/>
      <c r="F526" s="241"/>
      <c r="G526" s="241"/>
      <c r="H526" s="241"/>
      <c r="I526" s="241"/>
      <c r="J526" s="241"/>
      <c r="K526" s="241"/>
      <c r="L526" s="241"/>
      <c r="M526" s="241"/>
      <c r="N526" s="241"/>
      <c r="O526" s="241"/>
      <c r="P526" s="241"/>
      <c r="Q526" s="241"/>
      <c r="R526" s="241"/>
      <c r="S526" s="241"/>
      <c r="T526" s="241"/>
      <c r="U526" s="241"/>
      <c r="V526" s="241"/>
      <c r="W526" s="241"/>
      <c r="X526" s="241"/>
      <c r="Y526" s="241"/>
      <c r="Z526" s="241"/>
      <c r="AA526" s="241"/>
    </row>
    <row r="527" spans="1:27" ht="13.5" customHeight="1" x14ac:dyDescent="0.3">
      <c r="A527" s="241"/>
      <c r="B527" s="241"/>
      <c r="C527" s="241"/>
      <c r="D527" s="241"/>
      <c r="E527" s="241"/>
      <c r="F527" s="241"/>
      <c r="G527" s="241"/>
      <c r="H527" s="241"/>
      <c r="I527" s="241"/>
      <c r="J527" s="241"/>
      <c r="K527" s="241"/>
      <c r="L527" s="241"/>
      <c r="M527" s="241"/>
      <c r="N527" s="241"/>
      <c r="O527" s="241"/>
      <c r="P527" s="241"/>
      <c r="Q527" s="241"/>
      <c r="R527" s="241"/>
      <c r="S527" s="241"/>
      <c r="T527" s="241"/>
      <c r="U527" s="241"/>
      <c r="V527" s="241"/>
      <c r="W527" s="241"/>
      <c r="X527" s="241"/>
      <c r="Y527" s="241"/>
      <c r="Z527" s="241"/>
      <c r="AA527" s="241"/>
    </row>
    <row r="528" spans="1:27" ht="13.5" customHeight="1" x14ac:dyDescent="0.3">
      <c r="A528" s="241"/>
      <c r="B528" s="241"/>
      <c r="C528" s="241"/>
      <c r="D528" s="241"/>
      <c r="E528" s="241"/>
      <c r="F528" s="241"/>
      <c r="G528" s="241"/>
      <c r="H528" s="241"/>
      <c r="I528" s="241"/>
      <c r="J528" s="241"/>
      <c r="K528" s="241"/>
      <c r="L528" s="241"/>
      <c r="M528" s="241"/>
      <c r="N528" s="241"/>
      <c r="O528" s="241"/>
      <c r="P528" s="241"/>
      <c r="Q528" s="241"/>
      <c r="R528" s="241"/>
      <c r="S528" s="241"/>
      <c r="T528" s="241"/>
      <c r="U528" s="241"/>
      <c r="V528" s="241"/>
      <c r="W528" s="241"/>
      <c r="X528" s="241"/>
      <c r="Y528" s="241"/>
      <c r="Z528" s="241"/>
      <c r="AA528" s="241"/>
    </row>
    <row r="529" spans="1:27" ht="13.5" customHeight="1" x14ac:dyDescent="0.3">
      <c r="A529" s="241"/>
      <c r="B529" s="241"/>
      <c r="C529" s="241"/>
      <c r="D529" s="241"/>
      <c r="E529" s="241"/>
      <c r="F529" s="241"/>
      <c r="G529" s="241"/>
      <c r="H529" s="241"/>
      <c r="I529" s="241"/>
      <c r="J529" s="241"/>
      <c r="K529" s="241"/>
      <c r="L529" s="241"/>
      <c r="M529" s="241"/>
      <c r="N529" s="241"/>
      <c r="O529" s="241"/>
      <c r="P529" s="241"/>
      <c r="Q529" s="241"/>
      <c r="R529" s="241"/>
      <c r="S529" s="241"/>
      <c r="T529" s="241"/>
      <c r="U529" s="241"/>
      <c r="V529" s="241"/>
      <c r="W529" s="241"/>
      <c r="X529" s="241"/>
      <c r="Y529" s="241"/>
      <c r="Z529" s="241"/>
      <c r="AA529" s="241"/>
    </row>
    <row r="530" spans="1:27" ht="13.5" customHeight="1" x14ac:dyDescent="0.3">
      <c r="A530" s="241"/>
      <c r="B530" s="241"/>
      <c r="C530" s="241"/>
      <c r="D530" s="241"/>
      <c r="E530" s="241"/>
      <c r="F530" s="241"/>
      <c r="G530" s="241"/>
      <c r="H530" s="241"/>
      <c r="I530" s="241"/>
      <c r="J530" s="241"/>
      <c r="K530" s="241"/>
      <c r="L530" s="241"/>
      <c r="M530" s="241"/>
      <c r="N530" s="241"/>
      <c r="O530" s="241"/>
      <c r="P530" s="241"/>
      <c r="Q530" s="241"/>
      <c r="R530" s="241"/>
      <c r="S530" s="241"/>
      <c r="T530" s="241"/>
      <c r="U530" s="241"/>
      <c r="V530" s="241"/>
      <c r="W530" s="241"/>
      <c r="X530" s="241"/>
      <c r="Y530" s="241"/>
      <c r="Z530" s="241"/>
      <c r="AA530" s="241"/>
    </row>
    <row r="531" spans="1:27" ht="13.5" customHeight="1" x14ac:dyDescent="0.3">
      <c r="A531" s="241"/>
      <c r="B531" s="241"/>
      <c r="C531" s="241"/>
      <c r="D531" s="241"/>
      <c r="E531" s="241"/>
      <c r="F531" s="241"/>
      <c r="G531" s="241"/>
      <c r="H531" s="241"/>
      <c r="I531" s="241"/>
      <c r="J531" s="241"/>
      <c r="K531" s="241"/>
      <c r="L531" s="241"/>
      <c r="M531" s="241"/>
      <c r="N531" s="241"/>
      <c r="O531" s="241"/>
      <c r="P531" s="241"/>
      <c r="Q531" s="241"/>
      <c r="R531" s="241"/>
      <c r="S531" s="241"/>
      <c r="T531" s="241"/>
      <c r="U531" s="241"/>
      <c r="V531" s="241"/>
      <c r="W531" s="241"/>
      <c r="X531" s="241"/>
      <c r="Y531" s="241"/>
      <c r="Z531" s="241"/>
      <c r="AA531" s="241"/>
    </row>
    <row r="532" spans="1:27" ht="13.5" customHeight="1" x14ac:dyDescent="0.3">
      <c r="A532" s="241"/>
      <c r="B532" s="241"/>
      <c r="C532" s="241"/>
      <c r="D532" s="241"/>
      <c r="E532" s="241"/>
      <c r="F532" s="241"/>
      <c r="G532" s="241"/>
      <c r="H532" s="241"/>
      <c r="I532" s="241"/>
      <c r="J532" s="241"/>
      <c r="K532" s="241"/>
      <c r="L532" s="241"/>
      <c r="M532" s="241"/>
      <c r="N532" s="241"/>
      <c r="O532" s="241"/>
      <c r="P532" s="241"/>
      <c r="Q532" s="241"/>
      <c r="R532" s="241"/>
      <c r="S532" s="241"/>
      <c r="T532" s="241"/>
      <c r="U532" s="241"/>
      <c r="V532" s="241"/>
      <c r="W532" s="241"/>
      <c r="X532" s="241"/>
      <c r="Y532" s="241"/>
      <c r="Z532" s="241"/>
      <c r="AA532" s="241"/>
    </row>
    <row r="533" spans="1:27" ht="13.5" customHeight="1" x14ac:dyDescent="0.3">
      <c r="A533" s="241"/>
      <c r="B533" s="241"/>
      <c r="C533" s="241"/>
      <c r="D533" s="241"/>
      <c r="E533" s="241"/>
      <c r="F533" s="241"/>
      <c r="G533" s="241"/>
      <c r="H533" s="241"/>
      <c r="I533" s="241"/>
      <c r="J533" s="241"/>
      <c r="K533" s="241"/>
      <c r="L533" s="241"/>
      <c r="M533" s="241"/>
      <c r="N533" s="241"/>
      <c r="O533" s="241"/>
      <c r="P533" s="241"/>
      <c r="Q533" s="241"/>
      <c r="R533" s="241"/>
      <c r="S533" s="241"/>
      <c r="T533" s="241"/>
      <c r="U533" s="241"/>
      <c r="V533" s="241"/>
      <c r="W533" s="241"/>
      <c r="X533" s="241"/>
      <c r="Y533" s="241"/>
      <c r="Z533" s="241"/>
      <c r="AA533" s="241"/>
    </row>
    <row r="534" spans="1:27" ht="13.5" customHeight="1" x14ac:dyDescent="0.3">
      <c r="A534" s="241"/>
      <c r="B534" s="241"/>
      <c r="C534" s="241"/>
      <c r="D534" s="241"/>
      <c r="E534" s="241"/>
      <c r="F534" s="241"/>
      <c r="G534" s="241"/>
      <c r="H534" s="241"/>
      <c r="I534" s="241"/>
      <c r="J534" s="241"/>
      <c r="K534" s="241"/>
      <c r="L534" s="241"/>
      <c r="M534" s="241"/>
      <c r="N534" s="241"/>
      <c r="O534" s="241"/>
      <c r="P534" s="241"/>
      <c r="Q534" s="241"/>
      <c r="R534" s="241"/>
      <c r="S534" s="241"/>
      <c r="T534" s="241"/>
      <c r="U534" s="241"/>
      <c r="V534" s="241"/>
      <c r="W534" s="241"/>
      <c r="X534" s="241"/>
      <c r="Y534" s="241"/>
      <c r="Z534" s="241"/>
      <c r="AA534" s="241"/>
    </row>
    <row r="535" spans="1:27" ht="13.5" customHeight="1" x14ac:dyDescent="0.3">
      <c r="A535" s="241"/>
      <c r="B535" s="241"/>
      <c r="C535" s="241"/>
      <c r="D535" s="241"/>
      <c r="E535" s="241"/>
      <c r="F535" s="241"/>
      <c r="G535" s="241"/>
      <c r="H535" s="241"/>
      <c r="I535" s="241"/>
      <c r="J535" s="241"/>
      <c r="K535" s="241"/>
      <c r="L535" s="241"/>
      <c r="M535" s="241"/>
      <c r="N535" s="241"/>
      <c r="O535" s="241"/>
      <c r="P535" s="241"/>
      <c r="Q535" s="241"/>
      <c r="R535" s="241"/>
      <c r="S535" s="241"/>
      <c r="T535" s="241"/>
      <c r="U535" s="241"/>
      <c r="V535" s="241"/>
      <c r="W535" s="241"/>
      <c r="X535" s="241"/>
      <c r="Y535" s="241"/>
      <c r="Z535" s="241"/>
      <c r="AA535" s="241"/>
    </row>
    <row r="536" spans="1:27" ht="13.5" customHeight="1" x14ac:dyDescent="0.3">
      <c r="A536" s="241"/>
      <c r="B536" s="241"/>
      <c r="C536" s="241"/>
      <c r="D536" s="241"/>
      <c r="E536" s="241"/>
      <c r="F536" s="241"/>
      <c r="G536" s="241"/>
      <c r="H536" s="241"/>
      <c r="I536" s="241"/>
      <c r="J536" s="241"/>
      <c r="K536" s="241"/>
      <c r="L536" s="241"/>
      <c r="M536" s="241"/>
      <c r="N536" s="241"/>
      <c r="O536" s="241"/>
      <c r="P536" s="241"/>
      <c r="Q536" s="241"/>
      <c r="R536" s="241"/>
      <c r="S536" s="241"/>
      <c r="T536" s="241"/>
      <c r="U536" s="241"/>
      <c r="V536" s="241"/>
      <c r="W536" s="241"/>
      <c r="X536" s="241"/>
      <c r="Y536" s="241"/>
      <c r="Z536" s="241"/>
      <c r="AA536" s="241"/>
    </row>
    <row r="537" spans="1:27" ht="13.5" customHeight="1" x14ac:dyDescent="0.3">
      <c r="A537" s="241"/>
      <c r="B537" s="241"/>
      <c r="C537" s="241"/>
      <c r="D537" s="241"/>
      <c r="E537" s="241"/>
      <c r="F537" s="241"/>
      <c r="G537" s="241"/>
      <c r="H537" s="241"/>
      <c r="I537" s="241"/>
      <c r="J537" s="241"/>
      <c r="K537" s="241"/>
      <c r="L537" s="241"/>
      <c r="M537" s="241"/>
      <c r="N537" s="241"/>
      <c r="O537" s="241"/>
      <c r="P537" s="241"/>
      <c r="Q537" s="241"/>
      <c r="R537" s="241"/>
      <c r="S537" s="241"/>
      <c r="T537" s="241"/>
      <c r="U537" s="241"/>
      <c r="V537" s="241"/>
      <c r="W537" s="241"/>
      <c r="X537" s="241"/>
      <c r="Y537" s="241"/>
      <c r="Z537" s="241"/>
      <c r="AA537" s="241"/>
    </row>
    <row r="538" spans="1:27" ht="13.5" customHeight="1" x14ac:dyDescent="0.3">
      <c r="A538" s="241"/>
      <c r="B538" s="241"/>
      <c r="C538" s="241"/>
      <c r="D538" s="241"/>
      <c r="E538" s="241"/>
      <c r="F538" s="241"/>
      <c r="G538" s="241"/>
      <c r="H538" s="241"/>
      <c r="I538" s="241"/>
      <c r="J538" s="241"/>
      <c r="K538" s="241"/>
      <c r="L538" s="241"/>
      <c r="M538" s="241"/>
      <c r="N538" s="241"/>
      <c r="O538" s="241"/>
      <c r="P538" s="241"/>
      <c r="Q538" s="241"/>
      <c r="R538" s="241"/>
      <c r="S538" s="241"/>
      <c r="T538" s="241"/>
      <c r="U538" s="241"/>
      <c r="V538" s="241"/>
      <c r="W538" s="241"/>
      <c r="X538" s="241"/>
      <c r="Y538" s="241"/>
      <c r="Z538" s="241"/>
      <c r="AA538" s="241"/>
    </row>
    <row r="539" spans="1:27" ht="13.5" customHeight="1" x14ac:dyDescent="0.3">
      <c r="A539" s="241"/>
      <c r="B539" s="241"/>
      <c r="C539" s="241"/>
      <c r="D539" s="241"/>
      <c r="E539" s="241"/>
      <c r="F539" s="241"/>
      <c r="G539" s="241"/>
      <c r="H539" s="241"/>
      <c r="I539" s="241"/>
      <c r="J539" s="241"/>
      <c r="K539" s="241"/>
      <c r="L539" s="241"/>
      <c r="M539" s="241"/>
      <c r="N539" s="241"/>
      <c r="O539" s="241"/>
      <c r="P539" s="241"/>
      <c r="Q539" s="241"/>
      <c r="R539" s="241"/>
      <c r="S539" s="241"/>
      <c r="T539" s="241"/>
      <c r="U539" s="241"/>
      <c r="V539" s="241"/>
      <c r="W539" s="241"/>
      <c r="X539" s="241"/>
      <c r="Y539" s="241"/>
      <c r="Z539" s="241"/>
      <c r="AA539" s="241"/>
    </row>
    <row r="540" spans="1:27" ht="13.5" customHeight="1" x14ac:dyDescent="0.3">
      <c r="A540" s="241"/>
      <c r="B540" s="241"/>
      <c r="C540" s="241"/>
      <c r="D540" s="241"/>
      <c r="E540" s="241"/>
      <c r="F540" s="241"/>
      <c r="G540" s="241"/>
      <c r="H540" s="241"/>
      <c r="I540" s="241"/>
      <c r="J540" s="241"/>
      <c r="K540" s="241"/>
      <c r="L540" s="241"/>
      <c r="M540" s="241"/>
      <c r="N540" s="241"/>
      <c r="O540" s="241"/>
      <c r="P540" s="241"/>
      <c r="Q540" s="241"/>
      <c r="R540" s="241"/>
      <c r="S540" s="241"/>
      <c r="T540" s="241"/>
      <c r="U540" s="241"/>
      <c r="V540" s="241"/>
      <c r="W540" s="241"/>
      <c r="X540" s="241"/>
      <c r="Y540" s="241"/>
      <c r="Z540" s="241"/>
      <c r="AA540" s="241"/>
    </row>
    <row r="541" spans="1:27" ht="13.5" customHeight="1" x14ac:dyDescent="0.3">
      <c r="A541" s="241"/>
      <c r="B541" s="241"/>
      <c r="C541" s="241"/>
      <c r="D541" s="241"/>
      <c r="E541" s="241"/>
      <c r="F541" s="241"/>
      <c r="G541" s="241"/>
      <c r="H541" s="241"/>
      <c r="I541" s="241"/>
      <c r="J541" s="241"/>
      <c r="K541" s="241"/>
      <c r="L541" s="241"/>
      <c r="M541" s="241"/>
      <c r="N541" s="241"/>
      <c r="O541" s="241"/>
      <c r="P541" s="241"/>
      <c r="Q541" s="241"/>
      <c r="R541" s="241"/>
      <c r="S541" s="241"/>
      <c r="T541" s="241"/>
      <c r="U541" s="241"/>
      <c r="V541" s="241"/>
      <c r="W541" s="241"/>
      <c r="X541" s="241"/>
      <c r="Y541" s="241"/>
      <c r="Z541" s="241"/>
      <c r="AA541" s="241"/>
    </row>
    <row r="542" spans="1:27" ht="13.5" customHeight="1" x14ac:dyDescent="0.3">
      <c r="A542" s="241"/>
      <c r="B542" s="241"/>
      <c r="C542" s="241"/>
      <c r="D542" s="241"/>
      <c r="E542" s="241"/>
      <c r="F542" s="241"/>
      <c r="G542" s="241"/>
      <c r="H542" s="241"/>
      <c r="I542" s="241"/>
      <c r="J542" s="241"/>
      <c r="K542" s="241"/>
      <c r="L542" s="241"/>
      <c r="M542" s="241"/>
      <c r="N542" s="241"/>
      <c r="O542" s="241"/>
      <c r="P542" s="241"/>
      <c r="Q542" s="241"/>
      <c r="R542" s="241"/>
      <c r="S542" s="241"/>
      <c r="T542" s="241"/>
      <c r="U542" s="241"/>
      <c r="V542" s="241"/>
      <c r="W542" s="241"/>
      <c r="X542" s="241"/>
      <c r="Y542" s="241"/>
      <c r="Z542" s="241"/>
      <c r="AA542" s="241"/>
    </row>
    <row r="543" spans="1:27" ht="13.5" customHeight="1" x14ac:dyDescent="0.3">
      <c r="A543" s="241"/>
      <c r="B543" s="241"/>
      <c r="C543" s="241"/>
      <c r="D543" s="241"/>
      <c r="E543" s="241"/>
      <c r="F543" s="241"/>
      <c r="G543" s="241"/>
      <c r="H543" s="241"/>
      <c r="I543" s="241"/>
      <c r="J543" s="241"/>
      <c r="K543" s="241"/>
      <c r="L543" s="241"/>
      <c r="M543" s="241"/>
      <c r="N543" s="241"/>
      <c r="O543" s="241"/>
      <c r="P543" s="241"/>
      <c r="Q543" s="241"/>
      <c r="R543" s="241"/>
      <c r="S543" s="241"/>
      <c r="T543" s="241"/>
      <c r="U543" s="241"/>
      <c r="V543" s="241"/>
      <c r="W543" s="241"/>
      <c r="X543" s="241"/>
      <c r="Y543" s="241"/>
      <c r="Z543" s="241"/>
      <c r="AA543" s="241"/>
    </row>
    <row r="544" spans="1:27" ht="13.5" customHeight="1" x14ac:dyDescent="0.3">
      <c r="A544" s="241"/>
      <c r="B544" s="241"/>
      <c r="C544" s="241"/>
      <c r="D544" s="241"/>
      <c r="E544" s="241"/>
      <c r="F544" s="241"/>
      <c r="G544" s="241"/>
      <c r="H544" s="241"/>
      <c r="I544" s="241"/>
      <c r="J544" s="241"/>
      <c r="K544" s="241"/>
      <c r="L544" s="241"/>
      <c r="M544" s="241"/>
      <c r="N544" s="241"/>
      <c r="O544" s="241"/>
      <c r="P544" s="241"/>
      <c r="Q544" s="241"/>
      <c r="R544" s="241"/>
      <c r="S544" s="241"/>
      <c r="T544" s="241"/>
      <c r="U544" s="241"/>
      <c r="V544" s="241"/>
      <c r="W544" s="241"/>
      <c r="X544" s="241"/>
      <c r="Y544" s="241"/>
      <c r="Z544" s="241"/>
      <c r="AA544" s="241"/>
    </row>
    <row r="545" spans="1:27" ht="13.5" customHeight="1" x14ac:dyDescent="0.3">
      <c r="A545" s="241"/>
      <c r="B545" s="241"/>
      <c r="C545" s="241"/>
      <c r="D545" s="241"/>
      <c r="E545" s="241"/>
      <c r="F545" s="241"/>
      <c r="G545" s="241"/>
      <c r="H545" s="241"/>
      <c r="I545" s="241"/>
      <c r="J545" s="241"/>
      <c r="K545" s="241"/>
      <c r="L545" s="241"/>
      <c r="M545" s="241"/>
      <c r="N545" s="241"/>
      <c r="O545" s="241"/>
      <c r="P545" s="241"/>
      <c r="Q545" s="241"/>
      <c r="R545" s="241"/>
      <c r="S545" s="241"/>
      <c r="T545" s="241"/>
      <c r="U545" s="241"/>
      <c r="V545" s="241"/>
      <c r="W545" s="241"/>
      <c r="X545" s="241"/>
      <c r="Y545" s="241"/>
      <c r="Z545" s="241"/>
      <c r="AA545" s="241"/>
    </row>
    <row r="546" spans="1:27" ht="13.5" customHeight="1" x14ac:dyDescent="0.3">
      <c r="A546" s="241"/>
      <c r="B546" s="241"/>
      <c r="C546" s="241"/>
      <c r="D546" s="241"/>
      <c r="E546" s="241"/>
      <c r="F546" s="241"/>
      <c r="G546" s="241"/>
      <c r="H546" s="241"/>
      <c r="I546" s="241"/>
      <c r="J546" s="241"/>
      <c r="K546" s="241"/>
      <c r="L546" s="241"/>
      <c r="M546" s="241"/>
      <c r="N546" s="241"/>
      <c r="O546" s="241"/>
      <c r="P546" s="241"/>
      <c r="Q546" s="241"/>
      <c r="R546" s="241"/>
      <c r="S546" s="241"/>
      <c r="T546" s="241"/>
      <c r="U546" s="241"/>
      <c r="V546" s="241"/>
      <c r="W546" s="241"/>
      <c r="X546" s="241"/>
      <c r="Y546" s="241"/>
      <c r="Z546" s="241"/>
      <c r="AA546" s="241"/>
    </row>
    <row r="547" spans="1:27" ht="13.5" customHeight="1" x14ac:dyDescent="0.3">
      <c r="A547" s="241"/>
      <c r="B547" s="241"/>
      <c r="C547" s="241"/>
      <c r="D547" s="241"/>
      <c r="E547" s="241"/>
      <c r="F547" s="241"/>
      <c r="G547" s="241"/>
      <c r="H547" s="241"/>
      <c r="I547" s="241"/>
      <c r="J547" s="241"/>
      <c r="K547" s="241"/>
      <c r="L547" s="241"/>
      <c r="M547" s="241"/>
      <c r="N547" s="241"/>
      <c r="O547" s="241"/>
      <c r="P547" s="241"/>
      <c r="Q547" s="241"/>
      <c r="R547" s="241"/>
      <c r="S547" s="241"/>
      <c r="T547" s="241"/>
      <c r="U547" s="241"/>
      <c r="V547" s="241"/>
      <c r="W547" s="241"/>
      <c r="X547" s="241"/>
      <c r="Y547" s="241"/>
      <c r="Z547" s="241"/>
      <c r="AA547" s="241"/>
    </row>
    <row r="548" spans="1:27" ht="13.5" customHeight="1" x14ac:dyDescent="0.3">
      <c r="A548" s="241"/>
      <c r="B548" s="241"/>
      <c r="C548" s="241"/>
      <c r="D548" s="241"/>
      <c r="E548" s="241"/>
      <c r="F548" s="241"/>
      <c r="G548" s="241"/>
      <c r="H548" s="241"/>
      <c r="I548" s="241"/>
      <c r="J548" s="241"/>
      <c r="K548" s="241"/>
      <c r="L548" s="241"/>
      <c r="M548" s="241"/>
      <c r="N548" s="241"/>
      <c r="O548" s="241"/>
      <c r="P548" s="241"/>
      <c r="Q548" s="241"/>
      <c r="R548" s="241"/>
      <c r="S548" s="241"/>
      <c r="T548" s="241"/>
      <c r="U548" s="241"/>
      <c r="V548" s="241"/>
      <c r="W548" s="241"/>
      <c r="X548" s="241"/>
      <c r="Y548" s="241"/>
      <c r="Z548" s="241"/>
      <c r="AA548" s="241"/>
    </row>
    <row r="549" spans="1:27" ht="13.5" customHeight="1" x14ac:dyDescent="0.3">
      <c r="A549" s="241"/>
      <c r="B549" s="241"/>
      <c r="C549" s="241"/>
      <c r="D549" s="241"/>
      <c r="E549" s="241"/>
      <c r="F549" s="241"/>
      <c r="G549" s="241"/>
      <c r="H549" s="241"/>
      <c r="I549" s="241"/>
      <c r="J549" s="241"/>
      <c r="K549" s="241"/>
      <c r="L549" s="241"/>
      <c r="M549" s="241"/>
      <c r="N549" s="241"/>
      <c r="O549" s="241"/>
      <c r="P549" s="241"/>
      <c r="Q549" s="241"/>
      <c r="R549" s="241"/>
      <c r="S549" s="241"/>
      <c r="T549" s="241"/>
      <c r="U549" s="241"/>
      <c r="V549" s="241"/>
      <c r="W549" s="241"/>
      <c r="X549" s="241"/>
      <c r="Y549" s="241"/>
      <c r="Z549" s="241"/>
      <c r="AA549" s="241"/>
    </row>
    <row r="550" spans="1:27" ht="13.5" customHeight="1" x14ac:dyDescent="0.3">
      <c r="A550" s="241"/>
      <c r="B550" s="241"/>
      <c r="C550" s="241"/>
      <c r="D550" s="241"/>
      <c r="E550" s="241"/>
      <c r="F550" s="241"/>
      <c r="G550" s="241"/>
      <c r="H550" s="241"/>
      <c r="I550" s="241"/>
      <c r="J550" s="241"/>
      <c r="K550" s="241"/>
      <c r="L550" s="241"/>
      <c r="M550" s="241"/>
      <c r="N550" s="241"/>
      <c r="O550" s="241"/>
      <c r="P550" s="241"/>
      <c r="Q550" s="241"/>
      <c r="R550" s="241"/>
      <c r="S550" s="241"/>
      <c r="T550" s="241"/>
      <c r="U550" s="241"/>
      <c r="V550" s="241"/>
      <c r="W550" s="241"/>
      <c r="X550" s="241"/>
      <c r="Y550" s="241"/>
      <c r="Z550" s="241"/>
      <c r="AA550" s="241"/>
    </row>
    <row r="551" spans="1:27" ht="13.5" customHeight="1" x14ac:dyDescent="0.3">
      <c r="A551" s="241"/>
      <c r="B551" s="241"/>
      <c r="C551" s="241"/>
      <c r="D551" s="241"/>
      <c r="E551" s="241"/>
      <c r="F551" s="241"/>
      <c r="G551" s="241"/>
      <c r="H551" s="241"/>
      <c r="I551" s="241"/>
      <c r="J551" s="241"/>
      <c r="K551" s="241"/>
      <c r="L551" s="241"/>
      <c r="M551" s="241"/>
      <c r="N551" s="241"/>
      <c r="O551" s="241"/>
      <c r="P551" s="241"/>
      <c r="Q551" s="241"/>
      <c r="R551" s="241"/>
      <c r="S551" s="241"/>
      <c r="T551" s="241"/>
      <c r="U551" s="241"/>
      <c r="V551" s="241"/>
      <c r="W551" s="241"/>
      <c r="X551" s="241"/>
      <c r="Y551" s="241"/>
      <c r="Z551" s="241"/>
      <c r="AA551" s="241"/>
    </row>
    <row r="552" spans="1:27" ht="13.5" customHeight="1" x14ac:dyDescent="0.3">
      <c r="A552" s="241"/>
      <c r="B552" s="241"/>
      <c r="C552" s="241"/>
      <c r="D552" s="241"/>
      <c r="E552" s="241"/>
      <c r="F552" s="241"/>
      <c r="G552" s="241"/>
      <c r="H552" s="241"/>
      <c r="I552" s="241"/>
      <c r="J552" s="241"/>
      <c r="K552" s="241"/>
      <c r="L552" s="241"/>
      <c r="M552" s="241"/>
      <c r="N552" s="241"/>
      <c r="O552" s="241"/>
      <c r="P552" s="241"/>
      <c r="Q552" s="241"/>
      <c r="R552" s="241"/>
      <c r="S552" s="241"/>
      <c r="T552" s="241"/>
      <c r="U552" s="241"/>
      <c r="V552" s="241"/>
      <c r="W552" s="241"/>
      <c r="X552" s="241"/>
      <c r="Y552" s="241"/>
      <c r="Z552" s="241"/>
      <c r="AA552" s="241"/>
    </row>
    <row r="553" spans="1:27" ht="13.5" customHeight="1" x14ac:dyDescent="0.3">
      <c r="A553" s="241"/>
      <c r="B553" s="241"/>
      <c r="C553" s="241"/>
      <c r="D553" s="241"/>
      <c r="E553" s="241"/>
      <c r="F553" s="241"/>
      <c r="G553" s="241"/>
      <c r="H553" s="241"/>
      <c r="I553" s="241"/>
      <c r="J553" s="241"/>
      <c r="K553" s="241"/>
      <c r="L553" s="241"/>
      <c r="M553" s="241"/>
      <c r="N553" s="241"/>
      <c r="O553" s="241"/>
      <c r="P553" s="241"/>
      <c r="Q553" s="241"/>
      <c r="R553" s="241"/>
      <c r="S553" s="241"/>
      <c r="T553" s="241"/>
      <c r="U553" s="241"/>
      <c r="V553" s="241"/>
      <c r="W553" s="241"/>
      <c r="X553" s="241"/>
      <c r="Y553" s="241"/>
      <c r="Z553" s="241"/>
      <c r="AA553" s="241"/>
    </row>
    <row r="554" spans="1:27" ht="13.5" customHeight="1" x14ac:dyDescent="0.3">
      <c r="A554" s="241"/>
      <c r="B554" s="241"/>
      <c r="C554" s="241"/>
      <c r="D554" s="241"/>
      <c r="E554" s="241"/>
      <c r="F554" s="241"/>
      <c r="G554" s="241"/>
      <c r="H554" s="241"/>
      <c r="I554" s="241"/>
      <c r="J554" s="241"/>
      <c r="K554" s="241"/>
      <c r="L554" s="241"/>
      <c r="M554" s="241"/>
      <c r="N554" s="241"/>
      <c r="O554" s="241"/>
      <c r="P554" s="241"/>
      <c r="Q554" s="241"/>
      <c r="R554" s="241"/>
      <c r="S554" s="241"/>
      <c r="T554" s="241"/>
      <c r="U554" s="241"/>
      <c r="V554" s="241"/>
      <c r="W554" s="241"/>
      <c r="X554" s="241"/>
      <c r="Y554" s="241"/>
      <c r="Z554" s="241"/>
      <c r="AA554" s="241"/>
    </row>
    <row r="555" spans="1:27" ht="13.5" customHeight="1" x14ac:dyDescent="0.3">
      <c r="A555" s="241"/>
      <c r="B555" s="241"/>
      <c r="C555" s="241"/>
      <c r="D555" s="241"/>
      <c r="E555" s="241"/>
      <c r="F555" s="241"/>
      <c r="G555" s="241"/>
      <c r="H555" s="241"/>
      <c r="I555" s="241"/>
      <c r="J555" s="241"/>
      <c r="K555" s="241"/>
      <c r="L555" s="241"/>
      <c r="M555" s="241"/>
      <c r="N555" s="241"/>
      <c r="O555" s="241"/>
      <c r="P555" s="241"/>
      <c r="Q555" s="241"/>
      <c r="R555" s="241"/>
      <c r="S555" s="241"/>
      <c r="T555" s="241"/>
      <c r="U555" s="241"/>
      <c r="V555" s="241"/>
      <c r="W555" s="241"/>
      <c r="X555" s="241"/>
      <c r="Y555" s="241"/>
      <c r="Z555" s="241"/>
      <c r="AA555" s="241"/>
    </row>
    <row r="556" spans="1:27" ht="13.5" customHeight="1" x14ac:dyDescent="0.3">
      <c r="A556" s="241"/>
      <c r="B556" s="241"/>
      <c r="C556" s="241"/>
      <c r="D556" s="241"/>
      <c r="E556" s="241"/>
      <c r="F556" s="241"/>
      <c r="G556" s="241"/>
      <c r="H556" s="241"/>
      <c r="I556" s="241"/>
      <c r="J556" s="241"/>
      <c r="K556" s="241"/>
      <c r="L556" s="241"/>
      <c r="M556" s="241"/>
      <c r="N556" s="241"/>
      <c r="O556" s="241"/>
      <c r="P556" s="241"/>
      <c r="Q556" s="241"/>
      <c r="R556" s="241"/>
      <c r="S556" s="241"/>
      <c r="T556" s="241"/>
      <c r="U556" s="241"/>
      <c r="V556" s="241"/>
      <c r="W556" s="241"/>
      <c r="X556" s="241"/>
      <c r="Y556" s="241"/>
      <c r="Z556" s="241"/>
      <c r="AA556" s="241"/>
    </row>
    <row r="557" spans="1:27" ht="13.5" customHeight="1" x14ac:dyDescent="0.3">
      <c r="A557" s="241"/>
      <c r="B557" s="241"/>
      <c r="C557" s="241"/>
      <c r="D557" s="241"/>
      <c r="E557" s="241"/>
      <c r="F557" s="241"/>
      <c r="G557" s="241"/>
      <c r="H557" s="241"/>
      <c r="I557" s="241"/>
      <c r="J557" s="241"/>
      <c r="K557" s="241"/>
      <c r="L557" s="241"/>
      <c r="M557" s="241"/>
      <c r="N557" s="241"/>
      <c r="O557" s="241"/>
      <c r="P557" s="241"/>
      <c r="Q557" s="241"/>
      <c r="R557" s="241"/>
      <c r="S557" s="241"/>
      <c r="T557" s="241"/>
      <c r="U557" s="241"/>
      <c r="V557" s="241"/>
      <c r="W557" s="241"/>
      <c r="X557" s="241"/>
      <c r="Y557" s="241"/>
      <c r="Z557" s="241"/>
      <c r="AA557" s="241"/>
    </row>
    <row r="558" spans="1:27" ht="13.5" customHeight="1" x14ac:dyDescent="0.3">
      <c r="A558" s="241"/>
      <c r="B558" s="241"/>
      <c r="C558" s="241"/>
      <c r="D558" s="241"/>
      <c r="E558" s="241"/>
      <c r="F558" s="241"/>
      <c r="G558" s="241"/>
      <c r="H558" s="241"/>
      <c r="I558" s="241"/>
      <c r="J558" s="241"/>
      <c r="K558" s="241"/>
      <c r="L558" s="241"/>
      <c r="M558" s="241"/>
      <c r="N558" s="241"/>
      <c r="O558" s="241"/>
      <c r="P558" s="241"/>
      <c r="Q558" s="241"/>
      <c r="R558" s="241"/>
      <c r="S558" s="241"/>
      <c r="T558" s="241"/>
      <c r="U558" s="241"/>
      <c r="V558" s="241"/>
      <c r="W558" s="241"/>
      <c r="X558" s="241"/>
      <c r="Y558" s="241"/>
      <c r="Z558" s="241"/>
      <c r="AA558" s="241"/>
    </row>
    <row r="559" spans="1:27" ht="13.5" customHeight="1" x14ac:dyDescent="0.3">
      <c r="A559" s="241"/>
      <c r="B559" s="241"/>
      <c r="C559" s="241"/>
      <c r="D559" s="241"/>
      <c r="E559" s="241"/>
      <c r="F559" s="241"/>
      <c r="G559" s="241"/>
      <c r="H559" s="241"/>
      <c r="I559" s="241"/>
      <c r="J559" s="241"/>
      <c r="K559" s="241"/>
      <c r="L559" s="241"/>
      <c r="M559" s="241"/>
      <c r="N559" s="241"/>
      <c r="O559" s="241"/>
      <c r="P559" s="241"/>
      <c r="Q559" s="241"/>
      <c r="R559" s="241"/>
      <c r="S559" s="241"/>
      <c r="T559" s="241"/>
      <c r="U559" s="241"/>
      <c r="V559" s="241"/>
      <c r="W559" s="241"/>
      <c r="X559" s="241"/>
      <c r="Y559" s="241"/>
      <c r="Z559" s="241"/>
      <c r="AA559" s="241"/>
    </row>
    <row r="560" spans="1:27" ht="13.5" customHeight="1" x14ac:dyDescent="0.3">
      <c r="A560" s="241"/>
      <c r="B560" s="241"/>
      <c r="C560" s="241"/>
      <c r="D560" s="241"/>
      <c r="E560" s="241"/>
      <c r="F560" s="241"/>
      <c r="G560" s="241"/>
      <c r="H560" s="241"/>
      <c r="I560" s="241"/>
      <c r="J560" s="241"/>
      <c r="K560" s="241"/>
      <c r="L560" s="241"/>
      <c r="M560" s="241"/>
      <c r="N560" s="241"/>
      <c r="O560" s="241"/>
      <c r="P560" s="241"/>
      <c r="Q560" s="241"/>
      <c r="R560" s="241"/>
      <c r="S560" s="241"/>
      <c r="T560" s="241"/>
      <c r="U560" s="241"/>
      <c r="V560" s="241"/>
      <c r="W560" s="241"/>
      <c r="X560" s="241"/>
      <c r="Y560" s="241"/>
      <c r="Z560" s="241"/>
      <c r="AA560" s="241"/>
    </row>
    <row r="561" spans="1:27" ht="13.5" customHeight="1" x14ac:dyDescent="0.3">
      <c r="A561" s="241"/>
      <c r="B561" s="241"/>
      <c r="C561" s="241"/>
      <c r="D561" s="241"/>
      <c r="E561" s="241"/>
      <c r="F561" s="241"/>
      <c r="G561" s="241"/>
      <c r="H561" s="241"/>
      <c r="I561" s="241"/>
      <c r="J561" s="241"/>
      <c r="K561" s="241"/>
      <c r="L561" s="241"/>
      <c r="M561" s="241"/>
      <c r="N561" s="241"/>
      <c r="O561" s="241"/>
      <c r="P561" s="241"/>
      <c r="Q561" s="241"/>
      <c r="R561" s="241"/>
      <c r="S561" s="241"/>
      <c r="T561" s="241"/>
      <c r="U561" s="241"/>
      <c r="V561" s="241"/>
      <c r="W561" s="241"/>
      <c r="X561" s="241"/>
      <c r="Y561" s="241"/>
      <c r="Z561" s="241"/>
      <c r="AA561" s="241"/>
    </row>
    <row r="562" spans="1:27" ht="13.5" customHeight="1" x14ac:dyDescent="0.3">
      <c r="A562" s="241"/>
      <c r="B562" s="241"/>
      <c r="C562" s="241"/>
      <c r="D562" s="241"/>
      <c r="E562" s="241"/>
      <c r="F562" s="241"/>
      <c r="G562" s="241"/>
      <c r="H562" s="241"/>
      <c r="I562" s="241"/>
      <c r="J562" s="241"/>
      <c r="K562" s="241"/>
      <c r="L562" s="241"/>
      <c r="M562" s="241"/>
      <c r="N562" s="241"/>
      <c r="O562" s="241"/>
      <c r="P562" s="241"/>
      <c r="Q562" s="241"/>
      <c r="R562" s="241"/>
      <c r="S562" s="241"/>
      <c r="T562" s="241"/>
      <c r="U562" s="241"/>
      <c r="V562" s="241"/>
      <c r="W562" s="241"/>
      <c r="X562" s="241"/>
      <c r="Y562" s="241"/>
      <c r="Z562" s="241"/>
      <c r="AA562" s="241"/>
    </row>
    <row r="563" spans="1:27" ht="13.5" customHeight="1" x14ac:dyDescent="0.3">
      <c r="A563" s="241"/>
      <c r="B563" s="241"/>
      <c r="C563" s="241"/>
      <c r="D563" s="241"/>
      <c r="E563" s="241"/>
      <c r="F563" s="241"/>
      <c r="G563" s="241"/>
      <c r="H563" s="241"/>
      <c r="I563" s="241"/>
      <c r="J563" s="241"/>
      <c r="K563" s="241"/>
      <c r="L563" s="241"/>
      <c r="M563" s="241"/>
      <c r="N563" s="241"/>
      <c r="O563" s="241"/>
      <c r="P563" s="241"/>
      <c r="Q563" s="241"/>
      <c r="R563" s="241"/>
      <c r="S563" s="241"/>
      <c r="T563" s="241"/>
      <c r="U563" s="241"/>
      <c r="V563" s="241"/>
      <c r="W563" s="241"/>
      <c r="X563" s="241"/>
      <c r="Y563" s="241"/>
      <c r="Z563" s="241"/>
      <c r="AA563" s="241"/>
    </row>
    <row r="564" spans="1:27" ht="13.5" customHeight="1" x14ac:dyDescent="0.3">
      <c r="A564" s="241"/>
      <c r="B564" s="241"/>
      <c r="C564" s="241"/>
      <c r="D564" s="241"/>
      <c r="E564" s="241"/>
      <c r="F564" s="241"/>
      <c r="G564" s="241"/>
      <c r="H564" s="241"/>
      <c r="I564" s="241"/>
      <c r="J564" s="241"/>
      <c r="K564" s="241"/>
      <c r="L564" s="241"/>
      <c r="M564" s="241"/>
      <c r="N564" s="241"/>
      <c r="O564" s="241"/>
      <c r="P564" s="241"/>
      <c r="Q564" s="241"/>
      <c r="R564" s="241"/>
      <c r="S564" s="241"/>
      <c r="T564" s="241"/>
      <c r="U564" s="241"/>
      <c r="V564" s="241"/>
      <c r="W564" s="241"/>
      <c r="X564" s="241"/>
      <c r="Y564" s="241"/>
      <c r="Z564" s="241"/>
      <c r="AA564" s="241"/>
    </row>
    <row r="565" spans="1:27" ht="13.5" customHeight="1" x14ac:dyDescent="0.3">
      <c r="A565" s="241"/>
      <c r="B565" s="241"/>
      <c r="C565" s="241"/>
      <c r="D565" s="241"/>
      <c r="E565" s="241"/>
      <c r="F565" s="241"/>
      <c r="G565" s="241"/>
      <c r="H565" s="241"/>
      <c r="I565" s="241"/>
      <c r="J565" s="241"/>
      <c r="K565" s="241"/>
      <c r="L565" s="241"/>
      <c r="M565" s="241"/>
      <c r="N565" s="241"/>
      <c r="O565" s="241"/>
      <c r="P565" s="241"/>
      <c r="Q565" s="241"/>
      <c r="R565" s="241"/>
      <c r="S565" s="241"/>
      <c r="T565" s="241"/>
      <c r="U565" s="241"/>
      <c r="V565" s="241"/>
      <c r="W565" s="241"/>
      <c r="X565" s="241"/>
      <c r="Y565" s="241"/>
      <c r="Z565" s="241"/>
      <c r="AA565" s="241"/>
    </row>
    <row r="566" spans="1:27" ht="13.5" customHeight="1" x14ac:dyDescent="0.3">
      <c r="A566" s="241"/>
      <c r="B566" s="241"/>
      <c r="C566" s="241"/>
      <c r="D566" s="241"/>
      <c r="E566" s="241"/>
      <c r="F566" s="241"/>
      <c r="G566" s="241"/>
      <c r="H566" s="241"/>
      <c r="I566" s="241"/>
      <c r="J566" s="241"/>
      <c r="K566" s="241"/>
      <c r="L566" s="241"/>
      <c r="M566" s="241"/>
      <c r="N566" s="241"/>
      <c r="O566" s="241"/>
      <c r="P566" s="241"/>
      <c r="Q566" s="241"/>
      <c r="R566" s="241"/>
      <c r="S566" s="241"/>
      <c r="T566" s="241"/>
      <c r="U566" s="241"/>
      <c r="V566" s="241"/>
      <c r="W566" s="241"/>
      <c r="X566" s="241"/>
      <c r="Y566" s="241"/>
      <c r="Z566" s="241"/>
      <c r="AA566" s="241"/>
    </row>
    <row r="567" spans="1:27" ht="13.5" customHeight="1" x14ac:dyDescent="0.3">
      <c r="A567" s="241"/>
      <c r="B567" s="241"/>
      <c r="C567" s="241"/>
      <c r="D567" s="241"/>
      <c r="E567" s="241"/>
      <c r="F567" s="241"/>
      <c r="G567" s="241"/>
      <c r="H567" s="241"/>
      <c r="I567" s="241"/>
      <c r="J567" s="241"/>
      <c r="K567" s="241"/>
      <c r="L567" s="241"/>
      <c r="M567" s="241"/>
      <c r="N567" s="241"/>
      <c r="O567" s="241"/>
      <c r="P567" s="241"/>
      <c r="Q567" s="241"/>
      <c r="R567" s="241"/>
      <c r="S567" s="241"/>
      <c r="T567" s="241"/>
      <c r="U567" s="241"/>
      <c r="V567" s="241"/>
      <c r="W567" s="241"/>
      <c r="X567" s="241"/>
      <c r="Y567" s="241"/>
      <c r="Z567" s="241"/>
      <c r="AA567" s="241"/>
    </row>
    <row r="568" spans="1:27" ht="13.5" customHeight="1" x14ac:dyDescent="0.3">
      <c r="A568" s="241"/>
      <c r="B568" s="241"/>
      <c r="C568" s="241"/>
      <c r="D568" s="241"/>
      <c r="E568" s="241"/>
      <c r="F568" s="241"/>
      <c r="G568" s="241"/>
      <c r="H568" s="241"/>
      <c r="I568" s="241"/>
      <c r="J568" s="241"/>
      <c r="K568" s="241"/>
      <c r="L568" s="241"/>
      <c r="M568" s="241"/>
      <c r="N568" s="241"/>
      <c r="O568" s="241"/>
      <c r="P568" s="241"/>
      <c r="Q568" s="241"/>
      <c r="R568" s="241"/>
      <c r="S568" s="241"/>
      <c r="T568" s="241"/>
      <c r="U568" s="241"/>
      <c r="V568" s="241"/>
      <c r="W568" s="241"/>
      <c r="X568" s="241"/>
      <c r="Y568" s="241"/>
      <c r="Z568" s="241"/>
      <c r="AA568" s="241"/>
    </row>
    <row r="569" spans="1:27" ht="13.5" customHeight="1" x14ac:dyDescent="0.3">
      <c r="A569" s="241"/>
      <c r="B569" s="241"/>
      <c r="C569" s="241"/>
      <c r="D569" s="241"/>
      <c r="E569" s="241"/>
      <c r="F569" s="241"/>
      <c r="G569" s="241"/>
      <c r="H569" s="241"/>
      <c r="I569" s="241"/>
      <c r="J569" s="241"/>
      <c r="K569" s="241"/>
      <c r="L569" s="241"/>
      <c r="M569" s="241"/>
      <c r="N569" s="241"/>
      <c r="O569" s="241"/>
      <c r="P569" s="241"/>
      <c r="Q569" s="241"/>
      <c r="R569" s="241"/>
      <c r="S569" s="241"/>
      <c r="T569" s="241"/>
      <c r="U569" s="241"/>
      <c r="V569" s="241"/>
      <c r="W569" s="241"/>
      <c r="X569" s="241"/>
      <c r="Y569" s="241"/>
      <c r="Z569" s="241"/>
      <c r="AA569" s="241"/>
    </row>
    <row r="570" spans="1:27" ht="13.5" customHeight="1" x14ac:dyDescent="0.3">
      <c r="A570" s="241"/>
      <c r="B570" s="241"/>
      <c r="C570" s="241"/>
      <c r="D570" s="241"/>
      <c r="E570" s="241"/>
      <c r="F570" s="241"/>
      <c r="G570" s="241"/>
      <c r="H570" s="241"/>
      <c r="I570" s="241"/>
      <c r="J570" s="241"/>
      <c r="K570" s="241"/>
      <c r="L570" s="241"/>
      <c r="M570" s="241"/>
      <c r="N570" s="241"/>
      <c r="O570" s="241"/>
      <c r="P570" s="241"/>
      <c r="Q570" s="241"/>
      <c r="R570" s="241"/>
      <c r="S570" s="241"/>
      <c r="T570" s="241"/>
      <c r="U570" s="241"/>
      <c r="V570" s="241"/>
      <c r="W570" s="241"/>
      <c r="X570" s="241"/>
      <c r="Y570" s="241"/>
      <c r="Z570" s="241"/>
      <c r="AA570" s="241"/>
    </row>
    <row r="571" spans="1:27" ht="13.5" customHeight="1" x14ac:dyDescent="0.3">
      <c r="A571" s="241"/>
      <c r="B571" s="241"/>
      <c r="C571" s="241"/>
      <c r="D571" s="241"/>
      <c r="E571" s="241"/>
      <c r="F571" s="241"/>
      <c r="G571" s="241"/>
      <c r="H571" s="241"/>
      <c r="I571" s="241"/>
      <c r="J571" s="241"/>
      <c r="K571" s="241"/>
      <c r="L571" s="241"/>
      <c r="M571" s="241"/>
      <c r="N571" s="241"/>
      <c r="O571" s="241"/>
      <c r="P571" s="241"/>
      <c r="Q571" s="241"/>
      <c r="R571" s="241"/>
      <c r="S571" s="241"/>
      <c r="T571" s="241"/>
      <c r="U571" s="241"/>
      <c r="V571" s="241"/>
      <c r="W571" s="241"/>
      <c r="X571" s="241"/>
      <c r="Y571" s="241"/>
      <c r="Z571" s="241"/>
      <c r="AA571" s="241"/>
    </row>
    <row r="572" spans="1:27" ht="13.5" customHeight="1" x14ac:dyDescent="0.3">
      <c r="A572" s="241"/>
      <c r="B572" s="241"/>
      <c r="C572" s="241"/>
      <c r="D572" s="241"/>
      <c r="E572" s="241"/>
      <c r="F572" s="241"/>
      <c r="G572" s="241"/>
      <c r="H572" s="241"/>
      <c r="I572" s="241"/>
      <c r="J572" s="241"/>
      <c r="K572" s="241"/>
      <c r="L572" s="241"/>
      <c r="M572" s="241"/>
      <c r="N572" s="241"/>
      <c r="O572" s="241"/>
      <c r="P572" s="241"/>
      <c r="Q572" s="241"/>
      <c r="R572" s="241"/>
      <c r="S572" s="241"/>
      <c r="T572" s="241"/>
      <c r="U572" s="241"/>
      <c r="V572" s="241"/>
      <c r="W572" s="241"/>
      <c r="X572" s="241"/>
      <c r="Y572" s="241"/>
      <c r="Z572" s="241"/>
      <c r="AA572" s="241"/>
    </row>
    <row r="573" spans="1:27" ht="13.5" customHeight="1" x14ac:dyDescent="0.3">
      <c r="A573" s="241"/>
      <c r="B573" s="241"/>
      <c r="C573" s="241"/>
      <c r="D573" s="241"/>
      <c r="E573" s="241"/>
      <c r="F573" s="241"/>
      <c r="G573" s="241"/>
      <c r="H573" s="241"/>
      <c r="I573" s="241"/>
      <c r="J573" s="241"/>
      <c r="K573" s="241"/>
      <c r="L573" s="241"/>
      <c r="M573" s="241"/>
      <c r="N573" s="241"/>
      <c r="O573" s="241"/>
      <c r="P573" s="241"/>
      <c r="Q573" s="241"/>
      <c r="R573" s="241"/>
      <c r="S573" s="241"/>
      <c r="T573" s="241"/>
      <c r="U573" s="241"/>
      <c r="V573" s="241"/>
      <c r="W573" s="241"/>
      <c r="X573" s="241"/>
      <c r="Y573" s="241"/>
      <c r="Z573" s="241"/>
      <c r="AA573" s="241"/>
    </row>
    <row r="574" spans="1:27" ht="13.5" customHeight="1" x14ac:dyDescent="0.3">
      <c r="A574" s="241"/>
      <c r="B574" s="241"/>
      <c r="C574" s="241"/>
      <c r="D574" s="241"/>
      <c r="E574" s="241"/>
      <c r="F574" s="241"/>
      <c r="G574" s="241"/>
      <c r="H574" s="241"/>
      <c r="I574" s="241"/>
      <c r="J574" s="241"/>
      <c r="K574" s="241"/>
      <c r="L574" s="241"/>
      <c r="M574" s="241"/>
      <c r="N574" s="241"/>
      <c r="O574" s="241"/>
      <c r="P574" s="241"/>
      <c r="Q574" s="241"/>
      <c r="R574" s="241"/>
      <c r="S574" s="241"/>
      <c r="T574" s="241"/>
      <c r="U574" s="241"/>
      <c r="V574" s="241"/>
      <c r="W574" s="241"/>
      <c r="X574" s="241"/>
      <c r="Y574" s="241"/>
      <c r="Z574" s="241"/>
      <c r="AA574" s="241"/>
    </row>
    <row r="575" spans="1:27" ht="13.5" customHeight="1" x14ac:dyDescent="0.3">
      <c r="A575" s="241"/>
      <c r="B575" s="241"/>
      <c r="C575" s="241"/>
      <c r="D575" s="241"/>
      <c r="E575" s="241"/>
      <c r="F575" s="241"/>
      <c r="G575" s="241"/>
      <c r="H575" s="241"/>
      <c r="I575" s="241"/>
      <c r="J575" s="241"/>
      <c r="K575" s="241"/>
      <c r="L575" s="241"/>
      <c r="M575" s="241"/>
      <c r="N575" s="241"/>
      <c r="O575" s="241"/>
      <c r="P575" s="241"/>
      <c r="Q575" s="241"/>
      <c r="R575" s="241"/>
      <c r="S575" s="241"/>
      <c r="T575" s="241"/>
      <c r="U575" s="241"/>
      <c r="V575" s="241"/>
      <c r="W575" s="241"/>
      <c r="X575" s="241"/>
      <c r="Y575" s="241"/>
      <c r="Z575" s="241"/>
      <c r="AA575" s="241"/>
    </row>
    <row r="576" spans="1:27" ht="13.5" customHeight="1" x14ac:dyDescent="0.3">
      <c r="A576" s="241"/>
      <c r="B576" s="241"/>
      <c r="C576" s="241"/>
      <c r="D576" s="241"/>
      <c r="E576" s="241"/>
      <c r="F576" s="241"/>
      <c r="G576" s="241"/>
      <c r="H576" s="241"/>
      <c r="I576" s="241"/>
      <c r="J576" s="241"/>
      <c r="K576" s="241"/>
      <c r="L576" s="241"/>
      <c r="M576" s="241"/>
      <c r="N576" s="241"/>
      <c r="O576" s="241"/>
      <c r="P576" s="241"/>
      <c r="Q576" s="241"/>
      <c r="R576" s="241"/>
      <c r="S576" s="241"/>
      <c r="T576" s="241"/>
      <c r="U576" s="241"/>
      <c r="V576" s="241"/>
      <c r="W576" s="241"/>
      <c r="X576" s="241"/>
      <c r="Y576" s="241"/>
      <c r="Z576" s="241"/>
      <c r="AA576" s="241"/>
    </row>
    <row r="577" spans="1:27" ht="13.5" customHeight="1" x14ac:dyDescent="0.3">
      <c r="A577" s="241"/>
      <c r="B577" s="241"/>
      <c r="C577" s="241"/>
      <c r="D577" s="241"/>
      <c r="E577" s="241"/>
      <c r="F577" s="241"/>
      <c r="G577" s="241"/>
      <c r="H577" s="241"/>
      <c r="I577" s="241"/>
      <c r="J577" s="241"/>
      <c r="K577" s="241"/>
      <c r="L577" s="241"/>
      <c r="M577" s="241"/>
      <c r="N577" s="241"/>
      <c r="O577" s="241"/>
      <c r="P577" s="241"/>
      <c r="Q577" s="241"/>
      <c r="R577" s="241"/>
      <c r="S577" s="241"/>
      <c r="T577" s="241"/>
      <c r="U577" s="241"/>
      <c r="V577" s="241"/>
      <c r="W577" s="241"/>
      <c r="X577" s="241"/>
      <c r="Y577" s="241"/>
      <c r="Z577" s="241"/>
      <c r="AA577" s="241"/>
    </row>
    <row r="578" spans="1:27" ht="13.5" customHeight="1" x14ac:dyDescent="0.3">
      <c r="A578" s="241"/>
      <c r="B578" s="241"/>
      <c r="C578" s="241"/>
      <c r="D578" s="241"/>
      <c r="E578" s="241"/>
      <c r="F578" s="241"/>
      <c r="G578" s="241"/>
      <c r="H578" s="241"/>
      <c r="I578" s="241"/>
      <c r="J578" s="241"/>
      <c r="K578" s="241"/>
      <c r="L578" s="241"/>
      <c r="M578" s="241"/>
      <c r="N578" s="241"/>
      <c r="O578" s="241"/>
      <c r="P578" s="241"/>
      <c r="Q578" s="241"/>
      <c r="R578" s="241"/>
      <c r="S578" s="241"/>
      <c r="T578" s="241"/>
      <c r="U578" s="241"/>
      <c r="V578" s="241"/>
      <c r="W578" s="241"/>
      <c r="X578" s="241"/>
      <c r="Y578" s="241"/>
      <c r="Z578" s="241"/>
      <c r="AA578" s="241"/>
    </row>
    <row r="579" spans="1:27" ht="13.5" customHeight="1" x14ac:dyDescent="0.3">
      <c r="A579" s="241"/>
      <c r="B579" s="241"/>
      <c r="C579" s="241"/>
      <c r="D579" s="241"/>
      <c r="E579" s="241"/>
      <c r="F579" s="241"/>
      <c r="G579" s="241"/>
      <c r="H579" s="241"/>
      <c r="I579" s="241"/>
      <c r="J579" s="241"/>
      <c r="K579" s="241"/>
      <c r="L579" s="241"/>
      <c r="M579" s="241"/>
      <c r="N579" s="241"/>
      <c r="O579" s="241"/>
      <c r="P579" s="241"/>
      <c r="Q579" s="241"/>
      <c r="R579" s="241"/>
      <c r="S579" s="241"/>
      <c r="T579" s="241"/>
      <c r="U579" s="241"/>
      <c r="V579" s="241"/>
      <c r="W579" s="241"/>
      <c r="X579" s="241"/>
      <c r="Y579" s="241"/>
      <c r="Z579" s="241"/>
      <c r="AA579" s="241"/>
    </row>
    <row r="580" spans="1:27" ht="13.5" customHeight="1" x14ac:dyDescent="0.3">
      <c r="A580" s="241"/>
      <c r="B580" s="241"/>
      <c r="C580" s="241"/>
      <c r="D580" s="241"/>
      <c r="E580" s="241"/>
      <c r="F580" s="241"/>
      <c r="G580" s="241"/>
      <c r="H580" s="241"/>
      <c r="I580" s="241"/>
      <c r="J580" s="241"/>
      <c r="K580" s="241"/>
      <c r="L580" s="241"/>
      <c r="M580" s="241"/>
      <c r="N580" s="241"/>
      <c r="O580" s="241"/>
      <c r="P580" s="241"/>
      <c r="Q580" s="241"/>
      <c r="R580" s="241"/>
      <c r="S580" s="241"/>
      <c r="T580" s="241"/>
      <c r="U580" s="241"/>
      <c r="V580" s="241"/>
      <c r="W580" s="241"/>
      <c r="X580" s="241"/>
      <c r="Y580" s="241"/>
      <c r="Z580" s="241"/>
      <c r="AA580" s="241"/>
    </row>
    <row r="581" spans="1:27" ht="13.5" customHeight="1" x14ac:dyDescent="0.3">
      <c r="A581" s="241"/>
      <c r="B581" s="241"/>
      <c r="C581" s="241"/>
      <c r="D581" s="241"/>
      <c r="E581" s="241"/>
      <c r="F581" s="241"/>
      <c r="G581" s="241"/>
      <c r="H581" s="241"/>
      <c r="I581" s="241"/>
      <c r="J581" s="241"/>
      <c r="K581" s="241"/>
      <c r="L581" s="241"/>
      <c r="M581" s="241"/>
      <c r="N581" s="241"/>
      <c r="O581" s="241"/>
      <c r="P581" s="241"/>
      <c r="Q581" s="241"/>
      <c r="R581" s="241"/>
      <c r="S581" s="241"/>
      <c r="T581" s="241"/>
      <c r="U581" s="241"/>
      <c r="V581" s="241"/>
      <c r="W581" s="241"/>
      <c r="X581" s="241"/>
      <c r="Y581" s="241"/>
      <c r="Z581" s="241"/>
      <c r="AA581" s="241"/>
    </row>
    <row r="582" spans="1:27" ht="13.5" customHeight="1" x14ac:dyDescent="0.3">
      <c r="A582" s="241"/>
      <c r="B582" s="241"/>
      <c r="C582" s="241"/>
      <c r="D582" s="241"/>
      <c r="E582" s="241"/>
      <c r="F582" s="241"/>
      <c r="G582" s="241"/>
      <c r="H582" s="241"/>
      <c r="I582" s="241"/>
      <c r="J582" s="241"/>
      <c r="K582" s="241"/>
      <c r="L582" s="241"/>
      <c r="M582" s="241"/>
      <c r="N582" s="241"/>
      <c r="O582" s="241"/>
      <c r="P582" s="241"/>
      <c r="Q582" s="241"/>
      <c r="R582" s="241"/>
      <c r="S582" s="241"/>
      <c r="T582" s="241"/>
      <c r="U582" s="241"/>
      <c r="V582" s="241"/>
      <c r="W582" s="241"/>
      <c r="X582" s="241"/>
      <c r="Y582" s="241"/>
      <c r="Z582" s="241"/>
      <c r="AA582" s="241"/>
    </row>
    <row r="583" spans="1:27" ht="13.5" customHeight="1" x14ac:dyDescent="0.3">
      <c r="A583" s="241"/>
      <c r="B583" s="241"/>
      <c r="C583" s="241"/>
      <c r="D583" s="241"/>
      <c r="E583" s="241"/>
      <c r="F583" s="241"/>
      <c r="G583" s="241"/>
      <c r="H583" s="241"/>
      <c r="I583" s="241"/>
      <c r="J583" s="241"/>
      <c r="K583" s="241"/>
      <c r="L583" s="241"/>
      <c r="M583" s="241"/>
      <c r="N583" s="241"/>
      <c r="O583" s="241"/>
      <c r="P583" s="241"/>
      <c r="Q583" s="241"/>
      <c r="R583" s="241"/>
      <c r="S583" s="241"/>
      <c r="T583" s="241"/>
      <c r="U583" s="241"/>
      <c r="V583" s="241"/>
      <c r="W583" s="241"/>
      <c r="X583" s="241"/>
      <c r="Y583" s="241"/>
      <c r="Z583" s="241"/>
      <c r="AA583" s="241"/>
    </row>
    <row r="584" spans="1:27" ht="13.5" customHeight="1" x14ac:dyDescent="0.3">
      <c r="A584" s="241"/>
      <c r="B584" s="241"/>
      <c r="C584" s="241"/>
      <c r="D584" s="241"/>
      <c r="E584" s="241"/>
      <c r="F584" s="241"/>
      <c r="G584" s="241"/>
      <c r="H584" s="241"/>
      <c r="I584" s="241"/>
      <c r="J584" s="241"/>
      <c r="K584" s="241"/>
      <c r="L584" s="241"/>
      <c r="M584" s="241"/>
      <c r="N584" s="241"/>
      <c r="O584" s="241"/>
      <c r="P584" s="241"/>
      <c r="Q584" s="241"/>
      <c r="R584" s="241"/>
      <c r="S584" s="241"/>
      <c r="T584" s="241"/>
      <c r="U584" s="241"/>
      <c r="V584" s="241"/>
      <c r="W584" s="241"/>
      <c r="X584" s="241"/>
      <c r="Y584" s="241"/>
      <c r="Z584" s="241"/>
      <c r="AA584" s="241"/>
    </row>
    <row r="585" spans="1:27" ht="13.5" customHeight="1" x14ac:dyDescent="0.3">
      <c r="A585" s="241"/>
      <c r="B585" s="241"/>
      <c r="C585" s="241"/>
      <c r="D585" s="241"/>
      <c r="E585" s="241"/>
      <c r="F585" s="241"/>
      <c r="G585" s="241"/>
      <c r="H585" s="241"/>
      <c r="I585" s="241"/>
      <c r="J585" s="241"/>
      <c r="K585" s="241"/>
      <c r="L585" s="241"/>
      <c r="M585" s="241"/>
      <c r="N585" s="241"/>
      <c r="O585" s="241"/>
      <c r="P585" s="241"/>
      <c r="Q585" s="241"/>
      <c r="R585" s="241"/>
      <c r="S585" s="241"/>
      <c r="T585" s="241"/>
      <c r="U585" s="241"/>
      <c r="V585" s="241"/>
      <c r="W585" s="241"/>
      <c r="X585" s="241"/>
      <c r="Y585" s="241"/>
      <c r="Z585" s="241"/>
      <c r="AA585" s="241"/>
    </row>
    <row r="586" spans="1:27" ht="13.5" customHeight="1" x14ac:dyDescent="0.3">
      <c r="A586" s="241"/>
      <c r="B586" s="241"/>
      <c r="C586" s="241"/>
      <c r="D586" s="241"/>
      <c r="E586" s="241"/>
      <c r="F586" s="241"/>
      <c r="G586" s="241"/>
      <c r="H586" s="241"/>
      <c r="I586" s="241"/>
      <c r="J586" s="241"/>
      <c r="K586" s="241"/>
      <c r="L586" s="241"/>
      <c r="M586" s="241"/>
      <c r="N586" s="241"/>
      <c r="O586" s="241"/>
      <c r="P586" s="241"/>
      <c r="Q586" s="241"/>
      <c r="R586" s="241"/>
      <c r="S586" s="241"/>
      <c r="T586" s="241"/>
      <c r="U586" s="241"/>
      <c r="V586" s="241"/>
      <c r="W586" s="241"/>
      <c r="X586" s="241"/>
      <c r="Y586" s="241"/>
      <c r="Z586" s="241"/>
      <c r="AA586" s="241"/>
    </row>
    <row r="587" spans="1:27" ht="13.5" customHeight="1" x14ac:dyDescent="0.3">
      <c r="A587" s="241"/>
      <c r="B587" s="241"/>
      <c r="C587" s="241"/>
      <c r="D587" s="241"/>
      <c r="E587" s="241"/>
      <c r="F587" s="241"/>
      <c r="G587" s="241"/>
      <c r="H587" s="241"/>
      <c r="I587" s="241"/>
      <c r="J587" s="241"/>
      <c r="K587" s="241"/>
      <c r="L587" s="241"/>
      <c r="M587" s="241"/>
      <c r="N587" s="241"/>
      <c r="O587" s="241"/>
      <c r="P587" s="241"/>
      <c r="Q587" s="241"/>
      <c r="R587" s="241"/>
      <c r="S587" s="241"/>
      <c r="T587" s="241"/>
      <c r="U587" s="241"/>
      <c r="V587" s="241"/>
      <c r="W587" s="241"/>
      <c r="X587" s="241"/>
      <c r="Y587" s="241"/>
      <c r="Z587" s="241"/>
      <c r="AA587" s="241"/>
    </row>
    <row r="588" spans="1:27" ht="13.5" customHeight="1" x14ac:dyDescent="0.3">
      <c r="A588" s="241"/>
      <c r="B588" s="241"/>
      <c r="C588" s="241"/>
      <c r="D588" s="241"/>
      <c r="E588" s="241"/>
      <c r="F588" s="241"/>
      <c r="G588" s="241"/>
      <c r="H588" s="241"/>
      <c r="I588" s="241"/>
      <c r="J588" s="241"/>
      <c r="K588" s="241"/>
      <c r="L588" s="241"/>
      <c r="M588" s="241"/>
      <c r="N588" s="241"/>
      <c r="O588" s="241"/>
      <c r="P588" s="241"/>
      <c r="Q588" s="241"/>
      <c r="R588" s="241"/>
      <c r="S588" s="241"/>
      <c r="T588" s="241"/>
      <c r="U588" s="241"/>
      <c r="V588" s="241"/>
      <c r="W588" s="241"/>
      <c r="X588" s="241"/>
      <c r="Y588" s="241"/>
      <c r="Z588" s="241"/>
      <c r="AA588" s="241"/>
    </row>
    <row r="589" spans="1:27" ht="13.5" customHeight="1" x14ac:dyDescent="0.3">
      <c r="A589" s="241"/>
      <c r="B589" s="241"/>
      <c r="C589" s="241"/>
      <c r="D589" s="241"/>
      <c r="E589" s="241"/>
      <c r="F589" s="241"/>
      <c r="G589" s="241"/>
      <c r="H589" s="241"/>
      <c r="I589" s="241"/>
      <c r="J589" s="241"/>
      <c r="K589" s="241"/>
      <c r="L589" s="241"/>
      <c r="M589" s="241"/>
      <c r="N589" s="241"/>
      <c r="O589" s="241"/>
      <c r="P589" s="241"/>
      <c r="Q589" s="241"/>
      <c r="R589" s="241"/>
      <c r="S589" s="241"/>
      <c r="T589" s="241"/>
      <c r="U589" s="241"/>
      <c r="V589" s="241"/>
      <c r="W589" s="241"/>
      <c r="X589" s="241"/>
      <c r="Y589" s="241"/>
      <c r="Z589" s="241"/>
      <c r="AA589" s="241"/>
    </row>
    <row r="590" spans="1:27" ht="13.5" customHeight="1" x14ac:dyDescent="0.3">
      <c r="A590" s="241"/>
      <c r="B590" s="241"/>
      <c r="C590" s="241"/>
      <c r="D590" s="241"/>
      <c r="E590" s="241"/>
      <c r="F590" s="241"/>
      <c r="G590" s="241"/>
      <c r="H590" s="241"/>
      <c r="I590" s="241"/>
      <c r="J590" s="241"/>
      <c r="K590" s="241"/>
      <c r="L590" s="241"/>
      <c r="M590" s="241"/>
      <c r="N590" s="241"/>
      <c r="O590" s="241"/>
      <c r="P590" s="241"/>
      <c r="Q590" s="241"/>
      <c r="R590" s="241"/>
      <c r="S590" s="241"/>
      <c r="T590" s="241"/>
      <c r="U590" s="241"/>
      <c r="V590" s="241"/>
      <c r="W590" s="241"/>
      <c r="X590" s="241"/>
      <c r="Y590" s="241"/>
      <c r="Z590" s="241"/>
      <c r="AA590" s="241"/>
    </row>
    <row r="591" spans="1:27" ht="13.5" customHeight="1" x14ac:dyDescent="0.3">
      <c r="A591" s="241"/>
      <c r="B591" s="241"/>
      <c r="C591" s="241"/>
      <c r="D591" s="241"/>
      <c r="E591" s="241"/>
      <c r="F591" s="241"/>
      <c r="G591" s="241"/>
      <c r="H591" s="241"/>
      <c r="I591" s="241"/>
      <c r="J591" s="241"/>
      <c r="K591" s="241"/>
      <c r="L591" s="241"/>
      <c r="M591" s="241"/>
      <c r="N591" s="241"/>
      <c r="O591" s="241"/>
      <c r="P591" s="241"/>
      <c r="Q591" s="241"/>
      <c r="R591" s="241"/>
      <c r="S591" s="241"/>
      <c r="T591" s="241"/>
      <c r="U591" s="241"/>
      <c r="V591" s="241"/>
      <c r="W591" s="241"/>
      <c r="X591" s="241"/>
      <c r="Y591" s="241"/>
      <c r="Z591" s="241"/>
      <c r="AA591" s="241"/>
    </row>
    <row r="592" spans="1:27" ht="13.5" customHeight="1" x14ac:dyDescent="0.3">
      <c r="A592" s="241"/>
      <c r="B592" s="241"/>
      <c r="C592" s="241"/>
      <c r="D592" s="241"/>
      <c r="E592" s="241"/>
      <c r="F592" s="241"/>
      <c r="G592" s="241"/>
      <c r="H592" s="241"/>
      <c r="I592" s="241"/>
      <c r="J592" s="241"/>
      <c r="K592" s="241"/>
      <c r="L592" s="241"/>
      <c r="M592" s="241"/>
      <c r="N592" s="241"/>
      <c r="O592" s="241"/>
      <c r="P592" s="241"/>
      <c r="Q592" s="241"/>
      <c r="R592" s="241"/>
      <c r="S592" s="241"/>
      <c r="T592" s="241"/>
      <c r="U592" s="241"/>
      <c r="V592" s="241"/>
      <c r="W592" s="241"/>
      <c r="X592" s="241"/>
      <c r="Y592" s="241"/>
      <c r="Z592" s="241"/>
      <c r="AA592" s="241"/>
    </row>
    <row r="593" spans="1:27" ht="13.5" customHeight="1" x14ac:dyDescent="0.3">
      <c r="A593" s="241"/>
      <c r="B593" s="241"/>
      <c r="C593" s="241"/>
      <c r="D593" s="241"/>
      <c r="E593" s="241"/>
      <c r="F593" s="241"/>
      <c r="G593" s="241"/>
      <c r="H593" s="241"/>
      <c r="I593" s="241"/>
      <c r="J593" s="241"/>
      <c r="K593" s="241"/>
      <c r="L593" s="241"/>
      <c r="M593" s="241"/>
      <c r="N593" s="241"/>
      <c r="O593" s="241"/>
      <c r="P593" s="241"/>
      <c r="Q593" s="241"/>
      <c r="R593" s="241"/>
      <c r="S593" s="241"/>
      <c r="T593" s="241"/>
      <c r="U593" s="241"/>
      <c r="V593" s="241"/>
      <c r="W593" s="241"/>
      <c r="X593" s="241"/>
      <c r="Y593" s="241"/>
      <c r="Z593" s="241"/>
      <c r="AA593" s="241"/>
    </row>
    <row r="594" spans="1:27" ht="13.5" customHeight="1" x14ac:dyDescent="0.3">
      <c r="A594" s="241"/>
      <c r="B594" s="241"/>
      <c r="C594" s="241"/>
      <c r="D594" s="241"/>
      <c r="E594" s="241"/>
      <c r="F594" s="241"/>
      <c r="G594" s="241"/>
      <c r="H594" s="241"/>
      <c r="I594" s="241"/>
      <c r="J594" s="241"/>
      <c r="K594" s="241"/>
      <c r="L594" s="241"/>
      <c r="M594" s="241"/>
      <c r="N594" s="241"/>
      <c r="O594" s="241"/>
      <c r="P594" s="241"/>
      <c r="Q594" s="241"/>
      <c r="R594" s="241"/>
      <c r="S594" s="241"/>
      <c r="T594" s="241"/>
      <c r="U594" s="241"/>
      <c r="V594" s="241"/>
      <c r="W594" s="241"/>
      <c r="X594" s="241"/>
      <c r="Y594" s="241"/>
      <c r="Z594" s="241"/>
      <c r="AA594" s="241"/>
    </row>
    <row r="595" spans="1:27" ht="13.5" customHeight="1" x14ac:dyDescent="0.3">
      <c r="A595" s="241"/>
      <c r="B595" s="241"/>
      <c r="C595" s="241"/>
      <c r="D595" s="241"/>
      <c r="E595" s="241"/>
      <c r="F595" s="241"/>
      <c r="G595" s="241"/>
      <c r="H595" s="241"/>
      <c r="I595" s="241"/>
      <c r="J595" s="241"/>
      <c r="K595" s="241"/>
      <c r="L595" s="241"/>
      <c r="M595" s="241"/>
      <c r="N595" s="241"/>
      <c r="O595" s="241"/>
      <c r="P595" s="241"/>
      <c r="Q595" s="241"/>
      <c r="R595" s="241"/>
      <c r="S595" s="241"/>
      <c r="T595" s="241"/>
      <c r="U595" s="241"/>
      <c r="V595" s="241"/>
      <c r="W595" s="241"/>
      <c r="X595" s="241"/>
      <c r="Y595" s="241"/>
      <c r="Z595" s="241"/>
      <c r="AA595" s="241"/>
    </row>
    <row r="596" spans="1:27" ht="13.5" customHeight="1" x14ac:dyDescent="0.3">
      <c r="A596" s="241"/>
      <c r="B596" s="241"/>
      <c r="C596" s="241"/>
      <c r="D596" s="241"/>
      <c r="E596" s="241"/>
      <c r="F596" s="241"/>
      <c r="G596" s="241"/>
      <c r="H596" s="241"/>
      <c r="I596" s="241"/>
      <c r="J596" s="241"/>
      <c r="K596" s="241"/>
      <c r="L596" s="241"/>
      <c r="M596" s="241"/>
      <c r="N596" s="241"/>
      <c r="O596" s="241"/>
      <c r="P596" s="241"/>
      <c r="Q596" s="241"/>
      <c r="R596" s="241"/>
      <c r="S596" s="241"/>
      <c r="T596" s="241"/>
      <c r="U596" s="241"/>
      <c r="V596" s="241"/>
      <c r="W596" s="241"/>
      <c r="X596" s="241"/>
      <c r="Y596" s="241"/>
      <c r="Z596" s="241"/>
      <c r="AA596" s="241"/>
    </row>
    <row r="597" spans="1:27" ht="13.5" customHeight="1" x14ac:dyDescent="0.3">
      <c r="A597" s="241"/>
      <c r="B597" s="241"/>
      <c r="C597" s="241"/>
      <c r="D597" s="241"/>
      <c r="E597" s="241"/>
      <c r="F597" s="241"/>
      <c r="G597" s="241"/>
      <c r="H597" s="241"/>
      <c r="I597" s="241"/>
      <c r="J597" s="241"/>
      <c r="K597" s="241"/>
      <c r="L597" s="241"/>
      <c r="M597" s="241"/>
      <c r="N597" s="241"/>
      <c r="O597" s="241"/>
      <c r="P597" s="241"/>
      <c r="Q597" s="241"/>
      <c r="R597" s="241"/>
      <c r="S597" s="241"/>
      <c r="T597" s="241"/>
      <c r="U597" s="241"/>
      <c r="V597" s="241"/>
      <c r="W597" s="241"/>
      <c r="X597" s="241"/>
      <c r="Y597" s="241"/>
      <c r="Z597" s="241"/>
      <c r="AA597" s="241"/>
    </row>
    <row r="598" spans="1:27" ht="13.5" customHeight="1" x14ac:dyDescent="0.3">
      <c r="A598" s="241"/>
      <c r="B598" s="241"/>
      <c r="C598" s="241"/>
      <c r="D598" s="241"/>
      <c r="E598" s="241"/>
      <c r="F598" s="241"/>
      <c r="G598" s="241"/>
      <c r="H598" s="241"/>
      <c r="I598" s="241"/>
      <c r="J598" s="241"/>
      <c r="K598" s="241"/>
      <c r="L598" s="241"/>
      <c r="M598" s="241"/>
      <c r="N598" s="241"/>
      <c r="O598" s="241"/>
      <c r="P598" s="241"/>
      <c r="Q598" s="241"/>
      <c r="R598" s="241"/>
      <c r="S598" s="241"/>
      <c r="T598" s="241"/>
      <c r="U598" s="241"/>
      <c r="V598" s="241"/>
      <c r="W598" s="241"/>
      <c r="X598" s="241"/>
      <c r="Y598" s="241"/>
      <c r="Z598" s="241"/>
      <c r="AA598" s="241"/>
    </row>
    <row r="599" spans="1:27" ht="13.5" customHeight="1" x14ac:dyDescent="0.3">
      <c r="A599" s="241"/>
      <c r="B599" s="241"/>
      <c r="C599" s="241"/>
      <c r="D599" s="241"/>
      <c r="E599" s="241"/>
      <c r="F599" s="241"/>
      <c r="G599" s="241"/>
      <c r="H599" s="241"/>
      <c r="I599" s="241"/>
      <c r="J599" s="241"/>
      <c r="K599" s="241"/>
      <c r="L599" s="241"/>
      <c r="M599" s="241"/>
      <c r="N599" s="241"/>
      <c r="O599" s="241"/>
      <c r="P599" s="241"/>
      <c r="Q599" s="241"/>
      <c r="R599" s="241"/>
      <c r="S599" s="241"/>
      <c r="T599" s="241"/>
      <c r="U599" s="241"/>
      <c r="V599" s="241"/>
      <c r="W599" s="241"/>
      <c r="X599" s="241"/>
      <c r="Y599" s="241"/>
      <c r="Z599" s="241"/>
      <c r="AA599" s="241"/>
    </row>
    <row r="600" spans="1:27" ht="13.5" customHeight="1" x14ac:dyDescent="0.3">
      <c r="A600" s="241"/>
      <c r="B600" s="241"/>
      <c r="C600" s="241"/>
      <c r="D600" s="241"/>
      <c r="E600" s="241"/>
      <c r="F600" s="241"/>
      <c r="G600" s="241"/>
      <c r="H600" s="241"/>
      <c r="I600" s="241"/>
      <c r="J600" s="241"/>
      <c r="K600" s="241"/>
      <c r="L600" s="241"/>
      <c r="M600" s="241"/>
      <c r="N600" s="241"/>
      <c r="O600" s="241"/>
      <c r="P600" s="241"/>
      <c r="Q600" s="241"/>
      <c r="R600" s="241"/>
      <c r="S600" s="241"/>
      <c r="T600" s="241"/>
      <c r="U600" s="241"/>
      <c r="V600" s="241"/>
      <c r="W600" s="241"/>
      <c r="X600" s="241"/>
      <c r="Y600" s="241"/>
      <c r="Z600" s="241"/>
      <c r="AA600" s="241"/>
    </row>
    <row r="601" spans="1:27" ht="13.5" customHeight="1" x14ac:dyDescent="0.3">
      <c r="A601" s="241"/>
      <c r="B601" s="241"/>
      <c r="C601" s="241"/>
      <c r="D601" s="241"/>
      <c r="E601" s="241"/>
      <c r="F601" s="241"/>
      <c r="G601" s="241"/>
      <c r="H601" s="241"/>
      <c r="I601" s="241"/>
      <c r="J601" s="241"/>
      <c r="K601" s="241"/>
      <c r="L601" s="241"/>
      <c r="M601" s="241"/>
      <c r="N601" s="241"/>
      <c r="O601" s="241"/>
      <c r="P601" s="241"/>
      <c r="Q601" s="241"/>
      <c r="R601" s="241"/>
      <c r="S601" s="241"/>
      <c r="T601" s="241"/>
      <c r="U601" s="241"/>
      <c r="V601" s="241"/>
      <c r="W601" s="241"/>
      <c r="X601" s="241"/>
      <c r="Y601" s="241"/>
      <c r="Z601" s="241"/>
      <c r="AA601" s="241"/>
    </row>
    <row r="602" spans="1:27" ht="13.5" customHeight="1" x14ac:dyDescent="0.3">
      <c r="A602" s="241"/>
      <c r="B602" s="241"/>
      <c r="C602" s="241"/>
      <c r="D602" s="241"/>
      <c r="E602" s="241"/>
      <c r="F602" s="241"/>
      <c r="G602" s="241"/>
      <c r="H602" s="241"/>
      <c r="I602" s="241"/>
      <c r="J602" s="241"/>
      <c r="K602" s="241"/>
      <c r="L602" s="241"/>
      <c r="M602" s="241"/>
      <c r="N602" s="241"/>
      <c r="O602" s="241"/>
      <c r="P602" s="241"/>
      <c r="Q602" s="241"/>
      <c r="R602" s="241"/>
      <c r="S602" s="241"/>
      <c r="T602" s="241"/>
      <c r="U602" s="241"/>
      <c r="V602" s="241"/>
      <c r="W602" s="241"/>
      <c r="X602" s="241"/>
      <c r="Y602" s="241"/>
      <c r="Z602" s="241"/>
      <c r="AA602" s="241"/>
    </row>
    <row r="603" spans="1:27" ht="13.5" customHeight="1" x14ac:dyDescent="0.3">
      <c r="A603" s="241"/>
      <c r="B603" s="241"/>
      <c r="C603" s="241"/>
      <c r="D603" s="241"/>
      <c r="E603" s="241"/>
      <c r="F603" s="241"/>
      <c r="G603" s="241"/>
      <c r="H603" s="241"/>
      <c r="I603" s="241"/>
      <c r="J603" s="241"/>
      <c r="K603" s="241"/>
      <c r="L603" s="241"/>
      <c r="M603" s="241"/>
      <c r="N603" s="241"/>
      <c r="O603" s="241"/>
      <c r="P603" s="241"/>
      <c r="Q603" s="241"/>
      <c r="R603" s="241"/>
      <c r="S603" s="241"/>
      <c r="T603" s="241"/>
      <c r="U603" s="241"/>
      <c r="V603" s="241"/>
      <c r="W603" s="241"/>
      <c r="X603" s="241"/>
      <c r="Y603" s="241"/>
      <c r="Z603" s="241"/>
      <c r="AA603" s="241"/>
    </row>
    <row r="604" spans="1:27" ht="13.5" customHeight="1" x14ac:dyDescent="0.3">
      <c r="A604" s="241"/>
      <c r="B604" s="241"/>
      <c r="C604" s="241"/>
      <c r="D604" s="241"/>
      <c r="E604" s="241"/>
      <c r="F604" s="241"/>
      <c r="G604" s="241"/>
      <c r="H604" s="241"/>
      <c r="I604" s="241"/>
      <c r="J604" s="241"/>
      <c r="K604" s="241"/>
      <c r="L604" s="241"/>
      <c r="M604" s="241"/>
      <c r="N604" s="241"/>
      <c r="O604" s="241"/>
      <c r="P604" s="241"/>
      <c r="Q604" s="241"/>
      <c r="R604" s="241"/>
      <c r="S604" s="241"/>
      <c r="T604" s="241"/>
      <c r="U604" s="241"/>
      <c r="V604" s="241"/>
      <c r="W604" s="241"/>
      <c r="X604" s="241"/>
      <c r="Y604" s="241"/>
      <c r="Z604" s="241"/>
      <c r="AA604" s="241"/>
    </row>
    <row r="605" spans="1:27" ht="13.5" customHeight="1" x14ac:dyDescent="0.3">
      <c r="A605" s="241"/>
      <c r="B605" s="241"/>
      <c r="C605" s="241"/>
      <c r="D605" s="241"/>
      <c r="E605" s="241"/>
      <c r="F605" s="241"/>
      <c r="G605" s="241"/>
      <c r="H605" s="241"/>
      <c r="I605" s="241"/>
      <c r="J605" s="241"/>
      <c r="K605" s="241"/>
      <c r="L605" s="241"/>
      <c r="M605" s="241"/>
      <c r="N605" s="241"/>
      <c r="O605" s="241"/>
      <c r="P605" s="241"/>
      <c r="Q605" s="241"/>
      <c r="R605" s="241"/>
      <c r="S605" s="241"/>
      <c r="T605" s="241"/>
      <c r="U605" s="241"/>
      <c r="V605" s="241"/>
      <c r="W605" s="241"/>
      <c r="X605" s="241"/>
      <c r="Y605" s="241"/>
      <c r="Z605" s="241"/>
      <c r="AA605" s="241"/>
    </row>
    <row r="606" spans="1:27" ht="13.5" customHeight="1" x14ac:dyDescent="0.3">
      <c r="A606" s="241"/>
      <c r="B606" s="241"/>
      <c r="C606" s="241"/>
      <c r="D606" s="241"/>
      <c r="E606" s="241"/>
      <c r="F606" s="241"/>
      <c r="G606" s="241"/>
      <c r="H606" s="241"/>
      <c r="I606" s="241"/>
      <c r="J606" s="241"/>
      <c r="K606" s="241"/>
      <c r="L606" s="241"/>
      <c r="M606" s="241"/>
      <c r="N606" s="241"/>
      <c r="O606" s="241"/>
      <c r="P606" s="241"/>
      <c r="Q606" s="241"/>
      <c r="R606" s="241"/>
      <c r="S606" s="241"/>
      <c r="T606" s="241"/>
      <c r="U606" s="241"/>
      <c r="V606" s="241"/>
      <c r="W606" s="241"/>
      <c r="X606" s="241"/>
      <c r="Y606" s="241"/>
      <c r="Z606" s="241"/>
      <c r="AA606" s="241"/>
    </row>
    <row r="607" spans="1:27" ht="13.5" customHeight="1" x14ac:dyDescent="0.3">
      <c r="A607" s="241"/>
      <c r="B607" s="241"/>
      <c r="C607" s="241"/>
      <c r="D607" s="241"/>
      <c r="E607" s="241"/>
      <c r="F607" s="241"/>
      <c r="G607" s="241"/>
      <c r="H607" s="241"/>
      <c r="I607" s="241"/>
      <c r="J607" s="241"/>
      <c r="K607" s="241"/>
      <c r="L607" s="241"/>
      <c r="M607" s="241"/>
      <c r="N607" s="241"/>
      <c r="O607" s="241"/>
      <c r="P607" s="241"/>
      <c r="Q607" s="241"/>
      <c r="R607" s="241"/>
      <c r="S607" s="241"/>
      <c r="T607" s="241"/>
      <c r="U607" s="241"/>
      <c r="V607" s="241"/>
      <c r="W607" s="241"/>
      <c r="X607" s="241"/>
      <c r="Y607" s="241"/>
      <c r="Z607" s="241"/>
      <c r="AA607" s="241"/>
    </row>
    <row r="608" spans="1:27" ht="13.5" customHeight="1" x14ac:dyDescent="0.3">
      <c r="A608" s="241"/>
      <c r="B608" s="241"/>
      <c r="C608" s="241"/>
      <c r="D608" s="241"/>
      <c r="E608" s="241"/>
      <c r="F608" s="241"/>
      <c r="G608" s="241"/>
      <c r="H608" s="241"/>
      <c r="I608" s="241"/>
      <c r="J608" s="241"/>
      <c r="K608" s="241"/>
      <c r="L608" s="241"/>
      <c r="M608" s="241"/>
      <c r="N608" s="241"/>
      <c r="O608" s="241"/>
      <c r="P608" s="241"/>
      <c r="Q608" s="241"/>
      <c r="R608" s="241"/>
      <c r="S608" s="241"/>
      <c r="T608" s="241"/>
      <c r="U608" s="241"/>
      <c r="V608" s="241"/>
      <c r="W608" s="241"/>
      <c r="X608" s="241"/>
      <c r="Y608" s="241"/>
      <c r="Z608" s="241"/>
      <c r="AA608" s="241"/>
    </row>
    <row r="609" spans="1:27" ht="13.5" customHeight="1" x14ac:dyDescent="0.3">
      <c r="A609" s="241"/>
      <c r="B609" s="241"/>
      <c r="C609" s="241"/>
      <c r="D609" s="241"/>
      <c r="E609" s="241"/>
      <c r="F609" s="241"/>
      <c r="G609" s="241"/>
      <c r="H609" s="241"/>
      <c r="I609" s="241"/>
      <c r="J609" s="241"/>
      <c r="K609" s="241"/>
      <c r="L609" s="241"/>
      <c r="M609" s="241"/>
      <c r="N609" s="241"/>
      <c r="O609" s="241"/>
      <c r="P609" s="241"/>
      <c r="Q609" s="241"/>
      <c r="R609" s="241"/>
      <c r="S609" s="241"/>
      <c r="T609" s="241"/>
      <c r="U609" s="241"/>
      <c r="V609" s="241"/>
      <c r="W609" s="241"/>
      <c r="X609" s="241"/>
      <c r="Y609" s="241"/>
      <c r="Z609" s="241"/>
      <c r="AA609" s="241"/>
    </row>
    <row r="610" spans="1:27" ht="13.5" customHeight="1" x14ac:dyDescent="0.3">
      <c r="A610" s="241"/>
      <c r="B610" s="241"/>
      <c r="C610" s="241"/>
      <c r="D610" s="241"/>
      <c r="E610" s="241"/>
      <c r="F610" s="241"/>
      <c r="G610" s="241"/>
      <c r="H610" s="241"/>
      <c r="I610" s="241"/>
      <c r="J610" s="241"/>
      <c r="K610" s="241"/>
      <c r="L610" s="241"/>
      <c r="M610" s="241"/>
      <c r="N610" s="241"/>
      <c r="O610" s="241"/>
      <c r="P610" s="241"/>
      <c r="Q610" s="241"/>
      <c r="R610" s="241"/>
      <c r="S610" s="241"/>
      <c r="T610" s="241"/>
      <c r="U610" s="241"/>
      <c r="V610" s="241"/>
      <c r="W610" s="241"/>
      <c r="X610" s="241"/>
      <c r="Y610" s="241"/>
      <c r="Z610" s="241"/>
      <c r="AA610" s="241"/>
    </row>
    <row r="611" spans="1:27" ht="13.5" customHeight="1" x14ac:dyDescent="0.3">
      <c r="A611" s="241"/>
      <c r="B611" s="241"/>
      <c r="C611" s="241"/>
      <c r="D611" s="241"/>
      <c r="E611" s="241"/>
      <c r="F611" s="241"/>
      <c r="G611" s="241"/>
      <c r="H611" s="241"/>
      <c r="I611" s="241"/>
      <c r="J611" s="241"/>
      <c r="K611" s="241"/>
      <c r="L611" s="241"/>
      <c r="M611" s="241"/>
      <c r="N611" s="241"/>
      <c r="O611" s="241"/>
      <c r="P611" s="241"/>
      <c r="Q611" s="241"/>
      <c r="R611" s="241"/>
      <c r="S611" s="241"/>
      <c r="T611" s="241"/>
      <c r="U611" s="241"/>
      <c r="V611" s="241"/>
      <c r="W611" s="241"/>
      <c r="X611" s="241"/>
      <c r="Y611" s="241"/>
      <c r="Z611" s="241"/>
      <c r="AA611" s="241"/>
    </row>
    <row r="612" spans="1:27" ht="13.5" customHeight="1" x14ac:dyDescent="0.3">
      <c r="A612" s="241"/>
      <c r="B612" s="241"/>
      <c r="C612" s="241"/>
      <c r="D612" s="241"/>
      <c r="E612" s="241"/>
      <c r="F612" s="241"/>
      <c r="G612" s="241"/>
      <c r="H612" s="241"/>
      <c r="I612" s="241"/>
      <c r="J612" s="241"/>
      <c r="K612" s="241"/>
      <c r="L612" s="241"/>
      <c r="M612" s="241"/>
      <c r="N612" s="241"/>
      <c r="O612" s="241"/>
      <c r="P612" s="241"/>
      <c r="Q612" s="241"/>
      <c r="R612" s="241"/>
      <c r="S612" s="241"/>
      <c r="T612" s="241"/>
      <c r="U612" s="241"/>
      <c r="V612" s="241"/>
      <c r="W612" s="241"/>
      <c r="X612" s="241"/>
      <c r="Y612" s="241"/>
      <c r="Z612" s="241"/>
      <c r="AA612" s="241"/>
    </row>
    <row r="613" spans="1:27" ht="13.5" customHeight="1" x14ac:dyDescent="0.3">
      <c r="A613" s="241"/>
      <c r="B613" s="241"/>
      <c r="C613" s="241"/>
      <c r="D613" s="241"/>
      <c r="E613" s="241"/>
      <c r="F613" s="241"/>
      <c r="G613" s="241"/>
      <c r="H613" s="241"/>
      <c r="I613" s="241"/>
      <c r="J613" s="241"/>
      <c r="K613" s="241"/>
      <c r="L613" s="241"/>
      <c r="M613" s="241"/>
      <c r="N613" s="241"/>
      <c r="O613" s="241"/>
      <c r="P613" s="241"/>
      <c r="Q613" s="241"/>
      <c r="R613" s="241"/>
      <c r="S613" s="241"/>
      <c r="T613" s="241"/>
      <c r="U613" s="241"/>
      <c r="V613" s="241"/>
      <c r="W613" s="241"/>
      <c r="X613" s="241"/>
      <c r="Y613" s="241"/>
      <c r="Z613" s="241"/>
      <c r="AA613" s="241"/>
    </row>
    <row r="614" spans="1:27" ht="13.5" customHeight="1" x14ac:dyDescent="0.3">
      <c r="A614" s="241"/>
      <c r="B614" s="241"/>
      <c r="C614" s="241"/>
      <c r="D614" s="241"/>
      <c r="E614" s="241"/>
      <c r="F614" s="241"/>
      <c r="G614" s="241"/>
      <c r="H614" s="241"/>
      <c r="I614" s="241"/>
      <c r="J614" s="241"/>
      <c r="K614" s="241"/>
      <c r="L614" s="241"/>
      <c r="M614" s="241"/>
      <c r="N614" s="241"/>
      <c r="O614" s="241"/>
      <c r="P614" s="241"/>
      <c r="Q614" s="241"/>
      <c r="R614" s="241"/>
      <c r="S614" s="241"/>
      <c r="T614" s="241"/>
      <c r="U614" s="241"/>
      <c r="V614" s="241"/>
      <c r="W614" s="241"/>
      <c r="X614" s="241"/>
      <c r="Y614" s="241"/>
      <c r="Z614" s="241"/>
      <c r="AA614" s="241"/>
    </row>
    <row r="615" spans="1:27" ht="13.5" customHeight="1" x14ac:dyDescent="0.3">
      <c r="A615" s="241"/>
      <c r="B615" s="241"/>
      <c r="C615" s="241"/>
      <c r="D615" s="241"/>
      <c r="E615" s="241"/>
      <c r="F615" s="241"/>
      <c r="G615" s="241"/>
      <c r="H615" s="241"/>
      <c r="I615" s="241"/>
      <c r="J615" s="241"/>
      <c r="K615" s="241"/>
      <c r="L615" s="241"/>
      <c r="M615" s="241"/>
      <c r="N615" s="241"/>
      <c r="O615" s="241"/>
      <c r="P615" s="241"/>
      <c r="Q615" s="241"/>
      <c r="R615" s="241"/>
      <c r="S615" s="241"/>
      <c r="T615" s="241"/>
      <c r="U615" s="241"/>
      <c r="V615" s="241"/>
      <c r="W615" s="241"/>
      <c r="X615" s="241"/>
      <c r="Y615" s="241"/>
      <c r="Z615" s="241"/>
      <c r="AA615" s="241"/>
    </row>
    <row r="616" spans="1:27" ht="13.5" customHeight="1" x14ac:dyDescent="0.3">
      <c r="A616" s="241"/>
      <c r="B616" s="241"/>
      <c r="C616" s="241"/>
      <c r="D616" s="241"/>
      <c r="E616" s="241"/>
      <c r="F616" s="241"/>
      <c r="G616" s="241"/>
      <c r="H616" s="241"/>
      <c r="I616" s="241"/>
      <c r="J616" s="241"/>
      <c r="K616" s="241"/>
      <c r="L616" s="241"/>
      <c r="M616" s="241"/>
      <c r="N616" s="241"/>
      <c r="O616" s="241"/>
      <c r="P616" s="241"/>
      <c r="Q616" s="241"/>
      <c r="R616" s="241"/>
      <c r="S616" s="241"/>
      <c r="T616" s="241"/>
      <c r="U616" s="241"/>
      <c r="V616" s="241"/>
      <c r="W616" s="241"/>
      <c r="X616" s="241"/>
      <c r="Y616" s="241"/>
      <c r="Z616" s="241"/>
      <c r="AA616" s="241"/>
    </row>
    <row r="617" spans="1:27" ht="13.5" customHeight="1" x14ac:dyDescent="0.3">
      <c r="A617" s="241"/>
      <c r="B617" s="241"/>
      <c r="C617" s="241"/>
      <c r="D617" s="241"/>
      <c r="E617" s="241"/>
      <c r="F617" s="241"/>
      <c r="G617" s="241"/>
      <c r="H617" s="241"/>
      <c r="I617" s="241"/>
      <c r="J617" s="241"/>
      <c r="K617" s="241"/>
      <c r="L617" s="241"/>
      <c r="M617" s="241"/>
      <c r="N617" s="241"/>
      <c r="O617" s="241"/>
      <c r="P617" s="241"/>
      <c r="Q617" s="241"/>
      <c r="R617" s="241"/>
      <c r="S617" s="241"/>
      <c r="T617" s="241"/>
      <c r="U617" s="241"/>
      <c r="V617" s="241"/>
      <c r="W617" s="241"/>
      <c r="X617" s="241"/>
      <c r="Y617" s="241"/>
      <c r="Z617" s="241"/>
      <c r="AA617" s="241"/>
    </row>
    <row r="618" spans="1:27" ht="13.5" customHeight="1" x14ac:dyDescent="0.3">
      <c r="A618" s="241"/>
      <c r="B618" s="241"/>
      <c r="C618" s="241"/>
      <c r="D618" s="241"/>
      <c r="E618" s="241"/>
      <c r="F618" s="241"/>
      <c r="G618" s="241"/>
      <c r="H618" s="241"/>
      <c r="I618" s="241"/>
      <c r="J618" s="241"/>
      <c r="K618" s="241"/>
      <c r="L618" s="241"/>
      <c r="M618" s="241"/>
      <c r="N618" s="241"/>
      <c r="O618" s="241"/>
      <c r="P618" s="241"/>
      <c r="Q618" s="241"/>
      <c r="R618" s="241"/>
      <c r="S618" s="241"/>
      <c r="T618" s="241"/>
      <c r="U618" s="241"/>
      <c r="V618" s="241"/>
      <c r="W618" s="241"/>
      <c r="X618" s="241"/>
      <c r="Y618" s="241"/>
      <c r="Z618" s="241"/>
      <c r="AA618" s="241"/>
    </row>
    <row r="619" spans="1:27" ht="13.5" customHeight="1" x14ac:dyDescent="0.3">
      <c r="A619" s="241"/>
      <c r="B619" s="241"/>
      <c r="C619" s="241"/>
      <c r="D619" s="241"/>
      <c r="E619" s="241"/>
      <c r="F619" s="241"/>
      <c r="G619" s="241"/>
      <c r="H619" s="241"/>
      <c r="I619" s="241"/>
      <c r="J619" s="241"/>
      <c r="K619" s="241"/>
      <c r="L619" s="241"/>
      <c r="M619" s="241"/>
      <c r="N619" s="241"/>
      <c r="O619" s="241"/>
      <c r="P619" s="241"/>
      <c r="Q619" s="241"/>
      <c r="R619" s="241"/>
      <c r="S619" s="241"/>
      <c r="T619" s="241"/>
      <c r="U619" s="241"/>
      <c r="V619" s="241"/>
      <c r="W619" s="241"/>
      <c r="X619" s="241"/>
      <c r="Y619" s="241"/>
      <c r="Z619" s="241"/>
      <c r="AA619" s="241"/>
    </row>
    <row r="620" spans="1:27" ht="13.5" customHeight="1" x14ac:dyDescent="0.3">
      <c r="A620" s="241"/>
      <c r="B620" s="241"/>
      <c r="C620" s="241"/>
      <c r="D620" s="241"/>
      <c r="E620" s="241"/>
      <c r="F620" s="241"/>
      <c r="G620" s="241"/>
      <c r="H620" s="241"/>
      <c r="I620" s="241"/>
      <c r="J620" s="241"/>
      <c r="K620" s="241"/>
      <c r="L620" s="241"/>
      <c r="M620" s="241"/>
      <c r="N620" s="241"/>
      <c r="O620" s="241"/>
      <c r="P620" s="241"/>
      <c r="Q620" s="241"/>
      <c r="R620" s="241"/>
      <c r="S620" s="241"/>
      <c r="T620" s="241"/>
      <c r="U620" s="241"/>
      <c r="V620" s="241"/>
      <c r="W620" s="241"/>
      <c r="X620" s="241"/>
      <c r="Y620" s="241"/>
      <c r="Z620" s="241"/>
      <c r="AA620" s="241"/>
    </row>
    <row r="621" spans="1:27" ht="13.5" customHeight="1" x14ac:dyDescent="0.3">
      <c r="A621" s="241"/>
      <c r="B621" s="241"/>
      <c r="C621" s="241"/>
      <c r="D621" s="241"/>
      <c r="E621" s="241"/>
      <c r="F621" s="241"/>
      <c r="G621" s="241"/>
      <c r="H621" s="241"/>
      <c r="I621" s="241"/>
      <c r="J621" s="241"/>
      <c r="K621" s="241"/>
      <c r="L621" s="241"/>
      <c r="M621" s="241"/>
      <c r="N621" s="241"/>
      <c r="O621" s="241"/>
      <c r="P621" s="241"/>
      <c r="Q621" s="241"/>
      <c r="R621" s="241"/>
      <c r="S621" s="241"/>
      <c r="T621" s="241"/>
      <c r="U621" s="241"/>
      <c r="V621" s="241"/>
      <c r="W621" s="241"/>
      <c r="X621" s="241"/>
      <c r="Y621" s="241"/>
      <c r="Z621" s="241"/>
      <c r="AA621" s="241"/>
    </row>
    <row r="622" spans="1:27" ht="13.5" customHeight="1" x14ac:dyDescent="0.3">
      <c r="A622" s="241"/>
      <c r="B622" s="241"/>
      <c r="C622" s="241"/>
      <c r="D622" s="241"/>
      <c r="E622" s="241"/>
      <c r="F622" s="241"/>
      <c r="G622" s="241"/>
      <c r="H622" s="241"/>
      <c r="I622" s="241"/>
      <c r="J622" s="241"/>
      <c r="K622" s="241"/>
      <c r="L622" s="241"/>
      <c r="M622" s="241"/>
      <c r="N622" s="241"/>
      <c r="O622" s="241"/>
      <c r="P622" s="241"/>
      <c r="Q622" s="241"/>
      <c r="R622" s="241"/>
      <c r="S622" s="241"/>
      <c r="T622" s="241"/>
      <c r="U622" s="241"/>
      <c r="V622" s="241"/>
      <c r="W622" s="241"/>
      <c r="X622" s="241"/>
      <c r="Y622" s="241"/>
      <c r="Z622" s="241"/>
      <c r="AA622" s="241"/>
    </row>
    <row r="623" spans="1:27" ht="13.5" customHeight="1" x14ac:dyDescent="0.3">
      <c r="A623" s="241"/>
      <c r="B623" s="241"/>
      <c r="C623" s="241"/>
      <c r="D623" s="241"/>
      <c r="E623" s="241"/>
      <c r="F623" s="241"/>
      <c r="G623" s="241"/>
      <c r="H623" s="241"/>
      <c r="I623" s="241"/>
      <c r="J623" s="241"/>
      <c r="K623" s="241"/>
      <c r="L623" s="241"/>
      <c r="M623" s="241"/>
      <c r="N623" s="241"/>
      <c r="O623" s="241"/>
      <c r="P623" s="241"/>
      <c r="Q623" s="241"/>
      <c r="R623" s="241"/>
      <c r="S623" s="241"/>
      <c r="T623" s="241"/>
      <c r="U623" s="241"/>
      <c r="V623" s="241"/>
      <c r="W623" s="241"/>
      <c r="X623" s="241"/>
      <c r="Y623" s="241"/>
      <c r="Z623" s="241"/>
      <c r="AA623" s="241"/>
    </row>
    <row r="624" spans="1:27" ht="13.5" customHeight="1" x14ac:dyDescent="0.3">
      <c r="A624" s="241"/>
      <c r="B624" s="241"/>
      <c r="C624" s="241"/>
      <c r="D624" s="241"/>
      <c r="E624" s="241"/>
      <c r="F624" s="241"/>
      <c r="G624" s="241"/>
      <c r="H624" s="241"/>
      <c r="I624" s="241"/>
      <c r="J624" s="241"/>
      <c r="K624" s="241"/>
      <c r="L624" s="241"/>
      <c r="M624" s="241"/>
      <c r="N624" s="241"/>
      <c r="O624" s="241"/>
      <c r="P624" s="241"/>
      <c r="Q624" s="241"/>
      <c r="R624" s="241"/>
      <c r="S624" s="241"/>
      <c r="T624" s="241"/>
      <c r="U624" s="241"/>
      <c r="V624" s="241"/>
      <c r="W624" s="241"/>
      <c r="X624" s="241"/>
      <c r="Y624" s="241"/>
      <c r="Z624" s="241"/>
      <c r="AA624" s="241"/>
    </row>
    <row r="625" spans="1:27" ht="13.5" customHeight="1" x14ac:dyDescent="0.3">
      <c r="A625" s="241"/>
      <c r="B625" s="241"/>
      <c r="C625" s="241"/>
      <c r="D625" s="241"/>
      <c r="E625" s="241"/>
      <c r="F625" s="241"/>
      <c r="G625" s="241"/>
      <c r="H625" s="241"/>
      <c r="I625" s="241"/>
      <c r="J625" s="241"/>
      <c r="K625" s="241"/>
      <c r="L625" s="241"/>
      <c r="M625" s="241"/>
      <c r="N625" s="241"/>
      <c r="O625" s="241"/>
      <c r="P625" s="241"/>
      <c r="Q625" s="241"/>
      <c r="R625" s="241"/>
      <c r="S625" s="241"/>
      <c r="T625" s="241"/>
      <c r="U625" s="241"/>
      <c r="V625" s="241"/>
      <c r="W625" s="241"/>
      <c r="X625" s="241"/>
      <c r="Y625" s="241"/>
      <c r="Z625" s="241"/>
      <c r="AA625" s="241"/>
    </row>
    <row r="626" spans="1:27" ht="13.5" customHeight="1" x14ac:dyDescent="0.3">
      <c r="A626" s="241"/>
      <c r="B626" s="241"/>
      <c r="C626" s="241"/>
      <c r="D626" s="241"/>
      <c r="E626" s="241"/>
      <c r="F626" s="241"/>
      <c r="G626" s="241"/>
      <c r="H626" s="241"/>
      <c r="I626" s="241"/>
      <c r="J626" s="241"/>
      <c r="K626" s="241"/>
      <c r="L626" s="241"/>
      <c r="M626" s="241"/>
      <c r="N626" s="241"/>
      <c r="O626" s="241"/>
      <c r="P626" s="241"/>
      <c r="Q626" s="241"/>
      <c r="R626" s="241"/>
      <c r="S626" s="241"/>
      <c r="T626" s="241"/>
      <c r="U626" s="241"/>
      <c r="V626" s="241"/>
      <c r="W626" s="241"/>
      <c r="X626" s="241"/>
      <c r="Y626" s="241"/>
      <c r="Z626" s="241"/>
      <c r="AA626" s="241"/>
    </row>
    <row r="627" spans="1:27" ht="13.5" customHeight="1" x14ac:dyDescent="0.3">
      <c r="A627" s="241"/>
      <c r="B627" s="241"/>
      <c r="C627" s="241"/>
      <c r="D627" s="241"/>
      <c r="E627" s="241"/>
      <c r="F627" s="241"/>
      <c r="G627" s="241"/>
      <c r="H627" s="241"/>
      <c r="I627" s="241"/>
      <c r="J627" s="241"/>
      <c r="K627" s="241"/>
      <c r="L627" s="241"/>
      <c r="M627" s="241"/>
      <c r="N627" s="241"/>
      <c r="O627" s="241"/>
      <c r="P627" s="241"/>
      <c r="Q627" s="241"/>
      <c r="R627" s="241"/>
      <c r="S627" s="241"/>
      <c r="T627" s="241"/>
      <c r="U627" s="241"/>
      <c r="V627" s="241"/>
      <c r="W627" s="241"/>
      <c r="X627" s="241"/>
      <c r="Y627" s="241"/>
      <c r="Z627" s="241"/>
      <c r="AA627" s="241"/>
    </row>
    <row r="628" spans="1:27" ht="13.5" customHeight="1" x14ac:dyDescent="0.3">
      <c r="A628" s="241"/>
      <c r="B628" s="241"/>
      <c r="C628" s="241"/>
      <c r="D628" s="241"/>
      <c r="E628" s="241"/>
      <c r="F628" s="241"/>
      <c r="G628" s="241"/>
      <c r="H628" s="241"/>
      <c r="I628" s="241"/>
      <c r="J628" s="241"/>
      <c r="K628" s="241"/>
      <c r="L628" s="241"/>
      <c r="M628" s="241"/>
      <c r="N628" s="241"/>
      <c r="O628" s="241"/>
      <c r="P628" s="241"/>
      <c r="Q628" s="241"/>
      <c r="R628" s="241"/>
      <c r="S628" s="241"/>
      <c r="T628" s="241"/>
      <c r="U628" s="241"/>
      <c r="V628" s="241"/>
      <c r="W628" s="241"/>
      <c r="X628" s="241"/>
      <c r="Y628" s="241"/>
      <c r="Z628" s="241"/>
      <c r="AA628" s="241"/>
    </row>
    <row r="629" spans="1:27" ht="13.5" customHeight="1" x14ac:dyDescent="0.3">
      <c r="A629" s="241"/>
      <c r="B629" s="241"/>
      <c r="C629" s="241"/>
      <c r="D629" s="241"/>
      <c r="E629" s="241"/>
      <c r="F629" s="241"/>
      <c r="G629" s="241"/>
      <c r="H629" s="241"/>
      <c r="I629" s="241"/>
      <c r="J629" s="241"/>
      <c r="K629" s="241"/>
      <c r="L629" s="241"/>
      <c r="M629" s="241"/>
      <c r="N629" s="241"/>
      <c r="O629" s="241"/>
      <c r="P629" s="241"/>
      <c r="Q629" s="241"/>
      <c r="R629" s="241"/>
      <c r="S629" s="241"/>
      <c r="T629" s="241"/>
      <c r="U629" s="241"/>
      <c r="V629" s="241"/>
      <c r="W629" s="241"/>
      <c r="X629" s="241"/>
      <c r="Y629" s="241"/>
      <c r="Z629" s="241"/>
      <c r="AA629" s="241"/>
    </row>
    <row r="630" spans="1:27" ht="13.5" customHeight="1" x14ac:dyDescent="0.3">
      <c r="A630" s="241"/>
      <c r="B630" s="241"/>
      <c r="C630" s="241"/>
      <c r="D630" s="241"/>
      <c r="E630" s="241"/>
      <c r="F630" s="241"/>
      <c r="G630" s="241"/>
      <c r="H630" s="241"/>
      <c r="I630" s="241"/>
      <c r="J630" s="241"/>
      <c r="K630" s="241"/>
      <c r="L630" s="241"/>
      <c r="M630" s="241"/>
      <c r="N630" s="241"/>
      <c r="O630" s="241"/>
      <c r="P630" s="241"/>
      <c r="Q630" s="241"/>
      <c r="R630" s="241"/>
      <c r="S630" s="241"/>
      <c r="T630" s="241"/>
      <c r="U630" s="241"/>
      <c r="V630" s="241"/>
      <c r="W630" s="241"/>
      <c r="X630" s="241"/>
      <c r="Y630" s="241"/>
      <c r="Z630" s="241"/>
      <c r="AA630" s="241"/>
    </row>
    <row r="631" spans="1:27" ht="13.5" customHeight="1" x14ac:dyDescent="0.3">
      <c r="A631" s="241"/>
      <c r="B631" s="241"/>
      <c r="C631" s="241"/>
      <c r="D631" s="241"/>
      <c r="E631" s="241"/>
      <c r="F631" s="241"/>
      <c r="G631" s="241"/>
      <c r="H631" s="241"/>
      <c r="I631" s="241"/>
      <c r="J631" s="241"/>
      <c r="K631" s="241"/>
      <c r="L631" s="241"/>
      <c r="M631" s="241"/>
      <c r="N631" s="241"/>
      <c r="O631" s="241"/>
      <c r="P631" s="241"/>
      <c r="Q631" s="241"/>
      <c r="R631" s="241"/>
      <c r="S631" s="241"/>
      <c r="T631" s="241"/>
      <c r="U631" s="241"/>
      <c r="V631" s="241"/>
      <c r="W631" s="241"/>
      <c r="X631" s="241"/>
      <c r="Y631" s="241"/>
      <c r="Z631" s="241"/>
      <c r="AA631" s="241"/>
    </row>
    <row r="632" spans="1:27" ht="13.5" customHeight="1" x14ac:dyDescent="0.3">
      <c r="A632" s="241"/>
      <c r="B632" s="241"/>
      <c r="C632" s="241"/>
      <c r="D632" s="241"/>
      <c r="E632" s="241"/>
      <c r="F632" s="241"/>
      <c r="G632" s="241"/>
      <c r="H632" s="241"/>
      <c r="I632" s="241"/>
      <c r="J632" s="241"/>
      <c r="K632" s="241"/>
      <c r="L632" s="241"/>
      <c r="M632" s="241"/>
      <c r="N632" s="241"/>
      <c r="O632" s="241"/>
      <c r="P632" s="241"/>
      <c r="Q632" s="241"/>
      <c r="R632" s="241"/>
      <c r="S632" s="241"/>
      <c r="T632" s="241"/>
      <c r="U632" s="241"/>
      <c r="V632" s="241"/>
      <c r="W632" s="241"/>
      <c r="X632" s="241"/>
      <c r="Y632" s="241"/>
      <c r="Z632" s="241"/>
      <c r="AA632" s="241"/>
    </row>
    <row r="633" spans="1:27" ht="13.5" customHeight="1" x14ac:dyDescent="0.3">
      <c r="A633" s="241"/>
      <c r="B633" s="241"/>
      <c r="C633" s="241"/>
      <c r="D633" s="241"/>
      <c r="E633" s="241"/>
      <c r="F633" s="241"/>
      <c r="G633" s="241"/>
      <c r="H633" s="241"/>
      <c r="I633" s="241"/>
      <c r="J633" s="241"/>
      <c r="K633" s="241"/>
      <c r="L633" s="241"/>
      <c r="M633" s="241"/>
      <c r="N633" s="241"/>
      <c r="O633" s="241"/>
      <c r="P633" s="241"/>
      <c r="Q633" s="241"/>
      <c r="R633" s="241"/>
      <c r="S633" s="241"/>
      <c r="T633" s="241"/>
      <c r="U633" s="241"/>
      <c r="V633" s="241"/>
      <c r="W633" s="241"/>
      <c r="X633" s="241"/>
      <c r="Y633" s="241"/>
      <c r="Z633" s="241"/>
      <c r="AA633" s="241"/>
    </row>
    <row r="634" spans="1:27" ht="13.5" customHeight="1" x14ac:dyDescent="0.3">
      <c r="A634" s="241"/>
      <c r="B634" s="241"/>
      <c r="C634" s="241"/>
      <c r="D634" s="241"/>
      <c r="E634" s="241"/>
      <c r="F634" s="241"/>
      <c r="G634" s="241"/>
      <c r="H634" s="241"/>
      <c r="I634" s="241"/>
      <c r="J634" s="241"/>
      <c r="K634" s="241"/>
      <c r="L634" s="241"/>
      <c r="M634" s="241"/>
      <c r="N634" s="241"/>
      <c r="O634" s="241"/>
      <c r="P634" s="241"/>
      <c r="Q634" s="241"/>
      <c r="R634" s="241"/>
      <c r="S634" s="241"/>
      <c r="T634" s="241"/>
      <c r="U634" s="241"/>
      <c r="V634" s="241"/>
      <c r="W634" s="241"/>
      <c r="X634" s="241"/>
      <c r="Y634" s="241"/>
      <c r="Z634" s="241"/>
      <c r="AA634" s="241"/>
    </row>
    <row r="635" spans="1:27" ht="13.5" customHeight="1" x14ac:dyDescent="0.3">
      <c r="A635" s="241"/>
      <c r="B635" s="241"/>
      <c r="C635" s="241"/>
      <c r="D635" s="241"/>
      <c r="E635" s="241"/>
      <c r="F635" s="241"/>
      <c r="G635" s="241"/>
      <c r="H635" s="241"/>
      <c r="I635" s="241"/>
      <c r="J635" s="241"/>
      <c r="K635" s="241"/>
      <c r="L635" s="241"/>
      <c r="M635" s="241"/>
      <c r="N635" s="241"/>
      <c r="O635" s="241"/>
      <c r="P635" s="241"/>
      <c r="Q635" s="241"/>
      <c r="R635" s="241"/>
      <c r="S635" s="241"/>
      <c r="T635" s="241"/>
      <c r="U635" s="241"/>
      <c r="V635" s="241"/>
      <c r="W635" s="241"/>
      <c r="X635" s="241"/>
      <c r="Y635" s="241"/>
      <c r="Z635" s="241"/>
      <c r="AA635" s="241"/>
    </row>
    <row r="636" spans="1:27" ht="13.5" customHeight="1" x14ac:dyDescent="0.3">
      <c r="A636" s="241"/>
      <c r="B636" s="241"/>
      <c r="C636" s="241"/>
      <c r="D636" s="241"/>
      <c r="E636" s="241"/>
      <c r="F636" s="241"/>
      <c r="G636" s="241"/>
      <c r="H636" s="241"/>
      <c r="I636" s="241"/>
      <c r="J636" s="241"/>
      <c r="K636" s="241"/>
      <c r="L636" s="241"/>
      <c r="M636" s="241"/>
      <c r="N636" s="241"/>
      <c r="O636" s="241"/>
      <c r="P636" s="241"/>
      <c r="Q636" s="241"/>
      <c r="R636" s="241"/>
      <c r="S636" s="241"/>
      <c r="T636" s="241"/>
      <c r="U636" s="241"/>
      <c r="V636" s="241"/>
      <c r="W636" s="241"/>
      <c r="X636" s="241"/>
      <c r="Y636" s="241"/>
      <c r="Z636" s="241"/>
      <c r="AA636" s="241"/>
    </row>
    <row r="637" spans="1:27" ht="13.5" customHeight="1" x14ac:dyDescent="0.3">
      <c r="A637" s="241"/>
      <c r="B637" s="241"/>
      <c r="C637" s="241"/>
      <c r="D637" s="241"/>
      <c r="E637" s="241"/>
      <c r="F637" s="241"/>
      <c r="G637" s="241"/>
      <c r="H637" s="241"/>
      <c r="I637" s="241"/>
      <c r="J637" s="241"/>
      <c r="K637" s="241"/>
      <c r="L637" s="241"/>
      <c r="M637" s="241"/>
      <c r="N637" s="241"/>
      <c r="O637" s="241"/>
      <c r="P637" s="241"/>
      <c r="Q637" s="241"/>
      <c r="R637" s="241"/>
      <c r="S637" s="241"/>
      <c r="T637" s="241"/>
      <c r="U637" s="241"/>
      <c r="V637" s="241"/>
      <c r="W637" s="241"/>
      <c r="X637" s="241"/>
      <c r="Y637" s="241"/>
      <c r="Z637" s="241"/>
      <c r="AA637" s="241"/>
    </row>
    <row r="638" spans="1:27" ht="13.5" customHeight="1" x14ac:dyDescent="0.3">
      <c r="A638" s="241"/>
      <c r="B638" s="241"/>
      <c r="C638" s="241"/>
      <c r="D638" s="241"/>
      <c r="E638" s="241"/>
      <c r="F638" s="241"/>
      <c r="G638" s="241"/>
      <c r="H638" s="241"/>
      <c r="I638" s="241"/>
      <c r="J638" s="241"/>
      <c r="K638" s="241"/>
      <c r="L638" s="241"/>
      <c r="M638" s="241"/>
      <c r="N638" s="241"/>
      <c r="O638" s="241"/>
      <c r="P638" s="241"/>
      <c r="Q638" s="241"/>
      <c r="R638" s="241"/>
      <c r="S638" s="241"/>
      <c r="T638" s="241"/>
      <c r="U638" s="241"/>
      <c r="V638" s="241"/>
      <c r="W638" s="241"/>
      <c r="X638" s="241"/>
      <c r="Y638" s="241"/>
      <c r="Z638" s="241"/>
      <c r="AA638" s="241"/>
    </row>
    <row r="639" spans="1:27" ht="13.5" customHeight="1" x14ac:dyDescent="0.3">
      <c r="A639" s="241"/>
      <c r="B639" s="241"/>
      <c r="C639" s="241"/>
      <c r="D639" s="241"/>
      <c r="E639" s="241"/>
      <c r="F639" s="241"/>
      <c r="G639" s="241"/>
      <c r="H639" s="241"/>
      <c r="I639" s="241"/>
      <c r="J639" s="241"/>
      <c r="K639" s="241"/>
      <c r="L639" s="241"/>
      <c r="M639" s="241"/>
      <c r="N639" s="241"/>
      <c r="O639" s="241"/>
      <c r="P639" s="241"/>
      <c r="Q639" s="241"/>
      <c r="R639" s="241"/>
      <c r="S639" s="241"/>
      <c r="T639" s="241"/>
      <c r="U639" s="241"/>
      <c r="V639" s="241"/>
      <c r="W639" s="241"/>
      <c r="X639" s="241"/>
      <c r="Y639" s="241"/>
      <c r="Z639" s="241"/>
      <c r="AA639" s="241"/>
    </row>
    <row r="640" spans="1:27" ht="13.5" customHeight="1" x14ac:dyDescent="0.3">
      <c r="A640" s="241"/>
      <c r="B640" s="241"/>
      <c r="C640" s="241"/>
      <c r="D640" s="241"/>
      <c r="E640" s="241"/>
      <c r="F640" s="241"/>
      <c r="G640" s="241"/>
      <c r="H640" s="241"/>
      <c r="I640" s="241"/>
      <c r="J640" s="241"/>
      <c r="K640" s="241"/>
      <c r="L640" s="241"/>
      <c r="M640" s="241"/>
      <c r="N640" s="241"/>
      <c r="O640" s="241"/>
      <c r="P640" s="241"/>
      <c r="Q640" s="241"/>
      <c r="R640" s="241"/>
      <c r="S640" s="241"/>
      <c r="T640" s="241"/>
      <c r="U640" s="241"/>
      <c r="V640" s="241"/>
      <c r="W640" s="241"/>
      <c r="X640" s="241"/>
      <c r="Y640" s="241"/>
      <c r="Z640" s="241"/>
      <c r="AA640" s="241"/>
    </row>
    <row r="641" spans="1:27" ht="13.5" customHeight="1" x14ac:dyDescent="0.3">
      <c r="A641" s="241"/>
      <c r="B641" s="241"/>
      <c r="C641" s="241"/>
      <c r="D641" s="241"/>
      <c r="E641" s="241"/>
      <c r="F641" s="241"/>
      <c r="G641" s="241"/>
      <c r="H641" s="241"/>
      <c r="I641" s="241"/>
      <c r="J641" s="241"/>
      <c r="K641" s="241"/>
      <c r="L641" s="241"/>
      <c r="M641" s="241"/>
      <c r="N641" s="241"/>
      <c r="O641" s="241"/>
      <c r="P641" s="241"/>
      <c r="Q641" s="241"/>
      <c r="R641" s="241"/>
      <c r="S641" s="241"/>
      <c r="T641" s="241"/>
      <c r="U641" s="241"/>
      <c r="V641" s="241"/>
      <c r="W641" s="241"/>
      <c r="X641" s="241"/>
      <c r="Y641" s="241"/>
      <c r="Z641" s="241"/>
      <c r="AA641" s="241"/>
    </row>
    <row r="642" spans="1:27" ht="13.5" customHeight="1" x14ac:dyDescent="0.3">
      <c r="A642" s="241"/>
      <c r="B642" s="241"/>
      <c r="C642" s="241"/>
      <c r="D642" s="241"/>
      <c r="E642" s="241"/>
      <c r="F642" s="241"/>
      <c r="G642" s="241"/>
      <c r="H642" s="241"/>
      <c r="I642" s="241"/>
      <c r="J642" s="241"/>
      <c r="K642" s="241"/>
      <c r="L642" s="241"/>
      <c r="M642" s="241"/>
      <c r="N642" s="241"/>
      <c r="O642" s="241"/>
      <c r="P642" s="241"/>
      <c r="Q642" s="241"/>
      <c r="R642" s="241"/>
      <c r="S642" s="241"/>
      <c r="T642" s="241"/>
      <c r="U642" s="241"/>
      <c r="V642" s="241"/>
      <c r="W642" s="241"/>
      <c r="X642" s="241"/>
      <c r="Y642" s="241"/>
      <c r="Z642" s="241"/>
      <c r="AA642" s="241"/>
    </row>
    <row r="643" spans="1:27" ht="13.5" customHeight="1" x14ac:dyDescent="0.3">
      <c r="A643" s="241"/>
      <c r="B643" s="241"/>
      <c r="C643" s="241"/>
      <c r="D643" s="241"/>
      <c r="E643" s="241"/>
      <c r="F643" s="241"/>
      <c r="G643" s="241"/>
      <c r="H643" s="241"/>
      <c r="I643" s="241"/>
      <c r="J643" s="241"/>
      <c r="K643" s="241"/>
      <c r="L643" s="241"/>
      <c r="M643" s="241"/>
      <c r="N643" s="241"/>
      <c r="O643" s="241"/>
      <c r="P643" s="241"/>
      <c r="Q643" s="241"/>
      <c r="R643" s="241"/>
      <c r="S643" s="241"/>
      <c r="T643" s="241"/>
      <c r="U643" s="241"/>
      <c r="V643" s="241"/>
      <c r="W643" s="241"/>
      <c r="X643" s="241"/>
      <c r="Y643" s="241"/>
      <c r="Z643" s="241"/>
      <c r="AA643" s="241"/>
    </row>
    <row r="644" spans="1:27" ht="13.5" customHeight="1" x14ac:dyDescent="0.3">
      <c r="A644" s="241"/>
      <c r="B644" s="241"/>
      <c r="C644" s="241"/>
      <c r="D644" s="241"/>
      <c r="E644" s="241"/>
      <c r="F644" s="241"/>
      <c r="G644" s="241"/>
      <c r="H644" s="241"/>
      <c r="I644" s="241"/>
      <c r="J644" s="241"/>
      <c r="K644" s="241"/>
      <c r="L644" s="241"/>
      <c r="M644" s="241"/>
      <c r="N644" s="241"/>
      <c r="O644" s="241"/>
      <c r="P644" s="241"/>
      <c r="Q644" s="241"/>
      <c r="R644" s="241"/>
      <c r="S644" s="241"/>
      <c r="T644" s="241"/>
      <c r="U644" s="241"/>
      <c r="V644" s="241"/>
      <c r="W644" s="241"/>
      <c r="X644" s="241"/>
      <c r="Y644" s="241"/>
      <c r="Z644" s="241"/>
      <c r="AA644" s="241"/>
    </row>
    <row r="645" spans="1:27" ht="13.5" customHeight="1" x14ac:dyDescent="0.3">
      <c r="A645" s="241"/>
      <c r="B645" s="241"/>
      <c r="C645" s="241"/>
      <c r="D645" s="241"/>
      <c r="E645" s="241"/>
      <c r="F645" s="241"/>
      <c r="G645" s="241"/>
      <c r="H645" s="241"/>
      <c r="I645" s="241"/>
      <c r="J645" s="241"/>
      <c r="K645" s="241"/>
      <c r="L645" s="241"/>
      <c r="M645" s="241"/>
      <c r="N645" s="241"/>
      <c r="O645" s="241"/>
      <c r="P645" s="241"/>
      <c r="Q645" s="241"/>
      <c r="R645" s="241"/>
      <c r="S645" s="241"/>
      <c r="T645" s="241"/>
      <c r="U645" s="241"/>
      <c r="V645" s="241"/>
      <c r="W645" s="241"/>
      <c r="X645" s="241"/>
      <c r="Y645" s="241"/>
      <c r="Z645" s="241"/>
      <c r="AA645" s="241"/>
    </row>
    <row r="646" spans="1:27" ht="13.5" customHeight="1" x14ac:dyDescent="0.3">
      <c r="A646" s="241"/>
      <c r="B646" s="241"/>
      <c r="C646" s="241"/>
      <c r="D646" s="241"/>
      <c r="E646" s="241"/>
      <c r="F646" s="241"/>
      <c r="G646" s="241"/>
      <c r="H646" s="241"/>
      <c r="I646" s="241"/>
      <c r="J646" s="241"/>
      <c r="K646" s="241"/>
      <c r="L646" s="241"/>
      <c r="M646" s="241"/>
      <c r="N646" s="241"/>
      <c r="O646" s="241"/>
      <c r="P646" s="241"/>
      <c r="Q646" s="241"/>
      <c r="R646" s="241"/>
      <c r="S646" s="241"/>
      <c r="T646" s="241"/>
      <c r="U646" s="241"/>
      <c r="V646" s="241"/>
      <c r="W646" s="241"/>
      <c r="X646" s="241"/>
      <c r="Y646" s="241"/>
      <c r="Z646" s="241"/>
      <c r="AA646" s="241"/>
    </row>
    <row r="647" spans="1:27" ht="13.5" customHeight="1" x14ac:dyDescent="0.3">
      <c r="A647" s="241"/>
      <c r="B647" s="241"/>
      <c r="C647" s="241"/>
      <c r="D647" s="241"/>
      <c r="E647" s="241"/>
      <c r="F647" s="241"/>
      <c r="G647" s="241"/>
      <c r="H647" s="241"/>
      <c r="I647" s="241"/>
      <c r="J647" s="241"/>
      <c r="K647" s="241"/>
      <c r="L647" s="241"/>
      <c r="M647" s="241"/>
      <c r="N647" s="241"/>
      <c r="O647" s="241"/>
      <c r="P647" s="241"/>
      <c r="Q647" s="241"/>
      <c r="R647" s="241"/>
      <c r="S647" s="241"/>
      <c r="T647" s="241"/>
      <c r="U647" s="241"/>
      <c r="V647" s="241"/>
      <c r="W647" s="241"/>
      <c r="X647" s="241"/>
      <c r="Y647" s="241"/>
      <c r="Z647" s="241"/>
      <c r="AA647" s="241"/>
    </row>
    <row r="648" spans="1:27" ht="13.5" customHeight="1" x14ac:dyDescent="0.3">
      <c r="A648" s="241"/>
      <c r="B648" s="241"/>
      <c r="C648" s="241"/>
      <c r="D648" s="241"/>
      <c r="E648" s="241"/>
      <c r="F648" s="241"/>
      <c r="G648" s="241"/>
      <c r="H648" s="241"/>
      <c r="I648" s="241"/>
      <c r="J648" s="241"/>
      <c r="K648" s="241"/>
      <c r="L648" s="241"/>
      <c r="M648" s="241"/>
      <c r="N648" s="241"/>
      <c r="O648" s="241"/>
      <c r="P648" s="241"/>
      <c r="Q648" s="241"/>
      <c r="R648" s="241"/>
      <c r="S648" s="241"/>
      <c r="T648" s="241"/>
      <c r="U648" s="241"/>
      <c r="V648" s="241"/>
      <c r="W648" s="241"/>
      <c r="X648" s="241"/>
      <c r="Y648" s="241"/>
      <c r="Z648" s="241"/>
      <c r="AA648" s="241"/>
    </row>
    <row r="649" spans="1:27" ht="13.5" customHeight="1" x14ac:dyDescent="0.3">
      <c r="A649" s="241"/>
      <c r="B649" s="241"/>
      <c r="C649" s="241"/>
      <c r="D649" s="241"/>
      <c r="E649" s="241"/>
      <c r="F649" s="241"/>
      <c r="G649" s="241"/>
      <c r="H649" s="241"/>
      <c r="I649" s="241"/>
      <c r="J649" s="241"/>
      <c r="K649" s="241"/>
      <c r="L649" s="241"/>
      <c r="M649" s="241"/>
      <c r="N649" s="241"/>
      <c r="O649" s="241"/>
      <c r="P649" s="241"/>
      <c r="Q649" s="241"/>
      <c r="R649" s="241"/>
      <c r="S649" s="241"/>
      <c r="T649" s="241"/>
      <c r="U649" s="241"/>
      <c r="V649" s="241"/>
      <c r="W649" s="241"/>
      <c r="X649" s="241"/>
      <c r="Y649" s="241"/>
      <c r="Z649" s="241"/>
      <c r="AA649" s="241"/>
    </row>
    <row r="650" spans="1:27" ht="13.5" customHeight="1" x14ac:dyDescent="0.3">
      <c r="A650" s="241"/>
      <c r="B650" s="241"/>
      <c r="C650" s="241"/>
      <c r="D650" s="241"/>
      <c r="E650" s="241"/>
      <c r="F650" s="241"/>
      <c r="G650" s="241"/>
      <c r="H650" s="241"/>
      <c r="I650" s="241"/>
      <c r="J650" s="241"/>
      <c r="K650" s="241"/>
      <c r="L650" s="241"/>
      <c r="M650" s="241"/>
      <c r="N650" s="241"/>
      <c r="O650" s="241"/>
      <c r="P650" s="241"/>
      <c r="Q650" s="241"/>
      <c r="R650" s="241"/>
      <c r="S650" s="241"/>
      <c r="T650" s="241"/>
      <c r="U650" s="241"/>
      <c r="V650" s="241"/>
      <c r="W650" s="241"/>
      <c r="X650" s="241"/>
      <c r="Y650" s="241"/>
      <c r="Z650" s="241"/>
      <c r="AA650" s="241"/>
    </row>
    <row r="651" spans="1:27" ht="13.5" customHeight="1" x14ac:dyDescent="0.3">
      <c r="A651" s="241"/>
      <c r="B651" s="241"/>
      <c r="C651" s="241"/>
      <c r="D651" s="241"/>
      <c r="E651" s="241"/>
      <c r="F651" s="241"/>
      <c r="G651" s="241"/>
      <c r="H651" s="241"/>
      <c r="I651" s="241"/>
      <c r="J651" s="241"/>
      <c r="K651" s="241"/>
      <c r="L651" s="241"/>
      <c r="M651" s="241"/>
      <c r="N651" s="241"/>
      <c r="O651" s="241"/>
      <c r="P651" s="241"/>
      <c r="Q651" s="241"/>
      <c r="R651" s="241"/>
      <c r="S651" s="241"/>
      <c r="T651" s="241"/>
      <c r="U651" s="241"/>
      <c r="V651" s="241"/>
      <c r="W651" s="241"/>
      <c r="X651" s="241"/>
      <c r="Y651" s="241"/>
      <c r="Z651" s="241"/>
      <c r="AA651" s="241"/>
    </row>
    <row r="652" spans="1:27" ht="13.5" customHeight="1" x14ac:dyDescent="0.3">
      <c r="A652" s="241"/>
      <c r="B652" s="241"/>
      <c r="C652" s="241"/>
      <c r="D652" s="241"/>
      <c r="E652" s="241"/>
      <c r="F652" s="241"/>
      <c r="G652" s="241"/>
      <c r="H652" s="241"/>
      <c r="I652" s="241"/>
      <c r="J652" s="241"/>
      <c r="K652" s="241"/>
      <c r="L652" s="241"/>
      <c r="M652" s="241"/>
      <c r="N652" s="241"/>
      <c r="O652" s="241"/>
      <c r="P652" s="241"/>
      <c r="Q652" s="241"/>
      <c r="R652" s="241"/>
      <c r="S652" s="241"/>
      <c r="T652" s="241"/>
      <c r="U652" s="241"/>
      <c r="V652" s="241"/>
      <c r="W652" s="241"/>
      <c r="X652" s="241"/>
      <c r="Y652" s="241"/>
      <c r="Z652" s="241"/>
      <c r="AA652" s="241"/>
    </row>
    <row r="653" spans="1:27" ht="13.5" customHeight="1" x14ac:dyDescent="0.3">
      <c r="A653" s="241"/>
      <c r="B653" s="241"/>
      <c r="C653" s="241"/>
      <c r="D653" s="241"/>
      <c r="E653" s="241"/>
      <c r="F653" s="241"/>
      <c r="G653" s="241"/>
      <c r="H653" s="241"/>
      <c r="I653" s="241"/>
      <c r="J653" s="241"/>
      <c r="K653" s="241"/>
      <c r="L653" s="241"/>
      <c r="M653" s="241"/>
      <c r="N653" s="241"/>
      <c r="O653" s="241"/>
      <c r="P653" s="241"/>
      <c r="Q653" s="241"/>
      <c r="R653" s="241"/>
      <c r="S653" s="241"/>
      <c r="T653" s="241"/>
      <c r="U653" s="241"/>
      <c r="V653" s="241"/>
      <c r="W653" s="241"/>
      <c r="X653" s="241"/>
      <c r="Y653" s="241"/>
      <c r="Z653" s="241"/>
      <c r="AA653" s="241"/>
    </row>
    <row r="654" spans="1:27" ht="13.5" customHeight="1" x14ac:dyDescent="0.3">
      <c r="A654" s="241"/>
      <c r="B654" s="241"/>
      <c r="C654" s="241"/>
      <c r="D654" s="241"/>
      <c r="E654" s="241"/>
      <c r="F654" s="241"/>
      <c r="G654" s="241"/>
      <c r="H654" s="241"/>
      <c r="I654" s="241"/>
      <c r="J654" s="241"/>
      <c r="K654" s="241"/>
      <c r="L654" s="241"/>
      <c r="M654" s="241"/>
      <c r="N654" s="241"/>
      <c r="O654" s="241"/>
      <c r="P654" s="241"/>
      <c r="Q654" s="241"/>
      <c r="R654" s="241"/>
      <c r="S654" s="241"/>
      <c r="T654" s="241"/>
      <c r="U654" s="241"/>
      <c r="V654" s="241"/>
      <c r="W654" s="241"/>
      <c r="X654" s="241"/>
      <c r="Y654" s="241"/>
      <c r="Z654" s="241"/>
      <c r="AA654" s="241"/>
    </row>
    <row r="655" spans="1:27" ht="13.5" customHeight="1" x14ac:dyDescent="0.3">
      <c r="A655" s="241"/>
      <c r="B655" s="241"/>
      <c r="C655" s="241"/>
      <c r="D655" s="241"/>
      <c r="E655" s="241"/>
      <c r="F655" s="241"/>
      <c r="G655" s="241"/>
      <c r="H655" s="241"/>
      <c r="I655" s="241"/>
      <c r="J655" s="241"/>
      <c r="K655" s="241"/>
      <c r="L655" s="241"/>
      <c r="M655" s="241"/>
      <c r="N655" s="241"/>
      <c r="O655" s="241"/>
      <c r="P655" s="241"/>
      <c r="Q655" s="241"/>
      <c r="R655" s="241"/>
      <c r="S655" s="241"/>
      <c r="T655" s="241"/>
      <c r="U655" s="241"/>
      <c r="V655" s="241"/>
      <c r="W655" s="241"/>
      <c r="X655" s="241"/>
      <c r="Y655" s="241"/>
      <c r="Z655" s="241"/>
      <c r="AA655" s="241"/>
    </row>
    <row r="656" spans="1:27" ht="13.5" customHeight="1" x14ac:dyDescent="0.3">
      <c r="A656" s="241"/>
      <c r="B656" s="241"/>
      <c r="C656" s="241"/>
      <c r="D656" s="241"/>
      <c r="E656" s="241"/>
      <c r="F656" s="241"/>
      <c r="G656" s="241"/>
      <c r="H656" s="241"/>
      <c r="I656" s="241"/>
      <c r="J656" s="241"/>
      <c r="K656" s="241"/>
      <c r="L656" s="241"/>
      <c r="M656" s="241"/>
      <c r="N656" s="241"/>
      <c r="O656" s="241"/>
      <c r="P656" s="241"/>
      <c r="Q656" s="241"/>
      <c r="R656" s="241"/>
      <c r="S656" s="241"/>
      <c r="T656" s="241"/>
      <c r="U656" s="241"/>
      <c r="V656" s="241"/>
      <c r="W656" s="241"/>
      <c r="X656" s="241"/>
      <c r="Y656" s="241"/>
      <c r="Z656" s="241"/>
      <c r="AA656" s="241"/>
    </row>
    <row r="657" spans="1:27" ht="13.5" customHeight="1" x14ac:dyDescent="0.3">
      <c r="A657" s="241"/>
      <c r="B657" s="241"/>
      <c r="C657" s="241"/>
      <c r="D657" s="241"/>
      <c r="E657" s="241"/>
      <c r="F657" s="241"/>
      <c r="G657" s="241"/>
      <c r="H657" s="241"/>
      <c r="I657" s="241"/>
      <c r="J657" s="241"/>
      <c r="K657" s="241"/>
      <c r="L657" s="241"/>
      <c r="M657" s="241"/>
      <c r="N657" s="241"/>
      <c r="O657" s="241"/>
      <c r="P657" s="241"/>
      <c r="Q657" s="241"/>
      <c r="R657" s="241"/>
      <c r="S657" s="241"/>
      <c r="T657" s="241"/>
      <c r="U657" s="241"/>
      <c r="V657" s="241"/>
      <c r="W657" s="241"/>
      <c r="X657" s="241"/>
      <c r="Y657" s="241"/>
      <c r="Z657" s="241"/>
      <c r="AA657" s="241"/>
    </row>
    <row r="658" spans="1:27" ht="13.5" customHeight="1" x14ac:dyDescent="0.3">
      <c r="A658" s="241"/>
      <c r="B658" s="241"/>
      <c r="C658" s="241"/>
      <c r="D658" s="241"/>
      <c r="E658" s="241"/>
      <c r="F658" s="241"/>
      <c r="G658" s="241"/>
      <c r="H658" s="241"/>
      <c r="I658" s="241"/>
      <c r="J658" s="241"/>
      <c r="K658" s="241"/>
      <c r="L658" s="241"/>
      <c r="M658" s="241"/>
      <c r="N658" s="241"/>
      <c r="O658" s="241"/>
      <c r="P658" s="241"/>
      <c r="Q658" s="241"/>
      <c r="R658" s="241"/>
      <c r="S658" s="241"/>
      <c r="T658" s="241"/>
      <c r="U658" s="241"/>
      <c r="V658" s="241"/>
      <c r="W658" s="241"/>
      <c r="X658" s="241"/>
      <c r="Y658" s="241"/>
      <c r="Z658" s="241"/>
      <c r="AA658" s="241"/>
    </row>
    <row r="659" spans="1:27" ht="13.5" customHeight="1" x14ac:dyDescent="0.3">
      <c r="A659" s="241"/>
      <c r="B659" s="241"/>
      <c r="C659" s="241"/>
      <c r="D659" s="241"/>
      <c r="E659" s="241"/>
      <c r="F659" s="241"/>
      <c r="G659" s="241"/>
      <c r="H659" s="241"/>
      <c r="I659" s="241"/>
      <c r="J659" s="241"/>
      <c r="K659" s="241"/>
      <c r="L659" s="241"/>
      <c r="M659" s="241"/>
      <c r="N659" s="241"/>
      <c r="O659" s="241"/>
      <c r="P659" s="241"/>
      <c r="Q659" s="241"/>
      <c r="R659" s="241"/>
      <c r="S659" s="241"/>
      <c r="T659" s="241"/>
      <c r="U659" s="241"/>
      <c r="V659" s="241"/>
      <c r="W659" s="241"/>
      <c r="X659" s="241"/>
      <c r="Y659" s="241"/>
      <c r="Z659" s="241"/>
      <c r="AA659" s="241"/>
    </row>
    <row r="660" spans="1:27" ht="13.5" customHeight="1" x14ac:dyDescent="0.3">
      <c r="A660" s="241"/>
      <c r="B660" s="241"/>
      <c r="C660" s="241"/>
      <c r="D660" s="241"/>
      <c r="E660" s="241"/>
      <c r="F660" s="241"/>
      <c r="G660" s="241"/>
      <c r="H660" s="241"/>
      <c r="I660" s="241"/>
      <c r="J660" s="241"/>
      <c r="K660" s="241"/>
      <c r="L660" s="241"/>
      <c r="M660" s="241"/>
      <c r="N660" s="241"/>
      <c r="O660" s="241"/>
      <c r="P660" s="241"/>
      <c r="Q660" s="241"/>
      <c r="R660" s="241"/>
      <c r="S660" s="241"/>
      <c r="T660" s="241"/>
      <c r="U660" s="241"/>
      <c r="V660" s="241"/>
      <c r="W660" s="241"/>
      <c r="X660" s="241"/>
      <c r="Y660" s="241"/>
      <c r="Z660" s="241"/>
      <c r="AA660" s="241"/>
    </row>
    <row r="661" spans="1:27" ht="13.5" customHeight="1" x14ac:dyDescent="0.3">
      <c r="A661" s="241"/>
      <c r="B661" s="241"/>
      <c r="C661" s="241"/>
      <c r="D661" s="241"/>
      <c r="E661" s="241"/>
      <c r="F661" s="241"/>
      <c r="G661" s="241"/>
      <c r="H661" s="241"/>
      <c r="I661" s="241"/>
      <c r="J661" s="241"/>
      <c r="K661" s="241"/>
      <c r="L661" s="241"/>
      <c r="M661" s="241"/>
      <c r="N661" s="241"/>
      <c r="O661" s="241"/>
      <c r="P661" s="241"/>
      <c r="Q661" s="241"/>
      <c r="R661" s="241"/>
      <c r="S661" s="241"/>
      <c r="T661" s="241"/>
      <c r="U661" s="241"/>
      <c r="V661" s="241"/>
      <c r="W661" s="241"/>
      <c r="X661" s="241"/>
      <c r="Y661" s="241"/>
      <c r="Z661" s="241"/>
      <c r="AA661" s="241"/>
    </row>
    <row r="662" spans="1:27" ht="13.5" customHeight="1" x14ac:dyDescent="0.3">
      <c r="A662" s="241"/>
      <c r="B662" s="241"/>
      <c r="C662" s="241"/>
      <c r="D662" s="241"/>
      <c r="E662" s="241"/>
      <c r="F662" s="241"/>
      <c r="G662" s="241"/>
      <c r="H662" s="241"/>
      <c r="I662" s="241"/>
      <c r="J662" s="241"/>
      <c r="K662" s="241"/>
      <c r="L662" s="241"/>
      <c r="M662" s="241"/>
      <c r="N662" s="241"/>
      <c r="O662" s="241"/>
      <c r="P662" s="241"/>
      <c r="Q662" s="241"/>
      <c r="R662" s="241"/>
      <c r="S662" s="241"/>
      <c r="T662" s="241"/>
      <c r="U662" s="241"/>
      <c r="V662" s="241"/>
      <c r="W662" s="241"/>
      <c r="X662" s="241"/>
      <c r="Y662" s="241"/>
      <c r="Z662" s="241"/>
      <c r="AA662" s="241"/>
    </row>
    <row r="663" spans="1:27" ht="13.5" customHeight="1" x14ac:dyDescent="0.3">
      <c r="A663" s="241"/>
      <c r="B663" s="241"/>
      <c r="C663" s="241"/>
      <c r="D663" s="241"/>
      <c r="E663" s="241"/>
      <c r="F663" s="241"/>
      <c r="G663" s="241"/>
      <c r="H663" s="241"/>
      <c r="I663" s="241"/>
      <c r="J663" s="241"/>
      <c r="K663" s="241"/>
      <c r="L663" s="241"/>
      <c r="M663" s="241"/>
      <c r="N663" s="241"/>
      <c r="O663" s="241"/>
      <c r="P663" s="241"/>
      <c r="Q663" s="241"/>
      <c r="R663" s="241"/>
      <c r="S663" s="241"/>
      <c r="T663" s="241"/>
      <c r="U663" s="241"/>
      <c r="V663" s="241"/>
      <c r="W663" s="241"/>
      <c r="X663" s="241"/>
      <c r="Y663" s="241"/>
      <c r="Z663" s="241"/>
      <c r="AA663" s="241"/>
    </row>
    <row r="664" spans="1:27" ht="13.5" customHeight="1" x14ac:dyDescent="0.3">
      <c r="A664" s="241"/>
      <c r="B664" s="241"/>
      <c r="C664" s="241"/>
      <c r="D664" s="241"/>
      <c r="E664" s="241"/>
      <c r="F664" s="241"/>
      <c r="G664" s="241"/>
      <c r="H664" s="241"/>
      <c r="I664" s="241"/>
      <c r="J664" s="241"/>
      <c r="K664" s="241"/>
      <c r="L664" s="241"/>
      <c r="M664" s="241"/>
      <c r="N664" s="241"/>
      <c r="O664" s="241"/>
      <c r="P664" s="241"/>
      <c r="Q664" s="241"/>
      <c r="R664" s="241"/>
      <c r="S664" s="241"/>
      <c r="T664" s="241"/>
      <c r="U664" s="241"/>
      <c r="V664" s="241"/>
      <c r="W664" s="241"/>
      <c r="X664" s="241"/>
      <c r="Y664" s="241"/>
      <c r="Z664" s="241"/>
      <c r="AA664" s="241"/>
    </row>
    <row r="665" spans="1:27" ht="13.5" customHeight="1" x14ac:dyDescent="0.3">
      <c r="A665" s="241"/>
      <c r="B665" s="241"/>
      <c r="C665" s="241"/>
      <c r="D665" s="241"/>
      <c r="E665" s="241"/>
      <c r="F665" s="241"/>
      <c r="G665" s="241"/>
      <c r="H665" s="241"/>
      <c r="I665" s="241"/>
      <c r="J665" s="241"/>
      <c r="K665" s="241"/>
      <c r="L665" s="241"/>
      <c r="M665" s="241"/>
      <c r="N665" s="241"/>
      <c r="O665" s="241"/>
      <c r="P665" s="241"/>
      <c r="Q665" s="241"/>
      <c r="R665" s="241"/>
      <c r="S665" s="241"/>
      <c r="T665" s="241"/>
      <c r="U665" s="241"/>
      <c r="V665" s="241"/>
      <c r="W665" s="241"/>
      <c r="X665" s="241"/>
      <c r="Y665" s="241"/>
      <c r="Z665" s="241"/>
      <c r="AA665" s="241"/>
    </row>
    <row r="666" spans="1:27" ht="13.5" customHeight="1" x14ac:dyDescent="0.3">
      <c r="A666" s="241"/>
      <c r="B666" s="241"/>
      <c r="C666" s="241"/>
      <c r="D666" s="241"/>
      <c r="E666" s="241"/>
      <c r="F666" s="241"/>
      <c r="G666" s="241"/>
      <c r="H666" s="241"/>
      <c r="I666" s="241"/>
      <c r="J666" s="241"/>
      <c r="K666" s="241"/>
      <c r="L666" s="241"/>
      <c r="M666" s="241"/>
      <c r="N666" s="241"/>
      <c r="O666" s="241"/>
      <c r="P666" s="241"/>
      <c r="Q666" s="241"/>
      <c r="R666" s="241"/>
      <c r="S666" s="241"/>
      <c r="T666" s="241"/>
      <c r="U666" s="241"/>
      <c r="V666" s="241"/>
      <c r="W666" s="241"/>
      <c r="X666" s="241"/>
      <c r="Y666" s="241"/>
      <c r="Z666" s="241"/>
      <c r="AA666" s="241"/>
    </row>
    <row r="667" spans="1:27" ht="13.5" customHeight="1" x14ac:dyDescent="0.3">
      <c r="A667" s="241"/>
      <c r="B667" s="241"/>
      <c r="C667" s="241"/>
      <c r="D667" s="241"/>
      <c r="E667" s="241"/>
      <c r="F667" s="241"/>
      <c r="G667" s="241"/>
      <c r="H667" s="241"/>
      <c r="I667" s="241"/>
      <c r="J667" s="241"/>
      <c r="K667" s="241"/>
      <c r="L667" s="241"/>
      <c r="M667" s="241"/>
      <c r="N667" s="241"/>
      <c r="O667" s="241"/>
      <c r="P667" s="241"/>
      <c r="Q667" s="241"/>
      <c r="R667" s="241"/>
      <c r="S667" s="241"/>
      <c r="T667" s="241"/>
      <c r="U667" s="241"/>
      <c r="V667" s="241"/>
      <c r="W667" s="241"/>
      <c r="X667" s="241"/>
      <c r="Y667" s="241"/>
      <c r="Z667" s="241"/>
      <c r="AA667" s="241"/>
    </row>
    <row r="668" spans="1:27" ht="13.5" customHeight="1" x14ac:dyDescent="0.3">
      <c r="A668" s="241"/>
      <c r="B668" s="241"/>
      <c r="C668" s="241"/>
      <c r="D668" s="241"/>
      <c r="E668" s="241"/>
      <c r="F668" s="241"/>
      <c r="G668" s="241"/>
      <c r="H668" s="241"/>
      <c r="I668" s="241"/>
      <c r="J668" s="241"/>
      <c r="K668" s="241"/>
      <c r="L668" s="241"/>
      <c r="M668" s="241"/>
      <c r="N668" s="241"/>
      <c r="O668" s="241"/>
      <c r="P668" s="241"/>
      <c r="Q668" s="241"/>
      <c r="R668" s="241"/>
      <c r="S668" s="241"/>
      <c r="T668" s="241"/>
      <c r="U668" s="241"/>
      <c r="V668" s="241"/>
      <c r="W668" s="241"/>
      <c r="X668" s="241"/>
      <c r="Y668" s="241"/>
      <c r="Z668" s="241"/>
      <c r="AA668" s="241"/>
    </row>
    <row r="669" spans="1:27" ht="13.5" customHeight="1" x14ac:dyDescent="0.3">
      <c r="A669" s="241"/>
      <c r="B669" s="241"/>
      <c r="C669" s="241"/>
      <c r="D669" s="241"/>
      <c r="E669" s="241"/>
      <c r="F669" s="241"/>
      <c r="G669" s="241"/>
      <c r="H669" s="241"/>
      <c r="I669" s="241"/>
      <c r="J669" s="241"/>
      <c r="K669" s="241"/>
      <c r="L669" s="241"/>
      <c r="M669" s="241"/>
      <c r="N669" s="241"/>
      <c r="O669" s="241"/>
      <c r="P669" s="241"/>
      <c r="Q669" s="241"/>
      <c r="R669" s="241"/>
      <c r="S669" s="241"/>
      <c r="T669" s="241"/>
      <c r="U669" s="241"/>
      <c r="V669" s="241"/>
      <c r="W669" s="241"/>
      <c r="X669" s="241"/>
      <c r="Y669" s="241"/>
      <c r="Z669" s="241"/>
      <c r="AA669" s="241"/>
    </row>
    <row r="670" spans="1:27" ht="13.5" customHeight="1" x14ac:dyDescent="0.3">
      <c r="A670" s="241"/>
      <c r="B670" s="241"/>
      <c r="C670" s="241"/>
      <c r="D670" s="241"/>
      <c r="E670" s="241"/>
      <c r="F670" s="241"/>
      <c r="G670" s="241"/>
      <c r="H670" s="241"/>
      <c r="I670" s="241"/>
      <c r="J670" s="241"/>
      <c r="K670" s="241"/>
      <c r="L670" s="241"/>
      <c r="M670" s="241"/>
      <c r="N670" s="241"/>
      <c r="O670" s="241"/>
      <c r="P670" s="241"/>
      <c r="Q670" s="241"/>
      <c r="R670" s="241"/>
      <c r="S670" s="241"/>
      <c r="T670" s="241"/>
      <c r="U670" s="241"/>
      <c r="V670" s="241"/>
      <c r="W670" s="241"/>
      <c r="X670" s="241"/>
      <c r="Y670" s="241"/>
      <c r="Z670" s="241"/>
      <c r="AA670" s="241"/>
    </row>
    <row r="671" spans="1:27" ht="13.5" customHeight="1" x14ac:dyDescent="0.3">
      <c r="A671" s="241"/>
      <c r="B671" s="241"/>
      <c r="C671" s="241"/>
      <c r="D671" s="241"/>
      <c r="E671" s="241"/>
      <c r="F671" s="241"/>
      <c r="G671" s="241"/>
      <c r="H671" s="241"/>
      <c r="I671" s="241"/>
      <c r="J671" s="241"/>
      <c r="K671" s="241"/>
      <c r="L671" s="241"/>
      <c r="M671" s="241"/>
      <c r="N671" s="241"/>
      <c r="O671" s="241"/>
      <c r="P671" s="241"/>
      <c r="Q671" s="241"/>
      <c r="R671" s="241"/>
      <c r="S671" s="241"/>
      <c r="T671" s="241"/>
      <c r="U671" s="241"/>
      <c r="V671" s="241"/>
      <c r="W671" s="241"/>
      <c r="X671" s="241"/>
      <c r="Y671" s="241"/>
      <c r="Z671" s="241"/>
      <c r="AA671" s="241"/>
    </row>
    <row r="672" spans="1:27" ht="13.5" customHeight="1" x14ac:dyDescent="0.3">
      <c r="A672" s="241"/>
      <c r="B672" s="241"/>
      <c r="C672" s="241"/>
      <c r="D672" s="241"/>
      <c r="E672" s="241"/>
      <c r="F672" s="241"/>
      <c r="G672" s="241"/>
      <c r="H672" s="241"/>
      <c r="I672" s="241"/>
      <c r="J672" s="241"/>
      <c r="K672" s="241"/>
      <c r="L672" s="241"/>
      <c r="M672" s="241"/>
      <c r="N672" s="241"/>
      <c r="O672" s="241"/>
      <c r="P672" s="241"/>
      <c r="Q672" s="241"/>
      <c r="R672" s="241"/>
      <c r="S672" s="241"/>
      <c r="T672" s="241"/>
      <c r="U672" s="241"/>
      <c r="V672" s="241"/>
      <c r="W672" s="241"/>
      <c r="X672" s="241"/>
      <c r="Y672" s="241"/>
      <c r="Z672" s="241"/>
      <c r="AA672" s="241"/>
    </row>
    <row r="673" spans="1:27" ht="13.5" customHeight="1" x14ac:dyDescent="0.3">
      <c r="A673" s="241"/>
      <c r="B673" s="241"/>
      <c r="C673" s="241"/>
      <c r="D673" s="241"/>
      <c r="E673" s="241"/>
      <c r="F673" s="241"/>
      <c r="G673" s="241"/>
      <c r="H673" s="241"/>
      <c r="I673" s="241"/>
      <c r="J673" s="241"/>
      <c r="K673" s="241"/>
      <c r="L673" s="241"/>
      <c r="M673" s="241"/>
      <c r="N673" s="241"/>
      <c r="O673" s="241"/>
      <c r="P673" s="241"/>
      <c r="Q673" s="241"/>
      <c r="R673" s="241"/>
      <c r="S673" s="241"/>
      <c r="T673" s="241"/>
      <c r="U673" s="241"/>
      <c r="V673" s="241"/>
      <c r="W673" s="241"/>
      <c r="X673" s="241"/>
      <c r="Y673" s="241"/>
      <c r="Z673" s="241"/>
      <c r="AA673" s="241"/>
    </row>
    <row r="674" spans="1:27" ht="13.5" customHeight="1" x14ac:dyDescent="0.3">
      <c r="A674" s="241"/>
      <c r="B674" s="241"/>
      <c r="C674" s="241"/>
      <c r="D674" s="241"/>
      <c r="E674" s="241"/>
      <c r="F674" s="241"/>
      <c r="G674" s="241"/>
      <c r="H674" s="241"/>
      <c r="I674" s="241"/>
      <c r="J674" s="241"/>
      <c r="K674" s="241"/>
      <c r="L674" s="241"/>
      <c r="M674" s="241"/>
      <c r="N674" s="241"/>
      <c r="O674" s="241"/>
      <c r="P674" s="241"/>
      <c r="Q674" s="241"/>
      <c r="R674" s="241"/>
      <c r="S674" s="241"/>
      <c r="T674" s="241"/>
      <c r="U674" s="241"/>
      <c r="V674" s="241"/>
      <c r="W674" s="241"/>
      <c r="X674" s="241"/>
      <c r="Y674" s="241"/>
      <c r="Z674" s="241"/>
      <c r="AA674" s="241"/>
    </row>
    <row r="675" spans="1:27" ht="13.5" customHeight="1" x14ac:dyDescent="0.3">
      <c r="A675" s="241"/>
      <c r="B675" s="241"/>
      <c r="C675" s="241"/>
      <c r="D675" s="241"/>
      <c r="E675" s="241"/>
      <c r="F675" s="241"/>
      <c r="G675" s="241"/>
      <c r="H675" s="241"/>
      <c r="I675" s="241"/>
      <c r="J675" s="241"/>
      <c r="K675" s="241"/>
      <c r="L675" s="241"/>
      <c r="M675" s="241"/>
      <c r="N675" s="241"/>
      <c r="O675" s="241"/>
      <c r="P675" s="241"/>
      <c r="Q675" s="241"/>
      <c r="R675" s="241"/>
      <c r="S675" s="241"/>
      <c r="T675" s="241"/>
      <c r="U675" s="241"/>
      <c r="V675" s="241"/>
      <c r="W675" s="241"/>
      <c r="X675" s="241"/>
      <c r="Y675" s="241"/>
      <c r="Z675" s="241"/>
      <c r="AA675" s="241"/>
    </row>
    <row r="676" spans="1:27" ht="13.5" customHeight="1" x14ac:dyDescent="0.3">
      <c r="A676" s="241"/>
      <c r="B676" s="241"/>
      <c r="C676" s="241"/>
      <c r="D676" s="241"/>
      <c r="E676" s="241"/>
      <c r="F676" s="241"/>
      <c r="G676" s="241"/>
      <c r="H676" s="241"/>
      <c r="I676" s="241"/>
      <c r="J676" s="241"/>
      <c r="K676" s="241"/>
      <c r="L676" s="241"/>
      <c r="M676" s="241"/>
      <c r="N676" s="241"/>
      <c r="O676" s="241"/>
      <c r="P676" s="241"/>
      <c r="Q676" s="241"/>
      <c r="R676" s="241"/>
      <c r="S676" s="241"/>
      <c r="T676" s="241"/>
      <c r="U676" s="241"/>
      <c r="V676" s="241"/>
      <c r="W676" s="241"/>
      <c r="X676" s="241"/>
      <c r="Y676" s="241"/>
      <c r="Z676" s="241"/>
      <c r="AA676" s="241"/>
    </row>
    <row r="677" spans="1:27" ht="13.5" customHeight="1" x14ac:dyDescent="0.3">
      <c r="A677" s="241"/>
      <c r="B677" s="241"/>
      <c r="C677" s="241"/>
      <c r="D677" s="241"/>
      <c r="E677" s="241"/>
      <c r="F677" s="241"/>
      <c r="G677" s="241"/>
      <c r="H677" s="241"/>
      <c r="I677" s="241"/>
      <c r="J677" s="241"/>
      <c r="K677" s="241"/>
      <c r="L677" s="241"/>
      <c r="M677" s="241"/>
      <c r="N677" s="241"/>
      <c r="O677" s="241"/>
      <c r="P677" s="241"/>
      <c r="Q677" s="241"/>
      <c r="R677" s="241"/>
      <c r="S677" s="241"/>
      <c r="T677" s="241"/>
      <c r="U677" s="241"/>
      <c r="V677" s="241"/>
      <c r="W677" s="241"/>
      <c r="X677" s="241"/>
      <c r="Y677" s="241"/>
      <c r="Z677" s="241"/>
      <c r="AA677" s="241"/>
    </row>
    <row r="678" spans="1:27" ht="13.5" customHeight="1" x14ac:dyDescent="0.3">
      <c r="A678" s="241"/>
      <c r="B678" s="241"/>
      <c r="C678" s="241"/>
      <c r="D678" s="241"/>
      <c r="E678" s="241"/>
      <c r="F678" s="241"/>
      <c r="G678" s="241"/>
      <c r="H678" s="241"/>
      <c r="I678" s="241"/>
      <c r="J678" s="241"/>
      <c r="K678" s="241"/>
      <c r="L678" s="241"/>
      <c r="M678" s="241"/>
      <c r="N678" s="241"/>
      <c r="O678" s="241"/>
      <c r="P678" s="241"/>
      <c r="Q678" s="241"/>
      <c r="R678" s="241"/>
      <c r="S678" s="241"/>
      <c r="T678" s="241"/>
      <c r="U678" s="241"/>
      <c r="V678" s="241"/>
      <c r="W678" s="241"/>
      <c r="X678" s="241"/>
      <c r="Y678" s="241"/>
      <c r="Z678" s="241"/>
      <c r="AA678" s="241"/>
    </row>
    <row r="679" spans="1:27" ht="13.5" customHeight="1" x14ac:dyDescent="0.3">
      <c r="A679" s="241"/>
      <c r="B679" s="241"/>
      <c r="C679" s="241"/>
      <c r="D679" s="241"/>
      <c r="E679" s="241"/>
      <c r="F679" s="241"/>
      <c r="G679" s="241"/>
      <c r="H679" s="241"/>
      <c r="I679" s="241"/>
      <c r="J679" s="241"/>
      <c r="K679" s="241"/>
      <c r="L679" s="241"/>
      <c r="M679" s="241"/>
      <c r="N679" s="241"/>
      <c r="O679" s="241"/>
      <c r="P679" s="241"/>
      <c r="Q679" s="241"/>
      <c r="R679" s="241"/>
      <c r="S679" s="241"/>
      <c r="T679" s="241"/>
      <c r="U679" s="241"/>
      <c r="V679" s="241"/>
      <c r="W679" s="241"/>
      <c r="X679" s="241"/>
      <c r="Y679" s="241"/>
      <c r="Z679" s="241"/>
      <c r="AA679" s="241"/>
    </row>
    <row r="680" spans="1:27" ht="13.5" customHeight="1" x14ac:dyDescent="0.3">
      <c r="A680" s="241"/>
      <c r="B680" s="241"/>
      <c r="C680" s="241"/>
      <c r="D680" s="241"/>
      <c r="E680" s="241"/>
      <c r="F680" s="241"/>
      <c r="G680" s="241"/>
      <c r="H680" s="241"/>
      <c r="I680" s="241"/>
      <c r="J680" s="241"/>
      <c r="K680" s="241"/>
      <c r="L680" s="241"/>
      <c r="M680" s="241"/>
      <c r="N680" s="241"/>
      <c r="O680" s="241"/>
      <c r="P680" s="241"/>
      <c r="Q680" s="241"/>
      <c r="R680" s="241"/>
      <c r="S680" s="241"/>
      <c r="T680" s="241"/>
      <c r="U680" s="241"/>
      <c r="V680" s="241"/>
      <c r="W680" s="241"/>
      <c r="X680" s="241"/>
      <c r="Y680" s="241"/>
      <c r="Z680" s="241"/>
      <c r="AA680" s="241"/>
    </row>
    <row r="681" spans="1:27" ht="13.5" customHeight="1" x14ac:dyDescent="0.3">
      <c r="A681" s="241"/>
      <c r="B681" s="241"/>
      <c r="C681" s="241"/>
      <c r="D681" s="241"/>
      <c r="E681" s="241"/>
      <c r="F681" s="241"/>
      <c r="G681" s="241"/>
      <c r="H681" s="241"/>
      <c r="I681" s="241"/>
      <c r="J681" s="241"/>
      <c r="K681" s="241"/>
      <c r="L681" s="241"/>
      <c r="M681" s="241"/>
      <c r="N681" s="241"/>
      <c r="O681" s="241"/>
      <c r="P681" s="241"/>
      <c r="Q681" s="241"/>
      <c r="R681" s="241"/>
      <c r="S681" s="241"/>
      <c r="T681" s="241"/>
      <c r="U681" s="241"/>
      <c r="V681" s="241"/>
      <c r="W681" s="241"/>
      <c r="X681" s="241"/>
      <c r="Y681" s="241"/>
      <c r="Z681" s="241"/>
      <c r="AA681" s="241"/>
    </row>
    <row r="682" spans="1:27" ht="13.5" customHeight="1" x14ac:dyDescent="0.3">
      <c r="A682" s="241"/>
      <c r="B682" s="241"/>
      <c r="C682" s="241"/>
      <c r="D682" s="241"/>
      <c r="E682" s="241"/>
      <c r="F682" s="241"/>
      <c r="G682" s="241"/>
      <c r="H682" s="241"/>
      <c r="I682" s="241"/>
      <c r="J682" s="241"/>
      <c r="K682" s="241"/>
      <c r="L682" s="241"/>
      <c r="M682" s="241"/>
      <c r="N682" s="241"/>
      <c r="O682" s="241"/>
      <c r="P682" s="241"/>
      <c r="Q682" s="241"/>
      <c r="R682" s="241"/>
      <c r="S682" s="241"/>
      <c r="T682" s="241"/>
      <c r="U682" s="241"/>
      <c r="V682" s="241"/>
      <c r="W682" s="241"/>
      <c r="X682" s="241"/>
      <c r="Y682" s="241"/>
      <c r="Z682" s="241"/>
      <c r="AA682" s="241"/>
    </row>
    <row r="683" spans="1:27" ht="13.5" customHeight="1" x14ac:dyDescent="0.3">
      <c r="A683" s="241"/>
      <c r="B683" s="241"/>
      <c r="C683" s="241"/>
      <c r="D683" s="241"/>
      <c r="E683" s="241"/>
      <c r="F683" s="241"/>
      <c r="G683" s="241"/>
      <c r="H683" s="241"/>
      <c r="I683" s="241"/>
      <c r="J683" s="241"/>
      <c r="K683" s="241"/>
      <c r="L683" s="241"/>
      <c r="M683" s="241"/>
      <c r="N683" s="241"/>
      <c r="O683" s="241"/>
      <c r="P683" s="241"/>
      <c r="Q683" s="241"/>
      <c r="R683" s="241"/>
      <c r="S683" s="241"/>
      <c r="T683" s="241"/>
      <c r="U683" s="241"/>
      <c r="V683" s="241"/>
      <c r="W683" s="241"/>
      <c r="X683" s="241"/>
      <c r="Y683" s="241"/>
      <c r="Z683" s="241"/>
      <c r="AA683" s="241"/>
    </row>
    <row r="684" spans="1:27" ht="13.5" customHeight="1" x14ac:dyDescent="0.3">
      <c r="A684" s="241"/>
      <c r="B684" s="241"/>
      <c r="C684" s="241"/>
      <c r="D684" s="241"/>
      <c r="E684" s="241"/>
      <c r="F684" s="241"/>
      <c r="G684" s="241"/>
      <c r="H684" s="241"/>
      <c r="I684" s="241"/>
      <c r="J684" s="241"/>
      <c r="K684" s="241"/>
      <c r="L684" s="241"/>
      <c r="M684" s="241"/>
      <c r="N684" s="241"/>
      <c r="O684" s="241"/>
      <c r="P684" s="241"/>
      <c r="Q684" s="241"/>
      <c r="R684" s="241"/>
      <c r="S684" s="241"/>
      <c r="T684" s="241"/>
      <c r="U684" s="241"/>
      <c r="V684" s="241"/>
      <c r="W684" s="241"/>
      <c r="X684" s="241"/>
      <c r="Y684" s="241"/>
      <c r="Z684" s="241"/>
      <c r="AA684" s="241"/>
    </row>
    <row r="685" spans="1:27" ht="13.5" customHeight="1" x14ac:dyDescent="0.3">
      <c r="A685" s="241"/>
      <c r="B685" s="241"/>
      <c r="C685" s="241"/>
      <c r="D685" s="241"/>
      <c r="E685" s="241"/>
      <c r="F685" s="241"/>
      <c r="G685" s="241"/>
      <c r="H685" s="241"/>
      <c r="I685" s="241"/>
      <c r="J685" s="241"/>
      <c r="K685" s="241"/>
      <c r="L685" s="241"/>
      <c r="M685" s="241"/>
      <c r="N685" s="241"/>
      <c r="O685" s="241"/>
      <c r="P685" s="241"/>
      <c r="Q685" s="241"/>
      <c r="R685" s="241"/>
      <c r="S685" s="241"/>
      <c r="T685" s="241"/>
      <c r="U685" s="241"/>
      <c r="V685" s="241"/>
      <c r="W685" s="241"/>
      <c r="X685" s="241"/>
      <c r="Y685" s="241"/>
      <c r="Z685" s="241"/>
      <c r="AA685" s="241"/>
    </row>
    <row r="686" spans="1:27" ht="13.5" customHeight="1" x14ac:dyDescent="0.3">
      <c r="A686" s="241"/>
      <c r="B686" s="241"/>
      <c r="C686" s="241"/>
      <c r="D686" s="241"/>
      <c r="E686" s="241"/>
      <c r="F686" s="241"/>
      <c r="G686" s="241"/>
      <c r="H686" s="241"/>
      <c r="I686" s="241"/>
      <c r="J686" s="241"/>
      <c r="K686" s="241"/>
      <c r="L686" s="241"/>
      <c r="M686" s="241"/>
      <c r="N686" s="241"/>
      <c r="O686" s="241"/>
      <c r="P686" s="241"/>
      <c r="Q686" s="241"/>
      <c r="R686" s="241"/>
      <c r="S686" s="241"/>
      <c r="T686" s="241"/>
      <c r="U686" s="241"/>
      <c r="V686" s="241"/>
      <c r="W686" s="241"/>
      <c r="X686" s="241"/>
      <c r="Y686" s="241"/>
      <c r="Z686" s="241"/>
      <c r="AA686" s="241"/>
    </row>
    <row r="687" spans="1:27" ht="13.5" customHeight="1" x14ac:dyDescent="0.3">
      <c r="A687" s="241"/>
      <c r="B687" s="241"/>
      <c r="C687" s="241"/>
      <c r="D687" s="241"/>
      <c r="E687" s="241"/>
      <c r="F687" s="241"/>
      <c r="G687" s="241"/>
      <c r="H687" s="241"/>
      <c r="I687" s="241"/>
      <c r="J687" s="241"/>
      <c r="K687" s="241"/>
      <c r="L687" s="241"/>
      <c r="M687" s="241"/>
      <c r="N687" s="241"/>
      <c r="O687" s="241"/>
      <c r="P687" s="241"/>
      <c r="Q687" s="241"/>
      <c r="R687" s="241"/>
      <c r="S687" s="241"/>
      <c r="T687" s="241"/>
      <c r="U687" s="241"/>
      <c r="V687" s="241"/>
      <c r="W687" s="241"/>
      <c r="X687" s="241"/>
      <c r="Y687" s="241"/>
      <c r="Z687" s="241"/>
      <c r="AA687" s="241"/>
    </row>
    <row r="688" spans="1:27" ht="13.5" customHeight="1" x14ac:dyDescent="0.3">
      <c r="A688" s="241"/>
      <c r="B688" s="241"/>
      <c r="C688" s="241"/>
      <c r="D688" s="241"/>
      <c r="E688" s="241"/>
      <c r="F688" s="241"/>
      <c r="G688" s="241"/>
      <c r="H688" s="241"/>
      <c r="I688" s="241"/>
      <c r="J688" s="241"/>
      <c r="K688" s="241"/>
      <c r="L688" s="241"/>
      <c r="M688" s="241"/>
      <c r="N688" s="241"/>
      <c r="O688" s="241"/>
      <c r="P688" s="241"/>
      <c r="Q688" s="241"/>
      <c r="R688" s="241"/>
      <c r="S688" s="241"/>
      <c r="T688" s="241"/>
      <c r="U688" s="241"/>
      <c r="V688" s="241"/>
      <c r="W688" s="241"/>
      <c r="X688" s="241"/>
      <c r="Y688" s="241"/>
      <c r="Z688" s="241"/>
      <c r="AA688" s="241"/>
    </row>
    <row r="689" spans="1:27" ht="13.5" customHeight="1" x14ac:dyDescent="0.3">
      <c r="A689" s="241"/>
      <c r="B689" s="241"/>
      <c r="C689" s="241"/>
      <c r="D689" s="241"/>
      <c r="E689" s="241"/>
      <c r="F689" s="241"/>
      <c r="G689" s="241"/>
      <c r="H689" s="241"/>
      <c r="I689" s="241"/>
      <c r="J689" s="241"/>
      <c r="K689" s="241"/>
      <c r="L689" s="241"/>
      <c r="M689" s="241"/>
      <c r="N689" s="241"/>
      <c r="O689" s="241"/>
      <c r="P689" s="241"/>
      <c r="Q689" s="241"/>
      <c r="R689" s="241"/>
      <c r="S689" s="241"/>
      <c r="T689" s="241"/>
      <c r="U689" s="241"/>
      <c r="V689" s="241"/>
      <c r="W689" s="241"/>
      <c r="X689" s="241"/>
      <c r="Y689" s="241"/>
      <c r="Z689" s="241"/>
      <c r="AA689" s="241"/>
    </row>
    <row r="690" spans="1:27" ht="13.5" customHeight="1" x14ac:dyDescent="0.3">
      <c r="A690" s="241"/>
      <c r="B690" s="241"/>
      <c r="C690" s="241"/>
      <c r="D690" s="241"/>
      <c r="E690" s="241"/>
      <c r="F690" s="241"/>
      <c r="G690" s="241"/>
      <c r="H690" s="241"/>
      <c r="I690" s="241"/>
      <c r="J690" s="241"/>
      <c r="K690" s="241"/>
      <c r="L690" s="241"/>
      <c r="M690" s="241"/>
      <c r="N690" s="241"/>
      <c r="O690" s="241"/>
      <c r="P690" s="241"/>
      <c r="Q690" s="241"/>
      <c r="R690" s="241"/>
      <c r="S690" s="241"/>
      <c r="T690" s="241"/>
      <c r="U690" s="241"/>
      <c r="V690" s="241"/>
      <c r="W690" s="241"/>
      <c r="X690" s="241"/>
      <c r="Y690" s="241"/>
      <c r="Z690" s="241"/>
      <c r="AA690" s="241"/>
    </row>
    <row r="691" spans="1:27" ht="13.5" customHeight="1" x14ac:dyDescent="0.3">
      <c r="A691" s="241"/>
      <c r="B691" s="241"/>
      <c r="C691" s="241"/>
      <c r="D691" s="241"/>
      <c r="E691" s="241"/>
      <c r="F691" s="241"/>
      <c r="G691" s="241"/>
      <c r="H691" s="241"/>
      <c r="I691" s="241"/>
      <c r="J691" s="241"/>
      <c r="K691" s="241"/>
      <c r="L691" s="241"/>
      <c r="M691" s="241"/>
      <c r="N691" s="241"/>
      <c r="O691" s="241"/>
      <c r="P691" s="241"/>
      <c r="Q691" s="241"/>
      <c r="R691" s="241"/>
      <c r="S691" s="241"/>
      <c r="T691" s="241"/>
      <c r="U691" s="241"/>
      <c r="V691" s="241"/>
      <c r="W691" s="241"/>
      <c r="X691" s="241"/>
      <c r="Y691" s="241"/>
      <c r="Z691" s="241"/>
      <c r="AA691" s="241"/>
    </row>
    <row r="692" spans="1:27" ht="13.5" customHeight="1" x14ac:dyDescent="0.3">
      <c r="A692" s="241"/>
      <c r="B692" s="241"/>
      <c r="C692" s="241"/>
      <c r="D692" s="241"/>
      <c r="E692" s="241"/>
      <c r="F692" s="241"/>
      <c r="G692" s="241"/>
      <c r="H692" s="241"/>
      <c r="I692" s="241"/>
      <c r="J692" s="241"/>
      <c r="K692" s="241"/>
      <c r="L692" s="241"/>
      <c r="M692" s="241"/>
      <c r="N692" s="241"/>
      <c r="O692" s="241"/>
      <c r="P692" s="241"/>
      <c r="Q692" s="241"/>
      <c r="R692" s="241"/>
      <c r="S692" s="241"/>
      <c r="T692" s="241"/>
      <c r="U692" s="241"/>
      <c r="V692" s="241"/>
      <c r="W692" s="241"/>
      <c r="X692" s="241"/>
      <c r="Y692" s="241"/>
      <c r="Z692" s="241"/>
      <c r="AA692" s="241"/>
    </row>
    <row r="693" spans="1:27" ht="13.5" customHeight="1" x14ac:dyDescent="0.3">
      <c r="A693" s="241"/>
      <c r="B693" s="241"/>
      <c r="C693" s="241"/>
      <c r="D693" s="241"/>
      <c r="E693" s="241"/>
      <c r="F693" s="241"/>
      <c r="G693" s="241"/>
      <c r="H693" s="241"/>
      <c r="I693" s="241"/>
      <c r="J693" s="241"/>
      <c r="K693" s="241"/>
      <c r="L693" s="241"/>
      <c r="M693" s="241"/>
      <c r="N693" s="241"/>
      <c r="O693" s="241"/>
      <c r="P693" s="241"/>
      <c r="Q693" s="241"/>
      <c r="R693" s="241"/>
      <c r="S693" s="241"/>
      <c r="T693" s="241"/>
      <c r="U693" s="241"/>
      <c r="V693" s="241"/>
      <c r="W693" s="241"/>
      <c r="X693" s="241"/>
      <c r="Y693" s="241"/>
      <c r="Z693" s="241"/>
      <c r="AA693" s="241"/>
    </row>
    <row r="694" spans="1:27" ht="13.5" customHeight="1" x14ac:dyDescent="0.3">
      <c r="A694" s="241"/>
      <c r="B694" s="241"/>
      <c r="C694" s="241"/>
      <c r="D694" s="241"/>
      <c r="E694" s="241"/>
      <c r="F694" s="241"/>
      <c r="G694" s="241"/>
      <c r="H694" s="241"/>
      <c r="I694" s="241"/>
      <c r="J694" s="241"/>
      <c r="K694" s="241"/>
      <c r="L694" s="241"/>
      <c r="M694" s="241"/>
      <c r="N694" s="241"/>
      <c r="O694" s="241"/>
      <c r="P694" s="241"/>
      <c r="Q694" s="241"/>
      <c r="R694" s="241"/>
      <c r="S694" s="241"/>
      <c r="T694" s="241"/>
      <c r="U694" s="241"/>
      <c r="V694" s="241"/>
      <c r="W694" s="241"/>
      <c r="X694" s="241"/>
      <c r="Y694" s="241"/>
      <c r="Z694" s="241"/>
      <c r="AA694" s="241"/>
    </row>
    <row r="695" spans="1:27" ht="13.5" customHeight="1" x14ac:dyDescent="0.3">
      <c r="A695" s="241"/>
      <c r="B695" s="241"/>
      <c r="C695" s="241"/>
      <c r="D695" s="241"/>
      <c r="E695" s="241"/>
      <c r="F695" s="241"/>
      <c r="G695" s="241"/>
      <c r="H695" s="241"/>
      <c r="I695" s="241"/>
      <c r="J695" s="241"/>
      <c r="K695" s="241"/>
      <c r="L695" s="241"/>
      <c r="M695" s="241"/>
      <c r="N695" s="241"/>
      <c r="O695" s="241"/>
      <c r="P695" s="241"/>
      <c r="Q695" s="241"/>
      <c r="R695" s="241"/>
      <c r="S695" s="241"/>
      <c r="T695" s="241"/>
      <c r="U695" s="241"/>
      <c r="V695" s="241"/>
      <c r="W695" s="241"/>
      <c r="X695" s="241"/>
      <c r="Y695" s="241"/>
      <c r="Z695" s="241"/>
      <c r="AA695" s="241"/>
    </row>
    <row r="696" spans="1:27" ht="13.5" customHeight="1" x14ac:dyDescent="0.3">
      <c r="A696" s="241"/>
      <c r="B696" s="241"/>
      <c r="C696" s="241"/>
      <c r="D696" s="241"/>
      <c r="E696" s="241"/>
      <c r="F696" s="241"/>
      <c r="G696" s="241"/>
      <c r="H696" s="241"/>
      <c r="I696" s="241"/>
      <c r="J696" s="241"/>
      <c r="K696" s="241"/>
      <c r="L696" s="241"/>
      <c r="M696" s="241"/>
      <c r="N696" s="241"/>
      <c r="O696" s="241"/>
      <c r="P696" s="241"/>
      <c r="Q696" s="241"/>
      <c r="R696" s="241"/>
      <c r="S696" s="241"/>
      <c r="T696" s="241"/>
      <c r="U696" s="241"/>
      <c r="V696" s="241"/>
      <c r="W696" s="241"/>
      <c r="X696" s="241"/>
      <c r="Y696" s="241"/>
      <c r="Z696" s="241"/>
      <c r="AA696" s="241"/>
    </row>
    <row r="697" spans="1:27" ht="13.5" customHeight="1" x14ac:dyDescent="0.3">
      <c r="A697" s="241"/>
      <c r="B697" s="241"/>
      <c r="C697" s="241"/>
      <c r="D697" s="241"/>
      <c r="E697" s="241"/>
      <c r="F697" s="241"/>
      <c r="G697" s="241"/>
      <c r="H697" s="241"/>
      <c r="I697" s="241"/>
      <c r="J697" s="241"/>
      <c r="K697" s="241"/>
      <c r="L697" s="241"/>
      <c r="M697" s="241"/>
      <c r="N697" s="241"/>
      <c r="O697" s="241"/>
      <c r="P697" s="241"/>
      <c r="Q697" s="241"/>
      <c r="R697" s="241"/>
      <c r="S697" s="241"/>
      <c r="T697" s="241"/>
      <c r="U697" s="241"/>
      <c r="V697" s="241"/>
      <c r="W697" s="241"/>
      <c r="X697" s="241"/>
      <c r="Y697" s="241"/>
      <c r="Z697" s="241"/>
      <c r="AA697" s="241"/>
    </row>
    <row r="698" spans="1:27" ht="13.5" customHeight="1" x14ac:dyDescent="0.3">
      <c r="A698" s="241"/>
      <c r="B698" s="241"/>
      <c r="C698" s="241"/>
      <c r="D698" s="241"/>
      <c r="E698" s="241"/>
      <c r="F698" s="241"/>
      <c r="G698" s="241"/>
      <c r="H698" s="241"/>
      <c r="I698" s="241"/>
      <c r="J698" s="241"/>
      <c r="K698" s="241"/>
      <c r="L698" s="241"/>
      <c r="M698" s="241"/>
      <c r="N698" s="241"/>
      <c r="O698" s="241"/>
      <c r="P698" s="241"/>
      <c r="Q698" s="241"/>
      <c r="R698" s="241"/>
      <c r="S698" s="241"/>
      <c r="T698" s="241"/>
      <c r="U698" s="241"/>
      <c r="V698" s="241"/>
      <c r="W698" s="241"/>
      <c r="X698" s="241"/>
      <c r="Y698" s="241"/>
      <c r="Z698" s="241"/>
      <c r="AA698" s="241"/>
    </row>
    <row r="699" spans="1:27" ht="13.5" customHeight="1" x14ac:dyDescent="0.3">
      <c r="A699" s="241"/>
      <c r="B699" s="241"/>
      <c r="C699" s="241"/>
      <c r="D699" s="241"/>
      <c r="E699" s="241"/>
      <c r="F699" s="241"/>
      <c r="G699" s="241"/>
      <c r="H699" s="241"/>
      <c r="I699" s="241"/>
      <c r="J699" s="241"/>
      <c r="K699" s="241"/>
      <c r="L699" s="241"/>
      <c r="M699" s="241"/>
      <c r="N699" s="241"/>
      <c r="O699" s="241"/>
      <c r="P699" s="241"/>
      <c r="Q699" s="241"/>
      <c r="R699" s="241"/>
      <c r="S699" s="241"/>
      <c r="T699" s="241"/>
      <c r="U699" s="241"/>
      <c r="V699" s="241"/>
      <c r="W699" s="241"/>
      <c r="X699" s="241"/>
      <c r="Y699" s="241"/>
      <c r="Z699" s="241"/>
      <c r="AA699" s="241"/>
    </row>
    <row r="700" spans="1:27" ht="13.5" customHeight="1" x14ac:dyDescent="0.3">
      <c r="A700" s="241"/>
      <c r="B700" s="241"/>
      <c r="C700" s="241"/>
      <c r="D700" s="241"/>
      <c r="E700" s="241"/>
      <c r="F700" s="241"/>
      <c r="G700" s="241"/>
      <c r="H700" s="241"/>
      <c r="I700" s="241"/>
      <c r="J700" s="241"/>
      <c r="K700" s="241"/>
      <c r="L700" s="241"/>
      <c r="M700" s="241"/>
      <c r="N700" s="241"/>
      <c r="O700" s="241"/>
      <c r="P700" s="241"/>
      <c r="Q700" s="241"/>
      <c r="R700" s="241"/>
      <c r="S700" s="241"/>
      <c r="T700" s="241"/>
      <c r="U700" s="241"/>
      <c r="V700" s="241"/>
      <c r="W700" s="241"/>
      <c r="X700" s="241"/>
      <c r="Y700" s="241"/>
      <c r="Z700" s="241"/>
      <c r="AA700" s="241"/>
    </row>
    <row r="701" spans="1:27" ht="13.5" customHeight="1" x14ac:dyDescent="0.3">
      <c r="A701" s="241"/>
      <c r="B701" s="241"/>
      <c r="C701" s="241"/>
      <c r="D701" s="241"/>
      <c r="E701" s="241"/>
      <c r="F701" s="241"/>
      <c r="G701" s="241"/>
      <c r="H701" s="241"/>
      <c r="I701" s="241"/>
      <c r="J701" s="241"/>
      <c r="K701" s="241"/>
      <c r="L701" s="241"/>
      <c r="M701" s="241"/>
      <c r="N701" s="241"/>
      <c r="O701" s="241"/>
      <c r="P701" s="241"/>
      <c r="Q701" s="241"/>
      <c r="R701" s="241"/>
      <c r="S701" s="241"/>
      <c r="T701" s="241"/>
      <c r="U701" s="241"/>
      <c r="V701" s="241"/>
      <c r="W701" s="241"/>
      <c r="X701" s="241"/>
      <c r="Y701" s="241"/>
      <c r="Z701" s="241"/>
      <c r="AA701" s="241"/>
    </row>
    <row r="702" spans="1:27" ht="13.5" customHeight="1" x14ac:dyDescent="0.3">
      <c r="A702" s="241"/>
      <c r="B702" s="241"/>
      <c r="C702" s="241"/>
      <c r="D702" s="241"/>
      <c r="E702" s="241"/>
      <c r="F702" s="241"/>
      <c r="G702" s="241"/>
      <c r="H702" s="241"/>
      <c r="I702" s="241"/>
      <c r="J702" s="241"/>
      <c r="K702" s="241"/>
      <c r="L702" s="241"/>
      <c r="M702" s="241"/>
      <c r="N702" s="241"/>
      <c r="O702" s="241"/>
      <c r="P702" s="241"/>
      <c r="Q702" s="241"/>
      <c r="R702" s="241"/>
      <c r="S702" s="241"/>
      <c r="T702" s="241"/>
      <c r="U702" s="241"/>
      <c r="V702" s="241"/>
      <c r="W702" s="241"/>
      <c r="X702" s="241"/>
      <c r="Y702" s="241"/>
      <c r="Z702" s="241"/>
      <c r="AA702" s="241"/>
    </row>
    <row r="703" spans="1:27" ht="13.5" customHeight="1" x14ac:dyDescent="0.3">
      <c r="A703" s="241"/>
      <c r="B703" s="241"/>
      <c r="C703" s="241"/>
      <c r="D703" s="241"/>
      <c r="E703" s="241"/>
      <c r="F703" s="241"/>
      <c r="G703" s="241"/>
      <c r="H703" s="241"/>
      <c r="I703" s="241"/>
      <c r="J703" s="241"/>
      <c r="K703" s="241"/>
      <c r="L703" s="241"/>
      <c r="M703" s="241"/>
      <c r="N703" s="241"/>
      <c r="O703" s="241"/>
      <c r="P703" s="241"/>
      <c r="Q703" s="241"/>
      <c r="R703" s="241"/>
      <c r="S703" s="241"/>
      <c r="T703" s="241"/>
      <c r="U703" s="241"/>
      <c r="V703" s="241"/>
      <c r="W703" s="241"/>
      <c r="X703" s="241"/>
      <c r="Y703" s="241"/>
      <c r="Z703" s="241"/>
      <c r="AA703" s="241"/>
    </row>
    <row r="704" spans="1:27" ht="13.5" customHeight="1" x14ac:dyDescent="0.3">
      <c r="A704" s="241"/>
      <c r="B704" s="241"/>
      <c r="C704" s="241"/>
      <c r="D704" s="241"/>
      <c r="E704" s="241"/>
      <c r="F704" s="241"/>
      <c r="G704" s="241"/>
      <c r="H704" s="241"/>
      <c r="I704" s="241"/>
      <c r="J704" s="241"/>
      <c r="K704" s="241"/>
      <c r="L704" s="241"/>
      <c r="M704" s="241"/>
      <c r="N704" s="241"/>
      <c r="O704" s="241"/>
      <c r="P704" s="241"/>
      <c r="Q704" s="241"/>
      <c r="R704" s="241"/>
      <c r="S704" s="241"/>
      <c r="T704" s="241"/>
      <c r="U704" s="241"/>
      <c r="V704" s="241"/>
      <c r="W704" s="241"/>
      <c r="X704" s="241"/>
      <c r="Y704" s="241"/>
      <c r="Z704" s="241"/>
      <c r="AA704" s="241"/>
    </row>
    <row r="705" spans="1:27" ht="13.5" customHeight="1" x14ac:dyDescent="0.3">
      <c r="A705" s="241"/>
      <c r="B705" s="241"/>
      <c r="C705" s="241"/>
      <c r="D705" s="241"/>
      <c r="E705" s="241"/>
      <c r="F705" s="241"/>
      <c r="G705" s="241"/>
      <c r="H705" s="241"/>
      <c r="I705" s="241"/>
      <c r="J705" s="241"/>
      <c r="K705" s="241"/>
      <c r="L705" s="241"/>
      <c r="M705" s="241"/>
      <c r="N705" s="241"/>
      <c r="O705" s="241"/>
      <c r="P705" s="241"/>
      <c r="Q705" s="241"/>
      <c r="R705" s="241"/>
      <c r="S705" s="241"/>
      <c r="T705" s="241"/>
      <c r="U705" s="241"/>
      <c r="V705" s="241"/>
      <c r="W705" s="241"/>
      <c r="X705" s="241"/>
      <c r="Y705" s="241"/>
      <c r="Z705" s="241"/>
      <c r="AA705" s="241"/>
    </row>
    <row r="706" spans="1:27" ht="13.5" customHeight="1" x14ac:dyDescent="0.3">
      <c r="A706" s="241"/>
      <c r="B706" s="241"/>
      <c r="C706" s="241"/>
      <c r="D706" s="241"/>
      <c r="E706" s="241"/>
      <c r="F706" s="241"/>
      <c r="G706" s="241"/>
      <c r="H706" s="241"/>
      <c r="I706" s="241"/>
      <c r="J706" s="241"/>
      <c r="K706" s="241"/>
      <c r="L706" s="241"/>
      <c r="M706" s="241"/>
      <c r="N706" s="241"/>
      <c r="O706" s="241"/>
      <c r="P706" s="241"/>
      <c r="Q706" s="241"/>
      <c r="R706" s="241"/>
      <c r="S706" s="241"/>
      <c r="T706" s="241"/>
      <c r="U706" s="241"/>
      <c r="V706" s="241"/>
      <c r="W706" s="241"/>
      <c r="X706" s="241"/>
      <c r="Y706" s="241"/>
      <c r="Z706" s="241"/>
      <c r="AA706" s="241"/>
    </row>
    <row r="707" spans="1:27" ht="13.5" customHeight="1" x14ac:dyDescent="0.3">
      <c r="A707" s="241"/>
      <c r="B707" s="241"/>
      <c r="C707" s="241"/>
      <c r="D707" s="241"/>
      <c r="E707" s="241"/>
      <c r="F707" s="241"/>
      <c r="G707" s="241"/>
      <c r="H707" s="241"/>
      <c r="I707" s="241"/>
      <c r="J707" s="241"/>
      <c r="K707" s="241"/>
      <c r="L707" s="241"/>
      <c r="M707" s="241"/>
      <c r="N707" s="241"/>
      <c r="O707" s="241"/>
      <c r="P707" s="241"/>
      <c r="Q707" s="241"/>
      <c r="R707" s="241"/>
      <c r="S707" s="241"/>
      <c r="T707" s="241"/>
      <c r="U707" s="241"/>
      <c r="V707" s="241"/>
      <c r="W707" s="241"/>
      <c r="X707" s="241"/>
      <c r="Y707" s="241"/>
      <c r="Z707" s="241"/>
      <c r="AA707" s="241"/>
    </row>
    <row r="708" spans="1:27" ht="13.5" customHeight="1" x14ac:dyDescent="0.3">
      <c r="A708" s="241"/>
      <c r="B708" s="241"/>
      <c r="C708" s="241"/>
      <c r="D708" s="241"/>
      <c r="E708" s="241"/>
      <c r="F708" s="241"/>
      <c r="G708" s="241"/>
      <c r="H708" s="241"/>
      <c r="I708" s="241"/>
      <c r="J708" s="241"/>
      <c r="K708" s="241"/>
      <c r="L708" s="241"/>
      <c r="M708" s="241"/>
      <c r="N708" s="241"/>
      <c r="O708" s="241"/>
      <c r="P708" s="241"/>
      <c r="Q708" s="241"/>
      <c r="R708" s="241"/>
      <c r="S708" s="241"/>
      <c r="T708" s="241"/>
      <c r="U708" s="241"/>
      <c r="V708" s="241"/>
      <c r="W708" s="241"/>
      <c r="X708" s="241"/>
      <c r="Y708" s="241"/>
      <c r="Z708" s="241"/>
      <c r="AA708" s="241"/>
    </row>
    <row r="709" spans="1:27" ht="13.5" customHeight="1" x14ac:dyDescent="0.3">
      <c r="A709" s="241"/>
      <c r="B709" s="241"/>
      <c r="C709" s="241"/>
      <c r="D709" s="241"/>
      <c r="E709" s="241"/>
      <c r="F709" s="241"/>
      <c r="G709" s="241"/>
      <c r="H709" s="241"/>
      <c r="I709" s="241"/>
      <c r="J709" s="241"/>
      <c r="K709" s="241"/>
      <c r="L709" s="241"/>
      <c r="M709" s="241"/>
      <c r="N709" s="241"/>
      <c r="O709" s="241"/>
      <c r="P709" s="241"/>
      <c r="Q709" s="241"/>
      <c r="R709" s="241"/>
      <c r="S709" s="241"/>
      <c r="T709" s="241"/>
      <c r="U709" s="241"/>
      <c r="V709" s="241"/>
      <c r="W709" s="241"/>
      <c r="X709" s="241"/>
      <c r="Y709" s="241"/>
      <c r="Z709" s="241"/>
      <c r="AA709" s="241"/>
    </row>
    <row r="710" spans="1:27" ht="13.5" customHeight="1" x14ac:dyDescent="0.3">
      <c r="A710" s="241"/>
      <c r="B710" s="241"/>
      <c r="C710" s="241"/>
      <c r="D710" s="241"/>
      <c r="E710" s="241"/>
      <c r="F710" s="241"/>
      <c r="G710" s="241"/>
      <c r="H710" s="241"/>
      <c r="I710" s="241"/>
      <c r="J710" s="241"/>
      <c r="K710" s="241"/>
      <c r="L710" s="241"/>
      <c r="M710" s="241"/>
      <c r="N710" s="241"/>
      <c r="O710" s="241"/>
      <c r="P710" s="241"/>
      <c r="Q710" s="241"/>
      <c r="R710" s="241"/>
      <c r="S710" s="241"/>
      <c r="T710" s="241"/>
      <c r="U710" s="241"/>
      <c r="V710" s="241"/>
      <c r="W710" s="241"/>
      <c r="X710" s="241"/>
      <c r="Y710" s="241"/>
      <c r="Z710" s="241"/>
      <c r="AA710" s="241"/>
    </row>
    <row r="711" spans="1:27" ht="13.5" customHeight="1" x14ac:dyDescent="0.3">
      <c r="A711" s="241"/>
      <c r="B711" s="241"/>
      <c r="C711" s="241"/>
      <c r="D711" s="241"/>
      <c r="E711" s="241"/>
      <c r="F711" s="241"/>
      <c r="G711" s="241"/>
      <c r="H711" s="241"/>
      <c r="I711" s="241"/>
      <c r="J711" s="241"/>
      <c r="K711" s="241"/>
      <c r="L711" s="241"/>
      <c r="M711" s="241"/>
      <c r="N711" s="241"/>
      <c r="O711" s="241"/>
      <c r="P711" s="241"/>
      <c r="Q711" s="241"/>
      <c r="R711" s="241"/>
      <c r="S711" s="241"/>
      <c r="T711" s="241"/>
      <c r="U711" s="241"/>
      <c r="V711" s="241"/>
      <c r="W711" s="241"/>
      <c r="X711" s="241"/>
      <c r="Y711" s="241"/>
      <c r="Z711" s="241"/>
      <c r="AA711" s="241"/>
    </row>
    <row r="712" spans="1:27" ht="13.5" customHeight="1" x14ac:dyDescent="0.3">
      <c r="A712" s="241"/>
      <c r="B712" s="241"/>
      <c r="C712" s="241"/>
      <c r="D712" s="241"/>
      <c r="E712" s="241"/>
      <c r="F712" s="241"/>
      <c r="G712" s="241"/>
      <c r="H712" s="241"/>
      <c r="I712" s="241"/>
      <c r="J712" s="241"/>
      <c r="K712" s="241"/>
      <c r="L712" s="241"/>
      <c r="M712" s="241"/>
      <c r="N712" s="241"/>
      <c r="O712" s="241"/>
      <c r="P712" s="241"/>
      <c r="Q712" s="241"/>
      <c r="R712" s="241"/>
      <c r="S712" s="241"/>
      <c r="T712" s="241"/>
      <c r="U712" s="241"/>
      <c r="V712" s="241"/>
      <c r="W712" s="241"/>
      <c r="X712" s="241"/>
      <c r="Y712" s="241"/>
      <c r="Z712" s="241"/>
      <c r="AA712" s="241"/>
    </row>
    <row r="713" spans="1:27" ht="13.5" customHeight="1" x14ac:dyDescent="0.3">
      <c r="A713" s="241"/>
      <c r="B713" s="241"/>
      <c r="C713" s="241"/>
      <c r="D713" s="241"/>
      <c r="E713" s="241"/>
      <c r="F713" s="241"/>
      <c r="G713" s="241"/>
      <c r="H713" s="241"/>
      <c r="I713" s="241"/>
      <c r="J713" s="241"/>
      <c r="K713" s="241"/>
      <c r="L713" s="241"/>
      <c r="M713" s="241"/>
      <c r="N713" s="241"/>
      <c r="O713" s="241"/>
      <c r="P713" s="241"/>
      <c r="Q713" s="241"/>
      <c r="R713" s="241"/>
      <c r="S713" s="241"/>
      <c r="T713" s="241"/>
      <c r="U713" s="241"/>
      <c r="V713" s="241"/>
      <c r="W713" s="241"/>
      <c r="X713" s="241"/>
      <c r="Y713" s="241"/>
      <c r="Z713" s="241"/>
      <c r="AA713" s="241"/>
    </row>
    <row r="714" spans="1:27" ht="13.5" customHeight="1" x14ac:dyDescent="0.3">
      <c r="A714" s="241"/>
      <c r="B714" s="241"/>
      <c r="C714" s="241"/>
      <c r="D714" s="241"/>
      <c r="E714" s="241"/>
      <c r="F714" s="241"/>
      <c r="G714" s="241"/>
      <c r="H714" s="241"/>
      <c r="I714" s="241"/>
      <c r="J714" s="241"/>
      <c r="K714" s="241"/>
      <c r="L714" s="241"/>
      <c r="M714" s="241"/>
      <c r="N714" s="241"/>
      <c r="O714" s="241"/>
      <c r="P714" s="241"/>
      <c r="Q714" s="241"/>
      <c r="R714" s="241"/>
      <c r="S714" s="241"/>
      <c r="T714" s="241"/>
      <c r="U714" s="241"/>
      <c r="V714" s="241"/>
      <c r="W714" s="241"/>
      <c r="X714" s="241"/>
      <c r="Y714" s="241"/>
      <c r="Z714" s="241"/>
      <c r="AA714" s="241"/>
    </row>
    <row r="715" spans="1:27" ht="13.5" customHeight="1" x14ac:dyDescent="0.3">
      <c r="A715" s="241"/>
      <c r="B715" s="241"/>
      <c r="C715" s="241"/>
      <c r="D715" s="241"/>
      <c r="E715" s="241"/>
      <c r="F715" s="241"/>
      <c r="G715" s="241"/>
      <c r="H715" s="241"/>
      <c r="I715" s="241"/>
      <c r="J715" s="241"/>
      <c r="K715" s="241"/>
      <c r="L715" s="241"/>
      <c r="M715" s="241"/>
      <c r="N715" s="241"/>
      <c r="O715" s="241"/>
      <c r="P715" s="241"/>
      <c r="Q715" s="241"/>
      <c r="R715" s="241"/>
      <c r="S715" s="241"/>
      <c r="T715" s="241"/>
      <c r="U715" s="241"/>
      <c r="V715" s="241"/>
      <c r="W715" s="241"/>
      <c r="X715" s="241"/>
      <c r="Y715" s="241"/>
      <c r="Z715" s="241"/>
      <c r="AA715" s="241"/>
    </row>
    <row r="716" spans="1:27" ht="13.5" customHeight="1" x14ac:dyDescent="0.3">
      <c r="A716" s="241"/>
      <c r="B716" s="241"/>
      <c r="C716" s="241"/>
      <c r="D716" s="241"/>
      <c r="E716" s="241"/>
      <c r="F716" s="241"/>
      <c r="G716" s="241"/>
      <c r="H716" s="241"/>
      <c r="I716" s="241"/>
      <c r="J716" s="241"/>
      <c r="K716" s="241"/>
      <c r="L716" s="241"/>
      <c r="M716" s="241"/>
      <c r="N716" s="241"/>
      <c r="O716" s="241"/>
      <c r="P716" s="241"/>
      <c r="Q716" s="241"/>
      <c r="R716" s="241"/>
      <c r="S716" s="241"/>
      <c r="T716" s="241"/>
      <c r="U716" s="241"/>
      <c r="V716" s="241"/>
      <c r="W716" s="241"/>
      <c r="X716" s="241"/>
      <c r="Y716" s="241"/>
      <c r="Z716" s="241"/>
      <c r="AA716" s="241"/>
    </row>
    <row r="717" spans="1:27" ht="13.5" customHeight="1" x14ac:dyDescent="0.3">
      <c r="A717" s="241"/>
      <c r="B717" s="241"/>
      <c r="C717" s="241"/>
      <c r="D717" s="241"/>
      <c r="E717" s="241"/>
      <c r="F717" s="241"/>
      <c r="G717" s="241"/>
      <c r="H717" s="241"/>
      <c r="I717" s="241"/>
      <c r="J717" s="241"/>
      <c r="K717" s="241"/>
      <c r="L717" s="241"/>
      <c r="M717" s="241"/>
      <c r="N717" s="241"/>
      <c r="O717" s="241"/>
      <c r="P717" s="241"/>
      <c r="Q717" s="241"/>
      <c r="R717" s="241"/>
      <c r="S717" s="241"/>
      <c r="T717" s="241"/>
      <c r="U717" s="241"/>
      <c r="V717" s="241"/>
      <c r="W717" s="241"/>
      <c r="X717" s="241"/>
      <c r="Y717" s="241"/>
      <c r="Z717" s="241"/>
      <c r="AA717" s="241"/>
    </row>
    <row r="718" spans="1:27" ht="13.5" customHeight="1" x14ac:dyDescent="0.3">
      <c r="A718" s="241"/>
      <c r="B718" s="241"/>
      <c r="C718" s="241"/>
      <c r="D718" s="241"/>
      <c r="E718" s="241"/>
      <c r="F718" s="241"/>
      <c r="G718" s="241"/>
      <c r="H718" s="241"/>
      <c r="I718" s="241"/>
      <c r="J718" s="241"/>
      <c r="K718" s="241"/>
      <c r="L718" s="241"/>
      <c r="M718" s="241"/>
      <c r="N718" s="241"/>
      <c r="O718" s="241"/>
      <c r="P718" s="241"/>
      <c r="Q718" s="241"/>
      <c r="R718" s="241"/>
      <c r="S718" s="241"/>
      <c r="T718" s="241"/>
      <c r="U718" s="241"/>
      <c r="V718" s="241"/>
      <c r="W718" s="241"/>
      <c r="X718" s="241"/>
      <c r="Y718" s="241"/>
      <c r="Z718" s="241"/>
      <c r="AA718" s="241"/>
    </row>
    <row r="719" spans="1:27" ht="13.5" customHeight="1" x14ac:dyDescent="0.3">
      <c r="A719" s="241"/>
      <c r="B719" s="241"/>
      <c r="C719" s="241"/>
      <c r="D719" s="241"/>
      <c r="E719" s="241"/>
      <c r="F719" s="241"/>
      <c r="G719" s="241"/>
      <c r="H719" s="241"/>
      <c r="I719" s="241"/>
      <c r="J719" s="241"/>
      <c r="K719" s="241"/>
      <c r="L719" s="241"/>
      <c r="M719" s="241"/>
      <c r="N719" s="241"/>
      <c r="O719" s="241"/>
      <c r="P719" s="241"/>
      <c r="Q719" s="241"/>
      <c r="R719" s="241"/>
      <c r="S719" s="241"/>
      <c r="T719" s="241"/>
      <c r="U719" s="241"/>
      <c r="V719" s="241"/>
      <c r="W719" s="241"/>
      <c r="X719" s="241"/>
      <c r="Y719" s="241"/>
      <c r="Z719" s="241"/>
      <c r="AA719" s="241"/>
    </row>
    <row r="720" spans="1:27" ht="13.5" customHeight="1" x14ac:dyDescent="0.3">
      <c r="A720" s="241"/>
      <c r="B720" s="241"/>
      <c r="C720" s="241"/>
      <c r="D720" s="241"/>
      <c r="E720" s="241"/>
      <c r="F720" s="241"/>
      <c r="G720" s="241"/>
      <c r="H720" s="241"/>
      <c r="I720" s="241"/>
      <c r="J720" s="241"/>
      <c r="K720" s="241"/>
      <c r="L720" s="241"/>
      <c r="M720" s="241"/>
      <c r="N720" s="241"/>
      <c r="O720" s="241"/>
      <c r="P720" s="241"/>
      <c r="Q720" s="241"/>
      <c r="R720" s="241"/>
      <c r="S720" s="241"/>
      <c r="T720" s="241"/>
      <c r="U720" s="241"/>
      <c r="V720" s="241"/>
      <c r="W720" s="241"/>
      <c r="X720" s="241"/>
      <c r="Y720" s="241"/>
      <c r="Z720" s="241"/>
      <c r="AA720" s="241"/>
    </row>
    <row r="721" spans="1:27" ht="13.5" customHeight="1" x14ac:dyDescent="0.3">
      <c r="A721" s="241"/>
      <c r="B721" s="241"/>
      <c r="C721" s="241"/>
      <c r="D721" s="241"/>
      <c r="E721" s="241"/>
      <c r="F721" s="241"/>
      <c r="G721" s="241"/>
      <c r="H721" s="241"/>
      <c r="I721" s="241"/>
      <c r="J721" s="241"/>
      <c r="K721" s="241"/>
      <c r="L721" s="241"/>
      <c r="M721" s="241"/>
      <c r="N721" s="241"/>
      <c r="O721" s="241"/>
      <c r="P721" s="241"/>
      <c r="Q721" s="241"/>
      <c r="R721" s="241"/>
      <c r="S721" s="241"/>
      <c r="T721" s="241"/>
      <c r="U721" s="241"/>
      <c r="V721" s="241"/>
      <c r="W721" s="241"/>
      <c r="X721" s="241"/>
      <c r="Y721" s="241"/>
      <c r="Z721" s="241"/>
      <c r="AA721" s="241"/>
    </row>
    <row r="722" spans="1:27" ht="13.5" customHeight="1" x14ac:dyDescent="0.3">
      <c r="A722" s="241"/>
      <c r="B722" s="241"/>
      <c r="C722" s="241"/>
      <c r="D722" s="241"/>
      <c r="E722" s="241"/>
      <c r="F722" s="241"/>
      <c r="G722" s="241"/>
      <c r="H722" s="241"/>
      <c r="I722" s="241"/>
      <c r="J722" s="241"/>
      <c r="K722" s="241"/>
      <c r="L722" s="241"/>
      <c r="M722" s="241"/>
      <c r="N722" s="241"/>
      <c r="O722" s="241"/>
      <c r="P722" s="241"/>
      <c r="Q722" s="241"/>
      <c r="R722" s="241"/>
      <c r="S722" s="241"/>
      <c r="T722" s="241"/>
      <c r="U722" s="241"/>
      <c r="V722" s="241"/>
      <c r="W722" s="241"/>
      <c r="X722" s="241"/>
      <c r="Y722" s="241"/>
      <c r="Z722" s="241"/>
      <c r="AA722" s="241"/>
    </row>
    <row r="723" spans="1:27" ht="13.5" customHeight="1" x14ac:dyDescent="0.3">
      <c r="A723" s="241"/>
      <c r="B723" s="241"/>
      <c r="C723" s="241"/>
      <c r="D723" s="241"/>
      <c r="E723" s="241"/>
      <c r="F723" s="241"/>
      <c r="G723" s="241"/>
      <c r="H723" s="241"/>
      <c r="I723" s="241"/>
      <c r="J723" s="241"/>
      <c r="K723" s="241"/>
      <c r="L723" s="241"/>
      <c r="M723" s="241"/>
      <c r="N723" s="241"/>
      <c r="O723" s="241"/>
      <c r="P723" s="241"/>
      <c r="Q723" s="241"/>
      <c r="R723" s="241"/>
      <c r="S723" s="241"/>
      <c r="T723" s="241"/>
      <c r="U723" s="241"/>
      <c r="V723" s="241"/>
      <c r="W723" s="241"/>
      <c r="X723" s="241"/>
      <c r="Y723" s="241"/>
      <c r="Z723" s="241"/>
      <c r="AA723" s="241"/>
    </row>
    <row r="724" spans="1:27" ht="13.5" customHeight="1" x14ac:dyDescent="0.3">
      <c r="A724" s="241"/>
      <c r="B724" s="241"/>
      <c r="C724" s="241"/>
      <c r="D724" s="241"/>
      <c r="E724" s="241"/>
      <c r="F724" s="241"/>
      <c r="G724" s="241"/>
      <c r="H724" s="241"/>
      <c r="I724" s="241"/>
      <c r="J724" s="241"/>
      <c r="K724" s="241"/>
      <c r="L724" s="241"/>
      <c r="M724" s="241"/>
      <c r="N724" s="241"/>
      <c r="O724" s="241"/>
      <c r="P724" s="241"/>
      <c r="Q724" s="241"/>
      <c r="R724" s="241"/>
      <c r="S724" s="241"/>
      <c r="T724" s="241"/>
      <c r="U724" s="241"/>
      <c r="V724" s="241"/>
      <c r="W724" s="241"/>
      <c r="X724" s="241"/>
      <c r="Y724" s="241"/>
      <c r="Z724" s="241"/>
      <c r="AA724" s="241"/>
    </row>
    <row r="725" spans="1:27" ht="13.5" customHeight="1" x14ac:dyDescent="0.3">
      <c r="A725" s="241"/>
      <c r="B725" s="241"/>
      <c r="C725" s="241"/>
      <c r="D725" s="241"/>
      <c r="E725" s="241"/>
      <c r="F725" s="241"/>
      <c r="G725" s="241"/>
      <c r="H725" s="241"/>
      <c r="I725" s="241"/>
      <c r="J725" s="241"/>
      <c r="K725" s="241"/>
      <c r="L725" s="241"/>
      <c r="M725" s="241"/>
      <c r="N725" s="241"/>
      <c r="O725" s="241"/>
      <c r="P725" s="241"/>
      <c r="Q725" s="241"/>
      <c r="R725" s="241"/>
      <c r="S725" s="241"/>
      <c r="T725" s="241"/>
      <c r="U725" s="241"/>
      <c r="V725" s="241"/>
      <c r="W725" s="241"/>
      <c r="X725" s="241"/>
      <c r="Y725" s="241"/>
      <c r="Z725" s="241"/>
      <c r="AA725" s="241"/>
    </row>
    <row r="726" spans="1:27" ht="13.5" customHeight="1" x14ac:dyDescent="0.3">
      <c r="A726" s="241"/>
      <c r="B726" s="241"/>
      <c r="C726" s="241"/>
      <c r="D726" s="241"/>
      <c r="E726" s="241"/>
      <c r="F726" s="241"/>
      <c r="G726" s="241"/>
      <c r="H726" s="241"/>
      <c r="I726" s="241"/>
      <c r="J726" s="241"/>
      <c r="K726" s="241"/>
      <c r="L726" s="241"/>
      <c r="M726" s="241"/>
      <c r="N726" s="241"/>
      <c r="O726" s="241"/>
      <c r="P726" s="241"/>
      <c r="Q726" s="241"/>
      <c r="R726" s="241"/>
      <c r="S726" s="241"/>
      <c r="T726" s="241"/>
      <c r="U726" s="241"/>
      <c r="V726" s="241"/>
      <c r="W726" s="241"/>
      <c r="X726" s="241"/>
      <c r="Y726" s="241"/>
      <c r="Z726" s="241"/>
      <c r="AA726" s="241"/>
    </row>
    <row r="727" spans="1:27" ht="13.5" customHeight="1" x14ac:dyDescent="0.3">
      <c r="A727" s="241"/>
      <c r="B727" s="241"/>
      <c r="C727" s="241"/>
      <c r="D727" s="241"/>
      <c r="E727" s="241"/>
      <c r="F727" s="241"/>
      <c r="G727" s="241"/>
      <c r="H727" s="241"/>
      <c r="I727" s="241"/>
      <c r="J727" s="241"/>
      <c r="K727" s="241"/>
      <c r="L727" s="241"/>
      <c r="M727" s="241"/>
      <c r="N727" s="241"/>
      <c r="O727" s="241"/>
      <c r="P727" s="241"/>
      <c r="Q727" s="241"/>
      <c r="R727" s="241"/>
      <c r="S727" s="241"/>
      <c r="T727" s="241"/>
      <c r="U727" s="241"/>
      <c r="V727" s="241"/>
      <c r="W727" s="241"/>
      <c r="X727" s="241"/>
      <c r="Y727" s="241"/>
      <c r="Z727" s="241"/>
      <c r="AA727" s="241"/>
    </row>
    <row r="728" spans="1:27" ht="13.5" customHeight="1" x14ac:dyDescent="0.3">
      <c r="A728" s="241"/>
      <c r="B728" s="241"/>
      <c r="C728" s="241"/>
      <c r="D728" s="241"/>
      <c r="E728" s="241"/>
      <c r="F728" s="241"/>
      <c r="G728" s="241"/>
      <c r="H728" s="241"/>
      <c r="I728" s="241"/>
      <c r="J728" s="241"/>
      <c r="K728" s="241"/>
      <c r="L728" s="241"/>
      <c r="M728" s="241"/>
      <c r="N728" s="241"/>
      <c r="O728" s="241"/>
      <c r="P728" s="241"/>
      <c r="Q728" s="241"/>
      <c r="R728" s="241"/>
      <c r="S728" s="241"/>
      <c r="T728" s="241"/>
      <c r="U728" s="241"/>
      <c r="V728" s="241"/>
      <c r="W728" s="241"/>
      <c r="X728" s="241"/>
      <c r="Y728" s="241"/>
      <c r="Z728" s="241"/>
      <c r="AA728" s="241"/>
    </row>
    <row r="729" spans="1:27" ht="13.5" customHeight="1" x14ac:dyDescent="0.3">
      <c r="A729" s="241"/>
      <c r="B729" s="241"/>
      <c r="C729" s="241"/>
      <c r="D729" s="241"/>
      <c r="E729" s="241"/>
      <c r="F729" s="241"/>
      <c r="G729" s="241"/>
      <c r="H729" s="241"/>
      <c r="I729" s="241"/>
      <c r="J729" s="241"/>
      <c r="K729" s="241"/>
      <c r="L729" s="241"/>
      <c r="M729" s="241"/>
      <c r="N729" s="241"/>
      <c r="O729" s="241"/>
      <c r="P729" s="241"/>
      <c r="Q729" s="241"/>
      <c r="R729" s="241"/>
      <c r="S729" s="241"/>
      <c r="T729" s="241"/>
      <c r="U729" s="241"/>
      <c r="V729" s="241"/>
      <c r="W729" s="241"/>
      <c r="X729" s="241"/>
      <c r="Y729" s="241"/>
      <c r="Z729" s="241"/>
      <c r="AA729" s="241"/>
    </row>
    <row r="730" spans="1:27" ht="13.5" customHeight="1" x14ac:dyDescent="0.3">
      <c r="A730" s="241"/>
      <c r="B730" s="241"/>
      <c r="C730" s="241"/>
      <c r="D730" s="241"/>
      <c r="E730" s="241"/>
      <c r="F730" s="241"/>
      <c r="G730" s="241"/>
      <c r="H730" s="241"/>
      <c r="I730" s="241"/>
      <c r="J730" s="241"/>
      <c r="K730" s="241"/>
      <c r="L730" s="241"/>
      <c r="M730" s="241"/>
      <c r="N730" s="241"/>
      <c r="O730" s="241"/>
      <c r="P730" s="241"/>
      <c r="Q730" s="241"/>
      <c r="R730" s="241"/>
      <c r="S730" s="241"/>
      <c r="T730" s="241"/>
      <c r="U730" s="241"/>
      <c r="V730" s="241"/>
      <c r="W730" s="241"/>
      <c r="X730" s="241"/>
      <c r="Y730" s="241"/>
      <c r="Z730" s="241"/>
      <c r="AA730" s="241"/>
    </row>
    <row r="731" spans="1:27" ht="13.5" customHeight="1" x14ac:dyDescent="0.3">
      <c r="A731" s="241"/>
      <c r="B731" s="241"/>
      <c r="C731" s="241"/>
      <c r="D731" s="241"/>
      <c r="E731" s="241"/>
      <c r="F731" s="241"/>
      <c r="G731" s="241"/>
      <c r="H731" s="241"/>
      <c r="I731" s="241"/>
      <c r="J731" s="241"/>
      <c r="K731" s="241"/>
      <c r="L731" s="241"/>
      <c r="M731" s="241"/>
      <c r="N731" s="241"/>
      <c r="O731" s="241"/>
      <c r="P731" s="241"/>
      <c r="Q731" s="241"/>
      <c r="R731" s="241"/>
      <c r="S731" s="241"/>
      <c r="T731" s="241"/>
      <c r="U731" s="241"/>
      <c r="V731" s="241"/>
      <c r="W731" s="241"/>
      <c r="X731" s="241"/>
      <c r="Y731" s="241"/>
      <c r="Z731" s="241"/>
      <c r="AA731" s="241"/>
    </row>
    <row r="732" spans="1:27" ht="13.5" customHeight="1" x14ac:dyDescent="0.3">
      <c r="A732" s="241"/>
      <c r="B732" s="241"/>
      <c r="C732" s="241"/>
      <c r="D732" s="241"/>
      <c r="E732" s="241"/>
      <c r="F732" s="241"/>
      <c r="G732" s="241"/>
      <c r="H732" s="241"/>
      <c r="I732" s="241"/>
      <c r="J732" s="241"/>
      <c r="K732" s="241"/>
      <c r="L732" s="241"/>
      <c r="M732" s="241"/>
      <c r="N732" s="241"/>
      <c r="O732" s="241"/>
      <c r="P732" s="241"/>
      <c r="Q732" s="241"/>
      <c r="R732" s="241"/>
      <c r="S732" s="241"/>
      <c r="T732" s="241"/>
      <c r="U732" s="241"/>
      <c r="V732" s="241"/>
      <c r="W732" s="241"/>
      <c r="X732" s="241"/>
      <c r="Y732" s="241"/>
      <c r="Z732" s="241"/>
      <c r="AA732" s="241"/>
    </row>
    <row r="733" spans="1:27" ht="13.5" customHeight="1" x14ac:dyDescent="0.3">
      <c r="A733" s="241"/>
      <c r="B733" s="241"/>
      <c r="C733" s="241"/>
      <c r="D733" s="241"/>
      <c r="E733" s="241"/>
      <c r="F733" s="241"/>
      <c r="G733" s="241"/>
      <c r="H733" s="241"/>
      <c r="I733" s="241"/>
      <c r="J733" s="241"/>
      <c r="K733" s="241"/>
      <c r="L733" s="241"/>
      <c r="M733" s="241"/>
      <c r="N733" s="241"/>
      <c r="O733" s="241"/>
      <c r="P733" s="241"/>
      <c r="Q733" s="241"/>
      <c r="R733" s="241"/>
      <c r="S733" s="241"/>
      <c r="T733" s="241"/>
      <c r="U733" s="241"/>
      <c r="V733" s="241"/>
      <c r="W733" s="241"/>
      <c r="X733" s="241"/>
      <c r="Y733" s="241"/>
      <c r="Z733" s="241"/>
      <c r="AA733" s="241"/>
    </row>
    <row r="734" spans="1:27" ht="13.5" customHeight="1" x14ac:dyDescent="0.3">
      <c r="A734" s="241"/>
      <c r="B734" s="241"/>
      <c r="C734" s="241"/>
      <c r="D734" s="241"/>
      <c r="E734" s="241"/>
      <c r="F734" s="241"/>
      <c r="G734" s="241"/>
      <c r="H734" s="241"/>
      <c r="I734" s="241"/>
      <c r="J734" s="241"/>
      <c r="K734" s="241"/>
      <c r="L734" s="241"/>
      <c r="M734" s="241"/>
      <c r="N734" s="241"/>
      <c r="O734" s="241"/>
      <c r="P734" s="241"/>
      <c r="Q734" s="241"/>
      <c r="R734" s="241"/>
      <c r="S734" s="241"/>
      <c r="T734" s="241"/>
      <c r="U734" s="241"/>
      <c r="V734" s="241"/>
      <c r="W734" s="241"/>
      <c r="X734" s="241"/>
      <c r="Y734" s="241"/>
      <c r="Z734" s="241"/>
      <c r="AA734" s="241"/>
    </row>
    <row r="735" spans="1:27" ht="13.5" customHeight="1" x14ac:dyDescent="0.3">
      <c r="A735" s="241"/>
      <c r="B735" s="241"/>
      <c r="C735" s="241"/>
      <c r="D735" s="241"/>
      <c r="E735" s="241"/>
      <c r="F735" s="241"/>
      <c r="G735" s="241"/>
      <c r="H735" s="241"/>
      <c r="I735" s="241"/>
      <c r="J735" s="241"/>
      <c r="K735" s="241"/>
      <c r="L735" s="241"/>
      <c r="M735" s="241"/>
      <c r="N735" s="241"/>
      <c r="O735" s="241"/>
      <c r="P735" s="241"/>
      <c r="Q735" s="241"/>
      <c r="R735" s="241"/>
      <c r="S735" s="241"/>
      <c r="T735" s="241"/>
      <c r="U735" s="241"/>
      <c r="V735" s="241"/>
      <c r="W735" s="241"/>
      <c r="X735" s="241"/>
      <c r="Y735" s="241"/>
      <c r="Z735" s="241"/>
      <c r="AA735" s="241"/>
    </row>
    <row r="736" spans="1:27" ht="13.5" customHeight="1" x14ac:dyDescent="0.3">
      <c r="A736" s="241"/>
      <c r="B736" s="241"/>
      <c r="C736" s="241"/>
      <c r="D736" s="241"/>
      <c r="E736" s="241"/>
      <c r="F736" s="241"/>
      <c r="G736" s="241"/>
      <c r="H736" s="241"/>
      <c r="I736" s="241"/>
      <c r="J736" s="241"/>
      <c r="K736" s="241"/>
      <c r="L736" s="241"/>
      <c r="M736" s="241"/>
      <c r="N736" s="241"/>
      <c r="O736" s="241"/>
      <c r="P736" s="241"/>
      <c r="Q736" s="241"/>
      <c r="R736" s="241"/>
      <c r="S736" s="241"/>
      <c r="T736" s="241"/>
      <c r="U736" s="241"/>
      <c r="V736" s="241"/>
      <c r="W736" s="241"/>
      <c r="X736" s="241"/>
      <c r="Y736" s="241"/>
      <c r="Z736" s="241"/>
      <c r="AA736" s="241"/>
    </row>
    <row r="737" spans="1:27" ht="13.5" customHeight="1" x14ac:dyDescent="0.3">
      <c r="A737" s="241"/>
      <c r="B737" s="241"/>
      <c r="C737" s="241"/>
      <c r="D737" s="241"/>
      <c r="E737" s="241"/>
      <c r="F737" s="241"/>
      <c r="G737" s="241"/>
      <c r="H737" s="241"/>
      <c r="I737" s="241"/>
      <c r="J737" s="241"/>
      <c r="K737" s="241"/>
      <c r="L737" s="241"/>
      <c r="M737" s="241"/>
      <c r="N737" s="241"/>
      <c r="O737" s="241"/>
      <c r="P737" s="241"/>
      <c r="Q737" s="241"/>
      <c r="R737" s="241"/>
      <c r="S737" s="241"/>
      <c r="T737" s="241"/>
      <c r="U737" s="241"/>
      <c r="V737" s="241"/>
      <c r="W737" s="241"/>
      <c r="X737" s="241"/>
      <c r="Y737" s="241"/>
      <c r="Z737" s="241"/>
      <c r="AA737" s="241"/>
    </row>
    <row r="738" spans="1:27" ht="13.5" customHeight="1" x14ac:dyDescent="0.3">
      <c r="A738" s="241"/>
      <c r="B738" s="241"/>
      <c r="C738" s="241"/>
      <c r="D738" s="241"/>
      <c r="E738" s="241"/>
      <c r="F738" s="241"/>
      <c r="G738" s="241"/>
      <c r="H738" s="241"/>
      <c r="I738" s="241"/>
      <c r="J738" s="241"/>
      <c r="K738" s="241"/>
      <c r="L738" s="241"/>
      <c r="M738" s="241"/>
      <c r="N738" s="241"/>
      <c r="O738" s="241"/>
      <c r="P738" s="241"/>
      <c r="Q738" s="241"/>
      <c r="R738" s="241"/>
      <c r="S738" s="241"/>
      <c r="T738" s="241"/>
      <c r="U738" s="241"/>
      <c r="V738" s="241"/>
      <c r="W738" s="241"/>
      <c r="X738" s="241"/>
      <c r="Y738" s="241"/>
      <c r="Z738" s="241"/>
      <c r="AA738" s="241"/>
    </row>
    <row r="739" spans="1:27" ht="13.5" customHeight="1" x14ac:dyDescent="0.3">
      <c r="A739" s="241"/>
      <c r="B739" s="241"/>
      <c r="C739" s="241"/>
      <c r="D739" s="241"/>
      <c r="E739" s="241"/>
      <c r="F739" s="241"/>
      <c r="G739" s="241"/>
      <c r="H739" s="241"/>
      <c r="I739" s="241"/>
      <c r="J739" s="241"/>
      <c r="K739" s="241"/>
      <c r="L739" s="241"/>
      <c r="M739" s="241"/>
      <c r="N739" s="241"/>
      <c r="O739" s="241"/>
      <c r="P739" s="241"/>
      <c r="Q739" s="241"/>
      <c r="R739" s="241"/>
      <c r="S739" s="241"/>
      <c r="T739" s="241"/>
      <c r="U739" s="241"/>
      <c r="V739" s="241"/>
      <c r="W739" s="241"/>
      <c r="X739" s="241"/>
      <c r="Y739" s="241"/>
      <c r="Z739" s="241"/>
      <c r="AA739" s="241"/>
    </row>
    <row r="740" spans="1:27" ht="13.5" customHeight="1" x14ac:dyDescent="0.3">
      <c r="A740" s="241"/>
      <c r="B740" s="241"/>
      <c r="C740" s="241"/>
      <c r="D740" s="241"/>
      <c r="E740" s="241"/>
      <c r="F740" s="241"/>
      <c r="G740" s="241"/>
      <c r="H740" s="241"/>
      <c r="I740" s="241"/>
      <c r="J740" s="241"/>
      <c r="K740" s="241"/>
      <c r="L740" s="241"/>
      <c r="M740" s="241"/>
      <c r="N740" s="241"/>
      <c r="O740" s="241"/>
      <c r="P740" s="241"/>
      <c r="Q740" s="241"/>
      <c r="R740" s="241"/>
      <c r="S740" s="241"/>
      <c r="T740" s="241"/>
      <c r="U740" s="241"/>
      <c r="V740" s="241"/>
      <c r="W740" s="241"/>
      <c r="X740" s="241"/>
      <c r="Y740" s="241"/>
      <c r="Z740" s="241"/>
      <c r="AA740" s="241"/>
    </row>
    <row r="741" spans="1:27" ht="13.5" customHeight="1" x14ac:dyDescent="0.3">
      <c r="A741" s="241"/>
      <c r="B741" s="241"/>
      <c r="C741" s="241"/>
      <c r="D741" s="241"/>
      <c r="E741" s="241"/>
      <c r="F741" s="241"/>
      <c r="G741" s="241"/>
      <c r="H741" s="241"/>
      <c r="I741" s="241"/>
      <c r="J741" s="241"/>
      <c r="K741" s="241"/>
      <c r="L741" s="241"/>
      <c r="M741" s="241"/>
      <c r="N741" s="241"/>
      <c r="O741" s="241"/>
      <c r="P741" s="241"/>
      <c r="Q741" s="241"/>
      <c r="R741" s="241"/>
      <c r="S741" s="241"/>
      <c r="T741" s="241"/>
      <c r="U741" s="241"/>
      <c r="V741" s="241"/>
      <c r="W741" s="241"/>
      <c r="X741" s="241"/>
      <c r="Y741" s="241"/>
      <c r="Z741" s="241"/>
      <c r="AA741" s="241"/>
    </row>
    <row r="742" spans="1:27" ht="13.5" customHeight="1" x14ac:dyDescent="0.3">
      <c r="A742" s="241"/>
      <c r="B742" s="241"/>
      <c r="C742" s="241"/>
      <c r="D742" s="241"/>
      <c r="E742" s="241"/>
      <c r="F742" s="241"/>
      <c r="G742" s="241"/>
      <c r="H742" s="241"/>
      <c r="I742" s="241"/>
      <c r="J742" s="241"/>
      <c r="K742" s="241"/>
      <c r="L742" s="241"/>
      <c r="M742" s="241"/>
      <c r="N742" s="241"/>
      <c r="O742" s="241"/>
      <c r="P742" s="241"/>
      <c r="Q742" s="241"/>
      <c r="R742" s="241"/>
      <c r="S742" s="241"/>
      <c r="T742" s="241"/>
      <c r="U742" s="241"/>
      <c r="V742" s="241"/>
      <c r="W742" s="241"/>
      <c r="X742" s="241"/>
      <c r="Y742" s="241"/>
      <c r="Z742" s="241"/>
      <c r="AA742" s="241"/>
    </row>
    <row r="743" spans="1:27" ht="13.5" customHeight="1" x14ac:dyDescent="0.3">
      <c r="A743" s="241"/>
      <c r="B743" s="241"/>
      <c r="C743" s="241"/>
      <c r="D743" s="241"/>
      <c r="E743" s="241"/>
      <c r="F743" s="241"/>
      <c r="G743" s="241"/>
      <c r="H743" s="241"/>
      <c r="I743" s="241"/>
      <c r="J743" s="241"/>
      <c r="K743" s="241"/>
      <c r="L743" s="241"/>
      <c r="M743" s="241"/>
      <c r="N743" s="241"/>
      <c r="O743" s="241"/>
      <c r="P743" s="241"/>
      <c r="Q743" s="241"/>
      <c r="R743" s="241"/>
      <c r="S743" s="241"/>
      <c r="T743" s="241"/>
      <c r="U743" s="241"/>
      <c r="V743" s="241"/>
      <c r="W743" s="241"/>
      <c r="X743" s="241"/>
      <c r="Y743" s="241"/>
      <c r="Z743" s="241"/>
      <c r="AA743" s="241"/>
    </row>
    <row r="744" spans="1:27" ht="13.5" customHeight="1" x14ac:dyDescent="0.3">
      <c r="A744" s="241"/>
      <c r="B744" s="241"/>
      <c r="C744" s="241"/>
      <c r="D744" s="241"/>
      <c r="E744" s="241"/>
      <c r="F744" s="241"/>
      <c r="G744" s="241"/>
      <c r="H744" s="241"/>
      <c r="I744" s="241"/>
      <c r="J744" s="241"/>
      <c r="K744" s="241"/>
      <c r="L744" s="241"/>
      <c r="M744" s="241"/>
      <c r="N744" s="241"/>
      <c r="O744" s="241"/>
      <c r="P744" s="241"/>
      <c r="Q744" s="241"/>
      <c r="R744" s="241"/>
      <c r="S744" s="241"/>
      <c r="T744" s="241"/>
      <c r="U744" s="241"/>
      <c r="V744" s="241"/>
      <c r="W744" s="241"/>
      <c r="X744" s="241"/>
      <c r="Y744" s="241"/>
      <c r="Z744" s="241"/>
      <c r="AA744" s="241"/>
    </row>
    <row r="745" spans="1:27" ht="13.5" customHeight="1" x14ac:dyDescent="0.3">
      <c r="A745" s="241"/>
      <c r="B745" s="241"/>
      <c r="C745" s="241"/>
      <c r="D745" s="241"/>
      <c r="E745" s="241"/>
      <c r="F745" s="241"/>
      <c r="G745" s="241"/>
      <c r="H745" s="241"/>
      <c r="I745" s="241"/>
      <c r="J745" s="241"/>
      <c r="K745" s="241"/>
      <c r="L745" s="241"/>
      <c r="M745" s="241"/>
      <c r="N745" s="241"/>
      <c r="O745" s="241"/>
      <c r="P745" s="241"/>
      <c r="Q745" s="241"/>
      <c r="R745" s="241"/>
      <c r="S745" s="241"/>
      <c r="T745" s="241"/>
      <c r="U745" s="241"/>
      <c r="V745" s="241"/>
      <c r="W745" s="241"/>
      <c r="X745" s="241"/>
      <c r="Y745" s="241"/>
      <c r="Z745" s="241"/>
      <c r="AA745" s="241"/>
    </row>
    <row r="746" spans="1:27" ht="13.5" customHeight="1" x14ac:dyDescent="0.3">
      <c r="A746" s="241"/>
      <c r="B746" s="241"/>
      <c r="C746" s="241"/>
      <c r="D746" s="241"/>
      <c r="E746" s="241"/>
      <c r="F746" s="241"/>
      <c r="G746" s="241"/>
      <c r="H746" s="241"/>
      <c r="I746" s="241"/>
      <c r="J746" s="241"/>
      <c r="K746" s="241"/>
      <c r="L746" s="241"/>
      <c r="M746" s="241"/>
      <c r="N746" s="241"/>
      <c r="O746" s="241"/>
      <c r="P746" s="241"/>
      <c r="Q746" s="241"/>
      <c r="R746" s="241"/>
      <c r="S746" s="241"/>
      <c r="T746" s="241"/>
      <c r="U746" s="241"/>
      <c r="V746" s="241"/>
      <c r="W746" s="241"/>
      <c r="X746" s="241"/>
      <c r="Y746" s="241"/>
      <c r="Z746" s="241"/>
      <c r="AA746" s="241"/>
    </row>
    <row r="747" spans="1:27" ht="13.5" customHeight="1" x14ac:dyDescent="0.3">
      <c r="A747" s="241"/>
      <c r="B747" s="241"/>
      <c r="C747" s="241"/>
      <c r="D747" s="241"/>
      <c r="E747" s="241"/>
      <c r="F747" s="241"/>
      <c r="G747" s="241"/>
      <c r="H747" s="241"/>
      <c r="I747" s="241"/>
      <c r="J747" s="241"/>
      <c r="K747" s="241"/>
      <c r="L747" s="241"/>
      <c r="M747" s="241"/>
      <c r="N747" s="241"/>
      <c r="O747" s="241"/>
      <c r="P747" s="241"/>
      <c r="Q747" s="241"/>
      <c r="R747" s="241"/>
      <c r="S747" s="241"/>
      <c r="T747" s="241"/>
      <c r="U747" s="241"/>
      <c r="V747" s="241"/>
      <c r="W747" s="241"/>
      <c r="X747" s="241"/>
      <c r="Y747" s="241"/>
      <c r="Z747" s="241"/>
      <c r="AA747" s="241"/>
    </row>
    <row r="748" spans="1:27" ht="13.5" customHeight="1" x14ac:dyDescent="0.3">
      <c r="A748" s="241"/>
      <c r="B748" s="241"/>
      <c r="C748" s="241"/>
      <c r="D748" s="241"/>
      <c r="E748" s="241"/>
      <c r="F748" s="241"/>
      <c r="G748" s="241"/>
      <c r="H748" s="241"/>
      <c r="I748" s="241"/>
      <c r="J748" s="241"/>
      <c r="K748" s="241"/>
      <c r="L748" s="241"/>
      <c r="M748" s="241"/>
      <c r="N748" s="241"/>
      <c r="O748" s="241"/>
      <c r="P748" s="241"/>
      <c r="Q748" s="241"/>
      <c r="R748" s="241"/>
      <c r="S748" s="241"/>
      <c r="T748" s="241"/>
      <c r="U748" s="241"/>
      <c r="V748" s="241"/>
      <c r="W748" s="241"/>
      <c r="X748" s="241"/>
      <c r="Y748" s="241"/>
      <c r="Z748" s="241"/>
      <c r="AA748" s="241"/>
    </row>
    <row r="749" spans="1:27" ht="13.5" customHeight="1" x14ac:dyDescent="0.3">
      <c r="A749" s="241"/>
      <c r="B749" s="241"/>
      <c r="C749" s="241"/>
      <c r="D749" s="241"/>
      <c r="E749" s="241"/>
      <c r="F749" s="241"/>
      <c r="G749" s="241"/>
      <c r="H749" s="241"/>
      <c r="I749" s="241"/>
      <c r="J749" s="241"/>
      <c r="K749" s="241"/>
      <c r="L749" s="241"/>
      <c r="M749" s="241"/>
      <c r="N749" s="241"/>
      <c r="O749" s="241"/>
      <c r="P749" s="241"/>
      <c r="Q749" s="241"/>
      <c r="R749" s="241"/>
      <c r="S749" s="241"/>
      <c r="T749" s="241"/>
      <c r="U749" s="241"/>
      <c r="V749" s="241"/>
      <c r="W749" s="241"/>
      <c r="X749" s="241"/>
      <c r="Y749" s="241"/>
      <c r="Z749" s="241"/>
      <c r="AA749" s="241"/>
    </row>
    <row r="750" spans="1:27" ht="13.5" customHeight="1" x14ac:dyDescent="0.3">
      <c r="A750" s="241"/>
      <c r="B750" s="241"/>
      <c r="C750" s="241"/>
      <c r="D750" s="241"/>
      <c r="E750" s="241"/>
      <c r="F750" s="241"/>
      <c r="G750" s="241"/>
      <c r="H750" s="241"/>
      <c r="I750" s="241"/>
      <c r="J750" s="241"/>
      <c r="K750" s="241"/>
      <c r="L750" s="241"/>
      <c r="M750" s="241"/>
      <c r="N750" s="241"/>
      <c r="O750" s="241"/>
      <c r="P750" s="241"/>
      <c r="Q750" s="241"/>
      <c r="R750" s="241"/>
      <c r="S750" s="241"/>
      <c r="T750" s="241"/>
      <c r="U750" s="241"/>
      <c r="V750" s="241"/>
      <c r="W750" s="241"/>
      <c r="X750" s="241"/>
      <c r="Y750" s="241"/>
      <c r="Z750" s="241"/>
      <c r="AA750" s="241"/>
    </row>
    <row r="751" spans="1:27" ht="13.5" customHeight="1" x14ac:dyDescent="0.3">
      <c r="A751" s="241"/>
      <c r="B751" s="241"/>
      <c r="C751" s="241"/>
      <c r="D751" s="241"/>
      <c r="E751" s="241"/>
      <c r="F751" s="241"/>
      <c r="G751" s="241"/>
      <c r="H751" s="241"/>
      <c r="I751" s="241"/>
      <c r="J751" s="241"/>
      <c r="K751" s="241"/>
      <c r="L751" s="241"/>
      <c r="M751" s="241"/>
      <c r="N751" s="241"/>
      <c r="O751" s="241"/>
      <c r="P751" s="241"/>
      <c r="Q751" s="241"/>
      <c r="R751" s="241"/>
      <c r="S751" s="241"/>
      <c r="T751" s="241"/>
      <c r="U751" s="241"/>
      <c r="V751" s="241"/>
      <c r="W751" s="241"/>
      <c r="X751" s="241"/>
      <c r="Y751" s="241"/>
      <c r="Z751" s="241"/>
      <c r="AA751" s="241"/>
    </row>
    <row r="752" spans="1:27" ht="13.5" customHeight="1" x14ac:dyDescent="0.3">
      <c r="A752" s="241"/>
      <c r="B752" s="241"/>
      <c r="C752" s="241"/>
      <c r="D752" s="241"/>
      <c r="E752" s="241"/>
      <c r="F752" s="241"/>
      <c r="G752" s="241"/>
      <c r="H752" s="241"/>
      <c r="I752" s="241"/>
      <c r="J752" s="241"/>
      <c r="K752" s="241"/>
      <c r="L752" s="241"/>
      <c r="M752" s="241"/>
      <c r="N752" s="241"/>
      <c r="O752" s="241"/>
      <c r="P752" s="241"/>
      <c r="Q752" s="241"/>
      <c r="R752" s="241"/>
      <c r="S752" s="241"/>
      <c r="T752" s="241"/>
      <c r="U752" s="241"/>
      <c r="V752" s="241"/>
      <c r="W752" s="241"/>
      <c r="X752" s="241"/>
      <c r="Y752" s="241"/>
      <c r="Z752" s="241"/>
      <c r="AA752" s="241"/>
    </row>
    <row r="753" spans="1:27" ht="13.5" customHeight="1" x14ac:dyDescent="0.3">
      <c r="A753" s="241"/>
      <c r="B753" s="241"/>
      <c r="C753" s="241"/>
      <c r="D753" s="241"/>
      <c r="E753" s="241"/>
      <c r="F753" s="241"/>
      <c r="G753" s="241"/>
      <c r="H753" s="241"/>
      <c r="I753" s="241"/>
      <c r="J753" s="241"/>
      <c r="K753" s="241"/>
      <c r="L753" s="241"/>
      <c r="M753" s="241"/>
      <c r="N753" s="241"/>
      <c r="O753" s="241"/>
      <c r="P753" s="241"/>
      <c r="Q753" s="241"/>
      <c r="R753" s="241"/>
      <c r="S753" s="241"/>
      <c r="T753" s="241"/>
      <c r="U753" s="241"/>
      <c r="V753" s="241"/>
      <c r="W753" s="241"/>
      <c r="X753" s="241"/>
      <c r="Y753" s="241"/>
      <c r="Z753" s="241"/>
      <c r="AA753" s="241"/>
    </row>
    <row r="754" spans="1:27" ht="13.5" customHeight="1" x14ac:dyDescent="0.3">
      <c r="A754" s="241"/>
      <c r="B754" s="241"/>
      <c r="C754" s="241"/>
      <c r="D754" s="241"/>
      <c r="E754" s="241"/>
      <c r="F754" s="241"/>
      <c r="G754" s="241"/>
      <c r="H754" s="241"/>
      <c r="I754" s="241"/>
      <c r="J754" s="241"/>
      <c r="K754" s="241"/>
      <c r="L754" s="241"/>
      <c r="M754" s="241"/>
      <c r="N754" s="241"/>
      <c r="O754" s="241"/>
      <c r="P754" s="241"/>
      <c r="Q754" s="241"/>
      <c r="R754" s="241"/>
      <c r="S754" s="241"/>
      <c r="T754" s="241"/>
      <c r="U754" s="241"/>
      <c r="V754" s="241"/>
      <c r="W754" s="241"/>
      <c r="X754" s="241"/>
      <c r="Y754" s="241"/>
      <c r="Z754" s="241"/>
      <c r="AA754" s="241"/>
    </row>
    <row r="755" spans="1:27" ht="13.5" customHeight="1" x14ac:dyDescent="0.3">
      <c r="A755" s="241"/>
      <c r="B755" s="241"/>
      <c r="C755" s="241"/>
      <c r="D755" s="241"/>
      <c r="E755" s="241"/>
      <c r="F755" s="241"/>
      <c r="G755" s="241"/>
      <c r="H755" s="241"/>
      <c r="I755" s="241"/>
      <c r="J755" s="241"/>
      <c r="K755" s="241"/>
      <c r="L755" s="241"/>
      <c r="M755" s="241"/>
      <c r="N755" s="241"/>
      <c r="O755" s="241"/>
      <c r="P755" s="241"/>
      <c r="Q755" s="241"/>
      <c r="R755" s="241"/>
      <c r="S755" s="241"/>
      <c r="T755" s="241"/>
      <c r="U755" s="241"/>
      <c r="V755" s="241"/>
      <c r="W755" s="241"/>
      <c r="X755" s="241"/>
      <c r="Y755" s="241"/>
      <c r="Z755" s="241"/>
      <c r="AA755" s="241"/>
    </row>
    <row r="756" spans="1:27" ht="13.5" customHeight="1" x14ac:dyDescent="0.3">
      <c r="A756" s="241"/>
      <c r="B756" s="241"/>
      <c r="C756" s="241"/>
      <c r="D756" s="241"/>
      <c r="E756" s="241"/>
      <c r="F756" s="241"/>
      <c r="G756" s="241"/>
      <c r="H756" s="241"/>
      <c r="I756" s="241"/>
      <c r="J756" s="241"/>
      <c r="K756" s="241"/>
      <c r="L756" s="241"/>
      <c r="M756" s="241"/>
      <c r="N756" s="241"/>
      <c r="O756" s="241"/>
      <c r="P756" s="241"/>
      <c r="Q756" s="241"/>
      <c r="R756" s="241"/>
      <c r="S756" s="241"/>
      <c r="T756" s="241"/>
      <c r="U756" s="241"/>
      <c r="V756" s="241"/>
      <c r="W756" s="241"/>
      <c r="X756" s="241"/>
      <c r="Y756" s="241"/>
      <c r="Z756" s="241"/>
      <c r="AA756" s="241"/>
    </row>
    <row r="757" spans="1:27" ht="13.5" customHeight="1" x14ac:dyDescent="0.3">
      <c r="A757" s="241"/>
      <c r="B757" s="241"/>
      <c r="C757" s="241"/>
      <c r="D757" s="241"/>
      <c r="E757" s="241"/>
      <c r="F757" s="241"/>
      <c r="G757" s="241"/>
      <c r="H757" s="241"/>
      <c r="I757" s="241"/>
      <c r="J757" s="241"/>
      <c r="K757" s="241"/>
      <c r="L757" s="241"/>
      <c r="M757" s="241"/>
      <c r="N757" s="241"/>
      <c r="O757" s="241"/>
      <c r="P757" s="241"/>
      <c r="Q757" s="241"/>
      <c r="R757" s="241"/>
      <c r="S757" s="241"/>
      <c r="T757" s="241"/>
      <c r="U757" s="241"/>
      <c r="V757" s="241"/>
      <c r="W757" s="241"/>
      <c r="X757" s="241"/>
      <c r="Y757" s="241"/>
      <c r="Z757" s="241"/>
      <c r="AA757" s="241"/>
    </row>
    <row r="758" spans="1:27" ht="13.5" customHeight="1" x14ac:dyDescent="0.3">
      <c r="A758" s="241"/>
      <c r="B758" s="241"/>
      <c r="C758" s="241"/>
      <c r="D758" s="241"/>
      <c r="E758" s="241"/>
      <c r="F758" s="241"/>
      <c r="G758" s="241"/>
      <c r="H758" s="241"/>
      <c r="I758" s="241"/>
      <c r="J758" s="241"/>
      <c r="K758" s="241"/>
      <c r="L758" s="241"/>
      <c r="M758" s="241"/>
      <c r="N758" s="241"/>
      <c r="O758" s="241"/>
      <c r="P758" s="241"/>
      <c r="Q758" s="241"/>
      <c r="R758" s="241"/>
      <c r="S758" s="241"/>
      <c r="T758" s="241"/>
      <c r="U758" s="241"/>
      <c r="V758" s="241"/>
      <c r="W758" s="241"/>
      <c r="X758" s="241"/>
      <c r="Y758" s="241"/>
      <c r="Z758" s="241"/>
      <c r="AA758" s="241"/>
    </row>
    <row r="759" spans="1:27" ht="13.5" customHeight="1" x14ac:dyDescent="0.3">
      <c r="A759" s="241"/>
      <c r="B759" s="241"/>
      <c r="C759" s="241"/>
      <c r="D759" s="241"/>
      <c r="E759" s="241"/>
      <c r="F759" s="241"/>
      <c r="G759" s="241"/>
      <c r="H759" s="241"/>
      <c r="I759" s="241"/>
      <c r="J759" s="241"/>
      <c r="K759" s="241"/>
      <c r="L759" s="241"/>
      <c r="M759" s="241"/>
      <c r="N759" s="241"/>
      <c r="O759" s="241"/>
      <c r="P759" s="241"/>
      <c r="Q759" s="241"/>
      <c r="R759" s="241"/>
      <c r="S759" s="241"/>
      <c r="T759" s="241"/>
      <c r="U759" s="241"/>
      <c r="V759" s="241"/>
      <c r="W759" s="241"/>
      <c r="X759" s="241"/>
      <c r="Y759" s="241"/>
      <c r="Z759" s="241"/>
      <c r="AA759" s="241"/>
    </row>
    <row r="760" spans="1:27" ht="13.5" customHeight="1" x14ac:dyDescent="0.3">
      <c r="A760" s="241"/>
      <c r="B760" s="241"/>
      <c r="C760" s="241"/>
      <c r="D760" s="241"/>
      <c r="E760" s="241"/>
      <c r="F760" s="241"/>
      <c r="G760" s="241"/>
      <c r="H760" s="241"/>
      <c r="I760" s="241"/>
      <c r="J760" s="241"/>
      <c r="K760" s="241"/>
      <c r="L760" s="241"/>
      <c r="M760" s="241"/>
      <c r="N760" s="241"/>
      <c r="O760" s="241"/>
      <c r="P760" s="241"/>
      <c r="Q760" s="241"/>
      <c r="R760" s="241"/>
      <c r="S760" s="241"/>
      <c r="T760" s="241"/>
      <c r="U760" s="241"/>
      <c r="V760" s="241"/>
      <c r="W760" s="241"/>
      <c r="X760" s="241"/>
      <c r="Y760" s="241"/>
      <c r="Z760" s="241"/>
      <c r="AA760" s="241"/>
    </row>
    <row r="761" spans="1:27" ht="13.5" customHeight="1" x14ac:dyDescent="0.3">
      <c r="A761" s="241"/>
      <c r="B761" s="241"/>
      <c r="C761" s="241"/>
      <c r="D761" s="241"/>
      <c r="E761" s="241"/>
      <c r="F761" s="241"/>
      <c r="G761" s="241"/>
      <c r="H761" s="241"/>
      <c r="I761" s="241"/>
      <c r="J761" s="241"/>
      <c r="K761" s="241"/>
      <c r="L761" s="241"/>
      <c r="M761" s="241"/>
      <c r="N761" s="241"/>
      <c r="O761" s="241"/>
      <c r="P761" s="241"/>
      <c r="Q761" s="241"/>
      <c r="R761" s="241"/>
      <c r="S761" s="241"/>
      <c r="T761" s="241"/>
      <c r="U761" s="241"/>
      <c r="V761" s="241"/>
      <c r="W761" s="241"/>
      <c r="X761" s="241"/>
      <c r="Y761" s="241"/>
      <c r="Z761" s="241"/>
      <c r="AA761" s="241"/>
    </row>
    <row r="762" spans="1:27" ht="13.5" customHeight="1" x14ac:dyDescent="0.3">
      <c r="A762" s="241"/>
      <c r="B762" s="241"/>
      <c r="C762" s="241"/>
      <c r="D762" s="241"/>
      <c r="E762" s="241"/>
      <c r="F762" s="241"/>
      <c r="G762" s="241"/>
      <c r="H762" s="241"/>
      <c r="I762" s="241"/>
      <c r="J762" s="241"/>
      <c r="K762" s="241"/>
      <c r="L762" s="241"/>
      <c r="M762" s="241"/>
      <c r="N762" s="241"/>
      <c r="O762" s="241"/>
      <c r="P762" s="241"/>
      <c r="Q762" s="241"/>
      <c r="R762" s="241"/>
      <c r="S762" s="241"/>
      <c r="T762" s="241"/>
      <c r="U762" s="241"/>
      <c r="V762" s="241"/>
      <c r="W762" s="241"/>
      <c r="X762" s="241"/>
      <c r="Y762" s="241"/>
      <c r="Z762" s="241"/>
      <c r="AA762" s="241"/>
    </row>
    <row r="763" spans="1:27" ht="13.5" customHeight="1" x14ac:dyDescent="0.3">
      <c r="A763" s="241"/>
      <c r="B763" s="241"/>
      <c r="C763" s="241"/>
      <c r="D763" s="241"/>
      <c r="E763" s="241"/>
      <c r="F763" s="241"/>
      <c r="G763" s="241"/>
      <c r="H763" s="241"/>
      <c r="I763" s="241"/>
      <c r="J763" s="241"/>
      <c r="K763" s="241"/>
      <c r="L763" s="241"/>
      <c r="M763" s="241"/>
      <c r="N763" s="241"/>
      <c r="O763" s="241"/>
      <c r="P763" s="241"/>
      <c r="Q763" s="241"/>
      <c r="R763" s="241"/>
      <c r="S763" s="241"/>
      <c r="T763" s="241"/>
      <c r="U763" s="241"/>
      <c r="V763" s="241"/>
      <c r="W763" s="241"/>
      <c r="X763" s="241"/>
      <c r="Y763" s="241"/>
      <c r="Z763" s="241"/>
      <c r="AA763" s="241"/>
    </row>
    <row r="764" spans="1:27" ht="13.5" customHeight="1" x14ac:dyDescent="0.3">
      <c r="A764" s="241"/>
      <c r="B764" s="241"/>
      <c r="C764" s="241"/>
      <c r="D764" s="241"/>
      <c r="E764" s="241"/>
      <c r="F764" s="241"/>
      <c r="G764" s="241"/>
      <c r="H764" s="241"/>
      <c r="I764" s="241"/>
      <c r="J764" s="241"/>
      <c r="K764" s="241"/>
      <c r="L764" s="241"/>
      <c r="M764" s="241"/>
      <c r="N764" s="241"/>
      <c r="O764" s="241"/>
      <c r="P764" s="241"/>
      <c r="Q764" s="241"/>
      <c r="R764" s="241"/>
      <c r="S764" s="241"/>
      <c r="T764" s="241"/>
      <c r="U764" s="241"/>
      <c r="V764" s="241"/>
      <c r="W764" s="241"/>
      <c r="X764" s="241"/>
      <c r="Y764" s="241"/>
      <c r="Z764" s="241"/>
      <c r="AA764" s="241"/>
    </row>
    <row r="765" spans="1:27" ht="13.5" customHeight="1" x14ac:dyDescent="0.3">
      <c r="A765" s="241"/>
      <c r="B765" s="241"/>
      <c r="C765" s="241"/>
      <c r="D765" s="241"/>
      <c r="E765" s="241"/>
      <c r="F765" s="241"/>
      <c r="G765" s="241"/>
      <c r="H765" s="241"/>
      <c r="I765" s="241"/>
      <c r="J765" s="241"/>
      <c r="K765" s="241"/>
      <c r="L765" s="241"/>
      <c r="M765" s="241"/>
      <c r="N765" s="241"/>
      <c r="O765" s="241"/>
      <c r="P765" s="241"/>
      <c r="Q765" s="241"/>
      <c r="R765" s="241"/>
      <c r="S765" s="241"/>
      <c r="T765" s="241"/>
      <c r="U765" s="241"/>
      <c r="V765" s="241"/>
      <c r="W765" s="241"/>
      <c r="X765" s="241"/>
      <c r="Y765" s="241"/>
      <c r="Z765" s="241"/>
      <c r="AA765" s="241"/>
    </row>
    <row r="766" spans="1:27" ht="13.5" customHeight="1" x14ac:dyDescent="0.3">
      <c r="A766" s="241"/>
      <c r="B766" s="241"/>
      <c r="C766" s="241"/>
      <c r="D766" s="241"/>
      <c r="E766" s="241"/>
      <c r="F766" s="241"/>
      <c r="G766" s="241"/>
      <c r="H766" s="241"/>
      <c r="I766" s="241"/>
      <c r="J766" s="241"/>
      <c r="K766" s="241"/>
      <c r="L766" s="241"/>
      <c r="M766" s="241"/>
      <c r="N766" s="241"/>
      <c r="O766" s="241"/>
      <c r="P766" s="241"/>
      <c r="Q766" s="241"/>
      <c r="R766" s="241"/>
      <c r="S766" s="241"/>
      <c r="T766" s="241"/>
      <c r="U766" s="241"/>
      <c r="V766" s="241"/>
      <c r="W766" s="241"/>
      <c r="X766" s="241"/>
      <c r="Y766" s="241"/>
      <c r="Z766" s="241"/>
      <c r="AA766" s="241"/>
    </row>
    <row r="767" spans="1:27" ht="13.5" customHeight="1" x14ac:dyDescent="0.3">
      <c r="A767" s="241"/>
      <c r="B767" s="241"/>
      <c r="C767" s="241"/>
      <c r="D767" s="241"/>
      <c r="E767" s="241"/>
      <c r="F767" s="241"/>
      <c r="G767" s="241"/>
      <c r="H767" s="241"/>
      <c r="I767" s="241"/>
      <c r="J767" s="241"/>
      <c r="K767" s="241"/>
      <c r="L767" s="241"/>
      <c r="M767" s="241"/>
      <c r="N767" s="241"/>
      <c r="O767" s="241"/>
      <c r="P767" s="241"/>
      <c r="Q767" s="241"/>
      <c r="R767" s="241"/>
      <c r="S767" s="241"/>
      <c r="T767" s="241"/>
      <c r="U767" s="241"/>
      <c r="V767" s="241"/>
      <c r="W767" s="241"/>
      <c r="X767" s="241"/>
      <c r="Y767" s="241"/>
      <c r="Z767" s="241"/>
      <c r="AA767" s="241"/>
    </row>
    <row r="768" spans="1:27" ht="13.5" customHeight="1" x14ac:dyDescent="0.3">
      <c r="A768" s="241"/>
      <c r="B768" s="241"/>
      <c r="C768" s="241"/>
      <c r="D768" s="241"/>
      <c r="E768" s="241"/>
      <c r="F768" s="241"/>
      <c r="G768" s="241"/>
      <c r="H768" s="241"/>
      <c r="I768" s="241"/>
      <c r="J768" s="241"/>
      <c r="K768" s="241"/>
      <c r="L768" s="241"/>
      <c r="M768" s="241"/>
      <c r="N768" s="241"/>
      <c r="O768" s="241"/>
      <c r="P768" s="241"/>
      <c r="Q768" s="241"/>
      <c r="R768" s="241"/>
      <c r="S768" s="241"/>
      <c r="T768" s="241"/>
      <c r="U768" s="241"/>
      <c r="V768" s="241"/>
      <c r="W768" s="241"/>
      <c r="X768" s="241"/>
      <c r="Y768" s="241"/>
      <c r="Z768" s="241"/>
      <c r="AA768" s="241"/>
    </row>
    <row r="769" spans="1:27" ht="13.5" customHeight="1" x14ac:dyDescent="0.3">
      <c r="A769" s="241"/>
      <c r="B769" s="241"/>
      <c r="C769" s="241"/>
      <c r="D769" s="241"/>
      <c r="E769" s="241"/>
      <c r="F769" s="241"/>
      <c r="G769" s="241"/>
      <c r="H769" s="241"/>
      <c r="I769" s="241"/>
      <c r="J769" s="241"/>
      <c r="K769" s="241"/>
      <c r="L769" s="241"/>
      <c r="M769" s="241"/>
      <c r="N769" s="241"/>
      <c r="O769" s="241"/>
      <c r="P769" s="241"/>
      <c r="Q769" s="241"/>
      <c r="R769" s="241"/>
      <c r="S769" s="241"/>
      <c r="T769" s="241"/>
      <c r="U769" s="241"/>
      <c r="V769" s="241"/>
      <c r="W769" s="241"/>
      <c r="X769" s="241"/>
      <c r="Y769" s="241"/>
      <c r="Z769" s="241"/>
      <c r="AA769" s="241"/>
    </row>
    <row r="770" spans="1:27" ht="13.5" customHeight="1" x14ac:dyDescent="0.3">
      <c r="A770" s="241"/>
      <c r="B770" s="241"/>
      <c r="C770" s="241"/>
      <c r="D770" s="241"/>
      <c r="E770" s="241"/>
      <c r="F770" s="241"/>
      <c r="G770" s="241"/>
      <c r="H770" s="241"/>
      <c r="I770" s="241"/>
      <c r="J770" s="241"/>
      <c r="K770" s="241"/>
      <c r="L770" s="241"/>
      <c r="M770" s="241"/>
      <c r="N770" s="241"/>
      <c r="O770" s="241"/>
      <c r="P770" s="241"/>
      <c r="Q770" s="241"/>
      <c r="R770" s="241"/>
      <c r="S770" s="241"/>
      <c r="T770" s="241"/>
      <c r="U770" s="241"/>
      <c r="V770" s="241"/>
      <c r="W770" s="241"/>
      <c r="X770" s="241"/>
      <c r="Y770" s="241"/>
      <c r="Z770" s="241"/>
      <c r="AA770" s="241"/>
    </row>
    <row r="771" spans="1:27" ht="13.5" customHeight="1" x14ac:dyDescent="0.3">
      <c r="A771" s="241"/>
      <c r="B771" s="241"/>
      <c r="C771" s="241"/>
      <c r="D771" s="241"/>
      <c r="E771" s="241"/>
      <c r="F771" s="241"/>
      <c r="G771" s="241"/>
      <c r="H771" s="241"/>
      <c r="I771" s="241"/>
      <c r="J771" s="241"/>
      <c r="K771" s="241"/>
      <c r="L771" s="241"/>
      <c r="M771" s="241"/>
      <c r="N771" s="241"/>
      <c r="O771" s="241"/>
      <c r="P771" s="241"/>
      <c r="Q771" s="241"/>
      <c r="R771" s="241"/>
      <c r="S771" s="241"/>
      <c r="T771" s="241"/>
      <c r="U771" s="241"/>
      <c r="V771" s="241"/>
      <c r="W771" s="241"/>
      <c r="X771" s="241"/>
      <c r="Y771" s="241"/>
      <c r="Z771" s="241"/>
      <c r="AA771" s="241"/>
    </row>
    <row r="772" spans="1:27" ht="13.5" customHeight="1" x14ac:dyDescent="0.3">
      <c r="A772" s="241"/>
      <c r="B772" s="241"/>
      <c r="C772" s="241"/>
      <c r="D772" s="241"/>
      <c r="E772" s="241"/>
      <c r="F772" s="241"/>
      <c r="G772" s="241"/>
      <c r="H772" s="241"/>
      <c r="I772" s="241"/>
      <c r="J772" s="241"/>
      <c r="K772" s="241"/>
      <c r="L772" s="241"/>
      <c r="M772" s="241"/>
      <c r="N772" s="241"/>
      <c r="O772" s="241"/>
      <c r="P772" s="241"/>
      <c r="Q772" s="241"/>
      <c r="R772" s="241"/>
      <c r="S772" s="241"/>
      <c r="T772" s="241"/>
      <c r="U772" s="241"/>
      <c r="V772" s="241"/>
      <c r="W772" s="241"/>
      <c r="X772" s="241"/>
      <c r="Y772" s="241"/>
      <c r="Z772" s="241"/>
      <c r="AA772" s="241"/>
    </row>
    <row r="773" spans="1:27" ht="13.5" customHeight="1" x14ac:dyDescent="0.3">
      <c r="A773" s="241"/>
      <c r="B773" s="241"/>
      <c r="C773" s="241"/>
      <c r="D773" s="241"/>
      <c r="E773" s="241"/>
      <c r="F773" s="241"/>
      <c r="G773" s="241"/>
      <c r="H773" s="241"/>
      <c r="I773" s="241"/>
      <c r="J773" s="241"/>
      <c r="K773" s="241"/>
      <c r="L773" s="241"/>
      <c r="M773" s="241"/>
      <c r="N773" s="241"/>
      <c r="O773" s="241"/>
      <c r="P773" s="241"/>
      <c r="Q773" s="241"/>
      <c r="R773" s="241"/>
      <c r="S773" s="241"/>
      <c r="T773" s="241"/>
      <c r="U773" s="241"/>
      <c r="V773" s="241"/>
      <c r="W773" s="241"/>
      <c r="X773" s="241"/>
      <c r="Y773" s="241"/>
      <c r="Z773" s="241"/>
      <c r="AA773" s="241"/>
    </row>
    <row r="774" spans="1:27" ht="13.5" customHeight="1" x14ac:dyDescent="0.3">
      <c r="A774" s="241"/>
      <c r="B774" s="241"/>
      <c r="C774" s="241"/>
      <c r="D774" s="241"/>
      <c r="E774" s="241"/>
      <c r="F774" s="241"/>
      <c r="G774" s="241"/>
      <c r="H774" s="241"/>
      <c r="I774" s="241"/>
      <c r="J774" s="241"/>
      <c r="K774" s="241"/>
      <c r="L774" s="241"/>
      <c r="M774" s="241"/>
      <c r="N774" s="241"/>
      <c r="O774" s="241"/>
      <c r="P774" s="241"/>
      <c r="Q774" s="241"/>
      <c r="R774" s="241"/>
      <c r="S774" s="241"/>
      <c r="T774" s="241"/>
      <c r="U774" s="241"/>
      <c r="V774" s="241"/>
      <c r="W774" s="241"/>
      <c r="X774" s="241"/>
      <c r="Y774" s="241"/>
      <c r="Z774" s="241"/>
      <c r="AA774" s="241"/>
    </row>
    <row r="775" spans="1:27" ht="13.5" customHeight="1" x14ac:dyDescent="0.3">
      <c r="A775" s="241"/>
      <c r="B775" s="241"/>
      <c r="C775" s="241"/>
      <c r="D775" s="241"/>
      <c r="E775" s="241"/>
      <c r="F775" s="241"/>
      <c r="G775" s="241"/>
      <c r="H775" s="241"/>
      <c r="I775" s="241"/>
      <c r="J775" s="241"/>
      <c r="K775" s="241"/>
      <c r="L775" s="241"/>
      <c r="M775" s="241"/>
      <c r="N775" s="241"/>
      <c r="O775" s="241"/>
      <c r="P775" s="241"/>
      <c r="Q775" s="241"/>
      <c r="R775" s="241"/>
      <c r="S775" s="241"/>
      <c r="T775" s="241"/>
      <c r="U775" s="241"/>
      <c r="V775" s="241"/>
      <c r="W775" s="241"/>
      <c r="X775" s="241"/>
      <c r="Y775" s="241"/>
      <c r="Z775" s="241"/>
      <c r="AA775" s="241"/>
    </row>
    <row r="776" spans="1:27" ht="13.5" customHeight="1" x14ac:dyDescent="0.3">
      <c r="A776" s="241"/>
      <c r="B776" s="241"/>
      <c r="C776" s="241"/>
      <c r="D776" s="241"/>
      <c r="E776" s="241"/>
      <c r="F776" s="241"/>
      <c r="G776" s="241"/>
      <c r="H776" s="241"/>
      <c r="I776" s="241"/>
      <c r="J776" s="241"/>
      <c r="K776" s="241"/>
      <c r="L776" s="241"/>
      <c r="M776" s="241"/>
      <c r="N776" s="241"/>
      <c r="O776" s="241"/>
      <c r="P776" s="241"/>
      <c r="Q776" s="241"/>
      <c r="R776" s="241"/>
      <c r="S776" s="241"/>
      <c r="T776" s="241"/>
      <c r="U776" s="241"/>
      <c r="V776" s="241"/>
      <c r="W776" s="241"/>
      <c r="X776" s="241"/>
      <c r="Y776" s="241"/>
      <c r="Z776" s="241"/>
      <c r="AA776" s="241"/>
    </row>
    <row r="777" spans="1:27" ht="13.5" customHeight="1" x14ac:dyDescent="0.3">
      <c r="A777" s="241"/>
      <c r="B777" s="241"/>
      <c r="C777" s="241"/>
      <c r="D777" s="241"/>
      <c r="E777" s="241"/>
      <c r="F777" s="241"/>
      <c r="G777" s="241"/>
      <c r="H777" s="241"/>
      <c r="I777" s="241"/>
      <c r="J777" s="241"/>
      <c r="K777" s="241"/>
      <c r="L777" s="241"/>
      <c r="M777" s="241"/>
      <c r="N777" s="241"/>
      <c r="O777" s="241"/>
      <c r="P777" s="241"/>
      <c r="Q777" s="241"/>
      <c r="R777" s="241"/>
      <c r="S777" s="241"/>
      <c r="T777" s="241"/>
      <c r="U777" s="241"/>
      <c r="V777" s="241"/>
      <c r="W777" s="241"/>
      <c r="X777" s="241"/>
      <c r="Y777" s="241"/>
      <c r="Z777" s="241"/>
      <c r="AA777" s="241"/>
    </row>
    <row r="778" spans="1:27" ht="13.5" customHeight="1" x14ac:dyDescent="0.3">
      <c r="A778" s="241"/>
      <c r="B778" s="241"/>
      <c r="C778" s="241"/>
      <c r="D778" s="241"/>
      <c r="E778" s="241"/>
      <c r="F778" s="241"/>
      <c r="G778" s="241"/>
      <c r="H778" s="241"/>
      <c r="I778" s="241"/>
      <c r="J778" s="241"/>
      <c r="K778" s="241"/>
      <c r="L778" s="241"/>
      <c r="M778" s="241"/>
      <c r="N778" s="241"/>
      <c r="O778" s="241"/>
      <c r="P778" s="241"/>
      <c r="Q778" s="241"/>
      <c r="R778" s="241"/>
      <c r="S778" s="241"/>
      <c r="T778" s="241"/>
      <c r="U778" s="241"/>
      <c r="V778" s="241"/>
      <c r="W778" s="241"/>
      <c r="X778" s="241"/>
      <c r="Y778" s="241"/>
      <c r="Z778" s="241"/>
      <c r="AA778" s="241"/>
    </row>
    <row r="779" spans="1:27" ht="13.5" customHeight="1" x14ac:dyDescent="0.3">
      <c r="A779" s="241"/>
      <c r="B779" s="241"/>
      <c r="C779" s="241"/>
      <c r="D779" s="241"/>
      <c r="E779" s="241"/>
      <c r="F779" s="241"/>
      <c r="G779" s="241"/>
      <c r="H779" s="241"/>
      <c r="I779" s="241"/>
      <c r="J779" s="241"/>
      <c r="K779" s="241"/>
      <c r="L779" s="241"/>
      <c r="M779" s="241"/>
      <c r="N779" s="241"/>
      <c r="O779" s="241"/>
      <c r="P779" s="241"/>
      <c r="Q779" s="241"/>
      <c r="R779" s="241"/>
      <c r="S779" s="241"/>
      <c r="T779" s="241"/>
      <c r="U779" s="241"/>
      <c r="V779" s="241"/>
      <c r="W779" s="241"/>
      <c r="X779" s="241"/>
      <c r="Y779" s="241"/>
      <c r="Z779" s="241"/>
      <c r="AA779" s="241"/>
    </row>
    <row r="780" spans="1:27" ht="13.5" customHeight="1" x14ac:dyDescent="0.3">
      <c r="A780" s="241"/>
      <c r="B780" s="241"/>
      <c r="C780" s="241"/>
      <c r="D780" s="241"/>
      <c r="E780" s="241"/>
      <c r="F780" s="241"/>
      <c r="G780" s="241"/>
      <c r="H780" s="241"/>
      <c r="I780" s="241"/>
      <c r="J780" s="241"/>
      <c r="K780" s="241"/>
      <c r="L780" s="241"/>
      <c r="M780" s="241"/>
      <c r="N780" s="241"/>
      <c r="O780" s="241"/>
      <c r="P780" s="241"/>
      <c r="Q780" s="241"/>
      <c r="R780" s="241"/>
      <c r="S780" s="241"/>
      <c r="T780" s="241"/>
      <c r="U780" s="241"/>
      <c r="V780" s="241"/>
      <c r="W780" s="241"/>
      <c r="X780" s="241"/>
      <c r="Y780" s="241"/>
      <c r="Z780" s="241"/>
      <c r="AA780" s="241"/>
    </row>
    <row r="781" spans="1:27" ht="13.5" customHeight="1" x14ac:dyDescent="0.3">
      <c r="A781" s="241"/>
      <c r="B781" s="241"/>
      <c r="C781" s="241"/>
      <c r="D781" s="241"/>
      <c r="E781" s="241"/>
      <c r="F781" s="241"/>
      <c r="G781" s="241"/>
      <c r="H781" s="241"/>
      <c r="I781" s="241"/>
      <c r="J781" s="241"/>
      <c r="K781" s="241"/>
      <c r="L781" s="241"/>
      <c r="M781" s="241"/>
      <c r="N781" s="241"/>
      <c r="O781" s="241"/>
      <c r="P781" s="241"/>
      <c r="Q781" s="241"/>
      <c r="R781" s="241"/>
      <c r="S781" s="241"/>
      <c r="T781" s="241"/>
      <c r="U781" s="241"/>
      <c r="V781" s="241"/>
      <c r="W781" s="241"/>
      <c r="X781" s="241"/>
      <c r="Y781" s="241"/>
      <c r="Z781" s="241"/>
      <c r="AA781" s="241"/>
    </row>
    <row r="782" spans="1:27" ht="13.5" customHeight="1" x14ac:dyDescent="0.3">
      <c r="A782" s="241"/>
      <c r="B782" s="241"/>
      <c r="C782" s="241"/>
      <c r="D782" s="241"/>
      <c r="E782" s="241"/>
      <c r="F782" s="241"/>
      <c r="G782" s="241"/>
      <c r="H782" s="241"/>
      <c r="I782" s="241"/>
      <c r="J782" s="241"/>
      <c r="K782" s="241"/>
      <c r="L782" s="241"/>
      <c r="M782" s="241"/>
      <c r="N782" s="241"/>
      <c r="O782" s="241"/>
      <c r="P782" s="241"/>
      <c r="Q782" s="241"/>
      <c r="R782" s="241"/>
      <c r="S782" s="241"/>
      <c r="T782" s="241"/>
      <c r="U782" s="241"/>
      <c r="V782" s="241"/>
      <c r="W782" s="241"/>
      <c r="X782" s="241"/>
      <c r="Y782" s="241"/>
      <c r="Z782" s="241"/>
      <c r="AA782" s="241"/>
    </row>
    <row r="783" spans="1:27" ht="13.5" customHeight="1" x14ac:dyDescent="0.3">
      <c r="A783" s="241"/>
      <c r="B783" s="241"/>
      <c r="C783" s="241"/>
      <c r="D783" s="241"/>
      <c r="E783" s="241"/>
      <c r="F783" s="241"/>
      <c r="G783" s="241"/>
      <c r="H783" s="241"/>
      <c r="I783" s="241"/>
      <c r="J783" s="241"/>
      <c r="K783" s="241"/>
      <c r="L783" s="241"/>
      <c r="M783" s="241"/>
      <c r="N783" s="241"/>
      <c r="O783" s="241"/>
      <c r="P783" s="241"/>
      <c r="Q783" s="241"/>
      <c r="R783" s="241"/>
      <c r="S783" s="241"/>
      <c r="T783" s="241"/>
      <c r="U783" s="241"/>
      <c r="V783" s="241"/>
      <c r="W783" s="241"/>
      <c r="X783" s="241"/>
      <c r="Y783" s="241"/>
      <c r="Z783" s="241"/>
      <c r="AA783" s="241"/>
    </row>
    <row r="784" spans="1:27" ht="13.5" customHeight="1" x14ac:dyDescent="0.3">
      <c r="A784" s="241"/>
      <c r="B784" s="241"/>
      <c r="C784" s="241"/>
      <c r="D784" s="241"/>
      <c r="E784" s="241"/>
      <c r="F784" s="241"/>
      <c r="G784" s="241"/>
      <c r="H784" s="241"/>
      <c r="I784" s="241"/>
      <c r="J784" s="241"/>
      <c r="K784" s="241"/>
      <c r="L784" s="241"/>
      <c r="M784" s="241"/>
      <c r="N784" s="241"/>
      <c r="O784" s="241"/>
      <c r="P784" s="241"/>
      <c r="Q784" s="241"/>
      <c r="R784" s="241"/>
      <c r="S784" s="241"/>
      <c r="T784" s="241"/>
      <c r="U784" s="241"/>
      <c r="V784" s="241"/>
      <c r="W784" s="241"/>
      <c r="X784" s="241"/>
      <c r="Y784" s="241"/>
      <c r="Z784" s="241"/>
      <c r="AA784" s="241"/>
    </row>
    <row r="785" spans="1:27" ht="13.5" customHeight="1" x14ac:dyDescent="0.3">
      <c r="A785" s="241"/>
      <c r="B785" s="241"/>
      <c r="C785" s="241"/>
      <c r="D785" s="241"/>
      <c r="E785" s="241"/>
      <c r="F785" s="241"/>
      <c r="G785" s="241"/>
      <c r="H785" s="241"/>
      <c r="I785" s="241"/>
      <c r="J785" s="241"/>
      <c r="K785" s="241"/>
      <c r="L785" s="241"/>
      <c r="M785" s="241"/>
      <c r="N785" s="241"/>
      <c r="O785" s="241"/>
      <c r="P785" s="241"/>
      <c r="Q785" s="241"/>
      <c r="R785" s="241"/>
      <c r="S785" s="241"/>
      <c r="T785" s="241"/>
      <c r="U785" s="241"/>
      <c r="V785" s="241"/>
      <c r="W785" s="241"/>
      <c r="X785" s="241"/>
      <c r="Y785" s="241"/>
      <c r="Z785" s="241"/>
      <c r="AA785" s="241"/>
    </row>
    <row r="786" spans="1:27" ht="13.5" customHeight="1" x14ac:dyDescent="0.3">
      <c r="A786" s="241"/>
      <c r="B786" s="241"/>
      <c r="C786" s="241"/>
      <c r="D786" s="241"/>
      <c r="E786" s="241"/>
      <c r="F786" s="241"/>
      <c r="G786" s="241"/>
      <c r="H786" s="241"/>
      <c r="I786" s="241"/>
      <c r="J786" s="241"/>
      <c r="K786" s="241"/>
      <c r="L786" s="241"/>
      <c r="M786" s="241"/>
      <c r="N786" s="241"/>
      <c r="O786" s="241"/>
      <c r="P786" s="241"/>
      <c r="Q786" s="241"/>
      <c r="R786" s="241"/>
      <c r="S786" s="241"/>
      <c r="T786" s="241"/>
      <c r="U786" s="241"/>
      <c r="V786" s="241"/>
      <c r="W786" s="241"/>
      <c r="X786" s="241"/>
      <c r="Y786" s="241"/>
      <c r="Z786" s="241"/>
      <c r="AA786" s="241"/>
    </row>
    <row r="787" spans="1:27" ht="13.5" customHeight="1" x14ac:dyDescent="0.3">
      <c r="A787" s="241"/>
      <c r="B787" s="241"/>
      <c r="C787" s="241"/>
      <c r="D787" s="241"/>
      <c r="E787" s="241"/>
      <c r="F787" s="241"/>
      <c r="G787" s="241"/>
      <c r="H787" s="241"/>
      <c r="I787" s="241"/>
      <c r="J787" s="241"/>
      <c r="K787" s="241"/>
      <c r="L787" s="241"/>
      <c r="M787" s="241"/>
      <c r="N787" s="241"/>
      <c r="O787" s="241"/>
      <c r="P787" s="241"/>
      <c r="Q787" s="241"/>
      <c r="R787" s="241"/>
      <c r="S787" s="241"/>
      <c r="T787" s="241"/>
      <c r="U787" s="241"/>
      <c r="V787" s="241"/>
      <c r="W787" s="241"/>
      <c r="X787" s="241"/>
      <c r="Y787" s="241"/>
      <c r="Z787" s="241"/>
      <c r="AA787" s="241"/>
    </row>
    <row r="788" spans="1:27" ht="13.5" customHeight="1" x14ac:dyDescent="0.3">
      <c r="A788" s="241"/>
      <c r="B788" s="241"/>
      <c r="C788" s="241"/>
      <c r="D788" s="241"/>
      <c r="E788" s="241"/>
      <c r="F788" s="241"/>
      <c r="G788" s="241"/>
      <c r="H788" s="241"/>
      <c r="I788" s="241"/>
      <c r="J788" s="241"/>
      <c r="K788" s="241"/>
      <c r="L788" s="241"/>
      <c r="M788" s="241"/>
      <c r="N788" s="241"/>
      <c r="O788" s="241"/>
      <c r="P788" s="241"/>
      <c r="Q788" s="241"/>
      <c r="R788" s="241"/>
      <c r="S788" s="241"/>
      <c r="T788" s="241"/>
      <c r="U788" s="241"/>
      <c r="V788" s="241"/>
      <c r="W788" s="241"/>
      <c r="X788" s="241"/>
      <c r="Y788" s="241"/>
      <c r="Z788" s="241"/>
      <c r="AA788" s="241"/>
    </row>
    <row r="789" spans="1:27" ht="13.5" customHeight="1" x14ac:dyDescent="0.3">
      <c r="A789" s="241"/>
      <c r="B789" s="241"/>
      <c r="C789" s="241"/>
      <c r="D789" s="241"/>
      <c r="E789" s="241"/>
      <c r="F789" s="241"/>
      <c r="G789" s="241"/>
      <c r="H789" s="241"/>
      <c r="I789" s="241"/>
      <c r="J789" s="241"/>
      <c r="K789" s="241"/>
      <c r="L789" s="241"/>
      <c r="M789" s="241"/>
      <c r="N789" s="241"/>
      <c r="O789" s="241"/>
      <c r="P789" s="241"/>
      <c r="Q789" s="241"/>
      <c r="R789" s="241"/>
      <c r="S789" s="241"/>
      <c r="T789" s="241"/>
      <c r="U789" s="241"/>
      <c r="V789" s="241"/>
      <c r="W789" s="241"/>
      <c r="X789" s="241"/>
      <c r="Y789" s="241"/>
      <c r="Z789" s="241"/>
      <c r="AA789" s="241"/>
    </row>
    <row r="790" spans="1:27" ht="13.5" customHeight="1" x14ac:dyDescent="0.3">
      <c r="A790" s="241"/>
      <c r="B790" s="241"/>
      <c r="C790" s="241"/>
      <c r="D790" s="241"/>
      <c r="E790" s="241"/>
      <c r="F790" s="241"/>
      <c r="G790" s="241"/>
      <c r="H790" s="241"/>
      <c r="I790" s="241"/>
      <c r="J790" s="241"/>
      <c r="K790" s="241"/>
      <c r="L790" s="241"/>
      <c r="M790" s="241"/>
      <c r="N790" s="241"/>
      <c r="O790" s="241"/>
      <c r="P790" s="241"/>
      <c r="Q790" s="241"/>
      <c r="R790" s="241"/>
      <c r="S790" s="241"/>
      <c r="T790" s="241"/>
      <c r="U790" s="241"/>
      <c r="V790" s="241"/>
      <c r="W790" s="241"/>
      <c r="X790" s="241"/>
      <c r="Y790" s="241"/>
      <c r="Z790" s="241"/>
      <c r="AA790" s="241"/>
    </row>
    <row r="791" spans="1:27" ht="13.5" customHeight="1" x14ac:dyDescent="0.3">
      <c r="A791" s="241"/>
      <c r="B791" s="241"/>
      <c r="C791" s="241"/>
      <c r="D791" s="241"/>
      <c r="E791" s="241"/>
      <c r="F791" s="241"/>
      <c r="G791" s="241"/>
      <c r="H791" s="241"/>
      <c r="I791" s="241"/>
      <c r="J791" s="241"/>
      <c r="K791" s="241"/>
      <c r="L791" s="241"/>
      <c r="M791" s="241"/>
      <c r="N791" s="241"/>
      <c r="O791" s="241"/>
      <c r="P791" s="241"/>
      <c r="Q791" s="241"/>
      <c r="R791" s="241"/>
      <c r="S791" s="241"/>
      <c r="T791" s="241"/>
      <c r="U791" s="241"/>
      <c r="V791" s="241"/>
      <c r="W791" s="241"/>
      <c r="X791" s="241"/>
      <c r="Y791" s="241"/>
      <c r="Z791" s="241"/>
      <c r="AA791" s="241"/>
    </row>
    <row r="792" spans="1:27" ht="13.5" customHeight="1" x14ac:dyDescent="0.3">
      <c r="A792" s="241"/>
      <c r="B792" s="241"/>
      <c r="C792" s="241"/>
      <c r="D792" s="241"/>
      <c r="E792" s="241"/>
      <c r="F792" s="241"/>
      <c r="G792" s="241"/>
      <c r="H792" s="241"/>
      <c r="I792" s="241"/>
      <c r="J792" s="241"/>
      <c r="K792" s="241"/>
      <c r="L792" s="241"/>
      <c r="M792" s="241"/>
      <c r="N792" s="241"/>
      <c r="O792" s="241"/>
      <c r="P792" s="241"/>
      <c r="Q792" s="241"/>
      <c r="R792" s="241"/>
      <c r="S792" s="241"/>
      <c r="T792" s="241"/>
      <c r="U792" s="241"/>
      <c r="V792" s="241"/>
      <c r="W792" s="241"/>
      <c r="X792" s="241"/>
      <c r="Y792" s="241"/>
      <c r="Z792" s="241"/>
      <c r="AA792" s="241"/>
    </row>
    <row r="793" spans="1:27" ht="13.5" customHeight="1" x14ac:dyDescent="0.3">
      <c r="A793" s="241"/>
      <c r="B793" s="241"/>
      <c r="C793" s="241"/>
      <c r="D793" s="241"/>
      <c r="E793" s="241"/>
      <c r="F793" s="241"/>
      <c r="G793" s="241"/>
      <c r="H793" s="241"/>
      <c r="I793" s="241"/>
      <c r="J793" s="241"/>
      <c r="K793" s="241"/>
      <c r="L793" s="241"/>
      <c r="M793" s="241"/>
      <c r="N793" s="241"/>
      <c r="O793" s="241"/>
      <c r="P793" s="241"/>
      <c r="Q793" s="241"/>
      <c r="R793" s="241"/>
      <c r="S793" s="241"/>
      <c r="T793" s="241"/>
      <c r="U793" s="241"/>
      <c r="V793" s="241"/>
      <c r="W793" s="241"/>
      <c r="X793" s="241"/>
      <c r="Y793" s="241"/>
      <c r="Z793" s="241"/>
      <c r="AA793" s="241"/>
    </row>
    <row r="794" spans="1:27" ht="13.5" customHeight="1" x14ac:dyDescent="0.3">
      <c r="A794" s="241"/>
      <c r="B794" s="241"/>
      <c r="C794" s="241"/>
      <c r="D794" s="241"/>
      <c r="E794" s="241"/>
      <c r="F794" s="241"/>
      <c r="G794" s="241"/>
      <c r="H794" s="241"/>
      <c r="I794" s="241"/>
      <c r="J794" s="241"/>
      <c r="K794" s="241"/>
      <c r="L794" s="241"/>
      <c r="M794" s="241"/>
      <c r="N794" s="241"/>
      <c r="O794" s="241"/>
      <c r="P794" s="241"/>
      <c r="Q794" s="241"/>
      <c r="R794" s="241"/>
      <c r="S794" s="241"/>
      <c r="T794" s="241"/>
      <c r="U794" s="241"/>
      <c r="V794" s="241"/>
      <c r="W794" s="241"/>
      <c r="X794" s="241"/>
      <c r="Y794" s="241"/>
      <c r="Z794" s="241"/>
      <c r="AA794" s="241"/>
    </row>
    <row r="795" spans="1:27" ht="13.5" customHeight="1" x14ac:dyDescent="0.3">
      <c r="A795" s="241"/>
      <c r="B795" s="241"/>
      <c r="C795" s="241"/>
      <c r="D795" s="241"/>
      <c r="E795" s="241"/>
      <c r="F795" s="241"/>
      <c r="G795" s="241"/>
      <c r="H795" s="241"/>
      <c r="I795" s="241"/>
      <c r="J795" s="241"/>
      <c r="K795" s="241"/>
      <c r="L795" s="241"/>
      <c r="M795" s="241"/>
      <c r="N795" s="241"/>
      <c r="O795" s="241"/>
      <c r="P795" s="241"/>
      <c r="Q795" s="241"/>
      <c r="R795" s="241"/>
      <c r="S795" s="241"/>
      <c r="T795" s="241"/>
      <c r="U795" s="241"/>
      <c r="V795" s="241"/>
      <c r="W795" s="241"/>
      <c r="X795" s="241"/>
      <c r="Y795" s="241"/>
      <c r="Z795" s="241"/>
      <c r="AA795" s="241"/>
    </row>
    <row r="796" spans="1:27" ht="13.5" customHeight="1" x14ac:dyDescent="0.3">
      <c r="A796" s="241"/>
      <c r="B796" s="241"/>
      <c r="C796" s="241"/>
      <c r="D796" s="241"/>
      <c r="E796" s="241"/>
      <c r="F796" s="241"/>
      <c r="G796" s="241"/>
      <c r="H796" s="241"/>
      <c r="I796" s="241"/>
      <c r="J796" s="241"/>
      <c r="K796" s="241"/>
      <c r="L796" s="241"/>
      <c r="M796" s="241"/>
      <c r="N796" s="241"/>
      <c r="O796" s="241"/>
      <c r="P796" s="241"/>
      <c r="Q796" s="241"/>
      <c r="R796" s="241"/>
      <c r="S796" s="241"/>
      <c r="T796" s="241"/>
      <c r="U796" s="241"/>
      <c r="V796" s="241"/>
      <c r="W796" s="241"/>
      <c r="X796" s="241"/>
      <c r="Y796" s="241"/>
      <c r="Z796" s="241"/>
      <c r="AA796" s="241"/>
    </row>
    <row r="797" spans="1:27" ht="13.5" customHeight="1" x14ac:dyDescent="0.3">
      <c r="A797" s="241"/>
      <c r="B797" s="241"/>
      <c r="C797" s="241"/>
      <c r="D797" s="241"/>
      <c r="E797" s="241"/>
      <c r="F797" s="241"/>
      <c r="G797" s="241"/>
      <c r="H797" s="241"/>
      <c r="I797" s="241"/>
      <c r="J797" s="241"/>
      <c r="K797" s="241"/>
      <c r="L797" s="241"/>
      <c r="M797" s="241"/>
      <c r="N797" s="241"/>
      <c r="O797" s="241"/>
      <c r="P797" s="241"/>
      <c r="Q797" s="241"/>
      <c r="R797" s="241"/>
      <c r="S797" s="241"/>
      <c r="T797" s="241"/>
      <c r="U797" s="241"/>
      <c r="V797" s="241"/>
      <c r="W797" s="241"/>
      <c r="X797" s="241"/>
      <c r="Y797" s="241"/>
      <c r="Z797" s="241"/>
      <c r="AA797" s="241"/>
    </row>
    <row r="798" spans="1:27" ht="13.5" customHeight="1" x14ac:dyDescent="0.3">
      <c r="A798" s="241"/>
      <c r="B798" s="241"/>
      <c r="C798" s="241"/>
      <c r="D798" s="241"/>
      <c r="E798" s="241"/>
      <c r="F798" s="241"/>
      <c r="G798" s="241"/>
      <c r="H798" s="241"/>
      <c r="I798" s="241"/>
      <c r="J798" s="241"/>
      <c r="K798" s="241"/>
      <c r="L798" s="241"/>
      <c r="M798" s="241"/>
      <c r="N798" s="241"/>
      <c r="O798" s="241"/>
      <c r="P798" s="241"/>
      <c r="Q798" s="241"/>
      <c r="R798" s="241"/>
      <c r="S798" s="241"/>
      <c r="T798" s="241"/>
      <c r="U798" s="241"/>
      <c r="V798" s="241"/>
      <c r="W798" s="241"/>
      <c r="X798" s="241"/>
      <c r="Y798" s="241"/>
      <c r="Z798" s="241"/>
      <c r="AA798" s="241"/>
    </row>
    <row r="799" spans="1:27" ht="13.5" customHeight="1" x14ac:dyDescent="0.3">
      <c r="A799" s="241"/>
      <c r="B799" s="241"/>
      <c r="C799" s="241"/>
      <c r="D799" s="241"/>
      <c r="E799" s="241"/>
      <c r="F799" s="241"/>
      <c r="G799" s="241"/>
      <c r="H799" s="241"/>
      <c r="I799" s="241"/>
      <c r="J799" s="241"/>
      <c r="K799" s="241"/>
      <c r="L799" s="241"/>
      <c r="M799" s="241"/>
      <c r="N799" s="241"/>
      <c r="O799" s="241"/>
      <c r="P799" s="241"/>
      <c r="Q799" s="241"/>
      <c r="R799" s="241"/>
      <c r="S799" s="241"/>
      <c r="T799" s="241"/>
      <c r="U799" s="241"/>
      <c r="V799" s="241"/>
      <c r="W799" s="241"/>
      <c r="X799" s="241"/>
      <c r="Y799" s="241"/>
      <c r="Z799" s="241"/>
      <c r="AA799" s="241"/>
    </row>
    <row r="800" spans="1:27" ht="13.5" customHeight="1" x14ac:dyDescent="0.3">
      <c r="A800" s="241"/>
      <c r="B800" s="241"/>
      <c r="C800" s="241"/>
      <c r="D800" s="241"/>
      <c r="E800" s="241"/>
      <c r="F800" s="241"/>
      <c r="G800" s="241"/>
      <c r="H800" s="241"/>
      <c r="I800" s="241"/>
      <c r="J800" s="241"/>
      <c r="K800" s="241"/>
      <c r="L800" s="241"/>
      <c r="M800" s="241"/>
      <c r="N800" s="241"/>
      <c r="O800" s="241"/>
      <c r="P800" s="241"/>
      <c r="Q800" s="241"/>
      <c r="R800" s="241"/>
      <c r="S800" s="241"/>
      <c r="T800" s="241"/>
      <c r="U800" s="241"/>
      <c r="V800" s="241"/>
      <c r="W800" s="241"/>
      <c r="X800" s="241"/>
      <c r="Y800" s="241"/>
      <c r="Z800" s="241"/>
      <c r="AA800" s="241"/>
    </row>
    <row r="801" spans="1:27" ht="13.5" customHeight="1" x14ac:dyDescent="0.3">
      <c r="A801" s="241"/>
      <c r="B801" s="241"/>
      <c r="C801" s="241"/>
      <c r="D801" s="241"/>
      <c r="E801" s="241"/>
      <c r="F801" s="241"/>
      <c r="G801" s="241"/>
      <c r="H801" s="241"/>
      <c r="I801" s="241"/>
      <c r="J801" s="241"/>
      <c r="K801" s="241"/>
      <c r="L801" s="241"/>
      <c r="M801" s="241"/>
      <c r="N801" s="241"/>
      <c r="O801" s="241"/>
      <c r="P801" s="241"/>
      <c r="Q801" s="241"/>
      <c r="R801" s="241"/>
      <c r="S801" s="241"/>
      <c r="T801" s="241"/>
      <c r="U801" s="241"/>
      <c r="V801" s="241"/>
      <c r="W801" s="241"/>
      <c r="X801" s="241"/>
      <c r="Y801" s="241"/>
      <c r="Z801" s="241"/>
      <c r="AA801" s="241"/>
    </row>
    <row r="802" spans="1:27" ht="13.5" customHeight="1" x14ac:dyDescent="0.3">
      <c r="A802" s="241"/>
      <c r="B802" s="241"/>
      <c r="C802" s="241"/>
      <c r="D802" s="241"/>
      <c r="E802" s="241"/>
      <c r="F802" s="241"/>
      <c r="G802" s="241"/>
      <c r="H802" s="241"/>
      <c r="I802" s="241"/>
      <c r="J802" s="241"/>
      <c r="K802" s="241"/>
      <c r="L802" s="241"/>
      <c r="M802" s="241"/>
      <c r="N802" s="241"/>
      <c r="O802" s="241"/>
      <c r="P802" s="241"/>
      <c r="Q802" s="241"/>
      <c r="R802" s="241"/>
      <c r="S802" s="241"/>
      <c r="T802" s="241"/>
      <c r="U802" s="241"/>
      <c r="V802" s="241"/>
      <c r="W802" s="241"/>
      <c r="X802" s="241"/>
      <c r="Y802" s="241"/>
      <c r="Z802" s="241"/>
      <c r="AA802" s="241"/>
    </row>
    <row r="803" spans="1:27" ht="13.5" customHeight="1" x14ac:dyDescent="0.3">
      <c r="A803" s="241"/>
      <c r="B803" s="241"/>
      <c r="C803" s="241"/>
      <c r="D803" s="241"/>
      <c r="E803" s="241"/>
      <c r="F803" s="241"/>
      <c r="G803" s="241"/>
      <c r="H803" s="241"/>
      <c r="I803" s="241"/>
      <c r="J803" s="241"/>
      <c r="K803" s="241"/>
      <c r="L803" s="241"/>
      <c r="M803" s="241"/>
      <c r="N803" s="241"/>
      <c r="O803" s="241"/>
      <c r="P803" s="241"/>
      <c r="Q803" s="241"/>
      <c r="R803" s="241"/>
      <c r="S803" s="241"/>
      <c r="T803" s="241"/>
      <c r="U803" s="241"/>
      <c r="V803" s="241"/>
      <c r="W803" s="241"/>
      <c r="X803" s="241"/>
      <c r="Y803" s="241"/>
      <c r="Z803" s="241"/>
      <c r="AA803" s="241"/>
    </row>
    <row r="804" spans="1:27" ht="13.5" customHeight="1" x14ac:dyDescent="0.3">
      <c r="A804" s="241"/>
      <c r="B804" s="241"/>
      <c r="C804" s="241"/>
      <c r="D804" s="241"/>
      <c r="E804" s="241"/>
      <c r="F804" s="241"/>
      <c r="G804" s="241"/>
      <c r="H804" s="241"/>
      <c r="I804" s="241"/>
      <c r="J804" s="241"/>
      <c r="K804" s="241"/>
      <c r="L804" s="241"/>
      <c r="M804" s="241"/>
      <c r="N804" s="241"/>
      <c r="O804" s="241"/>
      <c r="P804" s="241"/>
      <c r="Q804" s="241"/>
      <c r="R804" s="241"/>
      <c r="S804" s="241"/>
      <c r="T804" s="241"/>
      <c r="U804" s="241"/>
      <c r="V804" s="241"/>
      <c r="W804" s="241"/>
      <c r="X804" s="241"/>
      <c r="Y804" s="241"/>
      <c r="Z804" s="241"/>
      <c r="AA804" s="241"/>
    </row>
    <row r="805" spans="1:27" ht="13.5" customHeight="1" x14ac:dyDescent="0.3">
      <c r="A805" s="241"/>
      <c r="B805" s="241"/>
      <c r="C805" s="241"/>
      <c r="D805" s="241"/>
      <c r="E805" s="241"/>
      <c r="F805" s="241"/>
      <c r="G805" s="241"/>
      <c r="H805" s="241"/>
      <c r="I805" s="241"/>
      <c r="J805" s="241"/>
      <c r="K805" s="241"/>
      <c r="L805" s="241"/>
      <c r="M805" s="241"/>
      <c r="N805" s="241"/>
      <c r="O805" s="241"/>
      <c r="P805" s="241"/>
      <c r="Q805" s="241"/>
      <c r="R805" s="241"/>
      <c r="S805" s="241"/>
      <c r="T805" s="241"/>
      <c r="U805" s="241"/>
      <c r="V805" s="241"/>
      <c r="W805" s="241"/>
      <c r="X805" s="241"/>
      <c r="Y805" s="241"/>
      <c r="Z805" s="241"/>
      <c r="AA805" s="241"/>
    </row>
    <row r="806" spans="1:27" ht="13.5" customHeight="1" x14ac:dyDescent="0.3">
      <c r="A806" s="241"/>
      <c r="B806" s="241"/>
      <c r="C806" s="241"/>
      <c r="D806" s="241"/>
      <c r="E806" s="241"/>
      <c r="F806" s="241"/>
      <c r="G806" s="241"/>
      <c r="H806" s="241"/>
      <c r="I806" s="241"/>
      <c r="J806" s="241"/>
      <c r="K806" s="241"/>
      <c r="L806" s="241"/>
      <c r="M806" s="241"/>
      <c r="N806" s="241"/>
      <c r="O806" s="241"/>
      <c r="P806" s="241"/>
      <c r="Q806" s="241"/>
      <c r="R806" s="241"/>
      <c r="S806" s="241"/>
      <c r="T806" s="241"/>
      <c r="U806" s="241"/>
      <c r="V806" s="241"/>
      <c r="W806" s="241"/>
      <c r="X806" s="241"/>
      <c r="Y806" s="241"/>
      <c r="Z806" s="241"/>
      <c r="AA806" s="241"/>
    </row>
    <row r="807" spans="1:27" ht="13.5" customHeight="1" x14ac:dyDescent="0.3">
      <c r="A807" s="241"/>
      <c r="B807" s="241"/>
      <c r="C807" s="241"/>
      <c r="D807" s="241"/>
      <c r="E807" s="241"/>
      <c r="F807" s="241"/>
      <c r="G807" s="241"/>
      <c r="H807" s="241"/>
      <c r="I807" s="241"/>
      <c r="J807" s="241"/>
      <c r="K807" s="241"/>
      <c r="L807" s="241"/>
      <c r="M807" s="241"/>
      <c r="N807" s="241"/>
      <c r="O807" s="241"/>
      <c r="P807" s="241"/>
      <c r="Q807" s="241"/>
      <c r="R807" s="241"/>
      <c r="S807" s="241"/>
      <c r="T807" s="241"/>
      <c r="U807" s="241"/>
      <c r="V807" s="241"/>
      <c r="W807" s="241"/>
      <c r="X807" s="241"/>
      <c r="Y807" s="241"/>
      <c r="Z807" s="241"/>
      <c r="AA807" s="241"/>
    </row>
    <row r="808" spans="1:27" ht="13.5" customHeight="1" x14ac:dyDescent="0.3">
      <c r="A808" s="241"/>
      <c r="B808" s="241"/>
      <c r="C808" s="241"/>
      <c r="D808" s="241"/>
      <c r="E808" s="241"/>
      <c r="F808" s="241"/>
      <c r="G808" s="241"/>
      <c r="H808" s="241"/>
      <c r="I808" s="241"/>
      <c r="J808" s="241"/>
      <c r="K808" s="241"/>
      <c r="L808" s="241"/>
      <c r="M808" s="241"/>
      <c r="N808" s="241"/>
      <c r="O808" s="241"/>
      <c r="P808" s="241"/>
      <c r="Q808" s="241"/>
      <c r="R808" s="241"/>
      <c r="S808" s="241"/>
      <c r="T808" s="241"/>
      <c r="U808" s="241"/>
      <c r="V808" s="241"/>
      <c r="W808" s="241"/>
      <c r="X808" s="241"/>
      <c r="Y808" s="241"/>
      <c r="Z808" s="241"/>
      <c r="AA808" s="241"/>
    </row>
    <row r="809" spans="1:27" ht="13.5" customHeight="1" x14ac:dyDescent="0.3">
      <c r="A809" s="241"/>
      <c r="B809" s="241"/>
      <c r="C809" s="241"/>
      <c r="D809" s="241"/>
      <c r="E809" s="241"/>
      <c r="F809" s="241"/>
      <c r="G809" s="241"/>
      <c r="H809" s="241"/>
      <c r="I809" s="241"/>
      <c r="J809" s="241"/>
      <c r="K809" s="241"/>
      <c r="L809" s="241"/>
      <c r="M809" s="241"/>
      <c r="N809" s="241"/>
      <c r="O809" s="241"/>
      <c r="P809" s="241"/>
      <c r="Q809" s="241"/>
      <c r="R809" s="241"/>
      <c r="S809" s="241"/>
      <c r="T809" s="241"/>
      <c r="U809" s="241"/>
      <c r="V809" s="241"/>
      <c r="W809" s="241"/>
      <c r="X809" s="241"/>
      <c r="Y809" s="241"/>
      <c r="Z809" s="241"/>
      <c r="AA809" s="241"/>
    </row>
    <row r="810" spans="1:27" ht="13.5" customHeight="1" x14ac:dyDescent="0.3">
      <c r="A810" s="241"/>
      <c r="B810" s="241"/>
      <c r="C810" s="241"/>
      <c r="D810" s="241"/>
      <c r="E810" s="241"/>
      <c r="F810" s="241"/>
      <c r="G810" s="241"/>
      <c r="H810" s="241"/>
      <c r="I810" s="241"/>
      <c r="J810" s="241"/>
      <c r="K810" s="241"/>
      <c r="L810" s="241"/>
      <c r="M810" s="241"/>
      <c r="N810" s="241"/>
      <c r="O810" s="241"/>
      <c r="P810" s="241"/>
      <c r="Q810" s="241"/>
      <c r="R810" s="241"/>
      <c r="S810" s="241"/>
      <c r="T810" s="241"/>
      <c r="U810" s="241"/>
      <c r="V810" s="241"/>
      <c r="W810" s="241"/>
      <c r="X810" s="241"/>
      <c r="Y810" s="241"/>
      <c r="Z810" s="241"/>
      <c r="AA810" s="241"/>
    </row>
    <row r="811" spans="1:27" ht="13.5" customHeight="1" x14ac:dyDescent="0.3">
      <c r="A811" s="241"/>
      <c r="B811" s="241"/>
      <c r="C811" s="241"/>
      <c r="D811" s="241"/>
      <c r="E811" s="241"/>
      <c r="F811" s="241"/>
      <c r="G811" s="241"/>
      <c r="H811" s="241"/>
      <c r="I811" s="241"/>
      <c r="J811" s="241"/>
      <c r="K811" s="241"/>
      <c r="L811" s="241"/>
      <c r="M811" s="241"/>
      <c r="N811" s="241"/>
      <c r="O811" s="241"/>
      <c r="P811" s="241"/>
      <c r="Q811" s="241"/>
      <c r="R811" s="241"/>
      <c r="S811" s="241"/>
      <c r="T811" s="241"/>
      <c r="U811" s="241"/>
      <c r="V811" s="241"/>
      <c r="W811" s="241"/>
      <c r="X811" s="241"/>
      <c r="Y811" s="241"/>
      <c r="Z811" s="241"/>
      <c r="AA811" s="241"/>
    </row>
    <row r="812" spans="1:27" ht="13.5" customHeight="1" x14ac:dyDescent="0.3">
      <c r="A812" s="241"/>
      <c r="B812" s="241"/>
      <c r="C812" s="241"/>
      <c r="D812" s="241"/>
      <c r="E812" s="241"/>
      <c r="F812" s="241"/>
      <c r="G812" s="241"/>
      <c r="H812" s="241"/>
      <c r="I812" s="241"/>
      <c r="J812" s="241"/>
      <c r="K812" s="241"/>
      <c r="L812" s="241"/>
      <c r="M812" s="241"/>
      <c r="N812" s="241"/>
      <c r="O812" s="241"/>
      <c r="P812" s="241"/>
      <c r="Q812" s="241"/>
      <c r="R812" s="241"/>
      <c r="S812" s="241"/>
      <c r="T812" s="241"/>
      <c r="U812" s="241"/>
      <c r="V812" s="241"/>
      <c r="W812" s="241"/>
      <c r="X812" s="241"/>
      <c r="Y812" s="241"/>
      <c r="Z812" s="241"/>
      <c r="AA812" s="241"/>
    </row>
    <row r="813" spans="1:27" ht="13.5" customHeight="1" x14ac:dyDescent="0.3">
      <c r="A813" s="241"/>
      <c r="B813" s="241"/>
      <c r="C813" s="241"/>
      <c r="D813" s="241"/>
      <c r="E813" s="241"/>
      <c r="F813" s="241"/>
      <c r="G813" s="241"/>
      <c r="H813" s="241"/>
      <c r="I813" s="241"/>
      <c r="J813" s="241"/>
      <c r="K813" s="241"/>
      <c r="L813" s="241"/>
      <c r="M813" s="241"/>
      <c r="N813" s="241"/>
      <c r="O813" s="241"/>
      <c r="P813" s="241"/>
      <c r="Q813" s="241"/>
      <c r="R813" s="241"/>
      <c r="S813" s="241"/>
      <c r="T813" s="241"/>
      <c r="U813" s="241"/>
      <c r="V813" s="241"/>
      <c r="W813" s="241"/>
      <c r="X813" s="241"/>
      <c r="Y813" s="241"/>
      <c r="Z813" s="241"/>
      <c r="AA813" s="241"/>
    </row>
    <row r="814" spans="1:27" ht="13.5" customHeight="1" x14ac:dyDescent="0.3">
      <c r="A814" s="241"/>
      <c r="B814" s="241"/>
      <c r="C814" s="241"/>
      <c r="D814" s="241"/>
      <c r="E814" s="241"/>
      <c r="F814" s="241"/>
      <c r="G814" s="241"/>
      <c r="H814" s="241"/>
      <c r="I814" s="241"/>
      <c r="J814" s="241"/>
      <c r="K814" s="241"/>
      <c r="L814" s="241"/>
      <c r="M814" s="241"/>
      <c r="N814" s="241"/>
      <c r="O814" s="241"/>
      <c r="P814" s="241"/>
      <c r="Q814" s="241"/>
      <c r="R814" s="241"/>
      <c r="S814" s="241"/>
      <c r="T814" s="241"/>
      <c r="U814" s="241"/>
      <c r="V814" s="241"/>
      <c r="W814" s="241"/>
      <c r="X814" s="241"/>
      <c r="Y814" s="241"/>
      <c r="Z814" s="241"/>
      <c r="AA814" s="241"/>
    </row>
    <row r="815" spans="1:27" ht="13.5" customHeight="1" x14ac:dyDescent="0.3">
      <c r="A815" s="241"/>
      <c r="B815" s="241"/>
      <c r="C815" s="241"/>
      <c r="D815" s="241"/>
      <c r="E815" s="241"/>
      <c r="F815" s="241"/>
      <c r="G815" s="241"/>
      <c r="H815" s="241"/>
      <c r="I815" s="241"/>
      <c r="J815" s="241"/>
      <c r="K815" s="241"/>
      <c r="L815" s="241"/>
      <c r="M815" s="241"/>
      <c r="N815" s="241"/>
      <c r="O815" s="241"/>
      <c r="P815" s="241"/>
      <c r="Q815" s="241"/>
      <c r="R815" s="241"/>
      <c r="S815" s="241"/>
      <c r="T815" s="241"/>
      <c r="U815" s="241"/>
      <c r="V815" s="241"/>
      <c r="W815" s="241"/>
      <c r="X815" s="241"/>
      <c r="Y815" s="241"/>
      <c r="Z815" s="241"/>
      <c r="AA815" s="241"/>
    </row>
    <row r="816" spans="1:27" ht="13.5" customHeight="1" x14ac:dyDescent="0.3">
      <c r="A816" s="241"/>
      <c r="B816" s="241"/>
      <c r="C816" s="241"/>
      <c r="D816" s="241"/>
      <c r="E816" s="241"/>
      <c r="F816" s="241"/>
      <c r="G816" s="241"/>
      <c r="H816" s="241"/>
      <c r="I816" s="241"/>
      <c r="J816" s="241"/>
      <c r="K816" s="241"/>
      <c r="L816" s="241"/>
      <c r="M816" s="241"/>
      <c r="N816" s="241"/>
      <c r="O816" s="241"/>
      <c r="P816" s="241"/>
      <c r="Q816" s="241"/>
      <c r="R816" s="241"/>
      <c r="S816" s="241"/>
      <c r="T816" s="241"/>
      <c r="U816" s="241"/>
      <c r="V816" s="241"/>
      <c r="W816" s="241"/>
      <c r="X816" s="241"/>
      <c r="Y816" s="241"/>
      <c r="Z816" s="241"/>
      <c r="AA816" s="241"/>
    </row>
    <row r="817" spans="1:27" ht="13.5" customHeight="1" x14ac:dyDescent="0.3">
      <c r="A817" s="241"/>
      <c r="B817" s="241"/>
      <c r="C817" s="241"/>
      <c r="D817" s="241"/>
      <c r="E817" s="241"/>
      <c r="F817" s="241"/>
      <c r="G817" s="241"/>
      <c r="H817" s="241"/>
      <c r="I817" s="241"/>
      <c r="J817" s="241"/>
      <c r="K817" s="241"/>
      <c r="L817" s="241"/>
      <c r="M817" s="241"/>
      <c r="N817" s="241"/>
      <c r="O817" s="241"/>
      <c r="P817" s="241"/>
      <c r="Q817" s="241"/>
      <c r="R817" s="241"/>
      <c r="S817" s="241"/>
      <c r="T817" s="241"/>
      <c r="U817" s="241"/>
      <c r="V817" s="241"/>
      <c r="W817" s="241"/>
      <c r="X817" s="241"/>
      <c r="Y817" s="241"/>
      <c r="Z817" s="241"/>
      <c r="AA817" s="241"/>
    </row>
    <row r="818" spans="1:27" ht="13.5" customHeight="1" x14ac:dyDescent="0.3">
      <c r="A818" s="241"/>
      <c r="B818" s="241"/>
      <c r="C818" s="241"/>
      <c r="D818" s="241"/>
      <c r="E818" s="241"/>
      <c r="F818" s="241"/>
      <c r="G818" s="241"/>
      <c r="H818" s="241"/>
      <c r="I818" s="241"/>
      <c r="J818" s="241"/>
      <c r="K818" s="241"/>
      <c r="L818" s="241"/>
      <c r="M818" s="241"/>
      <c r="N818" s="241"/>
      <c r="O818" s="241"/>
      <c r="P818" s="241"/>
      <c r="Q818" s="241"/>
      <c r="R818" s="241"/>
      <c r="S818" s="241"/>
      <c r="T818" s="241"/>
      <c r="U818" s="241"/>
      <c r="V818" s="241"/>
      <c r="W818" s="241"/>
      <c r="X818" s="241"/>
      <c r="Y818" s="241"/>
      <c r="Z818" s="241"/>
      <c r="AA818" s="241"/>
    </row>
    <row r="819" spans="1:27" ht="13.5" customHeight="1" x14ac:dyDescent="0.3">
      <c r="A819" s="241"/>
      <c r="B819" s="241"/>
      <c r="C819" s="241"/>
      <c r="D819" s="241"/>
      <c r="E819" s="241"/>
      <c r="F819" s="241"/>
      <c r="G819" s="241"/>
      <c r="H819" s="241"/>
      <c r="I819" s="241"/>
      <c r="J819" s="241"/>
      <c r="K819" s="241"/>
      <c r="L819" s="241"/>
      <c r="M819" s="241"/>
      <c r="N819" s="241"/>
      <c r="O819" s="241"/>
      <c r="P819" s="241"/>
      <c r="Q819" s="241"/>
      <c r="R819" s="241"/>
      <c r="S819" s="241"/>
      <c r="T819" s="241"/>
      <c r="U819" s="241"/>
      <c r="V819" s="241"/>
      <c r="W819" s="241"/>
      <c r="X819" s="241"/>
      <c r="Y819" s="241"/>
      <c r="Z819" s="241"/>
      <c r="AA819" s="241"/>
    </row>
    <row r="820" spans="1:27" ht="13.5" customHeight="1" x14ac:dyDescent="0.3">
      <c r="A820" s="241"/>
      <c r="B820" s="241"/>
      <c r="C820" s="241"/>
      <c r="D820" s="241"/>
      <c r="E820" s="241"/>
      <c r="F820" s="241"/>
      <c r="G820" s="241"/>
      <c r="H820" s="241"/>
      <c r="I820" s="241"/>
      <c r="J820" s="241"/>
      <c r="K820" s="241"/>
      <c r="L820" s="241"/>
      <c r="M820" s="241"/>
      <c r="N820" s="241"/>
      <c r="O820" s="241"/>
      <c r="P820" s="241"/>
      <c r="Q820" s="241"/>
      <c r="R820" s="241"/>
      <c r="S820" s="241"/>
      <c r="T820" s="241"/>
      <c r="U820" s="241"/>
      <c r="V820" s="241"/>
      <c r="W820" s="241"/>
      <c r="X820" s="241"/>
      <c r="Y820" s="241"/>
      <c r="Z820" s="241"/>
      <c r="AA820" s="241"/>
    </row>
    <row r="821" spans="1:27" ht="13.5" customHeight="1" x14ac:dyDescent="0.3">
      <c r="A821" s="241"/>
      <c r="B821" s="241"/>
      <c r="C821" s="241"/>
      <c r="D821" s="241"/>
      <c r="E821" s="241"/>
      <c r="F821" s="241"/>
      <c r="G821" s="241"/>
      <c r="H821" s="241"/>
      <c r="I821" s="241"/>
      <c r="J821" s="241"/>
      <c r="K821" s="241"/>
      <c r="L821" s="241"/>
      <c r="M821" s="241"/>
      <c r="N821" s="241"/>
      <c r="O821" s="241"/>
      <c r="P821" s="241"/>
      <c r="Q821" s="241"/>
      <c r="R821" s="241"/>
      <c r="S821" s="241"/>
      <c r="T821" s="241"/>
      <c r="U821" s="241"/>
      <c r="V821" s="241"/>
      <c r="W821" s="241"/>
      <c r="X821" s="241"/>
      <c r="Y821" s="241"/>
      <c r="Z821" s="241"/>
      <c r="AA821" s="241"/>
    </row>
    <row r="822" spans="1:27" ht="13.5" customHeight="1" x14ac:dyDescent="0.3">
      <c r="A822" s="241"/>
      <c r="B822" s="241"/>
      <c r="C822" s="241"/>
      <c r="D822" s="241"/>
      <c r="E822" s="241"/>
      <c r="F822" s="241"/>
      <c r="G822" s="241"/>
      <c r="H822" s="241"/>
      <c r="I822" s="241"/>
      <c r="J822" s="241"/>
      <c r="K822" s="241"/>
      <c r="L822" s="241"/>
      <c r="M822" s="241"/>
      <c r="N822" s="241"/>
      <c r="O822" s="241"/>
      <c r="P822" s="241"/>
      <c r="Q822" s="241"/>
      <c r="R822" s="241"/>
      <c r="S822" s="241"/>
      <c r="T822" s="241"/>
      <c r="U822" s="241"/>
      <c r="V822" s="241"/>
      <c r="W822" s="241"/>
      <c r="X822" s="241"/>
      <c r="Y822" s="241"/>
      <c r="Z822" s="241"/>
      <c r="AA822" s="241"/>
    </row>
    <row r="823" spans="1:27" ht="13.5" customHeight="1" x14ac:dyDescent="0.3">
      <c r="A823" s="241"/>
      <c r="B823" s="241"/>
      <c r="C823" s="241"/>
      <c r="D823" s="241"/>
      <c r="E823" s="241"/>
      <c r="F823" s="241"/>
      <c r="G823" s="241"/>
      <c r="H823" s="241"/>
      <c r="I823" s="241"/>
      <c r="J823" s="241"/>
      <c r="K823" s="241"/>
      <c r="L823" s="241"/>
      <c r="M823" s="241"/>
      <c r="N823" s="241"/>
      <c r="O823" s="241"/>
      <c r="P823" s="241"/>
      <c r="Q823" s="241"/>
      <c r="R823" s="241"/>
      <c r="S823" s="241"/>
      <c r="T823" s="241"/>
      <c r="U823" s="241"/>
      <c r="V823" s="241"/>
      <c r="W823" s="241"/>
      <c r="X823" s="241"/>
      <c r="Y823" s="241"/>
      <c r="Z823" s="241"/>
      <c r="AA823" s="241"/>
    </row>
    <row r="824" spans="1:27" ht="13.5" customHeight="1" x14ac:dyDescent="0.3">
      <c r="A824" s="241"/>
      <c r="B824" s="241"/>
      <c r="C824" s="241"/>
      <c r="D824" s="241"/>
      <c r="E824" s="241"/>
      <c r="F824" s="241"/>
      <c r="G824" s="241"/>
      <c r="H824" s="241"/>
      <c r="I824" s="241"/>
      <c r="J824" s="241"/>
      <c r="K824" s="241"/>
      <c r="L824" s="241"/>
      <c r="M824" s="241"/>
      <c r="N824" s="241"/>
      <c r="O824" s="241"/>
      <c r="P824" s="241"/>
      <c r="Q824" s="241"/>
      <c r="R824" s="241"/>
      <c r="S824" s="241"/>
      <c r="T824" s="241"/>
      <c r="U824" s="241"/>
      <c r="V824" s="241"/>
      <c r="W824" s="241"/>
      <c r="X824" s="241"/>
      <c r="Y824" s="241"/>
      <c r="Z824" s="241"/>
      <c r="AA824" s="241"/>
    </row>
    <row r="825" spans="1:27" ht="13.5" customHeight="1" x14ac:dyDescent="0.3">
      <c r="A825" s="241"/>
      <c r="B825" s="241"/>
      <c r="C825" s="241"/>
      <c r="D825" s="241"/>
      <c r="E825" s="241"/>
      <c r="F825" s="241"/>
      <c r="G825" s="241"/>
      <c r="H825" s="241"/>
      <c r="I825" s="241"/>
      <c r="J825" s="241"/>
      <c r="K825" s="241"/>
      <c r="L825" s="241"/>
      <c r="M825" s="241"/>
      <c r="N825" s="241"/>
      <c r="O825" s="241"/>
      <c r="P825" s="241"/>
      <c r="Q825" s="241"/>
      <c r="R825" s="241"/>
      <c r="S825" s="241"/>
      <c r="T825" s="241"/>
      <c r="U825" s="241"/>
      <c r="V825" s="241"/>
      <c r="W825" s="241"/>
      <c r="X825" s="241"/>
      <c r="Y825" s="241"/>
      <c r="Z825" s="241"/>
      <c r="AA825" s="241"/>
    </row>
    <row r="826" spans="1:27" ht="13.5" customHeight="1" x14ac:dyDescent="0.3">
      <c r="A826" s="241"/>
      <c r="B826" s="241"/>
      <c r="C826" s="241"/>
      <c r="D826" s="241"/>
      <c r="E826" s="241"/>
      <c r="F826" s="241"/>
      <c r="G826" s="241"/>
      <c r="H826" s="241"/>
      <c r="I826" s="241"/>
      <c r="J826" s="241"/>
      <c r="K826" s="241"/>
      <c r="L826" s="241"/>
      <c r="M826" s="241"/>
      <c r="N826" s="241"/>
      <c r="O826" s="241"/>
      <c r="P826" s="241"/>
      <c r="Q826" s="241"/>
      <c r="R826" s="241"/>
      <c r="S826" s="241"/>
      <c r="T826" s="241"/>
      <c r="U826" s="241"/>
      <c r="V826" s="241"/>
      <c r="W826" s="241"/>
      <c r="X826" s="241"/>
      <c r="Y826" s="241"/>
      <c r="Z826" s="241"/>
      <c r="AA826" s="241"/>
    </row>
    <row r="827" spans="1:27" ht="13.5" customHeight="1" x14ac:dyDescent="0.3">
      <c r="A827" s="241"/>
      <c r="B827" s="241"/>
      <c r="C827" s="241"/>
      <c r="D827" s="241"/>
      <c r="E827" s="241"/>
      <c r="F827" s="241"/>
      <c r="G827" s="241"/>
      <c r="H827" s="241"/>
      <c r="I827" s="241"/>
      <c r="J827" s="241"/>
      <c r="K827" s="241"/>
      <c r="L827" s="241"/>
      <c r="M827" s="241"/>
      <c r="N827" s="241"/>
      <c r="O827" s="241"/>
      <c r="P827" s="241"/>
      <c r="Q827" s="241"/>
      <c r="R827" s="241"/>
      <c r="S827" s="241"/>
      <c r="T827" s="241"/>
      <c r="U827" s="241"/>
      <c r="V827" s="241"/>
      <c r="W827" s="241"/>
      <c r="X827" s="241"/>
      <c r="Y827" s="241"/>
      <c r="Z827" s="241"/>
      <c r="AA827" s="241"/>
    </row>
    <row r="828" spans="1:27" ht="13.5" customHeight="1" x14ac:dyDescent="0.3">
      <c r="A828" s="241"/>
      <c r="B828" s="241"/>
      <c r="C828" s="241"/>
      <c r="D828" s="241"/>
      <c r="E828" s="241"/>
      <c r="F828" s="241"/>
      <c r="G828" s="241"/>
      <c r="H828" s="241"/>
      <c r="I828" s="241"/>
      <c r="J828" s="241"/>
      <c r="K828" s="241"/>
      <c r="L828" s="241"/>
      <c r="M828" s="241"/>
      <c r="N828" s="241"/>
      <c r="O828" s="241"/>
      <c r="P828" s="241"/>
      <c r="Q828" s="241"/>
      <c r="R828" s="241"/>
      <c r="S828" s="241"/>
      <c r="T828" s="241"/>
      <c r="U828" s="241"/>
      <c r="V828" s="241"/>
      <c r="W828" s="241"/>
      <c r="X828" s="241"/>
      <c r="Y828" s="241"/>
      <c r="Z828" s="241"/>
      <c r="AA828" s="241"/>
    </row>
    <row r="829" spans="1:27" ht="13.5" customHeight="1" x14ac:dyDescent="0.3">
      <c r="A829" s="241"/>
      <c r="B829" s="241"/>
      <c r="C829" s="241"/>
      <c r="D829" s="241"/>
      <c r="E829" s="241"/>
      <c r="F829" s="241"/>
      <c r="G829" s="241"/>
      <c r="H829" s="241"/>
      <c r="I829" s="241"/>
      <c r="J829" s="241"/>
      <c r="K829" s="241"/>
      <c r="L829" s="241"/>
      <c r="M829" s="241"/>
      <c r="N829" s="241"/>
      <c r="O829" s="241"/>
      <c r="P829" s="241"/>
      <c r="Q829" s="241"/>
      <c r="R829" s="241"/>
      <c r="S829" s="241"/>
      <c r="T829" s="241"/>
      <c r="U829" s="241"/>
      <c r="V829" s="241"/>
      <c r="W829" s="241"/>
      <c r="X829" s="241"/>
      <c r="Y829" s="241"/>
      <c r="Z829" s="241"/>
      <c r="AA829" s="241"/>
    </row>
    <row r="830" spans="1:27" ht="13.5" customHeight="1" x14ac:dyDescent="0.3">
      <c r="A830" s="241"/>
      <c r="B830" s="241"/>
      <c r="C830" s="241"/>
      <c r="D830" s="241"/>
      <c r="E830" s="241"/>
      <c r="F830" s="241"/>
      <c r="G830" s="241"/>
      <c r="H830" s="241"/>
      <c r="I830" s="241"/>
      <c r="J830" s="241"/>
      <c r="K830" s="241"/>
      <c r="L830" s="241"/>
      <c r="M830" s="241"/>
      <c r="N830" s="241"/>
      <c r="O830" s="241"/>
      <c r="P830" s="241"/>
      <c r="Q830" s="241"/>
      <c r="R830" s="241"/>
      <c r="S830" s="241"/>
      <c r="T830" s="241"/>
      <c r="U830" s="241"/>
      <c r="V830" s="241"/>
      <c r="W830" s="241"/>
      <c r="X830" s="241"/>
      <c r="Y830" s="241"/>
      <c r="Z830" s="241"/>
      <c r="AA830" s="241"/>
    </row>
    <row r="831" spans="1:27" ht="13.5" customHeight="1" x14ac:dyDescent="0.3">
      <c r="A831" s="241"/>
      <c r="B831" s="241"/>
      <c r="C831" s="241"/>
      <c r="D831" s="241"/>
      <c r="E831" s="241"/>
      <c r="F831" s="241"/>
      <c r="G831" s="241"/>
      <c r="H831" s="241"/>
      <c r="I831" s="241"/>
      <c r="J831" s="241"/>
      <c r="K831" s="241"/>
      <c r="L831" s="241"/>
      <c r="M831" s="241"/>
      <c r="N831" s="241"/>
      <c r="O831" s="241"/>
      <c r="P831" s="241"/>
      <c r="Q831" s="241"/>
      <c r="R831" s="241"/>
      <c r="S831" s="241"/>
      <c r="T831" s="241"/>
      <c r="U831" s="241"/>
      <c r="V831" s="241"/>
      <c r="W831" s="241"/>
      <c r="X831" s="241"/>
      <c r="Y831" s="241"/>
      <c r="Z831" s="241"/>
      <c r="AA831" s="241"/>
    </row>
    <row r="832" spans="1:27" ht="13.5" customHeight="1" x14ac:dyDescent="0.3">
      <c r="A832" s="241"/>
      <c r="B832" s="241"/>
      <c r="C832" s="241"/>
      <c r="D832" s="241"/>
      <c r="E832" s="241"/>
      <c r="F832" s="241"/>
      <c r="G832" s="241"/>
      <c r="H832" s="241"/>
      <c r="I832" s="241"/>
      <c r="J832" s="241"/>
      <c r="K832" s="241"/>
      <c r="L832" s="241"/>
      <c r="M832" s="241"/>
      <c r="N832" s="241"/>
      <c r="O832" s="241"/>
      <c r="P832" s="241"/>
      <c r="Q832" s="241"/>
      <c r="R832" s="241"/>
      <c r="S832" s="241"/>
      <c r="T832" s="241"/>
      <c r="U832" s="241"/>
      <c r="V832" s="241"/>
      <c r="W832" s="241"/>
      <c r="X832" s="241"/>
      <c r="Y832" s="241"/>
      <c r="Z832" s="241"/>
      <c r="AA832" s="241"/>
    </row>
    <row r="833" spans="1:27" ht="13.5" customHeight="1" x14ac:dyDescent="0.3">
      <c r="A833" s="241"/>
      <c r="B833" s="241"/>
      <c r="C833" s="241"/>
      <c r="D833" s="241"/>
      <c r="E833" s="241"/>
      <c r="F833" s="241"/>
      <c r="G833" s="241"/>
      <c r="H833" s="241"/>
      <c r="I833" s="241"/>
      <c r="J833" s="241"/>
      <c r="K833" s="241"/>
      <c r="L833" s="241"/>
      <c r="M833" s="241"/>
      <c r="N833" s="241"/>
      <c r="O833" s="241"/>
      <c r="P833" s="241"/>
      <c r="Q833" s="241"/>
      <c r="R833" s="241"/>
      <c r="S833" s="241"/>
      <c r="T833" s="241"/>
      <c r="U833" s="241"/>
      <c r="V833" s="241"/>
      <c r="W833" s="241"/>
      <c r="X833" s="241"/>
      <c r="Y833" s="241"/>
      <c r="Z833" s="241"/>
      <c r="AA833" s="241"/>
    </row>
    <row r="834" spans="1:27" ht="13.5" customHeight="1" x14ac:dyDescent="0.3">
      <c r="A834" s="241"/>
      <c r="B834" s="241"/>
      <c r="C834" s="241"/>
      <c r="D834" s="241"/>
      <c r="E834" s="241"/>
      <c r="F834" s="241"/>
      <c r="G834" s="241"/>
      <c r="H834" s="241"/>
      <c r="I834" s="241"/>
      <c r="J834" s="241"/>
      <c r="K834" s="241"/>
      <c r="L834" s="241"/>
      <c r="M834" s="241"/>
      <c r="N834" s="241"/>
      <c r="O834" s="241"/>
      <c r="P834" s="241"/>
      <c r="Q834" s="241"/>
      <c r="R834" s="241"/>
      <c r="S834" s="241"/>
      <c r="T834" s="241"/>
      <c r="U834" s="241"/>
      <c r="V834" s="241"/>
      <c r="W834" s="241"/>
      <c r="X834" s="241"/>
      <c r="Y834" s="241"/>
      <c r="Z834" s="241"/>
      <c r="AA834" s="241"/>
    </row>
    <row r="835" spans="1:27" ht="13.5" customHeight="1" x14ac:dyDescent="0.3">
      <c r="A835" s="241"/>
      <c r="B835" s="241"/>
      <c r="C835" s="241"/>
      <c r="D835" s="241"/>
      <c r="E835" s="241"/>
      <c r="F835" s="241"/>
      <c r="G835" s="241"/>
      <c r="H835" s="241"/>
      <c r="I835" s="241"/>
      <c r="J835" s="241"/>
      <c r="K835" s="241"/>
      <c r="L835" s="241"/>
      <c r="M835" s="241"/>
      <c r="N835" s="241"/>
      <c r="O835" s="241"/>
      <c r="P835" s="241"/>
      <c r="Q835" s="241"/>
      <c r="R835" s="241"/>
      <c r="S835" s="241"/>
      <c r="T835" s="241"/>
      <c r="U835" s="241"/>
      <c r="V835" s="241"/>
      <c r="W835" s="241"/>
      <c r="X835" s="241"/>
      <c r="Y835" s="241"/>
      <c r="Z835" s="241"/>
      <c r="AA835" s="241"/>
    </row>
    <row r="836" spans="1:27" ht="13.5" customHeight="1" x14ac:dyDescent="0.3">
      <c r="A836" s="241"/>
      <c r="B836" s="241"/>
      <c r="C836" s="241"/>
      <c r="D836" s="241"/>
      <c r="E836" s="241"/>
      <c r="F836" s="241"/>
      <c r="G836" s="241"/>
      <c r="H836" s="241"/>
      <c r="I836" s="241"/>
      <c r="J836" s="241"/>
      <c r="K836" s="241"/>
      <c r="L836" s="241"/>
      <c r="M836" s="241"/>
      <c r="N836" s="241"/>
      <c r="O836" s="241"/>
      <c r="P836" s="241"/>
      <c r="Q836" s="241"/>
      <c r="R836" s="241"/>
      <c r="S836" s="241"/>
      <c r="T836" s="241"/>
      <c r="U836" s="241"/>
      <c r="V836" s="241"/>
      <c r="W836" s="241"/>
      <c r="X836" s="241"/>
      <c r="Y836" s="241"/>
      <c r="Z836" s="241"/>
      <c r="AA836" s="241"/>
    </row>
    <row r="837" spans="1:27" ht="13.5" customHeight="1" x14ac:dyDescent="0.3">
      <c r="A837" s="241"/>
      <c r="B837" s="241"/>
      <c r="C837" s="241"/>
      <c r="D837" s="241"/>
      <c r="E837" s="241"/>
      <c r="F837" s="241"/>
      <c r="G837" s="241"/>
      <c r="H837" s="241"/>
      <c r="I837" s="241"/>
      <c r="J837" s="241"/>
      <c r="K837" s="241"/>
      <c r="L837" s="241"/>
      <c r="M837" s="241"/>
      <c r="N837" s="241"/>
      <c r="O837" s="241"/>
      <c r="P837" s="241"/>
      <c r="Q837" s="241"/>
      <c r="R837" s="241"/>
      <c r="S837" s="241"/>
      <c r="T837" s="241"/>
      <c r="U837" s="241"/>
      <c r="V837" s="241"/>
      <c r="W837" s="241"/>
      <c r="X837" s="241"/>
      <c r="Y837" s="241"/>
      <c r="Z837" s="241"/>
      <c r="AA837" s="241"/>
    </row>
    <row r="838" spans="1:27" ht="13.5" customHeight="1" x14ac:dyDescent="0.3">
      <c r="A838" s="241"/>
      <c r="B838" s="241"/>
      <c r="C838" s="241"/>
      <c r="D838" s="241"/>
      <c r="E838" s="241"/>
      <c r="F838" s="241"/>
      <c r="G838" s="241"/>
      <c r="H838" s="241"/>
      <c r="I838" s="241"/>
      <c r="J838" s="241"/>
      <c r="K838" s="241"/>
      <c r="L838" s="241"/>
      <c r="M838" s="241"/>
      <c r="N838" s="241"/>
      <c r="O838" s="241"/>
      <c r="P838" s="241"/>
      <c r="Q838" s="241"/>
      <c r="R838" s="241"/>
      <c r="S838" s="241"/>
      <c r="T838" s="241"/>
      <c r="U838" s="241"/>
      <c r="V838" s="241"/>
      <c r="W838" s="241"/>
      <c r="X838" s="241"/>
      <c r="Y838" s="241"/>
      <c r="Z838" s="241"/>
      <c r="AA838" s="241"/>
    </row>
    <row r="839" spans="1:27" ht="13.5" customHeight="1" x14ac:dyDescent="0.3">
      <c r="A839" s="241"/>
      <c r="B839" s="241"/>
      <c r="C839" s="241"/>
      <c r="D839" s="241"/>
      <c r="E839" s="241"/>
      <c r="F839" s="241"/>
      <c r="G839" s="241"/>
      <c r="H839" s="241"/>
      <c r="I839" s="241"/>
      <c r="J839" s="241"/>
      <c r="K839" s="241"/>
      <c r="L839" s="241"/>
      <c r="M839" s="241"/>
      <c r="N839" s="241"/>
      <c r="O839" s="241"/>
      <c r="P839" s="241"/>
      <c r="Q839" s="241"/>
      <c r="R839" s="241"/>
      <c r="S839" s="241"/>
      <c r="T839" s="241"/>
      <c r="U839" s="241"/>
      <c r="V839" s="241"/>
      <c r="W839" s="241"/>
      <c r="X839" s="241"/>
      <c r="Y839" s="241"/>
      <c r="Z839" s="241"/>
      <c r="AA839" s="241"/>
    </row>
    <row r="840" spans="1:27" ht="13.5" customHeight="1" x14ac:dyDescent="0.3">
      <c r="A840" s="241"/>
      <c r="B840" s="241"/>
      <c r="C840" s="241"/>
      <c r="D840" s="241"/>
      <c r="E840" s="241"/>
      <c r="F840" s="241"/>
      <c r="G840" s="241"/>
      <c r="H840" s="241"/>
      <c r="I840" s="241"/>
      <c r="J840" s="241"/>
      <c r="K840" s="241"/>
      <c r="L840" s="241"/>
      <c r="M840" s="241"/>
      <c r="N840" s="241"/>
      <c r="O840" s="241"/>
      <c r="P840" s="241"/>
      <c r="Q840" s="241"/>
      <c r="R840" s="241"/>
      <c r="S840" s="241"/>
      <c r="T840" s="241"/>
      <c r="U840" s="241"/>
      <c r="V840" s="241"/>
      <c r="W840" s="241"/>
      <c r="X840" s="241"/>
      <c r="Y840" s="241"/>
      <c r="Z840" s="241"/>
      <c r="AA840" s="241"/>
    </row>
    <row r="841" spans="1:27" ht="13.5" customHeight="1" x14ac:dyDescent="0.3">
      <c r="A841" s="241"/>
      <c r="B841" s="241"/>
      <c r="C841" s="241"/>
      <c r="D841" s="241"/>
      <c r="E841" s="241"/>
      <c r="F841" s="241"/>
      <c r="G841" s="241"/>
      <c r="H841" s="241"/>
      <c r="I841" s="241"/>
      <c r="J841" s="241"/>
      <c r="K841" s="241"/>
      <c r="L841" s="241"/>
      <c r="M841" s="241"/>
      <c r="N841" s="241"/>
      <c r="O841" s="241"/>
      <c r="P841" s="241"/>
      <c r="Q841" s="241"/>
      <c r="R841" s="241"/>
      <c r="S841" s="241"/>
      <c r="T841" s="241"/>
      <c r="U841" s="241"/>
      <c r="V841" s="241"/>
      <c r="W841" s="241"/>
      <c r="X841" s="241"/>
      <c r="Y841" s="241"/>
      <c r="Z841" s="241"/>
      <c r="AA841" s="241"/>
    </row>
    <row r="842" spans="1:27" ht="13.5" customHeight="1" x14ac:dyDescent="0.3">
      <c r="A842" s="241"/>
      <c r="B842" s="241"/>
      <c r="C842" s="241"/>
      <c r="D842" s="241"/>
      <c r="E842" s="241"/>
      <c r="F842" s="241"/>
      <c r="G842" s="241"/>
      <c r="H842" s="241"/>
      <c r="I842" s="241"/>
      <c r="J842" s="241"/>
      <c r="K842" s="241"/>
      <c r="L842" s="241"/>
      <c r="M842" s="241"/>
      <c r="N842" s="241"/>
      <c r="O842" s="241"/>
      <c r="P842" s="241"/>
      <c r="Q842" s="241"/>
      <c r="R842" s="241"/>
      <c r="S842" s="241"/>
      <c r="T842" s="241"/>
      <c r="U842" s="241"/>
      <c r="V842" s="241"/>
      <c r="W842" s="241"/>
      <c r="X842" s="241"/>
      <c r="Y842" s="241"/>
      <c r="Z842" s="241"/>
      <c r="AA842" s="241"/>
    </row>
    <row r="843" spans="1:27" ht="13.5" customHeight="1" x14ac:dyDescent="0.3">
      <c r="A843" s="241"/>
      <c r="B843" s="241"/>
      <c r="C843" s="241"/>
      <c r="D843" s="241"/>
      <c r="E843" s="241"/>
      <c r="F843" s="241"/>
      <c r="G843" s="241"/>
      <c r="H843" s="241"/>
      <c r="I843" s="241"/>
      <c r="J843" s="241"/>
      <c r="K843" s="241"/>
      <c r="L843" s="241"/>
      <c r="M843" s="241"/>
      <c r="N843" s="241"/>
      <c r="O843" s="241"/>
      <c r="P843" s="241"/>
      <c r="Q843" s="241"/>
      <c r="R843" s="241"/>
      <c r="S843" s="241"/>
      <c r="T843" s="241"/>
      <c r="U843" s="241"/>
      <c r="V843" s="241"/>
      <c r="W843" s="241"/>
      <c r="X843" s="241"/>
      <c r="Y843" s="241"/>
      <c r="Z843" s="241"/>
      <c r="AA843" s="241"/>
    </row>
    <row r="844" spans="1:27" ht="13.5" customHeight="1" x14ac:dyDescent="0.3">
      <c r="A844" s="241"/>
      <c r="B844" s="241"/>
      <c r="C844" s="241"/>
      <c r="D844" s="241"/>
      <c r="E844" s="241"/>
      <c r="F844" s="241"/>
      <c r="G844" s="241"/>
      <c r="H844" s="241"/>
      <c r="I844" s="241"/>
      <c r="J844" s="241"/>
      <c r="K844" s="241"/>
      <c r="L844" s="241"/>
      <c r="M844" s="241"/>
      <c r="N844" s="241"/>
      <c r="O844" s="241"/>
      <c r="P844" s="241"/>
      <c r="Q844" s="241"/>
      <c r="R844" s="241"/>
      <c r="S844" s="241"/>
      <c r="T844" s="241"/>
      <c r="U844" s="241"/>
      <c r="V844" s="241"/>
      <c r="W844" s="241"/>
      <c r="X844" s="241"/>
      <c r="Y844" s="241"/>
      <c r="Z844" s="241"/>
      <c r="AA844" s="241"/>
    </row>
    <row r="845" spans="1:27" ht="13.5" customHeight="1" x14ac:dyDescent="0.3">
      <c r="A845" s="241"/>
      <c r="B845" s="241"/>
      <c r="C845" s="241"/>
      <c r="D845" s="241"/>
      <c r="E845" s="241"/>
      <c r="F845" s="241"/>
      <c r="G845" s="241"/>
      <c r="H845" s="241"/>
      <c r="I845" s="241"/>
      <c r="J845" s="241"/>
      <c r="K845" s="241"/>
      <c r="L845" s="241"/>
      <c r="M845" s="241"/>
      <c r="N845" s="241"/>
      <c r="O845" s="241"/>
      <c r="P845" s="241"/>
      <c r="Q845" s="241"/>
      <c r="R845" s="241"/>
      <c r="S845" s="241"/>
      <c r="T845" s="241"/>
      <c r="U845" s="241"/>
      <c r="V845" s="241"/>
      <c r="W845" s="241"/>
      <c r="X845" s="241"/>
      <c r="Y845" s="241"/>
      <c r="Z845" s="241"/>
      <c r="AA845" s="241"/>
    </row>
    <row r="846" spans="1:27" ht="13.5" customHeight="1" x14ac:dyDescent="0.3">
      <c r="A846" s="241"/>
      <c r="B846" s="241"/>
      <c r="C846" s="241"/>
      <c r="D846" s="241"/>
      <c r="E846" s="241"/>
      <c r="F846" s="241"/>
      <c r="G846" s="241"/>
      <c r="H846" s="241"/>
      <c r="I846" s="241"/>
      <c r="J846" s="241"/>
      <c r="K846" s="241"/>
      <c r="L846" s="241"/>
      <c r="M846" s="241"/>
      <c r="N846" s="241"/>
      <c r="O846" s="241"/>
      <c r="P846" s="241"/>
      <c r="Q846" s="241"/>
      <c r="R846" s="241"/>
      <c r="S846" s="241"/>
      <c r="T846" s="241"/>
      <c r="U846" s="241"/>
      <c r="V846" s="241"/>
      <c r="W846" s="241"/>
      <c r="X846" s="241"/>
      <c r="Y846" s="241"/>
      <c r="Z846" s="241"/>
      <c r="AA846" s="241"/>
    </row>
    <row r="847" spans="1:27" ht="13.5" customHeight="1" x14ac:dyDescent="0.3">
      <c r="A847" s="241"/>
      <c r="B847" s="241"/>
      <c r="C847" s="241"/>
      <c r="D847" s="241"/>
      <c r="E847" s="241"/>
      <c r="F847" s="241"/>
      <c r="G847" s="241"/>
      <c r="H847" s="241"/>
      <c r="I847" s="241"/>
      <c r="J847" s="241"/>
      <c r="K847" s="241"/>
      <c r="L847" s="241"/>
      <c r="M847" s="241"/>
      <c r="N847" s="241"/>
      <c r="O847" s="241"/>
      <c r="P847" s="241"/>
      <c r="Q847" s="241"/>
      <c r="R847" s="241"/>
      <c r="S847" s="241"/>
      <c r="T847" s="241"/>
      <c r="U847" s="241"/>
      <c r="V847" s="241"/>
      <c r="W847" s="241"/>
      <c r="X847" s="241"/>
      <c r="Y847" s="241"/>
      <c r="Z847" s="241"/>
      <c r="AA847" s="241"/>
    </row>
    <row r="848" spans="1:27" ht="13.5" customHeight="1" x14ac:dyDescent="0.3">
      <c r="A848" s="241"/>
      <c r="B848" s="241"/>
      <c r="C848" s="241"/>
      <c r="D848" s="241"/>
      <c r="E848" s="241"/>
      <c r="F848" s="241"/>
      <c r="G848" s="241"/>
      <c r="H848" s="241"/>
      <c r="I848" s="241"/>
      <c r="J848" s="241"/>
      <c r="K848" s="241"/>
      <c r="L848" s="241"/>
      <c r="M848" s="241"/>
      <c r="N848" s="241"/>
      <c r="O848" s="241"/>
      <c r="P848" s="241"/>
      <c r="Q848" s="241"/>
      <c r="R848" s="241"/>
      <c r="S848" s="241"/>
      <c r="T848" s="241"/>
      <c r="U848" s="241"/>
      <c r="V848" s="241"/>
      <c r="W848" s="241"/>
      <c r="X848" s="241"/>
      <c r="Y848" s="241"/>
      <c r="Z848" s="241"/>
      <c r="AA848" s="241"/>
    </row>
    <row r="849" spans="1:27" ht="13.5" customHeight="1" x14ac:dyDescent="0.3">
      <c r="A849" s="241"/>
      <c r="B849" s="241"/>
      <c r="C849" s="241"/>
      <c r="D849" s="241"/>
      <c r="E849" s="241"/>
      <c r="F849" s="241"/>
      <c r="G849" s="241"/>
      <c r="H849" s="241"/>
      <c r="I849" s="241"/>
      <c r="J849" s="241"/>
      <c r="K849" s="241"/>
      <c r="L849" s="241"/>
      <c r="M849" s="241"/>
      <c r="N849" s="241"/>
      <c r="O849" s="241"/>
      <c r="P849" s="241"/>
      <c r="Q849" s="241"/>
      <c r="R849" s="241"/>
      <c r="S849" s="241"/>
      <c r="T849" s="241"/>
      <c r="U849" s="241"/>
      <c r="V849" s="241"/>
      <c r="W849" s="241"/>
      <c r="X849" s="241"/>
      <c r="Y849" s="241"/>
      <c r="Z849" s="241"/>
      <c r="AA849" s="241"/>
    </row>
    <row r="850" spans="1:27" ht="13.5" customHeight="1" x14ac:dyDescent="0.3">
      <c r="A850" s="241"/>
      <c r="B850" s="241"/>
      <c r="C850" s="241"/>
      <c r="D850" s="241"/>
      <c r="E850" s="241"/>
      <c r="F850" s="241"/>
      <c r="G850" s="241"/>
      <c r="H850" s="241"/>
      <c r="I850" s="241"/>
      <c r="J850" s="241"/>
      <c r="K850" s="241"/>
      <c r="L850" s="241"/>
      <c r="M850" s="241"/>
      <c r="N850" s="241"/>
      <c r="O850" s="241"/>
      <c r="P850" s="241"/>
      <c r="Q850" s="241"/>
      <c r="R850" s="241"/>
      <c r="S850" s="241"/>
      <c r="T850" s="241"/>
      <c r="U850" s="241"/>
      <c r="V850" s="241"/>
      <c r="W850" s="241"/>
      <c r="X850" s="241"/>
      <c r="Y850" s="241"/>
      <c r="Z850" s="241"/>
      <c r="AA850" s="241"/>
    </row>
    <row r="851" spans="1:27" ht="13.5" customHeight="1" x14ac:dyDescent="0.3">
      <c r="A851" s="241"/>
      <c r="B851" s="241"/>
      <c r="C851" s="241"/>
      <c r="D851" s="241"/>
      <c r="E851" s="241"/>
      <c r="F851" s="241"/>
      <c r="G851" s="241"/>
      <c r="H851" s="241"/>
      <c r="I851" s="241"/>
      <c r="J851" s="241"/>
      <c r="K851" s="241"/>
      <c r="L851" s="241"/>
      <c r="M851" s="241"/>
      <c r="N851" s="241"/>
      <c r="O851" s="241"/>
      <c r="P851" s="241"/>
      <c r="Q851" s="241"/>
      <c r="R851" s="241"/>
      <c r="S851" s="241"/>
      <c r="T851" s="241"/>
      <c r="U851" s="241"/>
      <c r="V851" s="241"/>
      <c r="W851" s="241"/>
      <c r="X851" s="241"/>
      <c r="Y851" s="241"/>
      <c r="Z851" s="241"/>
      <c r="AA851" s="241"/>
    </row>
    <row r="852" spans="1:27" ht="13.5" customHeight="1" x14ac:dyDescent="0.3">
      <c r="A852" s="241"/>
      <c r="B852" s="241"/>
      <c r="C852" s="241"/>
      <c r="D852" s="241"/>
      <c r="E852" s="241"/>
      <c r="F852" s="241"/>
      <c r="G852" s="241"/>
      <c r="H852" s="241"/>
      <c r="I852" s="241"/>
      <c r="J852" s="241"/>
      <c r="K852" s="241"/>
      <c r="L852" s="241"/>
      <c r="M852" s="241"/>
      <c r="N852" s="241"/>
      <c r="O852" s="241"/>
      <c r="P852" s="241"/>
      <c r="Q852" s="241"/>
      <c r="R852" s="241"/>
      <c r="S852" s="241"/>
      <c r="T852" s="241"/>
      <c r="U852" s="241"/>
      <c r="V852" s="241"/>
      <c r="W852" s="241"/>
      <c r="X852" s="241"/>
      <c r="Y852" s="241"/>
      <c r="Z852" s="241"/>
      <c r="AA852" s="241"/>
    </row>
    <row r="853" spans="1:27" ht="13.5" customHeight="1" x14ac:dyDescent="0.3">
      <c r="A853" s="241"/>
      <c r="B853" s="241"/>
      <c r="C853" s="241"/>
      <c r="D853" s="241"/>
      <c r="E853" s="241"/>
      <c r="F853" s="241"/>
      <c r="G853" s="241"/>
      <c r="H853" s="241"/>
      <c r="I853" s="241"/>
      <c r="J853" s="241"/>
      <c r="K853" s="241"/>
      <c r="L853" s="241"/>
      <c r="M853" s="241"/>
      <c r="N853" s="241"/>
      <c r="O853" s="241"/>
      <c r="P853" s="241"/>
      <c r="Q853" s="241"/>
      <c r="R853" s="241"/>
      <c r="S853" s="241"/>
      <c r="T853" s="241"/>
      <c r="U853" s="241"/>
      <c r="V853" s="241"/>
      <c r="W853" s="241"/>
      <c r="X853" s="241"/>
      <c r="Y853" s="241"/>
      <c r="Z853" s="241"/>
      <c r="AA853" s="241"/>
    </row>
    <row r="854" spans="1:27" ht="13.5" customHeight="1" x14ac:dyDescent="0.3">
      <c r="A854" s="241"/>
      <c r="B854" s="241"/>
      <c r="C854" s="241"/>
      <c r="D854" s="241"/>
      <c r="E854" s="241"/>
      <c r="F854" s="241"/>
      <c r="G854" s="241"/>
      <c r="H854" s="241"/>
      <c r="I854" s="241"/>
      <c r="J854" s="241"/>
      <c r="K854" s="241"/>
      <c r="L854" s="241"/>
      <c r="M854" s="241"/>
      <c r="N854" s="241"/>
      <c r="O854" s="241"/>
      <c r="P854" s="241"/>
      <c r="Q854" s="241"/>
      <c r="R854" s="241"/>
      <c r="S854" s="241"/>
      <c r="T854" s="241"/>
      <c r="U854" s="241"/>
      <c r="V854" s="241"/>
      <c r="W854" s="241"/>
      <c r="X854" s="241"/>
      <c r="Y854" s="241"/>
      <c r="Z854" s="241"/>
      <c r="AA854" s="241"/>
    </row>
    <row r="855" spans="1:27" ht="13.5" customHeight="1" x14ac:dyDescent="0.3">
      <c r="A855" s="241"/>
      <c r="B855" s="241"/>
      <c r="C855" s="241"/>
      <c r="D855" s="241"/>
      <c r="E855" s="241"/>
      <c r="F855" s="241"/>
      <c r="G855" s="241"/>
      <c r="H855" s="241"/>
      <c r="I855" s="241"/>
      <c r="J855" s="241"/>
      <c r="K855" s="241"/>
      <c r="L855" s="241"/>
      <c r="M855" s="241"/>
      <c r="N855" s="241"/>
      <c r="O855" s="241"/>
      <c r="P855" s="241"/>
      <c r="Q855" s="241"/>
      <c r="R855" s="241"/>
      <c r="S855" s="241"/>
      <c r="T855" s="241"/>
      <c r="U855" s="241"/>
      <c r="V855" s="241"/>
      <c r="W855" s="241"/>
      <c r="X855" s="241"/>
      <c r="Y855" s="241"/>
      <c r="Z855" s="241"/>
      <c r="AA855" s="241"/>
    </row>
    <row r="856" spans="1:27" ht="13.5" customHeight="1" x14ac:dyDescent="0.3">
      <c r="A856" s="241"/>
      <c r="B856" s="241"/>
      <c r="C856" s="241"/>
      <c r="D856" s="241"/>
      <c r="E856" s="241"/>
      <c r="F856" s="241"/>
      <c r="G856" s="241"/>
      <c r="H856" s="241"/>
      <c r="I856" s="241"/>
      <c r="J856" s="241"/>
      <c r="K856" s="241"/>
      <c r="L856" s="241"/>
      <c r="M856" s="241"/>
      <c r="N856" s="241"/>
      <c r="O856" s="241"/>
      <c r="P856" s="241"/>
      <c r="Q856" s="241"/>
      <c r="R856" s="241"/>
      <c r="S856" s="241"/>
      <c r="T856" s="241"/>
      <c r="U856" s="241"/>
      <c r="V856" s="241"/>
      <c r="W856" s="241"/>
      <c r="X856" s="241"/>
      <c r="Y856" s="241"/>
      <c r="Z856" s="241"/>
      <c r="AA856" s="241"/>
    </row>
    <row r="857" spans="1:27" ht="13.5" customHeight="1" x14ac:dyDescent="0.3">
      <c r="A857" s="241"/>
      <c r="B857" s="241"/>
      <c r="C857" s="241"/>
      <c r="D857" s="241"/>
      <c r="E857" s="241"/>
      <c r="F857" s="241"/>
      <c r="G857" s="241"/>
      <c r="H857" s="241"/>
      <c r="I857" s="241"/>
      <c r="J857" s="241"/>
      <c r="K857" s="241"/>
      <c r="L857" s="241"/>
      <c r="M857" s="241"/>
      <c r="N857" s="241"/>
      <c r="O857" s="241"/>
      <c r="P857" s="241"/>
      <c r="Q857" s="241"/>
      <c r="R857" s="241"/>
      <c r="S857" s="241"/>
      <c r="T857" s="241"/>
      <c r="U857" s="241"/>
      <c r="V857" s="241"/>
      <c r="W857" s="241"/>
      <c r="X857" s="241"/>
      <c r="Y857" s="241"/>
      <c r="Z857" s="241"/>
      <c r="AA857" s="241"/>
    </row>
    <row r="858" spans="1:27" ht="13.5" customHeight="1" x14ac:dyDescent="0.3">
      <c r="A858" s="241"/>
      <c r="B858" s="241"/>
      <c r="C858" s="241"/>
      <c r="D858" s="241"/>
      <c r="E858" s="241"/>
      <c r="F858" s="241"/>
      <c r="G858" s="241"/>
      <c r="H858" s="241"/>
      <c r="I858" s="241"/>
      <c r="J858" s="241"/>
      <c r="K858" s="241"/>
      <c r="L858" s="241"/>
      <c r="M858" s="241"/>
      <c r="N858" s="241"/>
      <c r="O858" s="241"/>
      <c r="P858" s="241"/>
      <c r="Q858" s="241"/>
      <c r="R858" s="241"/>
      <c r="S858" s="241"/>
      <c r="T858" s="241"/>
      <c r="U858" s="241"/>
      <c r="V858" s="241"/>
      <c r="W858" s="241"/>
      <c r="X858" s="241"/>
      <c r="Y858" s="241"/>
      <c r="Z858" s="241"/>
      <c r="AA858" s="241"/>
    </row>
    <row r="859" spans="1:27" ht="13.5" customHeight="1" x14ac:dyDescent="0.3">
      <c r="A859" s="241"/>
      <c r="B859" s="241"/>
      <c r="C859" s="241"/>
      <c r="D859" s="241"/>
      <c r="E859" s="241"/>
      <c r="F859" s="241"/>
      <c r="G859" s="241"/>
      <c r="H859" s="241"/>
      <c r="I859" s="241"/>
      <c r="J859" s="241"/>
      <c r="K859" s="241"/>
      <c r="L859" s="241"/>
      <c r="M859" s="241"/>
      <c r="N859" s="241"/>
      <c r="O859" s="241"/>
      <c r="P859" s="241"/>
      <c r="Q859" s="241"/>
      <c r="R859" s="241"/>
      <c r="S859" s="241"/>
      <c r="T859" s="241"/>
      <c r="U859" s="241"/>
      <c r="V859" s="241"/>
      <c r="W859" s="241"/>
      <c r="X859" s="241"/>
      <c r="Y859" s="241"/>
      <c r="Z859" s="241"/>
      <c r="AA859" s="241"/>
    </row>
    <row r="860" spans="1:27" ht="13.5" customHeight="1" x14ac:dyDescent="0.3">
      <c r="A860" s="241"/>
      <c r="B860" s="241"/>
      <c r="C860" s="241"/>
      <c r="D860" s="241"/>
      <c r="E860" s="241"/>
      <c r="F860" s="241"/>
      <c r="G860" s="241"/>
      <c r="H860" s="241"/>
      <c r="I860" s="241"/>
      <c r="J860" s="241"/>
      <c r="K860" s="241"/>
      <c r="L860" s="241"/>
      <c r="M860" s="241"/>
      <c r="N860" s="241"/>
      <c r="O860" s="241"/>
      <c r="P860" s="241"/>
      <c r="Q860" s="241"/>
      <c r="R860" s="241"/>
      <c r="S860" s="241"/>
      <c r="T860" s="241"/>
      <c r="U860" s="241"/>
      <c r="V860" s="241"/>
      <c r="W860" s="241"/>
      <c r="X860" s="241"/>
      <c r="Y860" s="241"/>
      <c r="Z860" s="241"/>
      <c r="AA860" s="241"/>
    </row>
    <row r="861" spans="1:27" ht="13.5" customHeight="1" x14ac:dyDescent="0.3">
      <c r="A861" s="241"/>
      <c r="B861" s="241"/>
      <c r="C861" s="241"/>
      <c r="D861" s="241"/>
      <c r="E861" s="241"/>
      <c r="F861" s="241"/>
      <c r="G861" s="241"/>
      <c r="H861" s="241"/>
      <c r="I861" s="241"/>
      <c r="J861" s="241"/>
      <c r="K861" s="241"/>
      <c r="L861" s="241"/>
      <c r="M861" s="241"/>
      <c r="N861" s="241"/>
      <c r="O861" s="241"/>
      <c r="P861" s="241"/>
      <c r="Q861" s="241"/>
      <c r="R861" s="241"/>
      <c r="S861" s="241"/>
      <c r="T861" s="241"/>
      <c r="U861" s="241"/>
      <c r="V861" s="241"/>
      <c r="W861" s="241"/>
      <c r="X861" s="241"/>
      <c r="Y861" s="241"/>
      <c r="Z861" s="241"/>
      <c r="AA861" s="241"/>
    </row>
    <row r="862" spans="1:27" ht="13.5" customHeight="1" x14ac:dyDescent="0.3">
      <c r="A862" s="241"/>
      <c r="B862" s="241"/>
      <c r="C862" s="241"/>
      <c r="D862" s="241"/>
      <c r="E862" s="241"/>
      <c r="F862" s="241"/>
      <c r="G862" s="241"/>
      <c r="H862" s="241"/>
      <c r="I862" s="241"/>
      <c r="J862" s="241"/>
      <c r="K862" s="241"/>
      <c r="L862" s="241"/>
      <c r="M862" s="241"/>
      <c r="N862" s="241"/>
      <c r="O862" s="241"/>
      <c r="P862" s="241"/>
      <c r="Q862" s="241"/>
      <c r="R862" s="241"/>
      <c r="S862" s="241"/>
      <c r="T862" s="241"/>
      <c r="U862" s="241"/>
      <c r="V862" s="241"/>
      <c r="W862" s="241"/>
      <c r="X862" s="241"/>
      <c r="Y862" s="241"/>
      <c r="Z862" s="241"/>
      <c r="AA862" s="241"/>
    </row>
    <row r="863" spans="1:27" ht="13.5" customHeight="1" x14ac:dyDescent="0.3">
      <c r="A863" s="241"/>
      <c r="B863" s="241"/>
      <c r="C863" s="241"/>
      <c r="D863" s="241"/>
      <c r="E863" s="241"/>
      <c r="F863" s="241"/>
      <c r="G863" s="241"/>
      <c r="H863" s="241"/>
      <c r="I863" s="241"/>
      <c r="J863" s="241"/>
      <c r="K863" s="241"/>
      <c r="L863" s="241"/>
      <c r="M863" s="241"/>
      <c r="N863" s="241"/>
      <c r="O863" s="241"/>
      <c r="P863" s="241"/>
      <c r="Q863" s="241"/>
      <c r="R863" s="241"/>
      <c r="S863" s="241"/>
      <c r="T863" s="241"/>
      <c r="U863" s="241"/>
      <c r="V863" s="241"/>
      <c r="W863" s="241"/>
      <c r="X863" s="241"/>
      <c r="Y863" s="241"/>
      <c r="Z863" s="241"/>
      <c r="AA863" s="241"/>
    </row>
    <row r="864" spans="1:27" ht="13.5" customHeight="1" x14ac:dyDescent="0.3">
      <c r="A864" s="241"/>
      <c r="B864" s="241"/>
      <c r="C864" s="241"/>
      <c r="D864" s="241"/>
      <c r="E864" s="241"/>
      <c r="F864" s="241"/>
      <c r="G864" s="241"/>
      <c r="H864" s="241"/>
      <c r="I864" s="241"/>
      <c r="J864" s="241"/>
      <c r="K864" s="241"/>
      <c r="L864" s="241"/>
      <c r="M864" s="241"/>
      <c r="N864" s="241"/>
      <c r="O864" s="241"/>
      <c r="P864" s="241"/>
      <c r="Q864" s="241"/>
      <c r="R864" s="241"/>
      <c r="S864" s="241"/>
      <c r="T864" s="241"/>
      <c r="U864" s="241"/>
      <c r="V864" s="241"/>
      <c r="W864" s="241"/>
      <c r="X864" s="241"/>
      <c r="Y864" s="241"/>
      <c r="Z864" s="241"/>
      <c r="AA864" s="241"/>
    </row>
    <row r="865" spans="1:27" ht="13.5" customHeight="1" x14ac:dyDescent="0.3">
      <c r="A865" s="241"/>
      <c r="B865" s="241"/>
      <c r="C865" s="241"/>
      <c r="D865" s="241"/>
      <c r="E865" s="241"/>
      <c r="F865" s="241"/>
      <c r="G865" s="241"/>
      <c r="H865" s="241"/>
      <c r="I865" s="241"/>
      <c r="J865" s="241"/>
      <c r="K865" s="241"/>
      <c r="L865" s="241"/>
      <c r="M865" s="241"/>
      <c r="N865" s="241"/>
      <c r="O865" s="241"/>
      <c r="P865" s="241"/>
      <c r="Q865" s="241"/>
      <c r="R865" s="241"/>
      <c r="S865" s="241"/>
      <c r="T865" s="241"/>
      <c r="U865" s="241"/>
      <c r="V865" s="241"/>
      <c r="W865" s="241"/>
      <c r="X865" s="241"/>
      <c r="Y865" s="241"/>
      <c r="Z865" s="241"/>
      <c r="AA865" s="241"/>
    </row>
    <row r="866" spans="1:27" ht="13.5" customHeight="1" x14ac:dyDescent="0.3">
      <c r="A866" s="241"/>
      <c r="B866" s="241"/>
      <c r="C866" s="241"/>
      <c r="D866" s="241"/>
      <c r="E866" s="241"/>
      <c r="F866" s="241"/>
      <c r="G866" s="241"/>
      <c r="H866" s="241"/>
      <c r="I866" s="241"/>
      <c r="J866" s="241"/>
      <c r="K866" s="241"/>
      <c r="L866" s="241"/>
      <c r="M866" s="241"/>
      <c r="N866" s="241"/>
      <c r="O866" s="241"/>
      <c r="P866" s="241"/>
      <c r="Q866" s="241"/>
      <c r="R866" s="241"/>
      <c r="S866" s="241"/>
      <c r="T866" s="241"/>
      <c r="U866" s="241"/>
      <c r="V866" s="241"/>
      <c r="W866" s="241"/>
      <c r="X866" s="241"/>
      <c r="Y866" s="241"/>
      <c r="Z866" s="241"/>
      <c r="AA866" s="241"/>
    </row>
    <row r="867" spans="1:27" ht="13.5" customHeight="1" x14ac:dyDescent="0.3">
      <c r="A867" s="241"/>
      <c r="B867" s="241"/>
      <c r="C867" s="241"/>
      <c r="D867" s="241"/>
      <c r="E867" s="241"/>
      <c r="F867" s="241"/>
      <c r="G867" s="241"/>
      <c r="H867" s="241"/>
      <c r="I867" s="241"/>
      <c r="J867" s="241"/>
      <c r="K867" s="241"/>
      <c r="L867" s="241"/>
      <c r="M867" s="241"/>
      <c r="N867" s="241"/>
      <c r="O867" s="241"/>
      <c r="P867" s="241"/>
      <c r="Q867" s="241"/>
      <c r="R867" s="241"/>
      <c r="S867" s="241"/>
      <c r="T867" s="241"/>
      <c r="U867" s="241"/>
      <c r="V867" s="241"/>
      <c r="W867" s="241"/>
      <c r="X867" s="241"/>
      <c r="Y867" s="241"/>
      <c r="Z867" s="241"/>
      <c r="AA867" s="241"/>
    </row>
    <row r="868" spans="1:27" ht="13.5" customHeight="1" x14ac:dyDescent="0.3">
      <c r="A868" s="241"/>
      <c r="B868" s="241"/>
      <c r="C868" s="241"/>
      <c r="D868" s="241"/>
      <c r="E868" s="241"/>
      <c r="F868" s="241"/>
      <c r="G868" s="241"/>
      <c r="H868" s="241"/>
      <c r="I868" s="241"/>
      <c r="J868" s="241"/>
      <c r="K868" s="241"/>
      <c r="L868" s="241"/>
      <c r="M868" s="241"/>
      <c r="N868" s="241"/>
      <c r="O868" s="241"/>
      <c r="P868" s="241"/>
      <c r="Q868" s="241"/>
      <c r="R868" s="241"/>
      <c r="S868" s="241"/>
      <c r="T868" s="241"/>
      <c r="U868" s="241"/>
      <c r="V868" s="241"/>
      <c r="W868" s="241"/>
      <c r="X868" s="241"/>
      <c r="Y868" s="241"/>
      <c r="Z868" s="241"/>
      <c r="AA868" s="241"/>
    </row>
    <row r="869" spans="1:27" ht="13.5" customHeight="1" x14ac:dyDescent="0.3">
      <c r="A869" s="241"/>
      <c r="B869" s="241"/>
      <c r="C869" s="241"/>
      <c r="D869" s="241"/>
      <c r="E869" s="241"/>
      <c r="F869" s="241"/>
      <c r="G869" s="241"/>
      <c r="H869" s="241"/>
      <c r="I869" s="241"/>
      <c r="J869" s="241"/>
      <c r="K869" s="241"/>
      <c r="L869" s="241"/>
      <c r="M869" s="241"/>
      <c r="N869" s="241"/>
      <c r="O869" s="241"/>
      <c r="P869" s="241"/>
      <c r="Q869" s="241"/>
      <c r="R869" s="241"/>
      <c r="S869" s="241"/>
      <c r="T869" s="241"/>
      <c r="U869" s="241"/>
      <c r="V869" s="241"/>
      <c r="W869" s="241"/>
      <c r="X869" s="241"/>
      <c r="Y869" s="241"/>
      <c r="Z869" s="241"/>
      <c r="AA869" s="241"/>
    </row>
    <row r="870" spans="1:27" ht="13.5" customHeight="1" x14ac:dyDescent="0.3">
      <c r="A870" s="241"/>
      <c r="B870" s="241"/>
      <c r="C870" s="241"/>
      <c r="D870" s="241"/>
      <c r="E870" s="241"/>
      <c r="F870" s="241"/>
      <c r="G870" s="241"/>
      <c r="H870" s="241"/>
      <c r="I870" s="241"/>
      <c r="J870" s="241"/>
      <c r="K870" s="241"/>
      <c r="L870" s="241"/>
      <c r="M870" s="241"/>
      <c r="N870" s="241"/>
      <c r="O870" s="241"/>
      <c r="P870" s="241"/>
      <c r="Q870" s="241"/>
      <c r="R870" s="241"/>
      <c r="S870" s="241"/>
      <c r="T870" s="241"/>
      <c r="U870" s="241"/>
      <c r="V870" s="241"/>
      <c r="W870" s="241"/>
      <c r="X870" s="241"/>
      <c r="Y870" s="241"/>
      <c r="Z870" s="241"/>
      <c r="AA870" s="241"/>
    </row>
    <row r="871" spans="1:27" ht="13.5" customHeight="1" x14ac:dyDescent="0.3">
      <c r="A871" s="241"/>
      <c r="B871" s="241"/>
      <c r="C871" s="241"/>
      <c r="D871" s="241"/>
      <c r="E871" s="241"/>
      <c r="F871" s="241"/>
      <c r="G871" s="241"/>
      <c r="H871" s="241"/>
      <c r="I871" s="241"/>
      <c r="J871" s="241"/>
      <c r="K871" s="241"/>
      <c r="L871" s="241"/>
      <c r="M871" s="241"/>
      <c r="N871" s="241"/>
      <c r="O871" s="241"/>
      <c r="P871" s="241"/>
      <c r="Q871" s="241"/>
      <c r="R871" s="241"/>
      <c r="S871" s="241"/>
      <c r="T871" s="241"/>
      <c r="U871" s="241"/>
      <c r="V871" s="241"/>
      <c r="W871" s="241"/>
      <c r="X871" s="241"/>
      <c r="Y871" s="241"/>
      <c r="Z871" s="241"/>
      <c r="AA871" s="241"/>
    </row>
    <row r="872" spans="1:27" ht="13.5" customHeight="1" x14ac:dyDescent="0.3">
      <c r="A872" s="241"/>
      <c r="B872" s="241"/>
      <c r="C872" s="241"/>
      <c r="D872" s="241"/>
      <c r="E872" s="241"/>
      <c r="F872" s="241"/>
      <c r="G872" s="241"/>
      <c r="H872" s="241"/>
      <c r="I872" s="241"/>
      <c r="J872" s="241"/>
      <c r="K872" s="241"/>
      <c r="L872" s="241"/>
      <c r="M872" s="241"/>
      <c r="N872" s="241"/>
      <c r="O872" s="241"/>
      <c r="P872" s="241"/>
      <c r="Q872" s="241"/>
      <c r="R872" s="241"/>
      <c r="S872" s="241"/>
      <c r="T872" s="241"/>
      <c r="U872" s="241"/>
      <c r="V872" s="241"/>
      <c r="W872" s="241"/>
      <c r="X872" s="241"/>
      <c r="Y872" s="241"/>
      <c r="Z872" s="241"/>
      <c r="AA872" s="241"/>
    </row>
    <row r="873" spans="1:27" ht="13.5" customHeight="1" x14ac:dyDescent="0.3">
      <c r="A873" s="241"/>
      <c r="B873" s="241"/>
      <c r="C873" s="241"/>
      <c r="D873" s="241"/>
      <c r="E873" s="241"/>
      <c r="F873" s="241"/>
      <c r="G873" s="241"/>
      <c r="H873" s="241"/>
      <c r="I873" s="241"/>
      <c r="J873" s="241"/>
      <c r="K873" s="241"/>
      <c r="L873" s="241"/>
      <c r="M873" s="241"/>
      <c r="N873" s="241"/>
      <c r="O873" s="241"/>
      <c r="P873" s="241"/>
      <c r="Q873" s="241"/>
      <c r="R873" s="241"/>
      <c r="S873" s="241"/>
      <c r="T873" s="241"/>
      <c r="U873" s="241"/>
      <c r="V873" s="241"/>
      <c r="W873" s="241"/>
      <c r="X873" s="241"/>
      <c r="Y873" s="241"/>
      <c r="Z873" s="241"/>
      <c r="AA873" s="241"/>
    </row>
    <row r="874" spans="1:27" ht="13.5" customHeight="1" x14ac:dyDescent="0.3">
      <c r="A874" s="241"/>
      <c r="B874" s="241"/>
      <c r="C874" s="241"/>
      <c r="D874" s="241"/>
      <c r="E874" s="241"/>
      <c r="F874" s="241"/>
      <c r="G874" s="241"/>
      <c r="H874" s="241"/>
      <c r="I874" s="241"/>
      <c r="J874" s="241"/>
      <c r="K874" s="241"/>
      <c r="L874" s="241"/>
      <c r="M874" s="241"/>
      <c r="N874" s="241"/>
      <c r="O874" s="241"/>
      <c r="P874" s="241"/>
      <c r="Q874" s="241"/>
      <c r="R874" s="241"/>
      <c r="S874" s="241"/>
      <c r="T874" s="241"/>
      <c r="U874" s="241"/>
      <c r="V874" s="241"/>
      <c r="W874" s="241"/>
      <c r="X874" s="241"/>
      <c r="Y874" s="241"/>
      <c r="Z874" s="241"/>
      <c r="AA874" s="241"/>
    </row>
    <row r="875" spans="1:27" ht="13.5" customHeight="1" x14ac:dyDescent="0.3">
      <c r="A875" s="241"/>
      <c r="B875" s="241"/>
      <c r="C875" s="241"/>
      <c r="D875" s="241"/>
      <c r="E875" s="241"/>
      <c r="F875" s="241"/>
      <c r="G875" s="241"/>
      <c r="H875" s="241"/>
      <c r="I875" s="241"/>
      <c r="J875" s="241"/>
      <c r="K875" s="241"/>
      <c r="L875" s="241"/>
      <c r="M875" s="241"/>
      <c r="N875" s="241"/>
      <c r="O875" s="241"/>
      <c r="P875" s="241"/>
      <c r="Q875" s="241"/>
      <c r="R875" s="241"/>
      <c r="S875" s="241"/>
      <c r="T875" s="241"/>
      <c r="U875" s="241"/>
      <c r="V875" s="241"/>
      <c r="W875" s="241"/>
      <c r="X875" s="241"/>
      <c r="Y875" s="241"/>
      <c r="Z875" s="241"/>
      <c r="AA875" s="241"/>
    </row>
    <row r="876" spans="1:27" ht="13.5" customHeight="1" x14ac:dyDescent="0.3">
      <c r="A876" s="241"/>
      <c r="B876" s="241"/>
      <c r="C876" s="241"/>
      <c r="D876" s="241"/>
      <c r="E876" s="241"/>
      <c r="F876" s="241"/>
      <c r="G876" s="241"/>
      <c r="H876" s="241"/>
      <c r="I876" s="241"/>
      <c r="J876" s="241"/>
      <c r="K876" s="241"/>
      <c r="L876" s="241"/>
      <c r="M876" s="241"/>
      <c r="N876" s="241"/>
      <c r="O876" s="241"/>
      <c r="P876" s="241"/>
      <c r="Q876" s="241"/>
      <c r="R876" s="241"/>
      <c r="S876" s="241"/>
      <c r="T876" s="241"/>
      <c r="U876" s="241"/>
      <c r="V876" s="241"/>
      <c r="W876" s="241"/>
      <c r="X876" s="241"/>
      <c r="Y876" s="241"/>
      <c r="Z876" s="241"/>
      <c r="AA876" s="241"/>
    </row>
    <row r="877" spans="1:27" ht="13.5" customHeight="1" x14ac:dyDescent="0.3">
      <c r="A877" s="241"/>
      <c r="B877" s="241"/>
      <c r="C877" s="241"/>
      <c r="D877" s="241"/>
      <c r="E877" s="241"/>
      <c r="F877" s="241"/>
      <c r="G877" s="241"/>
      <c r="H877" s="241"/>
      <c r="I877" s="241"/>
      <c r="J877" s="241"/>
      <c r="K877" s="241"/>
      <c r="L877" s="241"/>
      <c r="M877" s="241"/>
      <c r="N877" s="241"/>
      <c r="O877" s="241"/>
      <c r="P877" s="241"/>
      <c r="Q877" s="241"/>
      <c r="R877" s="241"/>
      <c r="S877" s="241"/>
      <c r="T877" s="241"/>
      <c r="U877" s="241"/>
      <c r="V877" s="241"/>
      <c r="W877" s="241"/>
      <c r="X877" s="241"/>
      <c r="Y877" s="241"/>
      <c r="Z877" s="241"/>
      <c r="AA877" s="241"/>
    </row>
    <row r="878" spans="1:27" ht="13.5" customHeight="1" x14ac:dyDescent="0.3">
      <c r="A878" s="241"/>
      <c r="B878" s="241"/>
      <c r="C878" s="241"/>
      <c r="D878" s="241"/>
      <c r="E878" s="241"/>
      <c r="F878" s="241"/>
      <c r="G878" s="241"/>
      <c r="H878" s="241"/>
      <c r="I878" s="241"/>
      <c r="J878" s="241"/>
      <c r="K878" s="241"/>
      <c r="L878" s="241"/>
      <c r="M878" s="241"/>
      <c r="N878" s="241"/>
      <c r="O878" s="241"/>
      <c r="P878" s="241"/>
      <c r="Q878" s="241"/>
      <c r="R878" s="241"/>
      <c r="S878" s="241"/>
      <c r="T878" s="241"/>
      <c r="U878" s="241"/>
      <c r="V878" s="241"/>
      <c r="W878" s="241"/>
      <c r="X878" s="241"/>
      <c r="Y878" s="241"/>
      <c r="Z878" s="241"/>
      <c r="AA878" s="241"/>
    </row>
    <row r="879" spans="1:27" ht="13.5" customHeight="1" x14ac:dyDescent="0.3">
      <c r="A879" s="241"/>
      <c r="B879" s="241"/>
      <c r="C879" s="241"/>
      <c r="D879" s="241"/>
      <c r="E879" s="241"/>
      <c r="F879" s="241"/>
      <c r="G879" s="241"/>
      <c r="H879" s="241"/>
      <c r="I879" s="241"/>
      <c r="J879" s="241"/>
      <c r="K879" s="241"/>
      <c r="L879" s="241"/>
      <c r="M879" s="241"/>
      <c r="N879" s="241"/>
      <c r="O879" s="241"/>
      <c r="P879" s="241"/>
      <c r="Q879" s="241"/>
      <c r="R879" s="241"/>
      <c r="S879" s="241"/>
      <c r="T879" s="241"/>
      <c r="U879" s="241"/>
      <c r="V879" s="241"/>
      <c r="W879" s="241"/>
      <c r="X879" s="241"/>
      <c r="Y879" s="241"/>
      <c r="Z879" s="241"/>
      <c r="AA879" s="241"/>
    </row>
    <row r="880" spans="1:27" ht="13.5" customHeight="1" x14ac:dyDescent="0.3">
      <c r="A880" s="241"/>
      <c r="B880" s="241"/>
      <c r="C880" s="241"/>
      <c r="D880" s="241"/>
      <c r="E880" s="241"/>
      <c r="F880" s="241"/>
      <c r="G880" s="241"/>
      <c r="H880" s="241"/>
      <c r="I880" s="241"/>
      <c r="J880" s="241"/>
      <c r="K880" s="241"/>
      <c r="L880" s="241"/>
      <c r="M880" s="241"/>
      <c r="N880" s="241"/>
      <c r="O880" s="241"/>
      <c r="P880" s="241"/>
      <c r="Q880" s="241"/>
      <c r="R880" s="241"/>
      <c r="S880" s="241"/>
      <c r="T880" s="241"/>
      <c r="U880" s="241"/>
      <c r="V880" s="241"/>
      <c r="W880" s="241"/>
      <c r="X880" s="241"/>
      <c r="Y880" s="241"/>
      <c r="Z880" s="241"/>
      <c r="AA880" s="241"/>
    </row>
    <row r="881" spans="1:27" ht="13.5" customHeight="1" x14ac:dyDescent="0.3">
      <c r="A881" s="241"/>
      <c r="B881" s="241"/>
      <c r="C881" s="241"/>
      <c r="D881" s="241"/>
      <c r="E881" s="241"/>
      <c r="F881" s="241"/>
      <c r="G881" s="241"/>
      <c r="H881" s="241"/>
      <c r="I881" s="241"/>
      <c r="J881" s="241"/>
      <c r="K881" s="241"/>
      <c r="L881" s="241"/>
      <c r="M881" s="241"/>
      <c r="N881" s="241"/>
      <c r="O881" s="241"/>
      <c r="P881" s="241"/>
      <c r="Q881" s="241"/>
      <c r="R881" s="241"/>
      <c r="S881" s="241"/>
      <c r="T881" s="241"/>
      <c r="U881" s="241"/>
      <c r="V881" s="241"/>
      <c r="W881" s="241"/>
      <c r="X881" s="241"/>
      <c r="Y881" s="241"/>
      <c r="Z881" s="241"/>
      <c r="AA881" s="241"/>
    </row>
    <row r="882" spans="1:27" ht="13.5" customHeight="1" x14ac:dyDescent="0.3">
      <c r="A882" s="241"/>
      <c r="B882" s="241"/>
      <c r="C882" s="241"/>
      <c r="D882" s="241"/>
      <c r="E882" s="241"/>
      <c r="F882" s="241"/>
      <c r="G882" s="241"/>
      <c r="H882" s="241"/>
      <c r="I882" s="241"/>
      <c r="J882" s="241"/>
      <c r="K882" s="241"/>
      <c r="L882" s="241"/>
      <c r="M882" s="241"/>
      <c r="N882" s="241"/>
      <c r="O882" s="241"/>
      <c r="P882" s="241"/>
      <c r="Q882" s="241"/>
      <c r="R882" s="241"/>
      <c r="S882" s="241"/>
      <c r="T882" s="241"/>
      <c r="U882" s="241"/>
      <c r="V882" s="241"/>
      <c r="W882" s="241"/>
      <c r="X882" s="241"/>
      <c r="Y882" s="241"/>
      <c r="Z882" s="241"/>
      <c r="AA882" s="241"/>
    </row>
    <row r="883" spans="1:27" ht="13.5" customHeight="1" x14ac:dyDescent="0.3">
      <c r="A883" s="241"/>
      <c r="B883" s="241"/>
      <c r="C883" s="241"/>
      <c r="D883" s="241"/>
      <c r="E883" s="241"/>
      <c r="F883" s="241"/>
      <c r="G883" s="241"/>
      <c r="H883" s="241"/>
      <c r="I883" s="241"/>
      <c r="J883" s="241"/>
      <c r="K883" s="241"/>
      <c r="L883" s="241"/>
      <c r="M883" s="241"/>
      <c r="N883" s="241"/>
      <c r="O883" s="241"/>
      <c r="P883" s="241"/>
      <c r="Q883" s="241"/>
      <c r="R883" s="241"/>
      <c r="S883" s="241"/>
      <c r="T883" s="241"/>
      <c r="U883" s="241"/>
      <c r="V883" s="241"/>
      <c r="W883" s="241"/>
      <c r="X883" s="241"/>
      <c r="Y883" s="241"/>
      <c r="Z883" s="241"/>
      <c r="AA883" s="241"/>
    </row>
    <row r="884" spans="1:27" ht="13.5" customHeight="1" x14ac:dyDescent="0.3">
      <c r="A884" s="241"/>
      <c r="B884" s="241"/>
      <c r="C884" s="241"/>
      <c r="D884" s="241"/>
      <c r="E884" s="241"/>
      <c r="F884" s="241"/>
      <c r="G884" s="241"/>
      <c r="H884" s="241"/>
      <c r="I884" s="241"/>
      <c r="J884" s="241"/>
      <c r="K884" s="241"/>
      <c r="L884" s="241"/>
      <c r="M884" s="241"/>
      <c r="N884" s="241"/>
      <c r="O884" s="241"/>
      <c r="P884" s="241"/>
      <c r="Q884" s="241"/>
      <c r="R884" s="241"/>
      <c r="S884" s="241"/>
      <c r="T884" s="241"/>
      <c r="U884" s="241"/>
      <c r="V884" s="241"/>
      <c r="W884" s="241"/>
      <c r="X884" s="241"/>
      <c r="Y884" s="241"/>
      <c r="Z884" s="241"/>
      <c r="AA884" s="241"/>
    </row>
    <row r="885" spans="1:27" ht="13.5" customHeight="1" x14ac:dyDescent="0.3">
      <c r="A885" s="241"/>
      <c r="B885" s="241"/>
      <c r="C885" s="241"/>
      <c r="D885" s="241"/>
      <c r="E885" s="241"/>
      <c r="F885" s="241"/>
      <c r="G885" s="241"/>
      <c r="H885" s="241"/>
      <c r="I885" s="241"/>
      <c r="J885" s="241"/>
      <c r="K885" s="241"/>
      <c r="L885" s="241"/>
      <c r="M885" s="241"/>
      <c r="N885" s="241"/>
      <c r="O885" s="241"/>
      <c r="P885" s="241"/>
      <c r="Q885" s="241"/>
      <c r="R885" s="241"/>
      <c r="S885" s="241"/>
      <c r="T885" s="241"/>
      <c r="U885" s="241"/>
      <c r="V885" s="241"/>
      <c r="W885" s="241"/>
      <c r="X885" s="241"/>
      <c r="Y885" s="241"/>
      <c r="Z885" s="241"/>
      <c r="AA885" s="241"/>
    </row>
    <row r="886" spans="1:27" ht="13.5" customHeight="1" x14ac:dyDescent="0.3">
      <c r="A886" s="241"/>
      <c r="B886" s="241"/>
      <c r="C886" s="241"/>
      <c r="D886" s="241"/>
      <c r="E886" s="241"/>
      <c r="F886" s="241"/>
      <c r="G886" s="241"/>
      <c r="H886" s="241"/>
      <c r="I886" s="241"/>
      <c r="J886" s="241"/>
      <c r="K886" s="241"/>
      <c r="L886" s="241"/>
      <c r="M886" s="241"/>
      <c r="N886" s="241"/>
      <c r="O886" s="241"/>
      <c r="P886" s="241"/>
      <c r="Q886" s="241"/>
      <c r="R886" s="241"/>
      <c r="S886" s="241"/>
      <c r="T886" s="241"/>
      <c r="U886" s="241"/>
      <c r="V886" s="241"/>
      <c r="W886" s="241"/>
      <c r="X886" s="241"/>
      <c r="Y886" s="241"/>
      <c r="Z886" s="241"/>
      <c r="AA886" s="241"/>
    </row>
    <row r="887" spans="1:27" ht="13.5" customHeight="1" x14ac:dyDescent="0.3">
      <c r="A887" s="241"/>
      <c r="B887" s="241"/>
      <c r="C887" s="241"/>
      <c r="D887" s="241"/>
      <c r="E887" s="241"/>
      <c r="F887" s="241"/>
      <c r="G887" s="241"/>
      <c r="H887" s="241"/>
      <c r="I887" s="241"/>
      <c r="J887" s="241"/>
      <c r="K887" s="241"/>
      <c r="L887" s="241"/>
      <c r="M887" s="241"/>
      <c r="N887" s="241"/>
      <c r="O887" s="241"/>
      <c r="P887" s="241"/>
      <c r="Q887" s="241"/>
      <c r="R887" s="241"/>
      <c r="S887" s="241"/>
      <c r="T887" s="241"/>
      <c r="U887" s="241"/>
      <c r="V887" s="241"/>
      <c r="W887" s="241"/>
      <c r="X887" s="241"/>
      <c r="Y887" s="241"/>
      <c r="Z887" s="241"/>
      <c r="AA887" s="241"/>
    </row>
    <row r="888" spans="1:27" ht="13.5" customHeight="1" x14ac:dyDescent="0.3">
      <c r="A888" s="241"/>
      <c r="B888" s="241"/>
      <c r="C888" s="241"/>
      <c r="D888" s="241"/>
      <c r="E888" s="241"/>
      <c r="F888" s="241"/>
      <c r="G888" s="241"/>
      <c r="H888" s="241"/>
      <c r="I888" s="241"/>
      <c r="J888" s="241"/>
      <c r="K888" s="241"/>
      <c r="L888" s="241"/>
      <c r="M888" s="241"/>
      <c r="N888" s="241"/>
      <c r="O888" s="241"/>
      <c r="P888" s="241"/>
      <c r="Q888" s="241"/>
      <c r="R888" s="241"/>
      <c r="S888" s="241"/>
      <c r="T888" s="241"/>
      <c r="U888" s="241"/>
      <c r="V888" s="241"/>
      <c r="W888" s="241"/>
      <c r="X888" s="241"/>
      <c r="Y888" s="241"/>
      <c r="Z888" s="241"/>
      <c r="AA888" s="241"/>
    </row>
    <row r="889" spans="1:27" ht="13.5" customHeight="1" x14ac:dyDescent="0.3">
      <c r="A889" s="241"/>
      <c r="B889" s="241"/>
      <c r="C889" s="241"/>
      <c r="D889" s="241"/>
      <c r="E889" s="241"/>
      <c r="F889" s="241"/>
      <c r="G889" s="241"/>
      <c r="H889" s="241"/>
      <c r="I889" s="241"/>
      <c r="J889" s="241"/>
      <c r="K889" s="241"/>
      <c r="L889" s="241"/>
      <c r="M889" s="241"/>
      <c r="N889" s="241"/>
      <c r="O889" s="241"/>
      <c r="P889" s="241"/>
      <c r="Q889" s="241"/>
      <c r="R889" s="241"/>
      <c r="S889" s="241"/>
      <c r="T889" s="241"/>
      <c r="U889" s="241"/>
      <c r="V889" s="241"/>
      <c r="W889" s="241"/>
      <c r="X889" s="241"/>
      <c r="Y889" s="241"/>
      <c r="Z889" s="241"/>
      <c r="AA889" s="241"/>
    </row>
    <row r="890" spans="1:27" ht="13.5" customHeight="1" x14ac:dyDescent="0.3">
      <c r="A890" s="241"/>
      <c r="B890" s="241"/>
      <c r="C890" s="241"/>
      <c r="D890" s="241"/>
      <c r="E890" s="241"/>
      <c r="F890" s="241"/>
      <c r="G890" s="241"/>
      <c r="H890" s="241"/>
      <c r="I890" s="241"/>
      <c r="J890" s="241"/>
      <c r="K890" s="241"/>
      <c r="L890" s="241"/>
      <c r="M890" s="241"/>
      <c r="N890" s="241"/>
      <c r="O890" s="241"/>
      <c r="P890" s="241"/>
      <c r="Q890" s="241"/>
      <c r="R890" s="241"/>
      <c r="S890" s="241"/>
      <c r="T890" s="241"/>
      <c r="U890" s="241"/>
      <c r="V890" s="241"/>
      <c r="W890" s="241"/>
      <c r="X890" s="241"/>
      <c r="Y890" s="241"/>
      <c r="Z890" s="241"/>
      <c r="AA890" s="241"/>
    </row>
    <row r="891" spans="1:27" ht="13.5" customHeight="1" x14ac:dyDescent="0.3">
      <c r="A891" s="241"/>
      <c r="B891" s="241"/>
      <c r="C891" s="241"/>
      <c r="D891" s="241"/>
      <c r="E891" s="241"/>
      <c r="F891" s="241"/>
      <c r="G891" s="241"/>
      <c r="H891" s="241"/>
      <c r="I891" s="241"/>
      <c r="J891" s="241"/>
      <c r="K891" s="241"/>
      <c r="L891" s="241"/>
      <c r="M891" s="241"/>
      <c r="N891" s="241"/>
      <c r="O891" s="241"/>
      <c r="P891" s="241"/>
      <c r="Q891" s="241"/>
      <c r="R891" s="241"/>
      <c r="S891" s="241"/>
      <c r="T891" s="241"/>
      <c r="U891" s="241"/>
      <c r="V891" s="241"/>
      <c r="W891" s="241"/>
      <c r="X891" s="241"/>
      <c r="Y891" s="241"/>
      <c r="Z891" s="241"/>
      <c r="AA891" s="241"/>
    </row>
    <row r="892" spans="1:27" ht="13.5" customHeight="1" x14ac:dyDescent="0.3">
      <c r="A892" s="241"/>
      <c r="B892" s="241"/>
      <c r="C892" s="241"/>
      <c r="D892" s="241"/>
      <c r="E892" s="241"/>
      <c r="F892" s="241"/>
      <c r="G892" s="241"/>
      <c r="H892" s="241"/>
      <c r="I892" s="241"/>
      <c r="J892" s="241"/>
      <c r="K892" s="241"/>
      <c r="L892" s="241"/>
      <c r="M892" s="241"/>
      <c r="N892" s="241"/>
      <c r="O892" s="241"/>
      <c r="P892" s="241"/>
      <c r="Q892" s="241"/>
      <c r="R892" s="241"/>
      <c r="S892" s="241"/>
      <c r="T892" s="241"/>
      <c r="U892" s="241"/>
      <c r="V892" s="241"/>
      <c r="W892" s="241"/>
      <c r="X892" s="241"/>
      <c r="Y892" s="241"/>
      <c r="Z892" s="241"/>
      <c r="AA892" s="241"/>
    </row>
    <row r="893" spans="1:27" ht="13.5" customHeight="1" x14ac:dyDescent="0.3">
      <c r="A893" s="241"/>
      <c r="B893" s="241"/>
      <c r="C893" s="241"/>
      <c r="D893" s="241"/>
      <c r="E893" s="241"/>
      <c r="F893" s="241"/>
      <c r="G893" s="241"/>
      <c r="H893" s="241"/>
      <c r="I893" s="241"/>
      <c r="J893" s="241"/>
      <c r="K893" s="241"/>
      <c r="L893" s="241"/>
      <c r="M893" s="241"/>
      <c r="N893" s="241"/>
      <c r="O893" s="241"/>
      <c r="P893" s="241"/>
      <c r="Q893" s="241"/>
      <c r="R893" s="241"/>
      <c r="S893" s="241"/>
      <c r="T893" s="241"/>
      <c r="U893" s="241"/>
      <c r="V893" s="241"/>
      <c r="W893" s="241"/>
      <c r="X893" s="241"/>
      <c r="Y893" s="241"/>
      <c r="Z893" s="241"/>
      <c r="AA893" s="241"/>
    </row>
    <row r="894" spans="1:27" ht="13.5" customHeight="1" x14ac:dyDescent="0.3">
      <c r="A894" s="241"/>
      <c r="B894" s="241"/>
      <c r="C894" s="241"/>
      <c r="D894" s="241"/>
      <c r="E894" s="241"/>
      <c r="F894" s="241"/>
      <c r="G894" s="241"/>
      <c r="H894" s="241"/>
      <c r="I894" s="241"/>
      <c r="J894" s="241"/>
      <c r="K894" s="241"/>
      <c r="L894" s="241"/>
      <c r="M894" s="241"/>
      <c r="N894" s="241"/>
      <c r="O894" s="241"/>
      <c r="P894" s="241"/>
      <c r="Q894" s="241"/>
      <c r="R894" s="241"/>
      <c r="S894" s="241"/>
      <c r="T894" s="241"/>
      <c r="U894" s="241"/>
      <c r="V894" s="241"/>
      <c r="W894" s="241"/>
      <c r="X894" s="241"/>
      <c r="Y894" s="241"/>
      <c r="Z894" s="241"/>
      <c r="AA894" s="241"/>
    </row>
    <row r="895" spans="1:27" ht="13.5" customHeight="1" x14ac:dyDescent="0.3">
      <c r="A895" s="241"/>
      <c r="B895" s="241"/>
      <c r="C895" s="241"/>
      <c r="D895" s="241"/>
      <c r="E895" s="241"/>
      <c r="F895" s="241"/>
      <c r="G895" s="241"/>
      <c r="H895" s="241"/>
      <c r="I895" s="241"/>
      <c r="J895" s="241"/>
      <c r="K895" s="241"/>
      <c r="L895" s="241"/>
      <c r="M895" s="241"/>
      <c r="N895" s="241"/>
      <c r="O895" s="241"/>
      <c r="P895" s="241"/>
      <c r="Q895" s="241"/>
      <c r="R895" s="241"/>
      <c r="S895" s="241"/>
      <c r="T895" s="241"/>
      <c r="U895" s="241"/>
      <c r="V895" s="241"/>
      <c r="W895" s="241"/>
      <c r="X895" s="241"/>
      <c r="Y895" s="241"/>
      <c r="Z895" s="241"/>
      <c r="AA895" s="241"/>
    </row>
    <row r="896" spans="1:27" ht="13.5" customHeight="1" x14ac:dyDescent="0.3">
      <c r="A896" s="241"/>
      <c r="B896" s="241"/>
      <c r="C896" s="241"/>
      <c r="D896" s="241"/>
      <c r="E896" s="241"/>
      <c r="F896" s="241"/>
      <c r="G896" s="241"/>
      <c r="H896" s="241"/>
      <c r="I896" s="241"/>
      <c r="J896" s="241"/>
      <c r="K896" s="241"/>
      <c r="L896" s="241"/>
      <c r="M896" s="241"/>
      <c r="N896" s="241"/>
      <c r="O896" s="241"/>
      <c r="P896" s="241"/>
      <c r="Q896" s="241"/>
      <c r="R896" s="241"/>
      <c r="S896" s="241"/>
      <c r="T896" s="241"/>
      <c r="U896" s="241"/>
      <c r="V896" s="241"/>
      <c r="W896" s="241"/>
      <c r="X896" s="241"/>
      <c r="Y896" s="241"/>
      <c r="Z896" s="241"/>
      <c r="AA896" s="241"/>
    </row>
    <row r="897" spans="1:27" ht="13.5" customHeight="1" x14ac:dyDescent="0.3">
      <c r="A897" s="241"/>
      <c r="B897" s="241"/>
      <c r="C897" s="241"/>
      <c r="D897" s="241"/>
      <c r="E897" s="241"/>
      <c r="F897" s="241"/>
      <c r="G897" s="241"/>
      <c r="H897" s="241"/>
      <c r="I897" s="241"/>
      <c r="J897" s="241"/>
      <c r="K897" s="241"/>
      <c r="L897" s="241"/>
      <c r="M897" s="241"/>
      <c r="N897" s="241"/>
      <c r="O897" s="241"/>
      <c r="P897" s="241"/>
      <c r="Q897" s="241"/>
      <c r="R897" s="241"/>
      <c r="S897" s="241"/>
      <c r="T897" s="241"/>
      <c r="U897" s="241"/>
      <c r="V897" s="241"/>
      <c r="W897" s="241"/>
      <c r="X897" s="241"/>
      <c r="Y897" s="241"/>
      <c r="Z897" s="241"/>
      <c r="AA897" s="241"/>
    </row>
    <row r="898" spans="1:27" ht="13.5" customHeight="1" x14ac:dyDescent="0.3">
      <c r="A898" s="241"/>
      <c r="B898" s="241"/>
      <c r="C898" s="241"/>
      <c r="D898" s="241"/>
      <c r="E898" s="241"/>
      <c r="F898" s="241"/>
      <c r="G898" s="241"/>
      <c r="H898" s="241"/>
      <c r="I898" s="241"/>
      <c r="J898" s="241"/>
      <c r="K898" s="241"/>
      <c r="L898" s="241"/>
      <c r="M898" s="241"/>
      <c r="N898" s="241"/>
      <c r="O898" s="241"/>
      <c r="P898" s="241"/>
      <c r="Q898" s="241"/>
      <c r="R898" s="241"/>
      <c r="S898" s="241"/>
      <c r="T898" s="241"/>
      <c r="U898" s="241"/>
      <c r="V898" s="241"/>
      <c r="W898" s="241"/>
      <c r="X898" s="241"/>
      <c r="Y898" s="241"/>
      <c r="Z898" s="241"/>
      <c r="AA898" s="241"/>
    </row>
    <row r="899" spans="1:27" ht="13.5" customHeight="1" x14ac:dyDescent="0.3">
      <c r="A899" s="241"/>
      <c r="B899" s="241"/>
      <c r="C899" s="241"/>
      <c r="D899" s="241"/>
      <c r="E899" s="241"/>
      <c r="F899" s="241"/>
      <c r="G899" s="241"/>
      <c r="H899" s="241"/>
      <c r="I899" s="241"/>
      <c r="J899" s="241"/>
      <c r="K899" s="241"/>
      <c r="L899" s="241"/>
      <c r="M899" s="241"/>
      <c r="N899" s="241"/>
      <c r="O899" s="241"/>
      <c r="P899" s="241"/>
      <c r="Q899" s="241"/>
      <c r="R899" s="241"/>
      <c r="S899" s="241"/>
      <c r="T899" s="241"/>
      <c r="U899" s="241"/>
      <c r="V899" s="241"/>
      <c r="W899" s="241"/>
      <c r="X899" s="241"/>
      <c r="Y899" s="241"/>
      <c r="Z899" s="241"/>
      <c r="AA899" s="241"/>
    </row>
    <row r="900" spans="1:27" ht="13.5" customHeight="1" x14ac:dyDescent="0.3">
      <c r="A900" s="241"/>
      <c r="B900" s="241"/>
      <c r="C900" s="241"/>
      <c r="D900" s="241"/>
      <c r="E900" s="241"/>
      <c r="F900" s="241"/>
      <c r="G900" s="241"/>
      <c r="H900" s="241"/>
      <c r="I900" s="241"/>
      <c r="J900" s="241"/>
      <c r="K900" s="241"/>
      <c r="L900" s="241"/>
      <c r="M900" s="241"/>
      <c r="N900" s="241"/>
      <c r="O900" s="241"/>
      <c r="P900" s="241"/>
      <c r="Q900" s="241"/>
      <c r="R900" s="241"/>
      <c r="S900" s="241"/>
      <c r="T900" s="241"/>
      <c r="U900" s="241"/>
      <c r="V900" s="241"/>
      <c r="W900" s="241"/>
      <c r="X900" s="241"/>
      <c r="Y900" s="241"/>
      <c r="Z900" s="241"/>
      <c r="AA900" s="241"/>
    </row>
    <row r="901" spans="1:27" ht="13.5" customHeight="1" x14ac:dyDescent="0.3">
      <c r="A901" s="241"/>
      <c r="B901" s="241"/>
      <c r="C901" s="241"/>
      <c r="D901" s="241"/>
      <c r="E901" s="241"/>
      <c r="F901" s="241"/>
      <c r="G901" s="241"/>
      <c r="H901" s="241"/>
      <c r="I901" s="241"/>
      <c r="J901" s="241"/>
      <c r="K901" s="241"/>
      <c r="L901" s="241"/>
      <c r="M901" s="241"/>
      <c r="N901" s="241"/>
      <c r="O901" s="241"/>
      <c r="P901" s="241"/>
      <c r="Q901" s="241"/>
      <c r="R901" s="241"/>
      <c r="S901" s="241"/>
      <c r="T901" s="241"/>
      <c r="U901" s="241"/>
      <c r="V901" s="241"/>
      <c r="W901" s="241"/>
      <c r="X901" s="241"/>
      <c r="Y901" s="241"/>
      <c r="Z901" s="241"/>
      <c r="AA901" s="241"/>
    </row>
    <row r="902" spans="1:27" ht="13.5" customHeight="1" x14ac:dyDescent="0.3">
      <c r="A902" s="241"/>
      <c r="B902" s="241"/>
      <c r="C902" s="241"/>
      <c r="D902" s="241"/>
      <c r="E902" s="241"/>
      <c r="F902" s="241"/>
      <c r="G902" s="241"/>
      <c r="H902" s="241"/>
      <c r="I902" s="241"/>
      <c r="J902" s="241"/>
      <c r="K902" s="241"/>
      <c r="L902" s="241"/>
      <c r="M902" s="241"/>
      <c r="N902" s="241"/>
      <c r="O902" s="241"/>
      <c r="P902" s="241"/>
      <c r="Q902" s="241"/>
      <c r="R902" s="241"/>
      <c r="S902" s="241"/>
      <c r="T902" s="241"/>
      <c r="U902" s="241"/>
      <c r="V902" s="241"/>
      <c r="W902" s="241"/>
      <c r="X902" s="241"/>
      <c r="Y902" s="241"/>
      <c r="Z902" s="241"/>
      <c r="AA902" s="241"/>
    </row>
    <row r="903" spans="1:27" ht="13.5" customHeight="1" x14ac:dyDescent="0.3">
      <c r="A903" s="241"/>
      <c r="B903" s="241"/>
      <c r="C903" s="241"/>
      <c r="D903" s="241"/>
      <c r="E903" s="241"/>
      <c r="F903" s="241"/>
      <c r="G903" s="241"/>
      <c r="H903" s="241"/>
      <c r="I903" s="241"/>
      <c r="J903" s="241"/>
      <c r="K903" s="241"/>
      <c r="L903" s="241"/>
      <c r="M903" s="241"/>
      <c r="N903" s="241"/>
      <c r="O903" s="241"/>
      <c r="P903" s="241"/>
      <c r="Q903" s="241"/>
      <c r="R903" s="241"/>
      <c r="S903" s="241"/>
      <c r="T903" s="241"/>
      <c r="U903" s="241"/>
      <c r="V903" s="241"/>
      <c r="W903" s="241"/>
      <c r="X903" s="241"/>
      <c r="Y903" s="241"/>
      <c r="Z903" s="241"/>
      <c r="AA903" s="241"/>
    </row>
    <row r="904" spans="1:27" ht="13.5" customHeight="1" x14ac:dyDescent="0.3">
      <c r="A904" s="241"/>
      <c r="B904" s="241"/>
      <c r="C904" s="241"/>
      <c r="D904" s="241"/>
      <c r="E904" s="241"/>
      <c r="F904" s="241"/>
      <c r="G904" s="241"/>
      <c r="H904" s="241"/>
      <c r="I904" s="241"/>
      <c r="J904" s="241"/>
      <c r="K904" s="241"/>
      <c r="L904" s="241"/>
      <c r="M904" s="241"/>
      <c r="N904" s="241"/>
      <c r="O904" s="241"/>
      <c r="P904" s="241"/>
      <c r="Q904" s="241"/>
      <c r="R904" s="241"/>
      <c r="S904" s="241"/>
      <c r="T904" s="241"/>
      <c r="U904" s="241"/>
      <c r="V904" s="241"/>
      <c r="W904" s="241"/>
      <c r="X904" s="241"/>
      <c r="Y904" s="241"/>
      <c r="Z904" s="241"/>
      <c r="AA904" s="241"/>
    </row>
    <row r="905" spans="1:27" ht="13.5" customHeight="1" x14ac:dyDescent="0.3">
      <c r="A905" s="241"/>
      <c r="B905" s="241"/>
      <c r="C905" s="241"/>
      <c r="D905" s="241"/>
      <c r="E905" s="241"/>
      <c r="F905" s="241"/>
      <c r="G905" s="241"/>
      <c r="H905" s="241"/>
      <c r="I905" s="241"/>
      <c r="J905" s="241"/>
      <c r="K905" s="241"/>
      <c r="L905" s="241"/>
      <c r="M905" s="241"/>
      <c r="N905" s="241"/>
      <c r="O905" s="241"/>
      <c r="P905" s="241"/>
      <c r="Q905" s="241"/>
      <c r="R905" s="241"/>
      <c r="S905" s="241"/>
      <c r="T905" s="241"/>
      <c r="U905" s="241"/>
      <c r="V905" s="241"/>
      <c r="W905" s="241"/>
      <c r="X905" s="241"/>
      <c r="Y905" s="241"/>
      <c r="Z905" s="241"/>
      <c r="AA905" s="241"/>
    </row>
    <row r="906" spans="1:27" ht="13.5" customHeight="1" x14ac:dyDescent="0.3">
      <c r="A906" s="241"/>
      <c r="B906" s="241"/>
      <c r="C906" s="241"/>
      <c r="D906" s="241"/>
      <c r="E906" s="241"/>
      <c r="F906" s="241"/>
      <c r="G906" s="241"/>
      <c r="H906" s="241"/>
      <c r="I906" s="241"/>
      <c r="J906" s="241"/>
      <c r="K906" s="241"/>
      <c r="L906" s="241"/>
      <c r="M906" s="241"/>
      <c r="N906" s="241"/>
      <c r="O906" s="241"/>
      <c r="P906" s="241"/>
      <c r="Q906" s="241"/>
      <c r="R906" s="241"/>
      <c r="S906" s="241"/>
      <c r="T906" s="241"/>
      <c r="U906" s="241"/>
      <c r="V906" s="241"/>
      <c r="W906" s="241"/>
      <c r="X906" s="241"/>
      <c r="Y906" s="241"/>
      <c r="Z906" s="241"/>
      <c r="AA906" s="241"/>
    </row>
    <row r="907" spans="1:27" ht="13.5" customHeight="1" x14ac:dyDescent="0.3">
      <c r="A907" s="241"/>
      <c r="B907" s="241"/>
      <c r="C907" s="241"/>
      <c r="D907" s="241"/>
      <c r="E907" s="241"/>
      <c r="F907" s="241"/>
      <c r="G907" s="241"/>
      <c r="H907" s="241"/>
      <c r="I907" s="241"/>
      <c r="J907" s="241"/>
      <c r="K907" s="241"/>
      <c r="L907" s="241"/>
      <c r="M907" s="241"/>
      <c r="N907" s="241"/>
      <c r="O907" s="241"/>
      <c r="P907" s="241"/>
      <c r="Q907" s="241"/>
      <c r="R907" s="241"/>
      <c r="S907" s="241"/>
      <c r="T907" s="241"/>
      <c r="U907" s="241"/>
      <c r="V907" s="241"/>
      <c r="W907" s="241"/>
      <c r="X907" s="241"/>
      <c r="Y907" s="241"/>
      <c r="Z907" s="241"/>
      <c r="AA907" s="241"/>
    </row>
    <row r="908" spans="1:27" ht="13.5" customHeight="1" x14ac:dyDescent="0.3">
      <c r="A908" s="241"/>
      <c r="B908" s="241"/>
      <c r="C908" s="241"/>
      <c r="D908" s="241"/>
      <c r="E908" s="241"/>
      <c r="F908" s="241"/>
      <c r="G908" s="241"/>
      <c r="H908" s="241"/>
      <c r="I908" s="241"/>
      <c r="J908" s="241"/>
      <c r="K908" s="241"/>
      <c r="L908" s="241"/>
      <c r="M908" s="241"/>
      <c r="N908" s="241"/>
      <c r="O908" s="241"/>
      <c r="P908" s="241"/>
      <c r="Q908" s="241"/>
      <c r="R908" s="241"/>
      <c r="S908" s="241"/>
      <c r="T908" s="241"/>
      <c r="U908" s="241"/>
      <c r="V908" s="241"/>
      <c r="W908" s="241"/>
      <c r="X908" s="241"/>
      <c r="Y908" s="241"/>
      <c r="Z908" s="241"/>
      <c r="AA908" s="241"/>
    </row>
    <row r="909" spans="1:27" ht="13.5" customHeight="1" x14ac:dyDescent="0.3">
      <c r="A909" s="241"/>
      <c r="B909" s="241"/>
      <c r="C909" s="241"/>
      <c r="D909" s="241"/>
      <c r="E909" s="241"/>
      <c r="F909" s="241"/>
      <c r="G909" s="241"/>
      <c r="H909" s="241"/>
      <c r="I909" s="241"/>
      <c r="J909" s="241"/>
      <c r="K909" s="241"/>
      <c r="L909" s="241"/>
      <c r="M909" s="241"/>
      <c r="N909" s="241"/>
      <c r="O909" s="241"/>
      <c r="P909" s="241"/>
      <c r="Q909" s="241"/>
      <c r="R909" s="241"/>
      <c r="S909" s="241"/>
      <c r="T909" s="241"/>
      <c r="U909" s="241"/>
      <c r="V909" s="241"/>
      <c r="W909" s="241"/>
      <c r="X909" s="241"/>
      <c r="Y909" s="241"/>
      <c r="Z909" s="241"/>
      <c r="AA909" s="241"/>
    </row>
    <row r="910" spans="1:27" ht="13.5" customHeight="1" x14ac:dyDescent="0.3">
      <c r="A910" s="241"/>
      <c r="B910" s="241"/>
      <c r="C910" s="241"/>
      <c r="D910" s="241"/>
      <c r="E910" s="241"/>
      <c r="F910" s="241"/>
      <c r="G910" s="241"/>
      <c r="H910" s="241"/>
      <c r="I910" s="241"/>
      <c r="J910" s="241"/>
      <c r="K910" s="241"/>
      <c r="L910" s="241"/>
      <c r="M910" s="241"/>
      <c r="N910" s="241"/>
      <c r="O910" s="241"/>
      <c r="P910" s="241"/>
      <c r="Q910" s="241"/>
      <c r="R910" s="241"/>
      <c r="S910" s="241"/>
      <c r="T910" s="241"/>
      <c r="U910" s="241"/>
      <c r="V910" s="241"/>
      <c r="W910" s="241"/>
      <c r="X910" s="241"/>
      <c r="Y910" s="241"/>
      <c r="Z910" s="241"/>
      <c r="AA910" s="241"/>
    </row>
    <row r="911" spans="1:27" ht="13.5" customHeight="1" x14ac:dyDescent="0.3">
      <c r="A911" s="241"/>
      <c r="B911" s="241"/>
      <c r="C911" s="241"/>
      <c r="D911" s="241"/>
      <c r="E911" s="241"/>
      <c r="F911" s="241"/>
      <c r="G911" s="241"/>
      <c r="H911" s="241"/>
      <c r="I911" s="241"/>
      <c r="J911" s="241"/>
      <c r="K911" s="241"/>
      <c r="L911" s="241"/>
      <c r="M911" s="241"/>
      <c r="N911" s="241"/>
      <c r="O911" s="241"/>
      <c r="P911" s="241"/>
      <c r="Q911" s="241"/>
      <c r="R911" s="241"/>
      <c r="S911" s="241"/>
      <c r="T911" s="241"/>
      <c r="U911" s="241"/>
      <c r="V911" s="241"/>
      <c r="W911" s="241"/>
      <c r="X911" s="241"/>
      <c r="Y911" s="241"/>
      <c r="Z911" s="241"/>
      <c r="AA911" s="241"/>
    </row>
    <row r="912" spans="1:27" ht="13.5" customHeight="1" x14ac:dyDescent="0.3">
      <c r="A912" s="241"/>
      <c r="B912" s="241"/>
      <c r="C912" s="241"/>
      <c r="D912" s="241"/>
      <c r="E912" s="241"/>
      <c r="F912" s="241"/>
      <c r="G912" s="241"/>
      <c r="H912" s="241"/>
      <c r="I912" s="241"/>
      <c r="J912" s="241"/>
      <c r="K912" s="241"/>
      <c r="L912" s="241"/>
      <c r="M912" s="241"/>
      <c r="N912" s="241"/>
      <c r="O912" s="241"/>
      <c r="P912" s="241"/>
      <c r="Q912" s="241"/>
      <c r="R912" s="241"/>
      <c r="S912" s="241"/>
      <c r="T912" s="241"/>
      <c r="U912" s="241"/>
      <c r="V912" s="241"/>
      <c r="W912" s="241"/>
      <c r="X912" s="241"/>
      <c r="Y912" s="241"/>
      <c r="Z912" s="241"/>
      <c r="AA912" s="241"/>
    </row>
    <row r="913" spans="1:27" ht="13.5" customHeight="1" x14ac:dyDescent="0.3">
      <c r="A913" s="241"/>
      <c r="B913" s="241"/>
      <c r="C913" s="241"/>
      <c r="D913" s="241"/>
      <c r="E913" s="241"/>
      <c r="F913" s="241"/>
      <c r="G913" s="241"/>
      <c r="H913" s="241"/>
      <c r="I913" s="241"/>
      <c r="J913" s="241"/>
      <c r="K913" s="241"/>
      <c r="L913" s="241"/>
      <c r="M913" s="241"/>
      <c r="N913" s="241"/>
      <c r="O913" s="241"/>
      <c r="P913" s="241"/>
      <c r="Q913" s="241"/>
      <c r="R913" s="241"/>
      <c r="S913" s="241"/>
      <c r="T913" s="241"/>
      <c r="U913" s="241"/>
      <c r="V913" s="241"/>
      <c r="W913" s="241"/>
      <c r="X913" s="241"/>
      <c r="Y913" s="241"/>
      <c r="Z913" s="241"/>
      <c r="AA913" s="241"/>
    </row>
    <row r="914" spans="1:27" ht="13.5" customHeight="1" x14ac:dyDescent="0.3">
      <c r="A914" s="241"/>
      <c r="B914" s="241"/>
      <c r="C914" s="241"/>
      <c r="D914" s="241"/>
      <c r="E914" s="241"/>
      <c r="F914" s="241"/>
      <c r="G914" s="241"/>
      <c r="H914" s="241"/>
      <c r="I914" s="241"/>
      <c r="J914" s="241"/>
      <c r="K914" s="241"/>
      <c r="L914" s="241"/>
      <c r="M914" s="241"/>
      <c r="N914" s="241"/>
      <c r="O914" s="241"/>
      <c r="P914" s="241"/>
      <c r="Q914" s="241"/>
      <c r="R914" s="241"/>
      <c r="S914" s="241"/>
      <c r="T914" s="241"/>
      <c r="U914" s="241"/>
      <c r="V914" s="241"/>
      <c r="W914" s="241"/>
      <c r="X914" s="241"/>
      <c r="Y914" s="241"/>
      <c r="Z914" s="241"/>
      <c r="AA914" s="241"/>
    </row>
    <row r="915" spans="1:27" ht="13.5" customHeight="1" x14ac:dyDescent="0.3">
      <c r="A915" s="241"/>
      <c r="B915" s="241"/>
      <c r="C915" s="241"/>
      <c r="D915" s="241"/>
      <c r="E915" s="241"/>
      <c r="F915" s="241"/>
      <c r="G915" s="241"/>
      <c r="H915" s="241"/>
      <c r="I915" s="241"/>
      <c r="J915" s="241"/>
      <c r="K915" s="241"/>
      <c r="L915" s="241"/>
      <c r="M915" s="241"/>
      <c r="N915" s="241"/>
      <c r="O915" s="241"/>
      <c r="P915" s="241"/>
      <c r="Q915" s="241"/>
      <c r="R915" s="241"/>
      <c r="S915" s="241"/>
      <c r="T915" s="241"/>
      <c r="U915" s="241"/>
      <c r="V915" s="241"/>
      <c r="W915" s="241"/>
      <c r="X915" s="241"/>
      <c r="Y915" s="241"/>
      <c r="Z915" s="241"/>
      <c r="AA915" s="241"/>
    </row>
    <row r="916" spans="1:27" ht="13.5" customHeight="1" x14ac:dyDescent="0.3">
      <c r="A916" s="241"/>
      <c r="B916" s="241"/>
      <c r="C916" s="241"/>
      <c r="D916" s="241"/>
      <c r="E916" s="241"/>
      <c r="F916" s="241"/>
      <c r="G916" s="241"/>
      <c r="H916" s="241"/>
      <c r="I916" s="241"/>
      <c r="J916" s="241"/>
      <c r="K916" s="241"/>
      <c r="L916" s="241"/>
      <c r="M916" s="241"/>
      <c r="N916" s="241"/>
      <c r="O916" s="241"/>
      <c r="P916" s="241"/>
      <c r="Q916" s="241"/>
      <c r="R916" s="241"/>
      <c r="S916" s="241"/>
      <c r="T916" s="241"/>
      <c r="U916" s="241"/>
      <c r="V916" s="241"/>
      <c r="W916" s="241"/>
      <c r="X916" s="241"/>
      <c r="Y916" s="241"/>
      <c r="Z916" s="241"/>
      <c r="AA916" s="241"/>
    </row>
    <row r="917" spans="1:27" ht="13.5" customHeight="1" x14ac:dyDescent="0.3">
      <c r="A917" s="241"/>
      <c r="B917" s="241"/>
      <c r="C917" s="241"/>
      <c r="D917" s="241"/>
      <c r="E917" s="241"/>
      <c r="F917" s="241"/>
      <c r="G917" s="241"/>
      <c r="H917" s="241"/>
      <c r="I917" s="241"/>
      <c r="J917" s="241"/>
      <c r="K917" s="241"/>
      <c r="L917" s="241"/>
      <c r="M917" s="241"/>
      <c r="N917" s="241"/>
      <c r="O917" s="241"/>
      <c r="P917" s="241"/>
      <c r="Q917" s="241"/>
      <c r="R917" s="241"/>
      <c r="S917" s="241"/>
      <c r="T917" s="241"/>
      <c r="U917" s="241"/>
      <c r="V917" s="241"/>
      <c r="W917" s="241"/>
      <c r="X917" s="241"/>
      <c r="Y917" s="241"/>
      <c r="Z917" s="241"/>
      <c r="AA917" s="241"/>
    </row>
    <row r="918" spans="1:27" ht="13.5" customHeight="1" x14ac:dyDescent="0.3">
      <c r="A918" s="241"/>
      <c r="B918" s="241"/>
      <c r="C918" s="241"/>
      <c r="D918" s="241"/>
      <c r="E918" s="241"/>
      <c r="F918" s="241"/>
      <c r="G918" s="241"/>
      <c r="H918" s="241"/>
      <c r="I918" s="241"/>
      <c r="J918" s="241"/>
      <c r="K918" s="241"/>
      <c r="L918" s="241"/>
      <c r="M918" s="241"/>
      <c r="N918" s="241"/>
      <c r="O918" s="241"/>
      <c r="P918" s="241"/>
      <c r="Q918" s="241"/>
      <c r="R918" s="241"/>
      <c r="S918" s="241"/>
      <c r="T918" s="241"/>
      <c r="U918" s="241"/>
      <c r="V918" s="241"/>
      <c r="W918" s="241"/>
      <c r="X918" s="241"/>
      <c r="Y918" s="241"/>
      <c r="Z918" s="241"/>
      <c r="AA918" s="241"/>
    </row>
    <row r="919" spans="1:27" ht="13.5" customHeight="1" x14ac:dyDescent="0.3">
      <c r="A919" s="241"/>
      <c r="B919" s="241"/>
      <c r="C919" s="241"/>
      <c r="D919" s="241"/>
      <c r="E919" s="241"/>
      <c r="F919" s="241"/>
      <c r="G919" s="241"/>
      <c r="H919" s="241"/>
      <c r="I919" s="241"/>
      <c r="J919" s="241"/>
      <c r="K919" s="241"/>
      <c r="L919" s="241"/>
      <c r="M919" s="241"/>
      <c r="N919" s="241"/>
      <c r="O919" s="241"/>
      <c r="P919" s="241"/>
      <c r="Q919" s="241"/>
      <c r="R919" s="241"/>
      <c r="S919" s="241"/>
      <c r="T919" s="241"/>
      <c r="U919" s="241"/>
      <c r="V919" s="241"/>
      <c r="W919" s="241"/>
      <c r="X919" s="241"/>
      <c r="Y919" s="241"/>
      <c r="Z919" s="241"/>
      <c r="AA919" s="241"/>
    </row>
    <row r="920" spans="1:27" ht="13.5" customHeight="1" x14ac:dyDescent="0.3">
      <c r="A920" s="241"/>
      <c r="B920" s="241"/>
      <c r="C920" s="241"/>
      <c r="D920" s="241"/>
      <c r="E920" s="241"/>
      <c r="F920" s="241"/>
      <c r="G920" s="241"/>
      <c r="H920" s="241"/>
      <c r="I920" s="241"/>
      <c r="J920" s="241"/>
      <c r="K920" s="241"/>
      <c r="L920" s="241"/>
      <c r="M920" s="241"/>
      <c r="N920" s="241"/>
      <c r="O920" s="241"/>
      <c r="P920" s="241"/>
      <c r="Q920" s="241"/>
      <c r="R920" s="241"/>
      <c r="S920" s="241"/>
      <c r="T920" s="241"/>
      <c r="U920" s="241"/>
      <c r="V920" s="241"/>
      <c r="W920" s="241"/>
      <c r="X920" s="241"/>
      <c r="Y920" s="241"/>
      <c r="Z920" s="241"/>
      <c r="AA920" s="241"/>
    </row>
    <row r="921" spans="1:27" ht="13.5" customHeight="1" x14ac:dyDescent="0.3">
      <c r="A921" s="241"/>
      <c r="B921" s="241"/>
      <c r="C921" s="241"/>
      <c r="D921" s="241"/>
      <c r="E921" s="241"/>
      <c r="F921" s="241"/>
      <c r="G921" s="241"/>
      <c r="H921" s="241"/>
      <c r="I921" s="241"/>
      <c r="J921" s="241"/>
      <c r="K921" s="241"/>
      <c r="L921" s="241"/>
      <c r="M921" s="241"/>
      <c r="N921" s="241"/>
      <c r="O921" s="241"/>
      <c r="P921" s="241"/>
      <c r="Q921" s="241"/>
      <c r="R921" s="241"/>
      <c r="S921" s="241"/>
      <c r="T921" s="241"/>
      <c r="U921" s="241"/>
      <c r="V921" s="241"/>
      <c r="W921" s="241"/>
      <c r="X921" s="241"/>
      <c r="Y921" s="241"/>
      <c r="Z921" s="241"/>
      <c r="AA921" s="241"/>
    </row>
    <row r="922" spans="1:27" ht="13.5" customHeight="1" x14ac:dyDescent="0.3">
      <c r="A922" s="241"/>
      <c r="B922" s="241"/>
      <c r="C922" s="241"/>
      <c r="D922" s="241"/>
      <c r="E922" s="241"/>
      <c r="F922" s="241"/>
      <c r="G922" s="241"/>
      <c r="H922" s="241"/>
      <c r="I922" s="241"/>
      <c r="J922" s="241"/>
      <c r="K922" s="241"/>
      <c r="L922" s="241"/>
      <c r="M922" s="241"/>
      <c r="N922" s="241"/>
      <c r="O922" s="241"/>
      <c r="P922" s="241"/>
      <c r="Q922" s="241"/>
      <c r="R922" s="241"/>
      <c r="S922" s="241"/>
      <c r="T922" s="241"/>
      <c r="U922" s="241"/>
      <c r="V922" s="241"/>
      <c r="W922" s="241"/>
      <c r="X922" s="241"/>
      <c r="Y922" s="241"/>
      <c r="Z922" s="241"/>
      <c r="AA922" s="241"/>
    </row>
    <row r="923" spans="1:27" ht="13.5" customHeight="1" x14ac:dyDescent="0.3">
      <c r="A923" s="241"/>
      <c r="B923" s="241"/>
      <c r="C923" s="241"/>
      <c r="D923" s="241"/>
      <c r="E923" s="241"/>
      <c r="F923" s="241"/>
      <c r="G923" s="241"/>
      <c r="H923" s="241"/>
      <c r="I923" s="241"/>
      <c r="J923" s="241"/>
      <c r="K923" s="241"/>
      <c r="L923" s="241"/>
      <c r="M923" s="241"/>
      <c r="N923" s="241"/>
      <c r="O923" s="241"/>
      <c r="P923" s="241"/>
      <c r="Q923" s="241"/>
      <c r="R923" s="241"/>
      <c r="S923" s="241"/>
      <c r="T923" s="241"/>
      <c r="U923" s="241"/>
      <c r="V923" s="241"/>
      <c r="W923" s="241"/>
      <c r="X923" s="241"/>
      <c r="Y923" s="241"/>
      <c r="Z923" s="241"/>
      <c r="AA923" s="241"/>
    </row>
    <row r="924" spans="1:27" ht="13.5" customHeight="1" x14ac:dyDescent="0.3">
      <c r="A924" s="241"/>
      <c r="B924" s="241"/>
      <c r="C924" s="241"/>
      <c r="D924" s="241"/>
      <c r="E924" s="241"/>
      <c r="F924" s="241"/>
      <c r="G924" s="241"/>
      <c r="H924" s="241"/>
      <c r="I924" s="241"/>
      <c r="J924" s="241"/>
      <c r="K924" s="241"/>
      <c r="L924" s="241"/>
      <c r="M924" s="241"/>
      <c r="N924" s="241"/>
      <c r="O924" s="241"/>
      <c r="P924" s="241"/>
      <c r="Q924" s="241"/>
      <c r="R924" s="241"/>
      <c r="S924" s="241"/>
      <c r="T924" s="241"/>
      <c r="U924" s="241"/>
      <c r="V924" s="241"/>
      <c r="W924" s="241"/>
      <c r="X924" s="241"/>
      <c r="Y924" s="241"/>
      <c r="Z924" s="241"/>
      <c r="AA924" s="241"/>
    </row>
    <row r="925" spans="1:27" ht="13.5" customHeight="1" x14ac:dyDescent="0.3">
      <c r="A925" s="241"/>
      <c r="B925" s="241"/>
      <c r="C925" s="241"/>
      <c r="D925" s="241"/>
      <c r="E925" s="241"/>
      <c r="F925" s="241"/>
      <c r="G925" s="241"/>
      <c r="H925" s="241"/>
      <c r="I925" s="241"/>
      <c r="J925" s="241"/>
      <c r="K925" s="241"/>
      <c r="L925" s="241"/>
      <c r="M925" s="241"/>
      <c r="N925" s="241"/>
      <c r="O925" s="241"/>
      <c r="P925" s="241"/>
      <c r="Q925" s="241"/>
      <c r="R925" s="241"/>
      <c r="S925" s="241"/>
      <c r="T925" s="241"/>
      <c r="U925" s="241"/>
      <c r="V925" s="241"/>
      <c r="W925" s="241"/>
      <c r="X925" s="241"/>
      <c r="Y925" s="241"/>
      <c r="Z925" s="241"/>
      <c r="AA925" s="241"/>
    </row>
    <row r="926" spans="1:27" ht="13.5" customHeight="1" x14ac:dyDescent="0.3">
      <c r="A926" s="241"/>
      <c r="B926" s="241"/>
      <c r="C926" s="241"/>
      <c r="D926" s="241"/>
      <c r="E926" s="241"/>
      <c r="F926" s="241"/>
      <c r="G926" s="241"/>
      <c r="H926" s="241"/>
      <c r="I926" s="241"/>
      <c r="J926" s="241"/>
      <c r="K926" s="241"/>
      <c r="L926" s="241"/>
      <c r="M926" s="241"/>
      <c r="N926" s="241"/>
      <c r="O926" s="241"/>
      <c r="P926" s="241"/>
      <c r="Q926" s="241"/>
      <c r="R926" s="241"/>
      <c r="S926" s="241"/>
      <c r="T926" s="241"/>
      <c r="U926" s="241"/>
      <c r="V926" s="241"/>
      <c r="W926" s="241"/>
      <c r="X926" s="241"/>
      <c r="Y926" s="241"/>
      <c r="Z926" s="241"/>
      <c r="AA926" s="241"/>
    </row>
    <row r="927" spans="1:27" ht="13.5" customHeight="1" x14ac:dyDescent="0.3">
      <c r="A927" s="241"/>
      <c r="B927" s="241"/>
      <c r="C927" s="241"/>
      <c r="D927" s="241"/>
      <c r="E927" s="241"/>
      <c r="F927" s="241"/>
      <c r="G927" s="241"/>
      <c r="H927" s="241"/>
      <c r="I927" s="241"/>
      <c r="J927" s="241"/>
      <c r="K927" s="241"/>
      <c r="L927" s="241"/>
      <c r="M927" s="241"/>
      <c r="N927" s="241"/>
      <c r="O927" s="241"/>
      <c r="P927" s="241"/>
      <c r="Q927" s="241"/>
      <c r="R927" s="241"/>
      <c r="S927" s="241"/>
      <c r="T927" s="241"/>
      <c r="U927" s="241"/>
      <c r="V927" s="241"/>
      <c r="W927" s="241"/>
      <c r="X927" s="241"/>
      <c r="Y927" s="241"/>
      <c r="Z927" s="241"/>
      <c r="AA927" s="241"/>
    </row>
    <row r="928" spans="1:27" ht="13.5" customHeight="1" x14ac:dyDescent="0.3">
      <c r="A928" s="241"/>
      <c r="B928" s="241"/>
      <c r="C928" s="241"/>
      <c r="D928" s="241"/>
      <c r="E928" s="241"/>
      <c r="F928" s="241"/>
      <c r="G928" s="241"/>
      <c r="H928" s="241"/>
      <c r="I928" s="241"/>
      <c r="J928" s="241"/>
      <c r="K928" s="241"/>
      <c r="L928" s="241"/>
      <c r="M928" s="241"/>
      <c r="N928" s="241"/>
      <c r="O928" s="241"/>
      <c r="P928" s="241"/>
      <c r="Q928" s="241"/>
      <c r="R928" s="241"/>
      <c r="S928" s="241"/>
      <c r="T928" s="241"/>
      <c r="U928" s="241"/>
      <c r="V928" s="241"/>
      <c r="W928" s="241"/>
      <c r="X928" s="241"/>
      <c r="Y928" s="241"/>
      <c r="Z928" s="241"/>
      <c r="AA928" s="241"/>
    </row>
    <row r="929" spans="1:27" ht="13.5" customHeight="1" x14ac:dyDescent="0.3">
      <c r="A929" s="241"/>
      <c r="B929" s="241"/>
      <c r="C929" s="241"/>
      <c r="D929" s="241"/>
      <c r="E929" s="241"/>
      <c r="F929" s="241"/>
      <c r="G929" s="241"/>
      <c r="H929" s="241"/>
      <c r="I929" s="241"/>
      <c r="J929" s="241"/>
      <c r="K929" s="241"/>
      <c r="L929" s="241"/>
      <c r="M929" s="241"/>
      <c r="N929" s="241"/>
      <c r="O929" s="241"/>
      <c r="P929" s="241"/>
      <c r="Q929" s="241"/>
      <c r="R929" s="241"/>
      <c r="S929" s="241"/>
      <c r="T929" s="241"/>
      <c r="U929" s="241"/>
      <c r="V929" s="241"/>
      <c r="W929" s="241"/>
      <c r="X929" s="241"/>
      <c r="Y929" s="241"/>
      <c r="Z929" s="241"/>
      <c r="AA929" s="241"/>
    </row>
    <row r="930" spans="1:27" ht="13.5" customHeight="1" x14ac:dyDescent="0.3">
      <c r="A930" s="241"/>
      <c r="B930" s="241"/>
      <c r="C930" s="241"/>
      <c r="D930" s="241"/>
      <c r="E930" s="241"/>
      <c r="F930" s="241"/>
      <c r="G930" s="241"/>
      <c r="H930" s="241"/>
      <c r="I930" s="241"/>
      <c r="J930" s="241"/>
      <c r="K930" s="241"/>
      <c r="L930" s="241"/>
      <c r="M930" s="241"/>
      <c r="N930" s="241"/>
      <c r="O930" s="241"/>
      <c r="P930" s="241"/>
      <c r="Q930" s="241"/>
      <c r="R930" s="241"/>
      <c r="S930" s="241"/>
      <c r="T930" s="241"/>
      <c r="U930" s="241"/>
      <c r="V930" s="241"/>
      <c r="W930" s="241"/>
      <c r="X930" s="241"/>
      <c r="Y930" s="241"/>
      <c r="Z930" s="241"/>
      <c r="AA930" s="241"/>
    </row>
    <row r="931" spans="1:27" ht="13.5" customHeight="1" x14ac:dyDescent="0.3">
      <c r="A931" s="241"/>
      <c r="B931" s="241"/>
      <c r="C931" s="241"/>
      <c r="D931" s="241"/>
      <c r="E931" s="241"/>
      <c r="F931" s="241"/>
      <c r="G931" s="241"/>
      <c r="H931" s="241"/>
      <c r="I931" s="241"/>
      <c r="J931" s="241"/>
      <c r="K931" s="241"/>
      <c r="L931" s="241"/>
      <c r="M931" s="241"/>
      <c r="N931" s="241"/>
      <c r="O931" s="241"/>
      <c r="P931" s="241"/>
      <c r="Q931" s="241"/>
      <c r="R931" s="241"/>
      <c r="S931" s="241"/>
      <c r="T931" s="241"/>
      <c r="U931" s="241"/>
      <c r="V931" s="241"/>
      <c r="W931" s="241"/>
      <c r="X931" s="241"/>
      <c r="Y931" s="241"/>
      <c r="Z931" s="241"/>
      <c r="AA931" s="241"/>
    </row>
    <row r="932" spans="1:27" ht="13.5" customHeight="1" x14ac:dyDescent="0.3">
      <c r="A932" s="241"/>
      <c r="B932" s="241"/>
      <c r="C932" s="241"/>
      <c r="D932" s="241"/>
      <c r="E932" s="241"/>
      <c r="F932" s="241"/>
      <c r="G932" s="241"/>
      <c r="H932" s="241"/>
      <c r="I932" s="241"/>
      <c r="J932" s="241"/>
      <c r="K932" s="241"/>
      <c r="L932" s="241"/>
      <c r="M932" s="241"/>
      <c r="N932" s="241"/>
      <c r="O932" s="241"/>
      <c r="P932" s="241"/>
      <c r="Q932" s="241"/>
      <c r="R932" s="241"/>
      <c r="S932" s="241"/>
      <c r="T932" s="241"/>
      <c r="U932" s="241"/>
      <c r="V932" s="241"/>
      <c r="W932" s="241"/>
      <c r="X932" s="241"/>
      <c r="Y932" s="241"/>
      <c r="Z932" s="241"/>
      <c r="AA932" s="241"/>
    </row>
    <row r="933" spans="1:27" ht="13.5" customHeight="1" x14ac:dyDescent="0.3">
      <c r="A933" s="241"/>
      <c r="B933" s="241"/>
      <c r="C933" s="241"/>
      <c r="D933" s="241"/>
      <c r="E933" s="241"/>
      <c r="F933" s="241"/>
      <c r="G933" s="241"/>
      <c r="H933" s="241"/>
      <c r="I933" s="241"/>
      <c r="J933" s="241"/>
      <c r="K933" s="241"/>
      <c r="L933" s="241"/>
      <c r="M933" s="241"/>
      <c r="N933" s="241"/>
      <c r="O933" s="241"/>
      <c r="P933" s="241"/>
      <c r="Q933" s="241"/>
      <c r="R933" s="241"/>
      <c r="S933" s="241"/>
      <c r="T933" s="241"/>
      <c r="U933" s="241"/>
      <c r="V933" s="241"/>
      <c r="W933" s="241"/>
      <c r="X933" s="241"/>
      <c r="Y933" s="241"/>
      <c r="Z933" s="241"/>
      <c r="AA933" s="241"/>
    </row>
    <row r="934" spans="1:27" ht="13.5" customHeight="1" x14ac:dyDescent="0.3">
      <c r="A934" s="241"/>
      <c r="B934" s="241"/>
      <c r="C934" s="241"/>
      <c r="D934" s="241"/>
      <c r="E934" s="241"/>
      <c r="F934" s="241"/>
      <c r="G934" s="241"/>
      <c r="H934" s="241"/>
      <c r="I934" s="241"/>
      <c r="J934" s="241"/>
      <c r="K934" s="241"/>
      <c r="L934" s="241"/>
      <c r="M934" s="241"/>
      <c r="N934" s="241"/>
      <c r="O934" s="241"/>
      <c r="P934" s="241"/>
      <c r="Q934" s="241"/>
      <c r="R934" s="241"/>
      <c r="S934" s="241"/>
      <c r="T934" s="241"/>
      <c r="U934" s="241"/>
      <c r="V934" s="241"/>
      <c r="W934" s="241"/>
      <c r="X934" s="241"/>
      <c r="Y934" s="241"/>
      <c r="Z934" s="241"/>
      <c r="AA934" s="241"/>
    </row>
    <row r="935" spans="1:27" ht="13.5" customHeight="1" x14ac:dyDescent="0.3">
      <c r="A935" s="241"/>
      <c r="B935" s="241"/>
      <c r="C935" s="241"/>
      <c r="D935" s="241"/>
      <c r="E935" s="241"/>
      <c r="F935" s="241"/>
      <c r="G935" s="241"/>
      <c r="H935" s="241"/>
      <c r="I935" s="241"/>
      <c r="J935" s="241"/>
      <c r="K935" s="241"/>
      <c r="L935" s="241"/>
      <c r="M935" s="241"/>
      <c r="N935" s="241"/>
      <c r="O935" s="241"/>
      <c r="P935" s="241"/>
      <c r="Q935" s="241"/>
      <c r="R935" s="241"/>
      <c r="S935" s="241"/>
      <c r="T935" s="241"/>
      <c r="U935" s="241"/>
      <c r="V935" s="241"/>
      <c r="W935" s="241"/>
      <c r="X935" s="241"/>
      <c r="Y935" s="241"/>
      <c r="Z935" s="241"/>
      <c r="AA935" s="241"/>
    </row>
    <row r="936" spans="1:27" ht="13.5" customHeight="1" x14ac:dyDescent="0.3">
      <c r="A936" s="241"/>
      <c r="B936" s="241"/>
      <c r="C936" s="241"/>
      <c r="D936" s="241"/>
      <c r="E936" s="241"/>
      <c r="F936" s="241"/>
      <c r="G936" s="241"/>
      <c r="H936" s="241"/>
      <c r="I936" s="241"/>
      <c r="J936" s="241"/>
      <c r="K936" s="241"/>
      <c r="L936" s="241"/>
      <c r="M936" s="241"/>
      <c r="N936" s="241"/>
      <c r="O936" s="241"/>
      <c r="P936" s="241"/>
      <c r="Q936" s="241"/>
      <c r="R936" s="241"/>
      <c r="S936" s="241"/>
      <c r="T936" s="241"/>
      <c r="U936" s="241"/>
      <c r="V936" s="241"/>
      <c r="W936" s="241"/>
      <c r="X936" s="241"/>
      <c r="Y936" s="241"/>
      <c r="Z936" s="241"/>
      <c r="AA936" s="241"/>
    </row>
    <row r="937" spans="1:27" ht="13.5" customHeight="1" x14ac:dyDescent="0.3">
      <c r="A937" s="241"/>
      <c r="B937" s="241"/>
      <c r="C937" s="241"/>
      <c r="D937" s="241"/>
      <c r="E937" s="241"/>
      <c r="F937" s="241"/>
      <c r="G937" s="241"/>
      <c r="H937" s="241"/>
      <c r="I937" s="241"/>
      <c r="J937" s="241"/>
      <c r="K937" s="241"/>
      <c r="L937" s="241"/>
      <c r="M937" s="241"/>
      <c r="N937" s="241"/>
      <c r="O937" s="241"/>
      <c r="P937" s="241"/>
      <c r="Q937" s="241"/>
      <c r="R937" s="241"/>
      <c r="S937" s="241"/>
      <c r="T937" s="241"/>
      <c r="U937" s="241"/>
      <c r="V937" s="241"/>
      <c r="W937" s="241"/>
      <c r="X937" s="241"/>
      <c r="Y937" s="241"/>
      <c r="Z937" s="241"/>
      <c r="AA937" s="241"/>
    </row>
    <row r="938" spans="1:27" ht="13.5" customHeight="1" x14ac:dyDescent="0.3">
      <c r="A938" s="241"/>
      <c r="B938" s="241"/>
      <c r="C938" s="241"/>
      <c r="D938" s="241"/>
      <c r="E938" s="241"/>
      <c r="F938" s="241"/>
      <c r="G938" s="241"/>
      <c r="H938" s="241"/>
      <c r="I938" s="241"/>
      <c r="J938" s="241"/>
      <c r="K938" s="241"/>
      <c r="L938" s="241"/>
      <c r="M938" s="241"/>
      <c r="N938" s="241"/>
      <c r="O938" s="241"/>
      <c r="P938" s="241"/>
      <c r="Q938" s="241"/>
      <c r="R938" s="241"/>
      <c r="S938" s="241"/>
      <c r="T938" s="241"/>
      <c r="U938" s="241"/>
      <c r="V938" s="241"/>
      <c r="W938" s="241"/>
      <c r="X938" s="241"/>
      <c r="Y938" s="241"/>
      <c r="Z938" s="241"/>
      <c r="AA938" s="241"/>
    </row>
    <row r="939" spans="1:27" ht="13.5" customHeight="1" x14ac:dyDescent="0.3">
      <c r="A939" s="241"/>
      <c r="B939" s="241"/>
      <c r="C939" s="241"/>
      <c r="D939" s="241"/>
      <c r="E939" s="241"/>
      <c r="F939" s="241"/>
      <c r="G939" s="241"/>
      <c r="H939" s="241"/>
      <c r="I939" s="241"/>
      <c r="J939" s="241"/>
      <c r="K939" s="241"/>
      <c r="L939" s="241"/>
      <c r="M939" s="241"/>
      <c r="N939" s="241"/>
      <c r="O939" s="241"/>
      <c r="P939" s="241"/>
      <c r="Q939" s="241"/>
      <c r="R939" s="241"/>
      <c r="S939" s="241"/>
      <c r="T939" s="241"/>
      <c r="U939" s="241"/>
      <c r="V939" s="241"/>
      <c r="W939" s="241"/>
      <c r="X939" s="241"/>
      <c r="Y939" s="241"/>
      <c r="Z939" s="241"/>
      <c r="AA939" s="241"/>
    </row>
    <row r="940" spans="1:27" ht="13.5" customHeight="1" x14ac:dyDescent="0.3">
      <c r="A940" s="241"/>
      <c r="B940" s="241"/>
      <c r="C940" s="241"/>
      <c r="D940" s="241"/>
      <c r="E940" s="241"/>
      <c r="F940" s="241"/>
      <c r="G940" s="241"/>
      <c r="H940" s="241"/>
      <c r="I940" s="241"/>
      <c r="J940" s="241"/>
      <c r="K940" s="241"/>
      <c r="L940" s="241"/>
      <c r="M940" s="241"/>
      <c r="N940" s="241"/>
      <c r="O940" s="241"/>
      <c r="P940" s="241"/>
      <c r="Q940" s="241"/>
      <c r="R940" s="241"/>
      <c r="S940" s="241"/>
      <c r="T940" s="241"/>
      <c r="U940" s="241"/>
      <c r="V940" s="241"/>
      <c r="W940" s="241"/>
      <c r="X940" s="241"/>
      <c r="Y940" s="241"/>
      <c r="Z940" s="241"/>
      <c r="AA940" s="241"/>
    </row>
    <row r="941" spans="1:27" ht="13.5" customHeight="1" x14ac:dyDescent="0.3">
      <c r="A941" s="241"/>
      <c r="B941" s="241"/>
      <c r="C941" s="241"/>
      <c r="D941" s="241"/>
      <c r="E941" s="241"/>
      <c r="F941" s="241"/>
      <c r="G941" s="241"/>
      <c r="H941" s="241"/>
      <c r="I941" s="241"/>
      <c r="J941" s="241"/>
      <c r="K941" s="241"/>
      <c r="L941" s="241"/>
      <c r="M941" s="241"/>
      <c r="N941" s="241"/>
      <c r="O941" s="241"/>
      <c r="P941" s="241"/>
      <c r="Q941" s="241"/>
      <c r="R941" s="241"/>
      <c r="S941" s="241"/>
      <c r="T941" s="241"/>
      <c r="U941" s="241"/>
      <c r="V941" s="241"/>
      <c r="W941" s="241"/>
      <c r="X941" s="241"/>
      <c r="Y941" s="241"/>
      <c r="Z941" s="241"/>
      <c r="AA941" s="241"/>
    </row>
    <row r="942" spans="1:27" ht="13.5" customHeight="1" x14ac:dyDescent="0.3">
      <c r="A942" s="241"/>
      <c r="B942" s="241"/>
      <c r="C942" s="241"/>
      <c r="D942" s="241"/>
      <c r="E942" s="241"/>
      <c r="F942" s="241"/>
      <c r="G942" s="241"/>
      <c r="H942" s="241"/>
      <c r="I942" s="241"/>
      <c r="J942" s="241"/>
      <c r="K942" s="241"/>
      <c r="L942" s="241"/>
      <c r="M942" s="241"/>
      <c r="N942" s="241"/>
      <c r="O942" s="241"/>
      <c r="P942" s="241"/>
      <c r="Q942" s="241"/>
      <c r="R942" s="241"/>
      <c r="S942" s="241"/>
      <c r="T942" s="241"/>
      <c r="U942" s="241"/>
      <c r="V942" s="241"/>
      <c r="W942" s="241"/>
      <c r="X942" s="241"/>
      <c r="Y942" s="241"/>
      <c r="Z942" s="241"/>
      <c r="AA942" s="241"/>
    </row>
    <row r="943" spans="1:27" ht="13.5" customHeight="1" x14ac:dyDescent="0.3">
      <c r="A943" s="241"/>
      <c r="B943" s="241"/>
      <c r="C943" s="241"/>
      <c r="D943" s="241"/>
      <c r="E943" s="241"/>
      <c r="F943" s="241"/>
      <c r="G943" s="241"/>
      <c r="H943" s="241"/>
      <c r="I943" s="241"/>
      <c r="J943" s="241"/>
      <c r="K943" s="241"/>
      <c r="L943" s="241"/>
      <c r="M943" s="241"/>
      <c r="N943" s="241"/>
      <c r="O943" s="241"/>
      <c r="P943" s="241"/>
      <c r="Q943" s="241"/>
      <c r="R943" s="241"/>
      <c r="S943" s="241"/>
      <c r="T943" s="241"/>
      <c r="U943" s="241"/>
      <c r="V943" s="241"/>
      <c r="W943" s="241"/>
      <c r="X943" s="241"/>
      <c r="Y943" s="241"/>
      <c r="Z943" s="241"/>
      <c r="AA943" s="241"/>
    </row>
    <row r="944" spans="1:27" ht="13.5" customHeight="1" x14ac:dyDescent="0.3">
      <c r="A944" s="241"/>
      <c r="B944" s="241"/>
      <c r="C944" s="241"/>
      <c r="D944" s="241"/>
      <c r="E944" s="241"/>
      <c r="F944" s="241"/>
      <c r="G944" s="241"/>
      <c r="H944" s="241"/>
      <c r="I944" s="241"/>
      <c r="J944" s="241"/>
      <c r="K944" s="241"/>
      <c r="L944" s="241"/>
      <c r="M944" s="241"/>
      <c r="N944" s="241"/>
      <c r="O944" s="241"/>
      <c r="P944" s="241"/>
      <c r="Q944" s="241"/>
      <c r="R944" s="241"/>
      <c r="S944" s="241"/>
      <c r="T944" s="241"/>
      <c r="U944" s="241"/>
      <c r="V944" s="241"/>
      <c r="W944" s="241"/>
      <c r="X944" s="241"/>
      <c r="Y944" s="241"/>
      <c r="Z944" s="241"/>
      <c r="AA944" s="241"/>
    </row>
    <row r="945" spans="1:27" ht="13.5" customHeight="1" x14ac:dyDescent="0.3">
      <c r="A945" s="241"/>
      <c r="B945" s="241"/>
      <c r="C945" s="241"/>
      <c r="D945" s="241"/>
      <c r="E945" s="241"/>
      <c r="F945" s="241"/>
      <c r="G945" s="241"/>
      <c r="H945" s="241"/>
      <c r="I945" s="241"/>
      <c r="J945" s="241"/>
      <c r="K945" s="241"/>
      <c r="L945" s="241"/>
      <c r="M945" s="241"/>
      <c r="N945" s="241"/>
      <c r="O945" s="241"/>
      <c r="P945" s="241"/>
      <c r="Q945" s="241"/>
      <c r="R945" s="241"/>
      <c r="S945" s="241"/>
      <c r="T945" s="241"/>
      <c r="U945" s="241"/>
      <c r="V945" s="241"/>
      <c r="W945" s="241"/>
      <c r="X945" s="241"/>
      <c r="Y945" s="241"/>
      <c r="Z945" s="241"/>
      <c r="AA945" s="241"/>
    </row>
    <row r="946" spans="1:27" ht="13.5" customHeight="1" x14ac:dyDescent="0.3">
      <c r="A946" s="241"/>
      <c r="B946" s="241"/>
      <c r="C946" s="241"/>
      <c r="D946" s="241"/>
      <c r="E946" s="241"/>
      <c r="F946" s="241"/>
      <c r="G946" s="241"/>
      <c r="H946" s="241"/>
      <c r="I946" s="241"/>
      <c r="J946" s="241"/>
      <c r="K946" s="241"/>
      <c r="L946" s="241"/>
      <c r="M946" s="241"/>
      <c r="N946" s="241"/>
      <c r="O946" s="241"/>
      <c r="P946" s="241"/>
      <c r="Q946" s="241"/>
      <c r="R946" s="241"/>
      <c r="S946" s="241"/>
      <c r="T946" s="241"/>
      <c r="U946" s="241"/>
      <c r="V946" s="241"/>
      <c r="W946" s="241"/>
      <c r="X946" s="241"/>
      <c r="Y946" s="241"/>
      <c r="Z946" s="241"/>
      <c r="AA946" s="241"/>
    </row>
    <row r="947" spans="1:27" ht="13.5" customHeight="1" x14ac:dyDescent="0.3">
      <c r="A947" s="241"/>
      <c r="B947" s="241"/>
      <c r="C947" s="241"/>
      <c r="D947" s="241"/>
      <c r="E947" s="241"/>
      <c r="F947" s="241"/>
      <c r="G947" s="241"/>
      <c r="H947" s="241"/>
      <c r="I947" s="241"/>
      <c r="J947" s="241"/>
      <c r="K947" s="241"/>
      <c r="L947" s="241"/>
      <c r="M947" s="241"/>
      <c r="N947" s="241"/>
      <c r="O947" s="241"/>
      <c r="P947" s="241"/>
      <c r="Q947" s="241"/>
      <c r="R947" s="241"/>
      <c r="S947" s="241"/>
      <c r="T947" s="241"/>
      <c r="U947" s="241"/>
      <c r="V947" s="241"/>
      <c r="W947" s="241"/>
      <c r="X947" s="241"/>
      <c r="Y947" s="241"/>
      <c r="Z947" s="241"/>
      <c r="AA947" s="241"/>
    </row>
    <row r="948" spans="1:27" ht="13.5" customHeight="1" x14ac:dyDescent="0.3">
      <c r="A948" s="241"/>
      <c r="B948" s="241"/>
      <c r="C948" s="241"/>
      <c r="D948" s="241"/>
      <c r="E948" s="241"/>
      <c r="F948" s="241"/>
      <c r="G948" s="241"/>
      <c r="H948" s="241"/>
      <c r="I948" s="241"/>
      <c r="J948" s="241"/>
      <c r="K948" s="241"/>
      <c r="L948" s="241"/>
      <c r="M948" s="241"/>
      <c r="N948" s="241"/>
      <c r="O948" s="241"/>
      <c r="P948" s="241"/>
      <c r="Q948" s="241"/>
      <c r="R948" s="241"/>
      <c r="S948" s="241"/>
      <c r="T948" s="241"/>
      <c r="U948" s="241"/>
      <c r="V948" s="241"/>
      <c r="W948" s="241"/>
      <c r="X948" s="241"/>
      <c r="Y948" s="241"/>
      <c r="Z948" s="241"/>
      <c r="AA948" s="241"/>
    </row>
    <row r="949" spans="1:27" ht="13.5" customHeight="1" x14ac:dyDescent="0.3">
      <c r="A949" s="241"/>
      <c r="B949" s="241"/>
      <c r="C949" s="241"/>
      <c r="D949" s="241"/>
      <c r="E949" s="241"/>
      <c r="F949" s="241"/>
      <c r="G949" s="241"/>
      <c r="H949" s="241"/>
      <c r="I949" s="241"/>
      <c r="J949" s="241"/>
      <c r="K949" s="241"/>
      <c r="L949" s="241"/>
      <c r="M949" s="241"/>
      <c r="N949" s="241"/>
      <c r="O949" s="241"/>
      <c r="P949" s="241"/>
      <c r="Q949" s="241"/>
      <c r="R949" s="241"/>
      <c r="S949" s="241"/>
      <c r="T949" s="241"/>
      <c r="U949" s="241"/>
      <c r="V949" s="241"/>
      <c r="W949" s="241"/>
      <c r="X949" s="241"/>
      <c r="Y949" s="241"/>
      <c r="Z949" s="241"/>
      <c r="AA949" s="241"/>
    </row>
    <row r="950" spans="1:27" ht="13.5" customHeight="1" x14ac:dyDescent="0.3">
      <c r="A950" s="241"/>
      <c r="B950" s="241"/>
      <c r="C950" s="241"/>
      <c r="D950" s="241"/>
      <c r="E950" s="241"/>
      <c r="F950" s="241"/>
      <c r="G950" s="241"/>
      <c r="H950" s="241"/>
      <c r="I950" s="241"/>
      <c r="J950" s="241"/>
      <c r="K950" s="241"/>
      <c r="L950" s="241"/>
      <c r="M950" s="241"/>
      <c r="N950" s="241"/>
      <c r="O950" s="241"/>
      <c r="P950" s="241"/>
      <c r="Q950" s="241"/>
      <c r="R950" s="241"/>
      <c r="S950" s="241"/>
      <c r="T950" s="241"/>
      <c r="U950" s="241"/>
      <c r="V950" s="241"/>
      <c r="W950" s="241"/>
      <c r="X950" s="241"/>
      <c r="Y950" s="241"/>
      <c r="Z950" s="241"/>
      <c r="AA950" s="241"/>
    </row>
    <row r="951" spans="1:27" ht="13.5" customHeight="1" x14ac:dyDescent="0.3">
      <c r="A951" s="241"/>
      <c r="B951" s="241"/>
      <c r="C951" s="241"/>
      <c r="D951" s="241"/>
      <c r="E951" s="241"/>
      <c r="F951" s="241"/>
      <c r="G951" s="241"/>
      <c r="H951" s="241"/>
      <c r="I951" s="241"/>
      <c r="J951" s="241"/>
      <c r="K951" s="241"/>
      <c r="L951" s="241"/>
      <c r="M951" s="241"/>
      <c r="N951" s="241"/>
      <c r="O951" s="241"/>
      <c r="P951" s="241"/>
      <c r="Q951" s="241"/>
      <c r="R951" s="241"/>
      <c r="S951" s="241"/>
      <c r="T951" s="241"/>
      <c r="U951" s="241"/>
      <c r="V951" s="241"/>
      <c r="W951" s="241"/>
      <c r="X951" s="241"/>
      <c r="Y951" s="241"/>
      <c r="Z951" s="241"/>
      <c r="AA951" s="241"/>
    </row>
    <row r="952" spans="1:27" ht="13.5" customHeight="1" x14ac:dyDescent="0.3">
      <c r="A952" s="241"/>
      <c r="B952" s="241"/>
      <c r="C952" s="241"/>
      <c r="D952" s="241"/>
      <c r="E952" s="241"/>
      <c r="F952" s="241"/>
      <c r="G952" s="241"/>
      <c r="H952" s="241"/>
      <c r="I952" s="241"/>
      <c r="J952" s="241"/>
      <c r="K952" s="241"/>
      <c r="L952" s="241"/>
      <c r="M952" s="241"/>
      <c r="N952" s="241"/>
      <c r="O952" s="241"/>
      <c r="P952" s="241"/>
      <c r="Q952" s="241"/>
      <c r="R952" s="241"/>
      <c r="S952" s="241"/>
      <c r="T952" s="241"/>
      <c r="U952" s="241"/>
      <c r="V952" s="241"/>
      <c r="W952" s="241"/>
      <c r="X952" s="241"/>
      <c r="Y952" s="241"/>
      <c r="Z952" s="241"/>
      <c r="AA952" s="241"/>
    </row>
    <row r="953" spans="1:27" ht="13.5" customHeight="1" x14ac:dyDescent="0.3">
      <c r="A953" s="241"/>
      <c r="B953" s="241"/>
      <c r="C953" s="241"/>
      <c r="D953" s="241"/>
      <c r="E953" s="241"/>
      <c r="F953" s="241"/>
      <c r="G953" s="241"/>
      <c r="H953" s="241"/>
      <c r="I953" s="241"/>
      <c r="J953" s="241"/>
      <c r="K953" s="241"/>
      <c r="L953" s="241"/>
      <c r="M953" s="241"/>
      <c r="N953" s="241"/>
      <c r="O953" s="241"/>
      <c r="P953" s="241"/>
      <c r="Q953" s="241"/>
      <c r="R953" s="241"/>
      <c r="S953" s="241"/>
      <c r="T953" s="241"/>
      <c r="U953" s="241"/>
      <c r="V953" s="241"/>
      <c r="W953" s="241"/>
      <c r="X953" s="241"/>
      <c r="Y953" s="241"/>
      <c r="Z953" s="241"/>
      <c r="AA953" s="241"/>
    </row>
    <row r="954" spans="1:27" ht="13.5" customHeight="1" x14ac:dyDescent="0.3">
      <c r="A954" s="241"/>
      <c r="B954" s="241"/>
      <c r="C954" s="241"/>
      <c r="D954" s="241"/>
      <c r="E954" s="241"/>
      <c r="F954" s="241"/>
      <c r="G954" s="241"/>
      <c r="H954" s="241"/>
      <c r="I954" s="241"/>
      <c r="J954" s="241"/>
      <c r="K954" s="241"/>
      <c r="L954" s="241"/>
      <c r="M954" s="241"/>
      <c r="N954" s="241"/>
      <c r="O954" s="241"/>
      <c r="P954" s="241"/>
      <c r="Q954" s="241"/>
      <c r="R954" s="241"/>
      <c r="S954" s="241"/>
      <c r="T954" s="241"/>
      <c r="U954" s="241"/>
      <c r="V954" s="241"/>
      <c r="W954" s="241"/>
      <c r="X954" s="241"/>
      <c r="Y954" s="241"/>
      <c r="Z954" s="241"/>
      <c r="AA954" s="241"/>
    </row>
    <row r="955" spans="1:27" ht="13.5" customHeight="1" x14ac:dyDescent="0.3">
      <c r="A955" s="241"/>
      <c r="B955" s="241"/>
      <c r="C955" s="241"/>
      <c r="D955" s="241"/>
      <c r="E955" s="241"/>
      <c r="F955" s="241"/>
      <c r="G955" s="241"/>
      <c r="H955" s="241"/>
      <c r="I955" s="241"/>
      <c r="J955" s="241"/>
      <c r="K955" s="241"/>
      <c r="L955" s="241"/>
      <c r="M955" s="241"/>
      <c r="N955" s="241"/>
      <c r="O955" s="241"/>
      <c r="P955" s="241"/>
      <c r="Q955" s="241"/>
      <c r="R955" s="241"/>
      <c r="S955" s="241"/>
      <c r="T955" s="241"/>
      <c r="U955" s="241"/>
      <c r="V955" s="241"/>
      <c r="W955" s="241"/>
      <c r="X955" s="241"/>
      <c r="Y955" s="241"/>
      <c r="Z955" s="241"/>
      <c r="AA955" s="241"/>
    </row>
    <row r="956" spans="1:27" ht="13.5" customHeight="1" x14ac:dyDescent="0.3">
      <c r="A956" s="241"/>
      <c r="B956" s="241"/>
      <c r="C956" s="241"/>
      <c r="D956" s="241"/>
      <c r="E956" s="241"/>
      <c r="F956" s="241"/>
      <c r="G956" s="241"/>
      <c r="H956" s="241"/>
      <c r="I956" s="241"/>
      <c r="J956" s="241"/>
      <c r="K956" s="241"/>
      <c r="L956" s="241"/>
      <c r="M956" s="241"/>
      <c r="N956" s="241"/>
      <c r="O956" s="241"/>
      <c r="P956" s="241"/>
      <c r="Q956" s="241"/>
      <c r="R956" s="241"/>
      <c r="S956" s="241"/>
      <c r="T956" s="241"/>
      <c r="U956" s="241"/>
      <c r="V956" s="241"/>
      <c r="W956" s="241"/>
      <c r="X956" s="241"/>
      <c r="Y956" s="241"/>
      <c r="Z956" s="241"/>
      <c r="AA956" s="241"/>
    </row>
    <row r="957" spans="1:27" ht="13.5" customHeight="1" x14ac:dyDescent="0.3">
      <c r="A957" s="241"/>
      <c r="B957" s="241"/>
      <c r="C957" s="241"/>
      <c r="D957" s="241"/>
      <c r="E957" s="241"/>
      <c r="F957" s="241"/>
      <c r="G957" s="241"/>
      <c r="H957" s="241"/>
      <c r="I957" s="241"/>
      <c r="J957" s="241"/>
      <c r="K957" s="241"/>
      <c r="L957" s="241"/>
      <c r="M957" s="241"/>
      <c r="N957" s="241"/>
      <c r="O957" s="241"/>
      <c r="P957" s="241"/>
      <c r="Q957" s="241"/>
      <c r="R957" s="241"/>
      <c r="S957" s="241"/>
      <c r="T957" s="241"/>
      <c r="U957" s="241"/>
      <c r="V957" s="241"/>
      <c r="W957" s="241"/>
      <c r="X957" s="241"/>
      <c r="Y957" s="241"/>
      <c r="Z957" s="241"/>
      <c r="AA957" s="241"/>
    </row>
    <row r="958" spans="1:27" ht="13.5" customHeight="1" x14ac:dyDescent="0.3">
      <c r="A958" s="241"/>
      <c r="B958" s="241"/>
      <c r="C958" s="241"/>
      <c r="D958" s="241"/>
      <c r="E958" s="241"/>
      <c r="F958" s="241"/>
      <c r="G958" s="241"/>
      <c r="H958" s="241"/>
      <c r="I958" s="241"/>
      <c r="J958" s="241"/>
      <c r="K958" s="241"/>
      <c r="L958" s="241"/>
      <c r="M958" s="241"/>
      <c r="N958" s="241"/>
      <c r="O958" s="241"/>
      <c r="P958" s="241"/>
      <c r="Q958" s="241"/>
      <c r="R958" s="241"/>
      <c r="S958" s="241"/>
      <c r="T958" s="241"/>
      <c r="U958" s="241"/>
      <c r="V958" s="241"/>
      <c r="W958" s="241"/>
      <c r="X958" s="241"/>
      <c r="Y958" s="241"/>
      <c r="Z958" s="241"/>
      <c r="AA958" s="241"/>
    </row>
    <row r="959" spans="1:27" ht="13.5" customHeight="1" x14ac:dyDescent="0.3">
      <c r="A959" s="241"/>
      <c r="B959" s="241"/>
      <c r="C959" s="241"/>
      <c r="D959" s="241"/>
      <c r="E959" s="241"/>
      <c r="F959" s="241"/>
      <c r="G959" s="241"/>
      <c r="H959" s="241"/>
      <c r="I959" s="241"/>
      <c r="J959" s="241"/>
      <c r="K959" s="241"/>
      <c r="L959" s="241"/>
      <c r="M959" s="241"/>
      <c r="N959" s="241"/>
      <c r="O959" s="241"/>
      <c r="P959" s="241"/>
      <c r="Q959" s="241"/>
      <c r="R959" s="241"/>
      <c r="S959" s="241"/>
      <c r="T959" s="241"/>
      <c r="U959" s="241"/>
      <c r="V959" s="241"/>
      <c r="W959" s="241"/>
      <c r="X959" s="241"/>
      <c r="Y959" s="241"/>
      <c r="Z959" s="241"/>
      <c r="AA959" s="241"/>
    </row>
    <row r="960" spans="1:27" ht="13.5" customHeight="1" x14ac:dyDescent="0.3">
      <c r="A960" s="241"/>
      <c r="B960" s="241"/>
      <c r="C960" s="241"/>
      <c r="D960" s="241"/>
      <c r="E960" s="241"/>
      <c r="F960" s="241"/>
      <c r="G960" s="241"/>
      <c r="H960" s="241"/>
      <c r="I960" s="241"/>
      <c r="J960" s="241"/>
      <c r="K960" s="241"/>
      <c r="L960" s="241"/>
      <c r="M960" s="241"/>
      <c r="N960" s="241"/>
      <c r="O960" s="241"/>
      <c r="P960" s="241"/>
      <c r="Q960" s="241"/>
      <c r="R960" s="241"/>
      <c r="S960" s="241"/>
      <c r="T960" s="241"/>
      <c r="U960" s="241"/>
      <c r="V960" s="241"/>
      <c r="W960" s="241"/>
      <c r="X960" s="241"/>
      <c r="Y960" s="241"/>
      <c r="Z960" s="241"/>
      <c r="AA960" s="241"/>
    </row>
    <row r="961" spans="1:27" ht="13.5" customHeight="1" x14ac:dyDescent="0.3">
      <c r="A961" s="241"/>
      <c r="B961" s="241"/>
      <c r="C961" s="241"/>
      <c r="D961" s="241"/>
      <c r="E961" s="241"/>
      <c r="F961" s="241"/>
      <c r="G961" s="241"/>
      <c r="H961" s="241"/>
      <c r="I961" s="241"/>
      <c r="J961" s="241"/>
      <c r="K961" s="241"/>
      <c r="L961" s="241"/>
      <c r="M961" s="241"/>
      <c r="N961" s="241"/>
      <c r="O961" s="241"/>
      <c r="P961" s="241"/>
      <c r="Q961" s="241"/>
      <c r="R961" s="241"/>
      <c r="S961" s="241"/>
      <c r="T961" s="241"/>
      <c r="U961" s="241"/>
      <c r="V961" s="241"/>
      <c r="W961" s="241"/>
      <c r="X961" s="241"/>
      <c r="Y961" s="241"/>
      <c r="Z961" s="241"/>
      <c r="AA961" s="241"/>
    </row>
    <row r="962" spans="1:27" ht="13.5" customHeight="1" x14ac:dyDescent="0.3">
      <c r="A962" s="241"/>
      <c r="B962" s="241"/>
      <c r="C962" s="241"/>
      <c r="D962" s="241"/>
      <c r="E962" s="241"/>
      <c r="F962" s="241"/>
      <c r="G962" s="241"/>
      <c r="H962" s="241"/>
      <c r="I962" s="241"/>
      <c r="J962" s="241"/>
      <c r="K962" s="241"/>
      <c r="L962" s="241"/>
      <c r="M962" s="241"/>
      <c r="N962" s="241"/>
      <c r="O962" s="241"/>
      <c r="P962" s="241"/>
      <c r="Q962" s="241"/>
      <c r="R962" s="241"/>
      <c r="S962" s="241"/>
      <c r="T962" s="241"/>
      <c r="U962" s="241"/>
      <c r="V962" s="241"/>
      <c r="W962" s="241"/>
      <c r="X962" s="241"/>
      <c r="Y962" s="241"/>
      <c r="Z962" s="241"/>
      <c r="AA962" s="241"/>
    </row>
    <row r="963" spans="1:27" ht="13.5" customHeight="1" x14ac:dyDescent="0.3">
      <c r="A963" s="241"/>
      <c r="B963" s="241"/>
      <c r="C963" s="241"/>
      <c r="D963" s="241"/>
      <c r="E963" s="241"/>
      <c r="F963" s="241"/>
      <c r="G963" s="241"/>
      <c r="H963" s="241"/>
      <c r="I963" s="241"/>
      <c r="J963" s="241"/>
      <c r="K963" s="241"/>
      <c r="L963" s="241"/>
      <c r="M963" s="241"/>
      <c r="N963" s="241"/>
      <c r="O963" s="241"/>
      <c r="P963" s="241"/>
      <c r="Q963" s="241"/>
      <c r="R963" s="241"/>
      <c r="S963" s="241"/>
      <c r="T963" s="241"/>
      <c r="U963" s="241"/>
      <c r="V963" s="241"/>
      <c r="W963" s="241"/>
      <c r="X963" s="241"/>
      <c r="Y963" s="241"/>
      <c r="Z963" s="241"/>
      <c r="AA963" s="241"/>
    </row>
    <row r="964" spans="1:27" ht="13.5" customHeight="1" x14ac:dyDescent="0.3">
      <c r="A964" s="241"/>
      <c r="B964" s="241"/>
      <c r="C964" s="241"/>
      <c r="D964" s="241"/>
      <c r="E964" s="241"/>
      <c r="F964" s="241"/>
      <c r="G964" s="241"/>
      <c r="H964" s="241"/>
      <c r="I964" s="241"/>
      <c r="J964" s="241"/>
      <c r="K964" s="241"/>
      <c r="L964" s="241"/>
      <c r="M964" s="241"/>
      <c r="N964" s="241"/>
      <c r="O964" s="241"/>
      <c r="P964" s="241"/>
      <c r="Q964" s="241"/>
      <c r="R964" s="241"/>
      <c r="S964" s="241"/>
      <c r="T964" s="241"/>
      <c r="U964" s="241"/>
      <c r="V964" s="241"/>
      <c r="W964" s="241"/>
      <c r="X964" s="241"/>
      <c r="Y964" s="241"/>
      <c r="Z964" s="241"/>
      <c r="AA964" s="241"/>
    </row>
    <row r="965" spans="1:27" ht="13.5" customHeight="1" x14ac:dyDescent="0.3">
      <c r="A965" s="241"/>
      <c r="B965" s="241"/>
      <c r="C965" s="241"/>
      <c r="D965" s="241"/>
      <c r="E965" s="241"/>
      <c r="F965" s="241"/>
      <c r="G965" s="241"/>
      <c r="H965" s="241"/>
      <c r="I965" s="241"/>
      <c r="J965" s="241"/>
      <c r="K965" s="241"/>
      <c r="L965" s="241"/>
      <c r="M965" s="241"/>
      <c r="N965" s="241"/>
      <c r="O965" s="241"/>
      <c r="P965" s="241"/>
      <c r="Q965" s="241"/>
      <c r="R965" s="241"/>
      <c r="S965" s="241"/>
      <c r="T965" s="241"/>
      <c r="U965" s="241"/>
      <c r="V965" s="241"/>
      <c r="W965" s="241"/>
      <c r="X965" s="241"/>
      <c r="Y965" s="241"/>
      <c r="Z965" s="241"/>
      <c r="AA965" s="241"/>
    </row>
    <row r="966" spans="1:27" ht="13.5" customHeight="1" x14ac:dyDescent="0.3">
      <c r="A966" s="241"/>
      <c r="B966" s="241"/>
      <c r="C966" s="241"/>
      <c r="D966" s="241"/>
      <c r="E966" s="241"/>
      <c r="F966" s="241"/>
      <c r="G966" s="241"/>
      <c r="H966" s="241"/>
      <c r="I966" s="241"/>
      <c r="J966" s="241"/>
      <c r="K966" s="241"/>
      <c r="L966" s="241"/>
      <c r="M966" s="241"/>
      <c r="N966" s="241"/>
      <c r="O966" s="241"/>
      <c r="P966" s="241"/>
      <c r="Q966" s="241"/>
      <c r="R966" s="241"/>
      <c r="S966" s="241"/>
      <c r="T966" s="241"/>
      <c r="U966" s="241"/>
      <c r="V966" s="241"/>
      <c r="W966" s="241"/>
      <c r="X966" s="241"/>
      <c r="Y966" s="241"/>
      <c r="Z966" s="241"/>
      <c r="AA966" s="241"/>
    </row>
    <row r="967" spans="1:27" ht="13.5" customHeight="1" x14ac:dyDescent="0.3">
      <c r="A967" s="241"/>
      <c r="B967" s="241"/>
      <c r="C967" s="241"/>
      <c r="D967" s="241"/>
      <c r="E967" s="241"/>
      <c r="F967" s="241"/>
      <c r="G967" s="241"/>
      <c r="H967" s="241"/>
      <c r="I967" s="241"/>
      <c r="J967" s="241"/>
      <c r="K967" s="241"/>
      <c r="L967" s="241"/>
      <c r="M967" s="241"/>
      <c r="N967" s="241"/>
      <c r="O967" s="241"/>
      <c r="P967" s="241"/>
      <c r="Q967" s="241"/>
      <c r="R967" s="241"/>
      <c r="S967" s="241"/>
      <c r="T967" s="241"/>
      <c r="U967" s="241"/>
      <c r="V967" s="241"/>
      <c r="W967" s="241"/>
      <c r="X967" s="241"/>
      <c r="Y967" s="241"/>
      <c r="Z967" s="241"/>
      <c r="AA967" s="241"/>
    </row>
    <row r="968" spans="1:27" ht="13.5" customHeight="1" x14ac:dyDescent="0.3">
      <c r="A968" s="241"/>
      <c r="B968" s="241"/>
      <c r="C968" s="241"/>
      <c r="D968" s="241"/>
      <c r="E968" s="241"/>
      <c r="F968" s="241"/>
      <c r="G968" s="241"/>
      <c r="H968" s="241"/>
      <c r="I968" s="241"/>
      <c r="J968" s="241"/>
      <c r="K968" s="241"/>
      <c r="L968" s="241"/>
      <c r="M968" s="241"/>
      <c r="N968" s="241"/>
      <c r="O968" s="241"/>
      <c r="P968" s="241"/>
      <c r="Q968" s="241"/>
      <c r="R968" s="241"/>
      <c r="S968" s="241"/>
      <c r="T968" s="241"/>
      <c r="U968" s="241"/>
      <c r="V968" s="241"/>
      <c r="W968" s="241"/>
      <c r="X968" s="241"/>
      <c r="Y968" s="241"/>
      <c r="Z968" s="241"/>
      <c r="AA968" s="241"/>
    </row>
    <row r="969" spans="1:27" ht="13.5" customHeight="1" x14ac:dyDescent="0.3">
      <c r="A969" s="241"/>
      <c r="B969" s="241"/>
      <c r="C969" s="241"/>
      <c r="D969" s="241"/>
      <c r="E969" s="241"/>
      <c r="F969" s="241"/>
      <c r="G969" s="241"/>
      <c r="H969" s="241"/>
      <c r="I969" s="241"/>
      <c r="J969" s="241"/>
      <c r="K969" s="241"/>
      <c r="L969" s="241"/>
      <c r="M969" s="241"/>
      <c r="N969" s="241"/>
      <c r="O969" s="241"/>
      <c r="P969" s="241"/>
      <c r="Q969" s="241"/>
      <c r="R969" s="241"/>
      <c r="S969" s="241"/>
      <c r="T969" s="241"/>
      <c r="U969" s="241"/>
      <c r="V969" s="241"/>
      <c r="W969" s="241"/>
      <c r="X969" s="241"/>
      <c r="Y969" s="241"/>
      <c r="Z969" s="241"/>
      <c r="AA969" s="241"/>
    </row>
    <row r="970" spans="1:27" ht="13.5" customHeight="1" x14ac:dyDescent="0.3">
      <c r="A970" s="241"/>
      <c r="B970" s="241"/>
      <c r="C970" s="241"/>
      <c r="D970" s="241"/>
      <c r="E970" s="241"/>
      <c r="F970" s="241"/>
      <c r="G970" s="241"/>
      <c r="H970" s="241"/>
      <c r="I970" s="241"/>
      <c r="J970" s="241"/>
      <c r="K970" s="241"/>
      <c r="L970" s="241"/>
      <c r="M970" s="241"/>
      <c r="N970" s="241"/>
      <c r="O970" s="241"/>
      <c r="P970" s="241"/>
      <c r="Q970" s="241"/>
      <c r="R970" s="241"/>
      <c r="S970" s="241"/>
      <c r="T970" s="241"/>
      <c r="U970" s="241"/>
      <c r="V970" s="241"/>
      <c r="W970" s="241"/>
      <c r="X970" s="241"/>
      <c r="Y970" s="241"/>
      <c r="Z970" s="241"/>
      <c r="AA970" s="241"/>
    </row>
    <row r="971" spans="1:27" ht="13.5" customHeight="1" x14ac:dyDescent="0.3">
      <c r="A971" s="241"/>
      <c r="B971" s="241"/>
      <c r="C971" s="241"/>
      <c r="D971" s="241"/>
      <c r="E971" s="241"/>
      <c r="F971" s="241"/>
      <c r="G971" s="241"/>
      <c r="H971" s="241"/>
      <c r="I971" s="241"/>
      <c r="J971" s="241"/>
      <c r="K971" s="241"/>
      <c r="L971" s="241"/>
      <c r="M971" s="241"/>
      <c r="N971" s="241"/>
      <c r="O971" s="241"/>
      <c r="P971" s="241"/>
      <c r="Q971" s="241"/>
      <c r="R971" s="241"/>
      <c r="S971" s="241"/>
      <c r="T971" s="241"/>
      <c r="U971" s="241"/>
      <c r="V971" s="241"/>
      <c r="W971" s="241"/>
      <c r="X971" s="241"/>
      <c r="Y971" s="241"/>
      <c r="Z971" s="241"/>
      <c r="AA971" s="241"/>
    </row>
    <row r="972" spans="1:27" ht="13.5" customHeight="1" x14ac:dyDescent="0.3">
      <c r="A972" s="241"/>
      <c r="B972" s="241"/>
      <c r="C972" s="241"/>
      <c r="D972" s="241"/>
      <c r="E972" s="241"/>
      <c r="F972" s="241"/>
      <c r="G972" s="241"/>
      <c r="H972" s="241"/>
      <c r="I972" s="241"/>
      <c r="J972" s="241"/>
      <c r="K972" s="241"/>
      <c r="L972" s="241"/>
      <c r="M972" s="241"/>
      <c r="N972" s="241"/>
      <c r="O972" s="241"/>
      <c r="P972" s="241"/>
      <c r="Q972" s="241"/>
      <c r="R972" s="241"/>
      <c r="S972" s="241"/>
      <c r="T972" s="241"/>
      <c r="U972" s="241"/>
      <c r="V972" s="241"/>
      <c r="W972" s="241"/>
      <c r="X972" s="241"/>
      <c r="Y972" s="241"/>
      <c r="Z972" s="241"/>
      <c r="AA972" s="241"/>
    </row>
    <row r="973" spans="1:27" ht="13.5" customHeight="1" x14ac:dyDescent="0.3">
      <c r="A973" s="241"/>
      <c r="B973" s="241"/>
      <c r="C973" s="241"/>
      <c r="D973" s="241"/>
      <c r="E973" s="241"/>
      <c r="F973" s="241"/>
      <c r="G973" s="241"/>
      <c r="H973" s="241"/>
      <c r="I973" s="241"/>
      <c r="J973" s="241"/>
      <c r="K973" s="241"/>
      <c r="L973" s="241"/>
      <c r="M973" s="241"/>
      <c r="N973" s="241"/>
      <c r="O973" s="241"/>
      <c r="P973" s="241"/>
      <c r="Q973" s="241"/>
      <c r="R973" s="241"/>
      <c r="S973" s="241"/>
      <c r="T973" s="241"/>
      <c r="U973" s="241"/>
      <c r="V973" s="241"/>
      <c r="W973" s="241"/>
      <c r="X973" s="241"/>
      <c r="Y973" s="241"/>
      <c r="Z973" s="241"/>
      <c r="AA973" s="241"/>
    </row>
    <row r="974" spans="1:27" ht="13.5" customHeight="1" x14ac:dyDescent="0.3">
      <c r="A974" s="241"/>
      <c r="B974" s="241"/>
      <c r="C974" s="241"/>
      <c r="D974" s="241"/>
      <c r="E974" s="241"/>
      <c r="F974" s="241"/>
      <c r="G974" s="241"/>
      <c r="H974" s="241"/>
      <c r="I974" s="241"/>
      <c r="J974" s="241"/>
      <c r="K974" s="241"/>
      <c r="L974" s="241"/>
      <c r="M974" s="241"/>
      <c r="N974" s="241"/>
      <c r="O974" s="241"/>
      <c r="P974" s="241"/>
      <c r="Q974" s="241"/>
      <c r="R974" s="241"/>
      <c r="S974" s="241"/>
      <c r="T974" s="241"/>
      <c r="U974" s="241"/>
      <c r="V974" s="241"/>
      <c r="W974" s="241"/>
      <c r="X974" s="241"/>
      <c r="Y974" s="241"/>
      <c r="Z974" s="241"/>
      <c r="AA974" s="241"/>
    </row>
    <row r="975" spans="1:27" ht="13.5" customHeight="1" x14ac:dyDescent="0.3">
      <c r="A975" s="241"/>
      <c r="B975" s="241"/>
      <c r="C975" s="241"/>
      <c r="D975" s="241"/>
      <c r="E975" s="241"/>
      <c r="F975" s="241"/>
      <c r="G975" s="241"/>
      <c r="H975" s="241"/>
      <c r="I975" s="241"/>
      <c r="J975" s="241"/>
      <c r="K975" s="241"/>
      <c r="L975" s="241"/>
      <c r="M975" s="241"/>
      <c r="N975" s="241"/>
      <c r="O975" s="241"/>
      <c r="P975" s="241"/>
      <c r="Q975" s="241"/>
      <c r="R975" s="241"/>
      <c r="S975" s="241"/>
      <c r="T975" s="241"/>
      <c r="U975" s="241"/>
      <c r="V975" s="241"/>
      <c r="W975" s="241"/>
      <c r="X975" s="241"/>
      <c r="Y975" s="241"/>
      <c r="Z975" s="241"/>
      <c r="AA975" s="241"/>
    </row>
    <row r="976" spans="1:27" ht="13.5" customHeight="1" x14ac:dyDescent="0.3">
      <c r="A976" s="241"/>
      <c r="B976" s="241"/>
      <c r="C976" s="241"/>
      <c r="D976" s="241"/>
      <c r="E976" s="241"/>
      <c r="F976" s="241"/>
      <c r="G976" s="241"/>
      <c r="H976" s="241"/>
      <c r="I976" s="241"/>
      <c r="J976" s="241"/>
      <c r="K976" s="241"/>
      <c r="L976" s="241"/>
      <c r="M976" s="241"/>
      <c r="N976" s="241"/>
      <c r="O976" s="241"/>
      <c r="P976" s="241"/>
      <c r="Q976" s="241"/>
      <c r="R976" s="241"/>
      <c r="S976" s="241"/>
      <c r="T976" s="241"/>
      <c r="U976" s="241"/>
      <c r="V976" s="241"/>
      <c r="W976" s="241"/>
      <c r="X976" s="241"/>
      <c r="Y976" s="241"/>
      <c r="Z976" s="241"/>
      <c r="AA976" s="241"/>
    </row>
    <row r="977" spans="1:27" ht="13.5" customHeight="1" x14ac:dyDescent="0.3">
      <c r="A977" s="241"/>
      <c r="B977" s="241"/>
      <c r="C977" s="241"/>
      <c r="D977" s="241"/>
      <c r="E977" s="241"/>
      <c r="F977" s="241"/>
      <c r="G977" s="241"/>
      <c r="H977" s="241"/>
      <c r="I977" s="241"/>
      <c r="J977" s="241"/>
      <c r="K977" s="241"/>
      <c r="L977" s="241"/>
      <c r="M977" s="241"/>
      <c r="N977" s="241"/>
      <c r="O977" s="241"/>
      <c r="P977" s="241"/>
      <c r="Q977" s="241"/>
      <c r="R977" s="241"/>
      <c r="S977" s="241"/>
      <c r="T977" s="241"/>
      <c r="U977" s="241"/>
      <c r="V977" s="241"/>
      <c r="W977" s="241"/>
      <c r="X977" s="241"/>
      <c r="Y977" s="241"/>
      <c r="Z977" s="241"/>
      <c r="AA977" s="241"/>
    </row>
    <row r="978" spans="1:27" ht="13.5" customHeight="1" x14ac:dyDescent="0.3">
      <c r="A978" s="241"/>
      <c r="B978" s="241"/>
      <c r="C978" s="241"/>
      <c r="D978" s="241"/>
      <c r="E978" s="241"/>
      <c r="F978" s="241"/>
      <c r="G978" s="241"/>
      <c r="H978" s="241"/>
      <c r="I978" s="241"/>
      <c r="J978" s="241"/>
      <c r="K978" s="241"/>
      <c r="L978" s="241"/>
      <c r="M978" s="241"/>
      <c r="N978" s="241"/>
      <c r="O978" s="241"/>
      <c r="P978" s="241"/>
      <c r="Q978" s="241"/>
      <c r="R978" s="241"/>
      <c r="S978" s="241"/>
      <c r="T978" s="241"/>
      <c r="U978" s="241"/>
      <c r="V978" s="241"/>
      <c r="W978" s="241"/>
      <c r="X978" s="241"/>
      <c r="Y978" s="241"/>
      <c r="Z978" s="241"/>
      <c r="AA978" s="241"/>
    </row>
    <row r="979" spans="1:27" ht="13.5" customHeight="1" x14ac:dyDescent="0.3">
      <c r="A979" s="241"/>
      <c r="B979" s="241"/>
      <c r="C979" s="241"/>
      <c r="D979" s="241"/>
      <c r="E979" s="241"/>
      <c r="F979" s="241"/>
      <c r="G979" s="241"/>
      <c r="H979" s="241"/>
      <c r="I979" s="241"/>
      <c r="J979" s="241"/>
      <c r="K979" s="241"/>
      <c r="L979" s="241"/>
      <c r="M979" s="241"/>
      <c r="N979" s="241"/>
      <c r="O979" s="241"/>
      <c r="P979" s="241"/>
      <c r="Q979" s="241"/>
      <c r="R979" s="241"/>
      <c r="S979" s="241"/>
      <c r="T979" s="241"/>
      <c r="U979" s="241"/>
      <c r="V979" s="241"/>
      <c r="W979" s="241"/>
      <c r="X979" s="241"/>
      <c r="Y979" s="241"/>
      <c r="Z979" s="241"/>
      <c r="AA979" s="241"/>
    </row>
    <row r="980" spans="1:27" ht="13.5" customHeight="1" x14ac:dyDescent="0.3">
      <c r="A980" s="241"/>
      <c r="B980" s="241"/>
      <c r="C980" s="241"/>
      <c r="D980" s="241"/>
      <c r="E980" s="241"/>
      <c r="F980" s="241"/>
      <c r="G980" s="241"/>
      <c r="H980" s="241"/>
      <c r="I980" s="241"/>
      <c r="J980" s="241"/>
      <c r="K980" s="241"/>
      <c r="L980" s="241"/>
      <c r="M980" s="241"/>
      <c r="N980" s="241"/>
      <c r="O980" s="241"/>
      <c r="P980" s="241"/>
      <c r="Q980" s="241"/>
      <c r="R980" s="241"/>
      <c r="S980" s="241"/>
      <c r="T980" s="241"/>
      <c r="U980" s="241"/>
      <c r="V980" s="241"/>
      <c r="W980" s="241"/>
      <c r="X980" s="241"/>
      <c r="Y980" s="241"/>
      <c r="Z980" s="241"/>
      <c r="AA980" s="241"/>
    </row>
    <row r="981" spans="1:27" ht="13.5" customHeight="1" x14ac:dyDescent="0.3">
      <c r="A981" s="241"/>
      <c r="B981" s="241"/>
      <c r="C981" s="241"/>
      <c r="D981" s="241"/>
      <c r="E981" s="241"/>
      <c r="F981" s="241"/>
      <c r="G981" s="241"/>
      <c r="H981" s="241"/>
      <c r="I981" s="241"/>
      <c r="J981" s="241"/>
      <c r="K981" s="241"/>
      <c r="L981" s="241"/>
      <c r="M981" s="241"/>
      <c r="N981" s="241"/>
      <c r="O981" s="241"/>
      <c r="P981" s="241"/>
      <c r="Q981" s="241"/>
      <c r="R981" s="241"/>
      <c r="S981" s="241"/>
      <c r="T981" s="241"/>
      <c r="U981" s="241"/>
      <c r="V981" s="241"/>
      <c r="W981" s="241"/>
      <c r="X981" s="241"/>
      <c r="Y981" s="241"/>
      <c r="Z981" s="241"/>
      <c r="AA981" s="241"/>
    </row>
    <row r="982" spans="1:27" ht="13.5" customHeight="1" x14ac:dyDescent="0.3">
      <c r="A982" s="241"/>
      <c r="B982" s="241"/>
      <c r="C982" s="241"/>
      <c r="D982" s="241"/>
      <c r="E982" s="241"/>
      <c r="F982" s="241"/>
      <c r="G982" s="241"/>
      <c r="H982" s="241"/>
      <c r="I982" s="241"/>
      <c r="J982" s="241"/>
      <c r="K982" s="241"/>
      <c r="L982" s="241"/>
      <c r="M982" s="241"/>
      <c r="N982" s="241"/>
      <c r="O982" s="241"/>
      <c r="P982" s="241"/>
      <c r="Q982" s="241"/>
      <c r="R982" s="241"/>
      <c r="S982" s="241"/>
      <c r="T982" s="241"/>
      <c r="U982" s="241"/>
      <c r="V982" s="241"/>
      <c r="W982" s="241"/>
      <c r="X982" s="241"/>
      <c r="Y982" s="241"/>
      <c r="Z982" s="241"/>
      <c r="AA982" s="241"/>
    </row>
    <row r="983" spans="1:27" ht="13.5" customHeight="1" x14ac:dyDescent="0.3">
      <c r="A983" s="241"/>
      <c r="B983" s="241"/>
      <c r="C983" s="241"/>
      <c r="D983" s="241"/>
      <c r="E983" s="241"/>
      <c r="F983" s="241"/>
      <c r="G983" s="241"/>
      <c r="H983" s="241"/>
      <c r="I983" s="241"/>
      <c r="J983" s="241"/>
      <c r="K983" s="241"/>
      <c r="L983" s="241"/>
      <c r="M983" s="241"/>
      <c r="N983" s="241"/>
      <c r="O983" s="241"/>
      <c r="P983" s="241"/>
      <c r="Q983" s="241"/>
      <c r="R983" s="241"/>
      <c r="S983" s="241"/>
      <c r="T983" s="241"/>
      <c r="U983" s="241"/>
      <c r="V983" s="241"/>
      <c r="W983" s="241"/>
      <c r="X983" s="241"/>
      <c r="Y983" s="241"/>
      <c r="Z983" s="241"/>
      <c r="AA983" s="241"/>
    </row>
    <row r="984" spans="1:27" ht="13.5" customHeight="1" x14ac:dyDescent="0.3">
      <c r="A984" s="241"/>
      <c r="B984" s="241"/>
      <c r="C984" s="241"/>
      <c r="D984" s="241"/>
      <c r="E984" s="241"/>
      <c r="F984" s="241"/>
      <c r="G984" s="241"/>
      <c r="H984" s="241"/>
      <c r="I984" s="241"/>
      <c r="J984" s="241"/>
      <c r="K984" s="241"/>
      <c r="L984" s="241"/>
      <c r="M984" s="241"/>
      <c r="N984" s="241"/>
      <c r="O984" s="241"/>
      <c r="P984" s="241"/>
      <c r="Q984" s="241"/>
      <c r="R984" s="241"/>
      <c r="S984" s="241"/>
      <c r="T984" s="241"/>
      <c r="U984" s="241"/>
      <c r="V984" s="241"/>
      <c r="W984" s="241"/>
      <c r="X984" s="241"/>
      <c r="Y984" s="241"/>
      <c r="Z984" s="241"/>
      <c r="AA984" s="241"/>
    </row>
    <row r="985" spans="1:27" ht="13.5" customHeight="1" x14ac:dyDescent="0.3">
      <c r="A985" s="241"/>
      <c r="B985" s="241"/>
      <c r="C985" s="241"/>
      <c r="D985" s="241"/>
      <c r="E985" s="241"/>
      <c r="F985" s="241"/>
      <c r="G985" s="241"/>
      <c r="H985" s="241"/>
      <c r="I985" s="241"/>
      <c r="J985" s="241"/>
      <c r="K985" s="241"/>
      <c r="L985" s="241"/>
      <c r="M985" s="241"/>
      <c r="N985" s="241"/>
      <c r="O985" s="241"/>
      <c r="P985" s="241"/>
      <c r="Q985" s="241"/>
      <c r="R985" s="241"/>
      <c r="S985" s="241"/>
      <c r="T985" s="241"/>
      <c r="U985" s="241"/>
      <c r="V985" s="241"/>
      <c r="W985" s="241"/>
      <c r="X985" s="241"/>
      <c r="Y985" s="241"/>
      <c r="Z985" s="241"/>
      <c r="AA985" s="241"/>
    </row>
    <row r="986" spans="1:27" ht="13.5" customHeight="1" x14ac:dyDescent="0.3">
      <c r="A986" s="241"/>
      <c r="B986" s="241"/>
      <c r="C986" s="241"/>
      <c r="D986" s="241"/>
      <c r="E986" s="241"/>
      <c r="F986" s="241"/>
      <c r="G986" s="241"/>
      <c r="H986" s="241"/>
      <c r="I986" s="241"/>
      <c r="J986" s="241"/>
      <c r="K986" s="241"/>
      <c r="L986" s="241"/>
      <c r="M986" s="241"/>
      <c r="N986" s="241"/>
      <c r="O986" s="241"/>
      <c r="P986" s="241"/>
      <c r="Q986" s="241"/>
      <c r="R986" s="241"/>
      <c r="S986" s="241"/>
      <c r="T986" s="241"/>
      <c r="U986" s="241"/>
      <c r="V986" s="241"/>
      <c r="W986" s="241"/>
      <c r="X986" s="241"/>
      <c r="Y986" s="241"/>
      <c r="Z986" s="241"/>
      <c r="AA986" s="241"/>
    </row>
    <row r="987" spans="1:27" ht="13.5" customHeight="1" x14ac:dyDescent="0.3">
      <c r="A987" s="241"/>
      <c r="B987" s="241"/>
      <c r="C987" s="241"/>
      <c r="D987" s="241"/>
      <c r="E987" s="241"/>
      <c r="F987" s="241"/>
      <c r="G987" s="241"/>
      <c r="H987" s="241"/>
      <c r="I987" s="241"/>
      <c r="J987" s="241"/>
      <c r="K987" s="241"/>
      <c r="L987" s="241"/>
      <c r="M987" s="241"/>
      <c r="N987" s="241"/>
      <c r="O987" s="241"/>
      <c r="P987" s="241"/>
      <c r="Q987" s="241"/>
      <c r="R987" s="241"/>
      <c r="S987" s="241"/>
      <c r="T987" s="241"/>
      <c r="U987" s="241"/>
      <c r="V987" s="241"/>
      <c r="W987" s="241"/>
      <c r="X987" s="241"/>
      <c r="Y987" s="241"/>
      <c r="Z987" s="241"/>
      <c r="AA987" s="241"/>
    </row>
    <row r="988" spans="1:27" ht="13.5" customHeight="1" x14ac:dyDescent="0.3">
      <c r="A988" s="241"/>
      <c r="B988" s="241"/>
      <c r="C988" s="241"/>
      <c r="D988" s="241"/>
      <c r="E988" s="241"/>
      <c r="F988" s="241"/>
      <c r="G988" s="241"/>
      <c r="H988" s="241"/>
      <c r="I988" s="241"/>
      <c r="J988" s="241"/>
      <c r="K988" s="241"/>
      <c r="L988" s="241"/>
      <c r="M988" s="241"/>
      <c r="N988" s="241"/>
      <c r="O988" s="241"/>
      <c r="P988" s="241"/>
      <c r="Q988" s="241"/>
      <c r="R988" s="241"/>
      <c r="S988" s="241"/>
      <c r="T988" s="241"/>
      <c r="U988" s="241"/>
      <c r="V988" s="241"/>
      <c r="W988" s="241"/>
      <c r="X988" s="241"/>
      <c r="Y988" s="241"/>
      <c r="Z988" s="241"/>
      <c r="AA988" s="241"/>
    </row>
    <row r="989" spans="1:27" ht="13.5" customHeight="1" x14ac:dyDescent="0.3">
      <c r="A989" s="241"/>
      <c r="B989" s="241"/>
      <c r="C989" s="241"/>
      <c r="D989" s="241"/>
      <c r="E989" s="241"/>
      <c r="F989" s="241"/>
      <c r="G989" s="241"/>
      <c r="H989" s="241"/>
      <c r="I989" s="241"/>
      <c r="J989" s="241"/>
      <c r="K989" s="241"/>
      <c r="L989" s="241"/>
      <c r="M989" s="241"/>
      <c r="N989" s="241"/>
      <c r="O989" s="241"/>
      <c r="P989" s="241"/>
      <c r="Q989" s="241"/>
      <c r="R989" s="241"/>
      <c r="S989" s="241"/>
      <c r="T989" s="241"/>
      <c r="U989" s="241"/>
      <c r="V989" s="241"/>
      <c r="W989" s="241"/>
      <c r="X989" s="241"/>
      <c r="Y989" s="241"/>
      <c r="Z989" s="241"/>
      <c r="AA989" s="241"/>
    </row>
    <row r="990" spans="1:27" ht="13.5" customHeight="1" x14ac:dyDescent="0.3">
      <c r="A990" s="241"/>
      <c r="B990" s="241"/>
      <c r="C990" s="241"/>
      <c r="D990" s="241"/>
      <c r="E990" s="241"/>
      <c r="F990" s="241"/>
      <c r="G990" s="241"/>
      <c r="H990" s="241"/>
      <c r="I990" s="241"/>
      <c r="J990" s="241"/>
      <c r="K990" s="241"/>
      <c r="L990" s="241"/>
      <c r="M990" s="241"/>
      <c r="N990" s="241"/>
      <c r="O990" s="241"/>
      <c r="P990" s="241"/>
      <c r="Q990" s="241"/>
      <c r="R990" s="241"/>
      <c r="S990" s="241"/>
      <c r="T990" s="241"/>
      <c r="U990" s="241"/>
      <c r="V990" s="241"/>
      <c r="W990" s="241"/>
      <c r="X990" s="241"/>
      <c r="Y990" s="241"/>
      <c r="Z990" s="241"/>
      <c r="AA990" s="241"/>
    </row>
    <row r="991" spans="1:27" ht="13.5" customHeight="1" x14ac:dyDescent="0.3">
      <c r="A991" s="241"/>
      <c r="B991" s="241"/>
      <c r="C991" s="241"/>
      <c r="D991" s="241"/>
      <c r="E991" s="241"/>
      <c r="F991" s="241"/>
      <c r="G991" s="241"/>
      <c r="H991" s="241"/>
      <c r="I991" s="241"/>
      <c r="J991" s="241"/>
      <c r="K991" s="241"/>
      <c r="L991" s="241"/>
      <c r="M991" s="241"/>
      <c r="N991" s="241"/>
      <c r="O991" s="241"/>
      <c r="P991" s="241"/>
      <c r="Q991" s="241"/>
      <c r="R991" s="241"/>
      <c r="S991" s="241"/>
      <c r="T991" s="241"/>
      <c r="U991" s="241"/>
      <c r="V991" s="241"/>
      <c r="W991" s="241"/>
      <c r="X991" s="241"/>
      <c r="Y991" s="241"/>
      <c r="Z991" s="241"/>
      <c r="AA991" s="241"/>
    </row>
    <row r="992" spans="1:27" ht="13.5" customHeight="1" x14ac:dyDescent="0.3">
      <c r="A992" s="241"/>
      <c r="B992" s="241"/>
      <c r="C992" s="241"/>
      <c r="D992" s="241"/>
      <c r="E992" s="241"/>
      <c r="F992" s="241"/>
      <c r="G992" s="241"/>
      <c r="H992" s="241"/>
      <c r="I992" s="241"/>
      <c r="J992" s="241"/>
      <c r="K992" s="241"/>
      <c r="L992" s="241"/>
      <c r="M992" s="241"/>
      <c r="N992" s="241"/>
      <c r="O992" s="241"/>
      <c r="P992" s="241"/>
      <c r="Q992" s="241"/>
      <c r="R992" s="241"/>
      <c r="S992" s="241"/>
      <c r="T992" s="241"/>
      <c r="U992" s="241"/>
      <c r="V992" s="241"/>
      <c r="W992" s="241"/>
      <c r="X992" s="241"/>
      <c r="Y992" s="241"/>
      <c r="Z992" s="241"/>
      <c r="AA992" s="241"/>
    </row>
    <row r="993" spans="1:27" ht="13.5" customHeight="1" x14ac:dyDescent="0.3">
      <c r="A993" s="241"/>
      <c r="B993" s="241"/>
      <c r="C993" s="241"/>
      <c r="D993" s="241"/>
      <c r="E993" s="241"/>
      <c r="F993" s="241"/>
      <c r="G993" s="241"/>
      <c r="H993" s="241"/>
      <c r="I993" s="241"/>
      <c r="J993" s="241"/>
      <c r="K993" s="241"/>
      <c r="L993" s="241"/>
      <c r="M993" s="241"/>
      <c r="N993" s="241"/>
      <c r="O993" s="241"/>
      <c r="P993" s="241"/>
      <c r="Q993" s="241"/>
      <c r="R993" s="241"/>
      <c r="S993" s="241"/>
      <c r="T993" s="241"/>
      <c r="U993" s="241"/>
      <c r="V993" s="241"/>
      <c r="W993" s="241"/>
      <c r="X993" s="241"/>
      <c r="Y993" s="241"/>
      <c r="Z993" s="241"/>
      <c r="AA993" s="241"/>
    </row>
    <row r="994" spans="1:27" ht="13.5" customHeight="1" x14ac:dyDescent="0.3">
      <c r="A994" s="241"/>
      <c r="B994" s="241"/>
      <c r="C994" s="241"/>
      <c r="D994" s="241"/>
      <c r="E994" s="241"/>
      <c r="F994" s="241"/>
      <c r="G994" s="241"/>
      <c r="H994" s="241"/>
      <c r="I994" s="241"/>
      <c r="J994" s="241"/>
      <c r="K994" s="241"/>
      <c r="L994" s="241"/>
      <c r="M994" s="241"/>
      <c r="N994" s="241"/>
      <c r="O994" s="241"/>
      <c r="P994" s="241"/>
      <c r="Q994" s="241"/>
      <c r="R994" s="241"/>
      <c r="S994" s="241"/>
      <c r="T994" s="241"/>
      <c r="U994" s="241"/>
      <c r="V994" s="241"/>
      <c r="W994" s="241"/>
      <c r="X994" s="241"/>
      <c r="Y994" s="241"/>
      <c r="Z994" s="241"/>
      <c r="AA994" s="241"/>
    </row>
    <row r="995" spans="1:27" ht="13.5" customHeight="1" x14ac:dyDescent="0.3">
      <c r="A995" s="241"/>
      <c r="B995" s="241"/>
      <c r="C995" s="241"/>
      <c r="D995" s="241"/>
      <c r="E995" s="241"/>
      <c r="F995" s="241"/>
      <c r="G995" s="241"/>
      <c r="H995" s="241"/>
      <c r="I995" s="241"/>
      <c r="J995" s="241"/>
      <c r="K995" s="241"/>
      <c r="L995" s="241"/>
      <c r="M995" s="241"/>
      <c r="N995" s="241"/>
      <c r="O995" s="241"/>
      <c r="P995" s="241"/>
      <c r="Q995" s="241"/>
      <c r="R995" s="241"/>
      <c r="S995" s="241"/>
      <c r="T995" s="241"/>
      <c r="U995" s="241"/>
      <c r="V995" s="241"/>
      <c r="W995" s="241"/>
      <c r="X995" s="241"/>
      <c r="Y995" s="241"/>
      <c r="Z995" s="241"/>
      <c r="AA995" s="241"/>
    </row>
    <row r="996" spans="1:27" ht="13.5" customHeight="1" x14ac:dyDescent="0.3">
      <c r="A996" s="241"/>
      <c r="B996" s="241"/>
      <c r="C996" s="241"/>
      <c r="D996" s="241"/>
      <c r="E996" s="241"/>
      <c r="F996" s="241"/>
      <c r="G996" s="241"/>
      <c r="H996" s="241"/>
      <c r="I996" s="241"/>
      <c r="J996" s="241"/>
      <c r="K996" s="241"/>
      <c r="L996" s="241"/>
      <c r="M996" s="241"/>
      <c r="N996" s="241"/>
      <c r="O996" s="241"/>
      <c r="P996" s="241"/>
      <c r="Q996" s="241"/>
      <c r="R996" s="241"/>
      <c r="S996" s="241"/>
      <c r="T996" s="241"/>
      <c r="U996" s="241"/>
      <c r="V996" s="241"/>
      <c r="W996" s="241"/>
      <c r="X996" s="241"/>
      <c r="Y996" s="241"/>
      <c r="Z996" s="241"/>
      <c r="AA996" s="241"/>
    </row>
    <row r="997" spans="1:27" ht="13.5" customHeight="1" x14ac:dyDescent="0.3">
      <c r="A997" s="241"/>
      <c r="B997" s="241"/>
      <c r="C997" s="241"/>
      <c r="D997" s="241"/>
      <c r="E997" s="241"/>
      <c r="F997" s="241"/>
      <c r="G997" s="241"/>
      <c r="H997" s="241"/>
      <c r="I997" s="241"/>
      <c r="J997" s="241"/>
      <c r="K997" s="241"/>
      <c r="L997" s="241"/>
      <c r="M997" s="241"/>
      <c r="N997" s="241"/>
      <c r="O997" s="241"/>
      <c r="P997" s="241"/>
      <c r="Q997" s="241"/>
      <c r="R997" s="241"/>
      <c r="S997" s="241"/>
      <c r="T997" s="241"/>
      <c r="U997" s="241"/>
      <c r="V997" s="241"/>
      <c r="W997" s="241"/>
      <c r="X997" s="241"/>
      <c r="Y997" s="241"/>
      <c r="Z997" s="241"/>
      <c r="AA997" s="241"/>
    </row>
    <row r="998" spans="1:27" ht="13.5" customHeight="1" x14ac:dyDescent="0.3">
      <c r="A998" s="241"/>
      <c r="B998" s="241"/>
      <c r="C998" s="241"/>
      <c r="D998" s="241"/>
      <c r="E998" s="241"/>
      <c r="F998" s="241"/>
      <c r="G998" s="241"/>
      <c r="H998" s="241"/>
      <c r="I998" s="241"/>
      <c r="J998" s="241"/>
      <c r="K998" s="241"/>
      <c r="L998" s="241"/>
      <c r="M998" s="241"/>
      <c r="N998" s="241"/>
      <c r="O998" s="241"/>
      <c r="P998" s="241"/>
      <c r="Q998" s="241"/>
      <c r="R998" s="241"/>
      <c r="S998" s="241"/>
      <c r="T998" s="241"/>
      <c r="U998" s="241"/>
      <c r="V998" s="241"/>
      <c r="W998" s="241"/>
      <c r="X998" s="241"/>
      <c r="Y998" s="241"/>
      <c r="Z998" s="241"/>
      <c r="AA998" s="241"/>
    </row>
    <row r="999" spans="1:27" ht="13.5" customHeight="1" x14ac:dyDescent="0.3">
      <c r="A999" s="241"/>
      <c r="B999" s="241"/>
      <c r="C999" s="241"/>
      <c r="D999" s="241"/>
      <c r="E999" s="241"/>
      <c r="F999" s="241"/>
      <c r="G999" s="241"/>
      <c r="H999" s="241"/>
      <c r="I999" s="241"/>
      <c r="J999" s="241"/>
      <c r="K999" s="241"/>
      <c r="L999" s="241"/>
      <c r="M999" s="241"/>
      <c r="N999" s="241"/>
      <c r="O999" s="241"/>
      <c r="P999" s="241"/>
      <c r="Q999" s="241"/>
      <c r="R999" s="241"/>
      <c r="S999" s="241"/>
      <c r="T999" s="241"/>
      <c r="U999" s="241"/>
      <c r="V999" s="241"/>
      <c r="W999" s="241"/>
      <c r="X999" s="241"/>
      <c r="Y999" s="241"/>
      <c r="Z999" s="241"/>
      <c r="AA999" s="241"/>
    </row>
  </sheetData>
  <autoFilter ref="A1:AA361" xr:uid="{00000000-0009-0000-0000-00001F000000}"/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72454-F9F6-4BFE-A723-FA0C836CC578}">
  <sheetPr>
    <tabColor rgb="FFE5E5E5"/>
  </sheetPr>
  <dimension ref="A1:BM990"/>
  <sheetViews>
    <sheetView workbookViewId="0">
      <pane ySplit="1" topLeftCell="A2" activePane="bottomLeft" state="frozen"/>
      <selection activeCell="E23" sqref="E23"/>
      <selection pane="bottomLeft"/>
    </sheetView>
  </sheetViews>
  <sheetFormatPr defaultColWidth="12.6328125" defaultRowHeight="15" customHeight="1" outlineLevelCol="1" x14ac:dyDescent="0.25"/>
  <cols>
    <col min="1" max="1" width="6" style="242" customWidth="1"/>
    <col min="2" max="5" width="12.6328125" style="242" customWidth="1"/>
    <col min="6" max="6" width="14.6328125" style="242" customWidth="1"/>
    <col min="7" max="8" width="13.6328125" style="242" customWidth="1"/>
    <col min="9" max="9" width="14" style="242" customWidth="1"/>
    <col min="10" max="10" width="9.6328125" style="242" customWidth="1"/>
    <col min="11" max="11" width="20.453125" style="242" customWidth="1"/>
    <col min="12" max="13" width="13.6328125" style="242" customWidth="1"/>
    <col min="14" max="14" width="14.6328125" style="242" customWidth="1"/>
    <col min="15" max="15" width="12.6328125" style="242" customWidth="1"/>
    <col min="16" max="16" width="37.36328125" style="242" customWidth="1" outlineLevel="1"/>
    <col min="17" max="17" width="31" style="242" customWidth="1" outlineLevel="1"/>
    <col min="18" max="18" width="32" style="242" customWidth="1" outlineLevel="1"/>
    <col min="19" max="19" width="14.6328125" style="242" customWidth="1"/>
    <col min="20" max="20" width="32" style="242" customWidth="1" outlineLevel="1"/>
    <col min="21" max="21" width="36" style="242" customWidth="1" outlineLevel="1"/>
    <col min="22" max="23" width="21" style="242" customWidth="1" outlineLevel="1"/>
    <col min="24" max="25" width="10.6328125" style="242" customWidth="1"/>
    <col min="26" max="26" width="17" style="242" customWidth="1" outlineLevel="1"/>
    <col min="27" max="28" width="16.6328125" style="242" customWidth="1"/>
    <col min="29" max="30" width="21" style="242" customWidth="1" outlineLevel="1"/>
    <col min="31" max="31" width="21" style="242" customWidth="1"/>
    <col min="32" max="32" width="22" style="242" customWidth="1" outlineLevel="1"/>
    <col min="33" max="33" width="20" style="242" customWidth="1" outlineLevel="1"/>
    <col min="34" max="34" width="17" style="242" customWidth="1"/>
    <col min="35" max="35" width="19" style="242" customWidth="1" outlineLevel="1"/>
    <col min="36" max="37" width="16.6328125" style="242" customWidth="1"/>
    <col min="38" max="38" width="23.36328125" style="242" customWidth="1"/>
    <col min="39" max="40" width="16.6328125" style="242" customWidth="1"/>
    <col min="41" max="41" width="26" style="242" customWidth="1"/>
    <col min="42" max="42" width="42" style="242" customWidth="1" outlineLevel="1"/>
    <col min="43" max="43" width="40" style="242" customWidth="1" outlineLevel="1"/>
    <col min="44" max="44" width="37" style="242" customWidth="1" outlineLevel="1"/>
    <col min="45" max="45" width="27" style="242" customWidth="1" outlineLevel="1"/>
    <col min="46" max="46" width="39" style="242" customWidth="1" outlineLevel="1"/>
    <col min="47" max="47" width="22" style="242" customWidth="1" outlineLevel="1"/>
    <col min="48" max="49" width="20" style="242" customWidth="1"/>
    <col min="50" max="50" width="23" style="242" customWidth="1"/>
    <col min="51" max="51" width="19.90625" style="242" customWidth="1"/>
    <col min="52" max="52" width="21" style="242" customWidth="1" outlineLevel="1"/>
    <col min="53" max="53" width="58.453125" style="242" customWidth="1" outlineLevel="1"/>
    <col min="54" max="54" width="15.6328125" style="242" customWidth="1"/>
    <col min="55" max="55" width="23" style="242" customWidth="1"/>
    <col min="56" max="56" width="56" style="242" customWidth="1"/>
    <col min="57" max="57" width="54" style="242" customWidth="1" outlineLevel="1"/>
    <col min="58" max="59" width="27" style="242" customWidth="1" outlineLevel="1"/>
    <col min="60" max="60" width="23" style="242" customWidth="1"/>
    <col min="61" max="61" width="17" style="242" customWidth="1" outlineLevel="1"/>
    <col min="62" max="63" width="12" style="242" customWidth="1" outlineLevel="1"/>
    <col min="64" max="64" width="39" style="242" customWidth="1" outlineLevel="1"/>
    <col min="65" max="65" width="27" style="242" customWidth="1"/>
    <col min="66" max="16384" width="12.6328125" style="242"/>
  </cols>
  <sheetData>
    <row r="1" spans="1:65" ht="13.5" customHeight="1" x14ac:dyDescent="0.35">
      <c r="A1" s="259" t="s">
        <v>2272</v>
      </c>
      <c r="B1" s="259" t="s">
        <v>2273</v>
      </c>
      <c r="C1" s="259" t="s">
        <v>48</v>
      </c>
      <c r="D1" s="259" t="s">
        <v>573</v>
      </c>
      <c r="E1" s="259" t="s">
        <v>574</v>
      </c>
      <c r="F1" s="259" t="s">
        <v>575</v>
      </c>
      <c r="G1" s="259" t="s">
        <v>2274</v>
      </c>
      <c r="H1" s="259" t="s">
        <v>577</v>
      </c>
      <c r="I1" s="259" t="s">
        <v>578</v>
      </c>
      <c r="J1" s="259" t="s">
        <v>579</v>
      </c>
      <c r="K1" s="259" t="s">
        <v>580</v>
      </c>
      <c r="L1" s="259" t="s">
        <v>2275</v>
      </c>
      <c r="M1" s="259" t="s">
        <v>582</v>
      </c>
      <c r="N1" s="260" t="s">
        <v>2276</v>
      </c>
      <c r="O1" s="260" t="s">
        <v>584</v>
      </c>
      <c r="P1" s="259" t="s">
        <v>35</v>
      </c>
      <c r="Q1" s="259" t="s">
        <v>447</v>
      </c>
      <c r="R1" s="259" t="s">
        <v>2277</v>
      </c>
      <c r="S1" s="259" t="s">
        <v>37</v>
      </c>
      <c r="T1" s="259" t="s">
        <v>410</v>
      </c>
      <c r="U1" s="259" t="s">
        <v>1941</v>
      </c>
      <c r="V1" s="259" t="s">
        <v>587</v>
      </c>
      <c r="W1" s="259" t="s">
        <v>588</v>
      </c>
      <c r="X1" s="260" t="s">
        <v>589</v>
      </c>
      <c r="Y1" s="260" t="s">
        <v>590</v>
      </c>
      <c r="Z1" s="259" t="s">
        <v>1921</v>
      </c>
      <c r="AA1" s="259" t="s">
        <v>39</v>
      </c>
      <c r="AB1" s="259" t="s">
        <v>591</v>
      </c>
      <c r="AC1" s="259" t="s">
        <v>592</v>
      </c>
      <c r="AD1" s="259" t="s">
        <v>593</v>
      </c>
      <c r="AE1" s="259" t="s">
        <v>594</v>
      </c>
      <c r="AF1" s="259" t="s">
        <v>595</v>
      </c>
      <c r="AG1" s="259" t="s">
        <v>596</v>
      </c>
      <c r="AH1" s="260" t="s">
        <v>597</v>
      </c>
      <c r="AI1" s="259" t="s">
        <v>598</v>
      </c>
      <c r="AJ1" s="259" t="s">
        <v>599</v>
      </c>
      <c r="AK1" s="259" t="s">
        <v>600</v>
      </c>
      <c r="AL1" s="259" t="s">
        <v>601</v>
      </c>
      <c r="AM1" s="259" t="s">
        <v>602</v>
      </c>
      <c r="AN1" s="259" t="s">
        <v>603</v>
      </c>
      <c r="AO1" s="260" t="s">
        <v>49</v>
      </c>
      <c r="AP1" s="259" t="s">
        <v>2278</v>
      </c>
      <c r="AQ1" s="259" t="s">
        <v>2279</v>
      </c>
      <c r="AR1" s="259" t="s">
        <v>607</v>
      </c>
      <c r="AS1" s="259" t="s">
        <v>608</v>
      </c>
      <c r="AT1" s="259" t="s">
        <v>2280</v>
      </c>
      <c r="AU1" s="259" t="s">
        <v>610</v>
      </c>
      <c r="AV1" s="259" t="s">
        <v>50</v>
      </c>
      <c r="AW1" s="259" t="s">
        <v>402</v>
      </c>
      <c r="AX1" s="259" t="s">
        <v>51</v>
      </c>
      <c r="AY1" s="259" t="s">
        <v>403</v>
      </c>
      <c r="AZ1" s="259" t="s">
        <v>613</v>
      </c>
      <c r="BA1" s="259" t="s">
        <v>614</v>
      </c>
      <c r="BB1" s="260" t="s">
        <v>585</v>
      </c>
      <c r="BC1" s="259" t="s">
        <v>615</v>
      </c>
      <c r="BD1" s="259" t="s">
        <v>616</v>
      </c>
      <c r="BE1" s="259" t="s">
        <v>2281</v>
      </c>
      <c r="BF1" s="259" t="s">
        <v>618</v>
      </c>
      <c r="BG1" s="259" t="s">
        <v>619</v>
      </c>
      <c r="BH1" s="259" t="s">
        <v>661</v>
      </c>
      <c r="BI1" s="259" t="s">
        <v>2282</v>
      </c>
      <c r="BJ1" s="259" t="s">
        <v>644</v>
      </c>
      <c r="BK1" s="259" t="s">
        <v>626</v>
      </c>
      <c r="BL1" s="259" t="s">
        <v>2283</v>
      </c>
      <c r="BM1" s="261" t="s">
        <v>2284</v>
      </c>
    </row>
    <row r="2" spans="1:65" ht="13.5" customHeight="1" x14ac:dyDescent="0.3">
      <c r="A2" s="241" t="s">
        <v>2285</v>
      </c>
      <c r="B2" s="241" t="s">
        <v>3060</v>
      </c>
      <c r="C2" s="241" t="s">
        <v>98</v>
      </c>
      <c r="D2" s="241" t="s">
        <v>3046</v>
      </c>
      <c r="E2" s="241" t="s">
        <v>3061</v>
      </c>
      <c r="F2" s="241" t="s">
        <v>3062</v>
      </c>
      <c r="G2" s="241" t="s">
        <v>3063</v>
      </c>
      <c r="H2" s="241" t="s">
        <v>796</v>
      </c>
      <c r="I2" s="241" t="s">
        <v>559</v>
      </c>
      <c r="J2" s="241" t="s">
        <v>686</v>
      </c>
      <c r="K2" s="241" t="s">
        <v>563</v>
      </c>
      <c r="L2" s="241" t="s">
        <v>3064</v>
      </c>
      <c r="M2" s="241" t="s">
        <v>3065</v>
      </c>
      <c r="N2" s="241" t="s">
        <v>93</v>
      </c>
      <c r="O2" s="241" t="s">
        <v>96</v>
      </c>
      <c r="P2" s="241" t="s">
        <v>107</v>
      </c>
      <c r="Q2" s="241" t="s">
        <v>1496</v>
      </c>
      <c r="R2" s="241" t="s">
        <v>107</v>
      </c>
      <c r="S2" s="241" t="s">
        <v>436</v>
      </c>
      <c r="T2" s="241" t="s">
        <v>105</v>
      </c>
      <c r="U2" s="241" t="s">
        <v>687</v>
      </c>
      <c r="V2" s="241" t="s">
        <v>2287</v>
      </c>
      <c r="W2" s="241" t="s">
        <v>2287</v>
      </c>
      <c r="X2" s="241" t="s">
        <v>111</v>
      </c>
      <c r="Y2" s="241" t="s">
        <v>111</v>
      </c>
      <c r="Z2" s="241" t="s">
        <v>438</v>
      </c>
      <c r="AA2" s="241">
        <v>2303206.5099999998</v>
      </c>
      <c r="AB2" s="241">
        <v>2303206.5099999998</v>
      </c>
      <c r="AC2" s="241">
        <v>1</v>
      </c>
      <c r="AD2" s="241">
        <v>1</v>
      </c>
      <c r="AE2" s="241">
        <v>1</v>
      </c>
      <c r="AF2" s="241">
        <v>0.85</v>
      </c>
      <c r="AG2" s="241">
        <v>0.85</v>
      </c>
      <c r="AH2" s="241">
        <v>0</v>
      </c>
      <c r="AI2" s="241"/>
      <c r="AJ2" s="241">
        <v>2303206.5099999998</v>
      </c>
      <c r="AK2" s="241">
        <v>2303206.5099999998</v>
      </c>
      <c r="AL2" s="241">
        <v>2303206.5099999998</v>
      </c>
      <c r="AM2" s="241">
        <v>1957725.5334999999</v>
      </c>
      <c r="AN2" s="241">
        <v>1517174.64</v>
      </c>
      <c r="AO2" s="241"/>
      <c r="AP2" s="241">
        <v>10353.723457408732</v>
      </c>
      <c r="AQ2" s="241">
        <v>1401.3783346456694</v>
      </c>
      <c r="AR2" s="241">
        <v>345480.97649999999</v>
      </c>
      <c r="AS2" s="241">
        <v>345480.97649999999</v>
      </c>
      <c r="AT2" s="241">
        <v>247.30205905511812</v>
      </c>
      <c r="AU2" s="241">
        <v>0.15</v>
      </c>
      <c r="AV2" s="241" t="s">
        <v>3035</v>
      </c>
      <c r="AW2" s="241" t="s">
        <v>101</v>
      </c>
      <c r="AX2" s="241" t="s">
        <v>797</v>
      </c>
      <c r="AY2" s="241" t="s">
        <v>102</v>
      </c>
      <c r="AZ2" s="241"/>
      <c r="BA2" s="241" t="s">
        <v>1496</v>
      </c>
      <c r="BB2" s="241" t="s">
        <v>439</v>
      </c>
      <c r="BC2" s="241">
        <v>1</v>
      </c>
      <c r="BD2" s="241" t="s">
        <v>3066</v>
      </c>
      <c r="BE2" s="241" t="s">
        <v>3064</v>
      </c>
      <c r="BF2" s="241" t="s">
        <v>798</v>
      </c>
      <c r="BG2" s="241" t="s">
        <v>723</v>
      </c>
      <c r="BH2" s="241" t="s">
        <v>1496</v>
      </c>
      <c r="BI2" s="241" t="s">
        <v>691</v>
      </c>
      <c r="BJ2" s="241" t="s">
        <v>699</v>
      </c>
      <c r="BK2" s="241" t="s">
        <v>3067</v>
      </c>
      <c r="BL2" s="241" t="s">
        <v>3049</v>
      </c>
      <c r="BM2" s="241"/>
    </row>
    <row r="3" spans="1:65" ht="13.5" customHeight="1" x14ac:dyDescent="0.3">
      <c r="A3" s="241" t="s">
        <v>2285</v>
      </c>
      <c r="B3" s="241" t="s">
        <v>3060</v>
      </c>
      <c r="C3" s="241" t="s">
        <v>98</v>
      </c>
      <c r="D3" s="241" t="s">
        <v>3046</v>
      </c>
      <c r="E3" s="241" t="s">
        <v>3068</v>
      </c>
      <c r="F3" s="241" t="s">
        <v>3069</v>
      </c>
      <c r="G3" s="241" t="s">
        <v>3070</v>
      </c>
      <c r="H3" s="241" t="s">
        <v>819</v>
      </c>
      <c r="I3" s="241" t="s">
        <v>559</v>
      </c>
      <c r="J3" s="241" t="s">
        <v>686</v>
      </c>
      <c r="K3" s="241" t="s">
        <v>563</v>
      </c>
      <c r="L3" s="241" t="s">
        <v>3071</v>
      </c>
      <c r="M3" s="241" t="s">
        <v>820</v>
      </c>
      <c r="N3" s="241" t="s">
        <v>93</v>
      </c>
      <c r="O3" s="241" t="s">
        <v>96</v>
      </c>
      <c r="P3" s="241" t="s">
        <v>107</v>
      </c>
      <c r="Q3" s="241" t="s">
        <v>1496</v>
      </c>
      <c r="R3" s="241" t="s">
        <v>107</v>
      </c>
      <c r="S3" s="241" t="s">
        <v>436</v>
      </c>
      <c r="T3" s="241" t="s">
        <v>105</v>
      </c>
      <c r="U3" s="241" t="s">
        <v>687</v>
      </c>
      <c r="V3" s="241" t="s">
        <v>2287</v>
      </c>
      <c r="W3" s="241" t="s">
        <v>2287</v>
      </c>
      <c r="X3" s="241" t="s">
        <v>111</v>
      </c>
      <c r="Y3" s="241" t="s">
        <v>111</v>
      </c>
      <c r="Z3" s="241" t="s">
        <v>443</v>
      </c>
      <c r="AA3" s="241">
        <v>1333576</v>
      </c>
      <c r="AB3" s="241">
        <v>1333576</v>
      </c>
      <c r="AC3" s="241">
        <v>1</v>
      </c>
      <c r="AD3" s="241">
        <v>1</v>
      </c>
      <c r="AE3" s="241">
        <v>1</v>
      </c>
      <c r="AF3" s="241">
        <v>0.85</v>
      </c>
      <c r="AG3" s="241">
        <v>0.85</v>
      </c>
      <c r="AH3" s="241">
        <v>0</v>
      </c>
      <c r="AI3" s="241"/>
      <c r="AJ3" s="241">
        <v>1333576</v>
      </c>
      <c r="AK3" s="241">
        <v>1333576</v>
      </c>
      <c r="AL3" s="241">
        <v>1333576</v>
      </c>
      <c r="AM3" s="241">
        <v>1133539.6000000001</v>
      </c>
      <c r="AN3" s="241">
        <v>878456.92</v>
      </c>
      <c r="AO3" s="241"/>
      <c r="AP3" s="241">
        <v>12462.276929133859</v>
      </c>
      <c r="AQ3" s="241">
        <v>811.4098783106657</v>
      </c>
      <c r="AR3" s="241">
        <v>200036.4</v>
      </c>
      <c r="AS3" s="241">
        <v>200036.4</v>
      </c>
      <c r="AT3" s="241">
        <v>143.18997852541159</v>
      </c>
      <c r="AU3" s="241">
        <v>0.15</v>
      </c>
      <c r="AV3" s="241" t="s">
        <v>822</v>
      </c>
      <c r="AW3" s="241" t="s">
        <v>101</v>
      </c>
      <c r="AX3" s="241" t="s">
        <v>1496</v>
      </c>
      <c r="AY3" s="241" t="s">
        <v>437</v>
      </c>
      <c r="AZ3" s="241"/>
      <c r="BA3" s="241" t="s">
        <v>1496</v>
      </c>
      <c r="BB3" s="241" t="s">
        <v>439</v>
      </c>
      <c r="BC3" s="241">
        <v>1</v>
      </c>
      <c r="BD3" s="241" t="s">
        <v>3072</v>
      </c>
      <c r="BE3" s="241" t="s">
        <v>821</v>
      </c>
      <c r="BF3" s="241" t="s">
        <v>823</v>
      </c>
      <c r="BG3" s="241" t="s">
        <v>723</v>
      </c>
      <c r="BH3" s="241" t="s">
        <v>1496</v>
      </c>
      <c r="BI3" s="241" t="s">
        <v>691</v>
      </c>
      <c r="BJ3" s="241" t="s">
        <v>699</v>
      </c>
      <c r="BK3" s="241" t="s">
        <v>3067</v>
      </c>
      <c r="BL3" s="241" t="s">
        <v>3073</v>
      </c>
      <c r="BM3" s="241"/>
    </row>
    <row r="4" spans="1:65" ht="13.5" customHeight="1" x14ac:dyDescent="0.3">
      <c r="A4" s="241" t="s">
        <v>2285</v>
      </c>
      <c r="B4" s="241" t="s">
        <v>3060</v>
      </c>
      <c r="C4" s="241" t="s">
        <v>98</v>
      </c>
      <c r="D4" s="241" t="s">
        <v>3046</v>
      </c>
      <c r="E4" s="241" t="s">
        <v>3074</v>
      </c>
      <c r="F4" s="241" t="s">
        <v>3075</v>
      </c>
      <c r="G4" s="241" t="s">
        <v>3076</v>
      </c>
      <c r="H4" s="241" t="s">
        <v>829</v>
      </c>
      <c r="I4" s="241" t="s">
        <v>559</v>
      </c>
      <c r="J4" s="241" t="s">
        <v>686</v>
      </c>
      <c r="K4" s="241" t="s">
        <v>563</v>
      </c>
      <c r="L4" s="241" t="s">
        <v>831</v>
      </c>
      <c r="M4" s="241" t="s">
        <v>830</v>
      </c>
      <c r="N4" s="241" t="s">
        <v>93</v>
      </c>
      <c r="O4" s="241" t="s">
        <v>96</v>
      </c>
      <c r="P4" s="241" t="s">
        <v>107</v>
      </c>
      <c r="Q4" s="241" t="s">
        <v>1496</v>
      </c>
      <c r="R4" s="241" t="s">
        <v>107</v>
      </c>
      <c r="S4" s="241" t="s">
        <v>436</v>
      </c>
      <c r="T4" s="241" t="s">
        <v>105</v>
      </c>
      <c r="U4" s="241" t="s">
        <v>687</v>
      </c>
      <c r="V4" s="241" t="s">
        <v>2287</v>
      </c>
      <c r="W4" s="241" t="s">
        <v>2287</v>
      </c>
      <c r="X4" s="241" t="s">
        <v>111</v>
      </c>
      <c r="Y4" s="241" t="s">
        <v>111</v>
      </c>
      <c r="Z4" s="241" t="s">
        <v>440</v>
      </c>
      <c r="AA4" s="241">
        <v>3535663.91</v>
      </c>
      <c r="AB4" s="241">
        <v>3535663.91</v>
      </c>
      <c r="AC4" s="241">
        <v>1</v>
      </c>
      <c r="AD4" s="241">
        <v>1</v>
      </c>
      <c r="AE4" s="241">
        <v>1</v>
      </c>
      <c r="AF4" s="241">
        <v>0.85</v>
      </c>
      <c r="AG4" s="241">
        <v>0.85</v>
      </c>
      <c r="AH4" s="241">
        <v>0</v>
      </c>
      <c r="AI4" s="241"/>
      <c r="AJ4" s="241">
        <v>3535663.91</v>
      </c>
      <c r="AK4" s="241">
        <v>3535663.91</v>
      </c>
      <c r="AL4" s="241">
        <v>3535663.91</v>
      </c>
      <c r="AM4" s="241">
        <v>3005314.3234999999</v>
      </c>
      <c r="AN4" s="241">
        <v>2329022.4300000002</v>
      </c>
      <c r="AO4" s="241"/>
      <c r="AP4" s="241">
        <v>26335.525540443807</v>
      </c>
      <c r="AQ4" s="241">
        <v>2151.2629373657837</v>
      </c>
      <c r="AR4" s="241">
        <v>530349.58649999998</v>
      </c>
      <c r="AS4" s="241">
        <v>530349.58649999998</v>
      </c>
      <c r="AT4" s="241">
        <v>379.63463600572658</v>
      </c>
      <c r="AU4" s="241">
        <v>0.15</v>
      </c>
      <c r="AV4" s="241" t="s">
        <v>832</v>
      </c>
      <c r="AW4" s="241" t="s">
        <v>101</v>
      </c>
      <c r="AX4" s="241" t="s">
        <v>833</v>
      </c>
      <c r="AY4" s="241" t="s">
        <v>102</v>
      </c>
      <c r="AZ4" s="241"/>
      <c r="BA4" s="241" t="s">
        <v>1496</v>
      </c>
      <c r="BB4" s="241" t="s">
        <v>439</v>
      </c>
      <c r="BC4" s="241">
        <v>1</v>
      </c>
      <c r="BD4" s="241" t="s">
        <v>3077</v>
      </c>
      <c r="BE4" s="241" t="s">
        <v>831</v>
      </c>
      <c r="BF4" s="241" t="s">
        <v>834</v>
      </c>
      <c r="BG4" s="241" t="s">
        <v>723</v>
      </c>
      <c r="BH4" s="241" t="s">
        <v>1496</v>
      </c>
      <c r="BI4" s="241" t="s">
        <v>691</v>
      </c>
      <c r="BJ4" s="241" t="s">
        <v>699</v>
      </c>
      <c r="BK4" s="241" t="s">
        <v>3067</v>
      </c>
      <c r="BL4" s="241" t="s">
        <v>3049</v>
      </c>
      <c r="BM4" s="241"/>
    </row>
    <row r="5" spans="1:65" ht="13.5" customHeight="1" x14ac:dyDescent="0.3">
      <c r="A5" s="241" t="s">
        <v>3044</v>
      </c>
      <c r="B5" s="241" t="s">
        <v>3045</v>
      </c>
      <c r="C5" s="241" t="s">
        <v>98</v>
      </c>
      <c r="D5" s="241" t="s">
        <v>3046</v>
      </c>
      <c r="E5" s="241" t="s">
        <v>836</v>
      </c>
      <c r="F5" s="241" t="s">
        <v>3047</v>
      </c>
      <c r="G5" s="241" t="s">
        <v>149</v>
      </c>
      <c r="H5" s="241" t="s">
        <v>838</v>
      </c>
      <c r="I5" s="241" t="s">
        <v>558</v>
      </c>
      <c r="J5" s="241" t="s">
        <v>686</v>
      </c>
      <c r="K5" s="241" t="s">
        <v>563</v>
      </c>
      <c r="L5" s="241" t="s">
        <v>3048</v>
      </c>
      <c r="M5" s="241" t="s">
        <v>842</v>
      </c>
      <c r="N5" s="241" t="s">
        <v>93</v>
      </c>
      <c r="O5" s="241" t="s">
        <v>96</v>
      </c>
      <c r="P5" s="241" t="s">
        <v>107</v>
      </c>
      <c r="Q5" s="241" t="s">
        <v>1496</v>
      </c>
      <c r="R5" s="241" t="s">
        <v>107</v>
      </c>
      <c r="S5" s="241" t="s">
        <v>436</v>
      </c>
      <c r="T5" s="241" t="s">
        <v>105</v>
      </c>
      <c r="U5" s="241" t="s">
        <v>687</v>
      </c>
      <c r="V5" s="241" t="s">
        <v>2287</v>
      </c>
      <c r="W5" s="241" t="s">
        <v>2287</v>
      </c>
      <c r="X5" s="241" t="s">
        <v>111</v>
      </c>
      <c r="Y5" s="241" t="s">
        <v>111</v>
      </c>
      <c r="Z5" s="241" t="s">
        <v>147</v>
      </c>
      <c r="AA5" s="241">
        <v>-398235.69</v>
      </c>
      <c r="AB5" s="241">
        <v>-398235.69</v>
      </c>
      <c r="AC5" s="241">
        <v>1</v>
      </c>
      <c r="AD5" s="241">
        <v>1</v>
      </c>
      <c r="AE5" s="241">
        <v>1</v>
      </c>
      <c r="AF5" s="241">
        <v>0.78</v>
      </c>
      <c r="AG5" s="241">
        <v>0.78</v>
      </c>
      <c r="AH5" s="241">
        <v>0</v>
      </c>
      <c r="AI5" s="241"/>
      <c r="AJ5" s="241">
        <v>-398235.69</v>
      </c>
      <c r="AK5" s="241">
        <v>-398235.69</v>
      </c>
      <c r="AL5" s="241">
        <v>-398235.69</v>
      </c>
      <c r="AM5" s="241">
        <v>-310623.8382</v>
      </c>
      <c r="AN5" s="241">
        <v>-240723.53</v>
      </c>
      <c r="AO5" s="241"/>
      <c r="AP5" s="241">
        <v>1704.9136005726557</v>
      </c>
      <c r="AQ5" s="241">
        <v>-222.35063579098068</v>
      </c>
      <c r="AR5" s="241">
        <v>-87611.851800000004</v>
      </c>
      <c r="AS5" s="241">
        <v>-87611.851800000004</v>
      </c>
      <c r="AT5" s="241">
        <v>-62.714281889763782</v>
      </c>
      <c r="AU5" s="241">
        <v>0.22</v>
      </c>
      <c r="AV5" s="241" t="s">
        <v>2013</v>
      </c>
      <c r="AW5" s="241" t="s">
        <v>101</v>
      </c>
      <c r="AX5" s="241" t="s">
        <v>2230</v>
      </c>
      <c r="AY5" s="241" t="s">
        <v>102</v>
      </c>
      <c r="AZ5" s="241"/>
      <c r="BA5" s="241" t="s">
        <v>1496</v>
      </c>
      <c r="BB5" s="241" t="s">
        <v>439</v>
      </c>
      <c r="BC5" s="241">
        <v>1</v>
      </c>
      <c r="BD5" s="241" t="s">
        <v>841</v>
      </c>
      <c r="BE5" s="241" t="s">
        <v>840</v>
      </c>
      <c r="BF5" s="241" t="s">
        <v>843</v>
      </c>
      <c r="BG5" s="241" t="s">
        <v>708</v>
      </c>
      <c r="BH5" s="241" t="s">
        <v>1496</v>
      </c>
      <c r="BI5" s="241" t="s">
        <v>691</v>
      </c>
      <c r="BJ5" s="241" t="s">
        <v>690</v>
      </c>
      <c r="BK5" s="241" t="s">
        <v>2286</v>
      </c>
      <c r="BL5" s="241" t="s">
        <v>3049</v>
      </c>
      <c r="BM5" s="241"/>
    </row>
    <row r="6" spans="1:65" ht="13.5" customHeight="1" x14ac:dyDescent="0.3">
      <c r="A6" s="241" t="s">
        <v>2285</v>
      </c>
      <c r="B6" s="241" t="s">
        <v>3078</v>
      </c>
      <c r="C6" s="241" t="s">
        <v>98</v>
      </c>
      <c r="D6" s="241" t="s">
        <v>3046</v>
      </c>
      <c r="E6" s="241" t="s">
        <v>3079</v>
      </c>
      <c r="F6" s="241" t="s">
        <v>3080</v>
      </c>
      <c r="G6" s="241" t="s">
        <v>3081</v>
      </c>
      <c r="H6" s="241" t="s">
        <v>944</v>
      </c>
      <c r="I6" s="241" t="s">
        <v>559</v>
      </c>
      <c r="J6" s="241" t="s">
        <v>686</v>
      </c>
      <c r="K6" s="241" t="s">
        <v>563</v>
      </c>
      <c r="L6" s="241" t="s">
        <v>3082</v>
      </c>
      <c r="M6" s="241" t="s">
        <v>941</v>
      </c>
      <c r="N6" s="241" t="s">
        <v>93</v>
      </c>
      <c r="O6" s="241" t="s">
        <v>96</v>
      </c>
      <c r="P6" s="241" t="s">
        <v>145</v>
      </c>
      <c r="Q6" s="241" t="s">
        <v>1496</v>
      </c>
      <c r="R6" s="241" t="s">
        <v>145</v>
      </c>
      <c r="S6" s="241" t="s">
        <v>434</v>
      </c>
      <c r="T6" s="241" t="s">
        <v>105</v>
      </c>
      <c r="U6" s="241" t="s">
        <v>687</v>
      </c>
      <c r="V6" s="241" t="s">
        <v>2287</v>
      </c>
      <c r="W6" s="241" t="s">
        <v>2287</v>
      </c>
      <c r="X6" s="241" t="s">
        <v>146</v>
      </c>
      <c r="Y6" s="241" t="s">
        <v>146</v>
      </c>
      <c r="Z6" s="241" t="s">
        <v>488</v>
      </c>
      <c r="AA6" s="241">
        <v>11475.03</v>
      </c>
      <c r="AB6" s="241">
        <v>11475.03</v>
      </c>
      <c r="AC6" s="241">
        <v>1</v>
      </c>
      <c r="AD6" s="241">
        <v>1</v>
      </c>
      <c r="AE6" s="241">
        <v>1</v>
      </c>
      <c r="AF6" s="241">
        <v>0.85</v>
      </c>
      <c r="AG6" s="241">
        <v>0.85</v>
      </c>
      <c r="AH6" s="241">
        <v>0</v>
      </c>
      <c r="AI6" s="241"/>
      <c r="AJ6" s="241">
        <v>11475.03</v>
      </c>
      <c r="AK6" s="241">
        <v>11475.03</v>
      </c>
      <c r="AL6" s="241">
        <v>11475.03</v>
      </c>
      <c r="AM6" s="241">
        <v>9753.7754999999997</v>
      </c>
      <c r="AN6" s="241">
        <v>8290.7099999999991</v>
      </c>
      <c r="AO6" s="241"/>
      <c r="AP6" s="241">
        <v>3414.1713775662006</v>
      </c>
      <c r="AQ6" s="241">
        <v>2902.0456709312703</v>
      </c>
      <c r="AR6" s="241">
        <v>1721.2545</v>
      </c>
      <c r="AS6" s="241">
        <v>1721.2545</v>
      </c>
      <c r="AT6" s="241">
        <v>512.12570663493011</v>
      </c>
      <c r="AU6" s="241">
        <v>0.15</v>
      </c>
      <c r="AV6" s="241" t="s">
        <v>3040</v>
      </c>
      <c r="AW6" s="241" t="s">
        <v>101</v>
      </c>
      <c r="AX6" s="241" t="s">
        <v>945</v>
      </c>
      <c r="AY6" s="241" t="s">
        <v>102</v>
      </c>
      <c r="AZ6" s="241"/>
      <c r="BA6" s="241" t="s">
        <v>1496</v>
      </c>
      <c r="BB6" s="241" t="s">
        <v>439</v>
      </c>
      <c r="BC6" s="241">
        <v>1</v>
      </c>
      <c r="BD6" s="241" t="s">
        <v>3083</v>
      </c>
      <c r="BE6" s="241" t="s">
        <v>942</v>
      </c>
      <c r="BF6" s="241" t="s">
        <v>943</v>
      </c>
      <c r="BG6" s="241" t="s">
        <v>860</v>
      </c>
      <c r="BH6" s="241" t="s">
        <v>1496</v>
      </c>
      <c r="BI6" s="241" t="s">
        <v>691</v>
      </c>
      <c r="BJ6" s="241" t="s">
        <v>690</v>
      </c>
      <c r="BK6" s="241" t="s">
        <v>3084</v>
      </c>
      <c r="BL6" s="241" t="s">
        <v>2288</v>
      </c>
      <c r="BM6" s="241"/>
    </row>
    <row r="7" spans="1:65" ht="13.5" customHeight="1" x14ac:dyDescent="0.3">
      <c r="A7" s="241" t="s">
        <v>2285</v>
      </c>
      <c r="B7" s="241" t="s">
        <v>3078</v>
      </c>
      <c r="C7" s="241" t="s">
        <v>98</v>
      </c>
      <c r="D7" s="241" t="s">
        <v>3046</v>
      </c>
      <c r="E7" s="241" t="s">
        <v>3085</v>
      </c>
      <c r="F7" s="241" t="s">
        <v>3086</v>
      </c>
      <c r="G7" s="241" t="s">
        <v>3087</v>
      </c>
      <c r="H7" s="241" t="s">
        <v>3088</v>
      </c>
      <c r="I7" s="241" t="s">
        <v>559</v>
      </c>
      <c r="J7" s="241" t="s">
        <v>686</v>
      </c>
      <c r="K7" s="241" t="s">
        <v>563</v>
      </c>
      <c r="L7" s="241" t="s">
        <v>3089</v>
      </c>
      <c r="M7" s="241" t="s">
        <v>861</v>
      </c>
      <c r="N7" s="241" t="s">
        <v>93</v>
      </c>
      <c r="O7" s="241" t="s">
        <v>100</v>
      </c>
      <c r="P7" s="241" t="s">
        <v>107</v>
      </c>
      <c r="Q7" s="241" t="s">
        <v>1496</v>
      </c>
      <c r="R7" s="241" t="s">
        <v>107</v>
      </c>
      <c r="S7" s="241" t="s">
        <v>436</v>
      </c>
      <c r="T7" s="241" t="s">
        <v>105</v>
      </c>
      <c r="U7" s="241" t="s">
        <v>687</v>
      </c>
      <c r="V7" s="241" t="s">
        <v>2287</v>
      </c>
      <c r="W7" s="241" t="s">
        <v>2287</v>
      </c>
      <c r="X7" s="241" t="s">
        <v>111</v>
      </c>
      <c r="Y7" s="241" t="s">
        <v>111</v>
      </c>
      <c r="Z7" s="241" t="s">
        <v>482</v>
      </c>
      <c r="AA7" s="241">
        <v>2304000</v>
      </c>
      <c r="AB7" s="241">
        <v>2304000</v>
      </c>
      <c r="AC7" s="241">
        <v>1</v>
      </c>
      <c r="AD7" s="241">
        <v>1</v>
      </c>
      <c r="AE7" s="241">
        <v>1</v>
      </c>
      <c r="AF7" s="241">
        <v>0.93</v>
      </c>
      <c r="AG7" s="241">
        <v>0.93</v>
      </c>
      <c r="AH7" s="241">
        <v>0</v>
      </c>
      <c r="AI7" s="241"/>
      <c r="AJ7" s="241">
        <v>2304000</v>
      </c>
      <c r="AK7" s="241">
        <v>2304000</v>
      </c>
      <c r="AL7" s="241">
        <v>2304000</v>
      </c>
      <c r="AM7" s="241">
        <v>2142720</v>
      </c>
      <c r="AN7" s="241">
        <v>1663746.45</v>
      </c>
      <c r="AO7" s="241"/>
      <c r="AP7" s="241">
        <v>1649.2483894058698</v>
      </c>
      <c r="AQ7" s="241">
        <v>1533.8010021474588</v>
      </c>
      <c r="AR7" s="241">
        <v>161280</v>
      </c>
      <c r="AS7" s="241">
        <v>161280</v>
      </c>
      <c r="AT7" s="241">
        <v>115.44738725841088</v>
      </c>
      <c r="AU7" s="241">
        <v>7.0000000000000007E-2</v>
      </c>
      <c r="AV7" s="241" t="s">
        <v>3037</v>
      </c>
      <c r="AW7" s="241" t="s">
        <v>101</v>
      </c>
      <c r="AX7" s="241" t="s">
        <v>3043</v>
      </c>
      <c r="AY7" s="241" t="s">
        <v>102</v>
      </c>
      <c r="AZ7" s="241"/>
      <c r="BA7" s="241" t="s">
        <v>1496</v>
      </c>
      <c r="BB7" s="241" t="s">
        <v>439</v>
      </c>
      <c r="BC7" s="241">
        <v>1</v>
      </c>
      <c r="BD7" s="241" t="s">
        <v>3090</v>
      </c>
      <c r="BE7" s="241" t="s">
        <v>861</v>
      </c>
      <c r="BF7" s="241" t="s">
        <v>862</v>
      </c>
      <c r="BG7" s="241" t="s">
        <v>863</v>
      </c>
      <c r="BH7" s="241" t="s">
        <v>1496</v>
      </c>
      <c r="BI7" s="241" t="s">
        <v>691</v>
      </c>
      <c r="BJ7" s="241" t="s">
        <v>690</v>
      </c>
      <c r="BK7" s="241" t="s">
        <v>3091</v>
      </c>
      <c r="BL7" s="241" t="s">
        <v>2288</v>
      </c>
      <c r="BM7" s="241"/>
    </row>
    <row r="8" spans="1:65" ht="13.5" customHeight="1" x14ac:dyDescent="0.3">
      <c r="A8" s="241"/>
      <c r="B8" s="241"/>
      <c r="C8" s="241"/>
      <c r="D8" s="241"/>
      <c r="E8" s="241"/>
      <c r="F8" s="241"/>
      <c r="G8" s="241"/>
      <c r="H8" s="241"/>
      <c r="I8" s="241"/>
      <c r="J8" s="241"/>
      <c r="K8" s="241"/>
      <c r="L8" s="241"/>
      <c r="M8" s="241"/>
      <c r="N8" s="241"/>
      <c r="O8" s="241"/>
      <c r="P8" s="241"/>
      <c r="Q8" s="241"/>
      <c r="R8" s="241"/>
      <c r="S8" s="241"/>
      <c r="T8" s="241"/>
      <c r="U8" s="241"/>
      <c r="V8" s="241"/>
      <c r="W8" s="241"/>
      <c r="X8" s="241"/>
      <c r="Y8" s="241"/>
      <c r="Z8" s="241"/>
      <c r="AA8" s="241"/>
      <c r="AB8" s="241"/>
      <c r="AC8" s="241"/>
      <c r="AD8" s="241"/>
      <c r="AE8" s="241"/>
      <c r="AF8" s="241"/>
      <c r="AG8" s="241"/>
      <c r="AH8" s="241"/>
      <c r="AI8" s="241"/>
      <c r="AJ8" s="241"/>
      <c r="AK8" s="241"/>
      <c r="AL8" s="241"/>
      <c r="AM8" s="241"/>
      <c r="AN8" s="241"/>
      <c r="AO8" s="241"/>
      <c r="AP8" s="241"/>
      <c r="AQ8" s="241"/>
      <c r="AR8" s="241"/>
      <c r="AS8" s="241"/>
      <c r="AT8" s="241"/>
      <c r="AU8" s="241"/>
      <c r="AV8" s="241"/>
      <c r="AW8" s="241"/>
      <c r="AX8" s="241"/>
      <c r="AY8" s="241"/>
      <c r="AZ8" s="241"/>
      <c r="BA8" s="241"/>
      <c r="BB8" s="241"/>
      <c r="BC8" s="241"/>
      <c r="BD8" s="241"/>
      <c r="BE8" s="241"/>
      <c r="BF8" s="241"/>
      <c r="BG8" s="241"/>
      <c r="BH8" s="241"/>
      <c r="BI8" s="241"/>
      <c r="BJ8" s="241"/>
      <c r="BK8" s="241"/>
      <c r="BL8" s="241"/>
      <c r="BM8" s="241"/>
    </row>
    <row r="9" spans="1:65" ht="13.5" customHeight="1" x14ac:dyDescent="0.3">
      <c r="A9" s="241"/>
      <c r="B9" s="241"/>
      <c r="C9" s="241"/>
      <c r="D9" s="241"/>
      <c r="E9" s="241"/>
      <c r="F9" s="241"/>
      <c r="G9" s="241"/>
      <c r="H9" s="241"/>
      <c r="I9" s="241"/>
      <c r="J9" s="241"/>
      <c r="K9" s="241"/>
      <c r="L9" s="241"/>
      <c r="M9" s="241"/>
      <c r="N9" s="241"/>
      <c r="O9" s="241"/>
      <c r="P9" s="241"/>
      <c r="Q9" s="241"/>
      <c r="R9" s="241"/>
      <c r="S9" s="241"/>
      <c r="T9" s="241"/>
      <c r="U9" s="241"/>
      <c r="V9" s="241"/>
      <c r="W9" s="241"/>
      <c r="X9" s="241"/>
      <c r="Y9" s="241"/>
      <c r="Z9" s="241"/>
      <c r="AA9" s="241"/>
      <c r="AB9" s="241"/>
      <c r="AC9" s="241"/>
      <c r="AD9" s="241"/>
      <c r="AE9" s="241"/>
      <c r="AF9" s="241"/>
      <c r="AG9" s="241"/>
      <c r="AH9" s="241"/>
      <c r="AI9" s="241"/>
      <c r="AJ9" s="241"/>
      <c r="AK9" s="241"/>
      <c r="AL9" s="241"/>
      <c r="AM9" s="241"/>
      <c r="AN9" s="241"/>
      <c r="AO9" s="241"/>
      <c r="AP9" s="241"/>
      <c r="AQ9" s="241"/>
      <c r="AR9" s="241"/>
      <c r="AS9" s="241"/>
      <c r="AT9" s="241"/>
      <c r="AU9" s="241"/>
      <c r="AV9" s="241"/>
      <c r="AW9" s="241"/>
      <c r="AX9" s="241"/>
      <c r="AY9" s="241"/>
      <c r="AZ9" s="241"/>
      <c r="BA9" s="241"/>
      <c r="BB9" s="241"/>
      <c r="BC9" s="241"/>
      <c r="BD9" s="241"/>
      <c r="BE9" s="241"/>
      <c r="BF9" s="241"/>
      <c r="BG9" s="241"/>
      <c r="BH9" s="241"/>
      <c r="BI9" s="241"/>
      <c r="BJ9" s="241"/>
      <c r="BK9" s="241"/>
      <c r="BL9" s="241"/>
      <c r="BM9" s="241"/>
    </row>
    <row r="10" spans="1:65" ht="13.5" customHeight="1" x14ac:dyDescent="0.3">
      <c r="A10" s="241"/>
      <c r="B10" s="241"/>
      <c r="C10" s="241"/>
      <c r="D10" s="241"/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  <c r="P10" s="241"/>
      <c r="Q10" s="241"/>
      <c r="R10" s="241"/>
      <c r="S10" s="241"/>
      <c r="T10" s="241"/>
      <c r="U10" s="241"/>
      <c r="V10" s="241"/>
      <c r="W10" s="241"/>
      <c r="X10" s="241"/>
      <c r="Y10" s="241"/>
      <c r="Z10" s="241"/>
      <c r="AA10" s="241"/>
      <c r="AB10" s="241"/>
      <c r="AC10" s="241"/>
      <c r="AD10" s="241"/>
      <c r="AE10" s="241"/>
      <c r="AF10" s="241"/>
      <c r="AG10" s="241"/>
      <c r="AH10" s="241"/>
      <c r="AI10" s="241"/>
      <c r="AJ10" s="241"/>
      <c r="AK10" s="241"/>
      <c r="AL10" s="241"/>
      <c r="AM10" s="241"/>
      <c r="AN10" s="241"/>
      <c r="AO10" s="241"/>
      <c r="AP10" s="241"/>
      <c r="AQ10" s="241"/>
      <c r="AR10" s="241"/>
      <c r="AS10" s="241"/>
      <c r="AT10" s="241"/>
      <c r="AU10" s="241"/>
      <c r="AV10" s="241"/>
      <c r="AW10" s="241"/>
      <c r="AX10" s="241"/>
      <c r="AY10" s="241"/>
      <c r="AZ10" s="241"/>
      <c r="BA10" s="241"/>
      <c r="BB10" s="241"/>
      <c r="BC10" s="241"/>
      <c r="BD10" s="241"/>
      <c r="BE10" s="241"/>
      <c r="BF10" s="241"/>
      <c r="BG10" s="241"/>
      <c r="BH10" s="241"/>
      <c r="BI10" s="241"/>
      <c r="BJ10" s="241"/>
      <c r="BK10" s="241"/>
      <c r="BL10" s="241"/>
      <c r="BM10" s="241"/>
    </row>
    <row r="11" spans="1:65" ht="13.5" customHeight="1" x14ac:dyDescent="0.3">
      <c r="A11" s="241"/>
      <c r="B11" s="241"/>
      <c r="C11" s="241"/>
      <c r="D11" s="241"/>
      <c r="E11" s="241"/>
      <c r="F11" s="241"/>
      <c r="G11" s="241"/>
      <c r="H11" s="241"/>
      <c r="I11" s="241"/>
      <c r="J11" s="241"/>
      <c r="K11" s="241"/>
      <c r="L11" s="241"/>
      <c r="M11" s="241"/>
      <c r="N11" s="241"/>
      <c r="O11" s="241"/>
      <c r="P11" s="241"/>
      <c r="Q11" s="241"/>
      <c r="R11" s="241"/>
      <c r="S11" s="241"/>
      <c r="T11" s="241"/>
      <c r="U11" s="241"/>
      <c r="V11" s="241"/>
      <c r="W11" s="241"/>
      <c r="X11" s="241"/>
      <c r="Y11" s="241"/>
      <c r="Z11" s="241"/>
      <c r="AA11" s="241"/>
      <c r="AB11" s="241"/>
      <c r="AC11" s="241"/>
      <c r="AD11" s="241"/>
      <c r="AE11" s="241"/>
      <c r="AF11" s="241"/>
      <c r="AG11" s="241"/>
      <c r="AH11" s="241"/>
      <c r="AI11" s="241"/>
      <c r="AJ11" s="241"/>
      <c r="AK11" s="241"/>
      <c r="AL11" s="241"/>
      <c r="AM11" s="241"/>
      <c r="AN11" s="241"/>
      <c r="AO11" s="241"/>
      <c r="AP11" s="241"/>
      <c r="AQ11" s="241"/>
      <c r="AR11" s="241"/>
      <c r="AS11" s="241"/>
      <c r="AT11" s="241"/>
      <c r="AU11" s="241"/>
      <c r="AV11" s="241"/>
      <c r="AW11" s="241"/>
      <c r="AX11" s="241"/>
      <c r="AY11" s="241"/>
      <c r="AZ11" s="241"/>
      <c r="BA11" s="241"/>
      <c r="BB11" s="241"/>
      <c r="BC11" s="241"/>
      <c r="BD11" s="241"/>
      <c r="BE11" s="241"/>
      <c r="BF11" s="241"/>
      <c r="BG11" s="241"/>
      <c r="BH11" s="241"/>
      <c r="BI11" s="241"/>
      <c r="BJ11" s="241"/>
      <c r="BK11" s="241"/>
      <c r="BL11" s="241"/>
      <c r="BM11" s="241"/>
    </row>
    <row r="12" spans="1:65" ht="13.5" customHeight="1" x14ac:dyDescent="0.3">
      <c r="A12" s="241"/>
      <c r="B12" s="241"/>
      <c r="C12" s="241"/>
      <c r="D12" s="241"/>
      <c r="E12" s="241"/>
      <c r="F12" s="241"/>
      <c r="G12" s="241"/>
      <c r="H12" s="241"/>
      <c r="I12" s="241"/>
      <c r="J12" s="241"/>
      <c r="K12" s="241"/>
      <c r="L12" s="241"/>
      <c r="M12" s="241"/>
      <c r="N12" s="241"/>
      <c r="O12" s="241"/>
      <c r="P12" s="241"/>
      <c r="Q12" s="241"/>
      <c r="R12" s="241"/>
      <c r="S12" s="241"/>
      <c r="T12" s="241"/>
      <c r="U12" s="241"/>
      <c r="V12" s="241"/>
      <c r="W12" s="241"/>
      <c r="X12" s="241"/>
      <c r="Y12" s="241"/>
      <c r="Z12" s="241"/>
      <c r="AA12" s="241"/>
      <c r="AB12" s="241"/>
      <c r="AC12" s="241"/>
      <c r="AD12" s="241"/>
      <c r="AE12" s="241"/>
      <c r="AF12" s="241"/>
      <c r="AG12" s="241"/>
      <c r="AH12" s="241"/>
      <c r="AI12" s="241"/>
      <c r="AJ12" s="241"/>
      <c r="AK12" s="241"/>
      <c r="AL12" s="241"/>
      <c r="AM12" s="241"/>
      <c r="AN12" s="241"/>
      <c r="AO12" s="241"/>
      <c r="AP12" s="241"/>
      <c r="AQ12" s="241"/>
      <c r="AR12" s="241"/>
      <c r="AS12" s="241"/>
      <c r="AT12" s="241"/>
      <c r="AU12" s="241"/>
      <c r="AV12" s="241"/>
      <c r="AW12" s="241"/>
      <c r="AX12" s="241"/>
      <c r="AY12" s="241"/>
      <c r="AZ12" s="241"/>
      <c r="BA12" s="241"/>
      <c r="BB12" s="241"/>
      <c r="BC12" s="241"/>
      <c r="BD12" s="241"/>
      <c r="BE12" s="241"/>
      <c r="BF12" s="241"/>
      <c r="BG12" s="241"/>
      <c r="BH12" s="241"/>
      <c r="BI12" s="241"/>
      <c r="BJ12" s="241"/>
      <c r="BK12" s="241"/>
      <c r="BL12" s="241"/>
      <c r="BM12" s="241"/>
    </row>
    <row r="13" spans="1:65" ht="13.5" customHeight="1" x14ac:dyDescent="0.3">
      <c r="A13" s="241"/>
      <c r="B13" s="241"/>
      <c r="C13" s="241"/>
      <c r="D13" s="241"/>
      <c r="E13" s="241"/>
      <c r="F13" s="241"/>
      <c r="G13" s="241"/>
      <c r="H13" s="241"/>
      <c r="I13" s="241"/>
      <c r="J13" s="241"/>
      <c r="K13" s="241"/>
      <c r="L13" s="241"/>
      <c r="M13" s="241"/>
      <c r="N13" s="241"/>
      <c r="O13" s="241"/>
      <c r="P13" s="241"/>
      <c r="Q13" s="241"/>
      <c r="R13" s="241"/>
      <c r="S13" s="241"/>
      <c r="T13" s="241"/>
      <c r="U13" s="241"/>
      <c r="V13" s="241"/>
      <c r="W13" s="241"/>
      <c r="X13" s="241"/>
      <c r="Y13" s="241"/>
      <c r="Z13" s="241"/>
      <c r="AA13" s="241"/>
      <c r="AB13" s="241"/>
      <c r="AC13" s="241"/>
      <c r="AD13" s="241"/>
      <c r="AE13" s="241"/>
      <c r="AF13" s="241"/>
      <c r="AG13" s="241"/>
      <c r="AH13" s="241"/>
      <c r="AI13" s="241"/>
      <c r="AJ13" s="241"/>
      <c r="AK13" s="241"/>
      <c r="AL13" s="241"/>
      <c r="AM13" s="241"/>
      <c r="AN13" s="241"/>
      <c r="AO13" s="241"/>
      <c r="AP13" s="241"/>
      <c r="AQ13" s="241"/>
      <c r="AR13" s="241"/>
      <c r="AS13" s="241"/>
      <c r="AT13" s="241"/>
      <c r="AU13" s="241"/>
      <c r="AV13" s="241"/>
      <c r="AW13" s="241"/>
      <c r="AX13" s="241"/>
      <c r="AY13" s="241"/>
      <c r="AZ13" s="241"/>
      <c r="BA13" s="241"/>
      <c r="BB13" s="241"/>
      <c r="BC13" s="241"/>
      <c r="BD13" s="241"/>
      <c r="BE13" s="241"/>
      <c r="BF13" s="241"/>
      <c r="BG13" s="241"/>
      <c r="BH13" s="241"/>
      <c r="BI13" s="241"/>
      <c r="BJ13" s="241"/>
      <c r="BK13" s="241"/>
      <c r="BL13" s="241"/>
      <c r="BM13" s="241"/>
    </row>
    <row r="14" spans="1:65" ht="13.5" customHeight="1" x14ac:dyDescent="0.3">
      <c r="A14" s="241"/>
      <c r="B14" s="241"/>
      <c r="C14" s="241"/>
      <c r="D14" s="241"/>
      <c r="E14" s="241"/>
      <c r="F14" s="241"/>
      <c r="G14" s="241"/>
      <c r="H14" s="241"/>
      <c r="I14" s="241"/>
      <c r="J14" s="241"/>
      <c r="K14" s="241"/>
      <c r="L14" s="241"/>
      <c r="M14" s="241"/>
      <c r="N14" s="241"/>
      <c r="O14" s="241"/>
      <c r="P14" s="241"/>
      <c r="Q14" s="241"/>
      <c r="R14" s="241"/>
      <c r="S14" s="241"/>
      <c r="T14" s="241"/>
      <c r="U14" s="241"/>
      <c r="V14" s="241"/>
      <c r="W14" s="241"/>
      <c r="X14" s="241"/>
      <c r="Y14" s="241"/>
      <c r="Z14" s="241"/>
      <c r="AA14" s="241"/>
      <c r="AB14" s="241"/>
      <c r="AC14" s="241"/>
      <c r="AD14" s="241"/>
      <c r="AE14" s="241"/>
      <c r="AF14" s="241"/>
      <c r="AG14" s="241"/>
      <c r="AH14" s="241"/>
      <c r="AI14" s="241"/>
      <c r="AJ14" s="241"/>
      <c r="AK14" s="241"/>
      <c r="AL14" s="241"/>
      <c r="AM14" s="241"/>
      <c r="AN14" s="241"/>
      <c r="AO14" s="241"/>
      <c r="AP14" s="241"/>
      <c r="AQ14" s="241"/>
      <c r="AR14" s="241"/>
      <c r="AS14" s="241"/>
      <c r="AT14" s="241"/>
      <c r="AU14" s="241"/>
      <c r="AV14" s="241"/>
      <c r="AW14" s="241"/>
      <c r="AX14" s="241"/>
      <c r="AY14" s="241"/>
      <c r="AZ14" s="241"/>
      <c r="BA14" s="241"/>
      <c r="BB14" s="241"/>
      <c r="BC14" s="241"/>
      <c r="BD14" s="241"/>
      <c r="BE14" s="241"/>
      <c r="BF14" s="241"/>
      <c r="BG14" s="241"/>
      <c r="BH14" s="241"/>
      <c r="BI14" s="241"/>
      <c r="BJ14" s="241"/>
      <c r="BK14" s="241"/>
      <c r="BL14" s="241"/>
      <c r="BM14" s="241"/>
    </row>
    <row r="15" spans="1:65" ht="13.5" customHeight="1" x14ac:dyDescent="0.3">
      <c r="A15" s="241"/>
      <c r="B15" s="241"/>
      <c r="C15" s="241"/>
      <c r="D15" s="241"/>
      <c r="E15" s="241"/>
      <c r="F15" s="241"/>
      <c r="G15" s="241"/>
      <c r="H15" s="241"/>
      <c r="I15" s="241"/>
      <c r="J15" s="241"/>
      <c r="K15" s="241"/>
      <c r="L15" s="241"/>
      <c r="M15" s="241"/>
      <c r="N15" s="241"/>
      <c r="O15" s="241"/>
      <c r="P15" s="241"/>
      <c r="Q15" s="241"/>
      <c r="R15" s="241"/>
      <c r="S15" s="241"/>
      <c r="T15" s="241"/>
      <c r="U15" s="241"/>
      <c r="V15" s="241"/>
      <c r="W15" s="241"/>
      <c r="X15" s="241"/>
      <c r="Y15" s="241"/>
      <c r="Z15" s="241"/>
      <c r="AA15" s="241"/>
      <c r="AB15" s="241"/>
      <c r="AC15" s="241"/>
      <c r="AD15" s="241"/>
      <c r="AE15" s="241"/>
      <c r="AF15" s="241"/>
      <c r="AG15" s="241"/>
      <c r="AH15" s="241"/>
      <c r="AI15" s="241"/>
      <c r="AJ15" s="241"/>
      <c r="AK15" s="241"/>
      <c r="AL15" s="241"/>
      <c r="AM15" s="241"/>
      <c r="AN15" s="241"/>
      <c r="AO15" s="241"/>
      <c r="AP15" s="241"/>
      <c r="AQ15" s="241"/>
      <c r="AR15" s="241"/>
      <c r="AS15" s="241"/>
      <c r="AT15" s="241"/>
      <c r="AU15" s="241"/>
      <c r="AV15" s="241"/>
      <c r="AW15" s="241"/>
      <c r="AX15" s="241"/>
      <c r="AY15" s="241"/>
      <c r="AZ15" s="241"/>
      <c r="BA15" s="241"/>
      <c r="BB15" s="241"/>
      <c r="BC15" s="241"/>
      <c r="BD15" s="241"/>
      <c r="BE15" s="241"/>
      <c r="BF15" s="241"/>
      <c r="BG15" s="241"/>
      <c r="BH15" s="241"/>
      <c r="BI15" s="241"/>
      <c r="BJ15" s="241"/>
      <c r="BK15" s="241"/>
      <c r="BL15" s="241"/>
      <c r="BM15" s="241"/>
    </row>
    <row r="16" spans="1:65" ht="13.5" customHeight="1" x14ac:dyDescent="0.3">
      <c r="A16" s="241"/>
      <c r="B16" s="241"/>
      <c r="C16" s="241"/>
      <c r="D16" s="241"/>
      <c r="E16" s="241"/>
      <c r="F16" s="241"/>
      <c r="G16" s="241"/>
      <c r="H16" s="241"/>
      <c r="I16" s="241"/>
      <c r="J16" s="241"/>
      <c r="K16" s="241"/>
      <c r="L16" s="241"/>
      <c r="M16" s="241"/>
      <c r="N16" s="241"/>
      <c r="O16" s="241"/>
      <c r="P16" s="241"/>
      <c r="Q16" s="241"/>
      <c r="R16" s="241"/>
      <c r="S16" s="241"/>
      <c r="T16" s="241"/>
      <c r="U16" s="241"/>
      <c r="V16" s="241"/>
      <c r="W16" s="241"/>
      <c r="X16" s="241"/>
      <c r="Y16" s="241"/>
      <c r="Z16" s="241"/>
      <c r="AA16" s="241"/>
      <c r="AB16" s="241"/>
      <c r="AC16" s="241"/>
      <c r="AD16" s="241"/>
      <c r="AE16" s="241"/>
      <c r="AF16" s="241"/>
      <c r="AG16" s="241"/>
      <c r="AH16" s="241"/>
      <c r="AI16" s="241"/>
      <c r="AJ16" s="241"/>
      <c r="AK16" s="241"/>
      <c r="AL16" s="241"/>
      <c r="AM16" s="241"/>
      <c r="AN16" s="241"/>
      <c r="AO16" s="241"/>
      <c r="AP16" s="241"/>
      <c r="AQ16" s="241"/>
      <c r="AR16" s="241"/>
      <c r="AS16" s="241"/>
      <c r="AT16" s="241"/>
      <c r="AU16" s="241"/>
      <c r="AV16" s="241"/>
      <c r="AW16" s="241"/>
      <c r="AX16" s="241"/>
      <c r="AY16" s="241"/>
      <c r="AZ16" s="241"/>
      <c r="BA16" s="241"/>
      <c r="BB16" s="241"/>
      <c r="BC16" s="241"/>
      <c r="BD16" s="241"/>
      <c r="BE16" s="241"/>
      <c r="BF16" s="241"/>
      <c r="BG16" s="241"/>
      <c r="BH16" s="241"/>
      <c r="BI16" s="241"/>
      <c r="BJ16" s="241"/>
      <c r="BK16" s="241"/>
      <c r="BL16" s="241"/>
      <c r="BM16" s="241"/>
    </row>
    <row r="17" spans="1:65" ht="13.5" customHeight="1" x14ac:dyDescent="0.3">
      <c r="A17" s="241"/>
      <c r="B17" s="241"/>
      <c r="C17" s="241"/>
      <c r="D17" s="241"/>
      <c r="E17" s="241"/>
      <c r="F17" s="241"/>
      <c r="G17" s="241"/>
      <c r="H17" s="241"/>
      <c r="I17" s="241"/>
      <c r="J17" s="241"/>
      <c r="K17" s="241"/>
      <c r="L17" s="241"/>
      <c r="M17" s="241"/>
      <c r="N17" s="241"/>
      <c r="O17" s="241"/>
      <c r="P17" s="241"/>
      <c r="Q17" s="241"/>
      <c r="R17" s="241"/>
      <c r="S17" s="241"/>
      <c r="T17" s="241"/>
      <c r="U17" s="241"/>
      <c r="V17" s="241"/>
      <c r="W17" s="241"/>
      <c r="X17" s="241"/>
      <c r="Y17" s="241"/>
      <c r="Z17" s="241"/>
      <c r="AA17" s="241"/>
      <c r="AB17" s="241"/>
      <c r="AC17" s="241"/>
      <c r="AD17" s="241"/>
      <c r="AE17" s="241"/>
      <c r="AF17" s="241"/>
      <c r="AG17" s="241"/>
      <c r="AH17" s="241"/>
      <c r="AI17" s="241"/>
      <c r="AJ17" s="241"/>
      <c r="AK17" s="241"/>
      <c r="AL17" s="241"/>
      <c r="AM17" s="241"/>
      <c r="AN17" s="241"/>
      <c r="AO17" s="241"/>
      <c r="AP17" s="241"/>
      <c r="AQ17" s="241"/>
      <c r="AR17" s="241"/>
      <c r="AS17" s="241"/>
      <c r="AT17" s="241"/>
      <c r="AU17" s="241"/>
      <c r="AV17" s="241"/>
      <c r="AW17" s="241"/>
      <c r="AX17" s="241"/>
      <c r="AY17" s="241"/>
      <c r="AZ17" s="241"/>
      <c r="BA17" s="241"/>
      <c r="BB17" s="241"/>
      <c r="BC17" s="241"/>
      <c r="BD17" s="241"/>
      <c r="BE17" s="241"/>
      <c r="BF17" s="241"/>
      <c r="BG17" s="241"/>
      <c r="BH17" s="241"/>
      <c r="BI17" s="241"/>
      <c r="BJ17" s="241"/>
      <c r="BK17" s="241"/>
      <c r="BL17" s="241"/>
      <c r="BM17" s="241"/>
    </row>
    <row r="18" spans="1:65" ht="13.5" customHeight="1" x14ac:dyDescent="0.3">
      <c r="A18" s="241"/>
      <c r="B18" s="241"/>
      <c r="C18" s="241"/>
      <c r="D18" s="241"/>
      <c r="E18" s="241"/>
      <c r="F18" s="241"/>
      <c r="G18" s="241"/>
      <c r="H18" s="241"/>
      <c r="I18" s="241"/>
      <c r="J18" s="241"/>
      <c r="K18" s="241"/>
      <c r="L18" s="241"/>
      <c r="M18" s="241"/>
      <c r="N18" s="241"/>
      <c r="O18" s="241"/>
      <c r="P18" s="241"/>
      <c r="Q18" s="241"/>
      <c r="R18" s="241"/>
      <c r="S18" s="241"/>
      <c r="T18" s="241"/>
      <c r="U18" s="241"/>
      <c r="V18" s="241"/>
      <c r="W18" s="241"/>
      <c r="X18" s="241"/>
      <c r="Y18" s="241"/>
      <c r="Z18" s="241"/>
      <c r="AA18" s="241"/>
      <c r="AB18" s="241"/>
      <c r="AC18" s="241"/>
      <c r="AD18" s="241"/>
      <c r="AE18" s="241"/>
      <c r="AF18" s="241"/>
      <c r="AG18" s="241"/>
      <c r="AH18" s="241"/>
      <c r="AI18" s="241"/>
      <c r="AJ18" s="241"/>
      <c r="AK18" s="241"/>
      <c r="AL18" s="241"/>
      <c r="AM18" s="241"/>
      <c r="AN18" s="241"/>
      <c r="AO18" s="241"/>
      <c r="AP18" s="241"/>
      <c r="AQ18" s="241"/>
      <c r="AR18" s="241"/>
      <c r="AS18" s="241"/>
      <c r="AT18" s="241"/>
      <c r="AU18" s="241"/>
      <c r="AV18" s="241"/>
      <c r="AW18" s="241"/>
      <c r="AX18" s="241"/>
      <c r="AY18" s="241"/>
      <c r="AZ18" s="241"/>
      <c r="BA18" s="241"/>
      <c r="BB18" s="241"/>
      <c r="BC18" s="241"/>
      <c r="BD18" s="241"/>
      <c r="BE18" s="241"/>
      <c r="BF18" s="241"/>
      <c r="BG18" s="241"/>
      <c r="BH18" s="241"/>
      <c r="BI18" s="241"/>
      <c r="BJ18" s="241"/>
      <c r="BK18" s="241"/>
      <c r="BL18" s="241"/>
      <c r="BM18" s="241"/>
    </row>
    <row r="19" spans="1:65" ht="13.5" customHeight="1" x14ac:dyDescent="0.3">
      <c r="A19" s="241"/>
      <c r="B19" s="241"/>
      <c r="C19" s="241"/>
      <c r="D19" s="241"/>
      <c r="E19" s="241"/>
      <c r="F19" s="241"/>
      <c r="G19" s="241"/>
      <c r="H19" s="241"/>
      <c r="I19" s="241"/>
      <c r="J19" s="241"/>
      <c r="K19" s="241"/>
      <c r="L19" s="241"/>
      <c r="M19" s="241"/>
      <c r="N19" s="241"/>
      <c r="O19" s="241"/>
      <c r="P19" s="241"/>
      <c r="Q19" s="241"/>
      <c r="R19" s="241"/>
      <c r="S19" s="241"/>
      <c r="T19" s="241"/>
      <c r="U19" s="241"/>
      <c r="V19" s="241"/>
      <c r="W19" s="241"/>
      <c r="X19" s="241"/>
      <c r="Y19" s="241"/>
      <c r="Z19" s="241"/>
      <c r="AA19" s="241"/>
      <c r="AB19" s="241"/>
      <c r="AC19" s="241"/>
      <c r="AD19" s="241"/>
      <c r="AE19" s="241"/>
      <c r="AF19" s="241"/>
      <c r="AG19" s="241"/>
      <c r="AH19" s="241"/>
      <c r="AI19" s="241"/>
      <c r="AJ19" s="241"/>
      <c r="AK19" s="241"/>
      <c r="AL19" s="241"/>
      <c r="AM19" s="241"/>
      <c r="AN19" s="241"/>
      <c r="AO19" s="241"/>
      <c r="AP19" s="241"/>
      <c r="AQ19" s="241"/>
      <c r="AR19" s="241"/>
      <c r="AS19" s="241"/>
      <c r="AT19" s="241"/>
      <c r="AU19" s="241"/>
      <c r="AV19" s="241"/>
      <c r="AW19" s="241"/>
      <c r="AX19" s="241"/>
      <c r="AY19" s="241"/>
      <c r="AZ19" s="241"/>
      <c r="BA19" s="241"/>
      <c r="BB19" s="241"/>
      <c r="BC19" s="241"/>
      <c r="BD19" s="241"/>
      <c r="BE19" s="241"/>
      <c r="BF19" s="241"/>
      <c r="BG19" s="241"/>
      <c r="BH19" s="241"/>
      <c r="BI19" s="241"/>
      <c r="BJ19" s="241"/>
      <c r="BK19" s="241"/>
      <c r="BL19" s="241"/>
      <c r="BM19" s="241"/>
    </row>
    <row r="20" spans="1:65" ht="13.5" customHeight="1" x14ac:dyDescent="0.3">
      <c r="A20" s="241"/>
      <c r="B20" s="241"/>
      <c r="C20" s="241"/>
      <c r="D20" s="241"/>
      <c r="E20" s="241"/>
      <c r="F20" s="241"/>
      <c r="G20" s="241"/>
      <c r="H20" s="241"/>
      <c r="I20" s="241"/>
      <c r="J20" s="241"/>
      <c r="K20" s="241"/>
      <c r="L20" s="241"/>
      <c r="M20" s="241"/>
      <c r="N20" s="241"/>
      <c r="O20" s="241"/>
      <c r="P20" s="241"/>
      <c r="Q20" s="241"/>
      <c r="R20" s="241"/>
      <c r="S20" s="241"/>
      <c r="T20" s="241"/>
      <c r="U20" s="241"/>
      <c r="V20" s="241"/>
      <c r="W20" s="241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1"/>
      <c r="AI20" s="241"/>
      <c r="AJ20" s="241"/>
      <c r="AK20" s="241"/>
      <c r="AL20" s="241"/>
      <c r="AM20" s="241"/>
      <c r="AN20" s="241"/>
      <c r="AO20" s="241"/>
      <c r="AP20" s="241"/>
      <c r="AQ20" s="241"/>
      <c r="AR20" s="241"/>
      <c r="AS20" s="241"/>
      <c r="AT20" s="241"/>
      <c r="AU20" s="241"/>
      <c r="AV20" s="241"/>
      <c r="AW20" s="241"/>
      <c r="AX20" s="241"/>
      <c r="AY20" s="241"/>
      <c r="AZ20" s="241"/>
      <c r="BA20" s="241"/>
      <c r="BB20" s="241"/>
      <c r="BC20" s="241"/>
      <c r="BD20" s="241"/>
      <c r="BE20" s="241"/>
      <c r="BF20" s="241"/>
      <c r="BG20" s="241"/>
      <c r="BH20" s="241"/>
      <c r="BI20" s="241"/>
      <c r="BJ20" s="241"/>
      <c r="BK20" s="241"/>
      <c r="BL20" s="241"/>
      <c r="BM20" s="241"/>
    </row>
    <row r="21" spans="1:65" ht="13.5" customHeight="1" x14ac:dyDescent="0.3">
      <c r="A21" s="241"/>
      <c r="B21" s="241"/>
      <c r="C21" s="241"/>
      <c r="D21" s="241"/>
      <c r="E21" s="241"/>
      <c r="F21" s="241"/>
      <c r="G21" s="241"/>
      <c r="H21" s="241"/>
      <c r="I21" s="241"/>
      <c r="J21" s="241"/>
      <c r="K21" s="241"/>
      <c r="L21" s="241"/>
      <c r="M21" s="241"/>
      <c r="N21" s="241"/>
      <c r="O21" s="241"/>
      <c r="P21" s="241"/>
      <c r="Q21" s="241"/>
      <c r="R21" s="241"/>
      <c r="S21" s="241"/>
      <c r="T21" s="241"/>
      <c r="U21" s="241"/>
      <c r="V21" s="241"/>
      <c r="W21" s="241"/>
      <c r="X21" s="241"/>
      <c r="Y21" s="241"/>
      <c r="Z21" s="241"/>
      <c r="AA21" s="241"/>
      <c r="AB21" s="241"/>
      <c r="AC21" s="241"/>
      <c r="AD21" s="241"/>
      <c r="AE21" s="241"/>
      <c r="AF21" s="241"/>
      <c r="AG21" s="241"/>
      <c r="AH21" s="241"/>
      <c r="AI21" s="241"/>
      <c r="AJ21" s="241"/>
      <c r="AK21" s="241"/>
      <c r="AL21" s="241"/>
      <c r="AM21" s="241"/>
      <c r="AN21" s="241"/>
      <c r="AO21" s="241"/>
      <c r="AP21" s="241"/>
      <c r="AQ21" s="241"/>
      <c r="AR21" s="241"/>
      <c r="AS21" s="241"/>
      <c r="AT21" s="241"/>
      <c r="AU21" s="241"/>
      <c r="AV21" s="241"/>
      <c r="AW21" s="241"/>
      <c r="AX21" s="241"/>
      <c r="AY21" s="241"/>
      <c r="AZ21" s="241"/>
      <c r="BA21" s="241"/>
      <c r="BB21" s="241"/>
      <c r="BC21" s="241"/>
      <c r="BD21" s="241"/>
      <c r="BE21" s="241"/>
      <c r="BF21" s="241"/>
      <c r="BG21" s="241"/>
      <c r="BH21" s="241"/>
      <c r="BI21" s="241"/>
      <c r="BJ21" s="241"/>
      <c r="BK21" s="241"/>
      <c r="BL21" s="241"/>
      <c r="BM21" s="241"/>
    </row>
    <row r="22" spans="1:65" ht="13.5" customHeight="1" x14ac:dyDescent="0.3">
      <c r="A22" s="241"/>
      <c r="B22" s="241"/>
      <c r="C22" s="241"/>
      <c r="D22" s="241"/>
      <c r="E22" s="241"/>
      <c r="F22" s="241"/>
      <c r="G22" s="241"/>
      <c r="H22" s="241"/>
      <c r="I22" s="241"/>
      <c r="J22" s="241"/>
      <c r="K22" s="241"/>
      <c r="L22" s="241"/>
      <c r="M22" s="241"/>
      <c r="N22" s="241"/>
      <c r="O22" s="241"/>
      <c r="P22" s="241"/>
      <c r="Q22" s="241"/>
      <c r="R22" s="241"/>
      <c r="S22" s="241"/>
      <c r="T22" s="241"/>
      <c r="U22" s="241"/>
      <c r="V22" s="241"/>
      <c r="W22" s="241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  <c r="AH22" s="241"/>
      <c r="AI22" s="241"/>
      <c r="AJ22" s="241"/>
      <c r="AK22" s="241"/>
      <c r="AL22" s="241"/>
      <c r="AM22" s="241"/>
      <c r="AN22" s="241"/>
      <c r="AO22" s="241"/>
      <c r="AP22" s="241"/>
      <c r="AQ22" s="241"/>
      <c r="AR22" s="241"/>
      <c r="AS22" s="241"/>
      <c r="AT22" s="241"/>
      <c r="AU22" s="241"/>
      <c r="AV22" s="241"/>
      <c r="AW22" s="241"/>
      <c r="AX22" s="241"/>
      <c r="AY22" s="241"/>
      <c r="AZ22" s="241"/>
      <c r="BA22" s="241"/>
      <c r="BB22" s="241"/>
      <c r="BC22" s="241"/>
      <c r="BD22" s="241"/>
      <c r="BE22" s="241"/>
      <c r="BF22" s="241"/>
      <c r="BG22" s="241"/>
      <c r="BH22" s="241"/>
      <c r="BI22" s="241"/>
      <c r="BJ22" s="241"/>
      <c r="BK22" s="241"/>
      <c r="BL22" s="241"/>
      <c r="BM22" s="241"/>
    </row>
    <row r="23" spans="1:65" ht="13.5" customHeight="1" x14ac:dyDescent="0.3">
      <c r="A23" s="241"/>
      <c r="B23" s="241"/>
      <c r="C23" s="241"/>
      <c r="D23" s="241"/>
      <c r="E23" s="241"/>
      <c r="F23" s="241"/>
      <c r="G23" s="241"/>
      <c r="H23" s="241"/>
      <c r="I23" s="241"/>
      <c r="J23" s="241"/>
      <c r="K23" s="241"/>
      <c r="L23" s="241"/>
      <c r="M23" s="241"/>
      <c r="N23" s="241"/>
      <c r="O23" s="241"/>
      <c r="P23" s="241"/>
      <c r="Q23" s="241"/>
      <c r="R23" s="241"/>
      <c r="S23" s="241"/>
      <c r="T23" s="241"/>
      <c r="U23" s="241"/>
      <c r="V23" s="241"/>
      <c r="W23" s="241"/>
      <c r="X23" s="241"/>
      <c r="Y23" s="241"/>
      <c r="Z23" s="241"/>
      <c r="AA23" s="241"/>
      <c r="AB23" s="241"/>
      <c r="AC23" s="241"/>
      <c r="AD23" s="241"/>
      <c r="AE23" s="241"/>
      <c r="AF23" s="241"/>
      <c r="AG23" s="241"/>
      <c r="AH23" s="241"/>
      <c r="AI23" s="241"/>
      <c r="AJ23" s="241"/>
      <c r="AK23" s="241"/>
      <c r="AL23" s="241"/>
      <c r="AM23" s="241"/>
      <c r="AN23" s="241"/>
      <c r="AO23" s="241"/>
      <c r="AP23" s="241"/>
      <c r="AQ23" s="241"/>
      <c r="AR23" s="241"/>
      <c r="AS23" s="241"/>
      <c r="AT23" s="241"/>
      <c r="AU23" s="241"/>
      <c r="AV23" s="241"/>
      <c r="AW23" s="241"/>
      <c r="AX23" s="241"/>
      <c r="AY23" s="241"/>
      <c r="AZ23" s="241"/>
      <c r="BA23" s="241"/>
      <c r="BB23" s="241"/>
      <c r="BC23" s="241"/>
      <c r="BD23" s="241"/>
      <c r="BE23" s="241"/>
      <c r="BF23" s="241"/>
      <c r="BG23" s="241"/>
      <c r="BH23" s="241"/>
      <c r="BI23" s="241"/>
      <c r="BJ23" s="241"/>
      <c r="BK23" s="241"/>
      <c r="BL23" s="241"/>
      <c r="BM23" s="241"/>
    </row>
    <row r="24" spans="1:65" ht="13.5" customHeight="1" x14ac:dyDescent="0.3">
      <c r="A24" s="241"/>
      <c r="B24" s="241"/>
      <c r="C24" s="241"/>
      <c r="D24" s="241"/>
      <c r="E24" s="241"/>
      <c r="F24" s="241"/>
      <c r="G24" s="241"/>
      <c r="H24" s="241"/>
      <c r="I24" s="241"/>
      <c r="J24" s="241"/>
      <c r="K24" s="241"/>
      <c r="L24" s="241"/>
      <c r="M24" s="241"/>
      <c r="N24" s="241"/>
      <c r="O24" s="241"/>
      <c r="P24" s="241"/>
      <c r="Q24" s="241"/>
      <c r="R24" s="241"/>
      <c r="S24" s="241"/>
      <c r="T24" s="241"/>
      <c r="U24" s="241"/>
      <c r="V24" s="241"/>
      <c r="W24" s="241"/>
      <c r="X24" s="241"/>
      <c r="Y24" s="241"/>
      <c r="Z24" s="241"/>
      <c r="AA24" s="241"/>
      <c r="AB24" s="241"/>
      <c r="AC24" s="241"/>
      <c r="AD24" s="241"/>
      <c r="AE24" s="241"/>
      <c r="AF24" s="241"/>
      <c r="AG24" s="241"/>
      <c r="AH24" s="241"/>
      <c r="AI24" s="241"/>
      <c r="AJ24" s="241"/>
      <c r="AK24" s="241"/>
      <c r="AL24" s="241"/>
      <c r="AM24" s="241"/>
      <c r="AN24" s="241"/>
      <c r="AO24" s="241"/>
      <c r="AP24" s="241"/>
      <c r="AQ24" s="241"/>
      <c r="AR24" s="241"/>
      <c r="AS24" s="241"/>
      <c r="AT24" s="241"/>
      <c r="AU24" s="241"/>
      <c r="AV24" s="241"/>
      <c r="AW24" s="241"/>
      <c r="AX24" s="241"/>
      <c r="AY24" s="241"/>
      <c r="AZ24" s="241"/>
      <c r="BA24" s="241"/>
      <c r="BB24" s="241"/>
      <c r="BC24" s="241"/>
      <c r="BD24" s="241"/>
      <c r="BE24" s="241"/>
      <c r="BF24" s="241"/>
      <c r="BG24" s="241"/>
      <c r="BH24" s="241"/>
      <c r="BI24" s="241"/>
      <c r="BJ24" s="241"/>
      <c r="BK24" s="241"/>
      <c r="BL24" s="241"/>
      <c r="BM24" s="241"/>
    </row>
    <row r="25" spans="1:65" ht="13.5" customHeight="1" x14ac:dyDescent="0.3">
      <c r="A25" s="241"/>
      <c r="B25" s="241"/>
      <c r="C25" s="241"/>
      <c r="D25" s="241"/>
      <c r="E25" s="241"/>
      <c r="F25" s="241"/>
      <c r="G25" s="241"/>
      <c r="H25" s="241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Y25" s="241"/>
      <c r="Z25" s="241"/>
      <c r="AA25" s="241"/>
      <c r="AB25" s="241"/>
      <c r="AC25" s="241"/>
      <c r="AD25" s="241"/>
      <c r="AE25" s="241"/>
      <c r="AF25" s="241"/>
      <c r="AG25" s="241"/>
      <c r="AH25" s="241"/>
      <c r="AI25" s="241"/>
      <c r="AJ25" s="241"/>
      <c r="AK25" s="241"/>
      <c r="AL25" s="241"/>
      <c r="AM25" s="241"/>
      <c r="AN25" s="241"/>
      <c r="AO25" s="241"/>
      <c r="AP25" s="241"/>
      <c r="AQ25" s="241"/>
      <c r="AR25" s="241"/>
      <c r="AS25" s="241"/>
      <c r="AT25" s="241"/>
      <c r="AU25" s="241"/>
      <c r="AV25" s="241"/>
      <c r="AW25" s="241"/>
      <c r="AX25" s="241"/>
      <c r="AY25" s="241"/>
      <c r="AZ25" s="241"/>
      <c r="BA25" s="241"/>
      <c r="BB25" s="241"/>
      <c r="BC25" s="241"/>
      <c r="BD25" s="241"/>
      <c r="BE25" s="241"/>
      <c r="BF25" s="241"/>
      <c r="BG25" s="241"/>
      <c r="BH25" s="241"/>
      <c r="BI25" s="241"/>
      <c r="BJ25" s="241"/>
      <c r="BK25" s="241"/>
      <c r="BL25" s="241"/>
      <c r="BM25" s="241"/>
    </row>
    <row r="26" spans="1:65" ht="13.5" customHeight="1" x14ac:dyDescent="0.3">
      <c r="A26" s="241"/>
      <c r="B26" s="241"/>
      <c r="C26" s="241"/>
      <c r="D26" s="241"/>
      <c r="E26" s="241"/>
      <c r="F26" s="241"/>
      <c r="G26" s="241"/>
      <c r="H26" s="241"/>
      <c r="I26" s="241"/>
      <c r="J26" s="241"/>
      <c r="K26" s="241"/>
      <c r="L26" s="241"/>
      <c r="M26" s="241"/>
      <c r="N26" s="241"/>
      <c r="O26" s="241"/>
      <c r="P26" s="241"/>
      <c r="Q26" s="241"/>
      <c r="R26" s="241"/>
      <c r="S26" s="241"/>
      <c r="T26" s="241"/>
      <c r="U26" s="241"/>
      <c r="V26" s="241"/>
      <c r="W26" s="241"/>
      <c r="X26" s="241"/>
      <c r="Y26" s="241"/>
      <c r="Z26" s="241"/>
      <c r="AA26" s="241"/>
      <c r="AB26" s="241"/>
      <c r="AC26" s="241"/>
      <c r="AD26" s="241"/>
      <c r="AE26" s="241"/>
      <c r="AF26" s="241"/>
      <c r="AG26" s="241"/>
      <c r="AH26" s="241"/>
      <c r="AI26" s="241"/>
      <c r="AJ26" s="241"/>
      <c r="AK26" s="241"/>
      <c r="AL26" s="241"/>
      <c r="AM26" s="241"/>
      <c r="AN26" s="241"/>
      <c r="AO26" s="241"/>
      <c r="AP26" s="241"/>
      <c r="AQ26" s="241"/>
      <c r="AR26" s="241"/>
      <c r="AS26" s="241"/>
      <c r="AT26" s="241"/>
      <c r="AU26" s="241"/>
      <c r="AV26" s="241"/>
      <c r="AW26" s="241"/>
      <c r="AX26" s="241"/>
      <c r="AY26" s="241"/>
      <c r="AZ26" s="241"/>
      <c r="BA26" s="241"/>
      <c r="BB26" s="241"/>
      <c r="BC26" s="241"/>
      <c r="BD26" s="241"/>
      <c r="BE26" s="241"/>
      <c r="BF26" s="241"/>
      <c r="BG26" s="241"/>
      <c r="BH26" s="241"/>
      <c r="BI26" s="241"/>
      <c r="BJ26" s="241"/>
      <c r="BK26" s="241"/>
      <c r="BL26" s="241"/>
      <c r="BM26" s="241"/>
    </row>
    <row r="27" spans="1:65" ht="13.5" customHeight="1" x14ac:dyDescent="0.3">
      <c r="A27" s="241"/>
      <c r="B27" s="241"/>
      <c r="C27" s="241"/>
      <c r="D27" s="241"/>
      <c r="E27" s="241"/>
      <c r="F27" s="241"/>
      <c r="G27" s="241"/>
      <c r="H27" s="241"/>
      <c r="I27" s="241"/>
      <c r="J27" s="241"/>
      <c r="K27" s="241"/>
      <c r="L27" s="241"/>
      <c r="M27" s="241"/>
      <c r="N27" s="241"/>
      <c r="O27" s="241"/>
      <c r="P27" s="241"/>
      <c r="Q27" s="241"/>
      <c r="R27" s="241"/>
      <c r="S27" s="241"/>
      <c r="T27" s="241"/>
      <c r="U27" s="241"/>
      <c r="V27" s="241"/>
      <c r="W27" s="241"/>
      <c r="X27" s="241"/>
      <c r="Y27" s="241"/>
      <c r="Z27" s="241"/>
      <c r="AA27" s="241"/>
      <c r="AB27" s="241"/>
      <c r="AC27" s="241"/>
      <c r="AD27" s="241"/>
      <c r="AE27" s="241"/>
      <c r="AF27" s="241"/>
      <c r="AG27" s="241"/>
      <c r="AH27" s="241"/>
      <c r="AI27" s="241"/>
      <c r="AJ27" s="241"/>
      <c r="AK27" s="241"/>
      <c r="AL27" s="241"/>
      <c r="AM27" s="241"/>
      <c r="AN27" s="241"/>
      <c r="AO27" s="241"/>
      <c r="AP27" s="241"/>
      <c r="AQ27" s="241"/>
      <c r="AR27" s="241"/>
      <c r="AS27" s="241"/>
      <c r="AT27" s="241"/>
      <c r="AU27" s="241"/>
      <c r="AV27" s="241"/>
      <c r="AW27" s="241"/>
      <c r="AX27" s="241"/>
      <c r="AY27" s="241"/>
      <c r="AZ27" s="241"/>
      <c r="BA27" s="241"/>
      <c r="BB27" s="241"/>
      <c r="BC27" s="241"/>
      <c r="BD27" s="241"/>
      <c r="BE27" s="241"/>
      <c r="BF27" s="241"/>
      <c r="BG27" s="241"/>
      <c r="BH27" s="241"/>
      <c r="BI27" s="241"/>
      <c r="BJ27" s="241"/>
      <c r="BK27" s="241"/>
      <c r="BL27" s="241"/>
      <c r="BM27" s="241"/>
    </row>
    <row r="28" spans="1:65" ht="13.5" customHeight="1" x14ac:dyDescent="0.3">
      <c r="A28" s="241"/>
      <c r="B28" s="241"/>
      <c r="C28" s="241"/>
      <c r="D28" s="241"/>
      <c r="E28" s="241"/>
      <c r="F28" s="241"/>
      <c r="G28" s="241"/>
      <c r="H28" s="241"/>
      <c r="I28" s="241"/>
      <c r="J28" s="241"/>
      <c r="K28" s="241"/>
      <c r="L28" s="241"/>
      <c r="M28" s="241"/>
      <c r="N28" s="241"/>
      <c r="O28" s="241"/>
      <c r="P28" s="241"/>
      <c r="Q28" s="241"/>
      <c r="R28" s="241"/>
      <c r="S28" s="241"/>
      <c r="T28" s="241"/>
      <c r="U28" s="241"/>
      <c r="V28" s="241"/>
      <c r="W28" s="241"/>
      <c r="X28" s="241"/>
      <c r="Y28" s="241"/>
      <c r="Z28" s="241"/>
      <c r="AA28" s="241"/>
      <c r="AB28" s="241"/>
      <c r="AC28" s="241"/>
      <c r="AD28" s="241"/>
      <c r="AE28" s="241"/>
      <c r="AF28" s="241"/>
      <c r="AG28" s="241"/>
      <c r="AH28" s="241"/>
      <c r="AI28" s="241"/>
      <c r="AJ28" s="241"/>
      <c r="AK28" s="241"/>
      <c r="AL28" s="241"/>
      <c r="AM28" s="241"/>
      <c r="AN28" s="241"/>
      <c r="AO28" s="241"/>
      <c r="AP28" s="241"/>
      <c r="AQ28" s="241"/>
      <c r="AR28" s="241"/>
      <c r="AS28" s="241"/>
      <c r="AT28" s="241"/>
      <c r="AU28" s="241"/>
      <c r="AV28" s="241"/>
      <c r="AW28" s="241"/>
      <c r="AX28" s="241"/>
      <c r="AY28" s="241"/>
      <c r="AZ28" s="241"/>
      <c r="BA28" s="241"/>
      <c r="BB28" s="241"/>
      <c r="BC28" s="241"/>
      <c r="BD28" s="241"/>
      <c r="BE28" s="241"/>
      <c r="BF28" s="241"/>
      <c r="BG28" s="241"/>
      <c r="BH28" s="241"/>
      <c r="BI28" s="241"/>
      <c r="BJ28" s="241"/>
      <c r="BK28" s="241"/>
      <c r="BL28" s="241"/>
      <c r="BM28" s="241"/>
    </row>
    <row r="29" spans="1:65" ht="13.5" customHeight="1" x14ac:dyDescent="0.3">
      <c r="A29" s="241"/>
      <c r="B29" s="241"/>
      <c r="C29" s="241"/>
      <c r="D29" s="241"/>
      <c r="E29" s="241"/>
      <c r="F29" s="241"/>
      <c r="G29" s="241"/>
      <c r="H29" s="241"/>
      <c r="I29" s="241"/>
      <c r="J29" s="241"/>
      <c r="K29" s="241"/>
      <c r="L29" s="241"/>
      <c r="M29" s="241"/>
      <c r="N29" s="241"/>
      <c r="O29" s="241"/>
      <c r="P29" s="241"/>
      <c r="Q29" s="241"/>
      <c r="R29" s="241"/>
      <c r="S29" s="241"/>
      <c r="T29" s="241"/>
      <c r="U29" s="241"/>
      <c r="V29" s="241"/>
      <c r="W29" s="241"/>
      <c r="X29" s="241"/>
      <c r="Y29" s="241"/>
      <c r="Z29" s="241"/>
      <c r="AA29" s="241"/>
      <c r="AB29" s="241"/>
      <c r="AC29" s="241"/>
      <c r="AD29" s="241"/>
      <c r="AE29" s="241"/>
      <c r="AF29" s="241"/>
      <c r="AG29" s="241"/>
      <c r="AH29" s="241"/>
      <c r="AI29" s="241"/>
      <c r="AJ29" s="241"/>
      <c r="AK29" s="241"/>
      <c r="AL29" s="241"/>
      <c r="AM29" s="241"/>
      <c r="AN29" s="241"/>
      <c r="AO29" s="241"/>
      <c r="AP29" s="241"/>
      <c r="AQ29" s="241"/>
      <c r="AR29" s="241"/>
      <c r="AS29" s="241"/>
      <c r="AT29" s="241"/>
      <c r="AU29" s="241"/>
      <c r="AV29" s="241"/>
      <c r="AW29" s="241"/>
      <c r="AX29" s="241"/>
      <c r="AY29" s="241"/>
      <c r="AZ29" s="241"/>
      <c r="BA29" s="241"/>
      <c r="BB29" s="241"/>
      <c r="BC29" s="241"/>
      <c r="BD29" s="241"/>
      <c r="BE29" s="241"/>
      <c r="BF29" s="241"/>
      <c r="BG29" s="241"/>
      <c r="BH29" s="241"/>
      <c r="BI29" s="241"/>
      <c r="BJ29" s="241"/>
      <c r="BK29" s="241"/>
      <c r="BL29" s="241"/>
      <c r="BM29" s="241"/>
    </row>
    <row r="30" spans="1:65" ht="13.5" customHeight="1" x14ac:dyDescent="0.3">
      <c r="A30" s="241"/>
      <c r="B30" s="241"/>
      <c r="C30" s="241"/>
      <c r="D30" s="241"/>
      <c r="E30" s="241"/>
      <c r="F30" s="241"/>
      <c r="G30" s="241"/>
      <c r="H30" s="241"/>
      <c r="I30" s="241"/>
      <c r="J30" s="241"/>
      <c r="K30" s="241"/>
      <c r="L30" s="241"/>
      <c r="M30" s="241"/>
      <c r="N30" s="241"/>
      <c r="O30" s="241"/>
      <c r="P30" s="241"/>
      <c r="Q30" s="241"/>
      <c r="R30" s="241"/>
      <c r="S30" s="241"/>
      <c r="T30" s="241"/>
      <c r="U30" s="241"/>
      <c r="V30" s="241"/>
      <c r="W30" s="241"/>
      <c r="X30" s="241"/>
      <c r="Y30" s="241"/>
      <c r="Z30" s="241"/>
      <c r="AA30" s="241"/>
      <c r="AB30" s="241"/>
      <c r="AC30" s="241"/>
      <c r="AD30" s="241"/>
      <c r="AE30" s="241"/>
      <c r="AF30" s="241"/>
      <c r="AG30" s="241"/>
      <c r="AH30" s="241"/>
      <c r="AI30" s="241"/>
      <c r="AJ30" s="241"/>
      <c r="AK30" s="241"/>
      <c r="AL30" s="241"/>
      <c r="AM30" s="241"/>
      <c r="AN30" s="241"/>
      <c r="AO30" s="241"/>
      <c r="AP30" s="241"/>
      <c r="AQ30" s="241"/>
      <c r="AR30" s="241"/>
      <c r="AS30" s="241"/>
      <c r="AT30" s="241"/>
      <c r="AU30" s="241"/>
      <c r="AV30" s="241"/>
      <c r="AW30" s="241"/>
      <c r="AX30" s="241"/>
      <c r="AY30" s="241"/>
      <c r="AZ30" s="241"/>
      <c r="BA30" s="241"/>
      <c r="BB30" s="241"/>
      <c r="BC30" s="241"/>
      <c r="BD30" s="241"/>
      <c r="BE30" s="241"/>
      <c r="BF30" s="241"/>
      <c r="BG30" s="241"/>
      <c r="BH30" s="241"/>
      <c r="BI30" s="241"/>
      <c r="BJ30" s="241"/>
      <c r="BK30" s="241"/>
      <c r="BL30" s="241"/>
      <c r="BM30" s="241"/>
    </row>
    <row r="31" spans="1:65" ht="13.5" customHeight="1" x14ac:dyDescent="0.3">
      <c r="A31" s="241"/>
      <c r="B31" s="241"/>
      <c r="C31" s="241"/>
      <c r="D31" s="241"/>
      <c r="E31" s="241"/>
      <c r="F31" s="241"/>
      <c r="G31" s="241"/>
      <c r="H31" s="241"/>
      <c r="I31" s="241"/>
      <c r="J31" s="241"/>
      <c r="K31" s="241"/>
      <c r="L31" s="241"/>
      <c r="M31" s="241"/>
      <c r="N31" s="241"/>
      <c r="O31" s="241"/>
      <c r="P31" s="241"/>
      <c r="Q31" s="241"/>
      <c r="R31" s="241"/>
      <c r="S31" s="241"/>
      <c r="T31" s="241"/>
      <c r="U31" s="241"/>
      <c r="V31" s="241"/>
      <c r="W31" s="241"/>
      <c r="X31" s="241"/>
      <c r="Y31" s="241"/>
      <c r="Z31" s="241"/>
      <c r="AA31" s="241"/>
      <c r="AB31" s="241"/>
      <c r="AC31" s="241"/>
      <c r="AD31" s="241"/>
      <c r="AE31" s="241"/>
      <c r="AF31" s="241"/>
      <c r="AG31" s="241"/>
      <c r="AH31" s="241"/>
      <c r="AI31" s="241"/>
      <c r="AJ31" s="241"/>
      <c r="AK31" s="241"/>
      <c r="AL31" s="241"/>
      <c r="AM31" s="241"/>
      <c r="AN31" s="241"/>
      <c r="AO31" s="241"/>
      <c r="AP31" s="241"/>
      <c r="AQ31" s="241"/>
      <c r="AR31" s="241"/>
      <c r="AS31" s="241"/>
      <c r="AT31" s="241"/>
      <c r="AU31" s="241"/>
      <c r="AV31" s="241"/>
      <c r="AW31" s="241"/>
      <c r="AX31" s="241"/>
      <c r="AY31" s="241"/>
      <c r="AZ31" s="241"/>
      <c r="BA31" s="241"/>
      <c r="BB31" s="241"/>
      <c r="BC31" s="241"/>
      <c r="BD31" s="241"/>
      <c r="BE31" s="241"/>
      <c r="BF31" s="241"/>
      <c r="BG31" s="241"/>
      <c r="BH31" s="241"/>
      <c r="BI31" s="241"/>
      <c r="BJ31" s="241"/>
      <c r="BK31" s="241"/>
      <c r="BL31" s="241"/>
      <c r="BM31" s="241"/>
    </row>
    <row r="32" spans="1:65" ht="13.5" customHeight="1" x14ac:dyDescent="0.3">
      <c r="A32" s="241"/>
      <c r="B32" s="241"/>
      <c r="C32" s="241"/>
      <c r="D32" s="241"/>
      <c r="E32" s="241"/>
      <c r="F32" s="241"/>
      <c r="G32" s="241"/>
      <c r="H32" s="241"/>
      <c r="I32" s="241"/>
      <c r="J32" s="241"/>
      <c r="K32" s="241"/>
      <c r="L32" s="241"/>
      <c r="M32" s="241"/>
      <c r="N32" s="241"/>
      <c r="O32" s="241"/>
      <c r="P32" s="241"/>
      <c r="Q32" s="241"/>
      <c r="R32" s="241"/>
      <c r="S32" s="241"/>
      <c r="T32" s="241"/>
      <c r="U32" s="241"/>
      <c r="V32" s="241"/>
      <c r="W32" s="241"/>
      <c r="X32" s="241"/>
      <c r="Y32" s="241"/>
      <c r="Z32" s="241"/>
      <c r="AA32" s="241"/>
      <c r="AB32" s="241"/>
      <c r="AC32" s="241"/>
      <c r="AD32" s="241"/>
      <c r="AE32" s="241"/>
      <c r="AF32" s="241"/>
      <c r="AG32" s="241"/>
      <c r="AH32" s="241"/>
      <c r="AI32" s="241"/>
      <c r="AJ32" s="241"/>
      <c r="AK32" s="241"/>
      <c r="AL32" s="241"/>
      <c r="AM32" s="241"/>
      <c r="AN32" s="241"/>
      <c r="AO32" s="241"/>
      <c r="AP32" s="241"/>
      <c r="AQ32" s="241"/>
      <c r="AR32" s="241"/>
      <c r="AS32" s="241"/>
      <c r="AT32" s="241"/>
      <c r="AU32" s="241"/>
      <c r="AV32" s="241"/>
      <c r="AW32" s="241"/>
      <c r="AX32" s="241"/>
      <c r="AY32" s="241"/>
      <c r="AZ32" s="241"/>
      <c r="BA32" s="241"/>
      <c r="BB32" s="241"/>
      <c r="BC32" s="241"/>
      <c r="BD32" s="241"/>
      <c r="BE32" s="241"/>
      <c r="BF32" s="241"/>
      <c r="BG32" s="241"/>
      <c r="BH32" s="241"/>
      <c r="BI32" s="241"/>
      <c r="BJ32" s="241"/>
      <c r="BK32" s="241"/>
      <c r="BL32" s="241"/>
      <c r="BM32" s="241"/>
    </row>
    <row r="33" spans="1:65" ht="13.5" customHeight="1" x14ac:dyDescent="0.3">
      <c r="A33" s="241"/>
      <c r="B33" s="241"/>
      <c r="C33" s="241"/>
      <c r="D33" s="241"/>
      <c r="E33" s="241"/>
      <c r="F33" s="241"/>
      <c r="G33" s="241"/>
      <c r="H33" s="241"/>
      <c r="I33" s="241"/>
      <c r="J33" s="241"/>
      <c r="K33" s="241"/>
      <c r="L33" s="241"/>
      <c r="M33" s="241"/>
      <c r="N33" s="241"/>
      <c r="O33" s="241"/>
      <c r="P33" s="241"/>
      <c r="Q33" s="241"/>
      <c r="R33" s="241"/>
      <c r="S33" s="241"/>
      <c r="T33" s="241"/>
      <c r="U33" s="241"/>
      <c r="V33" s="241"/>
      <c r="W33" s="241"/>
      <c r="X33" s="241"/>
      <c r="Y33" s="241"/>
      <c r="Z33" s="241"/>
      <c r="AA33" s="241"/>
      <c r="AB33" s="241"/>
      <c r="AC33" s="241"/>
      <c r="AD33" s="241"/>
      <c r="AE33" s="241"/>
      <c r="AF33" s="241"/>
      <c r="AG33" s="241"/>
      <c r="AH33" s="241"/>
      <c r="AI33" s="241"/>
      <c r="AJ33" s="241"/>
      <c r="AK33" s="241"/>
      <c r="AL33" s="241"/>
      <c r="AM33" s="241"/>
      <c r="AN33" s="241"/>
      <c r="AO33" s="241"/>
      <c r="AP33" s="241"/>
      <c r="AQ33" s="241"/>
      <c r="AR33" s="241"/>
      <c r="AS33" s="241"/>
      <c r="AT33" s="241"/>
      <c r="AU33" s="241"/>
      <c r="AV33" s="241"/>
      <c r="AW33" s="241"/>
      <c r="AX33" s="241"/>
      <c r="AY33" s="241"/>
      <c r="AZ33" s="241"/>
      <c r="BA33" s="241"/>
      <c r="BB33" s="241"/>
      <c r="BC33" s="241"/>
      <c r="BD33" s="241"/>
      <c r="BE33" s="241"/>
      <c r="BF33" s="241"/>
      <c r="BG33" s="241"/>
      <c r="BH33" s="241"/>
      <c r="BI33" s="241"/>
      <c r="BJ33" s="241"/>
      <c r="BK33" s="241"/>
      <c r="BL33" s="241"/>
      <c r="BM33" s="241"/>
    </row>
    <row r="34" spans="1:65" ht="13.5" customHeight="1" x14ac:dyDescent="0.3">
      <c r="A34" s="241"/>
      <c r="B34" s="241"/>
      <c r="C34" s="241"/>
      <c r="D34" s="241"/>
      <c r="E34" s="241"/>
      <c r="F34" s="241"/>
      <c r="G34" s="241"/>
      <c r="H34" s="241"/>
      <c r="I34" s="241"/>
      <c r="J34" s="241"/>
      <c r="K34" s="241"/>
      <c r="L34" s="241"/>
      <c r="M34" s="241"/>
      <c r="N34" s="241"/>
      <c r="O34" s="241"/>
      <c r="P34" s="241"/>
      <c r="Q34" s="241"/>
      <c r="R34" s="241"/>
      <c r="S34" s="241"/>
      <c r="T34" s="241"/>
      <c r="U34" s="241"/>
      <c r="V34" s="241"/>
      <c r="W34" s="241"/>
      <c r="X34" s="241"/>
      <c r="Y34" s="241"/>
      <c r="Z34" s="241"/>
      <c r="AA34" s="241"/>
      <c r="AB34" s="241"/>
      <c r="AC34" s="241"/>
      <c r="AD34" s="241"/>
      <c r="AE34" s="241"/>
      <c r="AF34" s="241"/>
      <c r="AG34" s="241"/>
      <c r="AH34" s="241"/>
      <c r="AI34" s="241"/>
      <c r="AJ34" s="241"/>
      <c r="AK34" s="241"/>
      <c r="AL34" s="241"/>
      <c r="AM34" s="241"/>
      <c r="AN34" s="241"/>
      <c r="AO34" s="241"/>
      <c r="AP34" s="241"/>
      <c r="AQ34" s="241"/>
      <c r="AR34" s="241"/>
      <c r="AS34" s="241"/>
      <c r="AT34" s="241"/>
      <c r="AU34" s="241"/>
      <c r="AV34" s="241"/>
      <c r="AW34" s="241"/>
      <c r="AX34" s="241"/>
      <c r="AY34" s="241"/>
      <c r="AZ34" s="241"/>
      <c r="BA34" s="241"/>
      <c r="BB34" s="241"/>
      <c r="BC34" s="241"/>
      <c r="BD34" s="241"/>
      <c r="BE34" s="241"/>
      <c r="BF34" s="241"/>
      <c r="BG34" s="241"/>
      <c r="BH34" s="241"/>
      <c r="BI34" s="241"/>
      <c r="BJ34" s="241"/>
      <c r="BK34" s="241"/>
      <c r="BL34" s="241"/>
      <c r="BM34" s="241"/>
    </row>
    <row r="35" spans="1:65" ht="13.5" customHeight="1" x14ac:dyDescent="0.3">
      <c r="A35" s="241"/>
      <c r="B35" s="241"/>
      <c r="C35" s="241"/>
      <c r="D35" s="241"/>
      <c r="E35" s="241"/>
      <c r="F35" s="241"/>
      <c r="G35" s="241"/>
      <c r="H35" s="241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Y35" s="241"/>
      <c r="Z35" s="241"/>
      <c r="AA35" s="241"/>
      <c r="AB35" s="241"/>
      <c r="AC35" s="241"/>
      <c r="AD35" s="241"/>
      <c r="AE35" s="241"/>
      <c r="AF35" s="241"/>
      <c r="AG35" s="241"/>
      <c r="AH35" s="241"/>
      <c r="AI35" s="241"/>
      <c r="AJ35" s="241"/>
      <c r="AK35" s="241"/>
      <c r="AL35" s="241"/>
      <c r="AM35" s="241"/>
      <c r="AN35" s="241"/>
      <c r="AO35" s="241"/>
      <c r="AP35" s="241"/>
      <c r="AQ35" s="241"/>
      <c r="AR35" s="241"/>
      <c r="AS35" s="241"/>
      <c r="AT35" s="241"/>
      <c r="AU35" s="241"/>
      <c r="AV35" s="241"/>
      <c r="AW35" s="241"/>
      <c r="AX35" s="241"/>
      <c r="AY35" s="241"/>
      <c r="AZ35" s="241"/>
      <c r="BA35" s="241"/>
      <c r="BB35" s="241"/>
      <c r="BC35" s="241"/>
      <c r="BD35" s="241"/>
      <c r="BE35" s="241"/>
      <c r="BF35" s="241"/>
      <c r="BG35" s="241"/>
      <c r="BH35" s="241"/>
      <c r="BI35" s="241"/>
      <c r="BJ35" s="241"/>
      <c r="BK35" s="241"/>
      <c r="BL35" s="241"/>
      <c r="BM35" s="241"/>
    </row>
    <row r="36" spans="1:65" ht="13.5" customHeight="1" x14ac:dyDescent="0.3">
      <c r="A36" s="241"/>
      <c r="B36" s="241"/>
      <c r="C36" s="241"/>
      <c r="D36" s="241"/>
      <c r="E36" s="241"/>
      <c r="F36" s="241"/>
      <c r="G36" s="241"/>
      <c r="H36" s="241"/>
      <c r="I36" s="241"/>
      <c r="J36" s="241"/>
      <c r="K36" s="241"/>
      <c r="L36" s="241"/>
      <c r="M36" s="241"/>
      <c r="N36" s="241"/>
      <c r="O36" s="241"/>
      <c r="P36" s="241"/>
      <c r="Q36" s="241"/>
      <c r="R36" s="241"/>
      <c r="S36" s="241"/>
      <c r="T36" s="241"/>
      <c r="U36" s="241"/>
      <c r="V36" s="241"/>
      <c r="W36" s="241"/>
      <c r="X36" s="241"/>
      <c r="Y36" s="241"/>
      <c r="Z36" s="241"/>
      <c r="AA36" s="241"/>
      <c r="AB36" s="241"/>
      <c r="AC36" s="241"/>
      <c r="AD36" s="241"/>
      <c r="AE36" s="241"/>
      <c r="AF36" s="241"/>
      <c r="AG36" s="241"/>
      <c r="AH36" s="241"/>
      <c r="AI36" s="241"/>
      <c r="AJ36" s="241"/>
      <c r="AK36" s="241"/>
      <c r="AL36" s="241"/>
      <c r="AM36" s="241"/>
      <c r="AN36" s="241"/>
      <c r="AO36" s="241"/>
      <c r="AP36" s="241"/>
      <c r="AQ36" s="241"/>
      <c r="AR36" s="241"/>
      <c r="AS36" s="241"/>
      <c r="AT36" s="241"/>
      <c r="AU36" s="241"/>
      <c r="AV36" s="241"/>
      <c r="AW36" s="241"/>
      <c r="AX36" s="241"/>
      <c r="AY36" s="241"/>
      <c r="AZ36" s="241"/>
      <c r="BA36" s="241"/>
      <c r="BB36" s="241"/>
      <c r="BC36" s="241"/>
      <c r="BD36" s="241"/>
      <c r="BE36" s="241"/>
      <c r="BF36" s="241"/>
      <c r="BG36" s="241"/>
      <c r="BH36" s="241"/>
      <c r="BI36" s="241"/>
      <c r="BJ36" s="241"/>
      <c r="BK36" s="241"/>
      <c r="BL36" s="241"/>
      <c r="BM36" s="241"/>
    </row>
    <row r="37" spans="1:65" ht="13.5" customHeight="1" x14ac:dyDescent="0.3">
      <c r="A37" s="241"/>
      <c r="B37" s="241"/>
      <c r="C37" s="241"/>
      <c r="D37" s="241"/>
      <c r="E37" s="241"/>
      <c r="F37" s="241"/>
      <c r="G37" s="241"/>
      <c r="H37" s="241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Y37" s="241"/>
      <c r="Z37" s="241"/>
      <c r="AA37" s="241"/>
      <c r="AB37" s="241"/>
      <c r="AC37" s="241"/>
      <c r="AD37" s="241"/>
      <c r="AE37" s="241"/>
      <c r="AF37" s="241"/>
      <c r="AG37" s="241"/>
      <c r="AH37" s="241"/>
      <c r="AI37" s="241"/>
      <c r="AJ37" s="241"/>
      <c r="AK37" s="241"/>
      <c r="AL37" s="241"/>
      <c r="AM37" s="241"/>
      <c r="AN37" s="241"/>
      <c r="AO37" s="241"/>
      <c r="AP37" s="241"/>
      <c r="AQ37" s="241"/>
      <c r="AR37" s="241"/>
      <c r="AS37" s="241"/>
      <c r="AT37" s="241"/>
      <c r="AU37" s="241"/>
      <c r="AV37" s="241"/>
      <c r="AW37" s="241"/>
      <c r="AX37" s="241"/>
      <c r="AY37" s="241"/>
      <c r="AZ37" s="241"/>
      <c r="BA37" s="241"/>
      <c r="BB37" s="241"/>
      <c r="BC37" s="241"/>
      <c r="BD37" s="241"/>
      <c r="BE37" s="241"/>
      <c r="BF37" s="241"/>
      <c r="BG37" s="241"/>
      <c r="BH37" s="241"/>
      <c r="BI37" s="241"/>
      <c r="BJ37" s="241"/>
      <c r="BK37" s="241"/>
      <c r="BL37" s="241"/>
      <c r="BM37" s="241"/>
    </row>
    <row r="38" spans="1:65" ht="13.5" customHeight="1" x14ac:dyDescent="0.3">
      <c r="A38" s="241"/>
      <c r="B38" s="241"/>
      <c r="C38" s="241"/>
      <c r="D38" s="241"/>
      <c r="E38" s="241"/>
      <c r="F38" s="241"/>
      <c r="G38" s="241"/>
      <c r="H38" s="241"/>
      <c r="I38" s="241"/>
      <c r="J38" s="241"/>
      <c r="K38" s="241"/>
      <c r="L38" s="241"/>
      <c r="M38" s="241"/>
      <c r="N38" s="241"/>
      <c r="O38" s="241"/>
      <c r="P38" s="241"/>
      <c r="Q38" s="241"/>
      <c r="R38" s="241"/>
      <c r="S38" s="241"/>
      <c r="T38" s="241"/>
      <c r="U38" s="241"/>
      <c r="V38" s="241"/>
      <c r="W38" s="241"/>
      <c r="X38" s="241"/>
      <c r="Y38" s="241"/>
      <c r="Z38" s="241"/>
      <c r="AA38" s="241"/>
      <c r="AB38" s="241"/>
      <c r="AC38" s="241"/>
      <c r="AD38" s="241"/>
      <c r="AE38" s="241"/>
      <c r="AF38" s="241"/>
      <c r="AG38" s="241"/>
      <c r="AH38" s="241"/>
      <c r="AI38" s="241"/>
      <c r="AJ38" s="241"/>
      <c r="AK38" s="241"/>
      <c r="AL38" s="241"/>
      <c r="AM38" s="241"/>
      <c r="AN38" s="241"/>
      <c r="AO38" s="241"/>
      <c r="AP38" s="241"/>
      <c r="AQ38" s="241"/>
      <c r="AR38" s="241"/>
      <c r="AS38" s="241"/>
      <c r="AT38" s="241"/>
      <c r="AU38" s="241"/>
      <c r="AV38" s="241"/>
      <c r="AW38" s="241"/>
      <c r="AX38" s="241"/>
      <c r="AY38" s="241"/>
      <c r="AZ38" s="241"/>
      <c r="BA38" s="241"/>
      <c r="BB38" s="241"/>
      <c r="BC38" s="241"/>
      <c r="BD38" s="241"/>
      <c r="BE38" s="241"/>
      <c r="BF38" s="241"/>
      <c r="BG38" s="241"/>
      <c r="BH38" s="241"/>
      <c r="BI38" s="241"/>
      <c r="BJ38" s="241"/>
      <c r="BK38" s="241"/>
      <c r="BL38" s="241"/>
      <c r="BM38" s="241"/>
    </row>
    <row r="39" spans="1:65" ht="13.5" customHeight="1" x14ac:dyDescent="0.3">
      <c r="A39" s="241"/>
      <c r="B39" s="241"/>
      <c r="C39" s="241"/>
      <c r="D39" s="241"/>
      <c r="E39" s="241"/>
      <c r="F39" s="241"/>
      <c r="G39" s="241"/>
      <c r="H39" s="241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Y39" s="241"/>
      <c r="Z39" s="241"/>
      <c r="AA39" s="241"/>
      <c r="AB39" s="241"/>
      <c r="AC39" s="241"/>
      <c r="AD39" s="241"/>
      <c r="AE39" s="241"/>
      <c r="AF39" s="241"/>
      <c r="AG39" s="241"/>
      <c r="AH39" s="241"/>
      <c r="AI39" s="241"/>
      <c r="AJ39" s="241"/>
      <c r="AK39" s="241"/>
      <c r="AL39" s="241"/>
      <c r="AM39" s="241"/>
      <c r="AN39" s="241"/>
      <c r="AO39" s="241"/>
      <c r="AP39" s="241"/>
      <c r="AQ39" s="241"/>
      <c r="AR39" s="241"/>
      <c r="AS39" s="241"/>
      <c r="AT39" s="241"/>
      <c r="AU39" s="241"/>
      <c r="AV39" s="241"/>
      <c r="AW39" s="241"/>
      <c r="AX39" s="241"/>
      <c r="AY39" s="241"/>
      <c r="AZ39" s="241"/>
      <c r="BA39" s="241"/>
      <c r="BB39" s="241"/>
      <c r="BC39" s="241"/>
      <c r="BD39" s="241"/>
      <c r="BE39" s="241"/>
      <c r="BF39" s="241"/>
      <c r="BG39" s="241"/>
      <c r="BH39" s="241"/>
      <c r="BI39" s="241"/>
      <c r="BJ39" s="241"/>
      <c r="BK39" s="241"/>
      <c r="BL39" s="241"/>
      <c r="BM39" s="241"/>
    </row>
    <row r="40" spans="1:65" ht="13.5" customHeight="1" x14ac:dyDescent="0.3">
      <c r="A40" s="241"/>
      <c r="B40" s="241"/>
      <c r="C40" s="241"/>
      <c r="D40" s="241"/>
      <c r="E40" s="241"/>
      <c r="F40" s="241"/>
      <c r="G40" s="241"/>
      <c r="H40" s="241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Y40" s="241"/>
      <c r="Z40" s="241"/>
      <c r="AA40" s="241"/>
      <c r="AB40" s="241"/>
      <c r="AC40" s="241"/>
      <c r="AD40" s="241"/>
      <c r="AE40" s="241"/>
      <c r="AF40" s="241"/>
      <c r="AG40" s="241"/>
      <c r="AH40" s="241"/>
      <c r="AI40" s="241"/>
      <c r="AJ40" s="241"/>
      <c r="AK40" s="241"/>
      <c r="AL40" s="241"/>
      <c r="AM40" s="241"/>
      <c r="AN40" s="241"/>
      <c r="AO40" s="241"/>
      <c r="AP40" s="241"/>
      <c r="AQ40" s="241"/>
      <c r="AR40" s="241"/>
      <c r="AS40" s="241"/>
      <c r="AT40" s="241"/>
      <c r="AU40" s="241"/>
      <c r="AV40" s="241"/>
      <c r="AW40" s="241"/>
      <c r="AX40" s="241"/>
      <c r="AY40" s="241"/>
      <c r="AZ40" s="241"/>
      <c r="BA40" s="241"/>
      <c r="BB40" s="241"/>
      <c r="BC40" s="241"/>
      <c r="BD40" s="241"/>
      <c r="BE40" s="241"/>
      <c r="BF40" s="241"/>
      <c r="BG40" s="241"/>
      <c r="BH40" s="241"/>
      <c r="BI40" s="241"/>
      <c r="BJ40" s="241"/>
      <c r="BK40" s="241"/>
      <c r="BL40" s="241"/>
      <c r="BM40" s="241"/>
    </row>
    <row r="41" spans="1:65" ht="13.5" customHeight="1" x14ac:dyDescent="0.3">
      <c r="A41" s="241"/>
      <c r="B41" s="241"/>
      <c r="C41" s="241"/>
      <c r="D41" s="241"/>
      <c r="E41" s="241"/>
      <c r="F41" s="241"/>
      <c r="G41" s="241"/>
      <c r="H41" s="241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Y41" s="241"/>
      <c r="Z41" s="241"/>
      <c r="AA41" s="241"/>
      <c r="AB41" s="241"/>
      <c r="AC41" s="241"/>
      <c r="AD41" s="241"/>
      <c r="AE41" s="241"/>
      <c r="AF41" s="241"/>
      <c r="AG41" s="241"/>
      <c r="AH41" s="241"/>
      <c r="AI41" s="241"/>
      <c r="AJ41" s="241"/>
      <c r="AK41" s="241"/>
      <c r="AL41" s="241"/>
      <c r="AM41" s="241"/>
      <c r="AN41" s="241"/>
      <c r="AO41" s="241"/>
      <c r="AP41" s="241"/>
      <c r="AQ41" s="241"/>
      <c r="AR41" s="241"/>
      <c r="AS41" s="241"/>
      <c r="AT41" s="241"/>
      <c r="AU41" s="241"/>
      <c r="AV41" s="241"/>
      <c r="AW41" s="241"/>
      <c r="AX41" s="241"/>
      <c r="AY41" s="241"/>
      <c r="AZ41" s="241"/>
      <c r="BA41" s="241"/>
      <c r="BB41" s="241"/>
      <c r="BC41" s="241"/>
      <c r="BD41" s="241"/>
      <c r="BE41" s="241"/>
      <c r="BF41" s="241"/>
      <c r="BG41" s="241"/>
      <c r="BH41" s="241"/>
      <c r="BI41" s="241"/>
      <c r="BJ41" s="241"/>
      <c r="BK41" s="241"/>
      <c r="BL41" s="241"/>
      <c r="BM41" s="241"/>
    </row>
    <row r="42" spans="1:65" ht="13.5" customHeight="1" x14ac:dyDescent="0.3">
      <c r="A42" s="241"/>
      <c r="B42" s="241"/>
      <c r="C42" s="241"/>
      <c r="D42" s="241"/>
      <c r="E42" s="241"/>
      <c r="F42" s="241"/>
      <c r="G42" s="241"/>
      <c r="H42" s="241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Y42" s="241"/>
      <c r="Z42" s="241"/>
      <c r="AA42" s="241"/>
      <c r="AB42" s="241"/>
      <c r="AC42" s="241"/>
      <c r="AD42" s="241"/>
      <c r="AE42" s="241"/>
      <c r="AF42" s="241"/>
      <c r="AG42" s="241"/>
      <c r="AH42" s="241"/>
      <c r="AI42" s="241"/>
      <c r="AJ42" s="241"/>
      <c r="AK42" s="241"/>
      <c r="AL42" s="241"/>
      <c r="AM42" s="241"/>
      <c r="AN42" s="241"/>
      <c r="AO42" s="241"/>
      <c r="AP42" s="241"/>
      <c r="AQ42" s="241"/>
      <c r="AR42" s="241"/>
      <c r="AS42" s="241"/>
      <c r="AT42" s="241"/>
      <c r="AU42" s="241"/>
      <c r="AV42" s="241"/>
      <c r="AW42" s="241"/>
      <c r="AX42" s="241"/>
      <c r="AY42" s="241"/>
      <c r="AZ42" s="241"/>
      <c r="BA42" s="241"/>
      <c r="BB42" s="241"/>
      <c r="BC42" s="241"/>
      <c r="BD42" s="241"/>
      <c r="BE42" s="241"/>
      <c r="BF42" s="241"/>
      <c r="BG42" s="241"/>
      <c r="BH42" s="241"/>
      <c r="BI42" s="241"/>
      <c r="BJ42" s="241"/>
      <c r="BK42" s="241"/>
      <c r="BL42" s="241"/>
      <c r="BM42" s="241"/>
    </row>
    <row r="43" spans="1:65" ht="13.5" customHeight="1" x14ac:dyDescent="0.3">
      <c r="A43" s="241"/>
      <c r="B43" s="241"/>
      <c r="C43" s="241"/>
      <c r="D43" s="241"/>
      <c r="E43" s="241"/>
      <c r="F43" s="241"/>
      <c r="G43" s="241"/>
      <c r="H43" s="241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Y43" s="241"/>
      <c r="Z43" s="241"/>
      <c r="AA43" s="241"/>
      <c r="AB43" s="241"/>
      <c r="AC43" s="241"/>
      <c r="AD43" s="241"/>
      <c r="AE43" s="241"/>
      <c r="AF43" s="241"/>
      <c r="AG43" s="241"/>
      <c r="AH43" s="241"/>
      <c r="AI43" s="241"/>
      <c r="AJ43" s="241"/>
      <c r="AK43" s="241"/>
      <c r="AL43" s="241"/>
      <c r="AM43" s="241"/>
      <c r="AN43" s="241"/>
      <c r="AO43" s="241"/>
      <c r="AP43" s="241"/>
      <c r="AQ43" s="241"/>
      <c r="AR43" s="241"/>
      <c r="AS43" s="241"/>
      <c r="AT43" s="241"/>
      <c r="AU43" s="241"/>
      <c r="AV43" s="241"/>
      <c r="AW43" s="241"/>
      <c r="AX43" s="241"/>
      <c r="AY43" s="241"/>
      <c r="AZ43" s="241"/>
      <c r="BA43" s="241"/>
      <c r="BB43" s="241"/>
      <c r="BC43" s="241"/>
      <c r="BD43" s="241"/>
      <c r="BE43" s="241"/>
      <c r="BF43" s="241"/>
      <c r="BG43" s="241"/>
      <c r="BH43" s="241"/>
      <c r="BI43" s="241"/>
      <c r="BJ43" s="241"/>
      <c r="BK43" s="241"/>
      <c r="BL43" s="241"/>
      <c r="BM43" s="241"/>
    </row>
    <row r="44" spans="1:65" ht="13.5" customHeight="1" x14ac:dyDescent="0.3">
      <c r="A44" s="241"/>
      <c r="B44" s="241"/>
      <c r="C44" s="241"/>
      <c r="D44" s="241"/>
      <c r="E44" s="241"/>
      <c r="F44" s="241"/>
      <c r="G44" s="241"/>
      <c r="H44" s="241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Y44" s="241"/>
      <c r="Z44" s="241"/>
      <c r="AA44" s="241"/>
      <c r="AB44" s="241"/>
      <c r="AC44" s="241"/>
      <c r="AD44" s="241"/>
      <c r="AE44" s="241"/>
      <c r="AF44" s="241"/>
      <c r="AG44" s="241"/>
      <c r="AH44" s="241"/>
      <c r="AI44" s="241"/>
      <c r="AJ44" s="241"/>
      <c r="AK44" s="241"/>
      <c r="AL44" s="241"/>
      <c r="AM44" s="241"/>
      <c r="AN44" s="241"/>
      <c r="AO44" s="241"/>
      <c r="AP44" s="241"/>
      <c r="AQ44" s="241"/>
      <c r="AR44" s="241"/>
      <c r="AS44" s="241"/>
      <c r="AT44" s="241"/>
      <c r="AU44" s="241"/>
      <c r="AV44" s="241"/>
      <c r="AW44" s="241"/>
      <c r="AX44" s="241"/>
      <c r="AY44" s="241"/>
      <c r="AZ44" s="241"/>
      <c r="BA44" s="241"/>
      <c r="BB44" s="241"/>
      <c r="BC44" s="241"/>
      <c r="BD44" s="241"/>
      <c r="BE44" s="241"/>
      <c r="BF44" s="241"/>
      <c r="BG44" s="241"/>
      <c r="BH44" s="241"/>
      <c r="BI44" s="241"/>
      <c r="BJ44" s="241"/>
      <c r="BK44" s="241"/>
      <c r="BL44" s="241"/>
      <c r="BM44" s="241"/>
    </row>
    <row r="45" spans="1:65" ht="13.5" customHeight="1" x14ac:dyDescent="0.3">
      <c r="A45" s="241"/>
      <c r="B45" s="241"/>
      <c r="C45" s="241"/>
      <c r="D45" s="241"/>
      <c r="E45" s="241"/>
      <c r="F45" s="241"/>
      <c r="G45" s="241"/>
      <c r="H45" s="241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Y45" s="241"/>
      <c r="Z45" s="241"/>
      <c r="AA45" s="241"/>
      <c r="AB45" s="241"/>
      <c r="AC45" s="241"/>
      <c r="AD45" s="241"/>
      <c r="AE45" s="241"/>
      <c r="AF45" s="241"/>
      <c r="AG45" s="241"/>
      <c r="AH45" s="241"/>
      <c r="AI45" s="241"/>
      <c r="AJ45" s="241"/>
      <c r="AK45" s="241"/>
      <c r="AL45" s="241"/>
      <c r="AM45" s="241"/>
      <c r="AN45" s="241"/>
      <c r="AO45" s="241"/>
      <c r="AP45" s="241"/>
      <c r="AQ45" s="241"/>
      <c r="AR45" s="241"/>
      <c r="AS45" s="241"/>
      <c r="AT45" s="241"/>
      <c r="AU45" s="241"/>
      <c r="AV45" s="241"/>
      <c r="AW45" s="241"/>
      <c r="AX45" s="241"/>
      <c r="AY45" s="241"/>
      <c r="AZ45" s="241"/>
      <c r="BA45" s="241"/>
      <c r="BB45" s="241"/>
      <c r="BC45" s="241"/>
      <c r="BD45" s="241"/>
      <c r="BE45" s="241"/>
      <c r="BF45" s="241"/>
      <c r="BG45" s="241"/>
      <c r="BH45" s="241"/>
      <c r="BI45" s="241"/>
      <c r="BJ45" s="241"/>
      <c r="BK45" s="241"/>
      <c r="BL45" s="241"/>
      <c r="BM45" s="241"/>
    </row>
    <row r="46" spans="1:65" ht="13.5" customHeight="1" x14ac:dyDescent="0.3">
      <c r="A46" s="241"/>
      <c r="B46" s="241"/>
      <c r="C46" s="241"/>
      <c r="D46" s="241"/>
      <c r="E46" s="241"/>
      <c r="F46" s="241"/>
      <c r="G46" s="241"/>
      <c r="H46" s="241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Y46" s="241"/>
      <c r="Z46" s="241"/>
      <c r="AA46" s="241"/>
      <c r="AB46" s="241"/>
      <c r="AC46" s="241"/>
      <c r="AD46" s="241"/>
      <c r="AE46" s="241"/>
      <c r="AF46" s="241"/>
      <c r="AG46" s="241"/>
      <c r="AH46" s="241"/>
      <c r="AI46" s="241"/>
      <c r="AJ46" s="241"/>
      <c r="AK46" s="241"/>
      <c r="AL46" s="241"/>
      <c r="AM46" s="241"/>
      <c r="AN46" s="241"/>
      <c r="AO46" s="241"/>
      <c r="AP46" s="241"/>
      <c r="AQ46" s="241"/>
      <c r="AR46" s="241"/>
      <c r="AS46" s="241"/>
      <c r="AT46" s="241"/>
      <c r="AU46" s="241"/>
      <c r="AV46" s="241"/>
      <c r="AW46" s="241"/>
      <c r="AX46" s="241"/>
      <c r="AY46" s="241"/>
      <c r="AZ46" s="241"/>
      <c r="BA46" s="241"/>
      <c r="BB46" s="241"/>
      <c r="BC46" s="241"/>
      <c r="BD46" s="241"/>
      <c r="BE46" s="241"/>
      <c r="BF46" s="241"/>
      <c r="BG46" s="241"/>
      <c r="BH46" s="241"/>
      <c r="BI46" s="241"/>
      <c r="BJ46" s="241"/>
      <c r="BK46" s="241"/>
      <c r="BL46" s="241"/>
      <c r="BM46" s="241"/>
    </row>
    <row r="47" spans="1:65" ht="13.5" customHeight="1" x14ac:dyDescent="0.3">
      <c r="A47" s="241"/>
      <c r="B47" s="241"/>
      <c r="C47" s="241"/>
      <c r="D47" s="241"/>
      <c r="E47" s="241"/>
      <c r="F47" s="241"/>
      <c r="G47" s="241"/>
      <c r="H47" s="241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Y47" s="241"/>
      <c r="Z47" s="241"/>
      <c r="AA47" s="241"/>
      <c r="AB47" s="241"/>
      <c r="AC47" s="241"/>
      <c r="AD47" s="241"/>
      <c r="AE47" s="241"/>
      <c r="AF47" s="241"/>
      <c r="AG47" s="241"/>
      <c r="AH47" s="241"/>
      <c r="AI47" s="241"/>
      <c r="AJ47" s="241"/>
      <c r="AK47" s="241"/>
      <c r="AL47" s="241"/>
      <c r="AM47" s="241"/>
      <c r="AN47" s="241"/>
      <c r="AO47" s="241"/>
      <c r="AP47" s="241"/>
      <c r="AQ47" s="241"/>
      <c r="AR47" s="241"/>
      <c r="AS47" s="241"/>
      <c r="AT47" s="241"/>
      <c r="AU47" s="241"/>
      <c r="AV47" s="241"/>
      <c r="AW47" s="241"/>
      <c r="AX47" s="241"/>
      <c r="AY47" s="241"/>
      <c r="AZ47" s="241"/>
      <c r="BA47" s="241"/>
      <c r="BB47" s="241"/>
      <c r="BC47" s="241"/>
      <c r="BD47" s="241"/>
      <c r="BE47" s="241"/>
      <c r="BF47" s="241"/>
      <c r="BG47" s="241"/>
      <c r="BH47" s="241"/>
      <c r="BI47" s="241"/>
      <c r="BJ47" s="241"/>
      <c r="BK47" s="241"/>
      <c r="BL47" s="241"/>
      <c r="BM47" s="241"/>
    </row>
    <row r="48" spans="1:65" ht="13.5" customHeight="1" x14ac:dyDescent="0.3">
      <c r="A48" s="241"/>
      <c r="B48" s="241"/>
      <c r="C48" s="241"/>
      <c r="D48" s="241"/>
      <c r="E48" s="241"/>
      <c r="F48" s="241"/>
      <c r="G48" s="241"/>
      <c r="H48" s="241"/>
      <c r="I48" s="241"/>
      <c r="J48" s="241"/>
      <c r="K48" s="241"/>
      <c r="L48" s="241"/>
      <c r="M48" s="241"/>
      <c r="N48" s="241"/>
      <c r="O48" s="241"/>
      <c r="P48" s="241"/>
      <c r="Q48" s="241"/>
      <c r="R48" s="241"/>
      <c r="S48" s="241"/>
      <c r="T48" s="241"/>
      <c r="U48" s="241"/>
      <c r="V48" s="241"/>
      <c r="W48" s="241"/>
      <c r="X48" s="241"/>
      <c r="Y48" s="241"/>
      <c r="Z48" s="241"/>
      <c r="AA48" s="241"/>
      <c r="AB48" s="241"/>
      <c r="AC48" s="241"/>
      <c r="AD48" s="241"/>
      <c r="AE48" s="241"/>
      <c r="AF48" s="241"/>
      <c r="AG48" s="241"/>
      <c r="AH48" s="241"/>
      <c r="AI48" s="241"/>
      <c r="AJ48" s="241"/>
      <c r="AK48" s="241"/>
      <c r="AL48" s="241"/>
      <c r="AM48" s="241"/>
      <c r="AN48" s="241"/>
      <c r="AO48" s="241"/>
      <c r="AP48" s="241"/>
      <c r="AQ48" s="241"/>
      <c r="AR48" s="241"/>
      <c r="AS48" s="241"/>
      <c r="AT48" s="241"/>
      <c r="AU48" s="241"/>
      <c r="AV48" s="241"/>
      <c r="AW48" s="241"/>
      <c r="AX48" s="241"/>
      <c r="AY48" s="241"/>
      <c r="AZ48" s="241"/>
      <c r="BA48" s="241"/>
      <c r="BB48" s="241"/>
      <c r="BC48" s="241"/>
      <c r="BD48" s="241"/>
      <c r="BE48" s="241"/>
      <c r="BF48" s="241"/>
      <c r="BG48" s="241"/>
      <c r="BH48" s="241"/>
      <c r="BI48" s="241"/>
      <c r="BJ48" s="241"/>
      <c r="BK48" s="241"/>
      <c r="BL48" s="241"/>
      <c r="BM48" s="241"/>
    </row>
    <row r="49" spans="1:65" ht="13.5" customHeight="1" x14ac:dyDescent="0.3">
      <c r="A49" s="241"/>
      <c r="B49" s="241"/>
      <c r="C49" s="241"/>
      <c r="D49" s="241"/>
      <c r="E49" s="241"/>
      <c r="F49" s="241"/>
      <c r="G49" s="241"/>
      <c r="H49" s="241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Y49" s="241"/>
      <c r="Z49" s="241"/>
      <c r="AA49" s="241"/>
      <c r="AB49" s="241"/>
      <c r="AC49" s="241"/>
      <c r="AD49" s="241"/>
      <c r="AE49" s="241"/>
      <c r="AF49" s="241"/>
      <c r="AG49" s="241"/>
      <c r="AH49" s="241"/>
      <c r="AI49" s="241"/>
      <c r="AJ49" s="241"/>
      <c r="AK49" s="241"/>
      <c r="AL49" s="241"/>
      <c r="AM49" s="241"/>
      <c r="AN49" s="241"/>
      <c r="AO49" s="241"/>
      <c r="AP49" s="241"/>
      <c r="AQ49" s="241"/>
      <c r="AR49" s="241"/>
      <c r="AS49" s="241"/>
      <c r="AT49" s="241"/>
      <c r="AU49" s="241"/>
      <c r="AV49" s="241"/>
      <c r="AW49" s="241"/>
      <c r="AX49" s="241"/>
      <c r="AY49" s="241"/>
      <c r="AZ49" s="241"/>
      <c r="BA49" s="241"/>
      <c r="BB49" s="241"/>
      <c r="BC49" s="241"/>
      <c r="BD49" s="241"/>
      <c r="BE49" s="241"/>
      <c r="BF49" s="241"/>
      <c r="BG49" s="241"/>
      <c r="BH49" s="241"/>
      <c r="BI49" s="241"/>
      <c r="BJ49" s="241"/>
      <c r="BK49" s="241"/>
      <c r="BL49" s="241"/>
      <c r="BM49" s="241"/>
    </row>
    <row r="50" spans="1:65" ht="13.5" customHeight="1" x14ac:dyDescent="0.3">
      <c r="A50" s="241"/>
      <c r="B50" s="241"/>
      <c r="C50" s="241"/>
      <c r="D50" s="241"/>
      <c r="E50" s="241"/>
      <c r="F50" s="241"/>
      <c r="G50" s="241"/>
      <c r="H50" s="241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Y50" s="241"/>
      <c r="Z50" s="241"/>
      <c r="AA50" s="241"/>
      <c r="AB50" s="241"/>
      <c r="AC50" s="241"/>
      <c r="AD50" s="241"/>
      <c r="AE50" s="241"/>
      <c r="AF50" s="241"/>
      <c r="AG50" s="241"/>
      <c r="AH50" s="241"/>
      <c r="AI50" s="241"/>
      <c r="AJ50" s="241"/>
      <c r="AK50" s="241"/>
      <c r="AL50" s="241"/>
      <c r="AM50" s="241"/>
      <c r="AN50" s="241"/>
      <c r="AO50" s="241"/>
      <c r="AP50" s="241"/>
      <c r="AQ50" s="241"/>
      <c r="AR50" s="241"/>
      <c r="AS50" s="241"/>
      <c r="AT50" s="241"/>
      <c r="AU50" s="241"/>
      <c r="AV50" s="241"/>
      <c r="AW50" s="241"/>
      <c r="AX50" s="241"/>
      <c r="AY50" s="241"/>
      <c r="AZ50" s="241"/>
      <c r="BA50" s="241"/>
      <c r="BB50" s="241"/>
      <c r="BC50" s="241"/>
      <c r="BD50" s="241"/>
      <c r="BE50" s="241"/>
      <c r="BF50" s="241"/>
      <c r="BG50" s="241"/>
      <c r="BH50" s="241"/>
      <c r="BI50" s="241"/>
      <c r="BJ50" s="241"/>
      <c r="BK50" s="241"/>
      <c r="BL50" s="241"/>
      <c r="BM50" s="241"/>
    </row>
    <row r="51" spans="1:65" ht="13.5" customHeight="1" x14ac:dyDescent="0.3">
      <c r="A51" s="241"/>
      <c r="B51" s="241"/>
      <c r="C51" s="241"/>
      <c r="D51" s="241"/>
      <c r="E51" s="241"/>
      <c r="F51" s="241"/>
      <c r="G51" s="241"/>
      <c r="H51" s="24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Y51" s="241"/>
      <c r="Z51" s="241"/>
      <c r="AA51" s="241"/>
      <c r="AB51" s="241"/>
      <c r="AC51" s="241"/>
      <c r="AD51" s="241"/>
      <c r="AE51" s="241"/>
      <c r="AF51" s="241"/>
      <c r="AG51" s="241"/>
      <c r="AH51" s="241"/>
      <c r="AI51" s="241"/>
      <c r="AJ51" s="241"/>
      <c r="AK51" s="241"/>
      <c r="AL51" s="241"/>
      <c r="AM51" s="241"/>
      <c r="AN51" s="241"/>
      <c r="AO51" s="241"/>
      <c r="AP51" s="241"/>
      <c r="AQ51" s="241"/>
      <c r="AR51" s="241"/>
      <c r="AS51" s="241"/>
      <c r="AT51" s="241"/>
      <c r="AU51" s="241"/>
      <c r="AV51" s="241"/>
      <c r="AW51" s="241"/>
      <c r="AX51" s="241"/>
      <c r="AY51" s="241"/>
      <c r="AZ51" s="241"/>
      <c r="BA51" s="241"/>
      <c r="BB51" s="241"/>
      <c r="BC51" s="241"/>
      <c r="BD51" s="241"/>
      <c r="BE51" s="241"/>
      <c r="BF51" s="241"/>
      <c r="BG51" s="241"/>
      <c r="BH51" s="241"/>
      <c r="BI51" s="241"/>
      <c r="BJ51" s="241"/>
      <c r="BK51" s="241"/>
      <c r="BL51" s="241"/>
      <c r="BM51" s="241"/>
    </row>
    <row r="52" spans="1:65" ht="13.5" customHeight="1" x14ac:dyDescent="0.3">
      <c r="A52" s="241"/>
      <c r="B52" s="241"/>
      <c r="C52" s="241"/>
      <c r="D52" s="241"/>
      <c r="E52" s="241"/>
      <c r="F52" s="241"/>
      <c r="G52" s="241"/>
      <c r="H52" s="241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Y52" s="241"/>
      <c r="Z52" s="241"/>
      <c r="AA52" s="241"/>
      <c r="AB52" s="241"/>
      <c r="AC52" s="241"/>
      <c r="AD52" s="241"/>
      <c r="AE52" s="241"/>
      <c r="AF52" s="241"/>
      <c r="AG52" s="241"/>
      <c r="AH52" s="241"/>
      <c r="AI52" s="241"/>
      <c r="AJ52" s="241"/>
      <c r="AK52" s="241"/>
      <c r="AL52" s="241"/>
      <c r="AM52" s="241"/>
      <c r="AN52" s="241"/>
      <c r="AO52" s="241"/>
      <c r="AP52" s="241"/>
      <c r="AQ52" s="241"/>
      <c r="AR52" s="241"/>
      <c r="AS52" s="241"/>
      <c r="AT52" s="241"/>
      <c r="AU52" s="241"/>
      <c r="AV52" s="241"/>
      <c r="AW52" s="241"/>
      <c r="AX52" s="241"/>
      <c r="AY52" s="241"/>
      <c r="AZ52" s="241"/>
      <c r="BA52" s="241"/>
      <c r="BB52" s="241"/>
      <c r="BC52" s="241"/>
      <c r="BD52" s="241"/>
      <c r="BE52" s="241"/>
      <c r="BF52" s="241"/>
      <c r="BG52" s="241"/>
      <c r="BH52" s="241"/>
      <c r="BI52" s="241"/>
      <c r="BJ52" s="241"/>
      <c r="BK52" s="241"/>
      <c r="BL52" s="241"/>
      <c r="BM52" s="241"/>
    </row>
    <row r="53" spans="1:65" ht="13.5" customHeight="1" x14ac:dyDescent="0.3">
      <c r="A53" s="241"/>
      <c r="B53" s="241"/>
      <c r="C53" s="241"/>
      <c r="D53" s="241"/>
      <c r="E53" s="241"/>
      <c r="F53" s="241"/>
      <c r="G53" s="241"/>
      <c r="H53" s="24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Y53" s="241"/>
      <c r="Z53" s="241"/>
      <c r="AA53" s="241"/>
      <c r="AB53" s="241"/>
      <c r="AC53" s="241"/>
      <c r="AD53" s="241"/>
      <c r="AE53" s="241"/>
      <c r="AF53" s="241"/>
      <c r="AG53" s="241"/>
      <c r="AH53" s="241"/>
      <c r="AI53" s="241"/>
      <c r="AJ53" s="241"/>
      <c r="AK53" s="241"/>
      <c r="AL53" s="241"/>
      <c r="AM53" s="241"/>
      <c r="AN53" s="241"/>
      <c r="AO53" s="241"/>
      <c r="AP53" s="241"/>
      <c r="AQ53" s="241"/>
      <c r="AR53" s="241"/>
      <c r="AS53" s="241"/>
      <c r="AT53" s="241"/>
      <c r="AU53" s="241"/>
      <c r="AV53" s="241"/>
      <c r="AW53" s="241"/>
      <c r="AX53" s="241"/>
      <c r="AY53" s="241"/>
      <c r="AZ53" s="241"/>
      <c r="BA53" s="241"/>
      <c r="BB53" s="241"/>
      <c r="BC53" s="241"/>
      <c r="BD53" s="241"/>
      <c r="BE53" s="241"/>
      <c r="BF53" s="241"/>
      <c r="BG53" s="241"/>
      <c r="BH53" s="241"/>
      <c r="BI53" s="241"/>
      <c r="BJ53" s="241"/>
      <c r="BK53" s="241"/>
      <c r="BL53" s="241"/>
      <c r="BM53" s="241"/>
    </row>
    <row r="54" spans="1:65" ht="13.5" customHeight="1" x14ac:dyDescent="0.3">
      <c r="A54" s="241"/>
      <c r="B54" s="241"/>
      <c r="C54" s="241"/>
      <c r="D54" s="241"/>
      <c r="E54" s="241"/>
      <c r="F54" s="241"/>
      <c r="G54" s="241"/>
      <c r="H54" s="241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Y54" s="241"/>
      <c r="Z54" s="241"/>
      <c r="AA54" s="241"/>
      <c r="AB54" s="241"/>
      <c r="AC54" s="241"/>
      <c r="AD54" s="241"/>
      <c r="AE54" s="241"/>
      <c r="AF54" s="241"/>
      <c r="AG54" s="241"/>
      <c r="AH54" s="241"/>
      <c r="AI54" s="241"/>
      <c r="AJ54" s="241"/>
      <c r="AK54" s="241"/>
      <c r="AL54" s="241"/>
      <c r="AM54" s="241"/>
      <c r="AN54" s="241"/>
      <c r="AO54" s="241"/>
      <c r="AP54" s="241"/>
      <c r="AQ54" s="241"/>
      <c r="AR54" s="241"/>
      <c r="AS54" s="241"/>
      <c r="AT54" s="241"/>
      <c r="AU54" s="241"/>
      <c r="AV54" s="241"/>
      <c r="AW54" s="241"/>
      <c r="AX54" s="241"/>
      <c r="AY54" s="241"/>
      <c r="AZ54" s="241"/>
      <c r="BA54" s="241"/>
      <c r="BB54" s="241"/>
      <c r="BC54" s="241"/>
      <c r="BD54" s="241"/>
      <c r="BE54" s="241"/>
      <c r="BF54" s="241"/>
      <c r="BG54" s="241"/>
      <c r="BH54" s="241"/>
      <c r="BI54" s="241"/>
      <c r="BJ54" s="241"/>
      <c r="BK54" s="241"/>
      <c r="BL54" s="241"/>
      <c r="BM54" s="241"/>
    </row>
    <row r="55" spans="1:65" ht="13.5" customHeight="1" x14ac:dyDescent="0.3">
      <c r="A55" s="241"/>
      <c r="B55" s="241"/>
      <c r="C55" s="241"/>
      <c r="D55" s="241"/>
      <c r="E55" s="241"/>
      <c r="F55" s="241"/>
      <c r="G55" s="241"/>
      <c r="H55" s="241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Y55" s="241"/>
      <c r="Z55" s="241"/>
      <c r="AA55" s="241"/>
      <c r="AB55" s="241"/>
      <c r="AC55" s="241"/>
      <c r="AD55" s="241"/>
      <c r="AE55" s="241"/>
      <c r="AF55" s="241"/>
      <c r="AG55" s="241"/>
      <c r="AH55" s="241"/>
      <c r="AI55" s="241"/>
      <c r="AJ55" s="241"/>
      <c r="AK55" s="241"/>
      <c r="AL55" s="241"/>
      <c r="AM55" s="241"/>
      <c r="AN55" s="241"/>
      <c r="AO55" s="241"/>
      <c r="AP55" s="241"/>
      <c r="AQ55" s="241"/>
      <c r="AR55" s="241"/>
      <c r="AS55" s="241"/>
      <c r="AT55" s="241"/>
      <c r="AU55" s="241"/>
      <c r="AV55" s="241"/>
      <c r="AW55" s="241"/>
      <c r="AX55" s="241"/>
      <c r="AY55" s="241"/>
      <c r="AZ55" s="241"/>
      <c r="BA55" s="241"/>
      <c r="BB55" s="241"/>
      <c r="BC55" s="241"/>
      <c r="BD55" s="241"/>
      <c r="BE55" s="241"/>
      <c r="BF55" s="241"/>
      <c r="BG55" s="241"/>
      <c r="BH55" s="241"/>
      <c r="BI55" s="241"/>
      <c r="BJ55" s="241"/>
      <c r="BK55" s="241"/>
      <c r="BL55" s="241"/>
      <c r="BM55" s="241"/>
    </row>
    <row r="56" spans="1:65" ht="13.5" customHeight="1" x14ac:dyDescent="0.3">
      <c r="A56" s="241"/>
      <c r="B56" s="241"/>
      <c r="C56" s="241"/>
      <c r="D56" s="241"/>
      <c r="E56" s="241"/>
      <c r="F56" s="241"/>
      <c r="G56" s="241"/>
      <c r="H56" s="241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Y56" s="241"/>
      <c r="Z56" s="241"/>
      <c r="AA56" s="241"/>
      <c r="AB56" s="241"/>
      <c r="AC56" s="241"/>
      <c r="AD56" s="241"/>
      <c r="AE56" s="241"/>
      <c r="AF56" s="241"/>
      <c r="AG56" s="241"/>
      <c r="AH56" s="241"/>
      <c r="AI56" s="241"/>
      <c r="AJ56" s="241"/>
      <c r="AK56" s="241"/>
      <c r="AL56" s="241"/>
      <c r="AM56" s="241"/>
      <c r="AN56" s="241"/>
      <c r="AO56" s="241"/>
      <c r="AP56" s="241"/>
      <c r="AQ56" s="241"/>
      <c r="AR56" s="241"/>
      <c r="AS56" s="241"/>
      <c r="AT56" s="241"/>
      <c r="AU56" s="241"/>
      <c r="AV56" s="241"/>
      <c r="AW56" s="241"/>
      <c r="AX56" s="241"/>
      <c r="AY56" s="241"/>
      <c r="AZ56" s="241"/>
      <c r="BA56" s="241"/>
      <c r="BB56" s="241"/>
      <c r="BC56" s="241"/>
      <c r="BD56" s="241"/>
      <c r="BE56" s="241"/>
      <c r="BF56" s="241"/>
      <c r="BG56" s="241"/>
      <c r="BH56" s="241"/>
      <c r="BI56" s="241"/>
      <c r="BJ56" s="241"/>
      <c r="BK56" s="241"/>
      <c r="BL56" s="241"/>
      <c r="BM56" s="241"/>
    </row>
    <row r="57" spans="1:65" ht="13.5" customHeight="1" x14ac:dyDescent="0.3">
      <c r="A57" s="241"/>
      <c r="B57" s="241"/>
      <c r="C57" s="241"/>
      <c r="D57" s="241"/>
      <c r="E57" s="241"/>
      <c r="F57" s="241"/>
      <c r="G57" s="241"/>
      <c r="H57" s="241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Y57" s="241"/>
      <c r="Z57" s="241"/>
      <c r="AA57" s="241"/>
      <c r="AB57" s="241"/>
      <c r="AC57" s="241"/>
      <c r="AD57" s="241"/>
      <c r="AE57" s="241"/>
      <c r="AF57" s="241"/>
      <c r="AG57" s="241"/>
      <c r="AH57" s="241"/>
      <c r="AI57" s="241"/>
      <c r="AJ57" s="241"/>
      <c r="AK57" s="241"/>
      <c r="AL57" s="241"/>
      <c r="AM57" s="241"/>
      <c r="AN57" s="241"/>
      <c r="AO57" s="241"/>
      <c r="AP57" s="241"/>
      <c r="AQ57" s="241"/>
      <c r="AR57" s="241"/>
      <c r="AS57" s="241"/>
      <c r="AT57" s="241"/>
      <c r="AU57" s="241"/>
      <c r="AV57" s="241"/>
      <c r="AW57" s="241"/>
      <c r="AX57" s="241"/>
      <c r="AY57" s="241"/>
      <c r="AZ57" s="241"/>
      <c r="BA57" s="241"/>
      <c r="BB57" s="241"/>
      <c r="BC57" s="241"/>
      <c r="BD57" s="241"/>
      <c r="BE57" s="241"/>
      <c r="BF57" s="241"/>
      <c r="BG57" s="241"/>
      <c r="BH57" s="241"/>
      <c r="BI57" s="241"/>
      <c r="BJ57" s="241"/>
      <c r="BK57" s="241"/>
      <c r="BL57" s="241"/>
      <c r="BM57" s="241"/>
    </row>
    <row r="58" spans="1:65" ht="13.5" customHeight="1" x14ac:dyDescent="0.3">
      <c r="A58" s="241"/>
      <c r="B58" s="241"/>
      <c r="C58" s="241"/>
      <c r="D58" s="241"/>
      <c r="E58" s="241"/>
      <c r="F58" s="241"/>
      <c r="G58" s="241"/>
      <c r="H58" s="241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Y58" s="241"/>
      <c r="Z58" s="241"/>
      <c r="AA58" s="241"/>
      <c r="AB58" s="241"/>
      <c r="AC58" s="241"/>
      <c r="AD58" s="241"/>
      <c r="AE58" s="241"/>
      <c r="AF58" s="241"/>
      <c r="AG58" s="241"/>
      <c r="AH58" s="241"/>
      <c r="AI58" s="241"/>
      <c r="AJ58" s="241"/>
      <c r="AK58" s="241"/>
      <c r="AL58" s="241"/>
      <c r="AM58" s="241"/>
      <c r="AN58" s="241"/>
      <c r="AO58" s="241"/>
      <c r="AP58" s="241"/>
      <c r="AQ58" s="241"/>
      <c r="AR58" s="241"/>
      <c r="AS58" s="241"/>
      <c r="AT58" s="241"/>
      <c r="AU58" s="241"/>
      <c r="AV58" s="241"/>
      <c r="AW58" s="241"/>
      <c r="AX58" s="241"/>
      <c r="AY58" s="241"/>
      <c r="AZ58" s="241"/>
      <c r="BA58" s="241"/>
      <c r="BB58" s="241"/>
      <c r="BC58" s="241"/>
      <c r="BD58" s="241"/>
      <c r="BE58" s="241"/>
      <c r="BF58" s="241"/>
      <c r="BG58" s="241"/>
      <c r="BH58" s="241"/>
      <c r="BI58" s="241"/>
      <c r="BJ58" s="241"/>
      <c r="BK58" s="241"/>
      <c r="BL58" s="241"/>
      <c r="BM58" s="241"/>
    </row>
    <row r="59" spans="1:65" ht="13.5" customHeight="1" x14ac:dyDescent="0.3">
      <c r="A59" s="241"/>
      <c r="B59" s="241"/>
      <c r="C59" s="241"/>
      <c r="D59" s="241"/>
      <c r="E59" s="241"/>
      <c r="F59" s="241"/>
      <c r="G59" s="241"/>
      <c r="H59" s="24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Y59" s="241"/>
      <c r="Z59" s="241"/>
      <c r="AA59" s="241"/>
      <c r="AB59" s="241"/>
      <c r="AC59" s="241"/>
      <c r="AD59" s="241"/>
      <c r="AE59" s="241"/>
      <c r="AF59" s="241"/>
      <c r="AG59" s="241"/>
      <c r="AH59" s="241"/>
      <c r="AI59" s="241"/>
      <c r="AJ59" s="241"/>
      <c r="AK59" s="241"/>
      <c r="AL59" s="241"/>
      <c r="AM59" s="241"/>
      <c r="AN59" s="241"/>
      <c r="AO59" s="241"/>
      <c r="AP59" s="241"/>
      <c r="AQ59" s="241"/>
      <c r="AR59" s="241"/>
      <c r="AS59" s="241"/>
      <c r="AT59" s="241"/>
      <c r="AU59" s="241"/>
      <c r="AV59" s="241"/>
      <c r="AW59" s="241"/>
      <c r="AX59" s="241"/>
      <c r="AY59" s="241"/>
      <c r="AZ59" s="241"/>
      <c r="BA59" s="241"/>
      <c r="BB59" s="241"/>
      <c r="BC59" s="241"/>
      <c r="BD59" s="241"/>
      <c r="BE59" s="241"/>
      <c r="BF59" s="241"/>
      <c r="BG59" s="241"/>
      <c r="BH59" s="241"/>
      <c r="BI59" s="241"/>
      <c r="BJ59" s="241"/>
      <c r="BK59" s="241"/>
      <c r="BL59" s="241"/>
      <c r="BM59" s="241"/>
    </row>
    <row r="60" spans="1:65" ht="13.5" customHeight="1" x14ac:dyDescent="0.3">
      <c r="A60" s="241"/>
      <c r="B60" s="241"/>
      <c r="C60" s="241"/>
      <c r="D60" s="241"/>
      <c r="E60" s="241"/>
      <c r="F60" s="241"/>
      <c r="G60" s="241"/>
      <c r="H60" s="241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Y60" s="241"/>
      <c r="Z60" s="241"/>
      <c r="AA60" s="241"/>
      <c r="AB60" s="241"/>
      <c r="AC60" s="241"/>
      <c r="AD60" s="241"/>
      <c r="AE60" s="241"/>
      <c r="AF60" s="241"/>
      <c r="AG60" s="241"/>
      <c r="AH60" s="241"/>
      <c r="AI60" s="241"/>
      <c r="AJ60" s="241"/>
      <c r="AK60" s="241"/>
      <c r="AL60" s="241"/>
      <c r="AM60" s="241"/>
      <c r="AN60" s="241"/>
      <c r="AO60" s="241"/>
      <c r="AP60" s="241"/>
      <c r="AQ60" s="241"/>
      <c r="AR60" s="241"/>
      <c r="AS60" s="241"/>
      <c r="AT60" s="241"/>
      <c r="AU60" s="241"/>
      <c r="AV60" s="241"/>
      <c r="AW60" s="241"/>
      <c r="AX60" s="241"/>
      <c r="AY60" s="241"/>
      <c r="AZ60" s="241"/>
      <c r="BA60" s="241"/>
      <c r="BB60" s="241"/>
      <c r="BC60" s="241"/>
      <c r="BD60" s="241"/>
      <c r="BE60" s="241"/>
      <c r="BF60" s="241"/>
      <c r="BG60" s="241"/>
      <c r="BH60" s="241"/>
      <c r="BI60" s="241"/>
      <c r="BJ60" s="241"/>
      <c r="BK60" s="241"/>
      <c r="BL60" s="241"/>
      <c r="BM60" s="241"/>
    </row>
    <row r="61" spans="1:65" ht="13.5" customHeight="1" x14ac:dyDescent="0.3">
      <c r="A61" s="241"/>
      <c r="B61" s="241"/>
      <c r="C61" s="241"/>
      <c r="D61" s="241"/>
      <c r="E61" s="241"/>
      <c r="F61" s="241"/>
      <c r="G61" s="241"/>
      <c r="H61" s="24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Y61" s="241"/>
      <c r="Z61" s="241"/>
      <c r="AA61" s="241"/>
      <c r="AB61" s="241"/>
      <c r="AC61" s="241"/>
      <c r="AD61" s="241"/>
      <c r="AE61" s="241"/>
      <c r="AF61" s="241"/>
      <c r="AG61" s="241"/>
      <c r="AH61" s="241"/>
      <c r="AI61" s="241"/>
      <c r="AJ61" s="241"/>
      <c r="AK61" s="241"/>
      <c r="AL61" s="241"/>
      <c r="AM61" s="241"/>
      <c r="AN61" s="241"/>
      <c r="AO61" s="241"/>
      <c r="AP61" s="241"/>
      <c r="AQ61" s="241"/>
      <c r="AR61" s="241"/>
      <c r="AS61" s="241"/>
      <c r="AT61" s="241"/>
      <c r="AU61" s="241"/>
      <c r="AV61" s="241"/>
      <c r="AW61" s="241"/>
      <c r="AX61" s="241"/>
      <c r="AY61" s="241"/>
      <c r="AZ61" s="241"/>
      <c r="BA61" s="241"/>
      <c r="BB61" s="241"/>
      <c r="BC61" s="241"/>
      <c r="BD61" s="241"/>
      <c r="BE61" s="241"/>
      <c r="BF61" s="241"/>
      <c r="BG61" s="241"/>
      <c r="BH61" s="241"/>
      <c r="BI61" s="241"/>
      <c r="BJ61" s="241"/>
      <c r="BK61" s="241"/>
      <c r="BL61" s="241"/>
      <c r="BM61" s="241"/>
    </row>
    <row r="62" spans="1:65" ht="13.5" customHeight="1" x14ac:dyDescent="0.3">
      <c r="A62" s="241"/>
      <c r="B62" s="241"/>
      <c r="C62" s="241"/>
      <c r="D62" s="241"/>
      <c r="E62" s="241"/>
      <c r="F62" s="241"/>
      <c r="G62" s="241"/>
      <c r="H62" s="241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Y62" s="241"/>
      <c r="Z62" s="241"/>
      <c r="AA62" s="241"/>
      <c r="AB62" s="241"/>
      <c r="AC62" s="241"/>
      <c r="AD62" s="241"/>
      <c r="AE62" s="241"/>
      <c r="AF62" s="241"/>
      <c r="AG62" s="241"/>
      <c r="AH62" s="241"/>
      <c r="AI62" s="241"/>
      <c r="AJ62" s="241"/>
      <c r="AK62" s="241"/>
      <c r="AL62" s="241"/>
      <c r="AM62" s="241"/>
      <c r="AN62" s="241"/>
      <c r="AO62" s="241"/>
      <c r="AP62" s="241"/>
      <c r="AQ62" s="241"/>
      <c r="AR62" s="241"/>
      <c r="AS62" s="241"/>
      <c r="AT62" s="241"/>
      <c r="AU62" s="241"/>
      <c r="AV62" s="241"/>
      <c r="AW62" s="241"/>
      <c r="AX62" s="241"/>
      <c r="AY62" s="241"/>
      <c r="AZ62" s="241"/>
      <c r="BA62" s="241"/>
      <c r="BB62" s="241"/>
      <c r="BC62" s="241"/>
      <c r="BD62" s="241"/>
      <c r="BE62" s="241"/>
      <c r="BF62" s="241"/>
      <c r="BG62" s="241"/>
      <c r="BH62" s="241"/>
      <c r="BI62" s="241"/>
      <c r="BJ62" s="241"/>
      <c r="BK62" s="241"/>
      <c r="BL62" s="241"/>
      <c r="BM62" s="241"/>
    </row>
    <row r="63" spans="1:65" ht="13.5" customHeight="1" x14ac:dyDescent="0.3">
      <c r="A63" s="241"/>
      <c r="B63" s="241"/>
      <c r="C63" s="241"/>
      <c r="D63" s="241"/>
      <c r="E63" s="241"/>
      <c r="F63" s="241"/>
      <c r="G63" s="241"/>
      <c r="H63" s="24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Y63" s="241"/>
      <c r="Z63" s="241"/>
      <c r="AA63" s="241"/>
      <c r="AB63" s="241"/>
      <c r="AC63" s="241"/>
      <c r="AD63" s="241"/>
      <c r="AE63" s="241"/>
      <c r="AF63" s="241"/>
      <c r="AG63" s="241"/>
      <c r="AH63" s="241"/>
      <c r="AI63" s="241"/>
      <c r="AJ63" s="241"/>
      <c r="AK63" s="241"/>
      <c r="AL63" s="241"/>
      <c r="AM63" s="241"/>
      <c r="AN63" s="241"/>
      <c r="AO63" s="241"/>
      <c r="AP63" s="241"/>
      <c r="AQ63" s="241"/>
      <c r="AR63" s="241"/>
      <c r="AS63" s="241"/>
      <c r="AT63" s="241"/>
      <c r="AU63" s="241"/>
      <c r="AV63" s="241"/>
      <c r="AW63" s="241"/>
      <c r="AX63" s="241"/>
      <c r="AY63" s="241"/>
      <c r="AZ63" s="241"/>
      <c r="BA63" s="241"/>
      <c r="BB63" s="241"/>
      <c r="BC63" s="241"/>
      <c r="BD63" s="241"/>
      <c r="BE63" s="241"/>
      <c r="BF63" s="241"/>
      <c r="BG63" s="241"/>
      <c r="BH63" s="241"/>
      <c r="BI63" s="241"/>
      <c r="BJ63" s="241"/>
      <c r="BK63" s="241"/>
      <c r="BL63" s="241"/>
      <c r="BM63" s="241"/>
    </row>
    <row r="64" spans="1:65" ht="13.5" customHeight="1" x14ac:dyDescent="0.3">
      <c r="A64" s="241"/>
      <c r="B64" s="241"/>
      <c r="C64" s="241"/>
      <c r="D64" s="241"/>
      <c r="E64" s="241"/>
      <c r="F64" s="241"/>
      <c r="G64" s="241"/>
      <c r="H64" s="24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Y64" s="241"/>
      <c r="Z64" s="241"/>
      <c r="AA64" s="241"/>
      <c r="AB64" s="241"/>
      <c r="AC64" s="241"/>
      <c r="AD64" s="241"/>
      <c r="AE64" s="241"/>
      <c r="AF64" s="241"/>
      <c r="AG64" s="241"/>
      <c r="AH64" s="241"/>
      <c r="AI64" s="241"/>
      <c r="AJ64" s="241"/>
      <c r="AK64" s="241"/>
      <c r="AL64" s="241"/>
      <c r="AM64" s="241"/>
      <c r="AN64" s="241"/>
      <c r="AO64" s="241"/>
      <c r="AP64" s="241"/>
      <c r="AQ64" s="241"/>
      <c r="AR64" s="241"/>
      <c r="AS64" s="241"/>
      <c r="AT64" s="241"/>
      <c r="AU64" s="241"/>
      <c r="AV64" s="241"/>
      <c r="AW64" s="241"/>
      <c r="AX64" s="241"/>
      <c r="AY64" s="241"/>
      <c r="AZ64" s="241"/>
      <c r="BA64" s="241"/>
      <c r="BB64" s="241"/>
      <c r="BC64" s="241"/>
      <c r="BD64" s="241"/>
      <c r="BE64" s="241"/>
      <c r="BF64" s="241"/>
      <c r="BG64" s="241"/>
      <c r="BH64" s="241"/>
      <c r="BI64" s="241"/>
      <c r="BJ64" s="241"/>
      <c r="BK64" s="241"/>
      <c r="BL64" s="241"/>
      <c r="BM64" s="241"/>
    </row>
    <row r="65" spans="1:65" ht="13.5" customHeight="1" x14ac:dyDescent="0.3">
      <c r="A65" s="241"/>
      <c r="B65" s="241"/>
      <c r="C65" s="241"/>
      <c r="D65" s="241"/>
      <c r="E65" s="241"/>
      <c r="F65" s="241"/>
      <c r="G65" s="241"/>
      <c r="H65" s="241"/>
      <c r="I65" s="241"/>
      <c r="J65" s="241"/>
      <c r="K65" s="241"/>
      <c r="L65" s="241"/>
      <c r="M65" s="241"/>
      <c r="N65" s="241"/>
      <c r="O65" s="241"/>
      <c r="P65" s="241"/>
      <c r="Q65" s="241"/>
      <c r="R65" s="241"/>
      <c r="S65" s="241"/>
      <c r="T65" s="241"/>
      <c r="U65" s="241"/>
      <c r="V65" s="241"/>
      <c r="W65" s="241"/>
      <c r="X65" s="241"/>
      <c r="Y65" s="241"/>
      <c r="Z65" s="241"/>
      <c r="AA65" s="241"/>
      <c r="AB65" s="241"/>
      <c r="AC65" s="241"/>
      <c r="AD65" s="241"/>
      <c r="AE65" s="241"/>
      <c r="AF65" s="241"/>
      <c r="AG65" s="241"/>
      <c r="AH65" s="241"/>
      <c r="AI65" s="241"/>
      <c r="AJ65" s="241"/>
      <c r="AK65" s="241"/>
      <c r="AL65" s="241"/>
      <c r="AM65" s="241"/>
      <c r="AN65" s="241"/>
      <c r="AO65" s="241"/>
      <c r="AP65" s="241"/>
      <c r="AQ65" s="241"/>
      <c r="AR65" s="241"/>
      <c r="AS65" s="241"/>
      <c r="AT65" s="241"/>
      <c r="AU65" s="241"/>
      <c r="AV65" s="241"/>
      <c r="AW65" s="241"/>
      <c r="AX65" s="241"/>
      <c r="AY65" s="241"/>
      <c r="AZ65" s="241"/>
      <c r="BA65" s="241"/>
      <c r="BB65" s="241"/>
      <c r="BC65" s="241"/>
      <c r="BD65" s="241"/>
      <c r="BE65" s="241"/>
      <c r="BF65" s="241"/>
      <c r="BG65" s="241"/>
      <c r="BH65" s="241"/>
      <c r="BI65" s="241"/>
      <c r="BJ65" s="241"/>
      <c r="BK65" s="241"/>
      <c r="BL65" s="241"/>
      <c r="BM65" s="241"/>
    </row>
    <row r="66" spans="1:65" ht="13.5" customHeight="1" x14ac:dyDescent="0.3">
      <c r="A66" s="241"/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  <c r="O66" s="241"/>
      <c r="P66" s="241"/>
      <c r="Q66" s="241"/>
      <c r="R66" s="241"/>
      <c r="S66" s="241"/>
      <c r="T66" s="241"/>
      <c r="U66" s="241"/>
      <c r="V66" s="241"/>
      <c r="W66" s="241"/>
      <c r="X66" s="241"/>
      <c r="Y66" s="241"/>
      <c r="Z66" s="241"/>
      <c r="AA66" s="241"/>
      <c r="AB66" s="241"/>
      <c r="AC66" s="241"/>
      <c r="AD66" s="241"/>
      <c r="AE66" s="241"/>
      <c r="AF66" s="241"/>
      <c r="AG66" s="241"/>
      <c r="AH66" s="241"/>
      <c r="AI66" s="241"/>
      <c r="AJ66" s="241"/>
      <c r="AK66" s="241"/>
      <c r="AL66" s="241"/>
      <c r="AM66" s="241"/>
      <c r="AN66" s="241"/>
      <c r="AO66" s="241"/>
      <c r="AP66" s="241"/>
      <c r="AQ66" s="241"/>
      <c r="AR66" s="241"/>
      <c r="AS66" s="241"/>
      <c r="AT66" s="241"/>
      <c r="AU66" s="241"/>
      <c r="AV66" s="241"/>
      <c r="AW66" s="241"/>
      <c r="AX66" s="241"/>
      <c r="AY66" s="241"/>
      <c r="AZ66" s="241"/>
      <c r="BA66" s="241"/>
      <c r="BB66" s="241"/>
      <c r="BC66" s="241"/>
      <c r="BD66" s="241"/>
      <c r="BE66" s="241"/>
      <c r="BF66" s="241"/>
      <c r="BG66" s="241"/>
      <c r="BH66" s="241"/>
      <c r="BI66" s="241"/>
      <c r="BJ66" s="241"/>
      <c r="BK66" s="241"/>
      <c r="BL66" s="241"/>
      <c r="BM66" s="241"/>
    </row>
    <row r="67" spans="1:65" ht="13.5" customHeight="1" x14ac:dyDescent="0.3">
      <c r="A67" s="241"/>
      <c r="B67" s="241"/>
      <c r="C67" s="241"/>
      <c r="D67" s="241"/>
      <c r="E67" s="241"/>
      <c r="F67" s="241"/>
      <c r="G67" s="241"/>
      <c r="H67" s="241"/>
      <c r="I67" s="241"/>
      <c r="J67" s="241"/>
      <c r="K67" s="241"/>
      <c r="L67" s="241"/>
      <c r="M67" s="241"/>
      <c r="N67" s="241"/>
      <c r="O67" s="241"/>
      <c r="P67" s="241"/>
      <c r="Q67" s="241"/>
      <c r="R67" s="241"/>
      <c r="S67" s="241"/>
      <c r="T67" s="241"/>
      <c r="U67" s="241"/>
      <c r="V67" s="241"/>
      <c r="W67" s="241"/>
      <c r="X67" s="241"/>
      <c r="Y67" s="241"/>
      <c r="Z67" s="241"/>
      <c r="AA67" s="241"/>
      <c r="AB67" s="241"/>
      <c r="AC67" s="241"/>
      <c r="AD67" s="241"/>
      <c r="AE67" s="241"/>
      <c r="AF67" s="241"/>
      <c r="AG67" s="241"/>
      <c r="AH67" s="241"/>
      <c r="AI67" s="241"/>
      <c r="AJ67" s="241"/>
      <c r="AK67" s="241"/>
      <c r="AL67" s="241"/>
      <c r="AM67" s="241"/>
      <c r="AN67" s="241"/>
      <c r="AO67" s="241"/>
      <c r="AP67" s="241"/>
      <c r="AQ67" s="241"/>
      <c r="AR67" s="241"/>
      <c r="AS67" s="241"/>
      <c r="AT67" s="241"/>
      <c r="AU67" s="241"/>
      <c r="AV67" s="241"/>
      <c r="AW67" s="241"/>
      <c r="AX67" s="241"/>
      <c r="AY67" s="241"/>
      <c r="AZ67" s="241"/>
      <c r="BA67" s="241"/>
      <c r="BB67" s="241"/>
      <c r="BC67" s="241"/>
      <c r="BD67" s="241"/>
      <c r="BE67" s="241"/>
      <c r="BF67" s="241"/>
      <c r="BG67" s="241"/>
      <c r="BH67" s="241"/>
      <c r="BI67" s="241"/>
      <c r="BJ67" s="241"/>
      <c r="BK67" s="241"/>
      <c r="BL67" s="241"/>
      <c r="BM67" s="241"/>
    </row>
    <row r="68" spans="1:65" ht="13.5" customHeight="1" x14ac:dyDescent="0.3">
      <c r="A68" s="241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1"/>
      <c r="Q68" s="241"/>
      <c r="R68" s="241"/>
      <c r="S68" s="241"/>
      <c r="T68" s="241"/>
      <c r="U68" s="241"/>
      <c r="V68" s="241"/>
      <c r="W68" s="241"/>
      <c r="X68" s="241"/>
      <c r="Y68" s="241"/>
      <c r="Z68" s="241"/>
      <c r="AA68" s="241"/>
      <c r="AB68" s="241"/>
      <c r="AC68" s="241"/>
      <c r="AD68" s="241"/>
      <c r="AE68" s="241"/>
      <c r="AF68" s="241"/>
      <c r="AG68" s="241"/>
      <c r="AH68" s="241"/>
      <c r="AI68" s="241"/>
      <c r="AJ68" s="241"/>
      <c r="AK68" s="241"/>
      <c r="AL68" s="241"/>
      <c r="AM68" s="241"/>
      <c r="AN68" s="241"/>
      <c r="AO68" s="241"/>
      <c r="AP68" s="241"/>
      <c r="AQ68" s="241"/>
      <c r="AR68" s="241"/>
      <c r="AS68" s="241"/>
      <c r="AT68" s="241"/>
      <c r="AU68" s="241"/>
      <c r="AV68" s="241"/>
      <c r="AW68" s="241"/>
      <c r="AX68" s="241"/>
      <c r="AY68" s="241"/>
      <c r="AZ68" s="241"/>
      <c r="BA68" s="241"/>
      <c r="BB68" s="241"/>
      <c r="BC68" s="241"/>
      <c r="BD68" s="241"/>
      <c r="BE68" s="241"/>
      <c r="BF68" s="241"/>
      <c r="BG68" s="241"/>
      <c r="BH68" s="241"/>
      <c r="BI68" s="241"/>
      <c r="BJ68" s="241"/>
      <c r="BK68" s="241"/>
      <c r="BL68" s="241"/>
      <c r="BM68" s="241"/>
    </row>
    <row r="69" spans="1:65" ht="13.5" customHeight="1" x14ac:dyDescent="0.3">
      <c r="A69" s="241"/>
      <c r="B69" s="241"/>
      <c r="C69" s="241"/>
      <c r="D69" s="241"/>
      <c r="E69" s="241"/>
      <c r="F69" s="241"/>
      <c r="G69" s="241"/>
      <c r="H69" s="241"/>
      <c r="I69" s="241"/>
      <c r="J69" s="241"/>
      <c r="K69" s="241"/>
      <c r="L69" s="241"/>
      <c r="M69" s="241"/>
      <c r="N69" s="241"/>
      <c r="O69" s="241"/>
      <c r="P69" s="241"/>
      <c r="Q69" s="241"/>
      <c r="R69" s="241"/>
      <c r="S69" s="241"/>
      <c r="T69" s="241"/>
      <c r="U69" s="241"/>
      <c r="V69" s="241"/>
      <c r="W69" s="241"/>
      <c r="X69" s="241"/>
      <c r="Y69" s="241"/>
      <c r="Z69" s="241"/>
      <c r="AA69" s="241"/>
      <c r="AB69" s="241"/>
      <c r="AC69" s="241"/>
      <c r="AD69" s="241"/>
      <c r="AE69" s="241"/>
      <c r="AF69" s="241"/>
      <c r="AG69" s="241"/>
      <c r="AH69" s="241"/>
      <c r="AI69" s="241"/>
      <c r="AJ69" s="241"/>
      <c r="AK69" s="241"/>
      <c r="AL69" s="241"/>
      <c r="AM69" s="241"/>
      <c r="AN69" s="241"/>
      <c r="AO69" s="241"/>
      <c r="AP69" s="241"/>
      <c r="AQ69" s="241"/>
      <c r="AR69" s="241"/>
      <c r="AS69" s="241"/>
      <c r="AT69" s="241"/>
      <c r="AU69" s="241"/>
      <c r="AV69" s="241"/>
      <c r="AW69" s="241"/>
      <c r="AX69" s="241"/>
      <c r="AY69" s="241"/>
      <c r="AZ69" s="241"/>
      <c r="BA69" s="241"/>
      <c r="BB69" s="241"/>
      <c r="BC69" s="241"/>
      <c r="BD69" s="241"/>
      <c r="BE69" s="241"/>
      <c r="BF69" s="241"/>
      <c r="BG69" s="241"/>
      <c r="BH69" s="241"/>
      <c r="BI69" s="241"/>
      <c r="BJ69" s="241"/>
      <c r="BK69" s="241"/>
      <c r="BL69" s="241"/>
      <c r="BM69" s="241"/>
    </row>
    <row r="70" spans="1:65" ht="13.5" customHeight="1" x14ac:dyDescent="0.3">
      <c r="A70" s="241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241"/>
      <c r="Q70" s="241"/>
      <c r="R70" s="241"/>
      <c r="S70" s="241"/>
      <c r="T70" s="241"/>
      <c r="U70" s="241"/>
      <c r="V70" s="241"/>
      <c r="W70" s="241"/>
      <c r="X70" s="241"/>
      <c r="Y70" s="241"/>
      <c r="Z70" s="241"/>
      <c r="AA70" s="241"/>
      <c r="AB70" s="241"/>
      <c r="AC70" s="241"/>
      <c r="AD70" s="241"/>
      <c r="AE70" s="241"/>
      <c r="AF70" s="241"/>
      <c r="AG70" s="241"/>
      <c r="AH70" s="241"/>
      <c r="AI70" s="241"/>
      <c r="AJ70" s="241"/>
      <c r="AK70" s="241"/>
      <c r="AL70" s="241"/>
      <c r="AM70" s="241"/>
      <c r="AN70" s="241"/>
      <c r="AO70" s="241"/>
      <c r="AP70" s="241"/>
      <c r="AQ70" s="241"/>
      <c r="AR70" s="241"/>
      <c r="AS70" s="241"/>
      <c r="AT70" s="241"/>
      <c r="AU70" s="241"/>
      <c r="AV70" s="241"/>
      <c r="AW70" s="241"/>
      <c r="AX70" s="241"/>
      <c r="AY70" s="241"/>
      <c r="AZ70" s="241"/>
      <c r="BA70" s="241"/>
      <c r="BB70" s="241"/>
      <c r="BC70" s="241"/>
      <c r="BD70" s="241"/>
      <c r="BE70" s="241"/>
      <c r="BF70" s="241"/>
      <c r="BG70" s="241"/>
      <c r="BH70" s="241"/>
      <c r="BI70" s="241"/>
      <c r="BJ70" s="241"/>
      <c r="BK70" s="241"/>
      <c r="BL70" s="241"/>
      <c r="BM70" s="241"/>
    </row>
    <row r="71" spans="1:65" ht="13.5" customHeight="1" x14ac:dyDescent="0.3">
      <c r="A71" s="241"/>
      <c r="B71" s="241"/>
      <c r="C71" s="241"/>
      <c r="D71" s="241"/>
      <c r="E71" s="241"/>
      <c r="F71" s="241"/>
      <c r="G71" s="241"/>
      <c r="H71" s="241"/>
      <c r="I71" s="241"/>
      <c r="J71" s="241"/>
      <c r="K71" s="241"/>
      <c r="L71" s="241"/>
      <c r="M71" s="241"/>
      <c r="N71" s="241"/>
      <c r="O71" s="241"/>
      <c r="P71" s="241"/>
      <c r="Q71" s="241"/>
      <c r="R71" s="241"/>
      <c r="S71" s="241"/>
      <c r="T71" s="241"/>
      <c r="U71" s="241"/>
      <c r="V71" s="241"/>
      <c r="W71" s="241"/>
      <c r="X71" s="241"/>
      <c r="Y71" s="241"/>
      <c r="Z71" s="241"/>
      <c r="AA71" s="241"/>
      <c r="AB71" s="241"/>
      <c r="AC71" s="241"/>
      <c r="AD71" s="241"/>
      <c r="AE71" s="241"/>
      <c r="AF71" s="241"/>
      <c r="AG71" s="241"/>
      <c r="AH71" s="241"/>
      <c r="AI71" s="241"/>
      <c r="AJ71" s="241"/>
      <c r="AK71" s="241"/>
      <c r="AL71" s="241"/>
      <c r="AM71" s="241"/>
      <c r="AN71" s="241"/>
      <c r="AO71" s="241"/>
      <c r="AP71" s="241"/>
      <c r="AQ71" s="241"/>
      <c r="AR71" s="241"/>
      <c r="AS71" s="241"/>
      <c r="AT71" s="241"/>
      <c r="AU71" s="241"/>
      <c r="AV71" s="241"/>
      <c r="AW71" s="241"/>
      <c r="AX71" s="241"/>
      <c r="AY71" s="241"/>
      <c r="AZ71" s="241"/>
      <c r="BA71" s="241"/>
      <c r="BB71" s="241"/>
      <c r="BC71" s="241"/>
      <c r="BD71" s="241"/>
      <c r="BE71" s="241"/>
      <c r="BF71" s="241"/>
      <c r="BG71" s="241"/>
      <c r="BH71" s="241"/>
      <c r="BI71" s="241"/>
      <c r="BJ71" s="241"/>
      <c r="BK71" s="241"/>
      <c r="BL71" s="241"/>
      <c r="BM71" s="241"/>
    </row>
    <row r="72" spans="1:65" ht="13.5" customHeight="1" x14ac:dyDescent="0.3">
      <c r="A72" s="241"/>
      <c r="B72" s="241"/>
      <c r="C72" s="241"/>
      <c r="D72" s="241"/>
      <c r="E72" s="241"/>
      <c r="F72" s="241"/>
      <c r="G72" s="241"/>
      <c r="H72" s="241"/>
      <c r="I72" s="241"/>
      <c r="J72" s="241"/>
      <c r="K72" s="241"/>
      <c r="L72" s="241"/>
      <c r="M72" s="241"/>
      <c r="N72" s="241"/>
      <c r="O72" s="241"/>
      <c r="P72" s="241"/>
      <c r="Q72" s="241"/>
      <c r="R72" s="241"/>
      <c r="S72" s="241"/>
      <c r="T72" s="241"/>
      <c r="U72" s="241"/>
      <c r="V72" s="241"/>
      <c r="W72" s="241"/>
      <c r="X72" s="241"/>
      <c r="Y72" s="241"/>
      <c r="Z72" s="241"/>
      <c r="AA72" s="241"/>
      <c r="AB72" s="241"/>
      <c r="AC72" s="241"/>
      <c r="AD72" s="241"/>
      <c r="AE72" s="241"/>
      <c r="AF72" s="241"/>
      <c r="AG72" s="241"/>
      <c r="AH72" s="241"/>
      <c r="AI72" s="241"/>
      <c r="AJ72" s="241"/>
      <c r="AK72" s="241"/>
      <c r="AL72" s="241"/>
      <c r="AM72" s="241"/>
      <c r="AN72" s="241"/>
      <c r="AO72" s="241"/>
      <c r="AP72" s="241"/>
      <c r="AQ72" s="241"/>
      <c r="AR72" s="241"/>
      <c r="AS72" s="241"/>
      <c r="AT72" s="241"/>
      <c r="AU72" s="241"/>
      <c r="AV72" s="241"/>
      <c r="AW72" s="241"/>
      <c r="AX72" s="241"/>
      <c r="AY72" s="241"/>
      <c r="AZ72" s="241"/>
      <c r="BA72" s="241"/>
      <c r="BB72" s="241"/>
      <c r="BC72" s="241"/>
      <c r="BD72" s="241"/>
      <c r="BE72" s="241"/>
      <c r="BF72" s="241"/>
      <c r="BG72" s="241"/>
      <c r="BH72" s="241"/>
      <c r="BI72" s="241"/>
      <c r="BJ72" s="241"/>
      <c r="BK72" s="241"/>
      <c r="BL72" s="241"/>
      <c r="BM72" s="241"/>
    </row>
    <row r="73" spans="1:65" ht="13.5" customHeight="1" x14ac:dyDescent="0.3">
      <c r="A73" s="241"/>
      <c r="B73" s="241"/>
      <c r="C73" s="241"/>
      <c r="D73" s="241"/>
      <c r="E73" s="241"/>
      <c r="F73" s="241"/>
      <c r="G73" s="241"/>
      <c r="H73" s="241"/>
      <c r="I73" s="241"/>
      <c r="J73" s="241"/>
      <c r="K73" s="241"/>
      <c r="L73" s="241"/>
      <c r="M73" s="241"/>
      <c r="N73" s="241"/>
      <c r="O73" s="241"/>
      <c r="P73" s="241"/>
      <c r="Q73" s="241"/>
      <c r="R73" s="241"/>
      <c r="S73" s="241"/>
      <c r="T73" s="241"/>
      <c r="U73" s="241"/>
      <c r="V73" s="241"/>
      <c r="W73" s="241"/>
      <c r="X73" s="241"/>
      <c r="Y73" s="241"/>
      <c r="Z73" s="241"/>
      <c r="AA73" s="241"/>
      <c r="AB73" s="241"/>
      <c r="AC73" s="241"/>
      <c r="AD73" s="241"/>
      <c r="AE73" s="241"/>
      <c r="AF73" s="241"/>
      <c r="AG73" s="241"/>
      <c r="AH73" s="241"/>
      <c r="AI73" s="241"/>
      <c r="AJ73" s="241"/>
      <c r="AK73" s="241"/>
      <c r="AL73" s="241"/>
      <c r="AM73" s="241"/>
      <c r="AN73" s="241"/>
      <c r="AO73" s="241"/>
      <c r="AP73" s="241"/>
      <c r="AQ73" s="241"/>
      <c r="AR73" s="241"/>
      <c r="AS73" s="241"/>
      <c r="AT73" s="241"/>
      <c r="AU73" s="241"/>
      <c r="AV73" s="241"/>
      <c r="AW73" s="241"/>
      <c r="AX73" s="241"/>
      <c r="AY73" s="241"/>
      <c r="AZ73" s="241"/>
      <c r="BA73" s="241"/>
      <c r="BB73" s="241"/>
      <c r="BC73" s="241"/>
      <c r="BD73" s="241"/>
      <c r="BE73" s="241"/>
      <c r="BF73" s="241"/>
      <c r="BG73" s="241"/>
      <c r="BH73" s="241"/>
      <c r="BI73" s="241"/>
      <c r="BJ73" s="241"/>
      <c r="BK73" s="241"/>
      <c r="BL73" s="241"/>
      <c r="BM73" s="241"/>
    </row>
    <row r="74" spans="1:65" ht="13.5" customHeight="1" x14ac:dyDescent="0.3">
      <c r="A74" s="241"/>
      <c r="B74" s="241"/>
      <c r="C74" s="241"/>
      <c r="D74" s="241"/>
      <c r="E74" s="241"/>
      <c r="F74" s="241"/>
      <c r="G74" s="241"/>
      <c r="H74" s="241"/>
      <c r="I74" s="241"/>
      <c r="J74" s="241"/>
      <c r="K74" s="241"/>
      <c r="L74" s="241"/>
      <c r="M74" s="241"/>
      <c r="N74" s="241"/>
      <c r="O74" s="241"/>
      <c r="P74" s="241"/>
      <c r="Q74" s="241"/>
      <c r="R74" s="241"/>
      <c r="S74" s="241"/>
      <c r="T74" s="241"/>
      <c r="U74" s="241"/>
      <c r="V74" s="241"/>
      <c r="W74" s="241"/>
      <c r="X74" s="241"/>
      <c r="Y74" s="241"/>
      <c r="Z74" s="241"/>
      <c r="AA74" s="241"/>
      <c r="AB74" s="241"/>
      <c r="AC74" s="241"/>
      <c r="AD74" s="241"/>
      <c r="AE74" s="241"/>
      <c r="AF74" s="241"/>
      <c r="AG74" s="241"/>
      <c r="AH74" s="241"/>
      <c r="AI74" s="241"/>
      <c r="AJ74" s="241"/>
      <c r="AK74" s="241"/>
      <c r="AL74" s="241"/>
      <c r="AM74" s="241"/>
      <c r="AN74" s="241"/>
      <c r="AO74" s="241"/>
      <c r="AP74" s="241"/>
      <c r="AQ74" s="241"/>
      <c r="AR74" s="241"/>
      <c r="AS74" s="241"/>
      <c r="AT74" s="241"/>
      <c r="AU74" s="241"/>
      <c r="AV74" s="241"/>
      <c r="AW74" s="241"/>
      <c r="AX74" s="241"/>
      <c r="AY74" s="241"/>
      <c r="AZ74" s="241"/>
      <c r="BA74" s="241"/>
      <c r="BB74" s="241"/>
      <c r="BC74" s="241"/>
      <c r="BD74" s="241"/>
      <c r="BE74" s="241"/>
      <c r="BF74" s="241"/>
      <c r="BG74" s="241"/>
      <c r="BH74" s="241"/>
      <c r="BI74" s="241"/>
      <c r="BJ74" s="241"/>
      <c r="BK74" s="241"/>
      <c r="BL74" s="241"/>
      <c r="BM74" s="241"/>
    </row>
    <row r="75" spans="1:65" ht="13.5" customHeight="1" x14ac:dyDescent="0.3">
      <c r="A75" s="241"/>
      <c r="B75" s="241"/>
      <c r="C75" s="241"/>
      <c r="D75" s="241"/>
      <c r="E75" s="241"/>
      <c r="F75" s="241"/>
      <c r="G75" s="241"/>
      <c r="H75" s="241"/>
      <c r="I75" s="241"/>
      <c r="J75" s="241"/>
      <c r="K75" s="241"/>
      <c r="L75" s="241"/>
      <c r="M75" s="241"/>
      <c r="N75" s="241"/>
      <c r="O75" s="241"/>
      <c r="P75" s="241"/>
      <c r="Q75" s="241"/>
      <c r="R75" s="241"/>
      <c r="S75" s="241"/>
      <c r="T75" s="241"/>
      <c r="U75" s="241"/>
      <c r="V75" s="241"/>
      <c r="W75" s="241"/>
      <c r="X75" s="241"/>
      <c r="Y75" s="241"/>
      <c r="Z75" s="241"/>
      <c r="AA75" s="241"/>
      <c r="AB75" s="241"/>
      <c r="AC75" s="241"/>
      <c r="AD75" s="241"/>
      <c r="AE75" s="241"/>
      <c r="AF75" s="241"/>
      <c r="AG75" s="241"/>
      <c r="AH75" s="241"/>
      <c r="AI75" s="241"/>
      <c r="AJ75" s="241"/>
      <c r="AK75" s="241"/>
      <c r="AL75" s="241"/>
      <c r="AM75" s="241"/>
      <c r="AN75" s="241"/>
      <c r="AO75" s="241"/>
      <c r="AP75" s="241"/>
      <c r="AQ75" s="241"/>
      <c r="AR75" s="241"/>
      <c r="AS75" s="241"/>
      <c r="AT75" s="241"/>
      <c r="AU75" s="241"/>
      <c r="AV75" s="241"/>
      <c r="AW75" s="241"/>
      <c r="AX75" s="241"/>
      <c r="AY75" s="241"/>
      <c r="AZ75" s="241"/>
      <c r="BA75" s="241"/>
      <c r="BB75" s="241"/>
      <c r="BC75" s="241"/>
      <c r="BD75" s="241"/>
      <c r="BE75" s="241"/>
      <c r="BF75" s="241"/>
      <c r="BG75" s="241"/>
      <c r="BH75" s="241"/>
      <c r="BI75" s="241"/>
      <c r="BJ75" s="241"/>
      <c r="BK75" s="241"/>
      <c r="BL75" s="241"/>
      <c r="BM75" s="241"/>
    </row>
    <row r="76" spans="1:65" ht="13.5" customHeight="1" x14ac:dyDescent="0.3">
      <c r="A76" s="241"/>
      <c r="B76" s="241"/>
      <c r="C76" s="241"/>
      <c r="D76" s="241"/>
      <c r="E76" s="241"/>
      <c r="F76" s="241"/>
      <c r="G76" s="241"/>
      <c r="H76" s="241"/>
      <c r="I76" s="241"/>
      <c r="J76" s="241"/>
      <c r="K76" s="241"/>
      <c r="L76" s="241"/>
      <c r="M76" s="241"/>
      <c r="N76" s="241"/>
      <c r="O76" s="241"/>
      <c r="P76" s="241"/>
      <c r="Q76" s="241"/>
      <c r="R76" s="241"/>
      <c r="S76" s="241"/>
      <c r="T76" s="241"/>
      <c r="U76" s="241"/>
      <c r="V76" s="241"/>
      <c r="W76" s="241"/>
      <c r="X76" s="241"/>
      <c r="Y76" s="241"/>
      <c r="Z76" s="241"/>
      <c r="AA76" s="241"/>
      <c r="AB76" s="241"/>
      <c r="AC76" s="241"/>
      <c r="AD76" s="241"/>
      <c r="AE76" s="241"/>
      <c r="AF76" s="241"/>
      <c r="AG76" s="241"/>
      <c r="AH76" s="241"/>
      <c r="AI76" s="241"/>
      <c r="AJ76" s="241"/>
      <c r="AK76" s="241"/>
      <c r="AL76" s="241"/>
      <c r="AM76" s="241"/>
      <c r="AN76" s="241"/>
      <c r="AO76" s="241"/>
      <c r="AP76" s="241"/>
      <c r="AQ76" s="241"/>
      <c r="AR76" s="241"/>
      <c r="AS76" s="241"/>
      <c r="AT76" s="241"/>
      <c r="AU76" s="241"/>
      <c r="AV76" s="241"/>
      <c r="AW76" s="241"/>
      <c r="AX76" s="241"/>
      <c r="AY76" s="241"/>
      <c r="AZ76" s="241"/>
      <c r="BA76" s="241"/>
      <c r="BB76" s="241"/>
      <c r="BC76" s="241"/>
      <c r="BD76" s="241"/>
      <c r="BE76" s="241"/>
      <c r="BF76" s="241"/>
      <c r="BG76" s="241"/>
      <c r="BH76" s="241"/>
      <c r="BI76" s="241"/>
      <c r="BJ76" s="241"/>
      <c r="BK76" s="241"/>
      <c r="BL76" s="241"/>
      <c r="BM76" s="241"/>
    </row>
    <row r="77" spans="1:65" ht="13.5" customHeight="1" x14ac:dyDescent="0.3">
      <c r="A77" s="241"/>
      <c r="B77" s="241"/>
      <c r="C77" s="241"/>
      <c r="D77" s="241"/>
      <c r="E77" s="241"/>
      <c r="F77" s="241"/>
      <c r="G77" s="241"/>
      <c r="H77" s="241"/>
      <c r="I77" s="241"/>
      <c r="J77" s="241"/>
      <c r="K77" s="241"/>
      <c r="L77" s="241"/>
      <c r="M77" s="241"/>
      <c r="N77" s="241"/>
      <c r="O77" s="241"/>
      <c r="P77" s="241"/>
      <c r="Q77" s="241"/>
      <c r="R77" s="241"/>
      <c r="S77" s="241"/>
      <c r="T77" s="241"/>
      <c r="U77" s="241"/>
      <c r="V77" s="241"/>
      <c r="W77" s="241"/>
      <c r="X77" s="241"/>
      <c r="Y77" s="241"/>
      <c r="Z77" s="241"/>
      <c r="AA77" s="241"/>
      <c r="AB77" s="241"/>
      <c r="AC77" s="241"/>
      <c r="AD77" s="241"/>
      <c r="AE77" s="241"/>
      <c r="AF77" s="241"/>
      <c r="AG77" s="241"/>
      <c r="AH77" s="241"/>
      <c r="AI77" s="241"/>
      <c r="AJ77" s="241"/>
      <c r="AK77" s="241"/>
      <c r="AL77" s="241"/>
      <c r="AM77" s="241"/>
      <c r="AN77" s="241"/>
      <c r="AO77" s="241"/>
      <c r="AP77" s="241"/>
      <c r="AQ77" s="241"/>
      <c r="AR77" s="241"/>
      <c r="AS77" s="241"/>
      <c r="AT77" s="241"/>
      <c r="AU77" s="241"/>
      <c r="AV77" s="241"/>
      <c r="AW77" s="241"/>
      <c r="AX77" s="241"/>
      <c r="AY77" s="241"/>
      <c r="AZ77" s="241"/>
      <c r="BA77" s="241"/>
      <c r="BB77" s="241"/>
      <c r="BC77" s="241"/>
      <c r="BD77" s="241"/>
      <c r="BE77" s="241"/>
      <c r="BF77" s="241"/>
      <c r="BG77" s="241"/>
      <c r="BH77" s="241"/>
      <c r="BI77" s="241"/>
      <c r="BJ77" s="241"/>
      <c r="BK77" s="241"/>
      <c r="BL77" s="241"/>
      <c r="BM77" s="241"/>
    </row>
    <row r="78" spans="1:65" ht="13.5" customHeight="1" x14ac:dyDescent="0.3">
      <c r="A78" s="241"/>
      <c r="B78" s="241"/>
      <c r="C78" s="241"/>
      <c r="D78" s="241"/>
      <c r="E78" s="241"/>
      <c r="F78" s="241"/>
      <c r="G78" s="241"/>
      <c r="H78" s="241"/>
      <c r="I78" s="241"/>
      <c r="J78" s="241"/>
      <c r="K78" s="241"/>
      <c r="L78" s="241"/>
      <c r="M78" s="241"/>
      <c r="N78" s="241"/>
      <c r="O78" s="241"/>
      <c r="P78" s="241"/>
      <c r="Q78" s="241"/>
      <c r="R78" s="241"/>
      <c r="S78" s="241"/>
      <c r="T78" s="241"/>
      <c r="U78" s="241"/>
      <c r="V78" s="241"/>
      <c r="W78" s="241"/>
      <c r="X78" s="241"/>
      <c r="Y78" s="241"/>
      <c r="Z78" s="241"/>
      <c r="AA78" s="241"/>
      <c r="AB78" s="241"/>
      <c r="AC78" s="241"/>
      <c r="AD78" s="241"/>
      <c r="AE78" s="241"/>
      <c r="AF78" s="241"/>
      <c r="AG78" s="241"/>
      <c r="AH78" s="241"/>
      <c r="AI78" s="241"/>
      <c r="AJ78" s="241"/>
      <c r="AK78" s="241"/>
      <c r="AL78" s="241"/>
      <c r="AM78" s="241"/>
      <c r="AN78" s="241"/>
      <c r="AO78" s="241"/>
      <c r="AP78" s="241"/>
      <c r="AQ78" s="241"/>
      <c r="AR78" s="241"/>
      <c r="AS78" s="241"/>
      <c r="AT78" s="241"/>
      <c r="AU78" s="241"/>
      <c r="AV78" s="241"/>
      <c r="AW78" s="241"/>
      <c r="AX78" s="241"/>
      <c r="AY78" s="241"/>
      <c r="AZ78" s="241"/>
      <c r="BA78" s="241"/>
      <c r="BB78" s="241"/>
      <c r="BC78" s="241"/>
      <c r="BD78" s="241"/>
      <c r="BE78" s="241"/>
      <c r="BF78" s="241"/>
      <c r="BG78" s="241"/>
      <c r="BH78" s="241"/>
      <c r="BI78" s="241"/>
      <c r="BJ78" s="241"/>
      <c r="BK78" s="241"/>
      <c r="BL78" s="241"/>
      <c r="BM78" s="241"/>
    </row>
    <row r="79" spans="1:65" ht="13.5" customHeight="1" x14ac:dyDescent="0.3">
      <c r="A79" s="241"/>
      <c r="B79" s="241"/>
      <c r="C79" s="241"/>
      <c r="D79" s="241"/>
      <c r="E79" s="241"/>
      <c r="F79" s="241"/>
      <c r="G79" s="241"/>
      <c r="H79" s="241"/>
      <c r="I79" s="241"/>
      <c r="J79" s="241"/>
      <c r="K79" s="241"/>
      <c r="L79" s="241"/>
      <c r="M79" s="241"/>
      <c r="N79" s="241"/>
      <c r="O79" s="241"/>
      <c r="P79" s="241"/>
      <c r="Q79" s="241"/>
      <c r="R79" s="241"/>
      <c r="S79" s="241"/>
      <c r="T79" s="241"/>
      <c r="U79" s="241"/>
      <c r="V79" s="241"/>
      <c r="W79" s="241"/>
      <c r="X79" s="241"/>
      <c r="Y79" s="241"/>
      <c r="Z79" s="241"/>
      <c r="AA79" s="241"/>
      <c r="AB79" s="241"/>
      <c r="AC79" s="241"/>
      <c r="AD79" s="241"/>
      <c r="AE79" s="241"/>
      <c r="AF79" s="241"/>
      <c r="AG79" s="241"/>
      <c r="AH79" s="241"/>
      <c r="AI79" s="241"/>
      <c r="AJ79" s="241"/>
      <c r="AK79" s="241"/>
      <c r="AL79" s="241"/>
      <c r="AM79" s="241"/>
      <c r="AN79" s="241"/>
      <c r="AO79" s="241"/>
      <c r="AP79" s="241"/>
      <c r="AQ79" s="241"/>
      <c r="AR79" s="241"/>
      <c r="AS79" s="241"/>
      <c r="AT79" s="241"/>
      <c r="AU79" s="241"/>
      <c r="AV79" s="241"/>
      <c r="AW79" s="241"/>
      <c r="AX79" s="241"/>
      <c r="AY79" s="241"/>
      <c r="AZ79" s="241"/>
      <c r="BA79" s="241"/>
      <c r="BB79" s="241"/>
      <c r="BC79" s="241"/>
      <c r="BD79" s="241"/>
      <c r="BE79" s="241"/>
      <c r="BF79" s="241"/>
      <c r="BG79" s="241"/>
      <c r="BH79" s="241"/>
      <c r="BI79" s="241"/>
      <c r="BJ79" s="241"/>
      <c r="BK79" s="241"/>
      <c r="BL79" s="241"/>
      <c r="BM79" s="241"/>
    </row>
    <row r="80" spans="1:65" ht="13.5" customHeight="1" x14ac:dyDescent="0.3">
      <c r="A80" s="241"/>
      <c r="B80" s="241"/>
      <c r="C80" s="241"/>
      <c r="D80" s="241"/>
      <c r="E80" s="241"/>
      <c r="F80" s="241"/>
      <c r="G80" s="241"/>
      <c r="H80" s="241"/>
      <c r="I80" s="241"/>
      <c r="J80" s="241"/>
      <c r="K80" s="241"/>
      <c r="L80" s="241"/>
      <c r="M80" s="241"/>
      <c r="N80" s="241"/>
      <c r="O80" s="241"/>
      <c r="P80" s="241"/>
      <c r="Q80" s="241"/>
      <c r="R80" s="241"/>
      <c r="S80" s="241"/>
      <c r="T80" s="241"/>
      <c r="U80" s="241"/>
      <c r="V80" s="241"/>
      <c r="W80" s="241"/>
      <c r="X80" s="241"/>
      <c r="Y80" s="241"/>
      <c r="Z80" s="241"/>
      <c r="AA80" s="241"/>
      <c r="AB80" s="241"/>
      <c r="AC80" s="241"/>
      <c r="AD80" s="241"/>
      <c r="AE80" s="241"/>
      <c r="AF80" s="241"/>
      <c r="AG80" s="241"/>
      <c r="AH80" s="241"/>
      <c r="AI80" s="241"/>
      <c r="AJ80" s="241"/>
      <c r="AK80" s="241"/>
      <c r="AL80" s="241"/>
      <c r="AM80" s="241"/>
      <c r="AN80" s="241"/>
      <c r="AO80" s="241"/>
      <c r="AP80" s="241"/>
      <c r="AQ80" s="241"/>
      <c r="AR80" s="241"/>
      <c r="AS80" s="241"/>
      <c r="AT80" s="241"/>
      <c r="AU80" s="241"/>
      <c r="AV80" s="241"/>
      <c r="AW80" s="241"/>
      <c r="AX80" s="241"/>
      <c r="AY80" s="241"/>
      <c r="AZ80" s="241"/>
      <c r="BA80" s="241"/>
      <c r="BB80" s="241"/>
      <c r="BC80" s="241"/>
      <c r="BD80" s="241"/>
      <c r="BE80" s="241"/>
      <c r="BF80" s="241"/>
      <c r="BG80" s="241"/>
      <c r="BH80" s="241"/>
      <c r="BI80" s="241"/>
      <c r="BJ80" s="241"/>
      <c r="BK80" s="241"/>
      <c r="BL80" s="241"/>
      <c r="BM80" s="241"/>
    </row>
    <row r="81" spans="1:65" ht="13.5" customHeight="1" x14ac:dyDescent="0.3">
      <c r="A81" s="241"/>
      <c r="B81" s="241"/>
      <c r="C81" s="241"/>
      <c r="D81" s="241"/>
      <c r="E81" s="241"/>
      <c r="F81" s="241"/>
      <c r="G81" s="241"/>
      <c r="H81" s="241"/>
      <c r="I81" s="241"/>
      <c r="J81" s="241"/>
      <c r="K81" s="241"/>
      <c r="L81" s="241"/>
      <c r="M81" s="241"/>
      <c r="N81" s="241"/>
      <c r="O81" s="241"/>
      <c r="P81" s="241"/>
      <c r="Q81" s="241"/>
      <c r="R81" s="241"/>
      <c r="S81" s="241"/>
      <c r="T81" s="241"/>
      <c r="U81" s="241"/>
      <c r="V81" s="241"/>
      <c r="W81" s="241"/>
      <c r="X81" s="241"/>
      <c r="Y81" s="241"/>
      <c r="Z81" s="241"/>
      <c r="AA81" s="241"/>
      <c r="AB81" s="241"/>
      <c r="AC81" s="241"/>
      <c r="AD81" s="241"/>
      <c r="AE81" s="241"/>
      <c r="AF81" s="241"/>
      <c r="AG81" s="241"/>
      <c r="AH81" s="241"/>
      <c r="AI81" s="241"/>
      <c r="AJ81" s="241"/>
      <c r="AK81" s="241"/>
      <c r="AL81" s="241"/>
      <c r="AM81" s="241"/>
      <c r="AN81" s="241"/>
      <c r="AO81" s="241"/>
      <c r="AP81" s="241"/>
      <c r="AQ81" s="241"/>
      <c r="AR81" s="241"/>
      <c r="AS81" s="241"/>
      <c r="AT81" s="241"/>
      <c r="AU81" s="241"/>
      <c r="AV81" s="241"/>
      <c r="AW81" s="241"/>
      <c r="AX81" s="241"/>
      <c r="AY81" s="241"/>
      <c r="AZ81" s="241"/>
      <c r="BA81" s="241"/>
      <c r="BB81" s="241"/>
      <c r="BC81" s="241"/>
      <c r="BD81" s="241"/>
      <c r="BE81" s="241"/>
      <c r="BF81" s="241"/>
      <c r="BG81" s="241"/>
      <c r="BH81" s="241"/>
      <c r="BI81" s="241"/>
      <c r="BJ81" s="241"/>
      <c r="BK81" s="241"/>
      <c r="BL81" s="241"/>
      <c r="BM81" s="241"/>
    </row>
    <row r="82" spans="1:65" ht="13.5" customHeight="1" x14ac:dyDescent="0.3">
      <c r="A82" s="241"/>
      <c r="B82" s="241"/>
      <c r="C82" s="241"/>
      <c r="D82" s="241"/>
      <c r="E82" s="241"/>
      <c r="F82" s="241"/>
      <c r="G82" s="241"/>
      <c r="H82" s="241"/>
      <c r="I82" s="241"/>
      <c r="J82" s="241"/>
      <c r="K82" s="241"/>
      <c r="L82" s="241"/>
      <c r="M82" s="241"/>
      <c r="N82" s="241"/>
      <c r="O82" s="241"/>
      <c r="P82" s="241"/>
      <c r="Q82" s="241"/>
      <c r="R82" s="241"/>
      <c r="S82" s="241"/>
      <c r="T82" s="241"/>
      <c r="U82" s="241"/>
      <c r="V82" s="241"/>
      <c r="W82" s="241"/>
      <c r="X82" s="241"/>
      <c r="Y82" s="241"/>
      <c r="Z82" s="241"/>
      <c r="AA82" s="241"/>
      <c r="AB82" s="241"/>
      <c r="AC82" s="241"/>
      <c r="AD82" s="241"/>
      <c r="AE82" s="241"/>
      <c r="AF82" s="241"/>
      <c r="AG82" s="241"/>
      <c r="AH82" s="241"/>
      <c r="AI82" s="241"/>
      <c r="AJ82" s="241"/>
      <c r="AK82" s="241"/>
      <c r="AL82" s="241"/>
      <c r="AM82" s="241"/>
      <c r="AN82" s="241"/>
      <c r="AO82" s="241"/>
      <c r="AP82" s="241"/>
      <c r="AQ82" s="241"/>
      <c r="AR82" s="241"/>
      <c r="AS82" s="241"/>
      <c r="AT82" s="241"/>
      <c r="AU82" s="241"/>
      <c r="AV82" s="241"/>
      <c r="AW82" s="241"/>
      <c r="AX82" s="241"/>
      <c r="AY82" s="241"/>
      <c r="AZ82" s="241"/>
      <c r="BA82" s="241"/>
      <c r="BB82" s="241"/>
      <c r="BC82" s="241"/>
      <c r="BD82" s="241"/>
      <c r="BE82" s="241"/>
      <c r="BF82" s="241"/>
      <c r="BG82" s="241"/>
      <c r="BH82" s="241"/>
      <c r="BI82" s="241"/>
      <c r="BJ82" s="241"/>
      <c r="BK82" s="241"/>
      <c r="BL82" s="241"/>
      <c r="BM82" s="241"/>
    </row>
    <row r="83" spans="1:65" ht="13.5" customHeight="1" x14ac:dyDescent="0.3">
      <c r="A83" s="241"/>
      <c r="B83" s="241"/>
      <c r="C83" s="241"/>
      <c r="D83" s="241"/>
      <c r="E83" s="241"/>
      <c r="F83" s="241"/>
      <c r="G83" s="241"/>
      <c r="H83" s="241"/>
      <c r="I83" s="241"/>
      <c r="J83" s="241"/>
      <c r="K83" s="241"/>
      <c r="L83" s="241"/>
      <c r="M83" s="241"/>
      <c r="N83" s="241"/>
      <c r="O83" s="241"/>
      <c r="P83" s="241"/>
      <c r="Q83" s="241"/>
      <c r="R83" s="241"/>
      <c r="S83" s="241"/>
      <c r="T83" s="241"/>
      <c r="U83" s="241"/>
      <c r="V83" s="241"/>
      <c r="W83" s="241"/>
      <c r="X83" s="241"/>
      <c r="Y83" s="241"/>
      <c r="Z83" s="241"/>
      <c r="AA83" s="241"/>
      <c r="AB83" s="241"/>
      <c r="AC83" s="241"/>
      <c r="AD83" s="241"/>
      <c r="AE83" s="241"/>
      <c r="AF83" s="241"/>
      <c r="AG83" s="241"/>
      <c r="AH83" s="241"/>
      <c r="AI83" s="241"/>
      <c r="AJ83" s="241"/>
      <c r="AK83" s="241"/>
      <c r="AL83" s="241"/>
      <c r="AM83" s="241"/>
      <c r="AN83" s="241"/>
      <c r="AO83" s="241"/>
      <c r="AP83" s="241"/>
      <c r="AQ83" s="241"/>
      <c r="AR83" s="241"/>
      <c r="AS83" s="241"/>
      <c r="AT83" s="241"/>
      <c r="AU83" s="241"/>
      <c r="AV83" s="241"/>
      <c r="AW83" s="241"/>
      <c r="AX83" s="241"/>
      <c r="AY83" s="241"/>
      <c r="AZ83" s="241"/>
      <c r="BA83" s="241"/>
      <c r="BB83" s="241"/>
      <c r="BC83" s="241"/>
      <c r="BD83" s="241"/>
      <c r="BE83" s="241"/>
      <c r="BF83" s="241"/>
      <c r="BG83" s="241"/>
      <c r="BH83" s="241"/>
      <c r="BI83" s="241"/>
      <c r="BJ83" s="241"/>
      <c r="BK83" s="241"/>
      <c r="BL83" s="241"/>
      <c r="BM83" s="241"/>
    </row>
    <row r="84" spans="1:65" ht="13.5" customHeight="1" x14ac:dyDescent="0.3">
      <c r="A84" s="241"/>
      <c r="B84" s="241"/>
      <c r="C84" s="241"/>
      <c r="D84" s="241"/>
      <c r="E84" s="241"/>
      <c r="F84" s="241"/>
      <c r="G84" s="241"/>
      <c r="H84" s="241"/>
      <c r="I84" s="241"/>
      <c r="J84" s="241"/>
      <c r="K84" s="241"/>
      <c r="L84" s="241"/>
      <c r="M84" s="241"/>
      <c r="N84" s="241"/>
      <c r="O84" s="241"/>
      <c r="P84" s="241"/>
      <c r="Q84" s="241"/>
      <c r="R84" s="241"/>
      <c r="S84" s="241"/>
      <c r="T84" s="241"/>
      <c r="U84" s="241"/>
      <c r="V84" s="241"/>
      <c r="W84" s="241"/>
      <c r="X84" s="241"/>
      <c r="Y84" s="241"/>
      <c r="Z84" s="241"/>
      <c r="AA84" s="241"/>
      <c r="AB84" s="241"/>
      <c r="AC84" s="241"/>
      <c r="AD84" s="241"/>
      <c r="AE84" s="241"/>
      <c r="AF84" s="241"/>
      <c r="AG84" s="241"/>
      <c r="AH84" s="241"/>
      <c r="AI84" s="241"/>
      <c r="AJ84" s="241"/>
      <c r="AK84" s="241"/>
      <c r="AL84" s="241"/>
      <c r="AM84" s="241"/>
      <c r="AN84" s="241"/>
      <c r="AO84" s="241"/>
      <c r="AP84" s="241"/>
      <c r="AQ84" s="241"/>
      <c r="AR84" s="241"/>
      <c r="AS84" s="241"/>
      <c r="AT84" s="241"/>
      <c r="AU84" s="241"/>
      <c r="AV84" s="241"/>
      <c r="AW84" s="241"/>
      <c r="AX84" s="241"/>
      <c r="AY84" s="241"/>
      <c r="AZ84" s="241"/>
      <c r="BA84" s="241"/>
      <c r="BB84" s="241"/>
      <c r="BC84" s="241"/>
      <c r="BD84" s="241"/>
      <c r="BE84" s="241"/>
      <c r="BF84" s="241"/>
      <c r="BG84" s="241"/>
      <c r="BH84" s="241"/>
      <c r="BI84" s="241"/>
      <c r="BJ84" s="241"/>
      <c r="BK84" s="241"/>
      <c r="BL84" s="241"/>
      <c r="BM84" s="241"/>
    </row>
    <row r="85" spans="1:65" ht="13.5" customHeight="1" x14ac:dyDescent="0.3">
      <c r="A85" s="241"/>
      <c r="B85" s="241"/>
      <c r="C85" s="241"/>
      <c r="D85" s="241"/>
      <c r="E85" s="241"/>
      <c r="F85" s="241"/>
      <c r="G85" s="241"/>
      <c r="H85" s="241"/>
      <c r="I85" s="241"/>
      <c r="J85" s="241"/>
      <c r="K85" s="241"/>
      <c r="L85" s="241"/>
      <c r="M85" s="241"/>
      <c r="N85" s="241"/>
      <c r="O85" s="241"/>
      <c r="P85" s="241"/>
      <c r="Q85" s="241"/>
      <c r="R85" s="241"/>
      <c r="S85" s="241"/>
      <c r="T85" s="241"/>
      <c r="U85" s="241"/>
      <c r="V85" s="241"/>
      <c r="W85" s="241"/>
      <c r="X85" s="241"/>
      <c r="Y85" s="241"/>
      <c r="Z85" s="241"/>
      <c r="AA85" s="241"/>
      <c r="AB85" s="241"/>
      <c r="AC85" s="241"/>
      <c r="AD85" s="241"/>
      <c r="AE85" s="241"/>
      <c r="AF85" s="241"/>
      <c r="AG85" s="241"/>
      <c r="AH85" s="241"/>
      <c r="AI85" s="241"/>
      <c r="AJ85" s="241"/>
      <c r="AK85" s="241"/>
      <c r="AL85" s="241"/>
      <c r="AM85" s="241"/>
      <c r="AN85" s="241"/>
      <c r="AO85" s="241"/>
      <c r="AP85" s="241"/>
      <c r="AQ85" s="241"/>
      <c r="AR85" s="241"/>
      <c r="AS85" s="241"/>
      <c r="AT85" s="241"/>
      <c r="AU85" s="241"/>
      <c r="AV85" s="241"/>
      <c r="AW85" s="241"/>
      <c r="AX85" s="241"/>
      <c r="AY85" s="241"/>
      <c r="AZ85" s="241"/>
      <c r="BA85" s="241"/>
      <c r="BB85" s="241"/>
      <c r="BC85" s="241"/>
      <c r="BD85" s="241"/>
      <c r="BE85" s="241"/>
      <c r="BF85" s="241"/>
      <c r="BG85" s="241"/>
      <c r="BH85" s="241"/>
      <c r="BI85" s="241"/>
      <c r="BJ85" s="241"/>
      <c r="BK85" s="241"/>
      <c r="BL85" s="241"/>
      <c r="BM85" s="241"/>
    </row>
    <row r="86" spans="1:65" ht="13.5" customHeight="1" x14ac:dyDescent="0.3">
      <c r="A86" s="241"/>
      <c r="B86" s="241"/>
      <c r="C86" s="241"/>
      <c r="D86" s="241"/>
      <c r="E86" s="241"/>
      <c r="F86" s="241"/>
      <c r="G86" s="241"/>
      <c r="H86" s="241"/>
      <c r="I86" s="241"/>
      <c r="J86" s="241"/>
      <c r="K86" s="241"/>
      <c r="L86" s="241"/>
      <c r="M86" s="241"/>
      <c r="N86" s="241"/>
      <c r="O86" s="241"/>
      <c r="P86" s="241"/>
      <c r="Q86" s="241"/>
      <c r="R86" s="241"/>
      <c r="S86" s="241"/>
      <c r="T86" s="241"/>
      <c r="U86" s="241"/>
      <c r="V86" s="241"/>
      <c r="W86" s="241"/>
      <c r="X86" s="241"/>
      <c r="Y86" s="241"/>
      <c r="Z86" s="241"/>
      <c r="AA86" s="241"/>
      <c r="AB86" s="241"/>
      <c r="AC86" s="241"/>
      <c r="AD86" s="241"/>
      <c r="AE86" s="241"/>
      <c r="AF86" s="241"/>
      <c r="AG86" s="241"/>
      <c r="AH86" s="241"/>
      <c r="AI86" s="241"/>
      <c r="AJ86" s="241"/>
      <c r="AK86" s="241"/>
      <c r="AL86" s="241"/>
      <c r="AM86" s="241"/>
      <c r="AN86" s="241"/>
      <c r="AO86" s="241"/>
      <c r="AP86" s="241"/>
      <c r="AQ86" s="241"/>
      <c r="AR86" s="241"/>
      <c r="AS86" s="241"/>
      <c r="AT86" s="241"/>
      <c r="AU86" s="241"/>
      <c r="AV86" s="241"/>
      <c r="AW86" s="241"/>
      <c r="AX86" s="241"/>
      <c r="AY86" s="241"/>
      <c r="AZ86" s="241"/>
      <c r="BA86" s="241"/>
      <c r="BB86" s="241"/>
      <c r="BC86" s="241"/>
      <c r="BD86" s="241"/>
      <c r="BE86" s="241"/>
      <c r="BF86" s="241"/>
      <c r="BG86" s="241"/>
      <c r="BH86" s="241"/>
      <c r="BI86" s="241"/>
      <c r="BJ86" s="241"/>
      <c r="BK86" s="241"/>
      <c r="BL86" s="241"/>
      <c r="BM86" s="241"/>
    </row>
    <row r="87" spans="1:65" ht="13.5" customHeight="1" x14ac:dyDescent="0.3">
      <c r="A87" s="241"/>
      <c r="B87" s="241"/>
      <c r="C87" s="241"/>
      <c r="D87" s="241"/>
      <c r="E87" s="241"/>
      <c r="F87" s="241"/>
      <c r="G87" s="241"/>
      <c r="H87" s="241"/>
      <c r="I87" s="241"/>
      <c r="J87" s="241"/>
      <c r="K87" s="241"/>
      <c r="L87" s="241"/>
      <c r="M87" s="241"/>
      <c r="N87" s="241"/>
      <c r="O87" s="241"/>
      <c r="P87" s="241"/>
      <c r="Q87" s="241"/>
      <c r="R87" s="241"/>
      <c r="S87" s="241"/>
      <c r="T87" s="241"/>
      <c r="U87" s="241"/>
      <c r="V87" s="241"/>
      <c r="W87" s="241"/>
      <c r="X87" s="241"/>
      <c r="Y87" s="241"/>
      <c r="Z87" s="241"/>
      <c r="AA87" s="241"/>
      <c r="AB87" s="241"/>
      <c r="AC87" s="241"/>
      <c r="AD87" s="241"/>
      <c r="AE87" s="241"/>
      <c r="AF87" s="241"/>
      <c r="AG87" s="241"/>
      <c r="AH87" s="241"/>
      <c r="AI87" s="241"/>
      <c r="AJ87" s="241"/>
      <c r="AK87" s="241"/>
      <c r="AL87" s="241"/>
      <c r="AM87" s="241"/>
      <c r="AN87" s="241"/>
      <c r="AO87" s="241"/>
      <c r="AP87" s="241"/>
      <c r="AQ87" s="241"/>
      <c r="AR87" s="241"/>
      <c r="AS87" s="241"/>
      <c r="AT87" s="241"/>
      <c r="AU87" s="241"/>
      <c r="AV87" s="241"/>
      <c r="AW87" s="241"/>
      <c r="AX87" s="241"/>
      <c r="AY87" s="241"/>
      <c r="AZ87" s="241"/>
      <c r="BA87" s="241"/>
      <c r="BB87" s="241"/>
      <c r="BC87" s="241"/>
      <c r="BD87" s="241"/>
      <c r="BE87" s="241"/>
      <c r="BF87" s="241"/>
      <c r="BG87" s="241"/>
      <c r="BH87" s="241"/>
      <c r="BI87" s="241"/>
      <c r="BJ87" s="241"/>
      <c r="BK87" s="241"/>
      <c r="BL87" s="241"/>
      <c r="BM87" s="241"/>
    </row>
    <row r="88" spans="1:65" ht="13.5" customHeight="1" x14ac:dyDescent="0.3">
      <c r="A88" s="241"/>
      <c r="B88" s="241"/>
      <c r="C88" s="241"/>
      <c r="D88" s="241"/>
      <c r="E88" s="241"/>
      <c r="F88" s="241"/>
      <c r="G88" s="241"/>
      <c r="H88" s="241"/>
      <c r="I88" s="241"/>
      <c r="J88" s="241"/>
      <c r="K88" s="241"/>
      <c r="L88" s="241"/>
      <c r="M88" s="241"/>
      <c r="N88" s="241"/>
      <c r="O88" s="241"/>
      <c r="P88" s="241"/>
      <c r="Q88" s="241"/>
      <c r="R88" s="241"/>
      <c r="S88" s="241"/>
      <c r="T88" s="241"/>
      <c r="U88" s="241"/>
      <c r="V88" s="241"/>
      <c r="W88" s="241"/>
      <c r="X88" s="241"/>
      <c r="Y88" s="241"/>
      <c r="Z88" s="241"/>
      <c r="AA88" s="241"/>
      <c r="AB88" s="241"/>
      <c r="AC88" s="241"/>
      <c r="AD88" s="241"/>
      <c r="AE88" s="241"/>
      <c r="AF88" s="241"/>
      <c r="AG88" s="241"/>
      <c r="AH88" s="241"/>
      <c r="AI88" s="241"/>
      <c r="AJ88" s="241"/>
      <c r="AK88" s="241"/>
      <c r="AL88" s="241"/>
      <c r="AM88" s="241"/>
      <c r="AN88" s="241"/>
      <c r="AO88" s="241"/>
      <c r="AP88" s="241"/>
      <c r="AQ88" s="241"/>
      <c r="AR88" s="241"/>
      <c r="AS88" s="241"/>
      <c r="AT88" s="241"/>
      <c r="AU88" s="241"/>
      <c r="AV88" s="241"/>
      <c r="AW88" s="241"/>
      <c r="AX88" s="241"/>
      <c r="AY88" s="241"/>
      <c r="AZ88" s="241"/>
      <c r="BA88" s="241"/>
      <c r="BB88" s="241"/>
      <c r="BC88" s="241"/>
      <c r="BD88" s="241"/>
      <c r="BE88" s="241"/>
      <c r="BF88" s="241"/>
      <c r="BG88" s="241"/>
      <c r="BH88" s="241"/>
      <c r="BI88" s="241"/>
      <c r="BJ88" s="241"/>
      <c r="BK88" s="241"/>
      <c r="BL88" s="241"/>
      <c r="BM88" s="241"/>
    </row>
    <row r="89" spans="1:65" ht="13.5" customHeight="1" x14ac:dyDescent="0.3">
      <c r="A89" s="241"/>
      <c r="B89" s="241"/>
      <c r="C89" s="241"/>
      <c r="D89" s="241"/>
      <c r="E89" s="241"/>
      <c r="F89" s="241"/>
      <c r="G89" s="241"/>
      <c r="H89" s="241"/>
      <c r="I89" s="241"/>
      <c r="J89" s="241"/>
      <c r="K89" s="241"/>
      <c r="L89" s="241"/>
      <c r="M89" s="241"/>
      <c r="N89" s="241"/>
      <c r="O89" s="241"/>
      <c r="P89" s="241"/>
      <c r="Q89" s="241"/>
      <c r="R89" s="241"/>
      <c r="S89" s="241"/>
      <c r="T89" s="241"/>
      <c r="U89" s="241"/>
      <c r="V89" s="241"/>
      <c r="W89" s="241"/>
      <c r="X89" s="241"/>
      <c r="Y89" s="241"/>
      <c r="Z89" s="241"/>
      <c r="AA89" s="241"/>
      <c r="AB89" s="241"/>
      <c r="AC89" s="241"/>
      <c r="AD89" s="241"/>
      <c r="AE89" s="241"/>
      <c r="AF89" s="241"/>
      <c r="AG89" s="241"/>
      <c r="AH89" s="241"/>
      <c r="AI89" s="241"/>
      <c r="AJ89" s="241"/>
      <c r="AK89" s="241"/>
      <c r="AL89" s="241"/>
      <c r="AM89" s="241"/>
      <c r="AN89" s="241"/>
      <c r="AO89" s="241"/>
      <c r="AP89" s="241"/>
      <c r="AQ89" s="241"/>
      <c r="AR89" s="241"/>
      <c r="AS89" s="241"/>
      <c r="AT89" s="241"/>
      <c r="AU89" s="241"/>
      <c r="AV89" s="241"/>
      <c r="AW89" s="241"/>
      <c r="AX89" s="241"/>
      <c r="AY89" s="241"/>
      <c r="AZ89" s="241"/>
      <c r="BA89" s="241"/>
      <c r="BB89" s="241"/>
      <c r="BC89" s="241"/>
      <c r="BD89" s="241"/>
      <c r="BE89" s="241"/>
      <c r="BF89" s="241"/>
      <c r="BG89" s="241"/>
      <c r="BH89" s="241"/>
      <c r="BI89" s="241"/>
      <c r="BJ89" s="241"/>
      <c r="BK89" s="241"/>
      <c r="BL89" s="241"/>
      <c r="BM89" s="241"/>
    </row>
    <row r="90" spans="1:65" ht="13.5" customHeight="1" x14ac:dyDescent="0.3">
      <c r="A90" s="241"/>
      <c r="B90" s="241"/>
      <c r="C90" s="241"/>
      <c r="D90" s="241"/>
      <c r="E90" s="241"/>
      <c r="F90" s="241"/>
      <c r="G90" s="241"/>
      <c r="H90" s="241"/>
      <c r="I90" s="241"/>
      <c r="J90" s="241"/>
      <c r="K90" s="241"/>
      <c r="L90" s="241"/>
      <c r="M90" s="241"/>
      <c r="N90" s="241"/>
      <c r="O90" s="241"/>
      <c r="P90" s="241"/>
      <c r="Q90" s="241"/>
      <c r="R90" s="241"/>
      <c r="S90" s="241"/>
      <c r="T90" s="241"/>
      <c r="U90" s="241"/>
      <c r="V90" s="241"/>
      <c r="W90" s="241"/>
      <c r="X90" s="241"/>
      <c r="Y90" s="241"/>
      <c r="Z90" s="241"/>
      <c r="AA90" s="241"/>
      <c r="AB90" s="241"/>
      <c r="AC90" s="241"/>
      <c r="AD90" s="241"/>
      <c r="AE90" s="241"/>
      <c r="AF90" s="241"/>
      <c r="AG90" s="241"/>
      <c r="AH90" s="241"/>
      <c r="AI90" s="241"/>
      <c r="AJ90" s="241"/>
      <c r="AK90" s="241"/>
      <c r="AL90" s="241"/>
      <c r="AM90" s="241"/>
      <c r="AN90" s="241"/>
      <c r="AO90" s="241"/>
      <c r="AP90" s="241"/>
      <c r="AQ90" s="241"/>
      <c r="AR90" s="241"/>
      <c r="AS90" s="241"/>
      <c r="AT90" s="241"/>
      <c r="AU90" s="241"/>
      <c r="AV90" s="241"/>
      <c r="AW90" s="241"/>
      <c r="AX90" s="241"/>
      <c r="AY90" s="241"/>
      <c r="AZ90" s="241"/>
      <c r="BA90" s="241"/>
      <c r="BB90" s="241"/>
      <c r="BC90" s="241"/>
      <c r="BD90" s="241"/>
      <c r="BE90" s="241"/>
      <c r="BF90" s="241"/>
      <c r="BG90" s="241"/>
      <c r="BH90" s="241"/>
      <c r="BI90" s="241"/>
      <c r="BJ90" s="241"/>
      <c r="BK90" s="241"/>
      <c r="BL90" s="241"/>
      <c r="BM90" s="241"/>
    </row>
    <row r="91" spans="1:65" ht="13.5" customHeight="1" x14ac:dyDescent="0.3">
      <c r="A91" s="241"/>
      <c r="B91" s="241"/>
      <c r="C91" s="241"/>
      <c r="D91" s="241"/>
      <c r="E91" s="241"/>
      <c r="F91" s="241"/>
      <c r="G91" s="241"/>
      <c r="H91" s="241"/>
      <c r="I91" s="241"/>
      <c r="J91" s="241"/>
      <c r="K91" s="241"/>
      <c r="L91" s="241"/>
      <c r="M91" s="241"/>
      <c r="N91" s="241"/>
      <c r="O91" s="241"/>
      <c r="P91" s="241"/>
      <c r="Q91" s="241"/>
      <c r="R91" s="241"/>
      <c r="S91" s="241"/>
      <c r="T91" s="241"/>
      <c r="U91" s="241"/>
      <c r="V91" s="241"/>
      <c r="W91" s="241"/>
      <c r="X91" s="241"/>
      <c r="Y91" s="241"/>
      <c r="Z91" s="241"/>
      <c r="AA91" s="241"/>
      <c r="AB91" s="241"/>
      <c r="AC91" s="241"/>
      <c r="AD91" s="241"/>
      <c r="AE91" s="241"/>
      <c r="AF91" s="241"/>
      <c r="AG91" s="241"/>
      <c r="AH91" s="241"/>
      <c r="AI91" s="241"/>
      <c r="AJ91" s="241"/>
      <c r="AK91" s="241"/>
      <c r="AL91" s="241"/>
      <c r="AM91" s="241"/>
      <c r="AN91" s="241"/>
      <c r="AO91" s="241"/>
      <c r="AP91" s="241"/>
      <c r="AQ91" s="241"/>
      <c r="AR91" s="241"/>
      <c r="AS91" s="241"/>
      <c r="AT91" s="241"/>
      <c r="AU91" s="241"/>
      <c r="AV91" s="241"/>
      <c r="AW91" s="241"/>
      <c r="AX91" s="241"/>
      <c r="AY91" s="241"/>
      <c r="AZ91" s="241"/>
      <c r="BA91" s="241"/>
      <c r="BB91" s="241"/>
      <c r="BC91" s="241"/>
      <c r="BD91" s="241"/>
      <c r="BE91" s="241"/>
      <c r="BF91" s="241"/>
      <c r="BG91" s="241"/>
      <c r="BH91" s="241"/>
      <c r="BI91" s="241"/>
      <c r="BJ91" s="241"/>
      <c r="BK91" s="241"/>
      <c r="BL91" s="241"/>
      <c r="BM91" s="241"/>
    </row>
    <row r="92" spans="1:65" ht="13.5" customHeight="1" x14ac:dyDescent="0.3">
      <c r="A92" s="241"/>
      <c r="B92" s="241"/>
      <c r="C92" s="241"/>
      <c r="D92" s="241"/>
      <c r="E92" s="241"/>
      <c r="F92" s="241"/>
      <c r="G92" s="241"/>
      <c r="H92" s="241"/>
      <c r="I92" s="241"/>
      <c r="J92" s="241"/>
      <c r="K92" s="241"/>
      <c r="L92" s="241"/>
      <c r="M92" s="241"/>
      <c r="N92" s="241"/>
      <c r="O92" s="241"/>
      <c r="P92" s="241"/>
      <c r="Q92" s="241"/>
      <c r="R92" s="241"/>
      <c r="S92" s="241"/>
      <c r="T92" s="241"/>
      <c r="U92" s="241"/>
      <c r="V92" s="241"/>
      <c r="W92" s="241"/>
      <c r="X92" s="241"/>
      <c r="Y92" s="241"/>
      <c r="Z92" s="241"/>
      <c r="AA92" s="241"/>
      <c r="AB92" s="241"/>
      <c r="AC92" s="241"/>
      <c r="AD92" s="241"/>
      <c r="AE92" s="241"/>
      <c r="AF92" s="241"/>
      <c r="AG92" s="241"/>
      <c r="AH92" s="241"/>
      <c r="AI92" s="241"/>
      <c r="AJ92" s="241"/>
      <c r="AK92" s="241"/>
      <c r="AL92" s="241"/>
      <c r="AM92" s="241"/>
      <c r="AN92" s="241"/>
      <c r="AO92" s="241"/>
      <c r="AP92" s="241"/>
      <c r="AQ92" s="241"/>
      <c r="AR92" s="241"/>
      <c r="AS92" s="241"/>
      <c r="AT92" s="241"/>
      <c r="AU92" s="241"/>
      <c r="AV92" s="241"/>
      <c r="AW92" s="241"/>
      <c r="AX92" s="241"/>
      <c r="AY92" s="241"/>
      <c r="AZ92" s="241"/>
      <c r="BA92" s="241"/>
      <c r="BB92" s="241"/>
      <c r="BC92" s="241"/>
      <c r="BD92" s="241"/>
      <c r="BE92" s="241"/>
      <c r="BF92" s="241"/>
      <c r="BG92" s="241"/>
      <c r="BH92" s="241"/>
      <c r="BI92" s="241"/>
      <c r="BJ92" s="241"/>
      <c r="BK92" s="241"/>
      <c r="BL92" s="241"/>
      <c r="BM92" s="241"/>
    </row>
    <row r="93" spans="1:65" ht="13.5" customHeight="1" x14ac:dyDescent="0.3">
      <c r="A93" s="241"/>
      <c r="B93" s="241"/>
      <c r="C93" s="241"/>
      <c r="D93" s="241"/>
      <c r="E93" s="241"/>
      <c r="F93" s="241"/>
      <c r="G93" s="241"/>
      <c r="H93" s="241"/>
      <c r="I93" s="241"/>
      <c r="J93" s="241"/>
      <c r="K93" s="241"/>
      <c r="L93" s="241"/>
      <c r="M93" s="241"/>
      <c r="N93" s="241"/>
      <c r="O93" s="241"/>
      <c r="P93" s="241"/>
      <c r="Q93" s="241"/>
      <c r="R93" s="241"/>
      <c r="S93" s="241"/>
      <c r="T93" s="241"/>
      <c r="U93" s="241"/>
      <c r="V93" s="241"/>
      <c r="W93" s="241"/>
      <c r="X93" s="241"/>
      <c r="Y93" s="241"/>
      <c r="Z93" s="241"/>
      <c r="AA93" s="241"/>
      <c r="AB93" s="241"/>
      <c r="AC93" s="241"/>
      <c r="AD93" s="241"/>
      <c r="AE93" s="241"/>
      <c r="AF93" s="241"/>
      <c r="AG93" s="241"/>
      <c r="AH93" s="241"/>
      <c r="AI93" s="241"/>
      <c r="AJ93" s="241"/>
      <c r="AK93" s="241"/>
      <c r="AL93" s="241"/>
      <c r="AM93" s="241"/>
      <c r="AN93" s="241"/>
      <c r="AO93" s="241"/>
      <c r="AP93" s="241"/>
      <c r="AQ93" s="241"/>
      <c r="AR93" s="241"/>
      <c r="AS93" s="241"/>
      <c r="AT93" s="241"/>
      <c r="AU93" s="241"/>
      <c r="AV93" s="241"/>
      <c r="AW93" s="241"/>
      <c r="AX93" s="241"/>
      <c r="AY93" s="241"/>
      <c r="AZ93" s="241"/>
      <c r="BA93" s="241"/>
      <c r="BB93" s="241"/>
      <c r="BC93" s="241"/>
      <c r="BD93" s="241"/>
      <c r="BE93" s="241"/>
      <c r="BF93" s="241"/>
      <c r="BG93" s="241"/>
      <c r="BH93" s="241"/>
      <c r="BI93" s="241"/>
      <c r="BJ93" s="241"/>
      <c r="BK93" s="241"/>
      <c r="BL93" s="241"/>
      <c r="BM93" s="241"/>
    </row>
    <row r="94" spans="1:65" ht="13.5" customHeight="1" x14ac:dyDescent="0.3">
      <c r="A94" s="241"/>
      <c r="B94" s="241"/>
      <c r="C94" s="241"/>
      <c r="D94" s="241"/>
      <c r="E94" s="241"/>
      <c r="F94" s="241"/>
      <c r="G94" s="241"/>
      <c r="H94" s="241"/>
      <c r="I94" s="241"/>
      <c r="J94" s="241"/>
      <c r="K94" s="241"/>
      <c r="L94" s="241"/>
      <c r="M94" s="241"/>
      <c r="N94" s="241"/>
      <c r="O94" s="241"/>
      <c r="P94" s="241"/>
      <c r="Q94" s="241"/>
      <c r="R94" s="241"/>
      <c r="S94" s="241"/>
      <c r="T94" s="241"/>
      <c r="U94" s="241"/>
      <c r="V94" s="241"/>
      <c r="W94" s="241"/>
      <c r="X94" s="241"/>
      <c r="Y94" s="241"/>
      <c r="Z94" s="241"/>
      <c r="AA94" s="241"/>
      <c r="AB94" s="241"/>
      <c r="AC94" s="241"/>
      <c r="AD94" s="241"/>
      <c r="AE94" s="241"/>
      <c r="AF94" s="241"/>
      <c r="AG94" s="241"/>
      <c r="AH94" s="241"/>
      <c r="AI94" s="241"/>
      <c r="AJ94" s="241"/>
      <c r="AK94" s="241"/>
      <c r="AL94" s="241"/>
      <c r="AM94" s="241"/>
      <c r="AN94" s="241"/>
      <c r="AO94" s="241"/>
      <c r="AP94" s="241"/>
      <c r="AQ94" s="241"/>
      <c r="AR94" s="241"/>
      <c r="AS94" s="241"/>
      <c r="AT94" s="241"/>
      <c r="AU94" s="241"/>
      <c r="AV94" s="241"/>
      <c r="AW94" s="241"/>
      <c r="AX94" s="241"/>
      <c r="AY94" s="241"/>
      <c r="AZ94" s="241"/>
      <c r="BA94" s="241"/>
      <c r="BB94" s="241"/>
      <c r="BC94" s="241"/>
      <c r="BD94" s="241"/>
      <c r="BE94" s="241"/>
      <c r="BF94" s="241"/>
      <c r="BG94" s="241"/>
      <c r="BH94" s="241"/>
      <c r="BI94" s="241"/>
      <c r="BJ94" s="241"/>
      <c r="BK94" s="241"/>
      <c r="BL94" s="241"/>
      <c r="BM94" s="241"/>
    </row>
    <row r="95" spans="1:65" ht="13.5" customHeight="1" x14ac:dyDescent="0.3">
      <c r="A95" s="241"/>
      <c r="B95" s="241"/>
      <c r="C95" s="241"/>
      <c r="D95" s="241"/>
      <c r="E95" s="241"/>
      <c r="F95" s="241"/>
      <c r="G95" s="241"/>
      <c r="H95" s="241"/>
      <c r="I95" s="241"/>
      <c r="J95" s="241"/>
      <c r="K95" s="241"/>
      <c r="L95" s="241"/>
      <c r="M95" s="241"/>
      <c r="N95" s="241"/>
      <c r="O95" s="241"/>
      <c r="P95" s="241"/>
      <c r="Q95" s="241"/>
      <c r="R95" s="241"/>
      <c r="S95" s="241"/>
      <c r="T95" s="241"/>
      <c r="U95" s="241"/>
      <c r="V95" s="241"/>
      <c r="W95" s="241"/>
      <c r="X95" s="241"/>
      <c r="Y95" s="241"/>
      <c r="Z95" s="241"/>
      <c r="AA95" s="241"/>
      <c r="AB95" s="241"/>
      <c r="AC95" s="241"/>
      <c r="AD95" s="241"/>
      <c r="AE95" s="241"/>
      <c r="AF95" s="241"/>
      <c r="AG95" s="241"/>
      <c r="AH95" s="241"/>
      <c r="AI95" s="241"/>
      <c r="AJ95" s="241"/>
      <c r="AK95" s="241"/>
      <c r="AL95" s="241"/>
      <c r="AM95" s="241"/>
      <c r="AN95" s="241"/>
      <c r="AO95" s="241"/>
      <c r="AP95" s="241"/>
      <c r="AQ95" s="241"/>
      <c r="AR95" s="241"/>
      <c r="AS95" s="241"/>
      <c r="AT95" s="241"/>
      <c r="AU95" s="241"/>
      <c r="AV95" s="241"/>
      <c r="AW95" s="241"/>
      <c r="AX95" s="241"/>
      <c r="AY95" s="241"/>
      <c r="AZ95" s="241"/>
      <c r="BA95" s="241"/>
      <c r="BB95" s="241"/>
      <c r="BC95" s="241"/>
      <c r="BD95" s="241"/>
      <c r="BE95" s="241"/>
      <c r="BF95" s="241"/>
      <c r="BG95" s="241"/>
      <c r="BH95" s="241"/>
      <c r="BI95" s="241"/>
      <c r="BJ95" s="241"/>
      <c r="BK95" s="241"/>
      <c r="BL95" s="241"/>
      <c r="BM95" s="241"/>
    </row>
    <row r="96" spans="1:65" ht="13.5" customHeight="1" x14ac:dyDescent="0.3">
      <c r="A96" s="241"/>
      <c r="B96" s="241"/>
      <c r="C96" s="241"/>
      <c r="D96" s="241"/>
      <c r="E96" s="241"/>
      <c r="F96" s="241"/>
      <c r="G96" s="241"/>
      <c r="H96" s="241"/>
      <c r="I96" s="241"/>
      <c r="J96" s="241"/>
      <c r="K96" s="241"/>
      <c r="L96" s="241"/>
      <c r="M96" s="241"/>
      <c r="N96" s="241"/>
      <c r="O96" s="241"/>
      <c r="P96" s="241"/>
      <c r="Q96" s="241"/>
      <c r="R96" s="241"/>
      <c r="S96" s="241"/>
      <c r="T96" s="241"/>
      <c r="U96" s="241"/>
      <c r="V96" s="241"/>
      <c r="W96" s="241"/>
      <c r="X96" s="241"/>
      <c r="Y96" s="241"/>
      <c r="Z96" s="241"/>
      <c r="AA96" s="241"/>
      <c r="AB96" s="241"/>
      <c r="AC96" s="241"/>
      <c r="AD96" s="241"/>
      <c r="AE96" s="241"/>
      <c r="AF96" s="241"/>
      <c r="AG96" s="241"/>
      <c r="AH96" s="241"/>
      <c r="AI96" s="241"/>
      <c r="AJ96" s="241"/>
      <c r="AK96" s="241"/>
      <c r="AL96" s="241"/>
      <c r="AM96" s="241"/>
      <c r="AN96" s="241"/>
      <c r="AO96" s="241"/>
      <c r="AP96" s="241"/>
      <c r="AQ96" s="241"/>
      <c r="AR96" s="241"/>
      <c r="AS96" s="241"/>
      <c r="AT96" s="241"/>
      <c r="AU96" s="241"/>
      <c r="AV96" s="241"/>
      <c r="AW96" s="241"/>
      <c r="AX96" s="241"/>
      <c r="AY96" s="241"/>
      <c r="AZ96" s="241"/>
      <c r="BA96" s="241"/>
      <c r="BB96" s="241"/>
      <c r="BC96" s="241"/>
      <c r="BD96" s="241"/>
      <c r="BE96" s="241"/>
      <c r="BF96" s="241"/>
      <c r="BG96" s="241"/>
      <c r="BH96" s="241"/>
      <c r="BI96" s="241"/>
      <c r="BJ96" s="241"/>
      <c r="BK96" s="241"/>
      <c r="BL96" s="241"/>
      <c r="BM96" s="241"/>
    </row>
    <row r="97" spans="1:65" ht="13.5" customHeight="1" x14ac:dyDescent="0.3">
      <c r="A97" s="241"/>
      <c r="B97" s="241"/>
      <c r="C97" s="241"/>
      <c r="D97" s="241"/>
      <c r="E97" s="241"/>
      <c r="F97" s="241"/>
      <c r="G97" s="241"/>
      <c r="H97" s="241"/>
      <c r="I97" s="241"/>
      <c r="J97" s="241"/>
      <c r="K97" s="241"/>
      <c r="L97" s="241"/>
      <c r="M97" s="241"/>
      <c r="N97" s="241"/>
      <c r="O97" s="241"/>
      <c r="P97" s="241"/>
      <c r="Q97" s="241"/>
      <c r="R97" s="241"/>
      <c r="S97" s="241"/>
      <c r="T97" s="241"/>
      <c r="U97" s="241"/>
      <c r="V97" s="241"/>
      <c r="W97" s="241"/>
      <c r="X97" s="241"/>
      <c r="Y97" s="241"/>
      <c r="Z97" s="241"/>
      <c r="AA97" s="241"/>
      <c r="AB97" s="241"/>
      <c r="AC97" s="241"/>
      <c r="AD97" s="241"/>
      <c r="AE97" s="241"/>
      <c r="AF97" s="241"/>
      <c r="AG97" s="241"/>
      <c r="AH97" s="241"/>
      <c r="AI97" s="241"/>
      <c r="AJ97" s="241"/>
      <c r="AK97" s="241"/>
      <c r="AL97" s="241"/>
      <c r="AM97" s="241"/>
      <c r="AN97" s="241"/>
      <c r="AO97" s="241"/>
      <c r="AP97" s="241"/>
      <c r="AQ97" s="241"/>
      <c r="AR97" s="241"/>
      <c r="AS97" s="241"/>
      <c r="AT97" s="241"/>
      <c r="AU97" s="241"/>
      <c r="AV97" s="241"/>
      <c r="AW97" s="241"/>
      <c r="AX97" s="241"/>
      <c r="AY97" s="241"/>
      <c r="AZ97" s="241"/>
      <c r="BA97" s="241"/>
      <c r="BB97" s="241"/>
      <c r="BC97" s="241"/>
      <c r="BD97" s="241"/>
      <c r="BE97" s="241"/>
      <c r="BF97" s="241"/>
      <c r="BG97" s="241"/>
      <c r="BH97" s="241"/>
      <c r="BI97" s="241"/>
      <c r="BJ97" s="241"/>
      <c r="BK97" s="241"/>
      <c r="BL97" s="241"/>
      <c r="BM97" s="241"/>
    </row>
    <row r="98" spans="1:65" ht="13.5" customHeight="1" x14ac:dyDescent="0.3">
      <c r="A98" s="241"/>
      <c r="B98" s="241"/>
      <c r="C98" s="241"/>
      <c r="D98" s="241"/>
      <c r="E98" s="241"/>
      <c r="F98" s="241"/>
      <c r="G98" s="241"/>
      <c r="H98" s="241"/>
      <c r="I98" s="241"/>
      <c r="J98" s="241"/>
      <c r="K98" s="241"/>
      <c r="L98" s="241"/>
      <c r="M98" s="241"/>
      <c r="N98" s="241"/>
      <c r="O98" s="241"/>
      <c r="P98" s="241"/>
      <c r="Q98" s="241"/>
      <c r="R98" s="241"/>
      <c r="S98" s="241"/>
      <c r="T98" s="241"/>
      <c r="U98" s="241"/>
      <c r="V98" s="241"/>
      <c r="W98" s="241"/>
      <c r="X98" s="241"/>
      <c r="Y98" s="241"/>
      <c r="Z98" s="241"/>
      <c r="AA98" s="241"/>
      <c r="AB98" s="241"/>
      <c r="AC98" s="241"/>
      <c r="AD98" s="241"/>
      <c r="AE98" s="241"/>
      <c r="AF98" s="241"/>
      <c r="AG98" s="241"/>
      <c r="AH98" s="241"/>
      <c r="AI98" s="241"/>
      <c r="AJ98" s="241"/>
      <c r="AK98" s="241"/>
      <c r="AL98" s="241"/>
      <c r="AM98" s="241"/>
      <c r="AN98" s="241"/>
      <c r="AO98" s="241"/>
      <c r="AP98" s="241"/>
      <c r="AQ98" s="241"/>
      <c r="AR98" s="241"/>
      <c r="AS98" s="241"/>
      <c r="AT98" s="241"/>
      <c r="AU98" s="241"/>
      <c r="AV98" s="241"/>
      <c r="AW98" s="241"/>
      <c r="AX98" s="241"/>
      <c r="AY98" s="241"/>
      <c r="AZ98" s="241"/>
      <c r="BA98" s="241"/>
      <c r="BB98" s="241"/>
      <c r="BC98" s="241"/>
      <c r="BD98" s="241"/>
      <c r="BE98" s="241"/>
      <c r="BF98" s="241"/>
      <c r="BG98" s="241"/>
      <c r="BH98" s="241"/>
      <c r="BI98" s="241"/>
      <c r="BJ98" s="241"/>
      <c r="BK98" s="241"/>
      <c r="BL98" s="241"/>
      <c r="BM98" s="241"/>
    </row>
    <row r="99" spans="1:65" ht="13.5" customHeight="1" x14ac:dyDescent="0.3">
      <c r="A99" s="241"/>
      <c r="B99" s="241"/>
      <c r="C99" s="241"/>
      <c r="D99" s="241"/>
      <c r="E99" s="241"/>
      <c r="F99" s="241"/>
      <c r="G99" s="241"/>
      <c r="H99" s="241"/>
      <c r="I99" s="241"/>
      <c r="J99" s="241"/>
      <c r="K99" s="241"/>
      <c r="L99" s="241"/>
      <c r="M99" s="241"/>
      <c r="N99" s="241"/>
      <c r="O99" s="241"/>
      <c r="P99" s="241"/>
      <c r="Q99" s="241"/>
      <c r="R99" s="241"/>
      <c r="S99" s="241"/>
      <c r="T99" s="241"/>
      <c r="U99" s="241"/>
      <c r="V99" s="241"/>
      <c r="W99" s="241"/>
      <c r="X99" s="241"/>
      <c r="Y99" s="241"/>
      <c r="Z99" s="241"/>
      <c r="AA99" s="241"/>
      <c r="AB99" s="241"/>
      <c r="AC99" s="241"/>
      <c r="AD99" s="241"/>
      <c r="AE99" s="241"/>
      <c r="AF99" s="241"/>
      <c r="AG99" s="241"/>
      <c r="AH99" s="241"/>
      <c r="AI99" s="241"/>
      <c r="AJ99" s="241"/>
      <c r="AK99" s="241"/>
      <c r="AL99" s="241"/>
      <c r="AM99" s="241"/>
      <c r="AN99" s="241"/>
      <c r="AO99" s="241"/>
      <c r="AP99" s="241"/>
      <c r="AQ99" s="241"/>
      <c r="AR99" s="241"/>
      <c r="AS99" s="241"/>
      <c r="AT99" s="241"/>
      <c r="AU99" s="241"/>
      <c r="AV99" s="241"/>
      <c r="AW99" s="241"/>
      <c r="AX99" s="241"/>
      <c r="AY99" s="241"/>
      <c r="AZ99" s="241"/>
      <c r="BA99" s="241"/>
      <c r="BB99" s="241"/>
      <c r="BC99" s="241"/>
      <c r="BD99" s="241"/>
      <c r="BE99" s="241"/>
      <c r="BF99" s="241"/>
      <c r="BG99" s="241"/>
      <c r="BH99" s="241"/>
      <c r="BI99" s="241"/>
      <c r="BJ99" s="241"/>
      <c r="BK99" s="241"/>
      <c r="BL99" s="241"/>
      <c r="BM99" s="241"/>
    </row>
    <row r="100" spans="1:65" ht="13.5" customHeight="1" x14ac:dyDescent="0.3">
      <c r="A100" s="241"/>
      <c r="B100" s="241"/>
      <c r="C100" s="241"/>
      <c r="D100" s="241"/>
      <c r="E100" s="241"/>
      <c r="F100" s="241"/>
      <c r="G100" s="241"/>
      <c r="H100" s="241"/>
      <c r="I100" s="241"/>
      <c r="J100" s="241"/>
      <c r="K100" s="241"/>
      <c r="L100" s="241"/>
      <c r="M100" s="241"/>
      <c r="N100" s="241"/>
      <c r="O100" s="241"/>
      <c r="P100" s="241"/>
      <c r="Q100" s="241"/>
      <c r="R100" s="241"/>
      <c r="S100" s="241"/>
      <c r="T100" s="241"/>
      <c r="U100" s="241"/>
      <c r="V100" s="241"/>
      <c r="W100" s="241"/>
      <c r="X100" s="241"/>
      <c r="Y100" s="241"/>
      <c r="Z100" s="241"/>
      <c r="AA100" s="241"/>
      <c r="AB100" s="241"/>
      <c r="AC100" s="241"/>
      <c r="AD100" s="241"/>
      <c r="AE100" s="241"/>
      <c r="AF100" s="241"/>
      <c r="AG100" s="241"/>
      <c r="AH100" s="241"/>
      <c r="AI100" s="241"/>
      <c r="AJ100" s="241"/>
      <c r="AK100" s="241"/>
      <c r="AL100" s="241"/>
      <c r="AM100" s="241"/>
      <c r="AN100" s="241"/>
      <c r="AO100" s="241"/>
      <c r="AP100" s="241"/>
      <c r="AQ100" s="241"/>
      <c r="AR100" s="241"/>
      <c r="AS100" s="241"/>
      <c r="AT100" s="241"/>
      <c r="AU100" s="241"/>
      <c r="AV100" s="241"/>
      <c r="AW100" s="241"/>
      <c r="AX100" s="241"/>
      <c r="AY100" s="241"/>
      <c r="AZ100" s="241"/>
      <c r="BA100" s="241"/>
      <c r="BB100" s="241"/>
      <c r="BC100" s="241"/>
      <c r="BD100" s="241"/>
      <c r="BE100" s="241"/>
      <c r="BF100" s="241"/>
      <c r="BG100" s="241"/>
      <c r="BH100" s="241"/>
      <c r="BI100" s="241"/>
      <c r="BJ100" s="241"/>
      <c r="BK100" s="241"/>
      <c r="BL100" s="241"/>
      <c r="BM100" s="241"/>
    </row>
    <row r="101" spans="1:65" ht="13.5" customHeight="1" x14ac:dyDescent="0.3">
      <c r="A101" s="241"/>
      <c r="B101" s="241"/>
      <c r="C101" s="241"/>
      <c r="D101" s="241"/>
      <c r="E101" s="241"/>
      <c r="F101" s="241"/>
      <c r="G101" s="241"/>
      <c r="H101" s="241"/>
      <c r="I101" s="241"/>
      <c r="J101" s="241"/>
      <c r="K101" s="241"/>
      <c r="L101" s="241"/>
      <c r="M101" s="241"/>
      <c r="N101" s="241"/>
      <c r="O101" s="241"/>
      <c r="P101" s="241"/>
      <c r="Q101" s="241"/>
      <c r="R101" s="241"/>
      <c r="S101" s="241"/>
      <c r="T101" s="241"/>
      <c r="U101" s="241"/>
      <c r="V101" s="241"/>
      <c r="W101" s="241"/>
      <c r="X101" s="241"/>
      <c r="Y101" s="241"/>
      <c r="Z101" s="241"/>
      <c r="AA101" s="241"/>
      <c r="AB101" s="241"/>
      <c r="AC101" s="241"/>
      <c r="AD101" s="241"/>
      <c r="AE101" s="241"/>
      <c r="AF101" s="241"/>
      <c r="AG101" s="241"/>
      <c r="AH101" s="241"/>
      <c r="AI101" s="241"/>
      <c r="AJ101" s="241"/>
      <c r="AK101" s="241"/>
      <c r="AL101" s="241"/>
      <c r="AM101" s="241"/>
      <c r="AN101" s="241"/>
      <c r="AO101" s="241"/>
      <c r="AP101" s="241"/>
      <c r="AQ101" s="241"/>
      <c r="AR101" s="241"/>
      <c r="AS101" s="241"/>
      <c r="AT101" s="241"/>
      <c r="AU101" s="241"/>
      <c r="AV101" s="241"/>
      <c r="AW101" s="241"/>
      <c r="AX101" s="241"/>
      <c r="AY101" s="241"/>
      <c r="AZ101" s="241"/>
      <c r="BA101" s="241"/>
      <c r="BB101" s="241"/>
      <c r="BC101" s="241"/>
      <c r="BD101" s="241"/>
      <c r="BE101" s="241"/>
      <c r="BF101" s="241"/>
      <c r="BG101" s="241"/>
      <c r="BH101" s="241"/>
      <c r="BI101" s="241"/>
      <c r="BJ101" s="241"/>
      <c r="BK101" s="241"/>
      <c r="BL101" s="241"/>
      <c r="BM101" s="241"/>
    </row>
    <row r="102" spans="1:65" ht="13.5" customHeight="1" x14ac:dyDescent="0.3">
      <c r="A102" s="241"/>
      <c r="B102" s="241"/>
      <c r="C102" s="241"/>
      <c r="D102" s="241"/>
      <c r="E102" s="241"/>
      <c r="F102" s="241"/>
      <c r="G102" s="241"/>
      <c r="H102" s="241"/>
      <c r="I102" s="241"/>
      <c r="J102" s="241"/>
      <c r="K102" s="241"/>
      <c r="L102" s="241"/>
      <c r="M102" s="241"/>
      <c r="N102" s="241"/>
      <c r="O102" s="241"/>
      <c r="P102" s="241"/>
      <c r="Q102" s="241"/>
      <c r="R102" s="241"/>
      <c r="S102" s="241"/>
      <c r="T102" s="241"/>
      <c r="U102" s="241"/>
      <c r="V102" s="241"/>
      <c r="W102" s="241"/>
      <c r="X102" s="241"/>
      <c r="Y102" s="241"/>
      <c r="Z102" s="241"/>
      <c r="AA102" s="241"/>
      <c r="AB102" s="241"/>
      <c r="AC102" s="241"/>
      <c r="AD102" s="241"/>
      <c r="AE102" s="241"/>
      <c r="AF102" s="241"/>
      <c r="AG102" s="241"/>
      <c r="AH102" s="241"/>
      <c r="AI102" s="241"/>
      <c r="AJ102" s="241"/>
      <c r="AK102" s="241"/>
      <c r="AL102" s="241"/>
      <c r="AM102" s="241"/>
      <c r="AN102" s="241"/>
      <c r="AO102" s="241"/>
      <c r="AP102" s="241"/>
      <c r="AQ102" s="241"/>
      <c r="AR102" s="241"/>
      <c r="AS102" s="241"/>
      <c r="AT102" s="241"/>
      <c r="AU102" s="241"/>
      <c r="AV102" s="241"/>
      <c r="AW102" s="241"/>
      <c r="AX102" s="241"/>
      <c r="AY102" s="241"/>
      <c r="AZ102" s="241"/>
      <c r="BA102" s="241"/>
      <c r="BB102" s="241"/>
      <c r="BC102" s="241"/>
      <c r="BD102" s="241"/>
      <c r="BE102" s="241"/>
      <c r="BF102" s="241"/>
      <c r="BG102" s="241"/>
      <c r="BH102" s="241"/>
      <c r="BI102" s="241"/>
      <c r="BJ102" s="241"/>
      <c r="BK102" s="241"/>
      <c r="BL102" s="241"/>
      <c r="BM102" s="241"/>
    </row>
    <row r="103" spans="1:65" ht="13.5" customHeight="1" x14ac:dyDescent="0.3">
      <c r="A103" s="241"/>
      <c r="B103" s="241"/>
      <c r="C103" s="241"/>
      <c r="D103" s="241"/>
      <c r="E103" s="241"/>
      <c r="F103" s="241"/>
      <c r="G103" s="241"/>
      <c r="H103" s="241"/>
      <c r="I103" s="241"/>
      <c r="J103" s="241"/>
      <c r="K103" s="241"/>
      <c r="L103" s="241"/>
      <c r="M103" s="241"/>
      <c r="N103" s="241"/>
      <c r="O103" s="241"/>
      <c r="P103" s="241"/>
      <c r="Q103" s="241"/>
      <c r="R103" s="241"/>
      <c r="S103" s="241"/>
      <c r="T103" s="241"/>
      <c r="U103" s="241"/>
      <c r="V103" s="241"/>
      <c r="W103" s="241"/>
      <c r="X103" s="241"/>
      <c r="Y103" s="241"/>
      <c r="Z103" s="241"/>
      <c r="AA103" s="241"/>
      <c r="AB103" s="241"/>
      <c r="AC103" s="241"/>
      <c r="AD103" s="241"/>
      <c r="AE103" s="241"/>
      <c r="AF103" s="241"/>
      <c r="AG103" s="241"/>
      <c r="AH103" s="241"/>
      <c r="AI103" s="241"/>
      <c r="AJ103" s="241"/>
      <c r="AK103" s="241"/>
      <c r="AL103" s="241"/>
      <c r="AM103" s="241"/>
      <c r="AN103" s="241"/>
      <c r="AO103" s="241"/>
      <c r="AP103" s="241"/>
      <c r="AQ103" s="241"/>
      <c r="AR103" s="241"/>
      <c r="AS103" s="241"/>
      <c r="AT103" s="241"/>
      <c r="AU103" s="241"/>
      <c r="AV103" s="241"/>
      <c r="AW103" s="241"/>
      <c r="AX103" s="241"/>
      <c r="AY103" s="241"/>
      <c r="AZ103" s="241"/>
      <c r="BA103" s="241"/>
      <c r="BB103" s="241"/>
      <c r="BC103" s="241"/>
      <c r="BD103" s="241"/>
      <c r="BE103" s="241"/>
      <c r="BF103" s="241"/>
      <c r="BG103" s="241"/>
      <c r="BH103" s="241"/>
      <c r="BI103" s="241"/>
      <c r="BJ103" s="241"/>
      <c r="BK103" s="241"/>
      <c r="BL103" s="241"/>
      <c r="BM103" s="241"/>
    </row>
    <row r="104" spans="1:65" ht="13.5" customHeight="1" x14ac:dyDescent="0.3">
      <c r="A104" s="241"/>
      <c r="B104" s="241"/>
      <c r="C104" s="241"/>
      <c r="D104" s="241"/>
      <c r="E104" s="241"/>
      <c r="F104" s="241"/>
      <c r="G104" s="241"/>
      <c r="H104" s="241"/>
      <c r="I104" s="241"/>
      <c r="J104" s="241"/>
      <c r="K104" s="241"/>
      <c r="L104" s="241"/>
      <c r="M104" s="241"/>
      <c r="N104" s="241"/>
      <c r="O104" s="241"/>
      <c r="P104" s="241"/>
      <c r="Q104" s="241"/>
      <c r="R104" s="241"/>
      <c r="S104" s="241"/>
      <c r="T104" s="241"/>
      <c r="U104" s="241"/>
      <c r="V104" s="241"/>
      <c r="W104" s="241"/>
      <c r="X104" s="241"/>
      <c r="Y104" s="241"/>
      <c r="Z104" s="241"/>
      <c r="AA104" s="241"/>
      <c r="AB104" s="241"/>
      <c r="AC104" s="241"/>
      <c r="AD104" s="241"/>
      <c r="AE104" s="241"/>
      <c r="AF104" s="241"/>
      <c r="AG104" s="241"/>
      <c r="AH104" s="241"/>
      <c r="AI104" s="241"/>
      <c r="AJ104" s="241"/>
      <c r="AK104" s="241"/>
      <c r="AL104" s="241"/>
      <c r="AM104" s="241"/>
      <c r="AN104" s="241"/>
      <c r="AO104" s="241"/>
      <c r="AP104" s="241"/>
      <c r="AQ104" s="241"/>
      <c r="AR104" s="241"/>
      <c r="AS104" s="241"/>
      <c r="AT104" s="241"/>
      <c r="AU104" s="241"/>
      <c r="AV104" s="241"/>
      <c r="AW104" s="241"/>
      <c r="AX104" s="241"/>
      <c r="AY104" s="241"/>
      <c r="AZ104" s="241"/>
      <c r="BA104" s="241"/>
      <c r="BB104" s="241"/>
      <c r="BC104" s="241"/>
      <c r="BD104" s="241"/>
      <c r="BE104" s="241"/>
      <c r="BF104" s="241"/>
      <c r="BG104" s="241"/>
      <c r="BH104" s="241"/>
      <c r="BI104" s="241"/>
      <c r="BJ104" s="241"/>
      <c r="BK104" s="241"/>
      <c r="BL104" s="241"/>
      <c r="BM104" s="241"/>
    </row>
    <row r="105" spans="1:65" ht="13.5" customHeight="1" x14ac:dyDescent="0.3">
      <c r="A105" s="241"/>
      <c r="B105" s="241"/>
      <c r="C105" s="241"/>
      <c r="D105" s="241"/>
      <c r="E105" s="241"/>
      <c r="F105" s="241"/>
      <c r="G105" s="241"/>
      <c r="H105" s="241"/>
      <c r="I105" s="241"/>
      <c r="J105" s="241"/>
      <c r="K105" s="241"/>
      <c r="L105" s="241"/>
      <c r="M105" s="241"/>
      <c r="N105" s="241"/>
      <c r="O105" s="241"/>
      <c r="P105" s="241"/>
      <c r="Q105" s="241"/>
      <c r="R105" s="241"/>
      <c r="S105" s="241"/>
      <c r="T105" s="241"/>
      <c r="U105" s="241"/>
      <c r="V105" s="241"/>
      <c r="W105" s="241"/>
      <c r="X105" s="241"/>
      <c r="Y105" s="241"/>
      <c r="Z105" s="241"/>
      <c r="AA105" s="241"/>
      <c r="AB105" s="241"/>
      <c r="AC105" s="241"/>
      <c r="AD105" s="241"/>
      <c r="AE105" s="241"/>
      <c r="AF105" s="241"/>
      <c r="AG105" s="241"/>
      <c r="AH105" s="241"/>
      <c r="AI105" s="241"/>
      <c r="AJ105" s="241"/>
      <c r="AK105" s="241"/>
      <c r="AL105" s="241"/>
      <c r="AM105" s="241"/>
      <c r="AN105" s="241"/>
      <c r="AO105" s="241"/>
      <c r="AP105" s="241"/>
      <c r="AQ105" s="241"/>
      <c r="AR105" s="241"/>
      <c r="AS105" s="241"/>
      <c r="AT105" s="241"/>
      <c r="AU105" s="241"/>
      <c r="AV105" s="241"/>
      <c r="AW105" s="241"/>
      <c r="AX105" s="241"/>
      <c r="AY105" s="241"/>
      <c r="AZ105" s="241"/>
      <c r="BA105" s="241"/>
      <c r="BB105" s="241"/>
      <c r="BC105" s="241"/>
      <c r="BD105" s="241"/>
      <c r="BE105" s="241"/>
      <c r="BF105" s="241"/>
      <c r="BG105" s="241"/>
      <c r="BH105" s="241"/>
      <c r="BI105" s="241"/>
      <c r="BJ105" s="241"/>
      <c r="BK105" s="241"/>
      <c r="BL105" s="241"/>
      <c r="BM105" s="241"/>
    </row>
    <row r="106" spans="1:65" ht="13.5" customHeight="1" x14ac:dyDescent="0.3">
      <c r="A106" s="241"/>
      <c r="B106" s="241"/>
      <c r="C106" s="241"/>
      <c r="D106" s="241"/>
      <c r="E106" s="241"/>
      <c r="F106" s="241"/>
      <c r="G106" s="241"/>
      <c r="H106" s="241"/>
      <c r="I106" s="241"/>
      <c r="J106" s="241"/>
      <c r="K106" s="241"/>
      <c r="L106" s="241"/>
      <c r="M106" s="241"/>
      <c r="N106" s="241"/>
      <c r="O106" s="241"/>
      <c r="P106" s="241"/>
      <c r="Q106" s="241"/>
      <c r="R106" s="241"/>
      <c r="S106" s="241"/>
      <c r="T106" s="241"/>
      <c r="U106" s="241"/>
      <c r="V106" s="241"/>
      <c r="W106" s="241"/>
      <c r="X106" s="241"/>
      <c r="Y106" s="241"/>
      <c r="Z106" s="241"/>
      <c r="AA106" s="241"/>
      <c r="AB106" s="241"/>
      <c r="AC106" s="241"/>
      <c r="AD106" s="241"/>
      <c r="AE106" s="241"/>
      <c r="AF106" s="241"/>
      <c r="AG106" s="241"/>
      <c r="AH106" s="241"/>
      <c r="AI106" s="241"/>
      <c r="AJ106" s="241"/>
      <c r="AK106" s="241"/>
      <c r="AL106" s="241"/>
      <c r="AM106" s="241"/>
      <c r="AN106" s="241"/>
      <c r="AO106" s="241"/>
      <c r="AP106" s="241"/>
      <c r="AQ106" s="241"/>
      <c r="AR106" s="241"/>
      <c r="AS106" s="241"/>
      <c r="AT106" s="241"/>
      <c r="AU106" s="241"/>
      <c r="AV106" s="241"/>
      <c r="AW106" s="241"/>
      <c r="AX106" s="241"/>
      <c r="AY106" s="241"/>
      <c r="AZ106" s="241"/>
      <c r="BA106" s="241"/>
      <c r="BB106" s="241"/>
      <c r="BC106" s="241"/>
      <c r="BD106" s="241"/>
      <c r="BE106" s="241"/>
      <c r="BF106" s="241"/>
      <c r="BG106" s="241"/>
      <c r="BH106" s="241"/>
      <c r="BI106" s="241"/>
      <c r="BJ106" s="241"/>
      <c r="BK106" s="241"/>
      <c r="BL106" s="241"/>
      <c r="BM106" s="241"/>
    </row>
    <row r="107" spans="1:65" ht="13.5" customHeight="1" x14ac:dyDescent="0.3">
      <c r="A107" s="241"/>
      <c r="B107" s="241"/>
      <c r="C107" s="241"/>
      <c r="D107" s="241"/>
      <c r="E107" s="241"/>
      <c r="F107" s="241"/>
      <c r="G107" s="241"/>
      <c r="H107" s="241"/>
      <c r="I107" s="241"/>
      <c r="J107" s="241"/>
      <c r="K107" s="241"/>
      <c r="L107" s="241"/>
      <c r="M107" s="241"/>
      <c r="N107" s="241"/>
      <c r="O107" s="241"/>
      <c r="P107" s="241"/>
      <c r="Q107" s="241"/>
      <c r="R107" s="241"/>
      <c r="S107" s="241"/>
      <c r="T107" s="241"/>
      <c r="U107" s="241"/>
      <c r="V107" s="241"/>
      <c r="W107" s="241"/>
      <c r="X107" s="241"/>
      <c r="Y107" s="241"/>
      <c r="Z107" s="241"/>
      <c r="AA107" s="241"/>
      <c r="AB107" s="241"/>
      <c r="AC107" s="241"/>
      <c r="AD107" s="241"/>
      <c r="AE107" s="241"/>
      <c r="AF107" s="241"/>
      <c r="AG107" s="241"/>
      <c r="AH107" s="241"/>
      <c r="AI107" s="241"/>
      <c r="AJ107" s="241"/>
      <c r="AK107" s="241"/>
      <c r="AL107" s="241"/>
      <c r="AM107" s="241"/>
      <c r="AN107" s="241"/>
      <c r="AO107" s="241"/>
      <c r="AP107" s="241"/>
      <c r="AQ107" s="241"/>
      <c r="AR107" s="241"/>
      <c r="AS107" s="241"/>
      <c r="AT107" s="241"/>
      <c r="AU107" s="241"/>
      <c r="AV107" s="241"/>
      <c r="AW107" s="241"/>
      <c r="AX107" s="241"/>
      <c r="AY107" s="241"/>
      <c r="AZ107" s="241"/>
      <c r="BA107" s="241"/>
      <c r="BB107" s="241"/>
      <c r="BC107" s="241"/>
      <c r="BD107" s="241"/>
      <c r="BE107" s="241"/>
      <c r="BF107" s="241"/>
      <c r="BG107" s="241"/>
      <c r="BH107" s="241"/>
      <c r="BI107" s="241"/>
      <c r="BJ107" s="241"/>
      <c r="BK107" s="241"/>
      <c r="BL107" s="241"/>
      <c r="BM107" s="241"/>
    </row>
    <row r="108" spans="1:65" ht="13.5" customHeight="1" x14ac:dyDescent="0.3">
      <c r="A108" s="241"/>
      <c r="B108" s="241"/>
      <c r="C108" s="241"/>
      <c r="D108" s="241"/>
      <c r="E108" s="241"/>
      <c r="F108" s="241"/>
      <c r="G108" s="241"/>
      <c r="H108" s="241"/>
      <c r="I108" s="241"/>
      <c r="J108" s="241"/>
      <c r="K108" s="241"/>
      <c r="L108" s="241"/>
      <c r="M108" s="241"/>
      <c r="N108" s="241"/>
      <c r="O108" s="241"/>
      <c r="P108" s="241"/>
      <c r="Q108" s="241"/>
      <c r="R108" s="241"/>
      <c r="S108" s="241"/>
      <c r="T108" s="241"/>
      <c r="U108" s="241"/>
      <c r="V108" s="241"/>
      <c r="W108" s="241"/>
      <c r="X108" s="241"/>
      <c r="Y108" s="241"/>
      <c r="Z108" s="241"/>
      <c r="AA108" s="241"/>
      <c r="AB108" s="241"/>
      <c r="AC108" s="241"/>
      <c r="AD108" s="241"/>
      <c r="AE108" s="241"/>
      <c r="AF108" s="241"/>
      <c r="AG108" s="241"/>
      <c r="AH108" s="241"/>
      <c r="AI108" s="241"/>
      <c r="AJ108" s="241"/>
      <c r="AK108" s="241"/>
      <c r="AL108" s="241"/>
      <c r="AM108" s="241"/>
      <c r="AN108" s="241"/>
      <c r="AO108" s="241"/>
      <c r="AP108" s="241"/>
      <c r="AQ108" s="241"/>
      <c r="AR108" s="241"/>
      <c r="AS108" s="241"/>
      <c r="AT108" s="241"/>
      <c r="AU108" s="241"/>
      <c r="AV108" s="241"/>
      <c r="AW108" s="241"/>
      <c r="AX108" s="241"/>
      <c r="AY108" s="241"/>
      <c r="AZ108" s="241"/>
      <c r="BA108" s="241"/>
      <c r="BB108" s="241"/>
      <c r="BC108" s="241"/>
      <c r="BD108" s="241"/>
      <c r="BE108" s="241"/>
      <c r="BF108" s="241"/>
      <c r="BG108" s="241"/>
      <c r="BH108" s="241"/>
      <c r="BI108" s="241"/>
      <c r="BJ108" s="241"/>
      <c r="BK108" s="241"/>
      <c r="BL108" s="241"/>
      <c r="BM108" s="241"/>
    </row>
    <row r="109" spans="1:65" ht="13.5" customHeight="1" x14ac:dyDescent="0.3">
      <c r="A109" s="241"/>
      <c r="B109" s="241"/>
      <c r="C109" s="241"/>
      <c r="D109" s="241"/>
      <c r="E109" s="241"/>
      <c r="F109" s="241"/>
      <c r="G109" s="241"/>
      <c r="H109" s="241"/>
      <c r="I109" s="241"/>
      <c r="J109" s="241"/>
      <c r="K109" s="241"/>
      <c r="L109" s="241"/>
      <c r="M109" s="241"/>
      <c r="N109" s="241"/>
      <c r="O109" s="241"/>
      <c r="P109" s="241"/>
      <c r="Q109" s="241"/>
      <c r="R109" s="241"/>
      <c r="S109" s="241"/>
      <c r="T109" s="241"/>
      <c r="U109" s="241"/>
      <c r="V109" s="241"/>
      <c r="W109" s="241"/>
      <c r="X109" s="241"/>
      <c r="Y109" s="241"/>
      <c r="Z109" s="241"/>
      <c r="AA109" s="241"/>
      <c r="AB109" s="241"/>
      <c r="AC109" s="241"/>
      <c r="AD109" s="241"/>
      <c r="AE109" s="241"/>
      <c r="AF109" s="241"/>
      <c r="AG109" s="241"/>
      <c r="AH109" s="241"/>
      <c r="AI109" s="241"/>
      <c r="AJ109" s="241"/>
      <c r="AK109" s="241"/>
      <c r="AL109" s="241"/>
      <c r="AM109" s="241"/>
      <c r="AN109" s="241"/>
      <c r="AO109" s="241"/>
      <c r="AP109" s="241"/>
      <c r="AQ109" s="241"/>
      <c r="AR109" s="241"/>
      <c r="AS109" s="241"/>
      <c r="AT109" s="241"/>
      <c r="AU109" s="241"/>
      <c r="AV109" s="241"/>
      <c r="AW109" s="241"/>
      <c r="AX109" s="241"/>
      <c r="AY109" s="241"/>
      <c r="AZ109" s="241"/>
      <c r="BA109" s="241"/>
      <c r="BB109" s="241"/>
      <c r="BC109" s="241"/>
      <c r="BD109" s="241"/>
      <c r="BE109" s="241"/>
      <c r="BF109" s="241"/>
      <c r="BG109" s="241"/>
      <c r="BH109" s="241"/>
      <c r="BI109" s="241"/>
      <c r="BJ109" s="241"/>
      <c r="BK109" s="241"/>
      <c r="BL109" s="241"/>
      <c r="BM109" s="241"/>
    </row>
    <row r="110" spans="1:65" ht="13.5" customHeight="1" x14ac:dyDescent="0.3">
      <c r="A110" s="241"/>
      <c r="B110" s="241"/>
      <c r="C110" s="241"/>
      <c r="D110" s="241"/>
      <c r="E110" s="241"/>
      <c r="F110" s="241"/>
      <c r="G110" s="241"/>
      <c r="H110" s="241"/>
      <c r="I110" s="241"/>
      <c r="J110" s="241"/>
      <c r="K110" s="241"/>
      <c r="L110" s="241"/>
      <c r="M110" s="241"/>
      <c r="N110" s="241"/>
      <c r="O110" s="241"/>
      <c r="P110" s="241"/>
      <c r="Q110" s="241"/>
      <c r="R110" s="241"/>
      <c r="S110" s="241"/>
      <c r="T110" s="241"/>
      <c r="U110" s="241"/>
      <c r="V110" s="241"/>
      <c r="W110" s="241"/>
      <c r="X110" s="241"/>
      <c r="Y110" s="241"/>
      <c r="Z110" s="241"/>
      <c r="AA110" s="241"/>
      <c r="AB110" s="241"/>
      <c r="AC110" s="241"/>
      <c r="AD110" s="241"/>
      <c r="AE110" s="241"/>
      <c r="AF110" s="241"/>
      <c r="AG110" s="241"/>
      <c r="AH110" s="241"/>
      <c r="AI110" s="241"/>
      <c r="AJ110" s="241"/>
      <c r="AK110" s="241"/>
      <c r="AL110" s="241"/>
      <c r="AM110" s="241"/>
      <c r="AN110" s="241"/>
      <c r="AO110" s="241"/>
      <c r="AP110" s="241"/>
      <c r="AQ110" s="241"/>
      <c r="AR110" s="241"/>
      <c r="AS110" s="241"/>
      <c r="AT110" s="241"/>
      <c r="AU110" s="241"/>
      <c r="AV110" s="241"/>
      <c r="AW110" s="241"/>
      <c r="AX110" s="241"/>
      <c r="AY110" s="241"/>
      <c r="AZ110" s="241"/>
      <c r="BA110" s="241"/>
      <c r="BB110" s="241"/>
      <c r="BC110" s="241"/>
      <c r="BD110" s="241"/>
      <c r="BE110" s="241"/>
      <c r="BF110" s="241"/>
      <c r="BG110" s="241"/>
      <c r="BH110" s="241"/>
      <c r="BI110" s="241"/>
      <c r="BJ110" s="241"/>
      <c r="BK110" s="241"/>
      <c r="BL110" s="241"/>
      <c r="BM110" s="241"/>
    </row>
    <row r="111" spans="1:65" ht="13.5" customHeight="1" x14ac:dyDescent="0.3">
      <c r="A111" s="241"/>
      <c r="B111" s="241"/>
      <c r="C111" s="241"/>
      <c r="D111" s="241"/>
      <c r="E111" s="241"/>
      <c r="F111" s="241"/>
      <c r="G111" s="241"/>
      <c r="H111" s="241"/>
      <c r="I111" s="241"/>
      <c r="J111" s="241"/>
      <c r="K111" s="241"/>
      <c r="L111" s="241"/>
      <c r="M111" s="241"/>
      <c r="N111" s="241"/>
      <c r="O111" s="241"/>
      <c r="P111" s="241"/>
      <c r="Q111" s="241"/>
      <c r="R111" s="241"/>
      <c r="S111" s="241"/>
      <c r="T111" s="241"/>
      <c r="U111" s="241"/>
      <c r="V111" s="241"/>
      <c r="W111" s="241"/>
      <c r="X111" s="241"/>
      <c r="Y111" s="241"/>
      <c r="Z111" s="241"/>
      <c r="AA111" s="241"/>
      <c r="AB111" s="241"/>
      <c r="AC111" s="241"/>
      <c r="AD111" s="241"/>
      <c r="AE111" s="241"/>
      <c r="AF111" s="241"/>
      <c r="AG111" s="241"/>
      <c r="AH111" s="241"/>
      <c r="AI111" s="241"/>
      <c r="AJ111" s="241"/>
      <c r="AK111" s="241"/>
      <c r="AL111" s="241"/>
      <c r="AM111" s="241"/>
      <c r="AN111" s="241"/>
      <c r="AO111" s="241"/>
      <c r="AP111" s="241"/>
      <c r="AQ111" s="241"/>
      <c r="AR111" s="241"/>
      <c r="AS111" s="241"/>
      <c r="AT111" s="241"/>
      <c r="AU111" s="241"/>
      <c r="AV111" s="241"/>
      <c r="AW111" s="241"/>
      <c r="AX111" s="241"/>
      <c r="AY111" s="241"/>
      <c r="AZ111" s="241"/>
      <c r="BA111" s="241"/>
      <c r="BB111" s="241"/>
      <c r="BC111" s="241"/>
      <c r="BD111" s="241"/>
      <c r="BE111" s="241"/>
      <c r="BF111" s="241"/>
      <c r="BG111" s="241"/>
      <c r="BH111" s="241"/>
      <c r="BI111" s="241"/>
      <c r="BJ111" s="241"/>
      <c r="BK111" s="241"/>
      <c r="BL111" s="241"/>
      <c r="BM111" s="241"/>
    </row>
    <row r="112" spans="1:65" ht="13.5" customHeight="1" x14ac:dyDescent="0.3">
      <c r="A112" s="241"/>
      <c r="B112" s="241"/>
      <c r="C112" s="241"/>
      <c r="D112" s="241"/>
      <c r="E112" s="241"/>
      <c r="F112" s="241"/>
      <c r="G112" s="241"/>
      <c r="H112" s="241"/>
      <c r="I112" s="241"/>
      <c r="J112" s="241"/>
      <c r="K112" s="241"/>
      <c r="L112" s="241"/>
      <c r="M112" s="241"/>
      <c r="N112" s="241"/>
      <c r="O112" s="241"/>
      <c r="P112" s="241"/>
      <c r="Q112" s="241"/>
      <c r="R112" s="241"/>
      <c r="S112" s="241"/>
      <c r="T112" s="241"/>
      <c r="U112" s="241"/>
      <c r="V112" s="241"/>
      <c r="W112" s="241"/>
      <c r="X112" s="241"/>
      <c r="Y112" s="241"/>
      <c r="Z112" s="241"/>
      <c r="AA112" s="241"/>
      <c r="AB112" s="241"/>
      <c r="AC112" s="241"/>
      <c r="AD112" s="241"/>
      <c r="AE112" s="241"/>
      <c r="AF112" s="241"/>
      <c r="AG112" s="241"/>
      <c r="AH112" s="241"/>
      <c r="AI112" s="241"/>
      <c r="AJ112" s="241"/>
      <c r="AK112" s="241"/>
      <c r="AL112" s="241"/>
      <c r="AM112" s="241"/>
      <c r="AN112" s="241"/>
      <c r="AO112" s="241"/>
      <c r="AP112" s="241"/>
      <c r="AQ112" s="241"/>
      <c r="AR112" s="241"/>
      <c r="AS112" s="241"/>
      <c r="AT112" s="241"/>
      <c r="AU112" s="241"/>
      <c r="AV112" s="241"/>
      <c r="AW112" s="241"/>
      <c r="AX112" s="241"/>
      <c r="AY112" s="241"/>
      <c r="AZ112" s="241"/>
      <c r="BA112" s="241"/>
      <c r="BB112" s="241"/>
      <c r="BC112" s="241"/>
      <c r="BD112" s="241"/>
      <c r="BE112" s="241"/>
      <c r="BF112" s="241"/>
      <c r="BG112" s="241"/>
      <c r="BH112" s="241"/>
      <c r="BI112" s="241"/>
      <c r="BJ112" s="241"/>
      <c r="BK112" s="241"/>
      <c r="BL112" s="241"/>
      <c r="BM112" s="241"/>
    </row>
    <row r="113" spans="1:65" ht="13.5" customHeight="1" x14ac:dyDescent="0.3">
      <c r="A113" s="241"/>
      <c r="B113" s="241"/>
      <c r="C113" s="241"/>
      <c r="D113" s="241"/>
      <c r="E113" s="241"/>
      <c r="F113" s="241"/>
      <c r="G113" s="241"/>
      <c r="H113" s="241"/>
      <c r="I113" s="241"/>
      <c r="J113" s="241"/>
      <c r="K113" s="241"/>
      <c r="L113" s="241"/>
      <c r="M113" s="241"/>
      <c r="N113" s="241"/>
      <c r="O113" s="241"/>
      <c r="P113" s="241"/>
      <c r="Q113" s="241"/>
      <c r="R113" s="241"/>
      <c r="S113" s="241"/>
      <c r="T113" s="241"/>
      <c r="U113" s="241"/>
      <c r="V113" s="241"/>
      <c r="W113" s="241"/>
      <c r="X113" s="241"/>
      <c r="Y113" s="241"/>
      <c r="Z113" s="241"/>
      <c r="AA113" s="241"/>
      <c r="AB113" s="241"/>
      <c r="AC113" s="241"/>
      <c r="AD113" s="241"/>
      <c r="AE113" s="241"/>
      <c r="AF113" s="241"/>
      <c r="AG113" s="241"/>
      <c r="AH113" s="241"/>
      <c r="AI113" s="241"/>
      <c r="AJ113" s="241"/>
      <c r="AK113" s="241"/>
      <c r="AL113" s="241"/>
      <c r="AM113" s="241"/>
      <c r="AN113" s="241"/>
      <c r="AO113" s="241"/>
      <c r="AP113" s="241"/>
      <c r="AQ113" s="241"/>
      <c r="AR113" s="241"/>
      <c r="AS113" s="241"/>
      <c r="AT113" s="241"/>
      <c r="AU113" s="241"/>
      <c r="AV113" s="241"/>
      <c r="AW113" s="241"/>
      <c r="AX113" s="241"/>
      <c r="AY113" s="241"/>
      <c r="AZ113" s="241"/>
      <c r="BA113" s="241"/>
      <c r="BB113" s="241"/>
      <c r="BC113" s="241"/>
      <c r="BD113" s="241"/>
      <c r="BE113" s="241"/>
      <c r="BF113" s="241"/>
      <c r="BG113" s="241"/>
      <c r="BH113" s="241"/>
      <c r="BI113" s="241"/>
      <c r="BJ113" s="241"/>
      <c r="BK113" s="241"/>
      <c r="BL113" s="241"/>
      <c r="BM113" s="241"/>
    </row>
    <row r="114" spans="1:65" ht="13.5" customHeight="1" x14ac:dyDescent="0.3">
      <c r="A114" s="241"/>
      <c r="B114" s="241"/>
      <c r="C114" s="241"/>
      <c r="D114" s="241"/>
      <c r="E114" s="241"/>
      <c r="F114" s="241"/>
      <c r="G114" s="241"/>
      <c r="H114" s="241"/>
      <c r="I114" s="241"/>
      <c r="J114" s="241"/>
      <c r="K114" s="241"/>
      <c r="L114" s="241"/>
      <c r="M114" s="241"/>
      <c r="N114" s="241"/>
      <c r="O114" s="241"/>
      <c r="P114" s="241"/>
      <c r="Q114" s="241"/>
      <c r="R114" s="241"/>
      <c r="S114" s="241"/>
      <c r="T114" s="241"/>
      <c r="U114" s="241"/>
      <c r="V114" s="241"/>
      <c r="W114" s="241"/>
      <c r="X114" s="241"/>
      <c r="Y114" s="241"/>
      <c r="Z114" s="241"/>
      <c r="AA114" s="241"/>
      <c r="AB114" s="241"/>
      <c r="AC114" s="241"/>
      <c r="AD114" s="241"/>
      <c r="AE114" s="241"/>
      <c r="AF114" s="241"/>
      <c r="AG114" s="241"/>
      <c r="AH114" s="241"/>
      <c r="AI114" s="241"/>
      <c r="AJ114" s="241"/>
      <c r="AK114" s="241"/>
      <c r="AL114" s="241"/>
      <c r="AM114" s="241"/>
      <c r="AN114" s="241"/>
      <c r="AO114" s="241"/>
      <c r="AP114" s="241"/>
      <c r="AQ114" s="241"/>
      <c r="AR114" s="241"/>
      <c r="AS114" s="241"/>
      <c r="AT114" s="241"/>
      <c r="AU114" s="241"/>
      <c r="AV114" s="241"/>
      <c r="AW114" s="241"/>
      <c r="AX114" s="241"/>
      <c r="AY114" s="241"/>
      <c r="AZ114" s="241"/>
      <c r="BA114" s="241"/>
      <c r="BB114" s="241"/>
      <c r="BC114" s="241"/>
      <c r="BD114" s="241"/>
      <c r="BE114" s="241"/>
      <c r="BF114" s="241"/>
      <c r="BG114" s="241"/>
      <c r="BH114" s="241"/>
      <c r="BI114" s="241"/>
      <c r="BJ114" s="241"/>
      <c r="BK114" s="241"/>
      <c r="BL114" s="241"/>
      <c r="BM114" s="241"/>
    </row>
    <row r="115" spans="1:65" ht="13.5" customHeight="1" x14ac:dyDescent="0.3">
      <c r="A115" s="241"/>
      <c r="B115" s="241"/>
      <c r="C115" s="241"/>
      <c r="D115" s="241"/>
      <c r="E115" s="241"/>
      <c r="F115" s="241"/>
      <c r="G115" s="241"/>
      <c r="H115" s="241"/>
      <c r="I115" s="241"/>
      <c r="J115" s="241"/>
      <c r="K115" s="241"/>
      <c r="L115" s="241"/>
      <c r="M115" s="241"/>
      <c r="N115" s="241"/>
      <c r="O115" s="241"/>
      <c r="P115" s="241"/>
      <c r="Q115" s="241"/>
      <c r="R115" s="241"/>
      <c r="S115" s="241"/>
      <c r="T115" s="241"/>
      <c r="U115" s="241"/>
      <c r="V115" s="241"/>
      <c r="W115" s="241"/>
      <c r="X115" s="241"/>
      <c r="Y115" s="241"/>
      <c r="Z115" s="241"/>
      <c r="AA115" s="241"/>
      <c r="AB115" s="241"/>
      <c r="AC115" s="241"/>
      <c r="AD115" s="241"/>
      <c r="AE115" s="241"/>
      <c r="AF115" s="241"/>
      <c r="AG115" s="241"/>
      <c r="AH115" s="241"/>
      <c r="AI115" s="241"/>
      <c r="AJ115" s="241"/>
      <c r="AK115" s="241"/>
      <c r="AL115" s="241"/>
      <c r="AM115" s="241"/>
      <c r="AN115" s="241"/>
      <c r="AO115" s="241"/>
      <c r="AP115" s="241"/>
      <c r="AQ115" s="241"/>
      <c r="AR115" s="241"/>
      <c r="AS115" s="241"/>
      <c r="AT115" s="241"/>
      <c r="AU115" s="241"/>
      <c r="AV115" s="241"/>
      <c r="AW115" s="241"/>
      <c r="AX115" s="241"/>
      <c r="AY115" s="241"/>
      <c r="AZ115" s="241"/>
      <c r="BA115" s="241"/>
      <c r="BB115" s="241"/>
      <c r="BC115" s="241"/>
      <c r="BD115" s="241"/>
      <c r="BE115" s="241"/>
      <c r="BF115" s="241"/>
      <c r="BG115" s="241"/>
      <c r="BH115" s="241"/>
      <c r="BI115" s="241"/>
      <c r="BJ115" s="241"/>
      <c r="BK115" s="241"/>
      <c r="BL115" s="241"/>
      <c r="BM115" s="241"/>
    </row>
    <row r="116" spans="1:65" ht="13.5" customHeight="1" x14ac:dyDescent="0.3">
      <c r="A116" s="241"/>
      <c r="B116" s="241"/>
      <c r="C116" s="241"/>
      <c r="D116" s="241"/>
      <c r="E116" s="241"/>
      <c r="F116" s="241"/>
      <c r="G116" s="241"/>
      <c r="H116" s="241"/>
      <c r="I116" s="241"/>
      <c r="J116" s="241"/>
      <c r="K116" s="241"/>
      <c r="L116" s="241"/>
      <c r="M116" s="241"/>
      <c r="N116" s="241"/>
      <c r="O116" s="241"/>
      <c r="P116" s="241"/>
      <c r="Q116" s="241"/>
      <c r="R116" s="241"/>
      <c r="S116" s="241"/>
      <c r="T116" s="241"/>
      <c r="U116" s="241"/>
      <c r="V116" s="241"/>
      <c r="W116" s="241"/>
      <c r="X116" s="241"/>
      <c r="Y116" s="241"/>
      <c r="Z116" s="241"/>
      <c r="AA116" s="241"/>
      <c r="AB116" s="241"/>
      <c r="AC116" s="241"/>
      <c r="AD116" s="241"/>
      <c r="AE116" s="241"/>
      <c r="AF116" s="241"/>
      <c r="AG116" s="241"/>
      <c r="AH116" s="241"/>
      <c r="AI116" s="241"/>
      <c r="AJ116" s="241"/>
      <c r="AK116" s="241"/>
      <c r="AL116" s="241"/>
      <c r="AM116" s="241"/>
      <c r="AN116" s="241"/>
      <c r="AO116" s="241"/>
      <c r="AP116" s="241"/>
      <c r="AQ116" s="241"/>
      <c r="AR116" s="241"/>
      <c r="AS116" s="241"/>
      <c r="AT116" s="241"/>
      <c r="AU116" s="241"/>
      <c r="AV116" s="241"/>
      <c r="AW116" s="241"/>
      <c r="AX116" s="241"/>
      <c r="AY116" s="241"/>
      <c r="AZ116" s="241"/>
      <c r="BA116" s="241"/>
      <c r="BB116" s="241"/>
      <c r="BC116" s="241"/>
      <c r="BD116" s="241"/>
      <c r="BE116" s="241"/>
      <c r="BF116" s="241"/>
      <c r="BG116" s="241"/>
      <c r="BH116" s="241"/>
      <c r="BI116" s="241"/>
      <c r="BJ116" s="241"/>
      <c r="BK116" s="241"/>
      <c r="BL116" s="241"/>
      <c r="BM116" s="241"/>
    </row>
    <row r="117" spans="1:65" ht="13.5" customHeight="1" x14ac:dyDescent="0.3">
      <c r="A117" s="241"/>
      <c r="B117" s="241"/>
      <c r="C117" s="241"/>
      <c r="D117" s="241"/>
      <c r="E117" s="241"/>
      <c r="F117" s="241"/>
      <c r="G117" s="241"/>
      <c r="H117" s="241"/>
      <c r="I117" s="241"/>
      <c r="J117" s="241"/>
      <c r="K117" s="241"/>
      <c r="L117" s="241"/>
      <c r="M117" s="241"/>
      <c r="N117" s="241"/>
      <c r="O117" s="241"/>
      <c r="P117" s="241"/>
      <c r="Q117" s="241"/>
      <c r="R117" s="241"/>
      <c r="S117" s="241"/>
      <c r="T117" s="241"/>
      <c r="U117" s="241"/>
      <c r="V117" s="241"/>
      <c r="W117" s="241"/>
      <c r="X117" s="241"/>
      <c r="Y117" s="241"/>
      <c r="Z117" s="241"/>
      <c r="AA117" s="241"/>
      <c r="AB117" s="241"/>
      <c r="AC117" s="241"/>
      <c r="AD117" s="241"/>
      <c r="AE117" s="241"/>
      <c r="AF117" s="241"/>
      <c r="AG117" s="241"/>
      <c r="AH117" s="241"/>
      <c r="AI117" s="241"/>
      <c r="AJ117" s="241"/>
      <c r="AK117" s="241"/>
      <c r="AL117" s="241"/>
      <c r="AM117" s="241"/>
      <c r="AN117" s="241"/>
      <c r="AO117" s="241"/>
      <c r="AP117" s="241"/>
      <c r="AQ117" s="241"/>
      <c r="AR117" s="241"/>
      <c r="AS117" s="241"/>
      <c r="AT117" s="241"/>
      <c r="AU117" s="241"/>
      <c r="AV117" s="241"/>
      <c r="AW117" s="241"/>
      <c r="AX117" s="241"/>
      <c r="AY117" s="241"/>
      <c r="AZ117" s="241"/>
      <c r="BA117" s="241"/>
      <c r="BB117" s="241"/>
      <c r="BC117" s="241"/>
      <c r="BD117" s="241"/>
      <c r="BE117" s="241"/>
      <c r="BF117" s="241"/>
      <c r="BG117" s="241"/>
      <c r="BH117" s="241"/>
      <c r="BI117" s="241"/>
      <c r="BJ117" s="241"/>
      <c r="BK117" s="241"/>
      <c r="BL117" s="241"/>
      <c r="BM117" s="241"/>
    </row>
    <row r="118" spans="1:65" ht="13.5" customHeight="1" x14ac:dyDescent="0.3">
      <c r="A118" s="241"/>
      <c r="B118" s="241"/>
      <c r="C118" s="241"/>
      <c r="D118" s="241"/>
      <c r="E118" s="241"/>
      <c r="F118" s="241"/>
      <c r="G118" s="241"/>
      <c r="H118" s="241"/>
      <c r="I118" s="241"/>
      <c r="J118" s="241"/>
      <c r="K118" s="241"/>
      <c r="L118" s="241"/>
      <c r="M118" s="241"/>
      <c r="N118" s="241"/>
      <c r="O118" s="241"/>
      <c r="P118" s="241"/>
      <c r="Q118" s="241"/>
      <c r="R118" s="241"/>
      <c r="S118" s="241"/>
      <c r="T118" s="241"/>
      <c r="U118" s="241"/>
      <c r="V118" s="241"/>
      <c r="W118" s="241"/>
      <c r="X118" s="241"/>
      <c r="Y118" s="241"/>
      <c r="Z118" s="241"/>
      <c r="AA118" s="241"/>
      <c r="AB118" s="241"/>
      <c r="AC118" s="241"/>
      <c r="AD118" s="241"/>
      <c r="AE118" s="241"/>
      <c r="AF118" s="241"/>
      <c r="AG118" s="241"/>
      <c r="AH118" s="241"/>
      <c r="AI118" s="241"/>
      <c r="AJ118" s="241"/>
      <c r="AK118" s="241"/>
      <c r="AL118" s="241"/>
      <c r="AM118" s="241"/>
      <c r="AN118" s="241"/>
      <c r="AO118" s="241"/>
      <c r="AP118" s="241"/>
      <c r="AQ118" s="241"/>
      <c r="AR118" s="241"/>
      <c r="AS118" s="241"/>
      <c r="AT118" s="241"/>
      <c r="AU118" s="241"/>
      <c r="AV118" s="241"/>
      <c r="AW118" s="241"/>
      <c r="AX118" s="241"/>
      <c r="AY118" s="241"/>
      <c r="AZ118" s="241"/>
      <c r="BA118" s="241"/>
      <c r="BB118" s="241"/>
      <c r="BC118" s="241"/>
      <c r="BD118" s="241"/>
      <c r="BE118" s="241"/>
      <c r="BF118" s="241"/>
      <c r="BG118" s="241"/>
      <c r="BH118" s="241"/>
      <c r="BI118" s="241"/>
      <c r="BJ118" s="241"/>
      <c r="BK118" s="241"/>
      <c r="BL118" s="241"/>
      <c r="BM118" s="241"/>
    </row>
    <row r="119" spans="1:65" ht="13.5" customHeight="1" x14ac:dyDescent="0.3">
      <c r="A119" s="241"/>
      <c r="B119" s="241"/>
      <c r="C119" s="241"/>
      <c r="D119" s="241"/>
      <c r="E119" s="241"/>
      <c r="F119" s="241"/>
      <c r="G119" s="241"/>
      <c r="H119" s="241"/>
      <c r="I119" s="241"/>
      <c r="J119" s="241"/>
      <c r="K119" s="241"/>
      <c r="L119" s="241"/>
      <c r="M119" s="241"/>
      <c r="N119" s="241"/>
      <c r="O119" s="241"/>
      <c r="P119" s="241"/>
      <c r="Q119" s="241"/>
      <c r="R119" s="241"/>
      <c r="S119" s="241"/>
      <c r="T119" s="241"/>
      <c r="U119" s="241"/>
      <c r="V119" s="241"/>
      <c r="W119" s="241"/>
      <c r="X119" s="241"/>
      <c r="Y119" s="241"/>
      <c r="Z119" s="241"/>
      <c r="AA119" s="241"/>
      <c r="AB119" s="241"/>
      <c r="AC119" s="241"/>
      <c r="AD119" s="241"/>
      <c r="AE119" s="241"/>
      <c r="AF119" s="241"/>
      <c r="AG119" s="241"/>
      <c r="AH119" s="241"/>
      <c r="AI119" s="241"/>
      <c r="AJ119" s="241"/>
      <c r="AK119" s="241"/>
      <c r="AL119" s="241"/>
      <c r="AM119" s="241"/>
      <c r="AN119" s="241"/>
      <c r="AO119" s="241"/>
      <c r="AP119" s="241"/>
      <c r="AQ119" s="241"/>
      <c r="AR119" s="241"/>
      <c r="AS119" s="241"/>
      <c r="AT119" s="241"/>
      <c r="AU119" s="241"/>
      <c r="AV119" s="241"/>
      <c r="AW119" s="241"/>
      <c r="AX119" s="241"/>
      <c r="AY119" s="241"/>
      <c r="AZ119" s="241"/>
      <c r="BA119" s="241"/>
      <c r="BB119" s="241"/>
      <c r="BC119" s="241"/>
      <c r="BD119" s="241"/>
      <c r="BE119" s="241"/>
      <c r="BF119" s="241"/>
      <c r="BG119" s="241"/>
      <c r="BH119" s="241"/>
      <c r="BI119" s="241"/>
      <c r="BJ119" s="241"/>
      <c r="BK119" s="241"/>
      <c r="BL119" s="241"/>
      <c r="BM119" s="241"/>
    </row>
    <row r="120" spans="1:65" ht="13.5" customHeight="1" x14ac:dyDescent="0.3">
      <c r="A120" s="241"/>
      <c r="B120" s="241"/>
      <c r="C120" s="241"/>
      <c r="D120" s="241"/>
      <c r="E120" s="241"/>
      <c r="F120" s="241"/>
      <c r="G120" s="241"/>
      <c r="H120" s="241"/>
      <c r="I120" s="241"/>
      <c r="J120" s="241"/>
      <c r="K120" s="241"/>
      <c r="L120" s="241"/>
      <c r="M120" s="241"/>
      <c r="N120" s="241"/>
      <c r="O120" s="241"/>
      <c r="P120" s="241"/>
      <c r="Q120" s="241"/>
      <c r="R120" s="241"/>
      <c r="S120" s="241"/>
      <c r="T120" s="241"/>
      <c r="U120" s="241"/>
      <c r="V120" s="241"/>
      <c r="W120" s="241"/>
      <c r="X120" s="241"/>
      <c r="Y120" s="241"/>
      <c r="Z120" s="241"/>
      <c r="AA120" s="241"/>
      <c r="AB120" s="241"/>
      <c r="AC120" s="241"/>
      <c r="AD120" s="241"/>
      <c r="AE120" s="241"/>
      <c r="AF120" s="241"/>
      <c r="AG120" s="241"/>
      <c r="AH120" s="241"/>
      <c r="AI120" s="241"/>
      <c r="AJ120" s="241"/>
      <c r="AK120" s="241"/>
      <c r="AL120" s="241"/>
      <c r="AM120" s="241"/>
      <c r="AN120" s="241"/>
      <c r="AO120" s="241"/>
      <c r="AP120" s="241"/>
      <c r="AQ120" s="241"/>
      <c r="AR120" s="241"/>
      <c r="AS120" s="241"/>
      <c r="AT120" s="241"/>
      <c r="AU120" s="241"/>
      <c r="AV120" s="241"/>
      <c r="AW120" s="241"/>
      <c r="AX120" s="241"/>
      <c r="AY120" s="241"/>
      <c r="AZ120" s="241"/>
      <c r="BA120" s="241"/>
      <c r="BB120" s="241"/>
      <c r="BC120" s="241"/>
      <c r="BD120" s="241"/>
      <c r="BE120" s="241"/>
      <c r="BF120" s="241"/>
      <c r="BG120" s="241"/>
      <c r="BH120" s="241"/>
      <c r="BI120" s="241"/>
      <c r="BJ120" s="241"/>
      <c r="BK120" s="241"/>
      <c r="BL120" s="241"/>
      <c r="BM120" s="241"/>
    </row>
    <row r="121" spans="1:65" ht="13.5" customHeight="1" x14ac:dyDescent="0.3">
      <c r="A121" s="241"/>
      <c r="B121" s="241"/>
      <c r="C121" s="241"/>
      <c r="D121" s="241"/>
      <c r="E121" s="241"/>
      <c r="F121" s="241"/>
      <c r="G121" s="241"/>
      <c r="H121" s="241"/>
      <c r="I121" s="241"/>
      <c r="J121" s="241"/>
      <c r="K121" s="241"/>
      <c r="L121" s="241"/>
      <c r="M121" s="241"/>
      <c r="N121" s="241"/>
      <c r="O121" s="241"/>
      <c r="P121" s="241"/>
      <c r="Q121" s="241"/>
      <c r="R121" s="241"/>
      <c r="S121" s="241"/>
      <c r="T121" s="241"/>
      <c r="U121" s="241"/>
      <c r="V121" s="241"/>
      <c r="W121" s="241"/>
      <c r="X121" s="241"/>
      <c r="Y121" s="241"/>
      <c r="Z121" s="241"/>
      <c r="AA121" s="241"/>
      <c r="AB121" s="241"/>
      <c r="AC121" s="241"/>
      <c r="AD121" s="241"/>
      <c r="AE121" s="241"/>
      <c r="AF121" s="241"/>
      <c r="AG121" s="241"/>
      <c r="AH121" s="241"/>
      <c r="AI121" s="241"/>
      <c r="AJ121" s="241"/>
      <c r="AK121" s="241"/>
      <c r="AL121" s="241"/>
      <c r="AM121" s="241"/>
      <c r="AN121" s="241"/>
      <c r="AO121" s="241"/>
      <c r="AP121" s="241"/>
      <c r="AQ121" s="241"/>
      <c r="AR121" s="241"/>
      <c r="AS121" s="241"/>
      <c r="AT121" s="241"/>
      <c r="AU121" s="241"/>
      <c r="AV121" s="241"/>
      <c r="AW121" s="241"/>
      <c r="AX121" s="241"/>
      <c r="AY121" s="241"/>
      <c r="AZ121" s="241"/>
      <c r="BA121" s="241"/>
      <c r="BB121" s="241"/>
      <c r="BC121" s="241"/>
      <c r="BD121" s="241"/>
      <c r="BE121" s="241"/>
      <c r="BF121" s="241"/>
      <c r="BG121" s="241"/>
      <c r="BH121" s="241"/>
      <c r="BI121" s="241"/>
      <c r="BJ121" s="241"/>
      <c r="BK121" s="241"/>
      <c r="BL121" s="241"/>
      <c r="BM121" s="241"/>
    </row>
    <row r="122" spans="1:65" ht="13.5" customHeight="1" x14ac:dyDescent="0.3">
      <c r="A122" s="241"/>
      <c r="B122" s="241"/>
      <c r="C122" s="241"/>
      <c r="D122" s="241"/>
      <c r="E122" s="241"/>
      <c r="F122" s="241"/>
      <c r="G122" s="241"/>
      <c r="H122" s="241"/>
      <c r="I122" s="241"/>
      <c r="J122" s="241"/>
      <c r="K122" s="241"/>
      <c r="L122" s="241"/>
      <c r="M122" s="241"/>
      <c r="N122" s="241"/>
      <c r="O122" s="241"/>
      <c r="P122" s="241"/>
      <c r="Q122" s="241"/>
      <c r="R122" s="241"/>
      <c r="S122" s="241"/>
      <c r="T122" s="241"/>
      <c r="U122" s="241"/>
      <c r="V122" s="241"/>
      <c r="W122" s="241"/>
      <c r="X122" s="241"/>
      <c r="Y122" s="241"/>
      <c r="Z122" s="241"/>
      <c r="AA122" s="241"/>
      <c r="AB122" s="241"/>
      <c r="AC122" s="241"/>
      <c r="AD122" s="241"/>
      <c r="AE122" s="241"/>
      <c r="AF122" s="241"/>
      <c r="AG122" s="241"/>
      <c r="AH122" s="241"/>
      <c r="AI122" s="241"/>
      <c r="AJ122" s="241"/>
      <c r="AK122" s="241"/>
      <c r="AL122" s="241"/>
      <c r="AM122" s="241"/>
      <c r="AN122" s="241"/>
      <c r="AO122" s="241"/>
      <c r="AP122" s="241"/>
      <c r="AQ122" s="241"/>
      <c r="AR122" s="241"/>
      <c r="AS122" s="241"/>
      <c r="AT122" s="241"/>
      <c r="AU122" s="241"/>
      <c r="AV122" s="241"/>
      <c r="AW122" s="241"/>
      <c r="AX122" s="241"/>
      <c r="AY122" s="241"/>
      <c r="AZ122" s="241"/>
      <c r="BA122" s="241"/>
      <c r="BB122" s="241"/>
      <c r="BC122" s="241"/>
      <c r="BD122" s="241"/>
      <c r="BE122" s="241"/>
      <c r="BF122" s="241"/>
      <c r="BG122" s="241"/>
      <c r="BH122" s="241"/>
      <c r="BI122" s="241"/>
      <c r="BJ122" s="241"/>
      <c r="BK122" s="241"/>
      <c r="BL122" s="241"/>
      <c r="BM122" s="241"/>
    </row>
    <row r="123" spans="1:65" ht="13.5" customHeight="1" x14ac:dyDescent="0.3">
      <c r="A123" s="241"/>
      <c r="B123" s="241"/>
      <c r="C123" s="241"/>
      <c r="D123" s="241"/>
      <c r="E123" s="241"/>
      <c r="F123" s="241"/>
      <c r="G123" s="241"/>
      <c r="H123" s="241"/>
      <c r="I123" s="241"/>
      <c r="J123" s="241"/>
      <c r="K123" s="241"/>
      <c r="L123" s="241"/>
      <c r="M123" s="241"/>
      <c r="N123" s="241"/>
      <c r="O123" s="241"/>
      <c r="P123" s="241"/>
      <c r="Q123" s="241"/>
      <c r="R123" s="241"/>
      <c r="S123" s="241"/>
      <c r="T123" s="241"/>
      <c r="U123" s="241"/>
      <c r="V123" s="241"/>
      <c r="W123" s="241"/>
      <c r="X123" s="241"/>
      <c r="Y123" s="241"/>
      <c r="Z123" s="241"/>
      <c r="AA123" s="241"/>
      <c r="AB123" s="241"/>
      <c r="AC123" s="241"/>
      <c r="AD123" s="241"/>
      <c r="AE123" s="241"/>
      <c r="AF123" s="241"/>
      <c r="AG123" s="241"/>
      <c r="AH123" s="241"/>
      <c r="AI123" s="241"/>
      <c r="AJ123" s="241"/>
      <c r="AK123" s="241"/>
      <c r="AL123" s="241"/>
      <c r="AM123" s="241"/>
      <c r="AN123" s="241"/>
      <c r="AO123" s="241"/>
      <c r="AP123" s="241"/>
      <c r="AQ123" s="241"/>
      <c r="AR123" s="241"/>
      <c r="AS123" s="241"/>
      <c r="AT123" s="241"/>
      <c r="AU123" s="241"/>
      <c r="AV123" s="241"/>
      <c r="AW123" s="241"/>
      <c r="AX123" s="241"/>
      <c r="AY123" s="241"/>
      <c r="AZ123" s="241"/>
      <c r="BA123" s="241"/>
      <c r="BB123" s="241"/>
      <c r="BC123" s="241"/>
      <c r="BD123" s="241"/>
      <c r="BE123" s="241"/>
      <c r="BF123" s="241"/>
      <c r="BG123" s="241"/>
      <c r="BH123" s="241"/>
      <c r="BI123" s="241"/>
      <c r="BJ123" s="241"/>
      <c r="BK123" s="241"/>
      <c r="BL123" s="241"/>
      <c r="BM123" s="241"/>
    </row>
    <row r="124" spans="1:65" ht="13.5" customHeight="1" x14ac:dyDescent="0.3">
      <c r="A124" s="241"/>
      <c r="B124" s="241"/>
      <c r="C124" s="241"/>
      <c r="D124" s="241"/>
      <c r="E124" s="241"/>
      <c r="F124" s="241"/>
      <c r="G124" s="241"/>
      <c r="H124" s="241"/>
      <c r="I124" s="241"/>
      <c r="J124" s="241"/>
      <c r="K124" s="241"/>
      <c r="L124" s="241"/>
      <c r="M124" s="241"/>
      <c r="N124" s="241"/>
      <c r="O124" s="241"/>
      <c r="P124" s="241"/>
      <c r="Q124" s="241"/>
      <c r="R124" s="241"/>
      <c r="S124" s="241"/>
      <c r="T124" s="241"/>
      <c r="U124" s="241"/>
      <c r="V124" s="241"/>
      <c r="W124" s="241"/>
      <c r="X124" s="241"/>
      <c r="Y124" s="241"/>
      <c r="Z124" s="241"/>
      <c r="AA124" s="241"/>
      <c r="AB124" s="241"/>
      <c r="AC124" s="241"/>
      <c r="AD124" s="241"/>
      <c r="AE124" s="241"/>
      <c r="AF124" s="241"/>
      <c r="AG124" s="241"/>
      <c r="AH124" s="241"/>
      <c r="AI124" s="241"/>
      <c r="AJ124" s="241"/>
      <c r="AK124" s="241"/>
      <c r="AL124" s="241"/>
      <c r="AM124" s="241"/>
      <c r="AN124" s="241"/>
      <c r="AO124" s="241"/>
      <c r="AP124" s="241"/>
      <c r="AQ124" s="241"/>
      <c r="AR124" s="241"/>
      <c r="AS124" s="241"/>
      <c r="AT124" s="241"/>
      <c r="AU124" s="241"/>
      <c r="AV124" s="241"/>
      <c r="AW124" s="241"/>
      <c r="AX124" s="241"/>
      <c r="AY124" s="241"/>
      <c r="AZ124" s="241"/>
      <c r="BA124" s="241"/>
      <c r="BB124" s="241"/>
      <c r="BC124" s="241"/>
      <c r="BD124" s="241"/>
      <c r="BE124" s="241"/>
      <c r="BF124" s="241"/>
      <c r="BG124" s="241"/>
      <c r="BH124" s="241"/>
      <c r="BI124" s="241"/>
      <c r="BJ124" s="241"/>
      <c r="BK124" s="241"/>
      <c r="BL124" s="241"/>
      <c r="BM124" s="241"/>
    </row>
    <row r="125" spans="1:65" ht="13.5" customHeight="1" x14ac:dyDescent="0.3">
      <c r="A125" s="241"/>
      <c r="B125" s="241"/>
      <c r="C125" s="241"/>
      <c r="D125" s="241"/>
      <c r="E125" s="241"/>
      <c r="F125" s="241"/>
      <c r="G125" s="241"/>
      <c r="H125" s="241"/>
      <c r="I125" s="241"/>
      <c r="J125" s="241"/>
      <c r="K125" s="241"/>
      <c r="L125" s="241"/>
      <c r="M125" s="241"/>
      <c r="N125" s="241"/>
      <c r="O125" s="241"/>
      <c r="P125" s="241"/>
      <c r="Q125" s="241"/>
      <c r="R125" s="241"/>
      <c r="S125" s="241"/>
      <c r="T125" s="241"/>
      <c r="U125" s="241"/>
      <c r="V125" s="241"/>
      <c r="W125" s="241"/>
      <c r="X125" s="241"/>
      <c r="Y125" s="241"/>
      <c r="Z125" s="241"/>
      <c r="AA125" s="241"/>
      <c r="AB125" s="241"/>
      <c r="AC125" s="241"/>
      <c r="AD125" s="241"/>
      <c r="AE125" s="241"/>
      <c r="AF125" s="241"/>
      <c r="AG125" s="241"/>
      <c r="AH125" s="241"/>
      <c r="AI125" s="241"/>
      <c r="AJ125" s="241"/>
      <c r="AK125" s="241"/>
      <c r="AL125" s="241"/>
      <c r="AM125" s="241"/>
      <c r="AN125" s="241"/>
      <c r="AO125" s="241"/>
      <c r="AP125" s="241"/>
      <c r="AQ125" s="241"/>
      <c r="AR125" s="241"/>
      <c r="AS125" s="241"/>
      <c r="AT125" s="241"/>
      <c r="AU125" s="241"/>
      <c r="AV125" s="241"/>
      <c r="AW125" s="241"/>
      <c r="AX125" s="241"/>
      <c r="AY125" s="241"/>
      <c r="AZ125" s="241"/>
      <c r="BA125" s="241"/>
      <c r="BB125" s="241"/>
      <c r="BC125" s="241"/>
      <c r="BD125" s="241"/>
      <c r="BE125" s="241"/>
      <c r="BF125" s="241"/>
      <c r="BG125" s="241"/>
      <c r="BH125" s="241"/>
      <c r="BI125" s="241"/>
      <c r="BJ125" s="241"/>
      <c r="BK125" s="241"/>
      <c r="BL125" s="241"/>
      <c r="BM125" s="241"/>
    </row>
    <row r="126" spans="1:65" ht="13.5" customHeight="1" x14ac:dyDescent="0.3">
      <c r="A126" s="241"/>
      <c r="B126" s="241"/>
      <c r="C126" s="241"/>
      <c r="D126" s="241"/>
      <c r="E126" s="241"/>
      <c r="F126" s="241"/>
      <c r="G126" s="241"/>
      <c r="H126" s="241"/>
      <c r="I126" s="241"/>
      <c r="J126" s="241"/>
      <c r="K126" s="241"/>
      <c r="L126" s="241"/>
      <c r="M126" s="241"/>
      <c r="N126" s="241"/>
      <c r="O126" s="241"/>
      <c r="P126" s="241"/>
      <c r="Q126" s="241"/>
      <c r="R126" s="241"/>
      <c r="S126" s="241"/>
      <c r="T126" s="241"/>
      <c r="U126" s="241"/>
      <c r="V126" s="241"/>
      <c r="W126" s="241"/>
      <c r="X126" s="241"/>
      <c r="Y126" s="241"/>
      <c r="Z126" s="241"/>
      <c r="AA126" s="241"/>
      <c r="AB126" s="241"/>
      <c r="AC126" s="241"/>
      <c r="AD126" s="241"/>
      <c r="AE126" s="241"/>
      <c r="AF126" s="241"/>
      <c r="AG126" s="241"/>
      <c r="AH126" s="241"/>
      <c r="AI126" s="241"/>
      <c r="AJ126" s="241"/>
      <c r="AK126" s="241"/>
      <c r="AL126" s="241"/>
      <c r="AM126" s="241"/>
      <c r="AN126" s="241"/>
      <c r="AO126" s="241"/>
      <c r="AP126" s="241"/>
      <c r="AQ126" s="241"/>
      <c r="AR126" s="241"/>
      <c r="AS126" s="241"/>
      <c r="AT126" s="241"/>
      <c r="AU126" s="241"/>
      <c r="AV126" s="241"/>
      <c r="AW126" s="241"/>
      <c r="AX126" s="241"/>
      <c r="AY126" s="241"/>
      <c r="AZ126" s="241"/>
      <c r="BA126" s="241"/>
      <c r="BB126" s="241"/>
      <c r="BC126" s="241"/>
      <c r="BD126" s="241"/>
      <c r="BE126" s="241"/>
      <c r="BF126" s="241"/>
      <c r="BG126" s="241"/>
      <c r="BH126" s="241"/>
      <c r="BI126" s="241"/>
      <c r="BJ126" s="241"/>
      <c r="BK126" s="241"/>
      <c r="BL126" s="241"/>
      <c r="BM126" s="241"/>
    </row>
    <row r="127" spans="1:65" ht="13.5" customHeight="1" x14ac:dyDescent="0.3">
      <c r="A127" s="241"/>
      <c r="B127" s="241"/>
      <c r="C127" s="241"/>
      <c r="D127" s="241"/>
      <c r="E127" s="241"/>
      <c r="F127" s="241"/>
      <c r="G127" s="241"/>
      <c r="H127" s="241"/>
      <c r="I127" s="241"/>
      <c r="J127" s="241"/>
      <c r="K127" s="241"/>
      <c r="L127" s="241"/>
      <c r="M127" s="241"/>
      <c r="N127" s="241"/>
      <c r="O127" s="241"/>
      <c r="P127" s="241"/>
      <c r="Q127" s="241"/>
      <c r="R127" s="241"/>
      <c r="S127" s="241"/>
      <c r="T127" s="241"/>
      <c r="U127" s="241"/>
      <c r="V127" s="241"/>
      <c r="W127" s="241"/>
      <c r="X127" s="241"/>
      <c r="Y127" s="241"/>
      <c r="Z127" s="241"/>
      <c r="AA127" s="241"/>
      <c r="AB127" s="241"/>
      <c r="AC127" s="241"/>
      <c r="AD127" s="241"/>
      <c r="AE127" s="241"/>
      <c r="AF127" s="241"/>
      <c r="AG127" s="241"/>
      <c r="AH127" s="241"/>
      <c r="AI127" s="241"/>
      <c r="AJ127" s="241"/>
      <c r="AK127" s="241"/>
      <c r="AL127" s="241"/>
      <c r="AM127" s="241"/>
      <c r="AN127" s="241"/>
      <c r="AO127" s="241"/>
      <c r="AP127" s="241"/>
      <c r="AQ127" s="241"/>
      <c r="AR127" s="241"/>
      <c r="AS127" s="241"/>
      <c r="AT127" s="241"/>
      <c r="AU127" s="241"/>
      <c r="AV127" s="241"/>
      <c r="AW127" s="241"/>
      <c r="AX127" s="241"/>
      <c r="AY127" s="241"/>
      <c r="AZ127" s="241"/>
      <c r="BA127" s="241"/>
      <c r="BB127" s="241"/>
      <c r="BC127" s="241"/>
      <c r="BD127" s="241"/>
      <c r="BE127" s="241"/>
      <c r="BF127" s="241"/>
      <c r="BG127" s="241"/>
      <c r="BH127" s="241"/>
      <c r="BI127" s="241"/>
      <c r="BJ127" s="241"/>
      <c r="BK127" s="241"/>
      <c r="BL127" s="241"/>
      <c r="BM127" s="241"/>
    </row>
    <row r="128" spans="1:65" ht="13.5" customHeight="1" x14ac:dyDescent="0.3">
      <c r="A128" s="241"/>
      <c r="B128" s="241"/>
      <c r="C128" s="241"/>
      <c r="D128" s="241"/>
      <c r="E128" s="241"/>
      <c r="F128" s="241"/>
      <c r="G128" s="241"/>
      <c r="H128" s="241"/>
      <c r="I128" s="241"/>
      <c r="J128" s="241"/>
      <c r="K128" s="241"/>
      <c r="L128" s="241"/>
      <c r="M128" s="241"/>
      <c r="N128" s="241"/>
      <c r="O128" s="241"/>
      <c r="P128" s="241"/>
      <c r="Q128" s="241"/>
      <c r="R128" s="241"/>
      <c r="S128" s="241"/>
      <c r="T128" s="241"/>
      <c r="U128" s="241"/>
      <c r="V128" s="241"/>
      <c r="W128" s="241"/>
      <c r="X128" s="241"/>
      <c r="Y128" s="241"/>
      <c r="Z128" s="241"/>
      <c r="AA128" s="241"/>
      <c r="AB128" s="241"/>
      <c r="AC128" s="241"/>
      <c r="AD128" s="241"/>
      <c r="AE128" s="241"/>
      <c r="AF128" s="241"/>
      <c r="AG128" s="241"/>
      <c r="AH128" s="241"/>
      <c r="AI128" s="241"/>
      <c r="AJ128" s="241"/>
      <c r="AK128" s="241"/>
      <c r="AL128" s="241"/>
      <c r="AM128" s="241"/>
      <c r="AN128" s="241"/>
      <c r="AO128" s="241"/>
      <c r="AP128" s="241"/>
      <c r="AQ128" s="241"/>
      <c r="AR128" s="241"/>
      <c r="AS128" s="241"/>
      <c r="AT128" s="241"/>
      <c r="AU128" s="241"/>
      <c r="AV128" s="241"/>
      <c r="AW128" s="241"/>
      <c r="AX128" s="241"/>
      <c r="AY128" s="241"/>
      <c r="AZ128" s="241"/>
      <c r="BA128" s="241"/>
      <c r="BB128" s="241"/>
      <c r="BC128" s="241"/>
      <c r="BD128" s="241"/>
      <c r="BE128" s="241"/>
      <c r="BF128" s="241"/>
      <c r="BG128" s="241"/>
      <c r="BH128" s="241"/>
      <c r="BI128" s="241"/>
      <c r="BJ128" s="241"/>
      <c r="BK128" s="241"/>
      <c r="BL128" s="241"/>
      <c r="BM128" s="241"/>
    </row>
    <row r="129" spans="1:65" ht="13.5" customHeight="1" x14ac:dyDescent="0.3">
      <c r="A129" s="241"/>
      <c r="B129" s="241"/>
      <c r="C129" s="241"/>
      <c r="D129" s="241"/>
      <c r="E129" s="241"/>
      <c r="F129" s="241"/>
      <c r="G129" s="241"/>
      <c r="H129" s="241"/>
      <c r="I129" s="241"/>
      <c r="J129" s="241"/>
      <c r="K129" s="241"/>
      <c r="L129" s="241"/>
      <c r="M129" s="241"/>
      <c r="N129" s="241"/>
      <c r="O129" s="241"/>
      <c r="P129" s="241"/>
      <c r="Q129" s="241"/>
      <c r="R129" s="241"/>
      <c r="S129" s="241"/>
      <c r="T129" s="241"/>
      <c r="U129" s="241"/>
      <c r="V129" s="241"/>
      <c r="W129" s="241"/>
      <c r="X129" s="241"/>
      <c r="Y129" s="241"/>
      <c r="Z129" s="241"/>
      <c r="AA129" s="241"/>
      <c r="AB129" s="241"/>
      <c r="AC129" s="241"/>
      <c r="AD129" s="241"/>
      <c r="AE129" s="241"/>
      <c r="AF129" s="241"/>
      <c r="AG129" s="241"/>
      <c r="AH129" s="241"/>
      <c r="AI129" s="241"/>
      <c r="AJ129" s="241"/>
      <c r="AK129" s="241"/>
      <c r="AL129" s="241"/>
      <c r="AM129" s="241"/>
      <c r="AN129" s="241"/>
      <c r="AO129" s="241"/>
      <c r="AP129" s="241"/>
      <c r="AQ129" s="241"/>
      <c r="AR129" s="241"/>
      <c r="AS129" s="241"/>
      <c r="AT129" s="241"/>
      <c r="AU129" s="241"/>
      <c r="AV129" s="241"/>
      <c r="AW129" s="241"/>
      <c r="AX129" s="241"/>
      <c r="AY129" s="241"/>
      <c r="AZ129" s="241"/>
      <c r="BA129" s="241"/>
      <c r="BB129" s="241"/>
      <c r="BC129" s="241"/>
      <c r="BD129" s="241"/>
      <c r="BE129" s="241"/>
      <c r="BF129" s="241"/>
      <c r="BG129" s="241"/>
      <c r="BH129" s="241"/>
      <c r="BI129" s="241"/>
      <c r="BJ129" s="241"/>
      <c r="BK129" s="241"/>
      <c r="BL129" s="241"/>
      <c r="BM129" s="241"/>
    </row>
    <row r="130" spans="1:65" ht="13.5" customHeight="1" x14ac:dyDescent="0.3">
      <c r="A130" s="241"/>
      <c r="B130" s="241"/>
      <c r="C130" s="241"/>
      <c r="D130" s="241"/>
      <c r="E130" s="241"/>
      <c r="F130" s="241"/>
      <c r="G130" s="241"/>
      <c r="H130" s="241"/>
      <c r="I130" s="241"/>
      <c r="J130" s="241"/>
      <c r="K130" s="241"/>
      <c r="L130" s="241"/>
      <c r="M130" s="241"/>
      <c r="N130" s="241"/>
      <c r="O130" s="241"/>
      <c r="P130" s="241"/>
      <c r="Q130" s="241"/>
      <c r="R130" s="241"/>
      <c r="S130" s="241"/>
      <c r="T130" s="241"/>
      <c r="U130" s="241"/>
      <c r="V130" s="241"/>
      <c r="W130" s="241"/>
      <c r="X130" s="241"/>
      <c r="Y130" s="241"/>
      <c r="Z130" s="241"/>
      <c r="AA130" s="241"/>
      <c r="AB130" s="241"/>
      <c r="AC130" s="241"/>
      <c r="AD130" s="241"/>
      <c r="AE130" s="241"/>
      <c r="AF130" s="241"/>
      <c r="AG130" s="241"/>
      <c r="AH130" s="241"/>
      <c r="AI130" s="241"/>
      <c r="AJ130" s="241"/>
      <c r="AK130" s="241"/>
      <c r="AL130" s="241"/>
      <c r="AM130" s="241"/>
      <c r="AN130" s="241"/>
      <c r="AO130" s="241"/>
      <c r="AP130" s="241"/>
      <c r="AQ130" s="241"/>
      <c r="AR130" s="241"/>
      <c r="AS130" s="241"/>
      <c r="AT130" s="241"/>
      <c r="AU130" s="241"/>
      <c r="AV130" s="241"/>
      <c r="AW130" s="241"/>
      <c r="AX130" s="241"/>
      <c r="AY130" s="241"/>
      <c r="AZ130" s="241"/>
      <c r="BA130" s="241"/>
      <c r="BB130" s="241"/>
      <c r="BC130" s="241"/>
      <c r="BD130" s="241"/>
      <c r="BE130" s="241"/>
      <c r="BF130" s="241"/>
      <c r="BG130" s="241"/>
      <c r="BH130" s="241"/>
      <c r="BI130" s="241"/>
      <c r="BJ130" s="241"/>
      <c r="BK130" s="241"/>
      <c r="BL130" s="241"/>
      <c r="BM130" s="241"/>
    </row>
    <row r="131" spans="1:65" ht="13.5" customHeight="1" x14ac:dyDescent="0.3">
      <c r="A131" s="241"/>
      <c r="B131" s="241"/>
      <c r="C131" s="241"/>
      <c r="D131" s="241"/>
      <c r="E131" s="241"/>
      <c r="F131" s="241"/>
      <c r="G131" s="241"/>
      <c r="H131" s="241"/>
      <c r="I131" s="241"/>
      <c r="J131" s="241"/>
      <c r="K131" s="241"/>
      <c r="L131" s="241"/>
      <c r="M131" s="241"/>
      <c r="N131" s="241"/>
      <c r="O131" s="241"/>
      <c r="P131" s="241"/>
      <c r="Q131" s="241"/>
      <c r="R131" s="241"/>
      <c r="S131" s="241"/>
      <c r="T131" s="241"/>
      <c r="U131" s="241"/>
      <c r="V131" s="241"/>
      <c r="W131" s="241"/>
      <c r="X131" s="241"/>
      <c r="Y131" s="241"/>
      <c r="Z131" s="241"/>
      <c r="AA131" s="241"/>
      <c r="AB131" s="241"/>
      <c r="AC131" s="241"/>
      <c r="AD131" s="241"/>
      <c r="AE131" s="241"/>
      <c r="AF131" s="241"/>
      <c r="AG131" s="241"/>
      <c r="AH131" s="241"/>
      <c r="AI131" s="241"/>
      <c r="AJ131" s="241"/>
      <c r="AK131" s="241"/>
      <c r="AL131" s="241"/>
      <c r="AM131" s="241"/>
      <c r="AN131" s="241"/>
      <c r="AO131" s="241"/>
      <c r="AP131" s="241"/>
      <c r="AQ131" s="241"/>
      <c r="AR131" s="241"/>
      <c r="AS131" s="241"/>
      <c r="AT131" s="241"/>
      <c r="AU131" s="241"/>
      <c r="AV131" s="241"/>
      <c r="AW131" s="241"/>
      <c r="AX131" s="241"/>
      <c r="AY131" s="241"/>
      <c r="AZ131" s="241"/>
      <c r="BA131" s="241"/>
      <c r="BB131" s="241"/>
      <c r="BC131" s="241"/>
      <c r="BD131" s="241"/>
      <c r="BE131" s="241"/>
      <c r="BF131" s="241"/>
      <c r="BG131" s="241"/>
      <c r="BH131" s="241"/>
      <c r="BI131" s="241"/>
      <c r="BJ131" s="241"/>
      <c r="BK131" s="241"/>
      <c r="BL131" s="241"/>
      <c r="BM131" s="241"/>
    </row>
    <row r="132" spans="1:65" ht="13.5" customHeight="1" x14ac:dyDescent="0.3">
      <c r="A132" s="241"/>
      <c r="B132" s="241"/>
      <c r="C132" s="241"/>
      <c r="D132" s="241"/>
      <c r="E132" s="241"/>
      <c r="F132" s="241"/>
      <c r="G132" s="241"/>
      <c r="H132" s="241"/>
      <c r="I132" s="241"/>
      <c r="J132" s="241"/>
      <c r="K132" s="241"/>
      <c r="L132" s="241"/>
      <c r="M132" s="241"/>
      <c r="N132" s="241"/>
      <c r="O132" s="241"/>
      <c r="P132" s="241"/>
      <c r="Q132" s="241"/>
      <c r="R132" s="241"/>
      <c r="S132" s="241"/>
      <c r="T132" s="241"/>
      <c r="U132" s="241"/>
      <c r="V132" s="241"/>
      <c r="W132" s="241"/>
      <c r="X132" s="241"/>
      <c r="Y132" s="241"/>
      <c r="Z132" s="241"/>
      <c r="AA132" s="241"/>
      <c r="AB132" s="241"/>
      <c r="AC132" s="241"/>
      <c r="AD132" s="241"/>
      <c r="AE132" s="241"/>
      <c r="AF132" s="241"/>
      <c r="AG132" s="241"/>
      <c r="AH132" s="241"/>
      <c r="AI132" s="241"/>
      <c r="AJ132" s="241"/>
      <c r="AK132" s="241"/>
      <c r="AL132" s="241"/>
      <c r="AM132" s="241"/>
      <c r="AN132" s="241"/>
      <c r="AO132" s="241"/>
      <c r="AP132" s="241"/>
      <c r="AQ132" s="241"/>
      <c r="AR132" s="241"/>
      <c r="AS132" s="241"/>
      <c r="AT132" s="241"/>
      <c r="AU132" s="241"/>
      <c r="AV132" s="241"/>
      <c r="AW132" s="241"/>
      <c r="AX132" s="241"/>
      <c r="AY132" s="241"/>
      <c r="AZ132" s="241"/>
      <c r="BA132" s="241"/>
      <c r="BB132" s="241"/>
      <c r="BC132" s="241"/>
      <c r="BD132" s="241"/>
      <c r="BE132" s="241"/>
      <c r="BF132" s="241"/>
      <c r="BG132" s="241"/>
      <c r="BH132" s="241"/>
      <c r="BI132" s="241"/>
      <c r="BJ132" s="241"/>
      <c r="BK132" s="241"/>
      <c r="BL132" s="241"/>
      <c r="BM132" s="241"/>
    </row>
    <row r="133" spans="1:65" ht="13.5" customHeight="1" x14ac:dyDescent="0.3">
      <c r="A133" s="241"/>
      <c r="B133" s="241"/>
      <c r="C133" s="241"/>
      <c r="D133" s="241"/>
      <c r="E133" s="241"/>
      <c r="F133" s="241"/>
      <c r="G133" s="241"/>
      <c r="H133" s="241"/>
      <c r="I133" s="241"/>
      <c r="J133" s="241"/>
      <c r="K133" s="241"/>
      <c r="L133" s="241"/>
      <c r="M133" s="241"/>
      <c r="N133" s="241"/>
      <c r="O133" s="241"/>
      <c r="P133" s="241"/>
      <c r="Q133" s="241"/>
      <c r="R133" s="241"/>
      <c r="S133" s="241"/>
      <c r="T133" s="241"/>
      <c r="U133" s="241"/>
      <c r="V133" s="241"/>
      <c r="W133" s="241"/>
      <c r="X133" s="241"/>
      <c r="Y133" s="241"/>
      <c r="Z133" s="241"/>
      <c r="AA133" s="241"/>
      <c r="AB133" s="241"/>
      <c r="AC133" s="241"/>
      <c r="AD133" s="241"/>
      <c r="AE133" s="241"/>
      <c r="AF133" s="241"/>
      <c r="AG133" s="241"/>
      <c r="AH133" s="241"/>
      <c r="AI133" s="241"/>
      <c r="AJ133" s="241"/>
      <c r="AK133" s="241"/>
      <c r="AL133" s="241"/>
      <c r="AM133" s="241"/>
      <c r="AN133" s="241"/>
      <c r="AO133" s="241"/>
      <c r="AP133" s="241"/>
      <c r="AQ133" s="241"/>
      <c r="AR133" s="241"/>
      <c r="AS133" s="241"/>
      <c r="AT133" s="241"/>
      <c r="AU133" s="241"/>
      <c r="AV133" s="241"/>
      <c r="AW133" s="241"/>
      <c r="AX133" s="241"/>
      <c r="AY133" s="241"/>
      <c r="AZ133" s="241"/>
      <c r="BA133" s="241"/>
      <c r="BB133" s="241"/>
      <c r="BC133" s="241"/>
      <c r="BD133" s="241"/>
      <c r="BE133" s="241"/>
      <c r="BF133" s="241"/>
      <c r="BG133" s="241"/>
      <c r="BH133" s="241"/>
      <c r="BI133" s="241"/>
      <c r="BJ133" s="241"/>
      <c r="BK133" s="241"/>
      <c r="BL133" s="241"/>
      <c r="BM133" s="241"/>
    </row>
    <row r="134" spans="1:65" ht="13.5" customHeight="1" x14ac:dyDescent="0.3">
      <c r="A134" s="241"/>
      <c r="B134" s="241"/>
      <c r="C134" s="241"/>
      <c r="D134" s="241"/>
      <c r="E134" s="241"/>
      <c r="F134" s="241"/>
      <c r="G134" s="241"/>
      <c r="H134" s="241"/>
      <c r="I134" s="241"/>
      <c r="J134" s="241"/>
      <c r="K134" s="241"/>
      <c r="L134" s="241"/>
      <c r="M134" s="241"/>
      <c r="N134" s="241"/>
      <c r="O134" s="241"/>
      <c r="P134" s="241"/>
      <c r="Q134" s="241"/>
      <c r="R134" s="241"/>
      <c r="S134" s="241"/>
      <c r="T134" s="241"/>
      <c r="U134" s="241"/>
      <c r="V134" s="241"/>
      <c r="W134" s="241"/>
      <c r="X134" s="241"/>
      <c r="Y134" s="241"/>
      <c r="Z134" s="241"/>
      <c r="AA134" s="241"/>
      <c r="AB134" s="241"/>
      <c r="AC134" s="241"/>
      <c r="AD134" s="241"/>
      <c r="AE134" s="241"/>
      <c r="AF134" s="241"/>
      <c r="AG134" s="241"/>
      <c r="AH134" s="241"/>
      <c r="AI134" s="241"/>
      <c r="AJ134" s="241"/>
      <c r="AK134" s="241"/>
      <c r="AL134" s="241"/>
      <c r="AM134" s="241"/>
      <c r="AN134" s="241"/>
      <c r="AO134" s="241"/>
      <c r="AP134" s="241"/>
      <c r="AQ134" s="241"/>
      <c r="AR134" s="241"/>
      <c r="AS134" s="241"/>
      <c r="AT134" s="241"/>
      <c r="AU134" s="241"/>
      <c r="AV134" s="241"/>
      <c r="AW134" s="241"/>
      <c r="AX134" s="241"/>
      <c r="AY134" s="241"/>
      <c r="AZ134" s="241"/>
      <c r="BA134" s="241"/>
      <c r="BB134" s="241"/>
      <c r="BC134" s="241"/>
      <c r="BD134" s="241"/>
      <c r="BE134" s="241"/>
      <c r="BF134" s="241"/>
      <c r="BG134" s="241"/>
      <c r="BH134" s="241"/>
      <c r="BI134" s="241"/>
      <c r="BJ134" s="241"/>
      <c r="BK134" s="241"/>
      <c r="BL134" s="241"/>
      <c r="BM134" s="241"/>
    </row>
    <row r="135" spans="1:65" ht="13.5" customHeight="1" x14ac:dyDescent="0.3">
      <c r="A135" s="241"/>
      <c r="B135" s="241"/>
      <c r="C135" s="241"/>
      <c r="D135" s="241"/>
      <c r="E135" s="241"/>
      <c r="F135" s="241"/>
      <c r="G135" s="241"/>
      <c r="H135" s="241"/>
      <c r="I135" s="241"/>
      <c r="J135" s="241"/>
      <c r="K135" s="241"/>
      <c r="L135" s="241"/>
      <c r="M135" s="241"/>
      <c r="N135" s="241"/>
      <c r="O135" s="241"/>
      <c r="P135" s="241"/>
      <c r="Q135" s="241"/>
      <c r="R135" s="241"/>
      <c r="S135" s="241"/>
      <c r="T135" s="241"/>
      <c r="U135" s="241"/>
      <c r="V135" s="241"/>
      <c r="W135" s="241"/>
      <c r="X135" s="241"/>
      <c r="Y135" s="241"/>
      <c r="Z135" s="241"/>
      <c r="AA135" s="241"/>
      <c r="AB135" s="241"/>
      <c r="AC135" s="241"/>
      <c r="AD135" s="241"/>
      <c r="AE135" s="241"/>
      <c r="AF135" s="241"/>
      <c r="AG135" s="241"/>
      <c r="AH135" s="241"/>
      <c r="AI135" s="241"/>
      <c r="AJ135" s="241"/>
      <c r="AK135" s="241"/>
      <c r="AL135" s="241"/>
      <c r="AM135" s="241"/>
      <c r="AN135" s="241"/>
      <c r="AO135" s="241"/>
      <c r="AP135" s="241"/>
      <c r="AQ135" s="241"/>
      <c r="AR135" s="241"/>
      <c r="AS135" s="241"/>
      <c r="AT135" s="241"/>
      <c r="AU135" s="241"/>
      <c r="AV135" s="241"/>
      <c r="AW135" s="241"/>
      <c r="AX135" s="241"/>
      <c r="AY135" s="241"/>
      <c r="AZ135" s="241"/>
      <c r="BA135" s="241"/>
      <c r="BB135" s="241"/>
      <c r="BC135" s="241"/>
      <c r="BD135" s="241"/>
      <c r="BE135" s="241"/>
      <c r="BF135" s="241"/>
      <c r="BG135" s="241"/>
      <c r="BH135" s="241"/>
      <c r="BI135" s="241"/>
      <c r="BJ135" s="241"/>
      <c r="BK135" s="241"/>
      <c r="BL135" s="241"/>
      <c r="BM135" s="241"/>
    </row>
    <row r="136" spans="1:65" ht="13.5" customHeight="1" x14ac:dyDescent="0.3">
      <c r="A136" s="241"/>
      <c r="B136" s="241"/>
      <c r="C136" s="241"/>
      <c r="D136" s="241"/>
      <c r="E136" s="241"/>
      <c r="F136" s="241"/>
      <c r="G136" s="241"/>
      <c r="H136" s="241"/>
      <c r="I136" s="241"/>
      <c r="J136" s="241"/>
      <c r="K136" s="241"/>
      <c r="L136" s="241"/>
      <c r="M136" s="241"/>
      <c r="N136" s="241"/>
      <c r="O136" s="241"/>
      <c r="P136" s="241"/>
      <c r="Q136" s="241"/>
      <c r="R136" s="241"/>
      <c r="S136" s="241"/>
      <c r="T136" s="241"/>
      <c r="U136" s="241"/>
      <c r="V136" s="241"/>
      <c r="W136" s="241"/>
      <c r="X136" s="241"/>
      <c r="Y136" s="241"/>
      <c r="Z136" s="241"/>
      <c r="AA136" s="241"/>
      <c r="AB136" s="241"/>
      <c r="AC136" s="241"/>
      <c r="AD136" s="241"/>
      <c r="AE136" s="241"/>
      <c r="AF136" s="241"/>
      <c r="AG136" s="241"/>
      <c r="AH136" s="241"/>
      <c r="AI136" s="241"/>
      <c r="AJ136" s="241"/>
      <c r="AK136" s="241"/>
      <c r="AL136" s="241"/>
      <c r="AM136" s="241"/>
      <c r="AN136" s="241"/>
      <c r="AO136" s="241"/>
      <c r="AP136" s="241"/>
      <c r="AQ136" s="241"/>
      <c r="AR136" s="241"/>
      <c r="AS136" s="241"/>
      <c r="AT136" s="241"/>
      <c r="AU136" s="241"/>
      <c r="AV136" s="241"/>
      <c r="AW136" s="241"/>
      <c r="AX136" s="241"/>
      <c r="AY136" s="241"/>
      <c r="AZ136" s="241"/>
      <c r="BA136" s="241"/>
      <c r="BB136" s="241"/>
      <c r="BC136" s="241"/>
      <c r="BD136" s="241"/>
      <c r="BE136" s="241"/>
      <c r="BF136" s="241"/>
      <c r="BG136" s="241"/>
      <c r="BH136" s="241"/>
      <c r="BI136" s="241"/>
      <c r="BJ136" s="241"/>
      <c r="BK136" s="241"/>
      <c r="BL136" s="241"/>
      <c r="BM136" s="241"/>
    </row>
    <row r="137" spans="1:65" ht="13.5" customHeight="1" x14ac:dyDescent="0.3">
      <c r="A137" s="241"/>
      <c r="B137" s="241"/>
      <c r="C137" s="241"/>
      <c r="D137" s="241"/>
      <c r="E137" s="241"/>
      <c r="F137" s="241"/>
      <c r="G137" s="241"/>
      <c r="H137" s="241"/>
      <c r="I137" s="241"/>
      <c r="J137" s="241"/>
      <c r="K137" s="241"/>
      <c r="L137" s="241"/>
      <c r="M137" s="241"/>
      <c r="N137" s="241"/>
      <c r="O137" s="241"/>
      <c r="P137" s="241"/>
      <c r="Q137" s="241"/>
      <c r="R137" s="241"/>
      <c r="S137" s="241"/>
      <c r="T137" s="241"/>
      <c r="U137" s="241"/>
      <c r="V137" s="241"/>
      <c r="W137" s="241"/>
      <c r="X137" s="241"/>
      <c r="Y137" s="241"/>
      <c r="Z137" s="241"/>
      <c r="AA137" s="241"/>
      <c r="AB137" s="241"/>
      <c r="AC137" s="241"/>
      <c r="AD137" s="241"/>
      <c r="AE137" s="241"/>
      <c r="AF137" s="241"/>
      <c r="AG137" s="241"/>
      <c r="AH137" s="241"/>
      <c r="AI137" s="241"/>
      <c r="AJ137" s="241"/>
      <c r="AK137" s="241"/>
      <c r="AL137" s="241"/>
      <c r="AM137" s="241"/>
      <c r="AN137" s="241"/>
      <c r="AO137" s="241"/>
      <c r="AP137" s="241"/>
      <c r="AQ137" s="241"/>
      <c r="AR137" s="241"/>
      <c r="AS137" s="241"/>
      <c r="AT137" s="241"/>
      <c r="AU137" s="241"/>
      <c r="AV137" s="241"/>
      <c r="AW137" s="241"/>
      <c r="AX137" s="241"/>
      <c r="AY137" s="241"/>
      <c r="AZ137" s="241"/>
      <c r="BA137" s="241"/>
      <c r="BB137" s="241"/>
      <c r="BC137" s="241"/>
      <c r="BD137" s="241"/>
      <c r="BE137" s="241"/>
      <c r="BF137" s="241"/>
      <c r="BG137" s="241"/>
      <c r="BH137" s="241"/>
      <c r="BI137" s="241"/>
      <c r="BJ137" s="241"/>
      <c r="BK137" s="241"/>
      <c r="BL137" s="241"/>
      <c r="BM137" s="241"/>
    </row>
    <row r="138" spans="1:65" ht="13.5" customHeight="1" x14ac:dyDescent="0.3">
      <c r="A138" s="241"/>
      <c r="B138" s="241"/>
      <c r="C138" s="241"/>
      <c r="D138" s="241"/>
      <c r="E138" s="241"/>
      <c r="F138" s="241"/>
      <c r="G138" s="241"/>
      <c r="H138" s="241"/>
      <c r="I138" s="241"/>
      <c r="J138" s="241"/>
      <c r="K138" s="241"/>
      <c r="L138" s="241"/>
      <c r="M138" s="241"/>
      <c r="N138" s="241"/>
      <c r="O138" s="241"/>
      <c r="P138" s="241"/>
      <c r="Q138" s="241"/>
      <c r="R138" s="241"/>
      <c r="S138" s="241"/>
      <c r="T138" s="241"/>
      <c r="U138" s="241"/>
      <c r="V138" s="241"/>
      <c r="W138" s="241"/>
      <c r="X138" s="241"/>
      <c r="Y138" s="241"/>
      <c r="Z138" s="241"/>
      <c r="AA138" s="241"/>
      <c r="AB138" s="241"/>
      <c r="AC138" s="241"/>
      <c r="AD138" s="241"/>
      <c r="AE138" s="241"/>
      <c r="AF138" s="241"/>
      <c r="AG138" s="241"/>
      <c r="AH138" s="241"/>
      <c r="AI138" s="241"/>
      <c r="AJ138" s="241"/>
      <c r="AK138" s="241"/>
      <c r="AL138" s="241"/>
      <c r="AM138" s="241"/>
      <c r="AN138" s="241"/>
      <c r="AO138" s="241"/>
      <c r="AP138" s="241"/>
      <c r="AQ138" s="241"/>
      <c r="AR138" s="241"/>
      <c r="AS138" s="241"/>
      <c r="AT138" s="241"/>
      <c r="AU138" s="241"/>
      <c r="AV138" s="241"/>
      <c r="AW138" s="241"/>
      <c r="AX138" s="241"/>
      <c r="AY138" s="241"/>
      <c r="AZ138" s="241"/>
      <c r="BA138" s="241"/>
      <c r="BB138" s="241"/>
      <c r="BC138" s="241"/>
      <c r="BD138" s="241"/>
      <c r="BE138" s="241"/>
      <c r="BF138" s="241"/>
      <c r="BG138" s="241"/>
      <c r="BH138" s="241"/>
      <c r="BI138" s="241"/>
      <c r="BJ138" s="241"/>
      <c r="BK138" s="241"/>
      <c r="BL138" s="241"/>
      <c r="BM138" s="241"/>
    </row>
    <row r="139" spans="1:65" ht="13.5" customHeight="1" x14ac:dyDescent="0.3">
      <c r="A139" s="241"/>
      <c r="B139" s="241"/>
      <c r="C139" s="241"/>
      <c r="D139" s="241"/>
      <c r="E139" s="241"/>
      <c r="F139" s="241"/>
      <c r="G139" s="241"/>
      <c r="H139" s="241"/>
      <c r="I139" s="241"/>
      <c r="J139" s="241"/>
      <c r="K139" s="241"/>
      <c r="L139" s="241"/>
      <c r="M139" s="241"/>
      <c r="N139" s="241"/>
      <c r="O139" s="241"/>
      <c r="P139" s="241"/>
      <c r="Q139" s="241"/>
      <c r="R139" s="241"/>
      <c r="S139" s="241"/>
      <c r="T139" s="241"/>
      <c r="U139" s="241"/>
      <c r="V139" s="241"/>
      <c r="W139" s="241"/>
      <c r="X139" s="241"/>
      <c r="Y139" s="241"/>
      <c r="Z139" s="241"/>
      <c r="AA139" s="241"/>
      <c r="AB139" s="241"/>
      <c r="AC139" s="241"/>
      <c r="AD139" s="241"/>
      <c r="AE139" s="241"/>
      <c r="AF139" s="241"/>
      <c r="AG139" s="241"/>
      <c r="AH139" s="241"/>
      <c r="AI139" s="241"/>
      <c r="AJ139" s="241"/>
      <c r="AK139" s="241"/>
      <c r="AL139" s="241"/>
      <c r="AM139" s="241"/>
      <c r="AN139" s="241"/>
      <c r="AO139" s="241"/>
      <c r="AP139" s="241"/>
      <c r="AQ139" s="241"/>
      <c r="AR139" s="241"/>
      <c r="AS139" s="241"/>
      <c r="AT139" s="241"/>
      <c r="AU139" s="241"/>
      <c r="AV139" s="241"/>
      <c r="AW139" s="241"/>
      <c r="AX139" s="241"/>
      <c r="AY139" s="241"/>
      <c r="AZ139" s="241"/>
      <c r="BA139" s="241"/>
      <c r="BB139" s="241"/>
      <c r="BC139" s="241"/>
      <c r="BD139" s="241"/>
      <c r="BE139" s="241"/>
      <c r="BF139" s="241"/>
      <c r="BG139" s="241"/>
      <c r="BH139" s="241"/>
      <c r="BI139" s="241"/>
      <c r="BJ139" s="241"/>
      <c r="BK139" s="241"/>
      <c r="BL139" s="241"/>
      <c r="BM139" s="241"/>
    </row>
    <row r="140" spans="1:65" ht="13.5" customHeight="1" x14ac:dyDescent="0.3">
      <c r="A140" s="241"/>
      <c r="B140" s="241"/>
      <c r="C140" s="241"/>
      <c r="D140" s="241"/>
      <c r="E140" s="241"/>
      <c r="F140" s="241"/>
      <c r="G140" s="241"/>
      <c r="H140" s="241"/>
      <c r="I140" s="241"/>
      <c r="J140" s="241"/>
      <c r="K140" s="241"/>
      <c r="L140" s="241"/>
      <c r="M140" s="241"/>
      <c r="N140" s="241"/>
      <c r="O140" s="241"/>
      <c r="P140" s="241"/>
      <c r="Q140" s="241"/>
      <c r="R140" s="241"/>
      <c r="S140" s="241"/>
      <c r="T140" s="241"/>
      <c r="U140" s="241"/>
      <c r="V140" s="241"/>
      <c r="W140" s="241"/>
      <c r="X140" s="241"/>
      <c r="Y140" s="241"/>
      <c r="Z140" s="241"/>
      <c r="AA140" s="241"/>
      <c r="AB140" s="241"/>
      <c r="AC140" s="241"/>
      <c r="AD140" s="241"/>
      <c r="AE140" s="241"/>
      <c r="AF140" s="241"/>
      <c r="AG140" s="241"/>
      <c r="AH140" s="241"/>
      <c r="AI140" s="241"/>
      <c r="AJ140" s="241"/>
      <c r="AK140" s="241"/>
      <c r="AL140" s="241"/>
      <c r="AM140" s="241"/>
      <c r="AN140" s="241"/>
      <c r="AO140" s="241"/>
      <c r="AP140" s="241"/>
      <c r="AQ140" s="241"/>
      <c r="AR140" s="241"/>
      <c r="AS140" s="241"/>
      <c r="AT140" s="241"/>
      <c r="AU140" s="241"/>
      <c r="AV140" s="241"/>
      <c r="AW140" s="241"/>
      <c r="AX140" s="241"/>
      <c r="AY140" s="241"/>
      <c r="AZ140" s="241"/>
      <c r="BA140" s="241"/>
      <c r="BB140" s="241"/>
      <c r="BC140" s="241"/>
      <c r="BD140" s="241"/>
      <c r="BE140" s="241"/>
      <c r="BF140" s="241"/>
      <c r="BG140" s="241"/>
      <c r="BH140" s="241"/>
      <c r="BI140" s="241"/>
      <c r="BJ140" s="241"/>
      <c r="BK140" s="241"/>
      <c r="BL140" s="241"/>
      <c r="BM140" s="241"/>
    </row>
    <row r="141" spans="1:65" ht="13.5" customHeight="1" x14ac:dyDescent="0.3">
      <c r="A141" s="241"/>
      <c r="B141" s="241"/>
      <c r="C141" s="241"/>
      <c r="D141" s="241"/>
      <c r="E141" s="241"/>
      <c r="F141" s="241"/>
      <c r="G141" s="241"/>
      <c r="H141" s="241"/>
      <c r="I141" s="241"/>
      <c r="J141" s="241"/>
      <c r="K141" s="241"/>
      <c r="L141" s="241"/>
      <c r="M141" s="241"/>
      <c r="N141" s="241"/>
      <c r="O141" s="241"/>
      <c r="P141" s="241"/>
      <c r="Q141" s="241"/>
      <c r="R141" s="241"/>
      <c r="S141" s="241"/>
      <c r="T141" s="241"/>
      <c r="U141" s="241"/>
      <c r="V141" s="241"/>
      <c r="W141" s="241"/>
      <c r="X141" s="241"/>
      <c r="Y141" s="241"/>
      <c r="Z141" s="241"/>
      <c r="AA141" s="241"/>
      <c r="AB141" s="241"/>
      <c r="AC141" s="241"/>
      <c r="AD141" s="241"/>
      <c r="AE141" s="241"/>
      <c r="AF141" s="241"/>
      <c r="AG141" s="241"/>
      <c r="AH141" s="241"/>
      <c r="AI141" s="241"/>
      <c r="AJ141" s="241"/>
      <c r="AK141" s="241"/>
      <c r="AL141" s="241"/>
      <c r="AM141" s="241"/>
      <c r="AN141" s="241"/>
      <c r="AO141" s="241"/>
      <c r="AP141" s="241"/>
      <c r="AQ141" s="241"/>
      <c r="AR141" s="241"/>
      <c r="AS141" s="241"/>
      <c r="AT141" s="241"/>
      <c r="AU141" s="241"/>
      <c r="AV141" s="241"/>
      <c r="AW141" s="241"/>
      <c r="AX141" s="241"/>
      <c r="AY141" s="241"/>
      <c r="AZ141" s="241"/>
      <c r="BA141" s="241"/>
      <c r="BB141" s="241"/>
      <c r="BC141" s="241"/>
      <c r="BD141" s="241"/>
      <c r="BE141" s="241"/>
      <c r="BF141" s="241"/>
      <c r="BG141" s="241"/>
      <c r="BH141" s="241"/>
      <c r="BI141" s="241"/>
      <c r="BJ141" s="241"/>
      <c r="BK141" s="241"/>
      <c r="BL141" s="241"/>
      <c r="BM141" s="241"/>
    </row>
    <row r="142" spans="1:65" ht="13.5" customHeight="1" x14ac:dyDescent="0.3">
      <c r="A142" s="241"/>
      <c r="B142" s="241"/>
      <c r="C142" s="241"/>
      <c r="D142" s="241"/>
      <c r="E142" s="241"/>
      <c r="F142" s="241"/>
      <c r="G142" s="241"/>
      <c r="H142" s="241"/>
      <c r="I142" s="241"/>
      <c r="J142" s="241"/>
      <c r="K142" s="241"/>
      <c r="L142" s="241"/>
      <c r="M142" s="241"/>
      <c r="N142" s="241"/>
      <c r="O142" s="241"/>
      <c r="P142" s="241"/>
      <c r="Q142" s="241"/>
      <c r="R142" s="241"/>
      <c r="S142" s="241"/>
      <c r="T142" s="241"/>
      <c r="U142" s="241"/>
      <c r="V142" s="241"/>
      <c r="W142" s="241"/>
      <c r="X142" s="241"/>
      <c r="Y142" s="241"/>
      <c r="Z142" s="241"/>
      <c r="AA142" s="241"/>
      <c r="AB142" s="241"/>
      <c r="AC142" s="241"/>
      <c r="AD142" s="241"/>
      <c r="AE142" s="241"/>
      <c r="AF142" s="241"/>
      <c r="AG142" s="241"/>
      <c r="AH142" s="241"/>
      <c r="AI142" s="241"/>
      <c r="AJ142" s="241"/>
      <c r="AK142" s="241"/>
      <c r="AL142" s="241"/>
      <c r="AM142" s="241"/>
      <c r="AN142" s="241"/>
      <c r="AO142" s="241"/>
      <c r="AP142" s="241"/>
      <c r="AQ142" s="241"/>
      <c r="AR142" s="241"/>
      <c r="AS142" s="241"/>
      <c r="AT142" s="241"/>
      <c r="AU142" s="241"/>
      <c r="AV142" s="241"/>
      <c r="AW142" s="241"/>
      <c r="AX142" s="241"/>
      <c r="AY142" s="241"/>
      <c r="AZ142" s="241"/>
      <c r="BA142" s="241"/>
      <c r="BB142" s="241"/>
      <c r="BC142" s="241"/>
      <c r="BD142" s="241"/>
      <c r="BE142" s="241"/>
      <c r="BF142" s="241"/>
      <c r="BG142" s="241"/>
      <c r="BH142" s="241"/>
      <c r="BI142" s="241"/>
      <c r="BJ142" s="241"/>
      <c r="BK142" s="241"/>
      <c r="BL142" s="241"/>
      <c r="BM142" s="241"/>
    </row>
    <row r="143" spans="1:65" ht="13.5" customHeight="1" x14ac:dyDescent="0.3">
      <c r="A143" s="241"/>
      <c r="B143" s="241"/>
      <c r="C143" s="241"/>
      <c r="D143" s="241"/>
      <c r="E143" s="241"/>
      <c r="F143" s="241"/>
      <c r="G143" s="241"/>
      <c r="H143" s="241"/>
      <c r="I143" s="241"/>
      <c r="J143" s="241"/>
      <c r="K143" s="241"/>
      <c r="L143" s="241"/>
      <c r="M143" s="241"/>
      <c r="N143" s="241"/>
      <c r="O143" s="241"/>
      <c r="P143" s="241"/>
      <c r="Q143" s="241"/>
      <c r="R143" s="241"/>
      <c r="S143" s="241"/>
      <c r="T143" s="241"/>
      <c r="U143" s="241"/>
      <c r="V143" s="241"/>
      <c r="W143" s="241"/>
      <c r="X143" s="241"/>
      <c r="Y143" s="241"/>
      <c r="Z143" s="241"/>
      <c r="AA143" s="241"/>
      <c r="AB143" s="241"/>
      <c r="AC143" s="241"/>
      <c r="AD143" s="241"/>
      <c r="AE143" s="241"/>
      <c r="AF143" s="241"/>
      <c r="AG143" s="241"/>
      <c r="AH143" s="241"/>
      <c r="AI143" s="241"/>
      <c r="AJ143" s="241"/>
      <c r="AK143" s="241"/>
      <c r="AL143" s="241"/>
      <c r="AM143" s="241"/>
      <c r="AN143" s="241"/>
      <c r="AO143" s="241"/>
      <c r="AP143" s="241"/>
      <c r="AQ143" s="241"/>
      <c r="AR143" s="241"/>
      <c r="AS143" s="241"/>
      <c r="AT143" s="241"/>
      <c r="AU143" s="241"/>
      <c r="AV143" s="241"/>
      <c r="AW143" s="241"/>
      <c r="AX143" s="241"/>
      <c r="AY143" s="241"/>
      <c r="AZ143" s="241"/>
      <c r="BA143" s="241"/>
      <c r="BB143" s="241"/>
      <c r="BC143" s="241"/>
      <c r="BD143" s="241"/>
      <c r="BE143" s="241"/>
      <c r="BF143" s="241"/>
      <c r="BG143" s="241"/>
      <c r="BH143" s="241"/>
      <c r="BI143" s="241"/>
      <c r="BJ143" s="241"/>
      <c r="BK143" s="241"/>
      <c r="BL143" s="241"/>
      <c r="BM143" s="241"/>
    </row>
    <row r="144" spans="1:65" ht="13.5" customHeight="1" x14ac:dyDescent="0.3">
      <c r="A144" s="241"/>
      <c r="B144" s="241"/>
      <c r="C144" s="241"/>
      <c r="D144" s="241"/>
      <c r="E144" s="241"/>
      <c r="F144" s="241"/>
      <c r="G144" s="241"/>
      <c r="H144" s="241"/>
      <c r="I144" s="241"/>
      <c r="J144" s="241"/>
      <c r="K144" s="241"/>
      <c r="L144" s="241"/>
      <c r="M144" s="241"/>
      <c r="N144" s="241"/>
      <c r="O144" s="241"/>
      <c r="P144" s="241"/>
      <c r="Q144" s="241"/>
      <c r="R144" s="241"/>
      <c r="S144" s="241"/>
      <c r="T144" s="241"/>
      <c r="U144" s="241"/>
      <c r="V144" s="241"/>
      <c r="W144" s="241"/>
      <c r="X144" s="241"/>
      <c r="Y144" s="241"/>
      <c r="Z144" s="241"/>
      <c r="AA144" s="241"/>
      <c r="AB144" s="241"/>
      <c r="AC144" s="241"/>
      <c r="AD144" s="241"/>
      <c r="AE144" s="241"/>
      <c r="AF144" s="241"/>
      <c r="AG144" s="241"/>
      <c r="AH144" s="241"/>
      <c r="AI144" s="241"/>
      <c r="AJ144" s="241"/>
      <c r="AK144" s="241"/>
      <c r="AL144" s="241"/>
      <c r="AM144" s="241"/>
      <c r="AN144" s="241"/>
      <c r="AO144" s="241"/>
      <c r="AP144" s="241"/>
      <c r="AQ144" s="241"/>
      <c r="AR144" s="241"/>
      <c r="AS144" s="241"/>
      <c r="AT144" s="241"/>
      <c r="AU144" s="241"/>
      <c r="AV144" s="241"/>
      <c r="AW144" s="241"/>
      <c r="AX144" s="241"/>
      <c r="AY144" s="241"/>
      <c r="AZ144" s="241"/>
      <c r="BA144" s="241"/>
      <c r="BB144" s="241"/>
      <c r="BC144" s="241"/>
      <c r="BD144" s="241"/>
      <c r="BE144" s="241"/>
      <c r="BF144" s="241"/>
      <c r="BG144" s="241"/>
      <c r="BH144" s="241"/>
      <c r="BI144" s="241"/>
      <c r="BJ144" s="241"/>
      <c r="BK144" s="241"/>
      <c r="BL144" s="241"/>
      <c r="BM144" s="241"/>
    </row>
    <row r="145" spans="1:65" ht="13.5" customHeight="1" x14ac:dyDescent="0.3">
      <c r="A145" s="241"/>
      <c r="B145" s="241"/>
      <c r="C145" s="241"/>
      <c r="D145" s="241"/>
      <c r="E145" s="241"/>
      <c r="F145" s="241"/>
      <c r="G145" s="241"/>
      <c r="H145" s="241"/>
      <c r="I145" s="241"/>
      <c r="J145" s="241"/>
      <c r="K145" s="241"/>
      <c r="L145" s="241"/>
      <c r="M145" s="241"/>
      <c r="N145" s="241"/>
      <c r="O145" s="241"/>
      <c r="P145" s="241"/>
      <c r="Q145" s="241"/>
      <c r="R145" s="241"/>
      <c r="S145" s="241"/>
      <c r="T145" s="241"/>
      <c r="U145" s="241"/>
      <c r="V145" s="241"/>
      <c r="W145" s="241"/>
      <c r="X145" s="241"/>
      <c r="Y145" s="241"/>
      <c r="Z145" s="241"/>
      <c r="AA145" s="241"/>
      <c r="AB145" s="241"/>
      <c r="AC145" s="241"/>
      <c r="AD145" s="241"/>
      <c r="AE145" s="241"/>
      <c r="AF145" s="241"/>
      <c r="AG145" s="241"/>
      <c r="AH145" s="241"/>
      <c r="AI145" s="241"/>
      <c r="AJ145" s="241"/>
      <c r="AK145" s="241"/>
      <c r="AL145" s="241"/>
      <c r="AM145" s="241"/>
      <c r="AN145" s="241"/>
      <c r="AO145" s="241"/>
      <c r="AP145" s="241"/>
      <c r="AQ145" s="241"/>
      <c r="AR145" s="241"/>
      <c r="AS145" s="241"/>
      <c r="AT145" s="241"/>
      <c r="AU145" s="241"/>
      <c r="AV145" s="241"/>
      <c r="AW145" s="241"/>
      <c r="AX145" s="241"/>
      <c r="AY145" s="241"/>
      <c r="AZ145" s="241"/>
      <c r="BA145" s="241"/>
      <c r="BB145" s="241"/>
      <c r="BC145" s="241"/>
      <c r="BD145" s="241"/>
      <c r="BE145" s="241"/>
      <c r="BF145" s="241"/>
      <c r="BG145" s="241"/>
      <c r="BH145" s="241"/>
      <c r="BI145" s="241"/>
      <c r="BJ145" s="241"/>
      <c r="BK145" s="241"/>
      <c r="BL145" s="241"/>
      <c r="BM145" s="241"/>
    </row>
    <row r="146" spans="1:65" ht="13.5" customHeight="1" x14ac:dyDescent="0.3">
      <c r="A146" s="241"/>
      <c r="B146" s="241"/>
      <c r="C146" s="241"/>
      <c r="D146" s="241"/>
      <c r="E146" s="241"/>
      <c r="F146" s="241"/>
      <c r="G146" s="241"/>
      <c r="H146" s="241"/>
      <c r="I146" s="241"/>
      <c r="J146" s="241"/>
      <c r="K146" s="241"/>
      <c r="L146" s="241"/>
      <c r="M146" s="241"/>
      <c r="N146" s="241"/>
      <c r="O146" s="241"/>
      <c r="P146" s="241"/>
      <c r="Q146" s="241"/>
      <c r="R146" s="241"/>
      <c r="S146" s="241"/>
      <c r="T146" s="241"/>
      <c r="U146" s="241"/>
      <c r="V146" s="241"/>
      <c r="W146" s="241"/>
      <c r="X146" s="241"/>
      <c r="Y146" s="241"/>
      <c r="Z146" s="241"/>
      <c r="AA146" s="241"/>
      <c r="AB146" s="241"/>
      <c r="AC146" s="241"/>
      <c r="AD146" s="241"/>
      <c r="AE146" s="241"/>
      <c r="AF146" s="241"/>
      <c r="AG146" s="241"/>
      <c r="AH146" s="241"/>
      <c r="AI146" s="241"/>
      <c r="AJ146" s="241"/>
      <c r="AK146" s="241"/>
      <c r="AL146" s="241"/>
      <c r="AM146" s="241"/>
      <c r="AN146" s="241"/>
      <c r="AO146" s="241"/>
      <c r="AP146" s="241"/>
      <c r="AQ146" s="241"/>
      <c r="AR146" s="241"/>
      <c r="AS146" s="241"/>
      <c r="AT146" s="241"/>
      <c r="AU146" s="241"/>
      <c r="AV146" s="241"/>
      <c r="AW146" s="241"/>
      <c r="AX146" s="241"/>
      <c r="AY146" s="241"/>
      <c r="AZ146" s="241"/>
      <c r="BA146" s="241"/>
      <c r="BB146" s="241"/>
      <c r="BC146" s="241"/>
      <c r="BD146" s="241"/>
      <c r="BE146" s="241"/>
      <c r="BF146" s="241"/>
      <c r="BG146" s="241"/>
      <c r="BH146" s="241"/>
      <c r="BI146" s="241"/>
      <c r="BJ146" s="241"/>
      <c r="BK146" s="241"/>
      <c r="BL146" s="241"/>
      <c r="BM146" s="241"/>
    </row>
    <row r="147" spans="1:65" ht="13.5" customHeight="1" x14ac:dyDescent="0.3">
      <c r="A147" s="241"/>
      <c r="B147" s="241"/>
      <c r="C147" s="241"/>
      <c r="D147" s="241"/>
      <c r="E147" s="241"/>
      <c r="F147" s="241"/>
      <c r="G147" s="241"/>
      <c r="H147" s="241"/>
      <c r="I147" s="241"/>
      <c r="J147" s="241"/>
      <c r="K147" s="241"/>
      <c r="L147" s="241"/>
      <c r="M147" s="241"/>
      <c r="N147" s="241"/>
      <c r="O147" s="241"/>
      <c r="P147" s="241"/>
      <c r="Q147" s="241"/>
      <c r="R147" s="241"/>
      <c r="S147" s="241"/>
      <c r="T147" s="241"/>
      <c r="U147" s="241"/>
      <c r="V147" s="241"/>
      <c r="W147" s="241"/>
      <c r="X147" s="241"/>
      <c r="Y147" s="241"/>
      <c r="Z147" s="241"/>
      <c r="AA147" s="241"/>
      <c r="AB147" s="241"/>
      <c r="AC147" s="241"/>
      <c r="AD147" s="241"/>
      <c r="AE147" s="241"/>
      <c r="AF147" s="241"/>
      <c r="AG147" s="241"/>
      <c r="AH147" s="241"/>
      <c r="AI147" s="241"/>
      <c r="AJ147" s="241"/>
      <c r="AK147" s="241"/>
      <c r="AL147" s="241"/>
      <c r="AM147" s="241"/>
      <c r="AN147" s="241"/>
      <c r="AO147" s="241"/>
      <c r="AP147" s="241"/>
      <c r="AQ147" s="241"/>
      <c r="AR147" s="241"/>
      <c r="AS147" s="241"/>
      <c r="AT147" s="241"/>
      <c r="AU147" s="241"/>
      <c r="AV147" s="241"/>
      <c r="AW147" s="241"/>
      <c r="AX147" s="241"/>
      <c r="AY147" s="241"/>
      <c r="AZ147" s="241"/>
      <c r="BA147" s="241"/>
      <c r="BB147" s="241"/>
      <c r="BC147" s="241"/>
      <c r="BD147" s="241"/>
      <c r="BE147" s="241"/>
      <c r="BF147" s="241"/>
      <c r="BG147" s="241"/>
      <c r="BH147" s="241"/>
      <c r="BI147" s="241"/>
      <c r="BJ147" s="241"/>
      <c r="BK147" s="241"/>
      <c r="BL147" s="241"/>
      <c r="BM147" s="241"/>
    </row>
    <row r="148" spans="1:65" ht="13.5" customHeight="1" x14ac:dyDescent="0.3">
      <c r="A148" s="241"/>
      <c r="B148" s="241"/>
      <c r="C148" s="241"/>
      <c r="D148" s="241"/>
      <c r="E148" s="241"/>
      <c r="F148" s="241"/>
      <c r="G148" s="241"/>
      <c r="H148" s="241"/>
      <c r="I148" s="241"/>
      <c r="J148" s="241"/>
      <c r="K148" s="241"/>
      <c r="L148" s="241"/>
      <c r="M148" s="241"/>
      <c r="N148" s="241"/>
      <c r="O148" s="241"/>
      <c r="P148" s="241"/>
      <c r="Q148" s="241"/>
      <c r="R148" s="241"/>
      <c r="S148" s="241"/>
      <c r="T148" s="241"/>
      <c r="U148" s="241"/>
      <c r="V148" s="241"/>
      <c r="W148" s="241"/>
      <c r="X148" s="241"/>
      <c r="Y148" s="241"/>
      <c r="Z148" s="241"/>
      <c r="AA148" s="241"/>
      <c r="AB148" s="241"/>
      <c r="AC148" s="241"/>
      <c r="AD148" s="241"/>
      <c r="AE148" s="241"/>
      <c r="AF148" s="241"/>
      <c r="AG148" s="241"/>
      <c r="AH148" s="241"/>
      <c r="AI148" s="241"/>
      <c r="AJ148" s="241"/>
      <c r="AK148" s="241"/>
      <c r="AL148" s="241"/>
      <c r="AM148" s="241"/>
      <c r="AN148" s="241"/>
      <c r="AO148" s="241"/>
      <c r="AP148" s="241"/>
      <c r="AQ148" s="241"/>
      <c r="AR148" s="241"/>
      <c r="AS148" s="241"/>
      <c r="AT148" s="241"/>
      <c r="AU148" s="241"/>
      <c r="AV148" s="241"/>
      <c r="AW148" s="241"/>
      <c r="AX148" s="241"/>
      <c r="AY148" s="241"/>
      <c r="AZ148" s="241"/>
      <c r="BA148" s="241"/>
      <c r="BB148" s="241"/>
      <c r="BC148" s="241"/>
      <c r="BD148" s="241"/>
      <c r="BE148" s="241"/>
      <c r="BF148" s="241"/>
      <c r="BG148" s="241"/>
      <c r="BH148" s="241"/>
      <c r="BI148" s="241"/>
      <c r="BJ148" s="241"/>
      <c r="BK148" s="241"/>
      <c r="BL148" s="241"/>
      <c r="BM148" s="241"/>
    </row>
    <row r="149" spans="1:65" ht="13.5" customHeight="1" x14ac:dyDescent="0.3">
      <c r="A149" s="241"/>
      <c r="B149" s="241"/>
      <c r="C149" s="241"/>
      <c r="D149" s="241"/>
      <c r="E149" s="241"/>
      <c r="F149" s="241"/>
      <c r="G149" s="241"/>
      <c r="H149" s="241"/>
      <c r="I149" s="241"/>
      <c r="J149" s="241"/>
      <c r="K149" s="241"/>
      <c r="L149" s="241"/>
      <c r="M149" s="241"/>
      <c r="N149" s="241"/>
      <c r="O149" s="241"/>
      <c r="P149" s="241"/>
      <c r="Q149" s="241"/>
      <c r="R149" s="241"/>
      <c r="S149" s="241"/>
      <c r="T149" s="241"/>
      <c r="U149" s="241"/>
      <c r="V149" s="241"/>
      <c r="W149" s="241"/>
      <c r="X149" s="241"/>
      <c r="Y149" s="241"/>
      <c r="Z149" s="241"/>
      <c r="AA149" s="241"/>
      <c r="AB149" s="241"/>
      <c r="AC149" s="241"/>
      <c r="AD149" s="241"/>
      <c r="AE149" s="241"/>
      <c r="AF149" s="241"/>
      <c r="AG149" s="241"/>
      <c r="AH149" s="241"/>
      <c r="AI149" s="241"/>
      <c r="AJ149" s="241"/>
      <c r="AK149" s="241"/>
      <c r="AL149" s="241"/>
      <c r="AM149" s="241"/>
      <c r="AN149" s="241"/>
      <c r="AO149" s="241"/>
      <c r="AP149" s="241"/>
      <c r="AQ149" s="241"/>
      <c r="AR149" s="241"/>
      <c r="AS149" s="241"/>
      <c r="AT149" s="241"/>
      <c r="AU149" s="241"/>
      <c r="AV149" s="241"/>
      <c r="AW149" s="241"/>
      <c r="AX149" s="241"/>
      <c r="AY149" s="241"/>
      <c r="AZ149" s="241"/>
      <c r="BA149" s="241"/>
      <c r="BB149" s="241"/>
      <c r="BC149" s="241"/>
      <c r="BD149" s="241"/>
      <c r="BE149" s="241"/>
      <c r="BF149" s="241"/>
      <c r="BG149" s="241"/>
      <c r="BH149" s="241"/>
      <c r="BI149" s="241"/>
      <c r="BJ149" s="241"/>
      <c r="BK149" s="241"/>
      <c r="BL149" s="241"/>
      <c r="BM149" s="241"/>
    </row>
    <row r="150" spans="1:65" ht="13.5" customHeight="1" x14ac:dyDescent="0.3">
      <c r="A150" s="241"/>
      <c r="B150" s="241"/>
      <c r="C150" s="241"/>
      <c r="D150" s="241"/>
      <c r="E150" s="241"/>
      <c r="F150" s="241"/>
      <c r="G150" s="241"/>
      <c r="H150" s="241"/>
      <c r="I150" s="241"/>
      <c r="J150" s="241"/>
      <c r="K150" s="241"/>
      <c r="L150" s="241"/>
      <c r="M150" s="241"/>
      <c r="N150" s="241"/>
      <c r="O150" s="241"/>
      <c r="P150" s="241"/>
      <c r="Q150" s="241"/>
      <c r="R150" s="241"/>
      <c r="S150" s="241"/>
      <c r="T150" s="241"/>
      <c r="U150" s="241"/>
      <c r="V150" s="241"/>
      <c r="W150" s="241"/>
      <c r="X150" s="241"/>
      <c r="Y150" s="241"/>
      <c r="Z150" s="241"/>
      <c r="AA150" s="241"/>
      <c r="AB150" s="241"/>
      <c r="AC150" s="241"/>
      <c r="AD150" s="241"/>
      <c r="AE150" s="241"/>
      <c r="AF150" s="241"/>
      <c r="AG150" s="241"/>
      <c r="AH150" s="241"/>
      <c r="AI150" s="241"/>
      <c r="AJ150" s="241"/>
      <c r="AK150" s="241"/>
      <c r="AL150" s="241"/>
      <c r="AM150" s="241"/>
      <c r="AN150" s="241"/>
      <c r="AO150" s="241"/>
      <c r="AP150" s="241"/>
      <c r="AQ150" s="241"/>
      <c r="AR150" s="241"/>
      <c r="AS150" s="241"/>
      <c r="AT150" s="241"/>
      <c r="AU150" s="241"/>
      <c r="AV150" s="241"/>
      <c r="AW150" s="241"/>
      <c r="AX150" s="241"/>
      <c r="AY150" s="241"/>
      <c r="AZ150" s="241"/>
      <c r="BA150" s="241"/>
      <c r="BB150" s="241"/>
      <c r="BC150" s="241"/>
      <c r="BD150" s="241"/>
      <c r="BE150" s="241"/>
      <c r="BF150" s="241"/>
      <c r="BG150" s="241"/>
      <c r="BH150" s="241"/>
      <c r="BI150" s="241"/>
      <c r="BJ150" s="241"/>
      <c r="BK150" s="241"/>
      <c r="BL150" s="241"/>
      <c r="BM150" s="241"/>
    </row>
    <row r="151" spans="1:65" ht="13.5" customHeight="1" x14ac:dyDescent="0.3">
      <c r="A151" s="241"/>
      <c r="B151" s="241"/>
      <c r="C151" s="241"/>
      <c r="D151" s="241"/>
      <c r="E151" s="241"/>
      <c r="F151" s="241"/>
      <c r="G151" s="241"/>
      <c r="H151" s="241"/>
      <c r="I151" s="241"/>
      <c r="J151" s="241"/>
      <c r="K151" s="241"/>
      <c r="L151" s="241"/>
      <c r="M151" s="241"/>
      <c r="N151" s="241"/>
      <c r="O151" s="241"/>
      <c r="P151" s="241"/>
      <c r="Q151" s="241"/>
      <c r="R151" s="241"/>
      <c r="S151" s="241"/>
      <c r="T151" s="241"/>
      <c r="U151" s="241"/>
      <c r="V151" s="241"/>
      <c r="W151" s="241"/>
      <c r="X151" s="241"/>
      <c r="Y151" s="241"/>
      <c r="Z151" s="241"/>
      <c r="AA151" s="241"/>
      <c r="AB151" s="241"/>
      <c r="AC151" s="241"/>
      <c r="AD151" s="241"/>
      <c r="AE151" s="241"/>
      <c r="AF151" s="241"/>
      <c r="AG151" s="241"/>
      <c r="AH151" s="241"/>
      <c r="AI151" s="241"/>
      <c r="AJ151" s="241"/>
      <c r="AK151" s="241"/>
      <c r="AL151" s="241"/>
      <c r="AM151" s="241"/>
      <c r="AN151" s="241"/>
      <c r="AO151" s="241"/>
      <c r="AP151" s="241"/>
      <c r="AQ151" s="241"/>
      <c r="AR151" s="241"/>
      <c r="AS151" s="241"/>
      <c r="AT151" s="241"/>
      <c r="AU151" s="241"/>
      <c r="AV151" s="241"/>
      <c r="AW151" s="241"/>
      <c r="AX151" s="241"/>
      <c r="AY151" s="241"/>
      <c r="AZ151" s="241"/>
      <c r="BA151" s="241"/>
      <c r="BB151" s="241"/>
      <c r="BC151" s="241"/>
      <c r="BD151" s="241"/>
      <c r="BE151" s="241"/>
      <c r="BF151" s="241"/>
      <c r="BG151" s="241"/>
      <c r="BH151" s="241"/>
      <c r="BI151" s="241"/>
      <c r="BJ151" s="241"/>
      <c r="BK151" s="241"/>
      <c r="BL151" s="241"/>
      <c r="BM151" s="241"/>
    </row>
    <row r="152" spans="1:65" ht="13.5" customHeight="1" x14ac:dyDescent="0.3">
      <c r="A152" s="241"/>
      <c r="B152" s="241"/>
      <c r="C152" s="241"/>
      <c r="D152" s="241"/>
      <c r="E152" s="241"/>
      <c r="F152" s="241"/>
      <c r="G152" s="241"/>
      <c r="H152" s="241"/>
      <c r="I152" s="241"/>
      <c r="J152" s="241"/>
      <c r="K152" s="241"/>
      <c r="L152" s="241"/>
      <c r="M152" s="241"/>
      <c r="N152" s="241"/>
      <c r="O152" s="241"/>
      <c r="P152" s="241"/>
      <c r="Q152" s="241"/>
      <c r="R152" s="241"/>
      <c r="S152" s="241"/>
      <c r="T152" s="241"/>
      <c r="U152" s="241"/>
      <c r="V152" s="241"/>
      <c r="W152" s="241"/>
      <c r="X152" s="241"/>
      <c r="Y152" s="241"/>
      <c r="Z152" s="241"/>
      <c r="AA152" s="241"/>
      <c r="AB152" s="241"/>
      <c r="AC152" s="241"/>
      <c r="AD152" s="241"/>
      <c r="AE152" s="241"/>
      <c r="AF152" s="241"/>
      <c r="AG152" s="241"/>
      <c r="AH152" s="241"/>
      <c r="AI152" s="241"/>
      <c r="AJ152" s="241"/>
      <c r="AK152" s="241"/>
      <c r="AL152" s="241"/>
      <c r="AM152" s="241"/>
      <c r="AN152" s="241"/>
      <c r="AO152" s="241"/>
      <c r="AP152" s="241"/>
      <c r="AQ152" s="241"/>
      <c r="AR152" s="241"/>
      <c r="AS152" s="241"/>
      <c r="AT152" s="241"/>
      <c r="AU152" s="241"/>
      <c r="AV152" s="241"/>
      <c r="AW152" s="241"/>
      <c r="AX152" s="241"/>
      <c r="AY152" s="241"/>
      <c r="AZ152" s="241"/>
      <c r="BA152" s="241"/>
      <c r="BB152" s="241"/>
      <c r="BC152" s="241"/>
      <c r="BD152" s="241"/>
      <c r="BE152" s="241"/>
      <c r="BF152" s="241"/>
      <c r="BG152" s="241"/>
      <c r="BH152" s="241"/>
      <c r="BI152" s="241"/>
      <c r="BJ152" s="241"/>
      <c r="BK152" s="241"/>
      <c r="BL152" s="241"/>
      <c r="BM152" s="241"/>
    </row>
    <row r="153" spans="1:65" ht="13.5" customHeight="1" x14ac:dyDescent="0.3">
      <c r="A153" s="241"/>
      <c r="B153" s="241"/>
      <c r="C153" s="241"/>
      <c r="D153" s="241"/>
      <c r="E153" s="241"/>
      <c r="F153" s="241"/>
      <c r="G153" s="241"/>
      <c r="H153" s="241"/>
      <c r="I153" s="241"/>
      <c r="J153" s="241"/>
      <c r="K153" s="241"/>
      <c r="L153" s="241"/>
      <c r="M153" s="241"/>
      <c r="N153" s="241"/>
      <c r="O153" s="241"/>
      <c r="P153" s="241"/>
      <c r="Q153" s="241"/>
      <c r="R153" s="241"/>
      <c r="S153" s="241"/>
      <c r="T153" s="241"/>
      <c r="U153" s="241"/>
      <c r="V153" s="241"/>
      <c r="W153" s="241"/>
      <c r="X153" s="241"/>
      <c r="Y153" s="241"/>
      <c r="Z153" s="241"/>
      <c r="AA153" s="241"/>
      <c r="AB153" s="241"/>
      <c r="AC153" s="241"/>
      <c r="AD153" s="241"/>
      <c r="AE153" s="241"/>
      <c r="AF153" s="241"/>
      <c r="AG153" s="241"/>
      <c r="AH153" s="241"/>
      <c r="AI153" s="241"/>
      <c r="AJ153" s="241"/>
      <c r="AK153" s="241"/>
      <c r="AL153" s="241"/>
      <c r="AM153" s="241"/>
      <c r="AN153" s="241"/>
      <c r="AO153" s="241"/>
      <c r="AP153" s="241"/>
      <c r="AQ153" s="241"/>
      <c r="AR153" s="241"/>
      <c r="AS153" s="241"/>
      <c r="AT153" s="241"/>
      <c r="AU153" s="241"/>
      <c r="AV153" s="241"/>
      <c r="AW153" s="241"/>
      <c r="AX153" s="241"/>
      <c r="AY153" s="241"/>
      <c r="AZ153" s="241"/>
      <c r="BA153" s="241"/>
      <c r="BB153" s="241"/>
      <c r="BC153" s="241"/>
      <c r="BD153" s="241"/>
      <c r="BE153" s="241"/>
      <c r="BF153" s="241"/>
      <c r="BG153" s="241"/>
      <c r="BH153" s="241"/>
      <c r="BI153" s="241"/>
      <c r="BJ153" s="241"/>
      <c r="BK153" s="241"/>
      <c r="BL153" s="241"/>
      <c r="BM153" s="241"/>
    </row>
    <row r="154" spans="1:65" ht="13.5" customHeight="1" x14ac:dyDescent="0.3">
      <c r="A154" s="241"/>
      <c r="B154" s="241"/>
      <c r="C154" s="241"/>
      <c r="D154" s="241"/>
      <c r="E154" s="241"/>
      <c r="F154" s="241"/>
      <c r="G154" s="241"/>
      <c r="H154" s="241"/>
      <c r="I154" s="241"/>
      <c r="J154" s="241"/>
      <c r="K154" s="241"/>
      <c r="L154" s="241"/>
      <c r="M154" s="241"/>
      <c r="N154" s="241"/>
      <c r="O154" s="241"/>
      <c r="P154" s="241"/>
      <c r="Q154" s="241"/>
      <c r="R154" s="241"/>
      <c r="S154" s="241"/>
      <c r="T154" s="241"/>
      <c r="U154" s="241"/>
      <c r="V154" s="241"/>
      <c r="W154" s="241"/>
      <c r="X154" s="241"/>
      <c r="Y154" s="241"/>
      <c r="Z154" s="241"/>
      <c r="AA154" s="241"/>
      <c r="AB154" s="241"/>
      <c r="AC154" s="241"/>
      <c r="AD154" s="241"/>
      <c r="AE154" s="241"/>
      <c r="AF154" s="241"/>
      <c r="AG154" s="241"/>
      <c r="AH154" s="241"/>
      <c r="AI154" s="241"/>
      <c r="AJ154" s="241"/>
      <c r="AK154" s="241"/>
      <c r="AL154" s="241"/>
      <c r="AM154" s="241"/>
      <c r="AN154" s="241"/>
      <c r="AO154" s="241"/>
      <c r="AP154" s="241"/>
      <c r="AQ154" s="241"/>
      <c r="AR154" s="241"/>
      <c r="AS154" s="241"/>
      <c r="AT154" s="241"/>
      <c r="AU154" s="241"/>
      <c r="AV154" s="241"/>
      <c r="AW154" s="241"/>
      <c r="AX154" s="241"/>
      <c r="AY154" s="241"/>
      <c r="AZ154" s="241"/>
      <c r="BA154" s="241"/>
      <c r="BB154" s="241"/>
      <c r="BC154" s="241"/>
      <c r="BD154" s="241"/>
      <c r="BE154" s="241"/>
      <c r="BF154" s="241"/>
      <c r="BG154" s="241"/>
      <c r="BH154" s="241"/>
      <c r="BI154" s="241"/>
      <c r="BJ154" s="241"/>
      <c r="BK154" s="241"/>
      <c r="BL154" s="241"/>
      <c r="BM154" s="241"/>
    </row>
    <row r="155" spans="1:65" ht="13.5" customHeight="1" x14ac:dyDescent="0.3">
      <c r="A155" s="241"/>
      <c r="B155" s="241"/>
      <c r="C155" s="241"/>
      <c r="D155" s="241"/>
      <c r="E155" s="241"/>
      <c r="F155" s="241"/>
      <c r="G155" s="241"/>
      <c r="H155" s="241"/>
      <c r="I155" s="241"/>
      <c r="J155" s="241"/>
      <c r="K155" s="241"/>
      <c r="L155" s="241"/>
      <c r="M155" s="241"/>
      <c r="N155" s="241"/>
      <c r="O155" s="241"/>
      <c r="P155" s="241"/>
      <c r="Q155" s="241"/>
      <c r="R155" s="241"/>
      <c r="S155" s="241"/>
      <c r="T155" s="241"/>
      <c r="U155" s="241"/>
      <c r="V155" s="241"/>
      <c r="W155" s="241"/>
      <c r="X155" s="241"/>
      <c r="Y155" s="241"/>
      <c r="Z155" s="241"/>
      <c r="AA155" s="241"/>
      <c r="AB155" s="241"/>
      <c r="AC155" s="241"/>
      <c r="AD155" s="241"/>
      <c r="AE155" s="241"/>
      <c r="AF155" s="241"/>
      <c r="AG155" s="241"/>
      <c r="AH155" s="241"/>
      <c r="AI155" s="241"/>
      <c r="AJ155" s="241"/>
      <c r="AK155" s="241"/>
      <c r="AL155" s="241"/>
      <c r="AM155" s="241"/>
      <c r="AN155" s="241"/>
      <c r="AO155" s="241"/>
      <c r="AP155" s="241"/>
      <c r="AQ155" s="241"/>
      <c r="AR155" s="241"/>
      <c r="AS155" s="241"/>
      <c r="AT155" s="241"/>
      <c r="AU155" s="241"/>
      <c r="AV155" s="241"/>
      <c r="AW155" s="241"/>
      <c r="AX155" s="241"/>
      <c r="AY155" s="241"/>
      <c r="AZ155" s="241"/>
      <c r="BA155" s="241"/>
      <c r="BB155" s="241"/>
      <c r="BC155" s="241"/>
      <c r="BD155" s="241"/>
      <c r="BE155" s="241"/>
      <c r="BF155" s="241"/>
      <c r="BG155" s="241"/>
      <c r="BH155" s="241"/>
      <c r="BI155" s="241"/>
      <c r="BJ155" s="241"/>
      <c r="BK155" s="241"/>
      <c r="BL155" s="241"/>
      <c r="BM155" s="241"/>
    </row>
    <row r="156" spans="1:65" ht="13.5" customHeight="1" x14ac:dyDescent="0.3">
      <c r="A156" s="241"/>
      <c r="B156" s="241"/>
      <c r="C156" s="241"/>
      <c r="D156" s="241"/>
      <c r="E156" s="241"/>
      <c r="F156" s="241"/>
      <c r="G156" s="241"/>
      <c r="H156" s="241"/>
      <c r="I156" s="241"/>
      <c r="J156" s="241"/>
      <c r="K156" s="241"/>
      <c r="L156" s="241"/>
      <c r="M156" s="241"/>
      <c r="N156" s="241"/>
      <c r="O156" s="241"/>
      <c r="P156" s="241"/>
      <c r="Q156" s="241"/>
      <c r="R156" s="241"/>
      <c r="S156" s="241"/>
      <c r="T156" s="241"/>
      <c r="U156" s="241"/>
      <c r="V156" s="241"/>
      <c r="W156" s="241"/>
      <c r="X156" s="241"/>
      <c r="Y156" s="241"/>
      <c r="Z156" s="241"/>
      <c r="AA156" s="241"/>
      <c r="AB156" s="241"/>
      <c r="AC156" s="241"/>
      <c r="AD156" s="241"/>
      <c r="AE156" s="241"/>
      <c r="AF156" s="241"/>
      <c r="AG156" s="241"/>
      <c r="AH156" s="241"/>
      <c r="AI156" s="241"/>
      <c r="AJ156" s="241"/>
      <c r="AK156" s="241"/>
      <c r="AL156" s="241"/>
      <c r="AM156" s="241"/>
      <c r="AN156" s="241"/>
      <c r="AO156" s="241"/>
      <c r="AP156" s="241"/>
      <c r="AQ156" s="241"/>
      <c r="AR156" s="241"/>
      <c r="AS156" s="241"/>
      <c r="AT156" s="241"/>
      <c r="AU156" s="241"/>
      <c r="AV156" s="241"/>
      <c r="AW156" s="241"/>
      <c r="AX156" s="241"/>
      <c r="AY156" s="241"/>
      <c r="AZ156" s="241"/>
      <c r="BA156" s="241"/>
      <c r="BB156" s="241"/>
      <c r="BC156" s="241"/>
      <c r="BD156" s="241"/>
      <c r="BE156" s="241"/>
      <c r="BF156" s="241"/>
      <c r="BG156" s="241"/>
      <c r="BH156" s="241"/>
      <c r="BI156" s="241"/>
      <c r="BJ156" s="241"/>
      <c r="BK156" s="241"/>
      <c r="BL156" s="241"/>
      <c r="BM156" s="241"/>
    </row>
    <row r="157" spans="1:65" ht="13.5" customHeight="1" x14ac:dyDescent="0.3">
      <c r="A157" s="241"/>
      <c r="B157" s="241"/>
      <c r="C157" s="241"/>
      <c r="D157" s="241"/>
      <c r="E157" s="241"/>
      <c r="F157" s="241"/>
      <c r="G157" s="241"/>
      <c r="H157" s="241"/>
      <c r="I157" s="241"/>
      <c r="J157" s="241"/>
      <c r="K157" s="241"/>
      <c r="L157" s="241"/>
      <c r="M157" s="241"/>
      <c r="N157" s="241"/>
      <c r="O157" s="241"/>
      <c r="P157" s="241"/>
      <c r="Q157" s="241"/>
      <c r="R157" s="241"/>
      <c r="S157" s="241"/>
      <c r="T157" s="241"/>
      <c r="U157" s="241"/>
      <c r="V157" s="241"/>
      <c r="W157" s="241"/>
      <c r="X157" s="241"/>
      <c r="Y157" s="241"/>
      <c r="Z157" s="241"/>
      <c r="AA157" s="241"/>
      <c r="AB157" s="241"/>
      <c r="AC157" s="241"/>
      <c r="AD157" s="241"/>
      <c r="AE157" s="241"/>
      <c r="AF157" s="241"/>
      <c r="AG157" s="241"/>
      <c r="AH157" s="241"/>
      <c r="AI157" s="241"/>
      <c r="AJ157" s="241"/>
      <c r="AK157" s="241"/>
      <c r="AL157" s="241"/>
      <c r="AM157" s="241"/>
      <c r="AN157" s="241"/>
      <c r="AO157" s="241"/>
      <c r="AP157" s="241"/>
      <c r="AQ157" s="241"/>
      <c r="AR157" s="241"/>
      <c r="AS157" s="241"/>
      <c r="AT157" s="241"/>
      <c r="AU157" s="241"/>
      <c r="AV157" s="241"/>
      <c r="AW157" s="241"/>
      <c r="AX157" s="241"/>
      <c r="AY157" s="241"/>
      <c r="AZ157" s="241"/>
      <c r="BA157" s="241"/>
      <c r="BB157" s="241"/>
      <c r="BC157" s="241"/>
      <c r="BD157" s="241"/>
      <c r="BE157" s="241"/>
      <c r="BF157" s="241"/>
      <c r="BG157" s="241"/>
      <c r="BH157" s="241"/>
      <c r="BI157" s="241"/>
      <c r="BJ157" s="241"/>
      <c r="BK157" s="241"/>
      <c r="BL157" s="241"/>
      <c r="BM157" s="241"/>
    </row>
    <row r="158" spans="1:65" ht="13.5" customHeight="1" x14ac:dyDescent="0.3">
      <c r="A158" s="241"/>
      <c r="B158" s="241"/>
      <c r="C158" s="241"/>
      <c r="D158" s="241"/>
      <c r="E158" s="241"/>
      <c r="F158" s="241"/>
      <c r="G158" s="241"/>
      <c r="H158" s="241"/>
      <c r="I158" s="241"/>
      <c r="J158" s="241"/>
      <c r="K158" s="241"/>
      <c r="L158" s="241"/>
      <c r="M158" s="241"/>
      <c r="N158" s="241"/>
      <c r="O158" s="241"/>
      <c r="P158" s="241"/>
      <c r="Q158" s="241"/>
      <c r="R158" s="241"/>
      <c r="S158" s="241"/>
      <c r="T158" s="241"/>
      <c r="U158" s="241"/>
      <c r="V158" s="241"/>
      <c r="W158" s="241"/>
      <c r="X158" s="241"/>
      <c r="Y158" s="241"/>
      <c r="Z158" s="241"/>
      <c r="AA158" s="241"/>
      <c r="AB158" s="241"/>
      <c r="AC158" s="241"/>
      <c r="AD158" s="241"/>
      <c r="AE158" s="241"/>
      <c r="AF158" s="241"/>
      <c r="AG158" s="241"/>
      <c r="AH158" s="241"/>
      <c r="AI158" s="241"/>
      <c r="AJ158" s="241"/>
      <c r="AK158" s="241"/>
      <c r="AL158" s="241"/>
      <c r="AM158" s="241"/>
      <c r="AN158" s="241"/>
      <c r="AO158" s="241"/>
      <c r="AP158" s="241"/>
      <c r="AQ158" s="241"/>
      <c r="AR158" s="241"/>
      <c r="AS158" s="241"/>
      <c r="AT158" s="241"/>
      <c r="AU158" s="241"/>
      <c r="AV158" s="241"/>
      <c r="AW158" s="241"/>
      <c r="AX158" s="241"/>
      <c r="AY158" s="241"/>
      <c r="AZ158" s="241"/>
      <c r="BA158" s="241"/>
      <c r="BB158" s="241"/>
      <c r="BC158" s="241"/>
      <c r="BD158" s="241"/>
      <c r="BE158" s="241"/>
      <c r="BF158" s="241"/>
      <c r="BG158" s="241"/>
      <c r="BH158" s="241"/>
      <c r="BI158" s="241"/>
      <c r="BJ158" s="241"/>
      <c r="BK158" s="241"/>
      <c r="BL158" s="241"/>
      <c r="BM158" s="241"/>
    </row>
    <row r="159" spans="1:65" ht="13.5" customHeight="1" x14ac:dyDescent="0.3">
      <c r="A159" s="241"/>
      <c r="B159" s="241"/>
      <c r="C159" s="241"/>
      <c r="D159" s="241"/>
      <c r="E159" s="241"/>
      <c r="F159" s="241"/>
      <c r="G159" s="241"/>
      <c r="H159" s="241"/>
      <c r="I159" s="241"/>
      <c r="J159" s="241"/>
      <c r="K159" s="241"/>
      <c r="L159" s="241"/>
      <c r="M159" s="241"/>
      <c r="N159" s="241"/>
      <c r="O159" s="241"/>
      <c r="P159" s="241"/>
      <c r="Q159" s="241"/>
      <c r="R159" s="241"/>
      <c r="S159" s="241"/>
      <c r="T159" s="241"/>
      <c r="U159" s="241"/>
      <c r="V159" s="241"/>
      <c r="W159" s="241"/>
      <c r="X159" s="241"/>
      <c r="Y159" s="241"/>
      <c r="Z159" s="241"/>
      <c r="AA159" s="241"/>
      <c r="AB159" s="241"/>
      <c r="AC159" s="241"/>
      <c r="AD159" s="241"/>
      <c r="AE159" s="241"/>
      <c r="AF159" s="241"/>
      <c r="AG159" s="241"/>
      <c r="AH159" s="241"/>
      <c r="AI159" s="241"/>
      <c r="AJ159" s="241"/>
      <c r="AK159" s="241"/>
      <c r="AL159" s="241"/>
      <c r="AM159" s="241"/>
      <c r="AN159" s="241"/>
      <c r="AO159" s="241"/>
      <c r="AP159" s="241"/>
      <c r="AQ159" s="241"/>
      <c r="AR159" s="241"/>
      <c r="AS159" s="241"/>
      <c r="AT159" s="241"/>
      <c r="AU159" s="241"/>
      <c r="AV159" s="241"/>
      <c r="AW159" s="241"/>
      <c r="AX159" s="241"/>
      <c r="AY159" s="241"/>
      <c r="AZ159" s="241"/>
      <c r="BA159" s="241"/>
      <c r="BB159" s="241"/>
      <c r="BC159" s="241"/>
      <c r="BD159" s="241"/>
      <c r="BE159" s="241"/>
      <c r="BF159" s="241"/>
      <c r="BG159" s="241"/>
      <c r="BH159" s="241"/>
      <c r="BI159" s="241"/>
      <c r="BJ159" s="241"/>
      <c r="BK159" s="241"/>
      <c r="BL159" s="241"/>
      <c r="BM159" s="241"/>
    </row>
    <row r="160" spans="1:65" ht="13.5" customHeight="1" x14ac:dyDescent="0.3">
      <c r="A160" s="241"/>
      <c r="B160" s="241"/>
      <c r="C160" s="241"/>
      <c r="D160" s="241"/>
      <c r="E160" s="241"/>
      <c r="F160" s="241"/>
      <c r="G160" s="241"/>
      <c r="H160" s="241"/>
      <c r="I160" s="241"/>
      <c r="J160" s="241"/>
      <c r="K160" s="241"/>
      <c r="L160" s="241"/>
      <c r="M160" s="241"/>
      <c r="N160" s="241"/>
      <c r="O160" s="241"/>
      <c r="P160" s="241"/>
      <c r="Q160" s="241"/>
      <c r="R160" s="241"/>
      <c r="S160" s="241"/>
      <c r="T160" s="241"/>
      <c r="U160" s="241"/>
      <c r="V160" s="241"/>
      <c r="W160" s="241"/>
      <c r="X160" s="241"/>
      <c r="Y160" s="241"/>
      <c r="Z160" s="241"/>
      <c r="AA160" s="241"/>
      <c r="AB160" s="241"/>
      <c r="AC160" s="241"/>
      <c r="AD160" s="241"/>
      <c r="AE160" s="241"/>
      <c r="AF160" s="241"/>
      <c r="AG160" s="241"/>
      <c r="AH160" s="241"/>
      <c r="AI160" s="241"/>
      <c r="AJ160" s="241"/>
      <c r="AK160" s="241"/>
      <c r="AL160" s="241"/>
      <c r="AM160" s="241"/>
      <c r="AN160" s="241"/>
      <c r="AO160" s="241"/>
      <c r="AP160" s="241"/>
      <c r="AQ160" s="241"/>
      <c r="AR160" s="241"/>
      <c r="AS160" s="241"/>
      <c r="AT160" s="241"/>
      <c r="AU160" s="241"/>
      <c r="AV160" s="241"/>
      <c r="AW160" s="241"/>
      <c r="AX160" s="241"/>
      <c r="AY160" s="241"/>
      <c r="AZ160" s="241"/>
      <c r="BA160" s="241"/>
      <c r="BB160" s="241"/>
      <c r="BC160" s="241"/>
      <c r="BD160" s="241"/>
      <c r="BE160" s="241"/>
      <c r="BF160" s="241"/>
      <c r="BG160" s="241"/>
      <c r="BH160" s="241"/>
      <c r="BI160" s="241"/>
      <c r="BJ160" s="241"/>
      <c r="BK160" s="241"/>
      <c r="BL160" s="241"/>
      <c r="BM160" s="241"/>
    </row>
    <row r="161" spans="1:65" ht="13.5" customHeight="1" x14ac:dyDescent="0.3">
      <c r="A161" s="241"/>
      <c r="B161" s="241"/>
      <c r="C161" s="241"/>
      <c r="D161" s="241"/>
      <c r="E161" s="241"/>
      <c r="F161" s="241"/>
      <c r="G161" s="241"/>
      <c r="H161" s="241"/>
      <c r="I161" s="241"/>
      <c r="J161" s="241"/>
      <c r="K161" s="241"/>
      <c r="L161" s="241"/>
      <c r="M161" s="241"/>
      <c r="N161" s="241"/>
      <c r="O161" s="241"/>
      <c r="P161" s="241"/>
      <c r="Q161" s="241"/>
      <c r="R161" s="241"/>
      <c r="S161" s="241"/>
      <c r="T161" s="241"/>
      <c r="U161" s="241"/>
      <c r="V161" s="241"/>
      <c r="W161" s="241"/>
      <c r="X161" s="241"/>
      <c r="Y161" s="241"/>
      <c r="Z161" s="241"/>
      <c r="AA161" s="241"/>
      <c r="AB161" s="241"/>
      <c r="AC161" s="241"/>
      <c r="AD161" s="241"/>
      <c r="AE161" s="241"/>
      <c r="AF161" s="241"/>
      <c r="AG161" s="241"/>
      <c r="AH161" s="241"/>
      <c r="AI161" s="241"/>
      <c r="AJ161" s="241"/>
      <c r="AK161" s="241"/>
      <c r="AL161" s="241"/>
      <c r="AM161" s="241"/>
      <c r="AN161" s="241"/>
      <c r="AO161" s="241"/>
      <c r="AP161" s="241"/>
      <c r="AQ161" s="241"/>
      <c r="AR161" s="241"/>
      <c r="AS161" s="241"/>
      <c r="AT161" s="241"/>
      <c r="AU161" s="241"/>
      <c r="AV161" s="241"/>
      <c r="AW161" s="241"/>
      <c r="AX161" s="241"/>
      <c r="AY161" s="241"/>
      <c r="AZ161" s="241"/>
      <c r="BA161" s="241"/>
      <c r="BB161" s="241"/>
      <c r="BC161" s="241"/>
      <c r="BD161" s="241"/>
      <c r="BE161" s="241"/>
      <c r="BF161" s="241"/>
      <c r="BG161" s="241"/>
      <c r="BH161" s="241"/>
      <c r="BI161" s="241"/>
      <c r="BJ161" s="241"/>
      <c r="BK161" s="241"/>
      <c r="BL161" s="241"/>
      <c r="BM161" s="241"/>
    </row>
    <row r="162" spans="1:65" ht="13.5" customHeight="1" x14ac:dyDescent="0.3">
      <c r="A162" s="241"/>
      <c r="B162" s="241"/>
      <c r="C162" s="241"/>
      <c r="D162" s="241"/>
      <c r="E162" s="241"/>
      <c r="F162" s="241"/>
      <c r="G162" s="241"/>
      <c r="H162" s="241"/>
      <c r="I162" s="241"/>
      <c r="J162" s="241"/>
      <c r="K162" s="241"/>
      <c r="L162" s="241"/>
      <c r="M162" s="241"/>
      <c r="N162" s="241"/>
      <c r="O162" s="241"/>
      <c r="P162" s="241"/>
      <c r="Q162" s="241"/>
      <c r="R162" s="241"/>
      <c r="S162" s="241"/>
      <c r="T162" s="241"/>
      <c r="U162" s="241"/>
      <c r="V162" s="241"/>
      <c r="W162" s="241"/>
      <c r="X162" s="241"/>
      <c r="Y162" s="241"/>
      <c r="Z162" s="241"/>
      <c r="AA162" s="241"/>
      <c r="AB162" s="241"/>
      <c r="AC162" s="241"/>
      <c r="AD162" s="241"/>
      <c r="AE162" s="241"/>
      <c r="AF162" s="241"/>
      <c r="AG162" s="241"/>
      <c r="AH162" s="241"/>
      <c r="AI162" s="241"/>
      <c r="AJ162" s="241"/>
      <c r="AK162" s="241"/>
      <c r="AL162" s="241"/>
      <c r="AM162" s="241"/>
      <c r="AN162" s="241"/>
      <c r="AO162" s="241"/>
      <c r="AP162" s="241"/>
      <c r="AQ162" s="241"/>
      <c r="AR162" s="241"/>
      <c r="AS162" s="241"/>
      <c r="AT162" s="241"/>
      <c r="AU162" s="241"/>
      <c r="AV162" s="241"/>
      <c r="AW162" s="241"/>
      <c r="AX162" s="241"/>
      <c r="AY162" s="241"/>
      <c r="AZ162" s="241"/>
      <c r="BA162" s="241"/>
      <c r="BB162" s="241"/>
      <c r="BC162" s="241"/>
      <c r="BD162" s="241"/>
      <c r="BE162" s="241"/>
      <c r="BF162" s="241"/>
      <c r="BG162" s="241"/>
      <c r="BH162" s="241"/>
      <c r="BI162" s="241"/>
      <c r="BJ162" s="241"/>
      <c r="BK162" s="241"/>
      <c r="BL162" s="241"/>
      <c r="BM162" s="241"/>
    </row>
    <row r="163" spans="1:65" ht="13.5" customHeight="1" x14ac:dyDescent="0.3">
      <c r="A163" s="241"/>
      <c r="B163" s="241"/>
      <c r="C163" s="241"/>
      <c r="D163" s="241"/>
      <c r="E163" s="241"/>
      <c r="F163" s="241"/>
      <c r="G163" s="241"/>
      <c r="H163" s="241"/>
      <c r="I163" s="241"/>
      <c r="J163" s="241"/>
      <c r="K163" s="241"/>
      <c r="L163" s="241"/>
      <c r="M163" s="241"/>
      <c r="N163" s="241"/>
      <c r="O163" s="241"/>
      <c r="P163" s="241"/>
      <c r="Q163" s="241"/>
      <c r="R163" s="241"/>
      <c r="S163" s="241"/>
      <c r="T163" s="241"/>
      <c r="U163" s="241"/>
      <c r="V163" s="241"/>
      <c r="W163" s="241"/>
      <c r="X163" s="241"/>
      <c r="Y163" s="241"/>
      <c r="Z163" s="241"/>
      <c r="AA163" s="241"/>
      <c r="AB163" s="241"/>
      <c r="AC163" s="241"/>
      <c r="AD163" s="241"/>
      <c r="AE163" s="241"/>
      <c r="AF163" s="241"/>
      <c r="AG163" s="241"/>
      <c r="AH163" s="241"/>
      <c r="AI163" s="241"/>
      <c r="AJ163" s="241"/>
      <c r="AK163" s="241"/>
      <c r="AL163" s="241"/>
      <c r="AM163" s="241"/>
      <c r="AN163" s="241"/>
      <c r="AO163" s="241"/>
      <c r="AP163" s="241"/>
      <c r="AQ163" s="241"/>
      <c r="AR163" s="241"/>
      <c r="AS163" s="241"/>
      <c r="AT163" s="241"/>
      <c r="AU163" s="241"/>
      <c r="AV163" s="241"/>
      <c r="AW163" s="241"/>
      <c r="AX163" s="241"/>
      <c r="AY163" s="241"/>
      <c r="AZ163" s="241"/>
      <c r="BA163" s="241"/>
      <c r="BB163" s="241"/>
      <c r="BC163" s="241"/>
      <c r="BD163" s="241"/>
      <c r="BE163" s="241"/>
      <c r="BF163" s="241"/>
      <c r="BG163" s="241"/>
      <c r="BH163" s="241"/>
      <c r="BI163" s="241"/>
      <c r="BJ163" s="241"/>
      <c r="BK163" s="241"/>
      <c r="BL163" s="241"/>
      <c r="BM163" s="241"/>
    </row>
    <row r="164" spans="1:65" ht="13.5" customHeight="1" x14ac:dyDescent="0.3">
      <c r="A164" s="241"/>
      <c r="B164" s="241"/>
      <c r="C164" s="241"/>
      <c r="D164" s="241"/>
      <c r="E164" s="241"/>
      <c r="F164" s="241"/>
      <c r="G164" s="241"/>
      <c r="H164" s="241"/>
      <c r="I164" s="241"/>
      <c r="J164" s="241"/>
      <c r="K164" s="241"/>
      <c r="L164" s="241"/>
      <c r="M164" s="241"/>
      <c r="N164" s="241"/>
      <c r="O164" s="241"/>
      <c r="P164" s="241"/>
      <c r="Q164" s="241"/>
      <c r="R164" s="241"/>
      <c r="S164" s="241"/>
      <c r="T164" s="241"/>
      <c r="U164" s="241"/>
      <c r="V164" s="241"/>
      <c r="W164" s="241"/>
      <c r="X164" s="241"/>
      <c r="Y164" s="241"/>
      <c r="Z164" s="241"/>
      <c r="AA164" s="241"/>
      <c r="AB164" s="241"/>
      <c r="AC164" s="241"/>
      <c r="AD164" s="241"/>
      <c r="AE164" s="241"/>
      <c r="AF164" s="241"/>
      <c r="AG164" s="241"/>
      <c r="AH164" s="241"/>
      <c r="AI164" s="241"/>
      <c r="AJ164" s="241"/>
      <c r="AK164" s="241"/>
      <c r="AL164" s="241"/>
      <c r="AM164" s="241"/>
      <c r="AN164" s="241"/>
      <c r="AO164" s="241"/>
      <c r="AP164" s="241"/>
      <c r="AQ164" s="241"/>
      <c r="AR164" s="241"/>
      <c r="AS164" s="241"/>
      <c r="AT164" s="241"/>
      <c r="AU164" s="241"/>
      <c r="AV164" s="241"/>
      <c r="AW164" s="241"/>
      <c r="AX164" s="241"/>
      <c r="AY164" s="241"/>
      <c r="AZ164" s="241"/>
      <c r="BA164" s="241"/>
      <c r="BB164" s="241"/>
      <c r="BC164" s="241"/>
      <c r="BD164" s="241"/>
      <c r="BE164" s="241"/>
      <c r="BF164" s="241"/>
      <c r="BG164" s="241"/>
      <c r="BH164" s="241"/>
      <c r="BI164" s="241"/>
      <c r="BJ164" s="241"/>
      <c r="BK164" s="241"/>
      <c r="BL164" s="241"/>
      <c r="BM164" s="241"/>
    </row>
    <row r="165" spans="1:65" ht="13.5" customHeight="1" x14ac:dyDescent="0.3">
      <c r="A165" s="241"/>
      <c r="B165" s="241"/>
      <c r="C165" s="241"/>
      <c r="D165" s="241"/>
      <c r="E165" s="241"/>
      <c r="F165" s="241"/>
      <c r="G165" s="241"/>
      <c r="H165" s="241"/>
      <c r="I165" s="241"/>
      <c r="J165" s="241"/>
      <c r="K165" s="241"/>
      <c r="L165" s="241"/>
      <c r="M165" s="241"/>
      <c r="N165" s="241"/>
      <c r="O165" s="241"/>
      <c r="P165" s="241"/>
      <c r="Q165" s="241"/>
      <c r="R165" s="241"/>
      <c r="S165" s="241"/>
      <c r="T165" s="241"/>
      <c r="U165" s="241"/>
      <c r="V165" s="241"/>
      <c r="W165" s="241"/>
      <c r="X165" s="241"/>
      <c r="Y165" s="241"/>
      <c r="Z165" s="241"/>
      <c r="AA165" s="241"/>
      <c r="AB165" s="241"/>
      <c r="AC165" s="241"/>
      <c r="AD165" s="241"/>
      <c r="AE165" s="241"/>
      <c r="AF165" s="241"/>
      <c r="AG165" s="241"/>
      <c r="AH165" s="241"/>
      <c r="AI165" s="241"/>
      <c r="AJ165" s="241"/>
      <c r="AK165" s="241"/>
      <c r="AL165" s="241"/>
      <c r="AM165" s="241"/>
      <c r="AN165" s="241"/>
      <c r="AO165" s="241"/>
      <c r="AP165" s="241"/>
      <c r="AQ165" s="241"/>
      <c r="AR165" s="241"/>
      <c r="AS165" s="241"/>
      <c r="AT165" s="241"/>
      <c r="AU165" s="241"/>
      <c r="AV165" s="241"/>
      <c r="AW165" s="241"/>
      <c r="AX165" s="241"/>
      <c r="AY165" s="241"/>
      <c r="AZ165" s="241"/>
      <c r="BA165" s="241"/>
      <c r="BB165" s="241"/>
      <c r="BC165" s="241"/>
      <c r="BD165" s="241"/>
      <c r="BE165" s="241"/>
      <c r="BF165" s="241"/>
      <c r="BG165" s="241"/>
      <c r="BH165" s="241"/>
      <c r="BI165" s="241"/>
      <c r="BJ165" s="241"/>
      <c r="BK165" s="241"/>
      <c r="BL165" s="241"/>
      <c r="BM165" s="241"/>
    </row>
    <row r="166" spans="1:65" ht="13.5" customHeight="1" x14ac:dyDescent="0.3">
      <c r="A166" s="241"/>
      <c r="B166" s="241"/>
      <c r="C166" s="241"/>
      <c r="D166" s="241"/>
      <c r="E166" s="241"/>
      <c r="F166" s="241"/>
      <c r="G166" s="241"/>
      <c r="H166" s="241"/>
      <c r="I166" s="241"/>
      <c r="J166" s="241"/>
      <c r="K166" s="241"/>
      <c r="L166" s="241"/>
      <c r="M166" s="241"/>
      <c r="N166" s="241"/>
      <c r="O166" s="241"/>
      <c r="P166" s="241"/>
      <c r="Q166" s="241"/>
      <c r="R166" s="241"/>
      <c r="S166" s="241"/>
      <c r="T166" s="241"/>
      <c r="U166" s="241"/>
      <c r="V166" s="241"/>
      <c r="W166" s="241"/>
      <c r="X166" s="241"/>
      <c r="Y166" s="241"/>
      <c r="Z166" s="241"/>
      <c r="AA166" s="241"/>
      <c r="AB166" s="241"/>
      <c r="AC166" s="241"/>
      <c r="AD166" s="241"/>
      <c r="AE166" s="241"/>
      <c r="AF166" s="241"/>
      <c r="AG166" s="241"/>
      <c r="AH166" s="241"/>
      <c r="AI166" s="241"/>
      <c r="AJ166" s="241"/>
      <c r="AK166" s="241"/>
      <c r="AL166" s="241"/>
      <c r="AM166" s="241"/>
      <c r="AN166" s="241"/>
      <c r="AO166" s="241"/>
      <c r="AP166" s="241"/>
      <c r="AQ166" s="241"/>
      <c r="AR166" s="241"/>
      <c r="AS166" s="241"/>
      <c r="AT166" s="241"/>
      <c r="AU166" s="241"/>
      <c r="AV166" s="241"/>
      <c r="AW166" s="241"/>
      <c r="AX166" s="241"/>
      <c r="AY166" s="241"/>
      <c r="AZ166" s="241"/>
      <c r="BA166" s="241"/>
      <c r="BB166" s="241"/>
      <c r="BC166" s="241"/>
      <c r="BD166" s="241"/>
      <c r="BE166" s="241"/>
      <c r="BF166" s="241"/>
      <c r="BG166" s="241"/>
      <c r="BH166" s="241"/>
      <c r="BI166" s="241"/>
      <c r="BJ166" s="241"/>
      <c r="BK166" s="241"/>
      <c r="BL166" s="241"/>
      <c r="BM166" s="241"/>
    </row>
    <row r="167" spans="1:65" ht="13.5" customHeight="1" x14ac:dyDescent="0.3">
      <c r="A167" s="241"/>
      <c r="B167" s="241"/>
      <c r="C167" s="241"/>
      <c r="D167" s="241"/>
      <c r="E167" s="241"/>
      <c r="F167" s="241"/>
      <c r="G167" s="241"/>
      <c r="H167" s="241"/>
      <c r="I167" s="241"/>
      <c r="J167" s="241"/>
      <c r="K167" s="241"/>
      <c r="L167" s="241"/>
      <c r="M167" s="241"/>
      <c r="N167" s="241"/>
      <c r="O167" s="241"/>
      <c r="P167" s="241"/>
      <c r="Q167" s="241"/>
      <c r="R167" s="241"/>
      <c r="S167" s="241"/>
      <c r="T167" s="241"/>
      <c r="U167" s="241"/>
      <c r="V167" s="241"/>
      <c r="W167" s="241"/>
      <c r="X167" s="241"/>
      <c r="Y167" s="241"/>
      <c r="Z167" s="241"/>
      <c r="AA167" s="241"/>
      <c r="AB167" s="241"/>
      <c r="AC167" s="241"/>
      <c r="AD167" s="241"/>
      <c r="AE167" s="241"/>
      <c r="AF167" s="241"/>
      <c r="AG167" s="241"/>
      <c r="AH167" s="241"/>
      <c r="AI167" s="241"/>
      <c r="AJ167" s="241"/>
      <c r="AK167" s="241"/>
      <c r="AL167" s="241"/>
      <c r="AM167" s="241"/>
      <c r="AN167" s="241"/>
      <c r="AO167" s="241"/>
      <c r="AP167" s="241"/>
      <c r="AQ167" s="241"/>
      <c r="AR167" s="241"/>
      <c r="AS167" s="241"/>
      <c r="AT167" s="241"/>
      <c r="AU167" s="241"/>
      <c r="AV167" s="241"/>
      <c r="AW167" s="241"/>
      <c r="AX167" s="241"/>
      <c r="AY167" s="241"/>
      <c r="AZ167" s="241"/>
      <c r="BA167" s="241"/>
      <c r="BB167" s="241"/>
      <c r="BC167" s="241"/>
      <c r="BD167" s="241"/>
      <c r="BE167" s="241"/>
      <c r="BF167" s="241"/>
      <c r="BG167" s="241"/>
      <c r="BH167" s="241"/>
      <c r="BI167" s="241"/>
      <c r="BJ167" s="241"/>
      <c r="BK167" s="241"/>
      <c r="BL167" s="241"/>
      <c r="BM167" s="241"/>
    </row>
    <row r="168" spans="1:65" ht="13.5" customHeight="1" x14ac:dyDescent="0.3">
      <c r="A168" s="241"/>
      <c r="B168" s="241"/>
      <c r="C168" s="241"/>
      <c r="D168" s="241"/>
      <c r="E168" s="241"/>
      <c r="F168" s="241"/>
      <c r="G168" s="241"/>
      <c r="H168" s="241"/>
      <c r="I168" s="241"/>
      <c r="J168" s="241"/>
      <c r="K168" s="241"/>
      <c r="L168" s="241"/>
      <c r="M168" s="241"/>
      <c r="N168" s="241"/>
      <c r="O168" s="241"/>
      <c r="P168" s="241"/>
      <c r="Q168" s="241"/>
      <c r="R168" s="241"/>
      <c r="S168" s="241"/>
      <c r="T168" s="241"/>
      <c r="U168" s="241"/>
      <c r="V168" s="241"/>
      <c r="W168" s="241"/>
      <c r="X168" s="241"/>
      <c r="Y168" s="241"/>
      <c r="Z168" s="241"/>
      <c r="AA168" s="241"/>
      <c r="AB168" s="241"/>
      <c r="AC168" s="241"/>
      <c r="AD168" s="241"/>
      <c r="AE168" s="241"/>
      <c r="AF168" s="241"/>
      <c r="AG168" s="241"/>
      <c r="AH168" s="241"/>
      <c r="AI168" s="241"/>
      <c r="AJ168" s="241"/>
      <c r="AK168" s="241"/>
      <c r="AL168" s="241"/>
      <c r="AM168" s="241"/>
      <c r="AN168" s="241"/>
      <c r="AO168" s="241"/>
      <c r="AP168" s="241"/>
      <c r="AQ168" s="241"/>
      <c r="AR168" s="241"/>
      <c r="AS168" s="241"/>
      <c r="AT168" s="241"/>
      <c r="AU168" s="241"/>
      <c r="AV168" s="241"/>
      <c r="AW168" s="241"/>
      <c r="AX168" s="241"/>
      <c r="AY168" s="241"/>
      <c r="AZ168" s="241"/>
      <c r="BA168" s="241"/>
      <c r="BB168" s="241"/>
      <c r="BC168" s="241"/>
      <c r="BD168" s="241"/>
      <c r="BE168" s="241"/>
      <c r="BF168" s="241"/>
      <c r="BG168" s="241"/>
      <c r="BH168" s="241"/>
      <c r="BI168" s="241"/>
      <c r="BJ168" s="241"/>
      <c r="BK168" s="241"/>
      <c r="BL168" s="241"/>
      <c r="BM168" s="241"/>
    </row>
    <row r="169" spans="1:65" ht="13.5" customHeight="1" x14ac:dyDescent="0.3">
      <c r="A169" s="241"/>
      <c r="B169" s="241"/>
      <c r="C169" s="241"/>
      <c r="D169" s="241"/>
      <c r="E169" s="241"/>
      <c r="F169" s="241"/>
      <c r="G169" s="241"/>
      <c r="H169" s="241"/>
      <c r="I169" s="241"/>
      <c r="J169" s="241"/>
      <c r="K169" s="241"/>
      <c r="L169" s="241"/>
      <c r="M169" s="241"/>
      <c r="N169" s="241"/>
      <c r="O169" s="241"/>
      <c r="P169" s="241"/>
      <c r="Q169" s="241"/>
      <c r="R169" s="241"/>
      <c r="S169" s="241"/>
      <c r="T169" s="241"/>
      <c r="U169" s="241"/>
      <c r="V169" s="241"/>
      <c r="W169" s="241"/>
      <c r="X169" s="241"/>
      <c r="Y169" s="241"/>
      <c r="Z169" s="241"/>
      <c r="AA169" s="241"/>
      <c r="AB169" s="241"/>
      <c r="AC169" s="241"/>
      <c r="AD169" s="241"/>
      <c r="AE169" s="241"/>
      <c r="AF169" s="241"/>
      <c r="AG169" s="241"/>
      <c r="AH169" s="241"/>
      <c r="AI169" s="241"/>
      <c r="AJ169" s="241"/>
      <c r="AK169" s="241"/>
      <c r="AL169" s="241"/>
      <c r="AM169" s="241"/>
      <c r="AN169" s="241"/>
      <c r="AO169" s="241"/>
      <c r="AP169" s="241"/>
      <c r="AQ169" s="241"/>
      <c r="AR169" s="241"/>
      <c r="AS169" s="241"/>
      <c r="AT169" s="241"/>
      <c r="AU169" s="241"/>
      <c r="AV169" s="241"/>
      <c r="AW169" s="241"/>
      <c r="AX169" s="241"/>
      <c r="AY169" s="241"/>
      <c r="AZ169" s="241"/>
      <c r="BA169" s="241"/>
      <c r="BB169" s="241"/>
      <c r="BC169" s="241"/>
      <c r="BD169" s="241"/>
      <c r="BE169" s="241"/>
      <c r="BF169" s="241"/>
      <c r="BG169" s="241"/>
      <c r="BH169" s="241"/>
      <c r="BI169" s="241"/>
      <c r="BJ169" s="241"/>
      <c r="BK169" s="241"/>
      <c r="BL169" s="241"/>
      <c r="BM169" s="241"/>
    </row>
    <row r="170" spans="1:65" ht="13.5" customHeight="1" x14ac:dyDescent="0.3">
      <c r="A170" s="241"/>
      <c r="B170" s="241"/>
      <c r="C170" s="241"/>
      <c r="D170" s="241"/>
      <c r="E170" s="241"/>
      <c r="F170" s="241"/>
      <c r="G170" s="241"/>
      <c r="H170" s="241"/>
      <c r="I170" s="241"/>
      <c r="J170" s="241"/>
      <c r="K170" s="241"/>
      <c r="L170" s="241"/>
      <c r="M170" s="241"/>
      <c r="N170" s="241"/>
      <c r="O170" s="241"/>
      <c r="P170" s="241"/>
      <c r="Q170" s="241"/>
      <c r="R170" s="241"/>
      <c r="S170" s="241"/>
      <c r="T170" s="241"/>
      <c r="U170" s="241"/>
      <c r="V170" s="241"/>
      <c r="W170" s="241"/>
      <c r="X170" s="241"/>
      <c r="Y170" s="241"/>
      <c r="Z170" s="241"/>
      <c r="AA170" s="241"/>
      <c r="AB170" s="241"/>
      <c r="AC170" s="241"/>
      <c r="AD170" s="241"/>
      <c r="AE170" s="241"/>
      <c r="AF170" s="241"/>
      <c r="AG170" s="241"/>
      <c r="AH170" s="241"/>
      <c r="AI170" s="241"/>
      <c r="AJ170" s="241"/>
      <c r="AK170" s="241"/>
      <c r="AL170" s="241"/>
      <c r="AM170" s="241"/>
      <c r="AN170" s="241"/>
      <c r="AO170" s="241"/>
      <c r="AP170" s="241"/>
      <c r="AQ170" s="241"/>
      <c r="AR170" s="241"/>
      <c r="AS170" s="241"/>
      <c r="AT170" s="241"/>
      <c r="AU170" s="241"/>
      <c r="AV170" s="241"/>
      <c r="AW170" s="241"/>
      <c r="AX170" s="241"/>
      <c r="AY170" s="241"/>
      <c r="AZ170" s="241"/>
      <c r="BA170" s="241"/>
      <c r="BB170" s="241"/>
      <c r="BC170" s="241"/>
      <c r="BD170" s="241"/>
      <c r="BE170" s="241"/>
      <c r="BF170" s="241"/>
      <c r="BG170" s="241"/>
      <c r="BH170" s="241"/>
      <c r="BI170" s="241"/>
      <c r="BJ170" s="241"/>
      <c r="BK170" s="241"/>
      <c r="BL170" s="241"/>
      <c r="BM170" s="241"/>
    </row>
    <row r="171" spans="1:65" ht="13.5" customHeight="1" x14ac:dyDescent="0.3">
      <c r="A171" s="241"/>
      <c r="B171" s="241"/>
      <c r="C171" s="241"/>
      <c r="D171" s="241"/>
      <c r="E171" s="241"/>
      <c r="F171" s="241"/>
      <c r="G171" s="241"/>
      <c r="H171" s="241"/>
      <c r="I171" s="241"/>
      <c r="J171" s="241"/>
      <c r="K171" s="241"/>
      <c r="L171" s="241"/>
      <c r="M171" s="241"/>
      <c r="N171" s="241"/>
      <c r="O171" s="241"/>
      <c r="P171" s="241"/>
      <c r="Q171" s="241"/>
      <c r="R171" s="241"/>
      <c r="S171" s="241"/>
      <c r="T171" s="241"/>
      <c r="U171" s="241"/>
      <c r="V171" s="241"/>
      <c r="W171" s="241"/>
      <c r="X171" s="241"/>
      <c r="Y171" s="241"/>
      <c r="Z171" s="241"/>
      <c r="AA171" s="241"/>
      <c r="AB171" s="241"/>
      <c r="AC171" s="241"/>
      <c r="AD171" s="241"/>
      <c r="AE171" s="241"/>
      <c r="AF171" s="241"/>
      <c r="AG171" s="241"/>
      <c r="AH171" s="241"/>
      <c r="AI171" s="241"/>
      <c r="AJ171" s="241"/>
      <c r="AK171" s="241"/>
      <c r="AL171" s="241"/>
      <c r="AM171" s="241"/>
      <c r="AN171" s="241"/>
      <c r="AO171" s="241"/>
      <c r="AP171" s="241"/>
      <c r="AQ171" s="241"/>
      <c r="AR171" s="241"/>
      <c r="AS171" s="241"/>
      <c r="AT171" s="241"/>
      <c r="AU171" s="241"/>
      <c r="AV171" s="241"/>
      <c r="AW171" s="241"/>
      <c r="AX171" s="241"/>
      <c r="AY171" s="241"/>
      <c r="AZ171" s="241"/>
      <c r="BA171" s="241"/>
      <c r="BB171" s="241"/>
      <c r="BC171" s="241"/>
      <c r="BD171" s="241"/>
      <c r="BE171" s="241"/>
      <c r="BF171" s="241"/>
      <c r="BG171" s="241"/>
      <c r="BH171" s="241"/>
      <c r="BI171" s="241"/>
      <c r="BJ171" s="241"/>
      <c r="BK171" s="241"/>
      <c r="BL171" s="241"/>
      <c r="BM171" s="241"/>
    </row>
    <row r="172" spans="1:65" ht="13.5" customHeight="1" x14ac:dyDescent="0.3">
      <c r="A172" s="241"/>
      <c r="B172" s="241"/>
      <c r="C172" s="241"/>
      <c r="D172" s="241"/>
      <c r="E172" s="241"/>
      <c r="F172" s="241"/>
      <c r="G172" s="241"/>
      <c r="H172" s="241"/>
      <c r="I172" s="241"/>
      <c r="J172" s="241"/>
      <c r="K172" s="241"/>
      <c r="L172" s="241"/>
      <c r="M172" s="241"/>
      <c r="N172" s="241"/>
      <c r="O172" s="241"/>
      <c r="P172" s="241"/>
      <c r="Q172" s="241"/>
      <c r="R172" s="241"/>
      <c r="S172" s="241"/>
      <c r="T172" s="241"/>
      <c r="U172" s="241"/>
      <c r="V172" s="241"/>
      <c r="W172" s="241"/>
      <c r="X172" s="241"/>
      <c r="Y172" s="241"/>
      <c r="Z172" s="241"/>
      <c r="AA172" s="241"/>
      <c r="AB172" s="241"/>
      <c r="AC172" s="241"/>
      <c r="AD172" s="241"/>
      <c r="AE172" s="241"/>
      <c r="AF172" s="241"/>
      <c r="AG172" s="241"/>
      <c r="AH172" s="241"/>
      <c r="AI172" s="241"/>
      <c r="AJ172" s="241"/>
      <c r="AK172" s="241"/>
      <c r="AL172" s="241"/>
      <c r="AM172" s="241"/>
      <c r="AN172" s="241"/>
      <c r="AO172" s="241"/>
      <c r="AP172" s="241"/>
      <c r="AQ172" s="241"/>
      <c r="AR172" s="241"/>
      <c r="AS172" s="241"/>
      <c r="AT172" s="241"/>
      <c r="AU172" s="241"/>
      <c r="AV172" s="241"/>
      <c r="AW172" s="241"/>
      <c r="AX172" s="241"/>
      <c r="AY172" s="241"/>
      <c r="AZ172" s="241"/>
      <c r="BA172" s="241"/>
      <c r="BB172" s="241"/>
      <c r="BC172" s="241"/>
      <c r="BD172" s="241"/>
      <c r="BE172" s="241"/>
      <c r="BF172" s="241"/>
      <c r="BG172" s="241"/>
      <c r="BH172" s="241"/>
      <c r="BI172" s="241"/>
      <c r="BJ172" s="241"/>
      <c r="BK172" s="241"/>
      <c r="BL172" s="241"/>
      <c r="BM172" s="241"/>
    </row>
    <row r="173" spans="1:65" ht="13.5" customHeight="1" x14ac:dyDescent="0.3">
      <c r="A173" s="241"/>
      <c r="B173" s="241"/>
      <c r="C173" s="241"/>
      <c r="D173" s="241"/>
      <c r="E173" s="241"/>
      <c r="F173" s="241"/>
      <c r="G173" s="241"/>
      <c r="H173" s="241"/>
      <c r="I173" s="241"/>
      <c r="J173" s="241"/>
      <c r="K173" s="241"/>
      <c r="L173" s="241"/>
      <c r="M173" s="241"/>
      <c r="N173" s="241"/>
      <c r="O173" s="241"/>
      <c r="P173" s="241"/>
      <c r="Q173" s="241"/>
      <c r="R173" s="241"/>
      <c r="S173" s="241"/>
      <c r="T173" s="241"/>
      <c r="U173" s="241"/>
      <c r="V173" s="241"/>
      <c r="W173" s="241"/>
      <c r="X173" s="241"/>
      <c r="Y173" s="241"/>
      <c r="Z173" s="241"/>
      <c r="AA173" s="241"/>
      <c r="AB173" s="241"/>
      <c r="AC173" s="241"/>
      <c r="AD173" s="241"/>
      <c r="AE173" s="241"/>
      <c r="AF173" s="241"/>
      <c r="AG173" s="241"/>
      <c r="AH173" s="241"/>
      <c r="AI173" s="241"/>
      <c r="AJ173" s="241"/>
      <c r="AK173" s="241"/>
      <c r="AL173" s="241"/>
      <c r="AM173" s="241"/>
      <c r="AN173" s="241"/>
      <c r="AO173" s="241"/>
      <c r="AP173" s="241"/>
      <c r="AQ173" s="241"/>
      <c r="AR173" s="241"/>
      <c r="AS173" s="241"/>
      <c r="AT173" s="241"/>
      <c r="AU173" s="241"/>
      <c r="AV173" s="241"/>
      <c r="AW173" s="241"/>
      <c r="AX173" s="241"/>
      <c r="AY173" s="241"/>
      <c r="AZ173" s="241"/>
      <c r="BA173" s="241"/>
      <c r="BB173" s="241"/>
      <c r="BC173" s="241"/>
      <c r="BD173" s="241"/>
      <c r="BE173" s="241"/>
      <c r="BF173" s="241"/>
      <c r="BG173" s="241"/>
      <c r="BH173" s="241"/>
      <c r="BI173" s="241"/>
      <c r="BJ173" s="241"/>
      <c r="BK173" s="241"/>
      <c r="BL173" s="241"/>
      <c r="BM173" s="241"/>
    </row>
    <row r="174" spans="1:65" ht="13.5" customHeight="1" x14ac:dyDescent="0.3">
      <c r="A174" s="241"/>
      <c r="B174" s="241"/>
      <c r="C174" s="241"/>
      <c r="D174" s="241"/>
      <c r="E174" s="241"/>
      <c r="F174" s="241"/>
      <c r="G174" s="241"/>
      <c r="H174" s="241"/>
      <c r="I174" s="241"/>
      <c r="J174" s="241"/>
      <c r="K174" s="241"/>
      <c r="L174" s="241"/>
      <c r="M174" s="241"/>
      <c r="N174" s="241"/>
      <c r="O174" s="241"/>
      <c r="P174" s="241"/>
      <c r="Q174" s="241"/>
      <c r="R174" s="241"/>
      <c r="S174" s="241"/>
      <c r="T174" s="241"/>
      <c r="U174" s="241"/>
      <c r="V174" s="241"/>
      <c r="W174" s="241"/>
      <c r="X174" s="241"/>
      <c r="Y174" s="241"/>
      <c r="Z174" s="241"/>
      <c r="AA174" s="241"/>
      <c r="AB174" s="241"/>
      <c r="AC174" s="241"/>
      <c r="AD174" s="241"/>
      <c r="AE174" s="241"/>
      <c r="AF174" s="241"/>
      <c r="AG174" s="241"/>
      <c r="AH174" s="241"/>
      <c r="AI174" s="241"/>
      <c r="AJ174" s="241"/>
      <c r="AK174" s="241"/>
      <c r="AL174" s="241"/>
      <c r="AM174" s="241"/>
      <c r="AN174" s="241"/>
      <c r="AO174" s="241"/>
      <c r="AP174" s="241"/>
      <c r="AQ174" s="241"/>
      <c r="AR174" s="241"/>
      <c r="AS174" s="241"/>
      <c r="AT174" s="241"/>
      <c r="AU174" s="241"/>
      <c r="AV174" s="241"/>
      <c r="AW174" s="241"/>
      <c r="AX174" s="241"/>
      <c r="AY174" s="241"/>
      <c r="AZ174" s="241"/>
      <c r="BA174" s="241"/>
      <c r="BB174" s="241"/>
      <c r="BC174" s="241"/>
      <c r="BD174" s="241"/>
      <c r="BE174" s="241"/>
      <c r="BF174" s="241"/>
      <c r="BG174" s="241"/>
      <c r="BH174" s="241"/>
      <c r="BI174" s="241"/>
      <c r="BJ174" s="241"/>
      <c r="BK174" s="241"/>
      <c r="BL174" s="241"/>
      <c r="BM174" s="241"/>
    </row>
    <row r="175" spans="1:65" ht="13.5" customHeight="1" x14ac:dyDescent="0.3">
      <c r="A175" s="241"/>
      <c r="B175" s="241"/>
      <c r="C175" s="241"/>
      <c r="D175" s="241"/>
      <c r="E175" s="241"/>
      <c r="F175" s="241"/>
      <c r="G175" s="241"/>
      <c r="H175" s="241"/>
      <c r="I175" s="241"/>
      <c r="J175" s="241"/>
      <c r="K175" s="241"/>
      <c r="L175" s="241"/>
      <c r="M175" s="241"/>
      <c r="N175" s="241"/>
      <c r="O175" s="241"/>
      <c r="P175" s="241"/>
      <c r="Q175" s="241"/>
      <c r="R175" s="241"/>
      <c r="S175" s="241"/>
      <c r="T175" s="241"/>
      <c r="U175" s="241"/>
      <c r="V175" s="241"/>
      <c r="W175" s="241"/>
      <c r="X175" s="241"/>
      <c r="Y175" s="241"/>
      <c r="Z175" s="241"/>
      <c r="AA175" s="241"/>
      <c r="AB175" s="241"/>
      <c r="AC175" s="241"/>
      <c r="AD175" s="241"/>
      <c r="AE175" s="241"/>
      <c r="AF175" s="241"/>
      <c r="AG175" s="241"/>
      <c r="AH175" s="241"/>
      <c r="AI175" s="241"/>
      <c r="AJ175" s="241"/>
      <c r="AK175" s="241"/>
      <c r="AL175" s="241"/>
      <c r="AM175" s="241"/>
      <c r="AN175" s="241"/>
      <c r="AO175" s="241"/>
      <c r="AP175" s="241"/>
      <c r="AQ175" s="241"/>
      <c r="AR175" s="241"/>
      <c r="AS175" s="241"/>
      <c r="AT175" s="241"/>
      <c r="AU175" s="241"/>
      <c r="AV175" s="241"/>
      <c r="AW175" s="241"/>
      <c r="AX175" s="241"/>
      <c r="AY175" s="241"/>
      <c r="AZ175" s="241"/>
      <c r="BA175" s="241"/>
      <c r="BB175" s="241"/>
      <c r="BC175" s="241"/>
      <c r="BD175" s="241"/>
      <c r="BE175" s="241"/>
      <c r="BF175" s="241"/>
      <c r="BG175" s="241"/>
      <c r="BH175" s="241"/>
      <c r="BI175" s="241"/>
      <c r="BJ175" s="241"/>
      <c r="BK175" s="241"/>
      <c r="BL175" s="241"/>
      <c r="BM175" s="241"/>
    </row>
    <row r="176" spans="1:65" ht="13.5" customHeight="1" x14ac:dyDescent="0.3">
      <c r="A176" s="241"/>
      <c r="B176" s="241"/>
      <c r="C176" s="241"/>
      <c r="D176" s="241"/>
      <c r="E176" s="241"/>
      <c r="F176" s="241"/>
      <c r="G176" s="241"/>
      <c r="H176" s="241"/>
      <c r="I176" s="241"/>
      <c r="J176" s="241"/>
      <c r="K176" s="241"/>
      <c r="L176" s="241"/>
      <c r="M176" s="241"/>
      <c r="N176" s="241"/>
      <c r="O176" s="241"/>
      <c r="P176" s="241"/>
      <c r="Q176" s="241"/>
      <c r="R176" s="241"/>
      <c r="S176" s="241"/>
      <c r="T176" s="241"/>
      <c r="U176" s="241"/>
      <c r="V176" s="241"/>
      <c r="W176" s="241"/>
      <c r="X176" s="241"/>
      <c r="Y176" s="241"/>
      <c r="Z176" s="241"/>
      <c r="AA176" s="241"/>
      <c r="AB176" s="241"/>
      <c r="AC176" s="241"/>
      <c r="AD176" s="241"/>
      <c r="AE176" s="241"/>
      <c r="AF176" s="241"/>
      <c r="AG176" s="241"/>
      <c r="AH176" s="241"/>
      <c r="AI176" s="241"/>
      <c r="AJ176" s="241"/>
      <c r="AK176" s="241"/>
      <c r="AL176" s="241"/>
      <c r="AM176" s="241"/>
      <c r="AN176" s="241"/>
      <c r="AO176" s="241"/>
      <c r="AP176" s="241"/>
      <c r="AQ176" s="241"/>
      <c r="AR176" s="241"/>
      <c r="AS176" s="241"/>
      <c r="AT176" s="241"/>
      <c r="AU176" s="241"/>
      <c r="AV176" s="241"/>
      <c r="AW176" s="241"/>
      <c r="AX176" s="241"/>
      <c r="AY176" s="241"/>
      <c r="AZ176" s="241"/>
      <c r="BA176" s="241"/>
      <c r="BB176" s="241"/>
      <c r="BC176" s="241"/>
      <c r="BD176" s="241"/>
      <c r="BE176" s="241"/>
      <c r="BF176" s="241"/>
      <c r="BG176" s="241"/>
      <c r="BH176" s="241"/>
      <c r="BI176" s="241"/>
      <c r="BJ176" s="241"/>
      <c r="BK176" s="241"/>
      <c r="BL176" s="241"/>
      <c r="BM176" s="241"/>
    </row>
    <row r="177" spans="1:65" ht="13.5" customHeight="1" x14ac:dyDescent="0.3">
      <c r="A177" s="241"/>
      <c r="B177" s="241"/>
      <c r="C177" s="241"/>
      <c r="D177" s="241"/>
      <c r="E177" s="241"/>
      <c r="F177" s="241"/>
      <c r="G177" s="241"/>
      <c r="H177" s="241"/>
      <c r="I177" s="241"/>
      <c r="J177" s="241"/>
      <c r="K177" s="241"/>
      <c r="L177" s="241"/>
      <c r="M177" s="241"/>
      <c r="N177" s="241"/>
      <c r="O177" s="241"/>
      <c r="P177" s="241"/>
      <c r="Q177" s="241"/>
      <c r="R177" s="241"/>
      <c r="S177" s="241"/>
      <c r="T177" s="241"/>
      <c r="U177" s="241"/>
      <c r="V177" s="241"/>
      <c r="W177" s="241"/>
      <c r="X177" s="241"/>
      <c r="Y177" s="241"/>
      <c r="Z177" s="241"/>
      <c r="AA177" s="241"/>
      <c r="AB177" s="241"/>
      <c r="AC177" s="241"/>
      <c r="AD177" s="241"/>
      <c r="AE177" s="241"/>
      <c r="AF177" s="241"/>
      <c r="AG177" s="241"/>
      <c r="AH177" s="241"/>
      <c r="AI177" s="241"/>
      <c r="AJ177" s="241"/>
      <c r="AK177" s="241"/>
      <c r="AL177" s="241"/>
      <c r="AM177" s="241"/>
      <c r="AN177" s="241"/>
      <c r="AO177" s="241"/>
      <c r="AP177" s="241"/>
      <c r="AQ177" s="241"/>
      <c r="AR177" s="241"/>
      <c r="AS177" s="241"/>
      <c r="AT177" s="241"/>
      <c r="AU177" s="241"/>
      <c r="AV177" s="241"/>
      <c r="AW177" s="241"/>
      <c r="AX177" s="241"/>
      <c r="AY177" s="241"/>
      <c r="AZ177" s="241"/>
      <c r="BA177" s="241"/>
      <c r="BB177" s="241"/>
      <c r="BC177" s="241"/>
      <c r="BD177" s="241"/>
      <c r="BE177" s="241"/>
      <c r="BF177" s="241"/>
      <c r="BG177" s="241"/>
      <c r="BH177" s="241"/>
      <c r="BI177" s="241"/>
      <c r="BJ177" s="241"/>
      <c r="BK177" s="241"/>
      <c r="BL177" s="241"/>
      <c r="BM177" s="241"/>
    </row>
    <row r="178" spans="1:65" ht="13.5" customHeight="1" x14ac:dyDescent="0.3">
      <c r="A178" s="241"/>
      <c r="B178" s="241"/>
      <c r="C178" s="241"/>
      <c r="D178" s="241"/>
      <c r="E178" s="241"/>
      <c r="F178" s="241"/>
      <c r="G178" s="241"/>
      <c r="H178" s="241"/>
      <c r="I178" s="241"/>
      <c r="J178" s="241"/>
      <c r="K178" s="241"/>
      <c r="L178" s="241"/>
      <c r="M178" s="241"/>
      <c r="N178" s="241"/>
      <c r="O178" s="241"/>
      <c r="P178" s="241"/>
      <c r="Q178" s="241"/>
      <c r="R178" s="241"/>
      <c r="S178" s="241"/>
      <c r="T178" s="241"/>
      <c r="U178" s="241"/>
      <c r="V178" s="241"/>
      <c r="W178" s="241"/>
      <c r="X178" s="241"/>
      <c r="Y178" s="241"/>
      <c r="Z178" s="241"/>
      <c r="AA178" s="241"/>
      <c r="AB178" s="241"/>
      <c r="AC178" s="241"/>
      <c r="AD178" s="241"/>
      <c r="AE178" s="241"/>
      <c r="AF178" s="241"/>
      <c r="AG178" s="241"/>
      <c r="AH178" s="241"/>
      <c r="AI178" s="241"/>
      <c r="AJ178" s="241"/>
      <c r="AK178" s="241"/>
      <c r="AL178" s="241"/>
      <c r="AM178" s="241"/>
      <c r="AN178" s="241"/>
      <c r="AO178" s="241"/>
      <c r="AP178" s="241"/>
      <c r="AQ178" s="241"/>
      <c r="AR178" s="241"/>
      <c r="AS178" s="241"/>
      <c r="AT178" s="241"/>
      <c r="AU178" s="241"/>
      <c r="AV178" s="241"/>
      <c r="AW178" s="241"/>
      <c r="AX178" s="241"/>
      <c r="AY178" s="241"/>
      <c r="AZ178" s="241"/>
      <c r="BA178" s="241"/>
      <c r="BB178" s="241"/>
      <c r="BC178" s="241"/>
      <c r="BD178" s="241"/>
      <c r="BE178" s="241"/>
      <c r="BF178" s="241"/>
      <c r="BG178" s="241"/>
      <c r="BH178" s="241"/>
      <c r="BI178" s="241"/>
      <c r="BJ178" s="241"/>
      <c r="BK178" s="241"/>
      <c r="BL178" s="241"/>
      <c r="BM178" s="241"/>
    </row>
    <row r="179" spans="1:65" ht="13.5" customHeight="1" x14ac:dyDescent="0.3">
      <c r="A179" s="241"/>
      <c r="B179" s="241"/>
      <c r="C179" s="241"/>
      <c r="D179" s="241"/>
      <c r="E179" s="241"/>
      <c r="F179" s="241"/>
      <c r="G179" s="241"/>
      <c r="H179" s="241"/>
      <c r="I179" s="241"/>
      <c r="J179" s="241"/>
      <c r="K179" s="241"/>
      <c r="L179" s="241"/>
      <c r="M179" s="241"/>
      <c r="N179" s="241"/>
      <c r="O179" s="241"/>
      <c r="P179" s="241"/>
      <c r="Q179" s="241"/>
      <c r="R179" s="241"/>
      <c r="S179" s="241"/>
      <c r="T179" s="241"/>
      <c r="U179" s="241"/>
      <c r="V179" s="241"/>
      <c r="W179" s="241"/>
      <c r="X179" s="241"/>
      <c r="Y179" s="241"/>
      <c r="Z179" s="241"/>
      <c r="AA179" s="241"/>
      <c r="AB179" s="241"/>
      <c r="AC179" s="241"/>
      <c r="AD179" s="241"/>
      <c r="AE179" s="241"/>
      <c r="AF179" s="241"/>
      <c r="AG179" s="241"/>
      <c r="AH179" s="241"/>
      <c r="AI179" s="241"/>
      <c r="AJ179" s="241"/>
      <c r="AK179" s="241"/>
      <c r="AL179" s="241"/>
      <c r="AM179" s="241"/>
      <c r="AN179" s="241"/>
      <c r="AO179" s="241"/>
      <c r="AP179" s="241"/>
      <c r="AQ179" s="241"/>
      <c r="AR179" s="241"/>
      <c r="AS179" s="241"/>
      <c r="AT179" s="241"/>
      <c r="AU179" s="241"/>
      <c r="AV179" s="241"/>
      <c r="AW179" s="241"/>
      <c r="AX179" s="241"/>
      <c r="AY179" s="241"/>
      <c r="AZ179" s="241"/>
      <c r="BA179" s="241"/>
      <c r="BB179" s="241"/>
      <c r="BC179" s="241"/>
      <c r="BD179" s="241"/>
      <c r="BE179" s="241"/>
      <c r="BF179" s="241"/>
      <c r="BG179" s="241"/>
      <c r="BH179" s="241"/>
      <c r="BI179" s="241"/>
      <c r="BJ179" s="241"/>
      <c r="BK179" s="241"/>
      <c r="BL179" s="241"/>
      <c r="BM179" s="241"/>
    </row>
    <row r="180" spans="1:65" ht="13.5" customHeight="1" x14ac:dyDescent="0.3">
      <c r="A180" s="241"/>
      <c r="B180" s="241"/>
      <c r="C180" s="241"/>
      <c r="D180" s="241"/>
      <c r="E180" s="241"/>
      <c r="F180" s="241"/>
      <c r="G180" s="241"/>
      <c r="H180" s="241"/>
      <c r="I180" s="241"/>
      <c r="J180" s="241"/>
      <c r="K180" s="241"/>
      <c r="L180" s="241"/>
      <c r="M180" s="241"/>
      <c r="N180" s="241"/>
      <c r="O180" s="241"/>
      <c r="P180" s="241"/>
      <c r="Q180" s="241"/>
      <c r="R180" s="241"/>
      <c r="S180" s="241"/>
      <c r="T180" s="241"/>
      <c r="U180" s="241"/>
      <c r="V180" s="241"/>
      <c r="W180" s="241"/>
      <c r="X180" s="241"/>
      <c r="Y180" s="241"/>
      <c r="Z180" s="241"/>
      <c r="AA180" s="241"/>
      <c r="AB180" s="241"/>
      <c r="AC180" s="241"/>
      <c r="AD180" s="241"/>
      <c r="AE180" s="241"/>
      <c r="AF180" s="241"/>
      <c r="AG180" s="241"/>
      <c r="AH180" s="241"/>
      <c r="AI180" s="241"/>
      <c r="AJ180" s="241"/>
      <c r="AK180" s="241"/>
      <c r="AL180" s="241"/>
      <c r="AM180" s="241"/>
      <c r="AN180" s="241"/>
      <c r="AO180" s="241"/>
      <c r="AP180" s="241"/>
      <c r="AQ180" s="241"/>
      <c r="AR180" s="241"/>
      <c r="AS180" s="241"/>
      <c r="AT180" s="241"/>
      <c r="AU180" s="241"/>
      <c r="AV180" s="241"/>
      <c r="AW180" s="241"/>
      <c r="AX180" s="241"/>
      <c r="AY180" s="241"/>
      <c r="AZ180" s="241"/>
      <c r="BA180" s="241"/>
      <c r="BB180" s="241"/>
      <c r="BC180" s="241"/>
      <c r="BD180" s="241"/>
      <c r="BE180" s="241"/>
      <c r="BF180" s="241"/>
      <c r="BG180" s="241"/>
      <c r="BH180" s="241"/>
      <c r="BI180" s="241"/>
      <c r="BJ180" s="241"/>
      <c r="BK180" s="241"/>
      <c r="BL180" s="241"/>
      <c r="BM180" s="241"/>
    </row>
    <row r="181" spans="1:65" ht="13.5" customHeight="1" x14ac:dyDescent="0.3">
      <c r="A181" s="241"/>
      <c r="B181" s="241"/>
      <c r="C181" s="241"/>
      <c r="D181" s="241"/>
      <c r="E181" s="241"/>
      <c r="F181" s="241"/>
      <c r="G181" s="241"/>
      <c r="H181" s="241"/>
      <c r="I181" s="241"/>
      <c r="J181" s="241"/>
      <c r="K181" s="241"/>
      <c r="L181" s="241"/>
      <c r="M181" s="241"/>
      <c r="N181" s="241"/>
      <c r="O181" s="241"/>
      <c r="P181" s="241"/>
      <c r="Q181" s="241"/>
      <c r="R181" s="241"/>
      <c r="S181" s="241"/>
      <c r="T181" s="241"/>
      <c r="U181" s="241"/>
      <c r="V181" s="241"/>
      <c r="W181" s="241"/>
      <c r="X181" s="241"/>
      <c r="Y181" s="241"/>
      <c r="Z181" s="241"/>
      <c r="AA181" s="241"/>
      <c r="AB181" s="241"/>
      <c r="AC181" s="241"/>
      <c r="AD181" s="241"/>
      <c r="AE181" s="241"/>
      <c r="AF181" s="241"/>
      <c r="AG181" s="241"/>
      <c r="AH181" s="241"/>
      <c r="AI181" s="241"/>
      <c r="AJ181" s="241"/>
      <c r="AK181" s="241"/>
      <c r="AL181" s="241"/>
      <c r="AM181" s="241"/>
      <c r="AN181" s="241"/>
      <c r="AO181" s="241"/>
      <c r="AP181" s="241"/>
      <c r="AQ181" s="241"/>
      <c r="AR181" s="241"/>
      <c r="AS181" s="241"/>
      <c r="AT181" s="241"/>
      <c r="AU181" s="241"/>
      <c r="AV181" s="241"/>
      <c r="AW181" s="241"/>
      <c r="AX181" s="241"/>
      <c r="AY181" s="241"/>
      <c r="AZ181" s="241"/>
      <c r="BA181" s="241"/>
      <c r="BB181" s="241"/>
      <c r="BC181" s="241"/>
      <c r="BD181" s="241"/>
      <c r="BE181" s="241"/>
      <c r="BF181" s="241"/>
      <c r="BG181" s="241"/>
      <c r="BH181" s="241"/>
      <c r="BI181" s="241"/>
      <c r="BJ181" s="241"/>
      <c r="BK181" s="241"/>
      <c r="BL181" s="241"/>
      <c r="BM181" s="241"/>
    </row>
    <row r="182" spans="1:65" ht="13.5" customHeight="1" x14ac:dyDescent="0.3">
      <c r="A182" s="241"/>
      <c r="B182" s="241"/>
      <c r="C182" s="241"/>
      <c r="D182" s="241"/>
      <c r="E182" s="241"/>
      <c r="F182" s="241"/>
      <c r="G182" s="241"/>
      <c r="H182" s="241"/>
      <c r="I182" s="241"/>
      <c r="J182" s="241"/>
      <c r="K182" s="241"/>
      <c r="L182" s="241"/>
      <c r="M182" s="241"/>
      <c r="N182" s="241"/>
      <c r="O182" s="241"/>
      <c r="P182" s="241"/>
      <c r="Q182" s="241"/>
      <c r="R182" s="241"/>
      <c r="S182" s="241"/>
      <c r="T182" s="241"/>
      <c r="U182" s="241"/>
      <c r="V182" s="241"/>
      <c r="W182" s="241"/>
      <c r="X182" s="241"/>
      <c r="Y182" s="241"/>
      <c r="Z182" s="241"/>
      <c r="AA182" s="241"/>
      <c r="AB182" s="241"/>
      <c r="AC182" s="241"/>
      <c r="AD182" s="241"/>
      <c r="AE182" s="241"/>
      <c r="AF182" s="241"/>
      <c r="AG182" s="241"/>
      <c r="AH182" s="241"/>
      <c r="AI182" s="241"/>
      <c r="AJ182" s="241"/>
      <c r="AK182" s="241"/>
      <c r="AL182" s="241"/>
      <c r="AM182" s="241"/>
      <c r="AN182" s="241"/>
      <c r="AO182" s="241"/>
      <c r="AP182" s="241"/>
      <c r="AQ182" s="241"/>
      <c r="AR182" s="241"/>
      <c r="AS182" s="241"/>
      <c r="AT182" s="241"/>
      <c r="AU182" s="241"/>
      <c r="AV182" s="241"/>
      <c r="AW182" s="241"/>
      <c r="AX182" s="241"/>
      <c r="AY182" s="241"/>
      <c r="AZ182" s="241"/>
      <c r="BA182" s="241"/>
      <c r="BB182" s="241"/>
      <c r="BC182" s="241"/>
      <c r="BD182" s="241"/>
      <c r="BE182" s="241"/>
      <c r="BF182" s="241"/>
      <c r="BG182" s="241"/>
      <c r="BH182" s="241"/>
      <c r="BI182" s="241"/>
      <c r="BJ182" s="241"/>
      <c r="BK182" s="241"/>
      <c r="BL182" s="241"/>
      <c r="BM182" s="241"/>
    </row>
    <row r="183" spans="1:65" ht="13.5" customHeight="1" x14ac:dyDescent="0.3">
      <c r="A183" s="241"/>
      <c r="B183" s="241"/>
      <c r="C183" s="241"/>
      <c r="D183" s="241"/>
      <c r="E183" s="241"/>
      <c r="F183" s="241"/>
      <c r="G183" s="241"/>
      <c r="H183" s="241"/>
      <c r="I183" s="241"/>
      <c r="J183" s="241"/>
      <c r="K183" s="241"/>
      <c r="L183" s="241"/>
      <c r="M183" s="241"/>
      <c r="N183" s="241"/>
      <c r="O183" s="241"/>
      <c r="P183" s="241"/>
      <c r="Q183" s="241"/>
      <c r="R183" s="241"/>
      <c r="S183" s="241"/>
      <c r="T183" s="241"/>
      <c r="U183" s="241"/>
      <c r="V183" s="241"/>
      <c r="W183" s="241"/>
      <c r="X183" s="241"/>
      <c r="Y183" s="241"/>
      <c r="Z183" s="241"/>
      <c r="AA183" s="241"/>
      <c r="AB183" s="241"/>
      <c r="AC183" s="241"/>
      <c r="AD183" s="241"/>
      <c r="AE183" s="241"/>
      <c r="AF183" s="241"/>
      <c r="AG183" s="241"/>
      <c r="AH183" s="241"/>
      <c r="AI183" s="241"/>
      <c r="AJ183" s="241"/>
      <c r="AK183" s="241"/>
      <c r="AL183" s="241"/>
      <c r="AM183" s="241"/>
      <c r="AN183" s="241"/>
      <c r="AO183" s="241"/>
      <c r="AP183" s="241"/>
      <c r="AQ183" s="241"/>
      <c r="AR183" s="241"/>
      <c r="AS183" s="241"/>
      <c r="AT183" s="241"/>
      <c r="AU183" s="241"/>
      <c r="AV183" s="241"/>
      <c r="AW183" s="241"/>
      <c r="AX183" s="241"/>
      <c r="AY183" s="241"/>
      <c r="AZ183" s="241"/>
      <c r="BA183" s="241"/>
      <c r="BB183" s="241"/>
      <c r="BC183" s="241"/>
      <c r="BD183" s="241"/>
      <c r="BE183" s="241"/>
      <c r="BF183" s="241"/>
      <c r="BG183" s="241"/>
      <c r="BH183" s="241"/>
      <c r="BI183" s="241"/>
      <c r="BJ183" s="241"/>
      <c r="BK183" s="241"/>
      <c r="BL183" s="241"/>
      <c r="BM183" s="241"/>
    </row>
    <row r="184" spans="1:65" ht="13.5" customHeight="1" x14ac:dyDescent="0.3">
      <c r="A184" s="241"/>
      <c r="B184" s="241"/>
      <c r="C184" s="241"/>
      <c r="D184" s="241"/>
      <c r="E184" s="241"/>
      <c r="F184" s="241"/>
      <c r="G184" s="241"/>
      <c r="H184" s="241"/>
      <c r="I184" s="241"/>
      <c r="J184" s="241"/>
      <c r="K184" s="241"/>
      <c r="L184" s="241"/>
      <c r="M184" s="241"/>
      <c r="N184" s="241"/>
      <c r="O184" s="241"/>
      <c r="P184" s="241"/>
      <c r="Q184" s="241"/>
      <c r="R184" s="241"/>
      <c r="S184" s="241"/>
      <c r="T184" s="241"/>
      <c r="U184" s="241"/>
      <c r="V184" s="241"/>
      <c r="W184" s="241"/>
      <c r="X184" s="241"/>
      <c r="Y184" s="241"/>
      <c r="Z184" s="241"/>
      <c r="AA184" s="241"/>
      <c r="AB184" s="241"/>
      <c r="AC184" s="241"/>
      <c r="AD184" s="241"/>
      <c r="AE184" s="241"/>
      <c r="AF184" s="241"/>
      <c r="AG184" s="241"/>
      <c r="AH184" s="241"/>
      <c r="AI184" s="241"/>
      <c r="AJ184" s="241"/>
      <c r="AK184" s="241"/>
      <c r="AL184" s="241"/>
      <c r="AM184" s="241"/>
      <c r="AN184" s="241"/>
      <c r="AO184" s="241"/>
      <c r="AP184" s="241"/>
      <c r="AQ184" s="241"/>
      <c r="AR184" s="241"/>
      <c r="AS184" s="241"/>
      <c r="AT184" s="241"/>
      <c r="AU184" s="241"/>
      <c r="AV184" s="241"/>
      <c r="AW184" s="241"/>
      <c r="AX184" s="241"/>
      <c r="AY184" s="241"/>
      <c r="AZ184" s="241"/>
      <c r="BA184" s="241"/>
      <c r="BB184" s="241"/>
      <c r="BC184" s="241"/>
      <c r="BD184" s="241"/>
      <c r="BE184" s="241"/>
      <c r="BF184" s="241"/>
      <c r="BG184" s="241"/>
      <c r="BH184" s="241"/>
      <c r="BI184" s="241"/>
      <c r="BJ184" s="241"/>
      <c r="BK184" s="241"/>
      <c r="BL184" s="241"/>
      <c r="BM184" s="241"/>
    </row>
    <row r="185" spans="1:65" ht="13.5" customHeight="1" x14ac:dyDescent="0.3">
      <c r="A185" s="241"/>
      <c r="B185" s="241"/>
      <c r="C185" s="241"/>
      <c r="D185" s="241"/>
      <c r="E185" s="241"/>
      <c r="F185" s="241"/>
      <c r="G185" s="241"/>
      <c r="H185" s="241"/>
      <c r="I185" s="241"/>
      <c r="J185" s="241"/>
      <c r="K185" s="241"/>
      <c r="L185" s="241"/>
      <c r="M185" s="241"/>
      <c r="N185" s="241"/>
      <c r="O185" s="241"/>
      <c r="P185" s="241"/>
      <c r="Q185" s="241"/>
      <c r="R185" s="241"/>
      <c r="S185" s="241"/>
      <c r="T185" s="241"/>
      <c r="U185" s="241"/>
      <c r="V185" s="241"/>
      <c r="W185" s="241"/>
      <c r="X185" s="241"/>
      <c r="Y185" s="241"/>
      <c r="Z185" s="241"/>
      <c r="AA185" s="241"/>
      <c r="AB185" s="241"/>
      <c r="AC185" s="241"/>
      <c r="AD185" s="241"/>
      <c r="AE185" s="241"/>
      <c r="AF185" s="241"/>
      <c r="AG185" s="241"/>
      <c r="AH185" s="241"/>
      <c r="AI185" s="241"/>
      <c r="AJ185" s="241"/>
      <c r="AK185" s="241"/>
      <c r="AL185" s="241"/>
      <c r="AM185" s="241"/>
      <c r="AN185" s="241"/>
      <c r="AO185" s="241"/>
      <c r="AP185" s="241"/>
      <c r="AQ185" s="241"/>
      <c r="AR185" s="241"/>
      <c r="AS185" s="241"/>
      <c r="AT185" s="241"/>
      <c r="AU185" s="241"/>
      <c r="AV185" s="241"/>
      <c r="AW185" s="241"/>
      <c r="AX185" s="241"/>
      <c r="AY185" s="241"/>
      <c r="AZ185" s="241"/>
      <c r="BA185" s="241"/>
      <c r="BB185" s="241"/>
      <c r="BC185" s="241"/>
      <c r="BD185" s="241"/>
      <c r="BE185" s="241"/>
      <c r="BF185" s="241"/>
      <c r="BG185" s="241"/>
      <c r="BH185" s="241"/>
      <c r="BI185" s="241"/>
      <c r="BJ185" s="241"/>
      <c r="BK185" s="241"/>
      <c r="BL185" s="241"/>
      <c r="BM185" s="241"/>
    </row>
    <row r="186" spans="1:65" ht="13.5" customHeight="1" x14ac:dyDescent="0.3">
      <c r="A186" s="241"/>
      <c r="B186" s="241"/>
      <c r="C186" s="241"/>
      <c r="D186" s="241"/>
      <c r="E186" s="241"/>
      <c r="F186" s="241"/>
      <c r="G186" s="241"/>
      <c r="H186" s="241"/>
      <c r="I186" s="241"/>
      <c r="J186" s="241"/>
      <c r="K186" s="241"/>
      <c r="L186" s="241"/>
      <c r="M186" s="241"/>
      <c r="N186" s="241"/>
      <c r="O186" s="241"/>
      <c r="P186" s="241"/>
      <c r="Q186" s="241"/>
      <c r="R186" s="241"/>
      <c r="S186" s="241"/>
      <c r="T186" s="241"/>
      <c r="U186" s="241"/>
      <c r="V186" s="241"/>
      <c r="W186" s="241"/>
      <c r="X186" s="241"/>
      <c r="Y186" s="241"/>
      <c r="Z186" s="241"/>
      <c r="AA186" s="241"/>
      <c r="AB186" s="241"/>
      <c r="AC186" s="241"/>
      <c r="AD186" s="241"/>
      <c r="AE186" s="241"/>
      <c r="AF186" s="241"/>
      <c r="AG186" s="241"/>
      <c r="AH186" s="241"/>
      <c r="AI186" s="241"/>
      <c r="AJ186" s="241"/>
      <c r="AK186" s="241"/>
      <c r="AL186" s="241"/>
      <c r="AM186" s="241"/>
      <c r="AN186" s="241"/>
      <c r="AO186" s="241"/>
      <c r="AP186" s="241"/>
      <c r="AQ186" s="241"/>
      <c r="AR186" s="241"/>
      <c r="AS186" s="241"/>
      <c r="AT186" s="241"/>
      <c r="AU186" s="241"/>
      <c r="AV186" s="241"/>
      <c r="AW186" s="241"/>
      <c r="AX186" s="241"/>
      <c r="AY186" s="241"/>
      <c r="AZ186" s="241"/>
      <c r="BA186" s="241"/>
      <c r="BB186" s="241"/>
      <c r="BC186" s="241"/>
      <c r="BD186" s="241"/>
      <c r="BE186" s="241"/>
      <c r="BF186" s="241"/>
      <c r="BG186" s="241"/>
      <c r="BH186" s="241"/>
      <c r="BI186" s="241"/>
      <c r="BJ186" s="241"/>
      <c r="BK186" s="241"/>
      <c r="BL186" s="241"/>
      <c r="BM186" s="241"/>
    </row>
    <row r="187" spans="1:65" ht="13.5" customHeight="1" x14ac:dyDescent="0.3">
      <c r="A187" s="241"/>
      <c r="B187" s="241"/>
      <c r="C187" s="241"/>
      <c r="D187" s="241"/>
      <c r="E187" s="241"/>
      <c r="F187" s="241"/>
      <c r="G187" s="241"/>
      <c r="H187" s="241"/>
      <c r="I187" s="241"/>
      <c r="J187" s="241"/>
      <c r="K187" s="241"/>
      <c r="L187" s="241"/>
      <c r="M187" s="241"/>
      <c r="N187" s="241"/>
      <c r="O187" s="241"/>
      <c r="P187" s="241"/>
      <c r="Q187" s="241"/>
      <c r="R187" s="241"/>
      <c r="S187" s="241"/>
      <c r="T187" s="241"/>
      <c r="U187" s="241"/>
      <c r="V187" s="241"/>
      <c r="W187" s="241"/>
      <c r="X187" s="241"/>
      <c r="Y187" s="241"/>
      <c r="Z187" s="241"/>
      <c r="AA187" s="241"/>
      <c r="AB187" s="241"/>
      <c r="AC187" s="241"/>
      <c r="AD187" s="241"/>
      <c r="AE187" s="241"/>
      <c r="AF187" s="241"/>
      <c r="AG187" s="241"/>
      <c r="AH187" s="241"/>
      <c r="AI187" s="241"/>
      <c r="AJ187" s="241"/>
      <c r="AK187" s="241"/>
      <c r="AL187" s="241"/>
      <c r="AM187" s="241"/>
      <c r="AN187" s="241"/>
      <c r="AO187" s="241"/>
      <c r="AP187" s="241"/>
      <c r="AQ187" s="241"/>
      <c r="AR187" s="241"/>
      <c r="AS187" s="241"/>
      <c r="AT187" s="241"/>
      <c r="AU187" s="241"/>
      <c r="AV187" s="241"/>
      <c r="AW187" s="241"/>
      <c r="AX187" s="241"/>
      <c r="AY187" s="241"/>
      <c r="AZ187" s="241"/>
      <c r="BA187" s="241"/>
      <c r="BB187" s="241"/>
      <c r="BC187" s="241"/>
      <c r="BD187" s="241"/>
      <c r="BE187" s="241"/>
      <c r="BF187" s="241"/>
      <c r="BG187" s="241"/>
      <c r="BH187" s="241"/>
      <c r="BI187" s="241"/>
      <c r="BJ187" s="241"/>
      <c r="BK187" s="241"/>
      <c r="BL187" s="241"/>
      <c r="BM187" s="241"/>
    </row>
    <row r="188" spans="1:65" ht="13.5" customHeight="1" x14ac:dyDescent="0.3">
      <c r="A188" s="241"/>
      <c r="B188" s="241"/>
      <c r="C188" s="241"/>
      <c r="D188" s="241"/>
      <c r="E188" s="241"/>
      <c r="F188" s="241"/>
      <c r="G188" s="241"/>
      <c r="H188" s="241"/>
      <c r="I188" s="241"/>
      <c r="J188" s="241"/>
      <c r="K188" s="241"/>
      <c r="L188" s="241"/>
      <c r="M188" s="241"/>
      <c r="N188" s="241"/>
      <c r="O188" s="241"/>
      <c r="P188" s="241"/>
      <c r="Q188" s="241"/>
      <c r="R188" s="241"/>
      <c r="S188" s="241"/>
      <c r="T188" s="241"/>
      <c r="U188" s="241"/>
      <c r="V188" s="241"/>
      <c r="W188" s="241"/>
      <c r="X188" s="241"/>
      <c r="Y188" s="241"/>
      <c r="Z188" s="241"/>
      <c r="AA188" s="241"/>
      <c r="AB188" s="241"/>
      <c r="AC188" s="241"/>
      <c r="AD188" s="241"/>
      <c r="AE188" s="241"/>
      <c r="AF188" s="241"/>
      <c r="AG188" s="241"/>
      <c r="AH188" s="241"/>
      <c r="AI188" s="241"/>
      <c r="AJ188" s="241"/>
      <c r="AK188" s="241"/>
      <c r="AL188" s="241"/>
      <c r="AM188" s="241"/>
      <c r="AN188" s="241"/>
      <c r="AO188" s="241"/>
      <c r="AP188" s="241"/>
      <c r="AQ188" s="241"/>
      <c r="AR188" s="241"/>
      <c r="AS188" s="241"/>
      <c r="AT188" s="241"/>
      <c r="AU188" s="241"/>
      <c r="AV188" s="241"/>
      <c r="AW188" s="241"/>
      <c r="AX188" s="241"/>
      <c r="AY188" s="241"/>
      <c r="AZ188" s="241"/>
      <c r="BA188" s="241"/>
      <c r="BB188" s="241"/>
      <c r="BC188" s="241"/>
      <c r="BD188" s="241"/>
      <c r="BE188" s="241"/>
      <c r="BF188" s="241"/>
      <c r="BG188" s="241"/>
      <c r="BH188" s="241"/>
      <c r="BI188" s="241"/>
      <c r="BJ188" s="241"/>
      <c r="BK188" s="241"/>
      <c r="BL188" s="241"/>
      <c r="BM188" s="241"/>
    </row>
    <row r="189" spans="1:65" ht="13.5" customHeight="1" x14ac:dyDescent="0.3">
      <c r="A189" s="241"/>
      <c r="B189" s="241"/>
      <c r="C189" s="241"/>
      <c r="D189" s="241"/>
      <c r="E189" s="241"/>
      <c r="F189" s="241"/>
      <c r="G189" s="241"/>
      <c r="H189" s="241"/>
      <c r="I189" s="241"/>
      <c r="J189" s="241"/>
      <c r="K189" s="241"/>
      <c r="L189" s="241"/>
      <c r="M189" s="241"/>
      <c r="N189" s="241"/>
      <c r="O189" s="241"/>
      <c r="P189" s="241"/>
      <c r="Q189" s="241"/>
      <c r="R189" s="241"/>
      <c r="S189" s="241"/>
      <c r="T189" s="241"/>
      <c r="U189" s="241"/>
      <c r="V189" s="241"/>
      <c r="W189" s="241"/>
      <c r="X189" s="241"/>
      <c r="Y189" s="241"/>
      <c r="Z189" s="241"/>
      <c r="AA189" s="241"/>
      <c r="AB189" s="241"/>
      <c r="AC189" s="241"/>
      <c r="AD189" s="241"/>
      <c r="AE189" s="241"/>
      <c r="AF189" s="241"/>
      <c r="AG189" s="241"/>
      <c r="AH189" s="241"/>
      <c r="AI189" s="241"/>
      <c r="AJ189" s="241"/>
      <c r="AK189" s="241"/>
      <c r="AL189" s="241"/>
      <c r="AM189" s="241"/>
      <c r="AN189" s="241"/>
      <c r="AO189" s="241"/>
      <c r="AP189" s="241"/>
      <c r="AQ189" s="241"/>
      <c r="AR189" s="241"/>
      <c r="AS189" s="241"/>
      <c r="AT189" s="241"/>
      <c r="AU189" s="241"/>
      <c r="AV189" s="241"/>
      <c r="AW189" s="241"/>
      <c r="AX189" s="241"/>
      <c r="AY189" s="241"/>
      <c r="AZ189" s="241"/>
      <c r="BA189" s="241"/>
      <c r="BB189" s="241"/>
      <c r="BC189" s="241"/>
      <c r="BD189" s="241"/>
      <c r="BE189" s="241"/>
      <c r="BF189" s="241"/>
      <c r="BG189" s="241"/>
      <c r="BH189" s="241"/>
      <c r="BI189" s="241"/>
      <c r="BJ189" s="241"/>
      <c r="BK189" s="241"/>
      <c r="BL189" s="241"/>
      <c r="BM189" s="241"/>
    </row>
    <row r="190" spans="1:65" ht="13.5" customHeight="1" x14ac:dyDescent="0.3">
      <c r="A190" s="241"/>
      <c r="B190" s="241"/>
      <c r="C190" s="241"/>
      <c r="D190" s="241"/>
      <c r="E190" s="241"/>
      <c r="F190" s="241"/>
      <c r="G190" s="241"/>
      <c r="H190" s="241"/>
      <c r="I190" s="241"/>
      <c r="J190" s="241"/>
      <c r="K190" s="241"/>
      <c r="L190" s="241"/>
      <c r="M190" s="241"/>
      <c r="N190" s="241"/>
      <c r="O190" s="241"/>
      <c r="P190" s="241"/>
      <c r="Q190" s="241"/>
      <c r="R190" s="241"/>
      <c r="S190" s="241"/>
      <c r="T190" s="241"/>
      <c r="U190" s="241"/>
      <c r="V190" s="241"/>
      <c r="W190" s="241"/>
      <c r="X190" s="241"/>
      <c r="Y190" s="241"/>
      <c r="Z190" s="241"/>
      <c r="AA190" s="241"/>
      <c r="AB190" s="241"/>
      <c r="AC190" s="241"/>
      <c r="AD190" s="241"/>
      <c r="AE190" s="241"/>
      <c r="AF190" s="241"/>
      <c r="AG190" s="241"/>
      <c r="AH190" s="241"/>
      <c r="AI190" s="241"/>
      <c r="AJ190" s="241"/>
      <c r="AK190" s="241"/>
      <c r="AL190" s="241"/>
      <c r="AM190" s="241"/>
      <c r="AN190" s="241"/>
      <c r="AO190" s="241"/>
      <c r="AP190" s="241"/>
      <c r="AQ190" s="241"/>
      <c r="AR190" s="241"/>
      <c r="AS190" s="241"/>
      <c r="AT190" s="241"/>
      <c r="AU190" s="241"/>
      <c r="AV190" s="241"/>
      <c r="AW190" s="241"/>
      <c r="AX190" s="241"/>
      <c r="AY190" s="241"/>
      <c r="AZ190" s="241"/>
      <c r="BA190" s="241"/>
      <c r="BB190" s="241"/>
      <c r="BC190" s="241"/>
      <c r="BD190" s="241"/>
      <c r="BE190" s="241"/>
      <c r="BF190" s="241"/>
      <c r="BG190" s="241"/>
      <c r="BH190" s="241"/>
      <c r="BI190" s="241"/>
      <c r="BJ190" s="241"/>
      <c r="BK190" s="241"/>
      <c r="BL190" s="241"/>
      <c r="BM190" s="241"/>
    </row>
    <row r="191" spans="1:65" ht="13.5" customHeight="1" x14ac:dyDescent="0.3">
      <c r="A191" s="241"/>
      <c r="B191" s="241"/>
      <c r="C191" s="241"/>
      <c r="D191" s="241"/>
      <c r="E191" s="241"/>
      <c r="F191" s="241"/>
      <c r="G191" s="241"/>
      <c r="H191" s="241"/>
      <c r="I191" s="241"/>
      <c r="J191" s="241"/>
      <c r="K191" s="241"/>
      <c r="L191" s="241"/>
      <c r="M191" s="241"/>
      <c r="N191" s="241"/>
      <c r="O191" s="241"/>
      <c r="P191" s="241"/>
      <c r="Q191" s="241"/>
      <c r="R191" s="241"/>
      <c r="S191" s="241"/>
      <c r="T191" s="241"/>
      <c r="U191" s="241"/>
      <c r="V191" s="241"/>
      <c r="W191" s="241"/>
      <c r="X191" s="241"/>
      <c r="Y191" s="241"/>
      <c r="Z191" s="241"/>
      <c r="AA191" s="241"/>
      <c r="AB191" s="241"/>
      <c r="AC191" s="241"/>
      <c r="AD191" s="241"/>
      <c r="AE191" s="241"/>
      <c r="AF191" s="241"/>
      <c r="AG191" s="241"/>
      <c r="AH191" s="241"/>
      <c r="AI191" s="241"/>
      <c r="AJ191" s="241"/>
      <c r="AK191" s="241"/>
      <c r="AL191" s="241"/>
      <c r="AM191" s="241"/>
      <c r="AN191" s="241"/>
      <c r="AO191" s="241"/>
      <c r="AP191" s="241"/>
      <c r="AQ191" s="241"/>
      <c r="AR191" s="241"/>
      <c r="AS191" s="241"/>
      <c r="AT191" s="241"/>
      <c r="AU191" s="241"/>
      <c r="AV191" s="241"/>
      <c r="AW191" s="241"/>
      <c r="AX191" s="241"/>
      <c r="AY191" s="241"/>
      <c r="AZ191" s="241"/>
      <c r="BA191" s="241"/>
      <c r="BB191" s="241"/>
      <c r="BC191" s="241"/>
      <c r="BD191" s="241"/>
      <c r="BE191" s="241"/>
      <c r="BF191" s="241"/>
      <c r="BG191" s="241"/>
      <c r="BH191" s="241"/>
      <c r="BI191" s="241"/>
      <c r="BJ191" s="241"/>
      <c r="BK191" s="241"/>
      <c r="BL191" s="241"/>
      <c r="BM191" s="241"/>
    </row>
    <row r="192" spans="1:65" ht="13.5" customHeight="1" x14ac:dyDescent="0.3">
      <c r="A192" s="241"/>
      <c r="B192" s="241"/>
      <c r="C192" s="241"/>
      <c r="D192" s="241"/>
      <c r="E192" s="241"/>
      <c r="F192" s="241"/>
      <c r="G192" s="241"/>
      <c r="H192" s="241"/>
      <c r="I192" s="241"/>
      <c r="J192" s="241"/>
      <c r="K192" s="241"/>
      <c r="L192" s="241"/>
      <c r="M192" s="241"/>
      <c r="N192" s="241"/>
      <c r="O192" s="241"/>
      <c r="P192" s="241"/>
      <c r="Q192" s="241"/>
      <c r="R192" s="241"/>
      <c r="S192" s="241"/>
      <c r="T192" s="241"/>
      <c r="U192" s="241"/>
      <c r="V192" s="241"/>
      <c r="W192" s="241"/>
      <c r="X192" s="241"/>
      <c r="Y192" s="241"/>
      <c r="Z192" s="241"/>
      <c r="AA192" s="241"/>
      <c r="AB192" s="241"/>
      <c r="AC192" s="241"/>
      <c r="AD192" s="241"/>
      <c r="AE192" s="241"/>
      <c r="AF192" s="241"/>
      <c r="AG192" s="241"/>
      <c r="AH192" s="241"/>
      <c r="AI192" s="241"/>
      <c r="AJ192" s="241"/>
      <c r="AK192" s="241"/>
      <c r="AL192" s="241"/>
      <c r="AM192" s="241"/>
      <c r="AN192" s="241"/>
      <c r="AO192" s="241"/>
      <c r="AP192" s="241"/>
      <c r="AQ192" s="241"/>
      <c r="AR192" s="241"/>
      <c r="AS192" s="241"/>
      <c r="AT192" s="241"/>
      <c r="AU192" s="241"/>
      <c r="AV192" s="241"/>
      <c r="AW192" s="241"/>
      <c r="AX192" s="241"/>
      <c r="AY192" s="241"/>
      <c r="AZ192" s="241"/>
      <c r="BA192" s="241"/>
      <c r="BB192" s="241"/>
      <c r="BC192" s="241"/>
      <c r="BD192" s="241"/>
      <c r="BE192" s="241"/>
      <c r="BF192" s="241"/>
      <c r="BG192" s="241"/>
      <c r="BH192" s="241"/>
      <c r="BI192" s="241"/>
      <c r="BJ192" s="241"/>
      <c r="BK192" s="241"/>
      <c r="BL192" s="241"/>
      <c r="BM192" s="241"/>
    </row>
    <row r="193" spans="1:65" ht="13.5" customHeight="1" x14ac:dyDescent="0.3">
      <c r="A193" s="241"/>
      <c r="B193" s="241"/>
      <c r="C193" s="241"/>
      <c r="D193" s="241"/>
      <c r="E193" s="241"/>
      <c r="F193" s="241"/>
      <c r="G193" s="241"/>
      <c r="H193" s="241"/>
      <c r="I193" s="241"/>
      <c r="J193" s="241"/>
      <c r="K193" s="241"/>
      <c r="L193" s="241"/>
      <c r="M193" s="241"/>
      <c r="N193" s="241"/>
      <c r="O193" s="241"/>
      <c r="P193" s="241"/>
      <c r="Q193" s="241"/>
      <c r="R193" s="241"/>
      <c r="S193" s="241"/>
      <c r="T193" s="241"/>
      <c r="U193" s="241"/>
      <c r="V193" s="241"/>
      <c r="W193" s="241"/>
      <c r="X193" s="241"/>
      <c r="Y193" s="241"/>
      <c r="Z193" s="241"/>
      <c r="AA193" s="241"/>
      <c r="AB193" s="241"/>
      <c r="AC193" s="241"/>
      <c r="AD193" s="241"/>
      <c r="AE193" s="241"/>
      <c r="AF193" s="241"/>
      <c r="AG193" s="241"/>
      <c r="AH193" s="241"/>
      <c r="AI193" s="241"/>
      <c r="AJ193" s="241"/>
      <c r="AK193" s="241"/>
      <c r="AL193" s="241"/>
      <c r="AM193" s="241"/>
      <c r="AN193" s="241"/>
      <c r="AO193" s="241"/>
      <c r="AP193" s="241"/>
      <c r="AQ193" s="241"/>
      <c r="AR193" s="241"/>
      <c r="AS193" s="241"/>
      <c r="AT193" s="241"/>
      <c r="AU193" s="241"/>
      <c r="AV193" s="241"/>
      <c r="AW193" s="241"/>
      <c r="AX193" s="241"/>
      <c r="AY193" s="241"/>
      <c r="AZ193" s="241"/>
      <c r="BA193" s="241"/>
      <c r="BB193" s="241"/>
      <c r="BC193" s="241"/>
      <c r="BD193" s="241"/>
      <c r="BE193" s="241"/>
      <c r="BF193" s="241"/>
      <c r="BG193" s="241"/>
      <c r="BH193" s="241"/>
      <c r="BI193" s="241"/>
      <c r="BJ193" s="241"/>
      <c r="BK193" s="241"/>
      <c r="BL193" s="241"/>
      <c r="BM193" s="241"/>
    </row>
    <row r="194" spans="1:65" ht="13.5" customHeight="1" x14ac:dyDescent="0.3">
      <c r="A194" s="241"/>
      <c r="B194" s="241"/>
      <c r="C194" s="241"/>
      <c r="D194" s="241"/>
      <c r="E194" s="241"/>
      <c r="F194" s="241"/>
      <c r="G194" s="241"/>
      <c r="H194" s="241"/>
      <c r="I194" s="241"/>
      <c r="J194" s="241"/>
      <c r="K194" s="241"/>
      <c r="L194" s="241"/>
      <c r="M194" s="241"/>
      <c r="N194" s="241"/>
      <c r="O194" s="241"/>
      <c r="P194" s="241"/>
      <c r="Q194" s="241"/>
      <c r="R194" s="241"/>
      <c r="S194" s="241"/>
      <c r="T194" s="241"/>
      <c r="U194" s="241"/>
      <c r="V194" s="241"/>
      <c r="W194" s="241"/>
      <c r="X194" s="241"/>
      <c r="Y194" s="241"/>
      <c r="Z194" s="241"/>
      <c r="AA194" s="241"/>
      <c r="AB194" s="241"/>
      <c r="AC194" s="241"/>
      <c r="AD194" s="241"/>
      <c r="AE194" s="241"/>
      <c r="AF194" s="241"/>
      <c r="AG194" s="241"/>
      <c r="AH194" s="241"/>
      <c r="AI194" s="241"/>
      <c r="AJ194" s="241"/>
      <c r="AK194" s="241"/>
      <c r="AL194" s="241"/>
      <c r="AM194" s="241"/>
      <c r="AN194" s="241"/>
      <c r="AO194" s="241"/>
      <c r="AP194" s="241"/>
      <c r="AQ194" s="241"/>
      <c r="AR194" s="241"/>
      <c r="AS194" s="241"/>
      <c r="AT194" s="241"/>
      <c r="AU194" s="241"/>
      <c r="AV194" s="241"/>
      <c r="AW194" s="241"/>
      <c r="AX194" s="241"/>
      <c r="AY194" s="241"/>
      <c r="AZ194" s="241"/>
      <c r="BA194" s="241"/>
      <c r="BB194" s="241"/>
      <c r="BC194" s="241"/>
      <c r="BD194" s="241"/>
      <c r="BE194" s="241"/>
      <c r="BF194" s="241"/>
      <c r="BG194" s="241"/>
      <c r="BH194" s="241"/>
      <c r="BI194" s="241"/>
      <c r="BJ194" s="241"/>
      <c r="BK194" s="241"/>
      <c r="BL194" s="241"/>
      <c r="BM194" s="241"/>
    </row>
    <row r="195" spans="1:65" ht="13.5" customHeight="1" x14ac:dyDescent="0.3">
      <c r="A195" s="241"/>
      <c r="B195" s="241"/>
      <c r="C195" s="241"/>
      <c r="D195" s="241"/>
      <c r="E195" s="241"/>
      <c r="F195" s="241"/>
      <c r="G195" s="241"/>
      <c r="H195" s="241"/>
      <c r="I195" s="241"/>
      <c r="J195" s="241"/>
      <c r="K195" s="241"/>
      <c r="L195" s="241"/>
      <c r="M195" s="241"/>
      <c r="N195" s="241"/>
      <c r="O195" s="241"/>
      <c r="P195" s="241"/>
      <c r="Q195" s="241"/>
      <c r="R195" s="241"/>
      <c r="S195" s="241"/>
      <c r="T195" s="241"/>
      <c r="U195" s="241"/>
      <c r="V195" s="241"/>
      <c r="W195" s="241"/>
      <c r="X195" s="241"/>
      <c r="Y195" s="241"/>
      <c r="Z195" s="241"/>
      <c r="AA195" s="241"/>
      <c r="AB195" s="241"/>
      <c r="AC195" s="241"/>
      <c r="AD195" s="241"/>
      <c r="AE195" s="241"/>
      <c r="AF195" s="241"/>
      <c r="AG195" s="241"/>
      <c r="AH195" s="241"/>
      <c r="AI195" s="241"/>
      <c r="AJ195" s="241"/>
      <c r="AK195" s="241"/>
      <c r="AL195" s="241"/>
      <c r="AM195" s="241"/>
      <c r="AN195" s="241"/>
      <c r="AO195" s="241"/>
      <c r="AP195" s="241"/>
      <c r="AQ195" s="241"/>
      <c r="AR195" s="241"/>
      <c r="AS195" s="241"/>
      <c r="AT195" s="241"/>
      <c r="AU195" s="241"/>
      <c r="AV195" s="241"/>
      <c r="AW195" s="241"/>
      <c r="AX195" s="241"/>
      <c r="AY195" s="241"/>
      <c r="AZ195" s="241"/>
      <c r="BA195" s="241"/>
      <c r="BB195" s="241"/>
      <c r="BC195" s="241"/>
      <c r="BD195" s="241"/>
      <c r="BE195" s="241"/>
      <c r="BF195" s="241"/>
      <c r="BG195" s="241"/>
      <c r="BH195" s="241"/>
      <c r="BI195" s="241"/>
      <c r="BJ195" s="241"/>
      <c r="BK195" s="241"/>
      <c r="BL195" s="241"/>
      <c r="BM195" s="241"/>
    </row>
    <row r="196" spans="1:65" ht="13.5" customHeight="1" x14ac:dyDescent="0.3">
      <c r="A196" s="241"/>
      <c r="B196" s="241"/>
      <c r="C196" s="241"/>
      <c r="D196" s="241"/>
      <c r="E196" s="241"/>
      <c r="F196" s="241"/>
      <c r="G196" s="241"/>
      <c r="H196" s="241"/>
      <c r="I196" s="241"/>
      <c r="J196" s="241"/>
      <c r="K196" s="241"/>
      <c r="L196" s="241"/>
      <c r="M196" s="241"/>
      <c r="N196" s="241"/>
      <c r="O196" s="241"/>
      <c r="P196" s="241"/>
      <c r="Q196" s="241"/>
      <c r="R196" s="241"/>
      <c r="S196" s="241"/>
      <c r="T196" s="241"/>
      <c r="U196" s="241"/>
      <c r="V196" s="241"/>
      <c r="W196" s="241"/>
      <c r="X196" s="241"/>
      <c r="Y196" s="241"/>
      <c r="Z196" s="241"/>
      <c r="AA196" s="241"/>
      <c r="AB196" s="241"/>
      <c r="AC196" s="241"/>
      <c r="AD196" s="241"/>
      <c r="AE196" s="241"/>
      <c r="AF196" s="241"/>
      <c r="AG196" s="241"/>
      <c r="AH196" s="241"/>
      <c r="AI196" s="241"/>
      <c r="AJ196" s="241"/>
      <c r="AK196" s="241"/>
      <c r="AL196" s="241"/>
      <c r="AM196" s="241"/>
      <c r="AN196" s="241"/>
      <c r="AO196" s="241"/>
      <c r="AP196" s="241"/>
      <c r="AQ196" s="241"/>
      <c r="AR196" s="241"/>
      <c r="AS196" s="241"/>
      <c r="AT196" s="241"/>
      <c r="AU196" s="241"/>
      <c r="AV196" s="241"/>
      <c r="AW196" s="241"/>
      <c r="AX196" s="241"/>
      <c r="AY196" s="241"/>
      <c r="AZ196" s="241"/>
      <c r="BA196" s="241"/>
      <c r="BB196" s="241"/>
      <c r="BC196" s="241"/>
      <c r="BD196" s="241"/>
      <c r="BE196" s="241"/>
      <c r="BF196" s="241"/>
      <c r="BG196" s="241"/>
      <c r="BH196" s="241"/>
      <c r="BI196" s="241"/>
      <c r="BJ196" s="241"/>
      <c r="BK196" s="241"/>
      <c r="BL196" s="241"/>
      <c r="BM196" s="241"/>
    </row>
    <row r="197" spans="1:65" ht="13.5" customHeight="1" x14ac:dyDescent="0.3">
      <c r="A197" s="241"/>
      <c r="B197" s="241"/>
      <c r="C197" s="241"/>
      <c r="D197" s="241"/>
      <c r="E197" s="241"/>
      <c r="F197" s="241"/>
      <c r="G197" s="241"/>
      <c r="H197" s="241"/>
      <c r="I197" s="241"/>
      <c r="J197" s="241"/>
      <c r="K197" s="241"/>
      <c r="L197" s="241"/>
      <c r="M197" s="241"/>
      <c r="N197" s="241"/>
      <c r="O197" s="241"/>
      <c r="P197" s="241"/>
      <c r="Q197" s="241"/>
      <c r="R197" s="241"/>
      <c r="S197" s="241"/>
      <c r="T197" s="241"/>
      <c r="U197" s="241"/>
      <c r="V197" s="241"/>
      <c r="W197" s="241"/>
      <c r="X197" s="241"/>
      <c r="Y197" s="241"/>
      <c r="Z197" s="241"/>
      <c r="AA197" s="241"/>
      <c r="AB197" s="241"/>
      <c r="AC197" s="241"/>
      <c r="AD197" s="241"/>
      <c r="AE197" s="241"/>
      <c r="AF197" s="241"/>
      <c r="AG197" s="241"/>
      <c r="AH197" s="241"/>
      <c r="AI197" s="241"/>
      <c r="AJ197" s="241"/>
      <c r="AK197" s="241"/>
      <c r="AL197" s="241"/>
      <c r="AM197" s="241"/>
      <c r="AN197" s="241"/>
      <c r="AO197" s="241"/>
      <c r="AP197" s="241"/>
      <c r="AQ197" s="241"/>
      <c r="AR197" s="241"/>
      <c r="AS197" s="241"/>
      <c r="AT197" s="241"/>
      <c r="AU197" s="241"/>
      <c r="AV197" s="241"/>
      <c r="AW197" s="241"/>
      <c r="AX197" s="241"/>
      <c r="AY197" s="241"/>
      <c r="AZ197" s="241"/>
      <c r="BA197" s="241"/>
      <c r="BB197" s="241"/>
      <c r="BC197" s="241"/>
      <c r="BD197" s="241"/>
      <c r="BE197" s="241"/>
      <c r="BF197" s="241"/>
      <c r="BG197" s="241"/>
      <c r="BH197" s="241"/>
      <c r="BI197" s="241"/>
      <c r="BJ197" s="241"/>
      <c r="BK197" s="241"/>
      <c r="BL197" s="241"/>
      <c r="BM197" s="241"/>
    </row>
    <row r="198" spans="1:65" ht="13.5" customHeight="1" x14ac:dyDescent="0.3">
      <c r="A198" s="241"/>
      <c r="B198" s="241"/>
      <c r="C198" s="241"/>
      <c r="D198" s="241"/>
      <c r="E198" s="241"/>
      <c r="F198" s="241"/>
      <c r="G198" s="241"/>
      <c r="H198" s="241"/>
      <c r="I198" s="241"/>
      <c r="J198" s="241"/>
      <c r="K198" s="241"/>
      <c r="L198" s="241"/>
      <c r="M198" s="241"/>
      <c r="N198" s="241"/>
      <c r="O198" s="241"/>
      <c r="P198" s="241"/>
      <c r="Q198" s="241"/>
      <c r="R198" s="241"/>
      <c r="S198" s="241"/>
      <c r="T198" s="241"/>
      <c r="U198" s="241"/>
      <c r="V198" s="241"/>
      <c r="W198" s="241"/>
      <c r="X198" s="241"/>
      <c r="Y198" s="241"/>
      <c r="Z198" s="241"/>
      <c r="AA198" s="241"/>
      <c r="AB198" s="241"/>
      <c r="AC198" s="241"/>
      <c r="AD198" s="241"/>
      <c r="AE198" s="241"/>
      <c r="AF198" s="241"/>
      <c r="AG198" s="241"/>
      <c r="AH198" s="241"/>
      <c r="AI198" s="241"/>
      <c r="AJ198" s="241"/>
      <c r="AK198" s="241"/>
      <c r="AL198" s="241"/>
      <c r="AM198" s="241"/>
      <c r="AN198" s="241"/>
      <c r="AO198" s="241"/>
      <c r="AP198" s="241"/>
      <c r="AQ198" s="241"/>
      <c r="AR198" s="241"/>
      <c r="AS198" s="241"/>
      <c r="AT198" s="241"/>
      <c r="AU198" s="241"/>
      <c r="AV198" s="241"/>
      <c r="AW198" s="241"/>
      <c r="AX198" s="241"/>
      <c r="AY198" s="241"/>
      <c r="AZ198" s="241"/>
      <c r="BA198" s="241"/>
      <c r="BB198" s="241"/>
      <c r="BC198" s="241"/>
      <c r="BD198" s="241"/>
      <c r="BE198" s="241"/>
      <c r="BF198" s="241"/>
      <c r="BG198" s="241"/>
      <c r="BH198" s="241"/>
      <c r="BI198" s="241"/>
      <c r="BJ198" s="241"/>
      <c r="BK198" s="241"/>
      <c r="BL198" s="241"/>
      <c r="BM198" s="241"/>
    </row>
    <row r="199" spans="1:65" ht="13.5" customHeight="1" x14ac:dyDescent="0.3">
      <c r="A199" s="241"/>
      <c r="B199" s="241"/>
      <c r="C199" s="241"/>
      <c r="D199" s="241"/>
      <c r="E199" s="241"/>
      <c r="F199" s="241"/>
      <c r="G199" s="241"/>
      <c r="H199" s="241"/>
      <c r="I199" s="241"/>
      <c r="J199" s="241"/>
      <c r="K199" s="241"/>
      <c r="L199" s="241"/>
      <c r="M199" s="241"/>
      <c r="N199" s="241"/>
      <c r="O199" s="241"/>
      <c r="P199" s="241"/>
      <c r="Q199" s="241"/>
      <c r="R199" s="241"/>
      <c r="S199" s="241"/>
      <c r="T199" s="241"/>
      <c r="U199" s="241"/>
      <c r="V199" s="241"/>
      <c r="W199" s="241"/>
      <c r="X199" s="241"/>
      <c r="Y199" s="241"/>
      <c r="Z199" s="241"/>
      <c r="AA199" s="241"/>
      <c r="AB199" s="241"/>
      <c r="AC199" s="241"/>
      <c r="AD199" s="241"/>
      <c r="AE199" s="241"/>
      <c r="AF199" s="241"/>
      <c r="AG199" s="241"/>
      <c r="AH199" s="241"/>
      <c r="AI199" s="241"/>
      <c r="AJ199" s="241"/>
      <c r="AK199" s="241"/>
      <c r="AL199" s="241"/>
      <c r="AM199" s="241"/>
      <c r="AN199" s="241"/>
      <c r="AO199" s="241"/>
      <c r="AP199" s="241"/>
      <c r="AQ199" s="241"/>
      <c r="AR199" s="241"/>
      <c r="AS199" s="241"/>
      <c r="AT199" s="241"/>
      <c r="AU199" s="241"/>
      <c r="AV199" s="241"/>
      <c r="AW199" s="241"/>
      <c r="AX199" s="241"/>
      <c r="AY199" s="241"/>
      <c r="AZ199" s="241"/>
      <c r="BA199" s="241"/>
      <c r="BB199" s="241"/>
      <c r="BC199" s="241"/>
      <c r="BD199" s="241"/>
      <c r="BE199" s="241"/>
      <c r="BF199" s="241"/>
      <c r="BG199" s="241"/>
      <c r="BH199" s="241"/>
      <c r="BI199" s="241"/>
      <c r="BJ199" s="241"/>
      <c r="BK199" s="241"/>
      <c r="BL199" s="241"/>
      <c r="BM199" s="241"/>
    </row>
    <row r="200" spans="1:65" ht="13.5" customHeight="1" x14ac:dyDescent="0.3">
      <c r="A200" s="241"/>
      <c r="B200" s="241"/>
      <c r="C200" s="241"/>
      <c r="D200" s="241"/>
      <c r="E200" s="241"/>
      <c r="F200" s="241"/>
      <c r="G200" s="241"/>
      <c r="H200" s="241"/>
      <c r="I200" s="241"/>
      <c r="J200" s="241"/>
      <c r="K200" s="241"/>
      <c r="L200" s="241"/>
      <c r="M200" s="241"/>
      <c r="N200" s="241"/>
      <c r="O200" s="241"/>
      <c r="P200" s="241"/>
      <c r="Q200" s="241"/>
      <c r="R200" s="241"/>
      <c r="S200" s="241"/>
      <c r="T200" s="241"/>
      <c r="U200" s="241"/>
      <c r="V200" s="241"/>
      <c r="W200" s="241"/>
      <c r="X200" s="241"/>
      <c r="Y200" s="241"/>
      <c r="Z200" s="241"/>
      <c r="AA200" s="241"/>
      <c r="AB200" s="241"/>
      <c r="AC200" s="241"/>
      <c r="AD200" s="241"/>
      <c r="AE200" s="241"/>
      <c r="AF200" s="241"/>
      <c r="AG200" s="241"/>
      <c r="AH200" s="241"/>
      <c r="AI200" s="241"/>
      <c r="AJ200" s="241"/>
      <c r="AK200" s="241"/>
      <c r="AL200" s="241"/>
      <c r="AM200" s="241"/>
      <c r="AN200" s="241"/>
      <c r="AO200" s="241"/>
      <c r="AP200" s="241"/>
      <c r="AQ200" s="241"/>
      <c r="AR200" s="241"/>
      <c r="AS200" s="241"/>
      <c r="AT200" s="241"/>
      <c r="AU200" s="241"/>
      <c r="AV200" s="241"/>
      <c r="AW200" s="241"/>
      <c r="AX200" s="241"/>
      <c r="AY200" s="241"/>
      <c r="AZ200" s="241"/>
      <c r="BA200" s="241"/>
      <c r="BB200" s="241"/>
      <c r="BC200" s="241"/>
      <c r="BD200" s="241"/>
      <c r="BE200" s="241"/>
      <c r="BF200" s="241"/>
      <c r="BG200" s="241"/>
      <c r="BH200" s="241"/>
      <c r="BI200" s="241"/>
      <c r="BJ200" s="241"/>
      <c r="BK200" s="241"/>
      <c r="BL200" s="241"/>
      <c r="BM200" s="241"/>
    </row>
    <row r="201" spans="1:65" ht="13.5" customHeight="1" x14ac:dyDescent="0.3">
      <c r="A201" s="241"/>
      <c r="B201" s="241"/>
      <c r="C201" s="241"/>
      <c r="D201" s="241"/>
      <c r="E201" s="241"/>
      <c r="F201" s="241"/>
      <c r="G201" s="241"/>
      <c r="H201" s="241"/>
      <c r="I201" s="241"/>
      <c r="J201" s="241"/>
      <c r="K201" s="241"/>
      <c r="L201" s="241"/>
      <c r="M201" s="241"/>
      <c r="N201" s="241"/>
      <c r="O201" s="241"/>
      <c r="P201" s="241"/>
      <c r="Q201" s="241"/>
      <c r="R201" s="241"/>
      <c r="S201" s="241"/>
      <c r="T201" s="241"/>
      <c r="U201" s="241"/>
      <c r="V201" s="241"/>
      <c r="W201" s="241"/>
      <c r="X201" s="241"/>
      <c r="Y201" s="241"/>
      <c r="Z201" s="241"/>
      <c r="AA201" s="241"/>
      <c r="AB201" s="241"/>
      <c r="AC201" s="241"/>
      <c r="AD201" s="241"/>
      <c r="AE201" s="241"/>
      <c r="AF201" s="241"/>
      <c r="AG201" s="241"/>
      <c r="AH201" s="241"/>
      <c r="AI201" s="241"/>
      <c r="AJ201" s="241"/>
      <c r="AK201" s="241"/>
      <c r="AL201" s="241"/>
      <c r="AM201" s="241"/>
      <c r="AN201" s="241"/>
      <c r="AO201" s="241"/>
      <c r="AP201" s="241"/>
      <c r="AQ201" s="241"/>
      <c r="AR201" s="241"/>
      <c r="AS201" s="241"/>
      <c r="AT201" s="241"/>
      <c r="AU201" s="241"/>
      <c r="AV201" s="241"/>
      <c r="AW201" s="241"/>
      <c r="AX201" s="241"/>
      <c r="AY201" s="241"/>
      <c r="AZ201" s="241"/>
      <c r="BA201" s="241"/>
      <c r="BB201" s="241"/>
      <c r="BC201" s="241"/>
      <c r="BD201" s="241"/>
      <c r="BE201" s="241"/>
      <c r="BF201" s="241"/>
      <c r="BG201" s="241"/>
      <c r="BH201" s="241"/>
      <c r="BI201" s="241"/>
      <c r="BJ201" s="241"/>
      <c r="BK201" s="241"/>
      <c r="BL201" s="241"/>
      <c r="BM201" s="241"/>
    </row>
    <row r="202" spans="1:65" ht="13.5" customHeight="1" x14ac:dyDescent="0.3">
      <c r="A202" s="241"/>
      <c r="B202" s="241"/>
      <c r="C202" s="241"/>
      <c r="D202" s="241"/>
      <c r="E202" s="241"/>
      <c r="F202" s="241"/>
      <c r="G202" s="241"/>
      <c r="H202" s="241"/>
      <c r="I202" s="241"/>
      <c r="J202" s="241"/>
      <c r="K202" s="241"/>
      <c r="L202" s="241"/>
      <c r="M202" s="241"/>
      <c r="N202" s="241"/>
      <c r="O202" s="241"/>
      <c r="P202" s="241"/>
      <c r="Q202" s="241"/>
      <c r="R202" s="241"/>
      <c r="S202" s="241"/>
      <c r="T202" s="241"/>
      <c r="U202" s="241"/>
      <c r="V202" s="241"/>
      <c r="W202" s="241"/>
      <c r="X202" s="241"/>
      <c r="Y202" s="241"/>
      <c r="Z202" s="241"/>
      <c r="AA202" s="241"/>
      <c r="AB202" s="241"/>
      <c r="AC202" s="241"/>
      <c r="AD202" s="241"/>
      <c r="AE202" s="241"/>
      <c r="AF202" s="241"/>
      <c r="AG202" s="241"/>
      <c r="AH202" s="241"/>
      <c r="AI202" s="241"/>
      <c r="AJ202" s="241"/>
      <c r="AK202" s="241"/>
      <c r="AL202" s="241"/>
      <c r="AM202" s="241"/>
      <c r="AN202" s="241"/>
      <c r="AO202" s="241"/>
      <c r="AP202" s="241"/>
      <c r="AQ202" s="241"/>
      <c r="AR202" s="241"/>
      <c r="AS202" s="241"/>
      <c r="AT202" s="241"/>
      <c r="AU202" s="241"/>
      <c r="AV202" s="241"/>
      <c r="AW202" s="241"/>
      <c r="AX202" s="241"/>
      <c r="AY202" s="241"/>
      <c r="AZ202" s="241"/>
      <c r="BA202" s="241"/>
      <c r="BB202" s="241"/>
      <c r="BC202" s="241"/>
      <c r="BD202" s="241"/>
      <c r="BE202" s="241"/>
      <c r="BF202" s="241"/>
      <c r="BG202" s="241"/>
      <c r="BH202" s="241"/>
      <c r="BI202" s="241"/>
      <c r="BJ202" s="241"/>
      <c r="BK202" s="241"/>
      <c r="BL202" s="241"/>
      <c r="BM202" s="241"/>
    </row>
    <row r="203" spans="1:65" ht="13.5" customHeight="1" x14ac:dyDescent="0.3">
      <c r="A203" s="241"/>
      <c r="B203" s="241"/>
      <c r="C203" s="241"/>
      <c r="D203" s="241"/>
      <c r="E203" s="241"/>
      <c r="F203" s="241"/>
      <c r="G203" s="241"/>
      <c r="H203" s="241"/>
      <c r="I203" s="241"/>
      <c r="J203" s="241"/>
      <c r="K203" s="241"/>
      <c r="L203" s="241"/>
      <c r="M203" s="241"/>
      <c r="N203" s="241"/>
      <c r="O203" s="241"/>
      <c r="P203" s="241"/>
      <c r="Q203" s="241"/>
      <c r="R203" s="241"/>
      <c r="S203" s="241"/>
      <c r="T203" s="241"/>
      <c r="U203" s="241"/>
      <c r="V203" s="241"/>
      <c r="W203" s="241"/>
      <c r="X203" s="241"/>
      <c r="Y203" s="241"/>
      <c r="Z203" s="241"/>
      <c r="AA203" s="241"/>
      <c r="AB203" s="241"/>
      <c r="AC203" s="241"/>
      <c r="AD203" s="241"/>
      <c r="AE203" s="241"/>
      <c r="AF203" s="241"/>
      <c r="AG203" s="241"/>
      <c r="AH203" s="241"/>
      <c r="AI203" s="241"/>
      <c r="AJ203" s="241"/>
      <c r="AK203" s="241"/>
      <c r="AL203" s="241"/>
      <c r="AM203" s="241"/>
      <c r="AN203" s="241"/>
      <c r="AO203" s="241"/>
      <c r="AP203" s="241"/>
      <c r="AQ203" s="241"/>
      <c r="AR203" s="241"/>
      <c r="AS203" s="241"/>
      <c r="AT203" s="241"/>
      <c r="AU203" s="241"/>
      <c r="AV203" s="241"/>
      <c r="AW203" s="241"/>
      <c r="AX203" s="241"/>
      <c r="AY203" s="241"/>
      <c r="AZ203" s="241"/>
      <c r="BA203" s="241"/>
      <c r="BB203" s="241"/>
      <c r="BC203" s="241"/>
      <c r="BD203" s="241"/>
      <c r="BE203" s="241"/>
      <c r="BF203" s="241"/>
      <c r="BG203" s="241"/>
      <c r="BH203" s="241"/>
      <c r="BI203" s="241"/>
      <c r="BJ203" s="241"/>
      <c r="BK203" s="241"/>
      <c r="BL203" s="241"/>
      <c r="BM203" s="241"/>
    </row>
    <row r="204" spans="1:65" ht="13.5" customHeight="1" x14ac:dyDescent="0.3">
      <c r="A204" s="241"/>
      <c r="B204" s="241"/>
      <c r="C204" s="241"/>
      <c r="D204" s="241"/>
      <c r="E204" s="241"/>
      <c r="F204" s="241"/>
      <c r="G204" s="241"/>
      <c r="H204" s="241"/>
      <c r="I204" s="241"/>
      <c r="J204" s="241"/>
      <c r="K204" s="241"/>
      <c r="L204" s="241"/>
      <c r="M204" s="241"/>
      <c r="N204" s="241"/>
      <c r="O204" s="241"/>
      <c r="P204" s="241"/>
      <c r="Q204" s="241"/>
      <c r="R204" s="241"/>
      <c r="S204" s="241"/>
      <c r="T204" s="241"/>
      <c r="U204" s="241"/>
      <c r="V204" s="241"/>
      <c r="W204" s="241"/>
      <c r="X204" s="241"/>
      <c r="Y204" s="241"/>
      <c r="Z204" s="241"/>
      <c r="AA204" s="241"/>
      <c r="AB204" s="241"/>
      <c r="AC204" s="241"/>
      <c r="AD204" s="241"/>
      <c r="AE204" s="241"/>
      <c r="AF204" s="241"/>
      <c r="AG204" s="241"/>
      <c r="AH204" s="241"/>
      <c r="AI204" s="241"/>
      <c r="AJ204" s="241"/>
      <c r="AK204" s="241"/>
      <c r="AL204" s="241"/>
      <c r="AM204" s="241"/>
      <c r="AN204" s="241"/>
      <c r="AO204" s="241"/>
      <c r="AP204" s="241"/>
      <c r="AQ204" s="241"/>
      <c r="AR204" s="241"/>
      <c r="AS204" s="241"/>
      <c r="AT204" s="241"/>
      <c r="AU204" s="241"/>
      <c r="AV204" s="241"/>
      <c r="AW204" s="241"/>
      <c r="AX204" s="241"/>
      <c r="AY204" s="241"/>
      <c r="AZ204" s="241"/>
      <c r="BA204" s="241"/>
      <c r="BB204" s="241"/>
      <c r="BC204" s="241"/>
      <c r="BD204" s="241"/>
      <c r="BE204" s="241"/>
      <c r="BF204" s="241"/>
      <c r="BG204" s="241"/>
      <c r="BH204" s="241"/>
      <c r="BI204" s="241"/>
      <c r="BJ204" s="241"/>
      <c r="BK204" s="241"/>
      <c r="BL204" s="241"/>
      <c r="BM204" s="241"/>
    </row>
    <row r="205" spans="1:65" ht="13.5" customHeight="1" x14ac:dyDescent="0.3">
      <c r="A205" s="241"/>
      <c r="B205" s="241"/>
      <c r="C205" s="241"/>
      <c r="D205" s="241"/>
      <c r="E205" s="241"/>
      <c r="F205" s="241"/>
      <c r="G205" s="241"/>
      <c r="H205" s="241"/>
      <c r="I205" s="241"/>
      <c r="J205" s="241"/>
      <c r="K205" s="241"/>
      <c r="L205" s="241"/>
      <c r="M205" s="241"/>
      <c r="N205" s="241"/>
      <c r="O205" s="241"/>
      <c r="P205" s="241"/>
      <c r="Q205" s="241"/>
      <c r="R205" s="241"/>
      <c r="S205" s="241"/>
      <c r="T205" s="241"/>
      <c r="U205" s="241"/>
      <c r="V205" s="241"/>
      <c r="W205" s="241"/>
      <c r="X205" s="241"/>
      <c r="Y205" s="241"/>
      <c r="Z205" s="241"/>
      <c r="AA205" s="241"/>
      <c r="AB205" s="241"/>
      <c r="AC205" s="241"/>
      <c r="AD205" s="241"/>
      <c r="AE205" s="241"/>
      <c r="AF205" s="241"/>
      <c r="AG205" s="241"/>
      <c r="AH205" s="241"/>
      <c r="AI205" s="241"/>
      <c r="AJ205" s="241"/>
      <c r="AK205" s="241"/>
      <c r="AL205" s="241"/>
      <c r="AM205" s="241"/>
      <c r="AN205" s="241"/>
      <c r="AO205" s="241"/>
      <c r="AP205" s="241"/>
      <c r="AQ205" s="241"/>
      <c r="AR205" s="241"/>
      <c r="AS205" s="241"/>
      <c r="AT205" s="241"/>
      <c r="AU205" s="241"/>
      <c r="AV205" s="241"/>
      <c r="AW205" s="241"/>
      <c r="AX205" s="241"/>
      <c r="AY205" s="241"/>
      <c r="AZ205" s="241"/>
      <c r="BA205" s="241"/>
      <c r="BB205" s="241"/>
      <c r="BC205" s="241"/>
      <c r="BD205" s="241"/>
      <c r="BE205" s="241"/>
      <c r="BF205" s="241"/>
      <c r="BG205" s="241"/>
      <c r="BH205" s="241"/>
      <c r="BI205" s="241"/>
      <c r="BJ205" s="241"/>
      <c r="BK205" s="241"/>
      <c r="BL205" s="241"/>
      <c r="BM205" s="241"/>
    </row>
    <row r="206" spans="1:65" ht="13.5" customHeight="1" x14ac:dyDescent="0.3">
      <c r="A206" s="241"/>
      <c r="B206" s="241"/>
      <c r="C206" s="241"/>
      <c r="D206" s="241"/>
      <c r="E206" s="241"/>
      <c r="F206" s="241"/>
      <c r="G206" s="241"/>
      <c r="H206" s="241"/>
      <c r="I206" s="241"/>
      <c r="J206" s="241"/>
      <c r="K206" s="241"/>
      <c r="L206" s="241"/>
      <c r="M206" s="241"/>
      <c r="N206" s="241"/>
      <c r="O206" s="241"/>
      <c r="P206" s="241"/>
      <c r="Q206" s="241"/>
      <c r="R206" s="241"/>
      <c r="S206" s="241"/>
      <c r="T206" s="241"/>
      <c r="U206" s="241"/>
      <c r="V206" s="241"/>
      <c r="W206" s="241"/>
      <c r="X206" s="241"/>
      <c r="Y206" s="241"/>
      <c r="Z206" s="241"/>
      <c r="AA206" s="241"/>
      <c r="AB206" s="241"/>
      <c r="AC206" s="241"/>
      <c r="AD206" s="241"/>
      <c r="AE206" s="241"/>
      <c r="AF206" s="241"/>
      <c r="AG206" s="241"/>
      <c r="AH206" s="241"/>
      <c r="AI206" s="241"/>
      <c r="AJ206" s="241"/>
      <c r="AK206" s="241"/>
      <c r="AL206" s="241"/>
      <c r="AM206" s="241"/>
      <c r="AN206" s="241"/>
      <c r="AO206" s="241"/>
      <c r="AP206" s="241"/>
      <c r="AQ206" s="241"/>
      <c r="AR206" s="241"/>
      <c r="AS206" s="241"/>
      <c r="AT206" s="241"/>
      <c r="AU206" s="241"/>
      <c r="AV206" s="241"/>
      <c r="AW206" s="241"/>
      <c r="AX206" s="241"/>
      <c r="AY206" s="241"/>
      <c r="AZ206" s="241"/>
      <c r="BA206" s="241"/>
      <c r="BB206" s="241"/>
      <c r="BC206" s="241"/>
      <c r="BD206" s="241"/>
      <c r="BE206" s="241"/>
      <c r="BF206" s="241"/>
      <c r="BG206" s="241"/>
      <c r="BH206" s="241"/>
      <c r="BI206" s="241"/>
      <c r="BJ206" s="241"/>
      <c r="BK206" s="241"/>
      <c r="BL206" s="241"/>
      <c r="BM206" s="241"/>
    </row>
    <row r="207" spans="1:65" ht="13.5" customHeight="1" x14ac:dyDescent="0.3">
      <c r="A207" s="241"/>
      <c r="B207" s="241"/>
      <c r="C207" s="241"/>
      <c r="D207" s="241"/>
      <c r="E207" s="241"/>
      <c r="F207" s="241"/>
      <c r="G207" s="241"/>
      <c r="H207" s="241"/>
      <c r="I207" s="241"/>
      <c r="J207" s="241"/>
      <c r="K207" s="241"/>
      <c r="L207" s="241"/>
      <c r="M207" s="241"/>
      <c r="N207" s="241"/>
      <c r="O207" s="241"/>
      <c r="P207" s="241"/>
      <c r="Q207" s="241"/>
      <c r="R207" s="241"/>
      <c r="S207" s="241"/>
      <c r="T207" s="241"/>
      <c r="U207" s="241"/>
      <c r="V207" s="241"/>
      <c r="W207" s="241"/>
      <c r="X207" s="241"/>
      <c r="Y207" s="241"/>
      <c r="Z207" s="241"/>
      <c r="AA207" s="241"/>
      <c r="AB207" s="241"/>
      <c r="AC207" s="241"/>
      <c r="AD207" s="241"/>
      <c r="AE207" s="241"/>
      <c r="AF207" s="241"/>
      <c r="AG207" s="241"/>
      <c r="AH207" s="241"/>
      <c r="AI207" s="241"/>
      <c r="AJ207" s="241"/>
      <c r="AK207" s="241"/>
      <c r="AL207" s="241"/>
      <c r="AM207" s="241"/>
      <c r="AN207" s="241"/>
      <c r="AO207" s="241"/>
      <c r="AP207" s="241"/>
      <c r="AQ207" s="241"/>
      <c r="AR207" s="241"/>
      <c r="AS207" s="241"/>
      <c r="AT207" s="241"/>
      <c r="AU207" s="241"/>
      <c r="AV207" s="241"/>
      <c r="AW207" s="241"/>
      <c r="AX207" s="241"/>
      <c r="AY207" s="241"/>
      <c r="AZ207" s="241"/>
      <c r="BA207" s="241"/>
      <c r="BB207" s="241"/>
      <c r="BC207" s="241"/>
      <c r="BD207" s="241"/>
      <c r="BE207" s="241"/>
      <c r="BF207" s="241"/>
      <c r="BG207" s="241"/>
      <c r="BH207" s="241"/>
      <c r="BI207" s="241"/>
      <c r="BJ207" s="241"/>
      <c r="BK207" s="241"/>
      <c r="BL207" s="241"/>
      <c r="BM207" s="241"/>
    </row>
    <row r="208" spans="1:65" ht="13.5" customHeight="1" x14ac:dyDescent="0.3">
      <c r="A208" s="241"/>
      <c r="B208" s="241"/>
      <c r="C208" s="241"/>
      <c r="D208" s="241"/>
      <c r="E208" s="241"/>
      <c r="F208" s="241"/>
      <c r="G208" s="241"/>
      <c r="H208" s="241"/>
      <c r="I208" s="241"/>
      <c r="J208" s="241"/>
      <c r="K208" s="241"/>
      <c r="L208" s="241"/>
      <c r="M208" s="241"/>
      <c r="N208" s="241"/>
      <c r="O208" s="241"/>
      <c r="P208" s="241"/>
      <c r="Q208" s="241"/>
      <c r="R208" s="241"/>
      <c r="S208" s="241"/>
      <c r="T208" s="241"/>
      <c r="U208" s="241"/>
      <c r="V208" s="241"/>
      <c r="W208" s="241"/>
      <c r="X208" s="241"/>
      <c r="Y208" s="241"/>
      <c r="Z208" s="241"/>
      <c r="AA208" s="241"/>
      <c r="AB208" s="241"/>
      <c r="AC208" s="241"/>
      <c r="AD208" s="241"/>
      <c r="AE208" s="241"/>
      <c r="AF208" s="241"/>
      <c r="AG208" s="241"/>
      <c r="AH208" s="241"/>
      <c r="AI208" s="241"/>
      <c r="AJ208" s="241"/>
      <c r="AK208" s="241"/>
      <c r="AL208" s="241"/>
      <c r="AM208" s="241"/>
      <c r="AN208" s="241"/>
      <c r="AO208" s="241"/>
      <c r="AP208" s="241"/>
      <c r="AQ208" s="241"/>
      <c r="AR208" s="241"/>
      <c r="AS208" s="241"/>
      <c r="AT208" s="241"/>
      <c r="AU208" s="241"/>
      <c r="AV208" s="241"/>
      <c r="AW208" s="241"/>
      <c r="AX208" s="241"/>
      <c r="AY208" s="241"/>
      <c r="AZ208" s="241"/>
      <c r="BA208" s="241"/>
      <c r="BB208" s="241"/>
      <c r="BC208" s="241"/>
      <c r="BD208" s="241"/>
      <c r="BE208" s="241"/>
      <c r="BF208" s="241"/>
      <c r="BG208" s="241"/>
      <c r="BH208" s="241"/>
      <c r="BI208" s="241"/>
      <c r="BJ208" s="241"/>
      <c r="BK208" s="241"/>
      <c r="BL208" s="241"/>
      <c r="BM208" s="241"/>
    </row>
    <row r="209" spans="1:65" ht="13.5" customHeight="1" x14ac:dyDescent="0.3">
      <c r="A209" s="241"/>
      <c r="B209" s="241"/>
      <c r="C209" s="241"/>
      <c r="D209" s="241"/>
      <c r="E209" s="241"/>
      <c r="F209" s="241"/>
      <c r="G209" s="241"/>
      <c r="H209" s="241"/>
      <c r="I209" s="241"/>
      <c r="J209" s="241"/>
      <c r="K209" s="241"/>
      <c r="L209" s="241"/>
      <c r="M209" s="241"/>
      <c r="N209" s="241"/>
      <c r="O209" s="241"/>
      <c r="P209" s="241"/>
      <c r="Q209" s="241"/>
      <c r="R209" s="241"/>
      <c r="S209" s="241"/>
      <c r="T209" s="241"/>
      <c r="U209" s="241"/>
      <c r="V209" s="241"/>
      <c r="W209" s="241"/>
      <c r="X209" s="241"/>
      <c r="Y209" s="241"/>
      <c r="Z209" s="241"/>
      <c r="AA209" s="241"/>
      <c r="AB209" s="241"/>
      <c r="AC209" s="241"/>
      <c r="AD209" s="241"/>
      <c r="AE209" s="241"/>
      <c r="AF209" s="241"/>
      <c r="AG209" s="241"/>
      <c r="AH209" s="241"/>
      <c r="AI209" s="241"/>
      <c r="AJ209" s="241"/>
      <c r="AK209" s="241"/>
      <c r="AL209" s="241"/>
      <c r="AM209" s="241"/>
      <c r="AN209" s="241"/>
      <c r="AO209" s="241"/>
      <c r="AP209" s="241"/>
      <c r="AQ209" s="241"/>
      <c r="AR209" s="241"/>
      <c r="AS209" s="241"/>
      <c r="AT209" s="241"/>
      <c r="AU209" s="241"/>
      <c r="AV209" s="241"/>
      <c r="AW209" s="241"/>
      <c r="AX209" s="241"/>
      <c r="AY209" s="241"/>
      <c r="AZ209" s="241"/>
      <c r="BA209" s="241"/>
      <c r="BB209" s="241"/>
      <c r="BC209" s="241"/>
      <c r="BD209" s="241"/>
      <c r="BE209" s="241"/>
      <c r="BF209" s="241"/>
      <c r="BG209" s="241"/>
      <c r="BH209" s="241"/>
      <c r="BI209" s="241"/>
      <c r="BJ209" s="241"/>
      <c r="BK209" s="241"/>
      <c r="BL209" s="241"/>
      <c r="BM209" s="241"/>
    </row>
    <row r="210" spans="1:65" ht="13.5" customHeight="1" x14ac:dyDescent="0.3">
      <c r="A210" s="241"/>
      <c r="B210" s="241"/>
      <c r="C210" s="241"/>
      <c r="D210" s="241"/>
      <c r="E210" s="241"/>
      <c r="F210" s="241"/>
      <c r="G210" s="241"/>
      <c r="H210" s="241"/>
      <c r="I210" s="241"/>
      <c r="J210" s="241"/>
      <c r="K210" s="241"/>
      <c r="L210" s="241"/>
      <c r="M210" s="241"/>
      <c r="N210" s="241"/>
      <c r="O210" s="241"/>
      <c r="P210" s="241"/>
      <c r="Q210" s="241"/>
      <c r="R210" s="241"/>
      <c r="S210" s="241"/>
      <c r="T210" s="241"/>
      <c r="U210" s="241"/>
      <c r="V210" s="241"/>
      <c r="W210" s="241"/>
      <c r="X210" s="241"/>
      <c r="Y210" s="241"/>
      <c r="Z210" s="241"/>
      <c r="AA210" s="241"/>
      <c r="AB210" s="241"/>
      <c r="AC210" s="241"/>
      <c r="AD210" s="241"/>
      <c r="AE210" s="241"/>
      <c r="AF210" s="241"/>
      <c r="AG210" s="241"/>
      <c r="AH210" s="241"/>
      <c r="AI210" s="241"/>
      <c r="AJ210" s="241"/>
      <c r="AK210" s="241"/>
      <c r="AL210" s="241"/>
      <c r="AM210" s="241"/>
      <c r="AN210" s="241"/>
      <c r="AO210" s="241"/>
      <c r="AP210" s="241"/>
      <c r="AQ210" s="241"/>
      <c r="AR210" s="241"/>
      <c r="AS210" s="241"/>
      <c r="AT210" s="241"/>
      <c r="AU210" s="241"/>
      <c r="AV210" s="241"/>
      <c r="AW210" s="241"/>
      <c r="AX210" s="241"/>
      <c r="AY210" s="241"/>
      <c r="AZ210" s="241"/>
      <c r="BA210" s="241"/>
      <c r="BB210" s="241"/>
      <c r="BC210" s="241"/>
      <c r="BD210" s="241"/>
      <c r="BE210" s="241"/>
      <c r="BF210" s="241"/>
      <c r="BG210" s="241"/>
      <c r="BH210" s="241"/>
      <c r="BI210" s="241"/>
      <c r="BJ210" s="241"/>
      <c r="BK210" s="241"/>
      <c r="BL210" s="241"/>
      <c r="BM210" s="241"/>
    </row>
    <row r="211" spans="1:65" ht="13.5" customHeight="1" x14ac:dyDescent="0.3">
      <c r="A211" s="241"/>
      <c r="B211" s="241"/>
      <c r="C211" s="241"/>
      <c r="D211" s="241"/>
      <c r="E211" s="241"/>
      <c r="F211" s="241"/>
      <c r="G211" s="241"/>
      <c r="H211" s="241"/>
      <c r="I211" s="241"/>
      <c r="J211" s="241"/>
      <c r="K211" s="241"/>
      <c r="L211" s="241"/>
      <c r="M211" s="241"/>
      <c r="N211" s="241"/>
      <c r="O211" s="241"/>
      <c r="P211" s="241"/>
      <c r="Q211" s="241"/>
      <c r="R211" s="241"/>
      <c r="S211" s="241"/>
      <c r="T211" s="241"/>
      <c r="U211" s="241"/>
      <c r="V211" s="241"/>
      <c r="W211" s="241"/>
      <c r="X211" s="241"/>
      <c r="Y211" s="241"/>
      <c r="Z211" s="241"/>
      <c r="AA211" s="241"/>
      <c r="AB211" s="241"/>
      <c r="AC211" s="241"/>
      <c r="AD211" s="241"/>
      <c r="AE211" s="241"/>
      <c r="AF211" s="241"/>
      <c r="AG211" s="241"/>
      <c r="AH211" s="241"/>
      <c r="AI211" s="241"/>
      <c r="AJ211" s="241"/>
      <c r="AK211" s="241"/>
      <c r="AL211" s="241"/>
      <c r="AM211" s="241"/>
      <c r="AN211" s="241"/>
      <c r="AO211" s="241"/>
      <c r="AP211" s="241"/>
      <c r="AQ211" s="241"/>
      <c r="AR211" s="241"/>
      <c r="AS211" s="241"/>
      <c r="AT211" s="241"/>
      <c r="AU211" s="241"/>
      <c r="AV211" s="241"/>
      <c r="AW211" s="241"/>
      <c r="AX211" s="241"/>
      <c r="AY211" s="241"/>
      <c r="AZ211" s="241"/>
      <c r="BA211" s="241"/>
      <c r="BB211" s="241"/>
      <c r="BC211" s="241"/>
      <c r="BD211" s="241"/>
      <c r="BE211" s="241"/>
      <c r="BF211" s="241"/>
      <c r="BG211" s="241"/>
      <c r="BH211" s="241"/>
      <c r="BI211" s="241"/>
      <c r="BJ211" s="241"/>
      <c r="BK211" s="241"/>
      <c r="BL211" s="241"/>
      <c r="BM211" s="241"/>
    </row>
    <row r="212" spans="1:65" ht="13.5" customHeight="1" x14ac:dyDescent="0.3">
      <c r="A212" s="241"/>
      <c r="B212" s="241"/>
      <c r="C212" s="241"/>
      <c r="D212" s="241"/>
      <c r="E212" s="241"/>
      <c r="F212" s="241"/>
      <c r="G212" s="241"/>
      <c r="H212" s="241"/>
      <c r="I212" s="241"/>
      <c r="J212" s="241"/>
      <c r="K212" s="241"/>
      <c r="L212" s="241"/>
      <c r="M212" s="241"/>
      <c r="N212" s="241"/>
      <c r="O212" s="241"/>
      <c r="P212" s="241"/>
      <c r="Q212" s="241"/>
      <c r="R212" s="241"/>
      <c r="S212" s="241"/>
      <c r="T212" s="241"/>
      <c r="U212" s="241"/>
      <c r="V212" s="241"/>
      <c r="W212" s="241"/>
      <c r="X212" s="241"/>
      <c r="Y212" s="241"/>
      <c r="Z212" s="241"/>
      <c r="AA212" s="241"/>
      <c r="AB212" s="241"/>
      <c r="AC212" s="241"/>
      <c r="AD212" s="241"/>
      <c r="AE212" s="241"/>
      <c r="AF212" s="241"/>
      <c r="AG212" s="241"/>
      <c r="AH212" s="241"/>
      <c r="AI212" s="241"/>
      <c r="AJ212" s="241"/>
      <c r="AK212" s="241"/>
      <c r="AL212" s="241"/>
      <c r="AM212" s="241"/>
      <c r="AN212" s="241"/>
      <c r="AO212" s="241"/>
      <c r="AP212" s="241"/>
      <c r="AQ212" s="241"/>
      <c r="AR212" s="241"/>
      <c r="AS212" s="241"/>
      <c r="AT212" s="241"/>
      <c r="AU212" s="241"/>
      <c r="AV212" s="241"/>
      <c r="AW212" s="241"/>
      <c r="AX212" s="241"/>
      <c r="AY212" s="241"/>
      <c r="AZ212" s="241"/>
      <c r="BA212" s="241"/>
      <c r="BB212" s="241"/>
      <c r="BC212" s="241"/>
      <c r="BD212" s="241"/>
      <c r="BE212" s="241"/>
      <c r="BF212" s="241"/>
      <c r="BG212" s="241"/>
      <c r="BH212" s="241"/>
      <c r="BI212" s="241"/>
      <c r="BJ212" s="241"/>
      <c r="BK212" s="241"/>
      <c r="BL212" s="241"/>
      <c r="BM212" s="241"/>
    </row>
    <row r="213" spans="1:65" ht="13.5" customHeight="1" x14ac:dyDescent="0.3">
      <c r="A213" s="241"/>
      <c r="B213" s="241"/>
      <c r="C213" s="241"/>
      <c r="D213" s="241"/>
      <c r="E213" s="241"/>
      <c r="F213" s="241"/>
      <c r="G213" s="241"/>
      <c r="H213" s="241"/>
      <c r="I213" s="241"/>
      <c r="J213" s="241"/>
      <c r="K213" s="241"/>
      <c r="L213" s="241"/>
      <c r="M213" s="241"/>
      <c r="N213" s="241"/>
      <c r="O213" s="241"/>
      <c r="P213" s="241"/>
      <c r="Q213" s="241"/>
      <c r="R213" s="241"/>
      <c r="S213" s="241"/>
      <c r="T213" s="241"/>
      <c r="U213" s="241"/>
      <c r="V213" s="241"/>
      <c r="W213" s="241"/>
      <c r="X213" s="241"/>
      <c r="Y213" s="241"/>
      <c r="Z213" s="241"/>
      <c r="AA213" s="241"/>
      <c r="AB213" s="241"/>
      <c r="AC213" s="241"/>
      <c r="AD213" s="241"/>
      <c r="AE213" s="241"/>
      <c r="AF213" s="241"/>
      <c r="AG213" s="241"/>
      <c r="AH213" s="241"/>
      <c r="AI213" s="241"/>
      <c r="AJ213" s="241"/>
      <c r="AK213" s="241"/>
      <c r="AL213" s="241"/>
      <c r="AM213" s="241"/>
      <c r="AN213" s="241"/>
      <c r="AO213" s="241"/>
      <c r="AP213" s="241"/>
      <c r="AQ213" s="241"/>
      <c r="AR213" s="241"/>
      <c r="AS213" s="241"/>
      <c r="AT213" s="241"/>
      <c r="AU213" s="241"/>
      <c r="AV213" s="241"/>
      <c r="AW213" s="241"/>
      <c r="AX213" s="241"/>
      <c r="AY213" s="241"/>
      <c r="AZ213" s="241"/>
      <c r="BA213" s="241"/>
      <c r="BB213" s="241"/>
      <c r="BC213" s="241"/>
      <c r="BD213" s="241"/>
      <c r="BE213" s="241"/>
      <c r="BF213" s="241"/>
      <c r="BG213" s="241"/>
      <c r="BH213" s="241"/>
      <c r="BI213" s="241"/>
      <c r="BJ213" s="241"/>
      <c r="BK213" s="241"/>
      <c r="BL213" s="241"/>
      <c r="BM213" s="241"/>
    </row>
    <row r="214" spans="1:65" ht="13.5" customHeight="1" x14ac:dyDescent="0.3">
      <c r="A214" s="241"/>
      <c r="B214" s="241"/>
      <c r="C214" s="241"/>
      <c r="D214" s="241"/>
      <c r="E214" s="241"/>
      <c r="F214" s="241"/>
      <c r="G214" s="241"/>
      <c r="H214" s="241"/>
      <c r="I214" s="241"/>
      <c r="J214" s="241"/>
      <c r="K214" s="241"/>
      <c r="L214" s="241"/>
      <c r="M214" s="241"/>
      <c r="N214" s="241"/>
      <c r="O214" s="241"/>
      <c r="P214" s="241"/>
      <c r="Q214" s="241"/>
      <c r="R214" s="241"/>
      <c r="S214" s="241"/>
      <c r="T214" s="241"/>
      <c r="U214" s="241"/>
      <c r="V214" s="241"/>
      <c r="W214" s="241"/>
      <c r="X214" s="241"/>
      <c r="Y214" s="241"/>
      <c r="Z214" s="241"/>
      <c r="AA214" s="241"/>
      <c r="AB214" s="241"/>
      <c r="AC214" s="241"/>
      <c r="AD214" s="241"/>
      <c r="AE214" s="241"/>
      <c r="AF214" s="241"/>
      <c r="AG214" s="241"/>
      <c r="AH214" s="241"/>
      <c r="AI214" s="241"/>
      <c r="AJ214" s="241"/>
      <c r="AK214" s="241"/>
      <c r="AL214" s="241"/>
      <c r="AM214" s="241"/>
      <c r="AN214" s="241"/>
      <c r="AO214" s="241"/>
      <c r="AP214" s="241"/>
      <c r="AQ214" s="241"/>
      <c r="AR214" s="241"/>
      <c r="AS214" s="241"/>
      <c r="AT214" s="241"/>
      <c r="AU214" s="241"/>
      <c r="AV214" s="241"/>
      <c r="AW214" s="241"/>
      <c r="AX214" s="241"/>
      <c r="AY214" s="241"/>
      <c r="AZ214" s="241"/>
      <c r="BA214" s="241"/>
      <c r="BB214" s="241"/>
      <c r="BC214" s="241"/>
      <c r="BD214" s="241"/>
      <c r="BE214" s="241"/>
      <c r="BF214" s="241"/>
      <c r="BG214" s="241"/>
      <c r="BH214" s="241"/>
      <c r="BI214" s="241"/>
      <c r="BJ214" s="241"/>
      <c r="BK214" s="241"/>
      <c r="BL214" s="241"/>
      <c r="BM214" s="241"/>
    </row>
    <row r="215" spans="1:65" ht="13.5" customHeight="1" x14ac:dyDescent="0.3">
      <c r="A215" s="241"/>
      <c r="B215" s="241"/>
      <c r="C215" s="241"/>
      <c r="D215" s="241"/>
      <c r="E215" s="241"/>
      <c r="F215" s="241"/>
      <c r="G215" s="241"/>
      <c r="H215" s="241"/>
      <c r="I215" s="241"/>
      <c r="J215" s="241"/>
      <c r="K215" s="241"/>
      <c r="L215" s="241"/>
      <c r="M215" s="241"/>
      <c r="N215" s="241"/>
      <c r="O215" s="241"/>
      <c r="P215" s="241"/>
      <c r="Q215" s="241"/>
      <c r="R215" s="241"/>
      <c r="S215" s="241"/>
      <c r="T215" s="241"/>
      <c r="U215" s="241"/>
      <c r="V215" s="241"/>
      <c r="W215" s="241"/>
      <c r="X215" s="241"/>
      <c r="Y215" s="241"/>
      <c r="Z215" s="241"/>
      <c r="AA215" s="241"/>
      <c r="AB215" s="241"/>
      <c r="AC215" s="241"/>
      <c r="AD215" s="241"/>
      <c r="AE215" s="241"/>
      <c r="AF215" s="241"/>
      <c r="AG215" s="241"/>
      <c r="AH215" s="241"/>
      <c r="AI215" s="241"/>
      <c r="AJ215" s="241"/>
      <c r="AK215" s="241"/>
      <c r="AL215" s="241"/>
      <c r="AM215" s="241"/>
      <c r="AN215" s="241"/>
      <c r="AO215" s="241"/>
      <c r="AP215" s="241"/>
      <c r="AQ215" s="241"/>
      <c r="AR215" s="241"/>
      <c r="AS215" s="241"/>
      <c r="AT215" s="241"/>
      <c r="AU215" s="241"/>
      <c r="AV215" s="241"/>
      <c r="AW215" s="241"/>
      <c r="AX215" s="241"/>
      <c r="AY215" s="241"/>
      <c r="AZ215" s="241"/>
      <c r="BA215" s="241"/>
      <c r="BB215" s="241"/>
      <c r="BC215" s="241"/>
      <c r="BD215" s="241"/>
      <c r="BE215" s="241"/>
      <c r="BF215" s="241"/>
      <c r="BG215" s="241"/>
      <c r="BH215" s="241"/>
      <c r="BI215" s="241"/>
      <c r="BJ215" s="241"/>
      <c r="BK215" s="241"/>
      <c r="BL215" s="241"/>
      <c r="BM215" s="241"/>
    </row>
    <row r="216" spans="1:65" ht="13.5" customHeight="1" x14ac:dyDescent="0.3">
      <c r="A216" s="241"/>
      <c r="B216" s="241"/>
      <c r="C216" s="241"/>
      <c r="D216" s="241"/>
      <c r="E216" s="241"/>
      <c r="F216" s="241"/>
      <c r="G216" s="241"/>
      <c r="H216" s="241"/>
      <c r="I216" s="241"/>
      <c r="J216" s="241"/>
      <c r="K216" s="241"/>
      <c r="L216" s="241"/>
      <c r="M216" s="241"/>
      <c r="N216" s="241"/>
      <c r="O216" s="241"/>
      <c r="P216" s="241"/>
      <c r="Q216" s="241"/>
      <c r="R216" s="241"/>
      <c r="S216" s="241"/>
      <c r="T216" s="241"/>
      <c r="U216" s="241"/>
      <c r="V216" s="241"/>
      <c r="W216" s="241"/>
      <c r="X216" s="241"/>
      <c r="Y216" s="241"/>
      <c r="Z216" s="241"/>
      <c r="AA216" s="241"/>
      <c r="AB216" s="241"/>
      <c r="AC216" s="241"/>
      <c r="AD216" s="241"/>
      <c r="AE216" s="241"/>
      <c r="AF216" s="241"/>
      <c r="AG216" s="241"/>
      <c r="AH216" s="241"/>
      <c r="AI216" s="241"/>
      <c r="AJ216" s="241"/>
      <c r="AK216" s="241"/>
      <c r="AL216" s="241"/>
      <c r="AM216" s="241"/>
      <c r="AN216" s="241"/>
      <c r="AO216" s="241"/>
      <c r="AP216" s="241"/>
      <c r="AQ216" s="241"/>
      <c r="AR216" s="241"/>
      <c r="AS216" s="241"/>
      <c r="AT216" s="241"/>
      <c r="AU216" s="241"/>
      <c r="AV216" s="241"/>
      <c r="AW216" s="241"/>
      <c r="AX216" s="241"/>
      <c r="AY216" s="241"/>
      <c r="AZ216" s="241"/>
      <c r="BA216" s="241"/>
      <c r="BB216" s="241"/>
      <c r="BC216" s="241"/>
      <c r="BD216" s="241"/>
      <c r="BE216" s="241"/>
      <c r="BF216" s="241"/>
      <c r="BG216" s="241"/>
      <c r="BH216" s="241"/>
      <c r="BI216" s="241"/>
      <c r="BJ216" s="241"/>
      <c r="BK216" s="241"/>
      <c r="BL216" s="241"/>
      <c r="BM216" s="241"/>
    </row>
    <row r="217" spans="1:65" ht="13.5" customHeight="1" x14ac:dyDescent="0.3">
      <c r="A217" s="241"/>
      <c r="B217" s="241"/>
      <c r="C217" s="241"/>
      <c r="D217" s="241"/>
      <c r="E217" s="241"/>
      <c r="F217" s="241"/>
      <c r="G217" s="241"/>
      <c r="H217" s="241"/>
      <c r="I217" s="241"/>
      <c r="J217" s="241"/>
      <c r="K217" s="241"/>
      <c r="L217" s="241"/>
      <c r="M217" s="241"/>
      <c r="N217" s="241"/>
      <c r="O217" s="241"/>
      <c r="P217" s="241"/>
      <c r="Q217" s="241"/>
      <c r="R217" s="241"/>
      <c r="S217" s="241"/>
      <c r="T217" s="241"/>
      <c r="U217" s="241"/>
      <c r="V217" s="241"/>
      <c r="W217" s="241"/>
      <c r="X217" s="241"/>
      <c r="Y217" s="241"/>
      <c r="Z217" s="241"/>
      <c r="AA217" s="241"/>
      <c r="AB217" s="241"/>
      <c r="AC217" s="241"/>
      <c r="AD217" s="241"/>
      <c r="AE217" s="241"/>
      <c r="AF217" s="241"/>
      <c r="AG217" s="241"/>
      <c r="AH217" s="241"/>
      <c r="AI217" s="241"/>
      <c r="AJ217" s="241"/>
      <c r="AK217" s="241"/>
      <c r="AL217" s="241"/>
      <c r="AM217" s="241"/>
      <c r="AN217" s="241"/>
      <c r="AO217" s="241"/>
      <c r="AP217" s="241"/>
      <c r="AQ217" s="241"/>
      <c r="AR217" s="241"/>
      <c r="AS217" s="241"/>
      <c r="AT217" s="241"/>
      <c r="AU217" s="241"/>
      <c r="AV217" s="241"/>
      <c r="AW217" s="241"/>
      <c r="AX217" s="241"/>
      <c r="AY217" s="241"/>
      <c r="AZ217" s="241"/>
      <c r="BA217" s="241"/>
      <c r="BB217" s="241"/>
      <c r="BC217" s="241"/>
      <c r="BD217" s="241"/>
      <c r="BE217" s="241"/>
      <c r="BF217" s="241"/>
      <c r="BG217" s="241"/>
      <c r="BH217" s="241"/>
      <c r="BI217" s="241"/>
      <c r="BJ217" s="241"/>
      <c r="BK217" s="241"/>
      <c r="BL217" s="241"/>
      <c r="BM217" s="241"/>
    </row>
    <row r="218" spans="1:65" ht="13.5" customHeight="1" x14ac:dyDescent="0.3">
      <c r="A218" s="241"/>
      <c r="B218" s="241"/>
      <c r="C218" s="241"/>
      <c r="D218" s="241"/>
      <c r="E218" s="241"/>
      <c r="F218" s="241"/>
      <c r="G218" s="241"/>
      <c r="H218" s="241"/>
      <c r="I218" s="241"/>
      <c r="J218" s="241"/>
      <c r="K218" s="241"/>
      <c r="L218" s="241"/>
      <c r="M218" s="241"/>
      <c r="N218" s="241"/>
      <c r="O218" s="241"/>
      <c r="P218" s="241"/>
      <c r="Q218" s="241"/>
      <c r="R218" s="241"/>
      <c r="S218" s="241"/>
      <c r="T218" s="241"/>
      <c r="U218" s="241"/>
      <c r="V218" s="241"/>
      <c r="W218" s="241"/>
      <c r="X218" s="241"/>
      <c r="Y218" s="241"/>
      <c r="Z218" s="241"/>
      <c r="AA218" s="241"/>
      <c r="AB218" s="241"/>
      <c r="AC218" s="241"/>
      <c r="AD218" s="241"/>
      <c r="AE218" s="241"/>
      <c r="AF218" s="241"/>
      <c r="AG218" s="241"/>
      <c r="AH218" s="241"/>
      <c r="AI218" s="241"/>
      <c r="AJ218" s="241"/>
      <c r="AK218" s="241"/>
      <c r="AL218" s="241"/>
      <c r="AM218" s="241"/>
      <c r="AN218" s="241"/>
      <c r="AO218" s="241"/>
      <c r="AP218" s="241"/>
      <c r="AQ218" s="241"/>
      <c r="AR218" s="241"/>
      <c r="AS218" s="241"/>
      <c r="AT218" s="241"/>
      <c r="AU218" s="241"/>
      <c r="AV218" s="241"/>
      <c r="AW218" s="241"/>
      <c r="AX218" s="241"/>
      <c r="AY218" s="241"/>
      <c r="AZ218" s="241"/>
      <c r="BA218" s="241"/>
      <c r="BB218" s="241"/>
      <c r="BC218" s="241"/>
      <c r="BD218" s="241"/>
      <c r="BE218" s="241"/>
      <c r="BF218" s="241"/>
      <c r="BG218" s="241"/>
      <c r="BH218" s="241"/>
      <c r="BI218" s="241"/>
      <c r="BJ218" s="241"/>
      <c r="BK218" s="241"/>
      <c r="BL218" s="241"/>
      <c r="BM218" s="241"/>
    </row>
    <row r="219" spans="1:65" ht="13.5" customHeight="1" x14ac:dyDescent="0.3">
      <c r="A219" s="241"/>
      <c r="B219" s="241"/>
      <c r="C219" s="241"/>
      <c r="D219" s="241"/>
      <c r="E219" s="241"/>
      <c r="F219" s="241"/>
      <c r="G219" s="241"/>
      <c r="H219" s="241"/>
      <c r="I219" s="241"/>
      <c r="J219" s="241"/>
      <c r="K219" s="241"/>
      <c r="L219" s="241"/>
      <c r="M219" s="241"/>
      <c r="N219" s="241"/>
      <c r="O219" s="241"/>
      <c r="P219" s="241"/>
      <c r="Q219" s="241"/>
      <c r="R219" s="241"/>
      <c r="S219" s="241"/>
      <c r="T219" s="241"/>
      <c r="U219" s="241"/>
      <c r="V219" s="241"/>
      <c r="W219" s="241"/>
      <c r="X219" s="241"/>
      <c r="Y219" s="241"/>
      <c r="Z219" s="241"/>
      <c r="AA219" s="241"/>
      <c r="AB219" s="241"/>
      <c r="AC219" s="241"/>
      <c r="AD219" s="241"/>
      <c r="AE219" s="241"/>
      <c r="AF219" s="241"/>
      <c r="AG219" s="241"/>
      <c r="AH219" s="241"/>
      <c r="AI219" s="241"/>
      <c r="AJ219" s="241"/>
      <c r="AK219" s="241"/>
      <c r="AL219" s="241"/>
      <c r="AM219" s="241"/>
      <c r="AN219" s="241"/>
      <c r="AO219" s="241"/>
      <c r="AP219" s="241"/>
      <c r="AQ219" s="241"/>
      <c r="AR219" s="241"/>
      <c r="AS219" s="241"/>
      <c r="AT219" s="241"/>
      <c r="AU219" s="241"/>
      <c r="AV219" s="241"/>
      <c r="AW219" s="241"/>
      <c r="AX219" s="241"/>
      <c r="AY219" s="241"/>
      <c r="AZ219" s="241"/>
      <c r="BA219" s="241"/>
      <c r="BB219" s="241"/>
      <c r="BC219" s="241"/>
      <c r="BD219" s="241"/>
      <c r="BE219" s="241"/>
      <c r="BF219" s="241"/>
      <c r="BG219" s="241"/>
      <c r="BH219" s="241"/>
      <c r="BI219" s="241"/>
      <c r="BJ219" s="241"/>
      <c r="BK219" s="241"/>
      <c r="BL219" s="241"/>
      <c r="BM219" s="241"/>
    </row>
    <row r="220" spans="1:65" ht="13.5" customHeight="1" x14ac:dyDescent="0.3">
      <c r="A220" s="241"/>
      <c r="B220" s="241"/>
      <c r="C220" s="241"/>
      <c r="D220" s="241"/>
      <c r="E220" s="241"/>
      <c r="F220" s="241"/>
      <c r="G220" s="241"/>
      <c r="H220" s="241"/>
      <c r="I220" s="241"/>
      <c r="J220" s="241"/>
      <c r="K220" s="241"/>
      <c r="L220" s="241"/>
      <c r="M220" s="241"/>
      <c r="N220" s="241"/>
      <c r="O220" s="241"/>
      <c r="P220" s="241"/>
      <c r="Q220" s="241"/>
      <c r="R220" s="241"/>
      <c r="S220" s="241"/>
      <c r="T220" s="241"/>
      <c r="U220" s="241"/>
      <c r="V220" s="241"/>
      <c r="W220" s="241"/>
      <c r="X220" s="241"/>
      <c r="Y220" s="241"/>
      <c r="Z220" s="241"/>
      <c r="AA220" s="241"/>
      <c r="AB220" s="241"/>
      <c r="AC220" s="241"/>
      <c r="AD220" s="241"/>
      <c r="AE220" s="241"/>
      <c r="AF220" s="241"/>
      <c r="AG220" s="241"/>
      <c r="AH220" s="241"/>
      <c r="AI220" s="241"/>
      <c r="AJ220" s="241"/>
      <c r="AK220" s="241"/>
      <c r="AL220" s="241"/>
      <c r="AM220" s="241"/>
      <c r="AN220" s="241"/>
      <c r="AO220" s="241"/>
      <c r="AP220" s="241"/>
      <c r="AQ220" s="241"/>
      <c r="AR220" s="241"/>
      <c r="AS220" s="241"/>
      <c r="AT220" s="241"/>
      <c r="AU220" s="241"/>
      <c r="AV220" s="241"/>
      <c r="AW220" s="241"/>
      <c r="AX220" s="241"/>
      <c r="AY220" s="241"/>
      <c r="AZ220" s="241"/>
      <c r="BA220" s="241"/>
      <c r="BB220" s="241"/>
      <c r="BC220" s="241"/>
      <c r="BD220" s="241"/>
      <c r="BE220" s="241"/>
      <c r="BF220" s="241"/>
      <c r="BG220" s="241"/>
      <c r="BH220" s="241"/>
      <c r="BI220" s="241"/>
      <c r="BJ220" s="241"/>
      <c r="BK220" s="241"/>
      <c r="BL220" s="241"/>
      <c r="BM220" s="241"/>
    </row>
    <row r="221" spans="1:65" ht="13.5" customHeight="1" x14ac:dyDescent="0.3">
      <c r="A221" s="241"/>
      <c r="B221" s="241"/>
      <c r="C221" s="241"/>
      <c r="D221" s="241"/>
      <c r="E221" s="241"/>
      <c r="F221" s="241"/>
      <c r="G221" s="241"/>
      <c r="H221" s="241"/>
      <c r="I221" s="241"/>
      <c r="J221" s="241"/>
      <c r="K221" s="241"/>
      <c r="L221" s="241"/>
      <c r="M221" s="241"/>
      <c r="N221" s="241"/>
      <c r="O221" s="241"/>
      <c r="P221" s="241"/>
      <c r="Q221" s="241"/>
      <c r="R221" s="241"/>
      <c r="S221" s="241"/>
      <c r="T221" s="241"/>
      <c r="U221" s="241"/>
      <c r="V221" s="241"/>
      <c r="W221" s="241"/>
      <c r="X221" s="241"/>
      <c r="Y221" s="241"/>
      <c r="Z221" s="241"/>
      <c r="AA221" s="241"/>
      <c r="AB221" s="241"/>
      <c r="AC221" s="241"/>
      <c r="AD221" s="241"/>
      <c r="AE221" s="241"/>
      <c r="AF221" s="241"/>
      <c r="AG221" s="241"/>
      <c r="AH221" s="241"/>
      <c r="AI221" s="241"/>
      <c r="AJ221" s="241"/>
      <c r="AK221" s="241"/>
      <c r="AL221" s="241"/>
      <c r="AM221" s="241"/>
      <c r="AN221" s="241"/>
      <c r="AO221" s="241"/>
      <c r="AP221" s="241"/>
      <c r="AQ221" s="241"/>
      <c r="AR221" s="241"/>
      <c r="AS221" s="241"/>
      <c r="AT221" s="241"/>
      <c r="AU221" s="241"/>
      <c r="AV221" s="241"/>
      <c r="AW221" s="241"/>
      <c r="AX221" s="241"/>
      <c r="AY221" s="241"/>
      <c r="AZ221" s="241"/>
      <c r="BA221" s="241"/>
      <c r="BB221" s="241"/>
      <c r="BC221" s="241"/>
      <c r="BD221" s="241"/>
      <c r="BE221" s="241"/>
      <c r="BF221" s="241"/>
      <c r="BG221" s="241"/>
      <c r="BH221" s="241"/>
      <c r="BI221" s="241"/>
      <c r="BJ221" s="241"/>
      <c r="BK221" s="241"/>
      <c r="BL221" s="241"/>
      <c r="BM221" s="241"/>
    </row>
    <row r="222" spans="1:65" ht="13.5" customHeight="1" x14ac:dyDescent="0.3">
      <c r="A222" s="241"/>
      <c r="B222" s="241"/>
      <c r="C222" s="241"/>
      <c r="D222" s="241"/>
      <c r="E222" s="241"/>
      <c r="F222" s="241"/>
      <c r="G222" s="241"/>
      <c r="H222" s="241"/>
      <c r="I222" s="241"/>
      <c r="J222" s="241"/>
      <c r="K222" s="241"/>
      <c r="L222" s="241"/>
      <c r="M222" s="241"/>
      <c r="N222" s="241"/>
      <c r="O222" s="241"/>
      <c r="P222" s="241"/>
      <c r="Q222" s="241"/>
      <c r="R222" s="241"/>
      <c r="S222" s="241"/>
      <c r="T222" s="241"/>
      <c r="U222" s="241"/>
      <c r="V222" s="241"/>
      <c r="W222" s="241"/>
      <c r="X222" s="241"/>
      <c r="Y222" s="241"/>
      <c r="Z222" s="241"/>
      <c r="AA222" s="241"/>
      <c r="AB222" s="241"/>
      <c r="AC222" s="241"/>
      <c r="AD222" s="241"/>
      <c r="AE222" s="241"/>
      <c r="AF222" s="241"/>
      <c r="AG222" s="241"/>
      <c r="AH222" s="241"/>
      <c r="AI222" s="241"/>
      <c r="AJ222" s="241"/>
      <c r="AK222" s="241"/>
      <c r="AL222" s="241"/>
      <c r="AM222" s="241"/>
      <c r="AN222" s="241"/>
      <c r="AO222" s="241"/>
      <c r="AP222" s="241"/>
      <c r="AQ222" s="241"/>
      <c r="AR222" s="241"/>
      <c r="AS222" s="241"/>
      <c r="AT222" s="241"/>
      <c r="AU222" s="241"/>
      <c r="AV222" s="241"/>
      <c r="AW222" s="241"/>
      <c r="AX222" s="241"/>
      <c r="AY222" s="241"/>
      <c r="AZ222" s="241"/>
      <c r="BA222" s="241"/>
      <c r="BB222" s="241"/>
      <c r="BC222" s="241"/>
      <c r="BD222" s="241"/>
      <c r="BE222" s="241"/>
      <c r="BF222" s="241"/>
      <c r="BG222" s="241"/>
      <c r="BH222" s="241"/>
      <c r="BI222" s="241"/>
      <c r="BJ222" s="241"/>
      <c r="BK222" s="241"/>
      <c r="BL222" s="241"/>
      <c r="BM222" s="241"/>
    </row>
    <row r="223" spans="1:65" ht="13.5" customHeight="1" x14ac:dyDescent="0.3">
      <c r="A223" s="241"/>
      <c r="B223" s="241"/>
      <c r="C223" s="241"/>
      <c r="D223" s="241"/>
      <c r="E223" s="241"/>
      <c r="F223" s="241"/>
      <c r="G223" s="241"/>
      <c r="H223" s="241"/>
      <c r="I223" s="241"/>
      <c r="J223" s="241"/>
      <c r="K223" s="241"/>
      <c r="L223" s="241"/>
      <c r="M223" s="241"/>
      <c r="N223" s="241"/>
      <c r="O223" s="241"/>
      <c r="P223" s="241"/>
      <c r="Q223" s="241"/>
      <c r="R223" s="241"/>
      <c r="S223" s="241"/>
      <c r="T223" s="241"/>
      <c r="U223" s="241"/>
      <c r="V223" s="241"/>
      <c r="W223" s="241"/>
      <c r="X223" s="241"/>
      <c r="Y223" s="241"/>
      <c r="Z223" s="241"/>
      <c r="AA223" s="241"/>
      <c r="AB223" s="241"/>
      <c r="AC223" s="241"/>
      <c r="AD223" s="241"/>
      <c r="AE223" s="241"/>
      <c r="AF223" s="241"/>
      <c r="AG223" s="241"/>
      <c r="AH223" s="241"/>
      <c r="AI223" s="241"/>
      <c r="AJ223" s="241"/>
      <c r="AK223" s="241"/>
      <c r="AL223" s="241"/>
      <c r="AM223" s="241"/>
      <c r="AN223" s="241"/>
      <c r="AO223" s="241"/>
      <c r="AP223" s="241"/>
      <c r="AQ223" s="241"/>
      <c r="AR223" s="241"/>
      <c r="AS223" s="241"/>
      <c r="AT223" s="241"/>
      <c r="AU223" s="241"/>
      <c r="AV223" s="241"/>
      <c r="AW223" s="241"/>
      <c r="AX223" s="241"/>
      <c r="AY223" s="241"/>
      <c r="AZ223" s="241"/>
      <c r="BA223" s="241"/>
      <c r="BB223" s="241"/>
      <c r="BC223" s="241"/>
      <c r="BD223" s="241"/>
      <c r="BE223" s="241"/>
      <c r="BF223" s="241"/>
      <c r="BG223" s="241"/>
      <c r="BH223" s="241"/>
      <c r="BI223" s="241"/>
      <c r="BJ223" s="241"/>
      <c r="BK223" s="241"/>
      <c r="BL223" s="241"/>
      <c r="BM223" s="241"/>
    </row>
    <row r="224" spans="1:65" ht="13.5" customHeight="1" x14ac:dyDescent="0.3">
      <c r="A224" s="241"/>
      <c r="B224" s="241"/>
      <c r="C224" s="241"/>
      <c r="D224" s="241"/>
      <c r="E224" s="241"/>
      <c r="F224" s="241"/>
      <c r="G224" s="241"/>
      <c r="H224" s="241"/>
      <c r="I224" s="241"/>
      <c r="J224" s="241"/>
      <c r="K224" s="241"/>
      <c r="L224" s="241"/>
      <c r="M224" s="241"/>
      <c r="N224" s="241"/>
      <c r="O224" s="241"/>
      <c r="P224" s="241"/>
      <c r="Q224" s="241"/>
      <c r="R224" s="241"/>
      <c r="S224" s="241"/>
      <c r="T224" s="241"/>
      <c r="U224" s="241"/>
      <c r="V224" s="241"/>
      <c r="W224" s="241"/>
      <c r="X224" s="241"/>
      <c r="Y224" s="241"/>
      <c r="Z224" s="241"/>
      <c r="AA224" s="241"/>
      <c r="AB224" s="241"/>
      <c r="AC224" s="241"/>
      <c r="AD224" s="241"/>
      <c r="AE224" s="241"/>
      <c r="AF224" s="241"/>
      <c r="AG224" s="241"/>
      <c r="AH224" s="241"/>
      <c r="AI224" s="241"/>
      <c r="AJ224" s="241"/>
      <c r="AK224" s="241"/>
      <c r="AL224" s="241"/>
      <c r="AM224" s="241"/>
      <c r="AN224" s="241"/>
      <c r="AO224" s="241"/>
      <c r="AP224" s="241"/>
      <c r="AQ224" s="241"/>
      <c r="AR224" s="241"/>
      <c r="AS224" s="241"/>
      <c r="AT224" s="241"/>
      <c r="AU224" s="241"/>
      <c r="AV224" s="241"/>
      <c r="AW224" s="241"/>
      <c r="AX224" s="241"/>
      <c r="AY224" s="241"/>
      <c r="AZ224" s="241"/>
      <c r="BA224" s="241"/>
      <c r="BB224" s="241"/>
      <c r="BC224" s="241"/>
      <c r="BD224" s="241"/>
      <c r="BE224" s="241"/>
      <c r="BF224" s="241"/>
      <c r="BG224" s="241"/>
      <c r="BH224" s="241"/>
      <c r="BI224" s="241"/>
      <c r="BJ224" s="241"/>
      <c r="BK224" s="241"/>
      <c r="BL224" s="241"/>
      <c r="BM224" s="241"/>
    </row>
    <row r="225" spans="1:65" ht="13.5" customHeight="1" x14ac:dyDescent="0.3">
      <c r="A225" s="241"/>
      <c r="B225" s="241"/>
      <c r="C225" s="241"/>
      <c r="D225" s="241"/>
      <c r="E225" s="241"/>
      <c r="F225" s="241"/>
      <c r="G225" s="241"/>
      <c r="H225" s="241"/>
      <c r="I225" s="241"/>
      <c r="J225" s="241"/>
      <c r="K225" s="241"/>
      <c r="L225" s="241"/>
      <c r="M225" s="241"/>
      <c r="N225" s="241"/>
      <c r="O225" s="241"/>
      <c r="P225" s="241"/>
      <c r="Q225" s="241"/>
      <c r="R225" s="241"/>
      <c r="S225" s="241"/>
      <c r="T225" s="241"/>
      <c r="U225" s="241"/>
      <c r="V225" s="241"/>
      <c r="W225" s="241"/>
      <c r="X225" s="241"/>
      <c r="Y225" s="241"/>
      <c r="Z225" s="241"/>
      <c r="AA225" s="241"/>
      <c r="AB225" s="241"/>
      <c r="AC225" s="241"/>
      <c r="AD225" s="241"/>
      <c r="AE225" s="241"/>
      <c r="AF225" s="241"/>
      <c r="AG225" s="241"/>
      <c r="AH225" s="241"/>
      <c r="AI225" s="241"/>
      <c r="AJ225" s="241"/>
      <c r="AK225" s="241"/>
      <c r="AL225" s="241"/>
      <c r="AM225" s="241"/>
      <c r="AN225" s="241"/>
      <c r="AO225" s="241"/>
      <c r="AP225" s="241"/>
      <c r="AQ225" s="241"/>
      <c r="AR225" s="241"/>
      <c r="AS225" s="241"/>
      <c r="AT225" s="241"/>
      <c r="AU225" s="241"/>
      <c r="AV225" s="241"/>
      <c r="AW225" s="241"/>
      <c r="AX225" s="241"/>
      <c r="AY225" s="241"/>
      <c r="AZ225" s="241"/>
      <c r="BA225" s="241"/>
      <c r="BB225" s="241"/>
      <c r="BC225" s="241"/>
      <c r="BD225" s="241"/>
      <c r="BE225" s="241"/>
      <c r="BF225" s="241"/>
      <c r="BG225" s="241"/>
      <c r="BH225" s="241"/>
      <c r="BI225" s="241"/>
      <c r="BJ225" s="241"/>
      <c r="BK225" s="241"/>
      <c r="BL225" s="241"/>
      <c r="BM225" s="241"/>
    </row>
    <row r="226" spans="1:65" ht="13.5" customHeight="1" x14ac:dyDescent="0.3">
      <c r="A226" s="241"/>
      <c r="B226" s="241"/>
      <c r="C226" s="241"/>
      <c r="D226" s="241"/>
      <c r="E226" s="241"/>
      <c r="F226" s="241"/>
      <c r="G226" s="241"/>
      <c r="H226" s="241"/>
      <c r="I226" s="241"/>
      <c r="J226" s="241"/>
      <c r="K226" s="241"/>
      <c r="L226" s="241"/>
      <c r="M226" s="241"/>
      <c r="N226" s="241"/>
      <c r="O226" s="241"/>
      <c r="P226" s="241"/>
      <c r="Q226" s="241"/>
      <c r="R226" s="241"/>
      <c r="S226" s="241"/>
      <c r="T226" s="241"/>
      <c r="U226" s="241"/>
      <c r="V226" s="241"/>
      <c r="W226" s="241"/>
      <c r="X226" s="241"/>
      <c r="Y226" s="241"/>
      <c r="Z226" s="241"/>
      <c r="AA226" s="241"/>
      <c r="AB226" s="241"/>
      <c r="AC226" s="241"/>
      <c r="AD226" s="241"/>
      <c r="AE226" s="241"/>
      <c r="AF226" s="241"/>
      <c r="AG226" s="241"/>
      <c r="AH226" s="241"/>
      <c r="AI226" s="241"/>
      <c r="AJ226" s="241"/>
      <c r="AK226" s="241"/>
      <c r="AL226" s="241"/>
      <c r="AM226" s="241"/>
      <c r="AN226" s="241"/>
      <c r="AO226" s="241"/>
      <c r="AP226" s="241"/>
      <c r="AQ226" s="241"/>
      <c r="AR226" s="241"/>
      <c r="AS226" s="241"/>
      <c r="AT226" s="241"/>
      <c r="AU226" s="241"/>
      <c r="AV226" s="241"/>
      <c r="AW226" s="241"/>
      <c r="AX226" s="241"/>
      <c r="AY226" s="241"/>
      <c r="AZ226" s="241"/>
      <c r="BA226" s="241"/>
      <c r="BB226" s="241"/>
      <c r="BC226" s="241"/>
      <c r="BD226" s="241"/>
      <c r="BE226" s="241"/>
      <c r="BF226" s="241"/>
      <c r="BG226" s="241"/>
      <c r="BH226" s="241"/>
      <c r="BI226" s="241"/>
      <c r="BJ226" s="241"/>
      <c r="BK226" s="241"/>
      <c r="BL226" s="241"/>
      <c r="BM226" s="241"/>
    </row>
    <row r="227" spans="1:65" ht="13.5" customHeight="1" x14ac:dyDescent="0.3">
      <c r="A227" s="241"/>
      <c r="B227" s="241"/>
      <c r="C227" s="241"/>
      <c r="D227" s="241"/>
      <c r="E227" s="241"/>
      <c r="F227" s="241"/>
      <c r="G227" s="241"/>
      <c r="H227" s="241"/>
      <c r="I227" s="241"/>
      <c r="J227" s="241"/>
      <c r="K227" s="241"/>
      <c r="L227" s="241"/>
      <c r="M227" s="241"/>
      <c r="N227" s="241"/>
      <c r="O227" s="241"/>
      <c r="P227" s="241"/>
      <c r="Q227" s="241"/>
      <c r="R227" s="241"/>
      <c r="S227" s="241"/>
      <c r="T227" s="241"/>
      <c r="U227" s="241"/>
      <c r="V227" s="241"/>
      <c r="W227" s="241"/>
      <c r="X227" s="241"/>
      <c r="Y227" s="241"/>
      <c r="Z227" s="241"/>
      <c r="AA227" s="241"/>
      <c r="AB227" s="241"/>
      <c r="AC227" s="241"/>
      <c r="AD227" s="241"/>
      <c r="AE227" s="241"/>
      <c r="AF227" s="241"/>
      <c r="AG227" s="241"/>
      <c r="AH227" s="241"/>
      <c r="AI227" s="241"/>
      <c r="AJ227" s="241"/>
      <c r="AK227" s="241"/>
      <c r="AL227" s="241"/>
      <c r="AM227" s="241"/>
      <c r="AN227" s="241"/>
      <c r="AO227" s="241"/>
      <c r="AP227" s="241"/>
      <c r="AQ227" s="241"/>
      <c r="AR227" s="241"/>
      <c r="AS227" s="241"/>
      <c r="AT227" s="241"/>
      <c r="AU227" s="241"/>
      <c r="AV227" s="241"/>
      <c r="AW227" s="241"/>
      <c r="AX227" s="241"/>
      <c r="AY227" s="241"/>
      <c r="AZ227" s="241"/>
      <c r="BA227" s="241"/>
      <c r="BB227" s="241"/>
      <c r="BC227" s="241"/>
      <c r="BD227" s="241"/>
      <c r="BE227" s="241"/>
      <c r="BF227" s="241"/>
      <c r="BG227" s="241"/>
      <c r="BH227" s="241"/>
      <c r="BI227" s="241"/>
      <c r="BJ227" s="241"/>
      <c r="BK227" s="241"/>
      <c r="BL227" s="241"/>
      <c r="BM227" s="241"/>
    </row>
    <row r="228" spans="1:65" ht="13.5" customHeight="1" x14ac:dyDescent="0.3">
      <c r="A228" s="241"/>
      <c r="B228" s="241"/>
      <c r="C228" s="241"/>
      <c r="D228" s="241"/>
      <c r="E228" s="241"/>
      <c r="F228" s="241"/>
      <c r="G228" s="241"/>
      <c r="H228" s="241"/>
      <c r="I228" s="241"/>
      <c r="J228" s="241"/>
      <c r="K228" s="241"/>
      <c r="L228" s="241"/>
      <c r="M228" s="241"/>
      <c r="N228" s="241"/>
      <c r="O228" s="241"/>
      <c r="P228" s="241"/>
      <c r="Q228" s="241"/>
      <c r="R228" s="241"/>
      <c r="S228" s="241"/>
      <c r="T228" s="241"/>
      <c r="U228" s="241"/>
      <c r="V228" s="241"/>
      <c r="W228" s="241"/>
      <c r="X228" s="241"/>
      <c r="Y228" s="241"/>
      <c r="Z228" s="241"/>
      <c r="AA228" s="241"/>
      <c r="AB228" s="241"/>
      <c r="AC228" s="241"/>
      <c r="AD228" s="241"/>
      <c r="AE228" s="241"/>
      <c r="AF228" s="241"/>
      <c r="AG228" s="241"/>
      <c r="AH228" s="241"/>
      <c r="AI228" s="241"/>
      <c r="AJ228" s="241"/>
      <c r="AK228" s="241"/>
      <c r="AL228" s="241"/>
      <c r="AM228" s="241"/>
      <c r="AN228" s="241"/>
      <c r="AO228" s="241"/>
      <c r="AP228" s="241"/>
      <c r="AQ228" s="241"/>
      <c r="AR228" s="241"/>
      <c r="AS228" s="241"/>
      <c r="AT228" s="241"/>
      <c r="AU228" s="241"/>
      <c r="AV228" s="241"/>
      <c r="AW228" s="241"/>
      <c r="AX228" s="241"/>
      <c r="AY228" s="241"/>
      <c r="AZ228" s="241"/>
      <c r="BA228" s="241"/>
      <c r="BB228" s="241"/>
      <c r="BC228" s="241"/>
      <c r="BD228" s="241"/>
      <c r="BE228" s="241"/>
      <c r="BF228" s="241"/>
      <c r="BG228" s="241"/>
      <c r="BH228" s="241"/>
      <c r="BI228" s="241"/>
      <c r="BJ228" s="241"/>
      <c r="BK228" s="241"/>
      <c r="BL228" s="241"/>
      <c r="BM228" s="241"/>
    </row>
    <row r="229" spans="1:65" ht="13.5" customHeight="1" x14ac:dyDescent="0.3">
      <c r="A229" s="241"/>
      <c r="B229" s="241"/>
      <c r="C229" s="241"/>
      <c r="D229" s="241"/>
      <c r="E229" s="241"/>
      <c r="F229" s="241"/>
      <c r="G229" s="241"/>
      <c r="H229" s="241"/>
      <c r="I229" s="241"/>
      <c r="J229" s="241"/>
      <c r="K229" s="241"/>
      <c r="L229" s="241"/>
      <c r="M229" s="241"/>
      <c r="N229" s="241"/>
      <c r="O229" s="241"/>
      <c r="P229" s="241"/>
      <c r="Q229" s="241"/>
      <c r="R229" s="241"/>
      <c r="S229" s="241"/>
      <c r="T229" s="241"/>
      <c r="U229" s="241"/>
      <c r="V229" s="241"/>
      <c r="W229" s="241"/>
      <c r="X229" s="241"/>
      <c r="Y229" s="241"/>
      <c r="Z229" s="241"/>
      <c r="AA229" s="241"/>
      <c r="AB229" s="241"/>
      <c r="AC229" s="241"/>
      <c r="AD229" s="241"/>
      <c r="AE229" s="241"/>
      <c r="AF229" s="241"/>
      <c r="AG229" s="241"/>
      <c r="AH229" s="241"/>
      <c r="AI229" s="241"/>
      <c r="AJ229" s="241"/>
      <c r="AK229" s="241"/>
      <c r="AL229" s="241"/>
      <c r="AM229" s="241"/>
      <c r="AN229" s="241"/>
      <c r="AO229" s="241"/>
      <c r="AP229" s="241"/>
      <c r="AQ229" s="241"/>
      <c r="AR229" s="241"/>
      <c r="AS229" s="241"/>
      <c r="AT229" s="241"/>
      <c r="AU229" s="241"/>
      <c r="AV229" s="241"/>
      <c r="AW229" s="241"/>
      <c r="AX229" s="241"/>
      <c r="AY229" s="241"/>
      <c r="AZ229" s="241"/>
      <c r="BA229" s="241"/>
      <c r="BB229" s="241"/>
      <c r="BC229" s="241"/>
      <c r="BD229" s="241"/>
      <c r="BE229" s="241"/>
      <c r="BF229" s="241"/>
      <c r="BG229" s="241"/>
      <c r="BH229" s="241"/>
      <c r="BI229" s="241"/>
      <c r="BJ229" s="241"/>
      <c r="BK229" s="241"/>
      <c r="BL229" s="241"/>
      <c r="BM229" s="241"/>
    </row>
    <row r="230" spans="1:65" ht="13.5" customHeight="1" x14ac:dyDescent="0.3">
      <c r="A230" s="241"/>
      <c r="B230" s="241"/>
      <c r="C230" s="241"/>
      <c r="D230" s="241"/>
      <c r="E230" s="241"/>
      <c r="F230" s="241"/>
      <c r="G230" s="241"/>
      <c r="H230" s="241"/>
      <c r="I230" s="241"/>
      <c r="J230" s="241"/>
      <c r="K230" s="241"/>
      <c r="L230" s="241"/>
      <c r="M230" s="241"/>
      <c r="N230" s="241"/>
      <c r="O230" s="241"/>
      <c r="P230" s="241"/>
      <c r="Q230" s="241"/>
      <c r="R230" s="241"/>
      <c r="S230" s="241"/>
      <c r="T230" s="241"/>
      <c r="U230" s="241"/>
      <c r="V230" s="241"/>
      <c r="W230" s="241"/>
      <c r="X230" s="241"/>
      <c r="Y230" s="241"/>
      <c r="Z230" s="241"/>
      <c r="AA230" s="241"/>
      <c r="AB230" s="241"/>
      <c r="AC230" s="241"/>
      <c r="AD230" s="241"/>
      <c r="AE230" s="241"/>
      <c r="AF230" s="241"/>
      <c r="AG230" s="241"/>
      <c r="AH230" s="241"/>
      <c r="AI230" s="241"/>
      <c r="AJ230" s="241"/>
      <c r="AK230" s="241"/>
      <c r="AL230" s="241"/>
      <c r="AM230" s="241"/>
      <c r="AN230" s="241"/>
      <c r="AO230" s="241"/>
      <c r="AP230" s="241"/>
      <c r="AQ230" s="241"/>
      <c r="AR230" s="241"/>
      <c r="AS230" s="241"/>
      <c r="AT230" s="241"/>
      <c r="AU230" s="241"/>
      <c r="AV230" s="241"/>
      <c r="AW230" s="241"/>
      <c r="AX230" s="241"/>
      <c r="AY230" s="241"/>
      <c r="AZ230" s="241"/>
      <c r="BA230" s="241"/>
      <c r="BB230" s="241"/>
      <c r="BC230" s="241"/>
      <c r="BD230" s="241"/>
      <c r="BE230" s="241"/>
      <c r="BF230" s="241"/>
      <c r="BG230" s="241"/>
      <c r="BH230" s="241"/>
      <c r="BI230" s="241"/>
      <c r="BJ230" s="241"/>
      <c r="BK230" s="241"/>
      <c r="BL230" s="241"/>
      <c r="BM230" s="241"/>
    </row>
    <row r="231" spans="1:65" ht="13.5" customHeight="1" x14ac:dyDescent="0.3">
      <c r="A231" s="241"/>
      <c r="B231" s="241"/>
      <c r="C231" s="241"/>
      <c r="D231" s="241"/>
      <c r="E231" s="241"/>
      <c r="F231" s="241"/>
      <c r="G231" s="241"/>
      <c r="H231" s="241"/>
      <c r="I231" s="241"/>
      <c r="J231" s="241"/>
      <c r="K231" s="241"/>
      <c r="L231" s="241"/>
      <c r="M231" s="241"/>
      <c r="N231" s="241"/>
      <c r="O231" s="241"/>
      <c r="P231" s="241"/>
      <c r="Q231" s="241"/>
      <c r="R231" s="241"/>
      <c r="S231" s="241"/>
      <c r="T231" s="241"/>
      <c r="U231" s="241"/>
      <c r="V231" s="241"/>
      <c r="W231" s="241"/>
      <c r="X231" s="241"/>
      <c r="Y231" s="241"/>
      <c r="Z231" s="241"/>
      <c r="AA231" s="241"/>
      <c r="AB231" s="241"/>
      <c r="AC231" s="241"/>
      <c r="AD231" s="241"/>
      <c r="AE231" s="241"/>
      <c r="AF231" s="241"/>
      <c r="AG231" s="241"/>
      <c r="AH231" s="241"/>
      <c r="AI231" s="241"/>
      <c r="AJ231" s="241"/>
      <c r="AK231" s="241"/>
      <c r="AL231" s="241"/>
      <c r="AM231" s="241"/>
      <c r="AN231" s="241"/>
      <c r="AO231" s="241"/>
      <c r="AP231" s="241"/>
      <c r="AQ231" s="241"/>
      <c r="AR231" s="241"/>
      <c r="AS231" s="241"/>
      <c r="AT231" s="241"/>
      <c r="AU231" s="241"/>
      <c r="AV231" s="241"/>
      <c r="AW231" s="241"/>
      <c r="AX231" s="241"/>
      <c r="AY231" s="241"/>
      <c r="AZ231" s="241"/>
      <c r="BA231" s="241"/>
      <c r="BB231" s="241"/>
      <c r="BC231" s="241"/>
      <c r="BD231" s="241"/>
      <c r="BE231" s="241"/>
      <c r="BF231" s="241"/>
      <c r="BG231" s="241"/>
      <c r="BH231" s="241"/>
      <c r="BI231" s="241"/>
      <c r="BJ231" s="241"/>
      <c r="BK231" s="241"/>
      <c r="BL231" s="241"/>
      <c r="BM231" s="241"/>
    </row>
    <row r="232" spans="1:65" ht="13.5" customHeight="1" x14ac:dyDescent="0.3">
      <c r="A232" s="241"/>
      <c r="B232" s="241"/>
      <c r="C232" s="241"/>
      <c r="D232" s="241"/>
      <c r="E232" s="241"/>
      <c r="F232" s="241"/>
      <c r="G232" s="241"/>
      <c r="H232" s="241"/>
      <c r="I232" s="241"/>
      <c r="J232" s="241"/>
      <c r="K232" s="241"/>
      <c r="L232" s="241"/>
      <c r="M232" s="241"/>
      <c r="N232" s="241"/>
      <c r="O232" s="241"/>
      <c r="P232" s="241"/>
      <c r="Q232" s="241"/>
      <c r="R232" s="241"/>
      <c r="S232" s="241"/>
      <c r="T232" s="241"/>
      <c r="U232" s="241"/>
      <c r="V232" s="241"/>
      <c r="W232" s="241"/>
      <c r="X232" s="241"/>
      <c r="Y232" s="241"/>
      <c r="Z232" s="241"/>
      <c r="AA232" s="241"/>
      <c r="AB232" s="241"/>
      <c r="AC232" s="241"/>
      <c r="AD232" s="241"/>
      <c r="AE232" s="241"/>
      <c r="AF232" s="241"/>
      <c r="AG232" s="241"/>
      <c r="AH232" s="241"/>
      <c r="AI232" s="241"/>
      <c r="AJ232" s="241"/>
      <c r="AK232" s="241"/>
      <c r="AL232" s="241"/>
      <c r="AM232" s="241"/>
      <c r="AN232" s="241"/>
      <c r="AO232" s="241"/>
      <c r="AP232" s="241"/>
      <c r="AQ232" s="241"/>
      <c r="AR232" s="241"/>
      <c r="AS232" s="241"/>
      <c r="AT232" s="241"/>
      <c r="AU232" s="241"/>
      <c r="AV232" s="241"/>
      <c r="AW232" s="241"/>
      <c r="AX232" s="241"/>
      <c r="AY232" s="241"/>
      <c r="AZ232" s="241"/>
      <c r="BA232" s="241"/>
      <c r="BB232" s="241"/>
      <c r="BC232" s="241"/>
      <c r="BD232" s="241"/>
      <c r="BE232" s="241"/>
      <c r="BF232" s="241"/>
      <c r="BG232" s="241"/>
      <c r="BH232" s="241"/>
      <c r="BI232" s="241"/>
      <c r="BJ232" s="241"/>
      <c r="BK232" s="241"/>
      <c r="BL232" s="241"/>
      <c r="BM232" s="241"/>
    </row>
    <row r="233" spans="1:65" ht="13.5" customHeight="1" x14ac:dyDescent="0.3">
      <c r="A233" s="241"/>
      <c r="B233" s="241"/>
      <c r="C233" s="241"/>
      <c r="D233" s="241"/>
      <c r="E233" s="241"/>
      <c r="F233" s="241"/>
      <c r="G233" s="241"/>
      <c r="H233" s="241"/>
      <c r="I233" s="241"/>
      <c r="J233" s="241"/>
      <c r="K233" s="241"/>
      <c r="L233" s="241"/>
      <c r="M233" s="241"/>
      <c r="N233" s="241"/>
      <c r="O233" s="241"/>
      <c r="P233" s="241"/>
      <c r="Q233" s="241"/>
      <c r="R233" s="241"/>
      <c r="S233" s="241"/>
      <c r="T233" s="241"/>
      <c r="U233" s="241"/>
      <c r="V233" s="241"/>
      <c r="W233" s="241"/>
      <c r="X233" s="241"/>
      <c r="Y233" s="241"/>
      <c r="Z233" s="241"/>
      <c r="AA233" s="241"/>
      <c r="AB233" s="241"/>
      <c r="AC233" s="241"/>
      <c r="AD233" s="241"/>
      <c r="AE233" s="241"/>
      <c r="AF233" s="241"/>
      <c r="AG233" s="241"/>
      <c r="AH233" s="241"/>
      <c r="AI233" s="241"/>
      <c r="AJ233" s="241"/>
      <c r="AK233" s="241"/>
      <c r="AL233" s="241"/>
      <c r="AM233" s="241"/>
      <c r="AN233" s="241"/>
      <c r="AO233" s="241"/>
      <c r="AP233" s="241"/>
      <c r="AQ233" s="241"/>
      <c r="AR233" s="241"/>
      <c r="AS233" s="241"/>
      <c r="AT233" s="241"/>
      <c r="AU233" s="241"/>
      <c r="AV233" s="241"/>
      <c r="AW233" s="241"/>
      <c r="AX233" s="241"/>
      <c r="AY233" s="241"/>
      <c r="AZ233" s="241"/>
      <c r="BA233" s="241"/>
      <c r="BB233" s="241"/>
      <c r="BC233" s="241"/>
      <c r="BD233" s="241"/>
      <c r="BE233" s="241"/>
      <c r="BF233" s="241"/>
      <c r="BG233" s="241"/>
      <c r="BH233" s="241"/>
      <c r="BI233" s="241"/>
      <c r="BJ233" s="241"/>
      <c r="BK233" s="241"/>
      <c r="BL233" s="241"/>
      <c r="BM233" s="241"/>
    </row>
    <row r="234" spans="1:65" ht="13.5" customHeight="1" x14ac:dyDescent="0.3">
      <c r="A234" s="241"/>
      <c r="B234" s="241"/>
      <c r="C234" s="241"/>
      <c r="D234" s="241"/>
      <c r="E234" s="241"/>
      <c r="F234" s="241"/>
      <c r="G234" s="241"/>
      <c r="H234" s="241"/>
      <c r="I234" s="241"/>
      <c r="J234" s="241"/>
      <c r="K234" s="241"/>
      <c r="L234" s="241"/>
      <c r="M234" s="241"/>
      <c r="N234" s="241"/>
      <c r="O234" s="241"/>
      <c r="P234" s="241"/>
      <c r="Q234" s="241"/>
      <c r="R234" s="241"/>
      <c r="S234" s="241"/>
      <c r="T234" s="241"/>
      <c r="U234" s="241"/>
      <c r="V234" s="241"/>
      <c r="W234" s="241"/>
      <c r="X234" s="241"/>
      <c r="Y234" s="241"/>
      <c r="Z234" s="241"/>
      <c r="AA234" s="241"/>
      <c r="AB234" s="241"/>
      <c r="AC234" s="241"/>
      <c r="AD234" s="241"/>
      <c r="AE234" s="241"/>
      <c r="AF234" s="241"/>
      <c r="AG234" s="241"/>
      <c r="AH234" s="241"/>
      <c r="AI234" s="241"/>
      <c r="AJ234" s="241"/>
      <c r="AK234" s="241"/>
      <c r="AL234" s="241"/>
      <c r="AM234" s="241"/>
      <c r="AN234" s="241"/>
      <c r="AO234" s="241"/>
      <c r="AP234" s="241"/>
      <c r="AQ234" s="241"/>
      <c r="AR234" s="241"/>
      <c r="AS234" s="241"/>
      <c r="AT234" s="241"/>
      <c r="AU234" s="241"/>
      <c r="AV234" s="241"/>
      <c r="AW234" s="241"/>
      <c r="AX234" s="241"/>
      <c r="AY234" s="241"/>
      <c r="AZ234" s="241"/>
      <c r="BA234" s="241"/>
      <c r="BB234" s="241"/>
      <c r="BC234" s="241"/>
      <c r="BD234" s="241"/>
      <c r="BE234" s="241"/>
      <c r="BF234" s="241"/>
      <c r="BG234" s="241"/>
      <c r="BH234" s="241"/>
      <c r="BI234" s="241"/>
      <c r="BJ234" s="241"/>
      <c r="BK234" s="241"/>
      <c r="BL234" s="241"/>
      <c r="BM234" s="241"/>
    </row>
    <row r="235" spans="1:65" ht="13.5" customHeight="1" x14ac:dyDescent="0.3">
      <c r="A235" s="241"/>
      <c r="B235" s="241"/>
      <c r="C235" s="241"/>
      <c r="D235" s="241"/>
      <c r="E235" s="241"/>
      <c r="F235" s="241"/>
      <c r="G235" s="241"/>
      <c r="H235" s="241"/>
      <c r="I235" s="241"/>
      <c r="J235" s="241"/>
      <c r="K235" s="241"/>
      <c r="L235" s="241"/>
      <c r="M235" s="241"/>
      <c r="N235" s="241"/>
      <c r="O235" s="241"/>
      <c r="P235" s="241"/>
      <c r="Q235" s="241"/>
      <c r="R235" s="241"/>
      <c r="S235" s="241"/>
      <c r="T235" s="241"/>
      <c r="U235" s="241"/>
      <c r="V235" s="241"/>
      <c r="W235" s="241"/>
      <c r="X235" s="241"/>
      <c r="Y235" s="241"/>
      <c r="Z235" s="241"/>
      <c r="AA235" s="241"/>
      <c r="AB235" s="241"/>
      <c r="AC235" s="241"/>
      <c r="AD235" s="241"/>
      <c r="AE235" s="241"/>
      <c r="AF235" s="241"/>
      <c r="AG235" s="241"/>
      <c r="AH235" s="241"/>
      <c r="AI235" s="241"/>
      <c r="AJ235" s="241"/>
      <c r="AK235" s="241"/>
      <c r="AL235" s="241"/>
      <c r="AM235" s="241"/>
      <c r="AN235" s="241"/>
      <c r="AO235" s="241"/>
      <c r="AP235" s="241"/>
      <c r="AQ235" s="241"/>
      <c r="AR235" s="241"/>
      <c r="AS235" s="241"/>
      <c r="AT235" s="241"/>
      <c r="AU235" s="241"/>
      <c r="AV235" s="241"/>
      <c r="AW235" s="241"/>
      <c r="AX235" s="241"/>
      <c r="AY235" s="241"/>
      <c r="AZ235" s="241"/>
      <c r="BA235" s="241"/>
      <c r="BB235" s="241"/>
      <c r="BC235" s="241"/>
      <c r="BD235" s="241"/>
      <c r="BE235" s="241"/>
      <c r="BF235" s="241"/>
      <c r="BG235" s="241"/>
      <c r="BH235" s="241"/>
      <c r="BI235" s="241"/>
      <c r="BJ235" s="241"/>
      <c r="BK235" s="241"/>
      <c r="BL235" s="241"/>
      <c r="BM235" s="241"/>
    </row>
    <row r="236" spans="1:65" ht="13.5" customHeight="1" x14ac:dyDescent="0.3">
      <c r="A236" s="241"/>
      <c r="B236" s="241"/>
      <c r="C236" s="241"/>
      <c r="D236" s="241"/>
      <c r="E236" s="241"/>
      <c r="F236" s="241"/>
      <c r="G236" s="241"/>
      <c r="H236" s="241"/>
      <c r="I236" s="241"/>
      <c r="J236" s="241"/>
      <c r="K236" s="241"/>
      <c r="L236" s="241"/>
      <c r="M236" s="241"/>
      <c r="N236" s="241"/>
      <c r="O236" s="241"/>
      <c r="P236" s="241"/>
      <c r="Q236" s="241"/>
      <c r="R236" s="241"/>
      <c r="S236" s="241"/>
      <c r="T236" s="241"/>
      <c r="U236" s="241"/>
      <c r="V236" s="241"/>
      <c r="W236" s="241"/>
      <c r="X236" s="241"/>
      <c r="Y236" s="241"/>
      <c r="Z236" s="241"/>
      <c r="AA236" s="241"/>
      <c r="AB236" s="241"/>
      <c r="AC236" s="241"/>
      <c r="AD236" s="241"/>
      <c r="AE236" s="241"/>
      <c r="AF236" s="241"/>
      <c r="AG236" s="241"/>
      <c r="AH236" s="241"/>
      <c r="AI236" s="241"/>
      <c r="AJ236" s="241"/>
      <c r="AK236" s="241"/>
      <c r="AL236" s="241"/>
      <c r="AM236" s="241"/>
      <c r="AN236" s="241"/>
      <c r="AO236" s="241"/>
      <c r="AP236" s="241"/>
      <c r="AQ236" s="241"/>
      <c r="AR236" s="241"/>
      <c r="AS236" s="241"/>
      <c r="AT236" s="241"/>
      <c r="AU236" s="241"/>
      <c r="AV236" s="241"/>
      <c r="AW236" s="241"/>
      <c r="AX236" s="241"/>
      <c r="AY236" s="241"/>
      <c r="AZ236" s="241"/>
      <c r="BA236" s="241"/>
      <c r="BB236" s="241"/>
      <c r="BC236" s="241"/>
      <c r="BD236" s="241"/>
      <c r="BE236" s="241"/>
      <c r="BF236" s="241"/>
      <c r="BG236" s="241"/>
      <c r="BH236" s="241"/>
      <c r="BI236" s="241"/>
      <c r="BJ236" s="241"/>
      <c r="BK236" s="241"/>
      <c r="BL236" s="241"/>
      <c r="BM236" s="241"/>
    </row>
    <row r="237" spans="1:65" ht="13.5" customHeight="1" x14ac:dyDescent="0.3">
      <c r="A237" s="241"/>
      <c r="B237" s="241"/>
      <c r="C237" s="241"/>
      <c r="D237" s="241"/>
      <c r="E237" s="241"/>
      <c r="F237" s="241"/>
      <c r="G237" s="241"/>
      <c r="H237" s="241"/>
      <c r="I237" s="241"/>
      <c r="J237" s="241"/>
      <c r="K237" s="241"/>
      <c r="L237" s="241"/>
      <c r="M237" s="241"/>
      <c r="N237" s="241"/>
      <c r="O237" s="241"/>
      <c r="P237" s="241"/>
      <c r="Q237" s="241"/>
      <c r="R237" s="241"/>
      <c r="S237" s="241"/>
      <c r="T237" s="241"/>
      <c r="U237" s="241"/>
      <c r="V237" s="241"/>
      <c r="W237" s="241"/>
      <c r="X237" s="241"/>
      <c r="Y237" s="241"/>
      <c r="Z237" s="241"/>
      <c r="AA237" s="241"/>
      <c r="AB237" s="241"/>
      <c r="AC237" s="241"/>
      <c r="AD237" s="241"/>
      <c r="AE237" s="241"/>
      <c r="AF237" s="241"/>
      <c r="AG237" s="241"/>
      <c r="AH237" s="241"/>
      <c r="AI237" s="241"/>
      <c r="AJ237" s="241"/>
      <c r="AK237" s="241"/>
      <c r="AL237" s="241"/>
      <c r="AM237" s="241"/>
      <c r="AN237" s="241"/>
      <c r="AO237" s="241"/>
      <c r="AP237" s="241"/>
      <c r="AQ237" s="241"/>
      <c r="AR237" s="241"/>
      <c r="AS237" s="241"/>
      <c r="AT237" s="241"/>
      <c r="AU237" s="241"/>
      <c r="AV237" s="241"/>
      <c r="AW237" s="241"/>
      <c r="AX237" s="241"/>
      <c r="AY237" s="241"/>
      <c r="AZ237" s="241"/>
      <c r="BA237" s="241"/>
      <c r="BB237" s="241"/>
      <c r="BC237" s="241"/>
      <c r="BD237" s="241"/>
      <c r="BE237" s="241"/>
      <c r="BF237" s="241"/>
      <c r="BG237" s="241"/>
      <c r="BH237" s="241"/>
      <c r="BI237" s="241"/>
      <c r="BJ237" s="241"/>
      <c r="BK237" s="241"/>
      <c r="BL237" s="241"/>
      <c r="BM237" s="241"/>
    </row>
    <row r="238" spans="1:65" ht="13.5" customHeight="1" x14ac:dyDescent="0.3">
      <c r="A238" s="241"/>
      <c r="B238" s="241"/>
      <c r="C238" s="241"/>
      <c r="D238" s="241"/>
      <c r="E238" s="241"/>
      <c r="F238" s="241"/>
      <c r="G238" s="241"/>
      <c r="H238" s="241"/>
      <c r="I238" s="241"/>
      <c r="J238" s="241"/>
      <c r="K238" s="241"/>
      <c r="L238" s="241"/>
      <c r="M238" s="241"/>
      <c r="N238" s="241"/>
      <c r="O238" s="241"/>
      <c r="P238" s="241"/>
      <c r="Q238" s="241"/>
      <c r="R238" s="241"/>
      <c r="S238" s="241"/>
      <c r="T238" s="241"/>
      <c r="U238" s="241"/>
      <c r="V238" s="241"/>
      <c r="W238" s="241"/>
      <c r="X238" s="241"/>
      <c r="Y238" s="241"/>
      <c r="Z238" s="241"/>
      <c r="AA238" s="241"/>
      <c r="AB238" s="241"/>
      <c r="AC238" s="241"/>
      <c r="AD238" s="241"/>
      <c r="AE238" s="241"/>
      <c r="AF238" s="241"/>
      <c r="AG238" s="241"/>
      <c r="AH238" s="241"/>
      <c r="AI238" s="241"/>
      <c r="AJ238" s="241"/>
      <c r="AK238" s="241"/>
      <c r="AL238" s="241"/>
      <c r="AM238" s="241"/>
      <c r="AN238" s="241"/>
      <c r="AO238" s="241"/>
      <c r="AP238" s="241"/>
      <c r="AQ238" s="241"/>
      <c r="AR238" s="241"/>
      <c r="AS238" s="241"/>
      <c r="AT238" s="241"/>
      <c r="AU238" s="241"/>
      <c r="AV238" s="241"/>
      <c r="AW238" s="241"/>
      <c r="AX238" s="241"/>
      <c r="AY238" s="241"/>
      <c r="AZ238" s="241"/>
      <c r="BA238" s="241"/>
      <c r="BB238" s="241"/>
      <c r="BC238" s="241"/>
      <c r="BD238" s="241"/>
      <c r="BE238" s="241"/>
      <c r="BF238" s="241"/>
      <c r="BG238" s="241"/>
      <c r="BH238" s="241"/>
      <c r="BI238" s="241"/>
      <c r="BJ238" s="241"/>
      <c r="BK238" s="241"/>
      <c r="BL238" s="241"/>
      <c r="BM238" s="241"/>
    </row>
    <row r="239" spans="1:65" ht="13.5" customHeight="1" x14ac:dyDescent="0.3">
      <c r="A239" s="241"/>
      <c r="B239" s="241"/>
      <c r="C239" s="241"/>
      <c r="D239" s="241"/>
      <c r="E239" s="241"/>
      <c r="F239" s="241"/>
      <c r="G239" s="241"/>
      <c r="H239" s="241"/>
      <c r="I239" s="241"/>
      <c r="J239" s="241"/>
      <c r="K239" s="241"/>
      <c r="L239" s="241"/>
      <c r="M239" s="241"/>
      <c r="N239" s="241"/>
      <c r="O239" s="241"/>
      <c r="P239" s="241"/>
      <c r="Q239" s="241"/>
      <c r="R239" s="241"/>
      <c r="S239" s="241"/>
      <c r="T239" s="241"/>
      <c r="U239" s="241"/>
      <c r="V239" s="241"/>
      <c r="W239" s="241"/>
      <c r="X239" s="241"/>
      <c r="Y239" s="241"/>
      <c r="Z239" s="241"/>
      <c r="AA239" s="241"/>
      <c r="AB239" s="241"/>
      <c r="AC239" s="241"/>
      <c r="AD239" s="241"/>
      <c r="AE239" s="241"/>
      <c r="AF239" s="241"/>
      <c r="AG239" s="241"/>
      <c r="AH239" s="241"/>
      <c r="AI239" s="241"/>
      <c r="AJ239" s="241"/>
      <c r="AK239" s="241"/>
      <c r="AL239" s="241"/>
      <c r="AM239" s="241"/>
      <c r="AN239" s="241"/>
      <c r="AO239" s="241"/>
      <c r="AP239" s="241"/>
      <c r="AQ239" s="241"/>
      <c r="AR239" s="241"/>
      <c r="AS239" s="241"/>
      <c r="AT239" s="241"/>
      <c r="AU239" s="241"/>
      <c r="AV239" s="241"/>
      <c r="AW239" s="241"/>
      <c r="AX239" s="241"/>
      <c r="AY239" s="241"/>
      <c r="AZ239" s="241"/>
      <c r="BA239" s="241"/>
      <c r="BB239" s="241"/>
      <c r="BC239" s="241"/>
      <c r="BD239" s="241"/>
      <c r="BE239" s="241"/>
      <c r="BF239" s="241"/>
      <c r="BG239" s="241"/>
      <c r="BH239" s="241"/>
      <c r="BI239" s="241"/>
      <c r="BJ239" s="241"/>
      <c r="BK239" s="241"/>
      <c r="BL239" s="241"/>
      <c r="BM239" s="241"/>
    </row>
    <row r="240" spans="1:65" ht="13.5" customHeight="1" x14ac:dyDescent="0.3">
      <c r="A240" s="241"/>
      <c r="B240" s="241"/>
      <c r="C240" s="241"/>
      <c r="D240" s="241"/>
      <c r="E240" s="241"/>
      <c r="F240" s="241"/>
      <c r="G240" s="241"/>
      <c r="H240" s="241"/>
      <c r="I240" s="241"/>
      <c r="J240" s="241"/>
      <c r="K240" s="241"/>
      <c r="L240" s="241"/>
      <c r="M240" s="241"/>
      <c r="N240" s="241"/>
      <c r="O240" s="241"/>
      <c r="P240" s="241"/>
      <c r="Q240" s="241"/>
      <c r="R240" s="241"/>
      <c r="S240" s="241"/>
      <c r="T240" s="241"/>
      <c r="U240" s="241"/>
      <c r="V240" s="241"/>
      <c r="W240" s="241"/>
      <c r="X240" s="241"/>
      <c r="Y240" s="241"/>
      <c r="Z240" s="241"/>
      <c r="AA240" s="241"/>
      <c r="AB240" s="241"/>
      <c r="AC240" s="241"/>
      <c r="AD240" s="241"/>
      <c r="AE240" s="241"/>
      <c r="AF240" s="241"/>
      <c r="AG240" s="241"/>
      <c r="AH240" s="241"/>
      <c r="AI240" s="241"/>
      <c r="AJ240" s="241"/>
      <c r="AK240" s="241"/>
      <c r="AL240" s="241"/>
      <c r="AM240" s="241"/>
      <c r="AN240" s="241"/>
      <c r="AO240" s="241"/>
      <c r="AP240" s="241"/>
      <c r="AQ240" s="241"/>
      <c r="AR240" s="241"/>
      <c r="AS240" s="241"/>
      <c r="AT240" s="241"/>
      <c r="AU240" s="241"/>
      <c r="AV240" s="241"/>
      <c r="AW240" s="241"/>
      <c r="AX240" s="241"/>
      <c r="AY240" s="241"/>
      <c r="AZ240" s="241"/>
      <c r="BA240" s="241"/>
      <c r="BB240" s="241"/>
      <c r="BC240" s="241"/>
      <c r="BD240" s="241"/>
      <c r="BE240" s="241"/>
      <c r="BF240" s="241"/>
      <c r="BG240" s="241"/>
      <c r="BH240" s="241"/>
      <c r="BI240" s="241"/>
      <c r="BJ240" s="241"/>
      <c r="BK240" s="241"/>
      <c r="BL240" s="241"/>
      <c r="BM240" s="241"/>
    </row>
    <row r="241" spans="1:65" ht="13.5" customHeight="1" x14ac:dyDescent="0.3">
      <c r="A241" s="241"/>
      <c r="B241" s="241"/>
      <c r="C241" s="241"/>
      <c r="D241" s="241"/>
      <c r="E241" s="241"/>
      <c r="F241" s="241"/>
      <c r="G241" s="241"/>
      <c r="H241" s="241"/>
      <c r="I241" s="241"/>
      <c r="J241" s="241"/>
      <c r="K241" s="241"/>
      <c r="L241" s="241"/>
      <c r="M241" s="241"/>
      <c r="N241" s="241"/>
      <c r="O241" s="241"/>
      <c r="P241" s="241"/>
      <c r="Q241" s="241"/>
      <c r="R241" s="241"/>
      <c r="S241" s="241"/>
      <c r="T241" s="241"/>
      <c r="U241" s="241"/>
      <c r="V241" s="241"/>
      <c r="W241" s="241"/>
      <c r="X241" s="241"/>
      <c r="Y241" s="241"/>
      <c r="Z241" s="241"/>
      <c r="AA241" s="241"/>
      <c r="AB241" s="241"/>
      <c r="AC241" s="241"/>
      <c r="AD241" s="241"/>
      <c r="AE241" s="241"/>
      <c r="AF241" s="241"/>
      <c r="AG241" s="241"/>
      <c r="AH241" s="241"/>
      <c r="AI241" s="241"/>
      <c r="AJ241" s="241"/>
      <c r="AK241" s="241"/>
      <c r="AL241" s="241"/>
      <c r="AM241" s="241"/>
      <c r="AN241" s="241"/>
      <c r="AO241" s="241"/>
      <c r="AP241" s="241"/>
      <c r="AQ241" s="241"/>
      <c r="AR241" s="241"/>
      <c r="AS241" s="241"/>
      <c r="AT241" s="241"/>
      <c r="AU241" s="241"/>
      <c r="AV241" s="241"/>
      <c r="AW241" s="241"/>
      <c r="AX241" s="241"/>
      <c r="AY241" s="241"/>
      <c r="AZ241" s="241"/>
      <c r="BA241" s="241"/>
      <c r="BB241" s="241"/>
      <c r="BC241" s="241"/>
      <c r="BD241" s="241"/>
      <c r="BE241" s="241"/>
      <c r="BF241" s="241"/>
      <c r="BG241" s="241"/>
      <c r="BH241" s="241"/>
      <c r="BI241" s="241"/>
      <c r="BJ241" s="241"/>
      <c r="BK241" s="241"/>
      <c r="BL241" s="241"/>
      <c r="BM241" s="241"/>
    </row>
    <row r="242" spans="1:65" ht="13.5" customHeight="1" x14ac:dyDescent="0.3">
      <c r="A242" s="241"/>
      <c r="B242" s="241"/>
      <c r="C242" s="241"/>
      <c r="D242" s="241"/>
      <c r="E242" s="241"/>
      <c r="F242" s="241"/>
      <c r="G242" s="241"/>
      <c r="H242" s="241"/>
      <c r="I242" s="241"/>
      <c r="J242" s="241"/>
      <c r="K242" s="241"/>
      <c r="L242" s="241"/>
      <c r="M242" s="241"/>
      <c r="N242" s="241"/>
      <c r="O242" s="241"/>
      <c r="P242" s="241"/>
      <c r="Q242" s="241"/>
      <c r="R242" s="241"/>
      <c r="S242" s="241"/>
      <c r="T242" s="241"/>
      <c r="U242" s="241"/>
      <c r="V242" s="241"/>
      <c r="W242" s="241"/>
      <c r="X242" s="241"/>
      <c r="Y242" s="241"/>
      <c r="Z242" s="241"/>
      <c r="AA242" s="241"/>
      <c r="AB242" s="241"/>
      <c r="AC242" s="241"/>
      <c r="AD242" s="241"/>
      <c r="AE242" s="241"/>
      <c r="AF242" s="241"/>
      <c r="AG242" s="241"/>
      <c r="AH242" s="241"/>
      <c r="AI242" s="241"/>
      <c r="AJ242" s="241"/>
      <c r="AK242" s="241"/>
      <c r="AL242" s="241"/>
      <c r="AM242" s="241"/>
      <c r="AN242" s="241"/>
      <c r="AO242" s="241"/>
      <c r="AP242" s="241"/>
      <c r="AQ242" s="241"/>
      <c r="AR242" s="241"/>
      <c r="AS242" s="241"/>
      <c r="AT242" s="241"/>
      <c r="AU242" s="241"/>
      <c r="AV242" s="241"/>
      <c r="AW242" s="241"/>
      <c r="AX242" s="241"/>
      <c r="AY242" s="241"/>
      <c r="AZ242" s="241"/>
      <c r="BA242" s="241"/>
      <c r="BB242" s="241"/>
      <c r="BC242" s="241"/>
      <c r="BD242" s="241"/>
      <c r="BE242" s="241"/>
      <c r="BF242" s="241"/>
      <c r="BG242" s="241"/>
      <c r="BH242" s="241"/>
      <c r="BI242" s="241"/>
      <c r="BJ242" s="241"/>
      <c r="BK242" s="241"/>
      <c r="BL242" s="241"/>
      <c r="BM242" s="241"/>
    </row>
    <row r="243" spans="1:65" ht="13.5" customHeight="1" x14ac:dyDescent="0.3">
      <c r="A243" s="241"/>
      <c r="B243" s="241"/>
      <c r="C243" s="241"/>
      <c r="D243" s="241"/>
      <c r="E243" s="241"/>
      <c r="F243" s="241"/>
      <c r="G243" s="241"/>
      <c r="H243" s="241"/>
      <c r="I243" s="241"/>
      <c r="J243" s="241"/>
      <c r="K243" s="241"/>
      <c r="L243" s="241"/>
      <c r="M243" s="241"/>
      <c r="N243" s="241"/>
      <c r="O243" s="241"/>
      <c r="P243" s="241"/>
      <c r="Q243" s="241"/>
      <c r="R243" s="241"/>
      <c r="S243" s="241"/>
      <c r="T243" s="241"/>
      <c r="U243" s="241"/>
      <c r="V243" s="241"/>
      <c r="W243" s="241"/>
      <c r="X243" s="241"/>
      <c r="Y243" s="241"/>
      <c r="Z243" s="241"/>
      <c r="AA243" s="241"/>
      <c r="AB243" s="241"/>
      <c r="AC243" s="241"/>
      <c r="AD243" s="241"/>
      <c r="AE243" s="241"/>
      <c r="AF243" s="241"/>
      <c r="AG243" s="241"/>
      <c r="AH243" s="241"/>
      <c r="AI243" s="241"/>
      <c r="AJ243" s="241"/>
      <c r="AK243" s="241"/>
      <c r="AL243" s="241"/>
      <c r="AM243" s="241"/>
      <c r="AN243" s="241"/>
      <c r="AO243" s="241"/>
      <c r="AP243" s="241"/>
      <c r="AQ243" s="241"/>
      <c r="AR243" s="241"/>
      <c r="AS243" s="241"/>
      <c r="AT243" s="241"/>
      <c r="AU243" s="241"/>
      <c r="AV243" s="241"/>
      <c r="AW243" s="241"/>
      <c r="AX243" s="241"/>
      <c r="AY243" s="241"/>
      <c r="AZ243" s="241"/>
      <c r="BA243" s="241"/>
      <c r="BB243" s="241"/>
      <c r="BC243" s="241"/>
      <c r="BD243" s="241"/>
      <c r="BE243" s="241"/>
      <c r="BF243" s="241"/>
      <c r="BG243" s="241"/>
      <c r="BH243" s="241"/>
      <c r="BI243" s="241"/>
      <c r="BJ243" s="241"/>
      <c r="BK243" s="241"/>
      <c r="BL243" s="241"/>
      <c r="BM243" s="241"/>
    </row>
    <row r="244" spans="1:65" ht="13.5" customHeight="1" x14ac:dyDescent="0.3">
      <c r="A244" s="241"/>
      <c r="B244" s="241"/>
      <c r="C244" s="241"/>
      <c r="D244" s="241"/>
      <c r="E244" s="241"/>
      <c r="F244" s="241"/>
      <c r="G244" s="241"/>
      <c r="H244" s="241"/>
      <c r="I244" s="241"/>
      <c r="J244" s="241"/>
      <c r="K244" s="241"/>
      <c r="L244" s="241"/>
      <c r="M244" s="241"/>
      <c r="N244" s="241"/>
      <c r="O244" s="241"/>
      <c r="P244" s="241"/>
      <c r="Q244" s="241"/>
      <c r="R244" s="241"/>
      <c r="S244" s="241"/>
      <c r="T244" s="241"/>
      <c r="U244" s="241"/>
      <c r="V244" s="241"/>
      <c r="W244" s="241"/>
      <c r="X244" s="241"/>
      <c r="Y244" s="241"/>
      <c r="Z244" s="241"/>
      <c r="AA244" s="241"/>
      <c r="AB244" s="241"/>
      <c r="AC244" s="241"/>
      <c r="AD244" s="241"/>
      <c r="AE244" s="241"/>
      <c r="AF244" s="241"/>
      <c r="AG244" s="241"/>
      <c r="AH244" s="241"/>
      <c r="AI244" s="241"/>
      <c r="AJ244" s="241"/>
      <c r="AK244" s="241"/>
      <c r="AL244" s="241"/>
      <c r="AM244" s="241"/>
      <c r="AN244" s="241"/>
      <c r="AO244" s="241"/>
      <c r="AP244" s="241"/>
      <c r="AQ244" s="241"/>
      <c r="AR244" s="241"/>
      <c r="AS244" s="241"/>
      <c r="AT244" s="241"/>
      <c r="AU244" s="241"/>
      <c r="AV244" s="241"/>
      <c r="AW244" s="241"/>
      <c r="AX244" s="241"/>
      <c r="AY244" s="241"/>
      <c r="AZ244" s="241"/>
      <c r="BA244" s="241"/>
      <c r="BB244" s="241"/>
      <c r="BC244" s="241"/>
      <c r="BD244" s="241"/>
      <c r="BE244" s="241"/>
      <c r="BF244" s="241"/>
      <c r="BG244" s="241"/>
      <c r="BH244" s="241"/>
      <c r="BI244" s="241"/>
      <c r="BJ244" s="241"/>
      <c r="BK244" s="241"/>
      <c r="BL244" s="241"/>
      <c r="BM244" s="241"/>
    </row>
    <row r="245" spans="1:65" ht="13.5" customHeight="1" x14ac:dyDescent="0.3">
      <c r="A245" s="241"/>
      <c r="B245" s="241"/>
      <c r="C245" s="241"/>
      <c r="D245" s="241"/>
      <c r="E245" s="241"/>
      <c r="F245" s="241"/>
      <c r="G245" s="241"/>
      <c r="H245" s="241"/>
      <c r="I245" s="241"/>
      <c r="J245" s="241"/>
      <c r="K245" s="241"/>
      <c r="L245" s="241"/>
      <c r="M245" s="241"/>
      <c r="N245" s="241"/>
      <c r="O245" s="241"/>
      <c r="P245" s="241"/>
      <c r="Q245" s="241"/>
      <c r="R245" s="241"/>
      <c r="S245" s="241"/>
      <c r="T245" s="241"/>
      <c r="U245" s="241"/>
      <c r="V245" s="241"/>
      <c r="W245" s="241"/>
      <c r="X245" s="241"/>
      <c r="Y245" s="241"/>
      <c r="Z245" s="241"/>
      <c r="AA245" s="241"/>
      <c r="AB245" s="241"/>
      <c r="AC245" s="241"/>
      <c r="AD245" s="241"/>
      <c r="AE245" s="241"/>
      <c r="AF245" s="241"/>
      <c r="AG245" s="241"/>
      <c r="AH245" s="241"/>
      <c r="AI245" s="241"/>
      <c r="AJ245" s="241"/>
      <c r="AK245" s="241"/>
      <c r="AL245" s="241"/>
      <c r="AM245" s="241"/>
      <c r="AN245" s="241"/>
      <c r="AO245" s="241"/>
      <c r="AP245" s="241"/>
      <c r="AQ245" s="241"/>
      <c r="AR245" s="241"/>
      <c r="AS245" s="241"/>
      <c r="AT245" s="241"/>
      <c r="AU245" s="241"/>
      <c r="AV245" s="241"/>
      <c r="AW245" s="241"/>
      <c r="AX245" s="241"/>
      <c r="AY245" s="241"/>
      <c r="AZ245" s="241"/>
      <c r="BA245" s="241"/>
      <c r="BB245" s="241"/>
      <c r="BC245" s="241"/>
      <c r="BD245" s="241"/>
      <c r="BE245" s="241"/>
      <c r="BF245" s="241"/>
      <c r="BG245" s="241"/>
      <c r="BH245" s="241"/>
      <c r="BI245" s="241"/>
      <c r="BJ245" s="241"/>
      <c r="BK245" s="241"/>
      <c r="BL245" s="241"/>
      <c r="BM245" s="241"/>
    </row>
    <row r="246" spans="1:65" ht="13.5" customHeight="1" x14ac:dyDescent="0.3">
      <c r="A246" s="241"/>
      <c r="B246" s="241"/>
      <c r="C246" s="241"/>
      <c r="D246" s="241"/>
      <c r="E246" s="241"/>
      <c r="F246" s="241"/>
      <c r="G246" s="241"/>
      <c r="H246" s="241"/>
      <c r="I246" s="241"/>
      <c r="J246" s="241"/>
      <c r="K246" s="241"/>
      <c r="L246" s="241"/>
      <c r="M246" s="241"/>
      <c r="N246" s="241"/>
      <c r="O246" s="241"/>
      <c r="P246" s="241"/>
      <c r="Q246" s="241"/>
      <c r="R246" s="241"/>
      <c r="S246" s="241"/>
      <c r="T246" s="241"/>
      <c r="U246" s="241"/>
      <c r="V246" s="241"/>
      <c r="W246" s="241"/>
      <c r="X246" s="241"/>
      <c r="Y246" s="241"/>
      <c r="Z246" s="241"/>
      <c r="AA246" s="241"/>
      <c r="AB246" s="241"/>
      <c r="AC246" s="241"/>
      <c r="AD246" s="241"/>
      <c r="AE246" s="241"/>
      <c r="AF246" s="241"/>
      <c r="AG246" s="241"/>
      <c r="AH246" s="241"/>
      <c r="AI246" s="241"/>
      <c r="AJ246" s="241"/>
      <c r="AK246" s="241"/>
      <c r="AL246" s="241"/>
      <c r="AM246" s="241"/>
      <c r="AN246" s="241"/>
      <c r="AO246" s="241"/>
      <c r="AP246" s="241"/>
      <c r="AQ246" s="241"/>
      <c r="AR246" s="241"/>
      <c r="AS246" s="241"/>
      <c r="AT246" s="241"/>
      <c r="AU246" s="241"/>
      <c r="AV246" s="241"/>
      <c r="AW246" s="241"/>
      <c r="AX246" s="241"/>
      <c r="AY246" s="241"/>
      <c r="AZ246" s="241"/>
      <c r="BA246" s="241"/>
      <c r="BB246" s="241"/>
      <c r="BC246" s="241"/>
      <c r="BD246" s="241"/>
      <c r="BE246" s="241"/>
      <c r="BF246" s="241"/>
      <c r="BG246" s="241"/>
      <c r="BH246" s="241"/>
      <c r="BI246" s="241"/>
      <c r="BJ246" s="241"/>
      <c r="BK246" s="241"/>
      <c r="BL246" s="241"/>
      <c r="BM246" s="241"/>
    </row>
    <row r="247" spans="1:65" ht="13.5" customHeight="1" x14ac:dyDescent="0.3">
      <c r="A247" s="241"/>
      <c r="B247" s="241"/>
      <c r="C247" s="241"/>
      <c r="D247" s="241"/>
      <c r="E247" s="241"/>
      <c r="F247" s="241"/>
      <c r="G247" s="241"/>
      <c r="H247" s="241"/>
      <c r="I247" s="241"/>
      <c r="J247" s="241"/>
      <c r="K247" s="241"/>
      <c r="L247" s="241"/>
      <c r="M247" s="241"/>
      <c r="N247" s="241"/>
      <c r="O247" s="241"/>
      <c r="P247" s="241"/>
      <c r="Q247" s="241"/>
      <c r="R247" s="241"/>
      <c r="S247" s="241"/>
      <c r="T247" s="241"/>
      <c r="U247" s="241"/>
      <c r="V247" s="241"/>
      <c r="W247" s="241"/>
      <c r="X247" s="241"/>
      <c r="Y247" s="241"/>
      <c r="Z247" s="241"/>
      <c r="AA247" s="241"/>
      <c r="AB247" s="241"/>
      <c r="AC247" s="241"/>
      <c r="AD247" s="241"/>
      <c r="AE247" s="241"/>
      <c r="AF247" s="241"/>
      <c r="AG247" s="241"/>
      <c r="AH247" s="241"/>
      <c r="AI247" s="241"/>
      <c r="AJ247" s="241"/>
      <c r="AK247" s="241"/>
      <c r="AL247" s="241"/>
      <c r="AM247" s="241"/>
      <c r="AN247" s="241"/>
      <c r="AO247" s="241"/>
      <c r="AP247" s="241"/>
      <c r="AQ247" s="241"/>
      <c r="AR247" s="241"/>
      <c r="AS247" s="241"/>
      <c r="AT247" s="241"/>
      <c r="AU247" s="241"/>
      <c r="AV247" s="241"/>
      <c r="AW247" s="241"/>
      <c r="AX247" s="241"/>
      <c r="AY247" s="241"/>
      <c r="AZ247" s="241"/>
      <c r="BA247" s="241"/>
      <c r="BB247" s="241"/>
      <c r="BC247" s="241"/>
      <c r="BD247" s="241"/>
      <c r="BE247" s="241"/>
      <c r="BF247" s="241"/>
      <c r="BG247" s="241"/>
      <c r="BH247" s="241"/>
      <c r="BI247" s="241"/>
      <c r="BJ247" s="241"/>
      <c r="BK247" s="241"/>
      <c r="BL247" s="241"/>
      <c r="BM247" s="241"/>
    </row>
    <row r="248" spans="1:65" ht="13.5" customHeight="1" x14ac:dyDescent="0.3">
      <c r="A248" s="241"/>
      <c r="B248" s="241"/>
      <c r="C248" s="241"/>
      <c r="D248" s="241"/>
      <c r="E248" s="241"/>
      <c r="F248" s="241"/>
      <c r="G248" s="241"/>
      <c r="H248" s="241"/>
      <c r="I248" s="241"/>
      <c r="J248" s="241"/>
      <c r="K248" s="241"/>
      <c r="L248" s="241"/>
      <c r="M248" s="241"/>
      <c r="N248" s="241"/>
      <c r="O248" s="241"/>
      <c r="P248" s="241"/>
      <c r="Q248" s="241"/>
      <c r="R248" s="241"/>
      <c r="S248" s="241"/>
      <c r="T248" s="241"/>
      <c r="U248" s="241"/>
      <c r="V248" s="241"/>
      <c r="W248" s="241"/>
      <c r="X248" s="241"/>
      <c r="Y248" s="241"/>
      <c r="Z248" s="241"/>
      <c r="AA248" s="241"/>
      <c r="AB248" s="241"/>
      <c r="AC248" s="241"/>
      <c r="AD248" s="241"/>
      <c r="AE248" s="241"/>
      <c r="AF248" s="241"/>
      <c r="AG248" s="241"/>
      <c r="AH248" s="241"/>
      <c r="AI248" s="241"/>
      <c r="AJ248" s="241"/>
      <c r="AK248" s="241"/>
      <c r="AL248" s="241"/>
      <c r="AM248" s="241"/>
      <c r="AN248" s="241"/>
      <c r="AO248" s="241"/>
      <c r="AP248" s="241"/>
      <c r="AQ248" s="241"/>
      <c r="AR248" s="241"/>
      <c r="AS248" s="241"/>
      <c r="AT248" s="241"/>
      <c r="AU248" s="241"/>
      <c r="AV248" s="241"/>
      <c r="AW248" s="241"/>
      <c r="AX248" s="241"/>
      <c r="AY248" s="241"/>
      <c r="AZ248" s="241"/>
      <c r="BA248" s="241"/>
      <c r="BB248" s="241"/>
      <c r="BC248" s="241"/>
      <c r="BD248" s="241"/>
      <c r="BE248" s="241"/>
      <c r="BF248" s="241"/>
      <c r="BG248" s="241"/>
      <c r="BH248" s="241"/>
      <c r="BI248" s="241"/>
      <c r="BJ248" s="241"/>
      <c r="BK248" s="241"/>
      <c r="BL248" s="241"/>
      <c r="BM248" s="241"/>
    </row>
    <row r="249" spans="1:65" ht="13.5" customHeight="1" x14ac:dyDescent="0.3">
      <c r="A249" s="241"/>
      <c r="B249" s="241"/>
      <c r="C249" s="241"/>
      <c r="D249" s="241"/>
      <c r="E249" s="241"/>
      <c r="F249" s="241"/>
      <c r="G249" s="241"/>
      <c r="H249" s="241"/>
      <c r="I249" s="241"/>
      <c r="J249" s="241"/>
      <c r="K249" s="241"/>
      <c r="L249" s="241"/>
      <c r="M249" s="241"/>
      <c r="N249" s="241"/>
      <c r="O249" s="241"/>
      <c r="P249" s="241"/>
      <c r="Q249" s="241"/>
      <c r="R249" s="241"/>
      <c r="S249" s="241"/>
      <c r="T249" s="241"/>
      <c r="U249" s="241"/>
      <c r="V249" s="241"/>
      <c r="W249" s="241"/>
      <c r="X249" s="241"/>
      <c r="Y249" s="241"/>
      <c r="Z249" s="241"/>
      <c r="AA249" s="241"/>
      <c r="AB249" s="241"/>
      <c r="AC249" s="241"/>
      <c r="AD249" s="241"/>
      <c r="AE249" s="241"/>
      <c r="AF249" s="241"/>
      <c r="AG249" s="241"/>
      <c r="AH249" s="241"/>
      <c r="AI249" s="241"/>
      <c r="AJ249" s="241"/>
      <c r="AK249" s="241"/>
      <c r="AL249" s="241"/>
      <c r="AM249" s="241"/>
      <c r="AN249" s="241"/>
      <c r="AO249" s="241"/>
      <c r="AP249" s="241"/>
      <c r="AQ249" s="241"/>
      <c r="AR249" s="241"/>
      <c r="AS249" s="241"/>
      <c r="AT249" s="241"/>
      <c r="AU249" s="241"/>
      <c r="AV249" s="241"/>
      <c r="AW249" s="241"/>
      <c r="AX249" s="241"/>
      <c r="AY249" s="241"/>
      <c r="AZ249" s="241"/>
      <c r="BA249" s="241"/>
      <c r="BB249" s="241"/>
      <c r="BC249" s="241"/>
      <c r="BD249" s="241"/>
      <c r="BE249" s="241"/>
      <c r="BF249" s="241"/>
      <c r="BG249" s="241"/>
      <c r="BH249" s="241"/>
      <c r="BI249" s="241"/>
      <c r="BJ249" s="241"/>
      <c r="BK249" s="241"/>
      <c r="BL249" s="241"/>
      <c r="BM249" s="241"/>
    </row>
    <row r="250" spans="1:65" ht="13.5" customHeight="1" x14ac:dyDescent="0.3">
      <c r="A250" s="241"/>
      <c r="B250" s="241"/>
      <c r="C250" s="241"/>
      <c r="D250" s="241"/>
      <c r="E250" s="241"/>
      <c r="F250" s="241"/>
      <c r="G250" s="241"/>
      <c r="H250" s="241"/>
      <c r="I250" s="241"/>
      <c r="J250" s="241"/>
      <c r="K250" s="241"/>
      <c r="L250" s="241"/>
      <c r="M250" s="241"/>
      <c r="N250" s="241"/>
      <c r="O250" s="241"/>
      <c r="P250" s="241"/>
      <c r="Q250" s="241"/>
      <c r="R250" s="241"/>
      <c r="S250" s="241"/>
      <c r="T250" s="241"/>
      <c r="U250" s="241"/>
      <c r="V250" s="241"/>
      <c r="W250" s="241"/>
      <c r="X250" s="241"/>
      <c r="Y250" s="241"/>
      <c r="Z250" s="241"/>
      <c r="AA250" s="241"/>
      <c r="AB250" s="241"/>
      <c r="AC250" s="241"/>
      <c r="AD250" s="241"/>
      <c r="AE250" s="241"/>
      <c r="AF250" s="241"/>
      <c r="AG250" s="241"/>
      <c r="AH250" s="241"/>
      <c r="AI250" s="241"/>
      <c r="AJ250" s="241"/>
      <c r="AK250" s="241"/>
      <c r="AL250" s="241"/>
      <c r="AM250" s="241"/>
      <c r="AN250" s="241"/>
      <c r="AO250" s="241"/>
      <c r="AP250" s="241"/>
      <c r="AQ250" s="241"/>
      <c r="AR250" s="241"/>
      <c r="AS250" s="241"/>
      <c r="AT250" s="241"/>
      <c r="AU250" s="241"/>
      <c r="AV250" s="241"/>
      <c r="AW250" s="241"/>
      <c r="AX250" s="241"/>
      <c r="AY250" s="241"/>
      <c r="AZ250" s="241"/>
      <c r="BA250" s="241"/>
      <c r="BB250" s="241"/>
      <c r="BC250" s="241"/>
      <c r="BD250" s="241"/>
      <c r="BE250" s="241"/>
      <c r="BF250" s="241"/>
      <c r="BG250" s="241"/>
      <c r="BH250" s="241"/>
      <c r="BI250" s="241"/>
      <c r="BJ250" s="241"/>
      <c r="BK250" s="241"/>
      <c r="BL250" s="241"/>
      <c r="BM250" s="241"/>
    </row>
    <row r="251" spans="1:65" ht="13.5" customHeight="1" x14ac:dyDescent="0.3">
      <c r="A251" s="241"/>
      <c r="B251" s="241"/>
      <c r="C251" s="241"/>
      <c r="D251" s="241"/>
      <c r="E251" s="241"/>
      <c r="F251" s="241"/>
      <c r="G251" s="241"/>
      <c r="H251" s="241"/>
      <c r="I251" s="241"/>
      <c r="J251" s="241"/>
      <c r="K251" s="241"/>
      <c r="L251" s="241"/>
      <c r="M251" s="241"/>
      <c r="N251" s="241"/>
      <c r="O251" s="241"/>
      <c r="P251" s="241"/>
      <c r="Q251" s="241"/>
      <c r="R251" s="241"/>
      <c r="S251" s="241"/>
      <c r="T251" s="241"/>
      <c r="U251" s="241"/>
      <c r="V251" s="241"/>
      <c r="W251" s="241"/>
      <c r="X251" s="241"/>
      <c r="Y251" s="241"/>
      <c r="Z251" s="241"/>
      <c r="AA251" s="241"/>
      <c r="AB251" s="241"/>
      <c r="AC251" s="241"/>
      <c r="AD251" s="241"/>
      <c r="AE251" s="241"/>
      <c r="AF251" s="241"/>
      <c r="AG251" s="241"/>
      <c r="AH251" s="241"/>
      <c r="AI251" s="241"/>
      <c r="AJ251" s="241"/>
      <c r="AK251" s="241"/>
      <c r="AL251" s="241"/>
      <c r="AM251" s="241"/>
      <c r="AN251" s="241"/>
      <c r="AO251" s="241"/>
      <c r="AP251" s="241"/>
      <c r="AQ251" s="241"/>
      <c r="AR251" s="241"/>
      <c r="AS251" s="241"/>
      <c r="AT251" s="241"/>
      <c r="AU251" s="241"/>
      <c r="AV251" s="241"/>
      <c r="AW251" s="241"/>
      <c r="AX251" s="241"/>
      <c r="AY251" s="241"/>
      <c r="AZ251" s="241"/>
      <c r="BA251" s="241"/>
      <c r="BB251" s="241"/>
      <c r="BC251" s="241"/>
      <c r="BD251" s="241"/>
      <c r="BE251" s="241"/>
      <c r="BF251" s="241"/>
      <c r="BG251" s="241"/>
      <c r="BH251" s="241"/>
      <c r="BI251" s="241"/>
      <c r="BJ251" s="241"/>
      <c r="BK251" s="241"/>
      <c r="BL251" s="241"/>
      <c r="BM251" s="241"/>
    </row>
    <row r="252" spans="1:65" ht="13.5" customHeight="1" x14ac:dyDescent="0.3">
      <c r="A252" s="241"/>
      <c r="B252" s="241"/>
      <c r="C252" s="241"/>
      <c r="D252" s="241"/>
      <c r="E252" s="241"/>
      <c r="F252" s="241"/>
      <c r="G252" s="241"/>
      <c r="H252" s="241"/>
      <c r="I252" s="241"/>
      <c r="J252" s="241"/>
      <c r="K252" s="241"/>
      <c r="L252" s="241"/>
      <c r="M252" s="241"/>
      <c r="N252" s="241"/>
      <c r="O252" s="241"/>
      <c r="P252" s="241"/>
      <c r="Q252" s="241"/>
      <c r="R252" s="241"/>
      <c r="S252" s="241"/>
      <c r="T252" s="241"/>
      <c r="U252" s="241"/>
      <c r="V252" s="241"/>
      <c r="W252" s="241"/>
      <c r="X252" s="241"/>
      <c r="Y252" s="241"/>
      <c r="Z252" s="241"/>
      <c r="AA252" s="241"/>
      <c r="AB252" s="241"/>
      <c r="AC252" s="241"/>
      <c r="AD252" s="241"/>
      <c r="AE252" s="241"/>
      <c r="AF252" s="241"/>
      <c r="AG252" s="241"/>
      <c r="AH252" s="241"/>
      <c r="AI252" s="241"/>
      <c r="AJ252" s="241"/>
      <c r="AK252" s="241"/>
      <c r="AL252" s="241"/>
      <c r="AM252" s="241"/>
      <c r="AN252" s="241"/>
      <c r="AO252" s="241"/>
      <c r="AP252" s="241"/>
      <c r="AQ252" s="241"/>
      <c r="AR252" s="241"/>
      <c r="AS252" s="241"/>
      <c r="AT252" s="241"/>
      <c r="AU252" s="241"/>
      <c r="AV252" s="241"/>
      <c r="AW252" s="241"/>
      <c r="AX252" s="241"/>
      <c r="AY252" s="241"/>
      <c r="AZ252" s="241"/>
      <c r="BA252" s="241"/>
      <c r="BB252" s="241"/>
      <c r="BC252" s="241"/>
      <c r="BD252" s="241"/>
      <c r="BE252" s="241"/>
      <c r="BF252" s="241"/>
      <c r="BG252" s="241"/>
      <c r="BH252" s="241"/>
      <c r="BI252" s="241"/>
      <c r="BJ252" s="241"/>
      <c r="BK252" s="241"/>
      <c r="BL252" s="241"/>
      <c r="BM252" s="241"/>
    </row>
    <row r="253" spans="1:65" ht="13.5" customHeight="1" x14ac:dyDescent="0.3">
      <c r="A253" s="241"/>
      <c r="B253" s="241"/>
      <c r="C253" s="241"/>
      <c r="D253" s="241"/>
      <c r="E253" s="241"/>
      <c r="F253" s="241"/>
      <c r="G253" s="241"/>
      <c r="H253" s="241"/>
      <c r="I253" s="241"/>
      <c r="J253" s="241"/>
      <c r="K253" s="241"/>
      <c r="L253" s="241"/>
      <c r="M253" s="241"/>
      <c r="N253" s="241"/>
      <c r="O253" s="241"/>
      <c r="P253" s="241"/>
      <c r="Q253" s="241"/>
      <c r="R253" s="241"/>
      <c r="S253" s="241"/>
      <c r="T253" s="241"/>
      <c r="U253" s="241"/>
      <c r="V253" s="241"/>
      <c r="W253" s="241"/>
      <c r="X253" s="241"/>
      <c r="Y253" s="241"/>
      <c r="Z253" s="241"/>
      <c r="AA253" s="241"/>
      <c r="AB253" s="241"/>
      <c r="AC253" s="241"/>
      <c r="AD253" s="241"/>
      <c r="AE253" s="241"/>
      <c r="AF253" s="241"/>
      <c r="AG253" s="241"/>
      <c r="AH253" s="241"/>
      <c r="AI253" s="241"/>
      <c r="AJ253" s="241"/>
      <c r="AK253" s="241"/>
      <c r="AL253" s="241"/>
      <c r="AM253" s="241"/>
      <c r="AN253" s="241"/>
      <c r="AO253" s="241"/>
      <c r="AP253" s="241"/>
      <c r="AQ253" s="241"/>
      <c r="AR253" s="241"/>
      <c r="AS253" s="241"/>
      <c r="AT253" s="241"/>
      <c r="AU253" s="241"/>
      <c r="AV253" s="241"/>
      <c r="AW253" s="241"/>
      <c r="AX253" s="241"/>
      <c r="AY253" s="241"/>
      <c r="AZ253" s="241"/>
      <c r="BA253" s="241"/>
      <c r="BB253" s="241"/>
      <c r="BC253" s="241"/>
      <c r="BD253" s="241"/>
      <c r="BE253" s="241"/>
      <c r="BF253" s="241"/>
      <c r="BG253" s="241"/>
      <c r="BH253" s="241"/>
      <c r="BI253" s="241"/>
      <c r="BJ253" s="241"/>
      <c r="BK253" s="241"/>
      <c r="BL253" s="241"/>
      <c r="BM253" s="241"/>
    </row>
    <row r="254" spans="1:65" ht="13.5" customHeight="1" x14ac:dyDescent="0.3">
      <c r="A254" s="241"/>
      <c r="B254" s="241"/>
      <c r="C254" s="241"/>
      <c r="D254" s="241"/>
      <c r="E254" s="241"/>
      <c r="F254" s="241"/>
      <c r="G254" s="241"/>
      <c r="H254" s="241"/>
      <c r="I254" s="241"/>
      <c r="J254" s="241"/>
      <c r="K254" s="241"/>
      <c r="L254" s="241"/>
      <c r="M254" s="241"/>
      <c r="N254" s="241"/>
      <c r="O254" s="241"/>
      <c r="P254" s="241"/>
      <c r="Q254" s="241"/>
      <c r="R254" s="241"/>
      <c r="S254" s="241"/>
      <c r="T254" s="241"/>
      <c r="U254" s="241"/>
      <c r="V254" s="241"/>
      <c r="W254" s="241"/>
      <c r="X254" s="241"/>
      <c r="Y254" s="241"/>
      <c r="Z254" s="241"/>
      <c r="AA254" s="241"/>
      <c r="AB254" s="241"/>
      <c r="AC254" s="241"/>
      <c r="AD254" s="241"/>
      <c r="AE254" s="241"/>
      <c r="AF254" s="241"/>
      <c r="AG254" s="241"/>
      <c r="AH254" s="241"/>
      <c r="AI254" s="241"/>
      <c r="AJ254" s="241"/>
      <c r="AK254" s="241"/>
      <c r="AL254" s="241"/>
      <c r="AM254" s="241"/>
      <c r="AN254" s="241"/>
      <c r="AO254" s="241"/>
      <c r="AP254" s="241"/>
      <c r="AQ254" s="241"/>
      <c r="AR254" s="241"/>
      <c r="AS254" s="241"/>
      <c r="AT254" s="241"/>
      <c r="AU254" s="241"/>
      <c r="AV254" s="241"/>
      <c r="AW254" s="241"/>
      <c r="AX254" s="241"/>
      <c r="AY254" s="241"/>
      <c r="AZ254" s="241"/>
      <c r="BA254" s="241"/>
      <c r="BB254" s="241"/>
      <c r="BC254" s="241"/>
      <c r="BD254" s="241"/>
      <c r="BE254" s="241"/>
      <c r="BF254" s="241"/>
      <c r="BG254" s="241"/>
      <c r="BH254" s="241"/>
      <c r="BI254" s="241"/>
      <c r="BJ254" s="241"/>
      <c r="BK254" s="241"/>
      <c r="BL254" s="241"/>
      <c r="BM254" s="241"/>
    </row>
    <row r="255" spans="1:65" ht="13.5" customHeight="1" x14ac:dyDescent="0.3">
      <c r="A255" s="241"/>
      <c r="B255" s="241"/>
      <c r="C255" s="241"/>
      <c r="D255" s="241"/>
      <c r="E255" s="241"/>
      <c r="F255" s="241"/>
      <c r="G255" s="241"/>
      <c r="H255" s="241"/>
      <c r="I255" s="241"/>
      <c r="J255" s="241"/>
      <c r="K255" s="241"/>
      <c r="L255" s="241"/>
      <c r="M255" s="241"/>
      <c r="N255" s="241"/>
      <c r="O255" s="241"/>
      <c r="P255" s="241"/>
      <c r="Q255" s="241"/>
      <c r="R255" s="241"/>
      <c r="S255" s="241"/>
      <c r="T255" s="241"/>
      <c r="U255" s="241"/>
      <c r="V255" s="241"/>
      <c r="W255" s="241"/>
      <c r="X255" s="241"/>
      <c r="Y255" s="241"/>
      <c r="Z255" s="241"/>
      <c r="AA255" s="241"/>
      <c r="AB255" s="241"/>
      <c r="AC255" s="241"/>
      <c r="AD255" s="241"/>
      <c r="AE255" s="241"/>
      <c r="AF255" s="241"/>
      <c r="AG255" s="241"/>
      <c r="AH255" s="241"/>
      <c r="AI255" s="241"/>
      <c r="AJ255" s="241"/>
      <c r="AK255" s="241"/>
      <c r="AL255" s="241"/>
      <c r="AM255" s="241"/>
      <c r="AN255" s="241"/>
      <c r="AO255" s="241"/>
      <c r="AP255" s="241"/>
      <c r="AQ255" s="241"/>
      <c r="AR255" s="241"/>
      <c r="AS255" s="241"/>
      <c r="AT255" s="241"/>
      <c r="AU255" s="241"/>
      <c r="AV255" s="241"/>
      <c r="AW255" s="241"/>
      <c r="AX255" s="241"/>
      <c r="AY255" s="241"/>
      <c r="AZ255" s="241"/>
      <c r="BA255" s="241"/>
      <c r="BB255" s="241"/>
      <c r="BC255" s="241"/>
      <c r="BD255" s="241"/>
      <c r="BE255" s="241"/>
      <c r="BF255" s="241"/>
      <c r="BG255" s="241"/>
      <c r="BH255" s="241"/>
      <c r="BI255" s="241"/>
      <c r="BJ255" s="241"/>
      <c r="BK255" s="241"/>
      <c r="BL255" s="241"/>
      <c r="BM255" s="241"/>
    </row>
    <row r="256" spans="1:65" ht="13.5" customHeight="1" x14ac:dyDescent="0.3">
      <c r="A256" s="241"/>
      <c r="B256" s="241"/>
      <c r="C256" s="241"/>
      <c r="D256" s="241"/>
      <c r="E256" s="241"/>
      <c r="F256" s="241"/>
      <c r="G256" s="241"/>
      <c r="H256" s="241"/>
      <c r="I256" s="241"/>
      <c r="J256" s="241"/>
      <c r="K256" s="241"/>
      <c r="L256" s="241"/>
      <c r="M256" s="241"/>
      <c r="N256" s="241"/>
      <c r="O256" s="241"/>
      <c r="P256" s="241"/>
      <c r="Q256" s="241"/>
      <c r="R256" s="241"/>
      <c r="S256" s="241"/>
      <c r="T256" s="241"/>
      <c r="U256" s="241"/>
      <c r="V256" s="241"/>
      <c r="W256" s="241"/>
      <c r="X256" s="241"/>
      <c r="Y256" s="241"/>
      <c r="Z256" s="241"/>
      <c r="AA256" s="241"/>
      <c r="AB256" s="241"/>
      <c r="AC256" s="241"/>
      <c r="AD256" s="241"/>
      <c r="AE256" s="241"/>
      <c r="AF256" s="241"/>
      <c r="AG256" s="241"/>
      <c r="AH256" s="241"/>
      <c r="AI256" s="241"/>
      <c r="AJ256" s="241"/>
      <c r="AK256" s="241"/>
      <c r="AL256" s="241"/>
      <c r="AM256" s="241"/>
      <c r="AN256" s="241"/>
      <c r="AO256" s="241"/>
      <c r="AP256" s="241"/>
      <c r="AQ256" s="241"/>
      <c r="AR256" s="241"/>
      <c r="AS256" s="241"/>
      <c r="AT256" s="241"/>
      <c r="AU256" s="241"/>
      <c r="AV256" s="241"/>
      <c r="AW256" s="241"/>
      <c r="AX256" s="241"/>
      <c r="AY256" s="241"/>
      <c r="AZ256" s="241"/>
      <c r="BA256" s="241"/>
      <c r="BB256" s="241"/>
      <c r="BC256" s="241"/>
      <c r="BD256" s="241"/>
      <c r="BE256" s="241"/>
      <c r="BF256" s="241"/>
      <c r="BG256" s="241"/>
      <c r="BH256" s="241"/>
      <c r="BI256" s="241"/>
      <c r="BJ256" s="241"/>
      <c r="BK256" s="241"/>
      <c r="BL256" s="241"/>
      <c r="BM256" s="241"/>
    </row>
    <row r="257" spans="1:65" ht="13.5" customHeight="1" x14ac:dyDescent="0.3">
      <c r="A257" s="241"/>
      <c r="B257" s="241"/>
      <c r="C257" s="241"/>
      <c r="D257" s="241"/>
      <c r="E257" s="241"/>
      <c r="F257" s="241"/>
      <c r="G257" s="241"/>
      <c r="H257" s="241"/>
      <c r="I257" s="241"/>
      <c r="J257" s="241"/>
      <c r="K257" s="241"/>
      <c r="L257" s="241"/>
      <c r="M257" s="241"/>
      <c r="N257" s="241"/>
      <c r="O257" s="241"/>
      <c r="P257" s="241"/>
      <c r="Q257" s="241"/>
      <c r="R257" s="241"/>
      <c r="S257" s="241"/>
      <c r="T257" s="241"/>
      <c r="U257" s="241"/>
      <c r="V257" s="241"/>
      <c r="W257" s="241"/>
      <c r="X257" s="241"/>
      <c r="Y257" s="241"/>
      <c r="Z257" s="241"/>
      <c r="AA257" s="241"/>
      <c r="AB257" s="241"/>
      <c r="AC257" s="241"/>
      <c r="AD257" s="241"/>
      <c r="AE257" s="241"/>
      <c r="AF257" s="241"/>
      <c r="AG257" s="241"/>
      <c r="AH257" s="241"/>
      <c r="AI257" s="241"/>
      <c r="AJ257" s="241"/>
      <c r="AK257" s="241"/>
      <c r="AL257" s="241"/>
      <c r="AM257" s="241"/>
      <c r="AN257" s="241"/>
      <c r="AO257" s="241"/>
      <c r="AP257" s="241"/>
      <c r="AQ257" s="241"/>
      <c r="AR257" s="241"/>
      <c r="AS257" s="241"/>
      <c r="AT257" s="241"/>
      <c r="AU257" s="241"/>
      <c r="AV257" s="241"/>
      <c r="AW257" s="241"/>
      <c r="AX257" s="241"/>
      <c r="AY257" s="241"/>
      <c r="AZ257" s="241"/>
      <c r="BA257" s="241"/>
      <c r="BB257" s="241"/>
      <c r="BC257" s="241"/>
      <c r="BD257" s="241"/>
      <c r="BE257" s="241"/>
      <c r="BF257" s="241"/>
      <c r="BG257" s="241"/>
      <c r="BH257" s="241"/>
      <c r="BI257" s="241"/>
      <c r="BJ257" s="241"/>
      <c r="BK257" s="241"/>
      <c r="BL257" s="241"/>
      <c r="BM257" s="241"/>
    </row>
    <row r="258" spans="1:65" ht="13.5" customHeight="1" x14ac:dyDescent="0.3">
      <c r="A258" s="241"/>
      <c r="B258" s="241"/>
      <c r="C258" s="241"/>
      <c r="D258" s="241"/>
      <c r="E258" s="241"/>
      <c r="F258" s="241"/>
      <c r="G258" s="241"/>
      <c r="H258" s="241"/>
      <c r="I258" s="241"/>
      <c r="J258" s="241"/>
      <c r="K258" s="241"/>
      <c r="L258" s="241"/>
      <c r="M258" s="241"/>
      <c r="N258" s="241"/>
      <c r="O258" s="241"/>
      <c r="P258" s="241"/>
      <c r="Q258" s="241"/>
      <c r="R258" s="241"/>
      <c r="S258" s="241"/>
      <c r="T258" s="241"/>
      <c r="U258" s="241"/>
      <c r="V258" s="241"/>
      <c r="W258" s="241"/>
      <c r="X258" s="241"/>
      <c r="Y258" s="241"/>
      <c r="Z258" s="241"/>
      <c r="AA258" s="241"/>
      <c r="AB258" s="241"/>
      <c r="AC258" s="241"/>
      <c r="AD258" s="241"/>
      <c r="AE258" s="241"/>
      <c r="AF258" s="241"/>
      <c r="AG258" s="241"/>
      <c r="AH258" s="241"/>
      <c r="AI258" s="241"/>
      <c r="AJ258" s="241"/>
      <c r="AK258" s="241"/>
      <c r="AL258" s="241"/>
      <c r="AM258" s="241"/>
      <c r="AN258" s="241"/>
      <c r="AO258" s="241"/>
      <c r="AP258" s="241"/>
      <c r="AQ258" s="241"/>
      <c r="AR258" s="241"/>
      <c r="AS258" s="241"/>
      <c r="AT258" s="241"/>
      <c r="AU258" s="241"/>
      <c r="AV258" s="241"/>
      <c r="AW258" s="241"/>
      <c r="AX258" s="241"/>
      <c r="AY258" s="241"/>
      <c r="AZ258" s="241"/>
      <c r="BA258" s="241"/>
      <c r="BB258" s="241"/>
      <c r="BC258" s="241"/>
      <c r="BD258" s="241"/>
      <c r="BE258" s="241"/>
      <c r="BF258" s="241"/>
      <c r="BG258" s="241"/>
      <c r="BH258" s="241"/>
      <c r="BI258" s="241"/>
      <c r="BJ258" s="241"/>
      <c r="BK258" s="241"/>
      <c r="BL258" s="241"/>
      <c r="BM258" s="241"/>
    </row>
    <row r="259" spans="1:65" ht="13.5" customHeight="1" x14ac:dyDescent="0.3">
      <c r="A259" s="241"/>
      <c r="B259" s="241"/>
      <c r="C259" s="241"/>
      <c r="D259" s="241"/>
      <c r="E259" s="241"/>
      <c r="F259" s="241"/>
      <c r="G259" s="241"/>
      <c r="H259" s="241"/>
      <c r="I259" s="241"/>
      <c r="J259" s="241"/>
      <c r="K259" s="241"/>
      <c r="L259" s="241"/>
      <c r="M259" s="241"/>
      <c r="N259" s="241"/>
      <c r="O259" s="241"/>
      <c r="P259" s="241"/>
      <c r="Q259" s="241"/>
      <c r="R259" s="241"/>
      <c r="S259" s="241"/>
      <c r="T259" s="241"/>
      <c r="U259" s="241"/>
      <c r="V259" s="241"/>
      <c r="W259" s="241"/>
      <c r="X259" s="241"/>
      <c r="Y259" s="241"/>
      <c r="Z259" s="241"/>
      <c r="AA259" s="241"/>
      <c r="AB259" s="241"/>
      <c r="AC259" s="241"/>
      <c r="AD259" s="241"/>
      <c r="AE259" s="241"/>
      <c r="AF259" s="241"/>
      <c r="AG259" s="241"/>
      <c r="AH259" s="241"/>
      <c r="AI259" s="241"/>
      <c r="AJ259" s="241"/>
      <c r="AK259" s="241"/>
      <c r="AL259" s="241"/>
      <c r="AM259" s="241"/>
      <c r="AN259" s="241"/>
      <c r="AO259" s="241"/>
      <c r="AP259" s="241"/>
      <c r="AQ259" s="241"/>
      <c r="AR259" s="241"/>
      <c r="AS259" s="241"/>
      <c r="AT259" s="241"/>
      <c r="AU259" s="241"/>
      <c r="AV259" s="241"/>
      <c r="AW259" s="241"/>
      <c r="AX259" s="241"/>
      <c r="AY259" s="241"/>
      <c r="AZ259" s="241"/>
      <c r="BA259" s="241"/>
      <c r="BB259" s="241"/>
      <c r="BC259" s="241"/>
      <c r="BD259" s="241"/>
      <c r="BE259" s="241"/>
      <c r="BF259" s="241"/>
      <c r="BG259" s="241"/>
      <c r="BH259" s="241"/>
      <c r="BI259" s="241"/>
      <c r="BJ259" s="241"/>
      <c r="BK259" s="241"/>
      <c r="BL259" s="241"/>
      <c r="BM259" s="241"/>
    </row>
    <row r="260" spans="1:65" ht="13.5" customHeight="1" x14ac:dyDescent="0.3">
      <c r="A260" s="241"/>
      <c r="B260" s="241"/>
      <c r="C260" s="241"/>
      <c r="D260" s="241"/>
      <c r="E260" s="241"/>
      <c r="F260" s="241"/>
      <c r="G260" s="241"/>
      <c r="H260" s="241"/>
      <c r="I260" s="241"/>
      <c r="J260" s="241"/>
      <c r="K260" s="241"/>
      <c r="L260" s="241"/>
      <c r="M260" s="241"/>
      <c r="N260" s="241"/>
      <c r="O260" s="241"/>
      <c r="P260" s="241"/>
      <c r="Q260" s="241"/>
      <c r="R260" s="241"/>
      <c r="S260" s="241"/>
      <c r="T260" s="241"/>
      <c r="U260" s="241"/>
      <c r="V260" s="241"/>
      <c r="W260" s="241"/>
      <c r="X260" s="241"/>
      <c r="Y260" s="241"/>
      <c r="Z260" s="241"/>
      <c r="AA260" s="241"/>
      <c r="AB260" s="241"/>
      <c r="AC260" s="241"/>
      <c r="AD260" s="241"/>
      <c r="AE260" s="241"/>
      <c r="AF260" s="241"/>
      <c r="AG260" s="241"/>
      <c r="AH260" s="241"/>
      <c r="AI260" s="241"/>
      <c r="AJ260" s="241"/>
      <c r="AK260" s="241"/>
      <c r="AL260" s="241"/>
      <c r="AM260" s="241"/>
      <c r="AN260" s="241"/>
      <c r="AO260" s="241"/>
      <c r="AP260" s="241"/>
      <c r="AQ260" s="241"/>
      <c r="AR260" s="241"/>
      <c r="AS260" s="241"/>
      <c r="AT260" s="241"/>
      <c r="AU260" s="241"/>
      <c r="AV260" s="241"/>
      <c r="AW260" s="241"/>
      <c r="AX260" s="241"/>
      <c r="AY260" s="241"/>
      <c r="AZ260" s="241"/>
      <c r="BA260" s="241"/>
      <c r="BB260" s="241"/>
      <c r="BC260" s="241"/>
      <c r="BD260" s="241"/>
      <c r="BE260" s="241"/>
      <c r="BF260" s="241"/>
      <c r="BG260" s="241"/>
      <c r="BH260" s="241"/>
      <c r="BI260" s="241"/>
      <c r="BJ260" s="241"/>
      <c r="BK260" s="241"/>
      <c r="BL260" s="241"/>
      <c r="BM260" s="241"/>
    </row>
    <row r="261" spans="1:65" ht="13.5" customHeight="1" x14ac:dyDescent="0.3">
      <c r="A261" s="241"/>
      <c r="B261" s="241"/>
      <c r="C261" s="241"/>
      <c r="D261" s="241"/>
      <c r="E261" s="241"/>
      <c r="F261" s="241"/>
      <c r="G261" s="241"/>
      <c r="H261" s="241"/>
      <c r="I261" s="241"/>
      <c r="J261" s="241"/>
      <c r="K261" s="241"/>
      <c r="L261" s="241"/>
      <c r="M261" s="241"/>
      <c r="N261" s="241"/>
      <c r="O261" s="241"/>
      <c r="P261" s="241"/>
      <c r="Q261" s="241"/>
      <c r="R261" s="241"/>
      <c r="S261" s="241"/>
      <c r="T261" s="241"/>
      <c r="U261" s="241"/>
      <c r="V261" s="241"/>
      <c r="W261" s="241"/>
      <c r="X261" s="241"/>
      <c r="Y261" s="241"/>
      <c r="Z261" s="241"/>
      <c r="AA261" s="241"/>
      <c r="AB261" s="241"/>
      <c r="AC261" s="241"/>
      <c r="AD261" s="241"/>
      <c r="AE261" s="241"/>
      <c r="AF261" s="241"/>
      <c r="AG261" s="241"/>
      <c r="AH261" s="241"/>
      <c r="AI261" s="241"/>
      <c r="AJ261" s="241"/>
      <c r="AK261" s="241"/>
      <c r="AL261" s="241"/>
      <c r="AM261" s="241"/>
      <c r="AN261" s="241"/>
      <c r="AO261" s="241"/>
      <c r="AP261" s="241"/>
      <c r="AQ261" s="241"/>
      <c r="AR261" s="241"/>
      <c r="AS261" s="241"/>
      <c r="AT261" s="241"/>
      <c r="AU261" s="241"/>
      <c r="AV261" s="241"/>
      <c r="AW261" s="241"/>
      <c r="AX261" s="241"/>
      <c r="AY261" s="241"/>
      <c r="AZ261" s="241"/>
      <c r="BA261" s="241"/>
      <c r="BB261" s="241"/>
      <c r="BC261" s="241"/>
      <c r="BD261" s="241"/>
      <c r="BE261" s="241"/>
      <c r="BF261" s="241"/>
      <c r="BG261" s="241"/>
      <c r="BH261" s="241"/>
      <c r="BI261" s="241"/>
      <c r="BJ261" s="241"/>
      <c r="BK261" s="241"/>
      <c r="BL261" s="241"/>
      <c r="BM261" s="241"/>
    </row>
    <row r="262" spans="1:65" ht="13.5" customHeight="1" x14ac:dyDescent="0.3">
      <c r="A262" s="241"/>
      <c r="B262" s="241"/>
      <c r="C262" s="241"/>
      <c r="D262" s="241"/>
      <c r="E262" s="241"/>
      <c r="F262" s="241"/>
      <c r="G262" s="241"/>
      <c r="H262" s="241"/>
      <c r="I262" s="241"/>
      <c r="J262" s="241"/>
      <c r="K262" s="241"/>
      <c r="L262" s="241"/>
      <c r="M262" s="241"/>
      <c r="N262" s="241"/>
      <c r="O262" s="241"/>
      <c r="P262" s="241"/>
      <c r="Q262" s="241"/>
      <c r="R262" s="241"/>
      <c r="S262" s="241"/>
      <c r="T262" s="241"/>
      <c r="U262" s="241"/>
      <c r="V262" s="241"/>
      <c r="W262" s="241"/>
      <c r="X262" s="241"/>
      <c r="Y262" s="241"/>
      <c r="Z262" s="241"/>
      <c r="AA262" s="241"/>
      <c r="AB262" s="241"/>
      <c r="AC262" s="241"/>
      <c r="AD262" s="241"/>
      <c r="AE262" s="241"/>
      <c r="AF262" s="241"/>
      <c r="AG262" s="241"/>
      <c r="AH262" s="241"/>
      <c r="AI262" s="241"/>
      <c r="AJ262" s="241"/>
      <c r="AK262" s="241"/>
      <c r="AL262" s="241"/>
      <c r="AM262" s="241"/>
      <c r="AN262" s="241"/>
      <c r="AO262" s="241"/>
      <c r="AP262" s="241"/>
      <c r="AQ262" s="241"/>
      <c r="AR262" s="241"/>
      <c r="AS262" s="241"/>
      <c r="AT262" s="241"/>
      <c r="AU262" s="241"/>
      <c r="AV262" s="241"/>
      <c r="AW262" s="241"/>
      <c r="AX262" s="241"/>
      <c r="AY262" s="241"/>
      <c r="AZ262" s="241"/>
      <c r="BA262" s="241"/>
      <c r="BB262" s="241"/>
      <c r="BC262" s="241"/>
      <c r="BD262" s="241"/>
      <c r="BE262" s="241"/>
      <c r="BF262" s="241"/>
      <c r="BG262" s="241"/>
      <c r="BH262" s="241"/>
      <c r="BI262" s="241"/>
      <c r="BJ262" s="241"/>
      <c r="BK262" s="241"/>
      <c r="BL262" s="241"/>
      <c r="BM262" s="241"/>
    </row>
    <row r="263" spans="1:65" ht="13.5" customHeight="1" x14ac:dyDescent="0.3">
      <c r="A263" s="241"/>
      <c r="B263" s="241"/>
      <c r="C263" s="241"/>
      <c r="D263" s="241"/>
      <c r="E263" s="241"/>
      <c r="F263" s="241"/>
      <c r="G263" s="241"/>
      <c r="H263" s="241"/>
      <c r="I263" s="241"/>
      <c r="J263" s="241"/>
      <c r="K263" s="241"/>
      <c r="L263" s="241"/>
      <c r="M263" s="241"/>
      <c r="N263" s="241"/>
      <c r="O263" s="241"/>
      <c r="P263" s="241"/>
      <c r="Q263" s="241"/>
      <c r="R263" s="241"/>
      <c r="S263" s="241"/>
      <c r="T263" s="241"/>
      <c r="U263" s="241"/>
      <c r="V263" s="241"/>
      <c r="W263" s="241"/>
      <c r="X263" s="241"/>
      <c r="Y263" s="241"/>
      <c r="Z263" s="241"/>
      <c r="AA263" s="241"/>
      <c r="AB263" s="241"/>
      <c r="AC263" s="241"/>
      <c r="AD263" s="241"/>
      <c r="AE263" s="241"/>
      <c r="AF263" s="241"/>
      <c r="AG263" s="241"/>
      <c r="AH263" s="241"/>
      <c r="AI263" s="241"/>
      <c r="AJ263" s="241"/>
      <c r="AK263" s="241"/>
      <c r="AL263" s="241"/>
      <c r="AM263" s="241"/>
      <c r="AN263" s="241"/>
      <c r="AO263" s="241"/>
      <c r="AP263" s="241"/>
      <c r="AQ263" s="241"/>
      <c r="AR263" s="241"/>
      <c r="AS263" s="241"/>
      <c r="AT263" s="241"/>
      <c r="AU263" s="241"/>
      <c r="AV263" s="241"/>
      <c r="AW263" s="241"/>
      <c r="AX263" s="241"/>
      <c r="AY263" s="241"/>
      <c r="AZ263" s="241"/>
      <c r="BA263" s="241"/>
      <c r="BB263" s="241"/>
      <c r="BC263" s="241"/>
      <c r="BD263" s="241"/>
      <c r="BE263" s="241"/>
      <c r="BF263" s="241"/>
      <c r="BG263" s="241"/>
      <c r="BH263" s="241"/>
      <c r="BI263" s="241"/>
      <c r="BJ263" s="241"/>
      <c r="BK263" s="241"/>
      <c r="BL263" s="241"/>
      <c r="BM263" s="241"/>
    </row>
    <row r="264" spans="1:65" ht="13.5" customHeight="1" x14ac:dyDescent="0.3">
      <c r="A264" s="241"/>
      <c r="B264" s="241"/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  <c r="AS264" s="241"/>
      <c r="AT264" s="241"/>
      <c r="AU264" s="241"/>
      <c r="AV264" s="241"/>
      <c r="AW264" s="241"/>
      <c r="AX264" s="241"/>
      <c r="AY264" s="241"/>
      <c r="AZ264" s="241"/>
      <c r="BA264" s="241"/>
      <c r="BB264" s="241"/>
      <c r="BC264" s="241"/>
      <c r="BD264" s="241"/>
      <c r="BE264" s="241"/>
      <c r="BF264" s="241"/>
      <c r="BG264" s="241"/>
      <c r="BH264" s="241"/>
      <c r="BI264" s="241"/>
      <c r="BJ264" s="241"/>
      <c r="BK264" s="241"/>
      <c r="BL264" s="241"/>
      <c r="BM264" s="241"/>
    </row>
    <row r="265" spans="1:65" ht="13.5" customHeight="1" x14ac:dyDescent="0.3">
      <c r="A265" s="241"/>
      <c r="B265" s="241"/>
      <c r="C265" s="241"/>
      <c r="D265" s="241"/>
      <c r="E265" s="241"/>
      <c r="F265" s="241"/>
      <c r="G265" s="241"/>
      <c r="H265" s="241"/>
      <c r="I265" s="241"/>
      <c r="J265" s="241"/>
      <c r="K265" s="241"/>
      <c r="L265" s="241"/>
      <c r="M265" s="241"/>
      <c r="N265" s="241"/>
      <c r="O265" s="241"/>
      <c r="P265" s="241"/>
      <c r="Q265" s="241"/>
      <c r="R265" s="241"/>
      <c r="S265" s="241"/>
      <c r="T265" s="241"/>
      <c r="U265" s="241"/>
      <c r="V265" s="241"/>
      <c r="W265" s="241"/>
      <c r="X265" s="241"/>
      <c r="Y265" s="241"/>
      <c r="Z265" s="241"/>
      <c r="AA265" s="241"/>
      <c r="AB265" s="241"/>
      <c r="AC265" s="241"/>
      <c r="AD265" s="241"/>
      <c r="AE265" s="241"/>
      <c r="AF265" s="241"/>
      <c r="AG265" s="241"/>
      <c r="AH265" s="241"/>
      <c r="AI265" s="241"/>
      <c r="AJ265" s="241"/>
      <c r="AK265" s="241"/>
      <c r="AL265" s="241"/>
      <c r="AM265" s="241"/>
      <c r="AN265" s="241"/>
      <c r="AO265" s="241"/>
      <c r="AP265" s="241"/>
      <c r="AQ265" s="241"/>
      <c r="AR265" s="241"/>
      <c r="AS265" s="241"/>
      <c r="AT265" s="241"/>
      <c r="AU265" s="241"/>
      <c r="AV265" s="241"/>
      <c r="AW265" s="241"/>
      <c r="AX265" s="241"/>
      <c r="AY265" s="241"/>
      <c r="AZ265" s="241"/>
      <c r="BA265" s="241"/>
      <c r="BB265" s="241"/>
      <c r="BC265" s="241"/>
      <c r="BD265" s="241"/>
      <c r="BE265" s="241"/>
      <c r="BF265" s="241"/>
      <c r="BG265" s="241"/>
      <c r="BH265" s="241"/>
      <c r="BI265" s="241"/>
      <c r="BJ265" s="241"/>
      <c r="BK265" s="241"/>
      <c r="BL265" s="241"/>
      <c r="BM265" s="241"/>
    </row>
    <row r="266" spans="1:65" ht="13.5" customHeight="1" x14ac:dyDescent="0.3">
      <c r="A266" s="241"/>
      <c r="B266" s="241"/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  <c r="AS266" s="241"/>
      <c r="AT266" s="241"/>
      <c r="AU266" s="241"/>
      <c r="AV266" s="241"/>
      <c r="AW266" s="241"/>
      <c r="AX266" s="241"/>
      <c r="AY266" s="241"/>
      <c r="AZ266" s="241"/>
      <c r="BA266" s="241"/>
      <c r="BB266" s="241"/>
      <c r="BC266" s="241"/>
      <c r="BD266" s="241"/>
      <c r="BE266" s="241"/>
      <c r="BF266" s="241"/>
      <c r="BG266" s="241"/>
      <c r="BH266" s="241"/>
      <c r="BI266" s="241"/>
      <c r="BJ266" s="241"/>
      <c r="BK266" s="241"/>
      <c r="BL266" s="241"/>
      <c r="BM266" s="241"/>
    </row>
    <row r="267" spans="1:65" ht="13.5" customHeight="1" x14ac:dyDescent="0.3">
      <c r="A267" s="241"/>
      <c r="B267" s="241"/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  <c r="AS267" s="241"/>
      <c r="AT267" s="241"/>
      <c r="AU267" s="241"/>
      <c r="AV267" s="241"/>
      <c r="AW267" s="241"/>
      <c r="AX267" s="241"/>
      <c r="AY267" s="241"/>
      <c r="AZ267" s="241"/>
      <c r="BA267" s="241"/>
      <c r="BB267" s="241"/>
      <c r="BC267" s="241"/>
      <c r="BD267" s="241"/>
      <c r="BE267" s="241"/>
      <c r="BF267" s="241"/>
      <c r="BG267" s="241"/>
      <c r="BH267" s="241"/>
      <c r="BI267" s="241"/>
      <c r="BJ267" s="241"/>
      <c r="BK267" s="241"/>
      <c r="BL267" s="241"/>
      <c r="BM267" s="241"/>
    </row>
    <row r="268" spans="1:65" ht="13.5" customHeight="1" x14ac:dyDescent="0.3">
      <c r="A268" s="241"/>
      <c r="B268" s="241"/>
      <c r="C268" s="241"/>
      <c r="D268" s="241"/>
      <c r="E268" s="241"/>
      <c r="F268" s="241"/>
      <c r="G268" s="241"/>
      <c r="H268" s="241"/>
      <c r="I268" s="241"/>
      <c r="J268" s="241"/>
      <c r="K268" s="241"/>
      <c r="L268" s="241"/>
      <c r="M268" s="241"/>
      <c r="N268" s="241"/>
      <c r="O268" s="241"/>
      <c r="P268" s="241"/>
      <c r="Q268" s="241"/>
      <c r="R268" s="241"/>
      <c r="S268" s="241"/>
      <c r="T268" s="241"/>
      <c r="U268" s="241"/>
      <c r="V268" s="241"/>
      <c r="W268" s="241"/>
      <c r="X268" s="241"/>
      <c r="Y268" s="241"/>
      <c r="Z268" s="241"/>
      <c r="AA268" s="241"/>
      <c r="AB268" s="241"/>
      <c r="AC268" s="241"/>
      <c r="AD268" s="241"/>
      <c r="AE268" s="241"/>
      <c r="AF268" s="241"/>
      <c r="AG268" s="241"/>
      <c r="AH268" s="241"/>
      <c r="AI268" s="241"/>
      <c r="AJ268" s="241"/>
      <c r="AK268" s="241"/>
      <c r="AL268" s="241"/>
      <c r="AM268" s="241"/>
      <c r="AN268" s="241"/>
      <c r="AO268" s="241"/>
      <c r="AP268" s="241"/>
      <c r="AQ268" s="241"/>
      <c r="AR268" s="241"/>
      <c r="AS268" s="241"/>
      <c r="AT268" s="241"/>
      <c r="AU268" s="241"/>
      <c r="AV268" s="241"/>
      <c r="AW268" s="241"/>
      <c r="AX268" s="241"/>
      <c r="AY268" s="241"/>
      <c r="AZ268" s="241"/>
      <c r="BA268" s="241"/>
      <c r="BB268" s="241"/>
      <c r="BC268" s="241"/>
      <c r="BD268" s="241"/>
      <c r="BE268" s="241"/>
      <c r="BF268" s="241"/>
      <c r="BG268" s="241"/>
      <c r="BH268" s="241"/>
      <c r="BI268" s="241"/>
      <c r="BJ268" s="241"/>
      <c r="BK268" s="241"/>
      <c r="BL268" s="241"/>
      <c r="BM268" s="241"/>
    </row>
    <row r="269" spans="1:65" ht="13.5" customHeight="1" x14ac:dyDescent="0.3">
      <c r="A269" s="241"/>
      <c r="B269" s="241"/>
      <c r="C269" s="241"/>
      <c r="D269" s="241"/>
      <c r="E269" s="241"/>
      <c r="F269" s="241"/>
      <c r="G269" s="241"/>
      <c r="H269" s="241"/>
      <c r="I269" s="241"/>
      <c r="J269" s="241"/>
      <c r="K269" s="241"/>
      <c r="L269" s="241"/>
      <c r="M269" s="241"/>
      <c r="N269" s="241"/>
      <c r="O269" s="241"/>
      <c r="P269" s="241"/>
      <c r="Q269" s="241"/>
      <c r="R269" s="241"/>
      <c r="S269" s="241"/>
      <c r="T269" s="241"/>
      <c r="U269" s="241"/>
      <c r="V269" s="241"/>
      <c r="W269" s="241"/>
      <c r="X269" s="241"/>
      <c r="Y269" s="241"/>
      <c r="Z269" s="241"/>
      <c r="AA269" s="241"/>
      <c r="AB269" s="241"/>
      <c r="AC269" s="241"/>
      <c r="AD269" s="241"/>
      <c r="AE269" s="241"/>
      <c r="AF269" s="241"/>
      <c r="AG269" s="241"/>
      <c r="AH269" s="241"/>
      <c r="AI269" s="241"/>
      <c r="AJ269" s="241"/>
      <c r="AK269" s="241"/>
      <c r="AL269" s="241"/>
      <c r="AM269" s="241"/>
      <c r="AN269" s="241"/>
      <c r="AO269" s="241"/>
      <c r="AP269" s="241"/>
      <c r="AQ269" s="241"/>
      <c r="AR269" s="241"/>
      <c r="AS269" s="241"/>
      <c r="AT269" s="241"/>
      <c r="AU269" s="241"/>
      <c r="AV269" s="241"/>
      <c r="AW269" s="241"/>
      <c r="AX269" s="241"/>
      <c r="AY269" s="241"/>
      <c r="AZ269" s="241"/>
      <c r="BA269" s="241"/>
      <c r="BB269" s="241"/>
      <c r="BC269" s="241"/>
      <c r="BD269" s="241"/>
      <c r="BE269" s="241"/>
      <c r="BF269" s="241"/>
      <c r="BG269" s="241"/>
      <c r="BH269" s="241"/>
      <c r="BI269" s="241"/>
      <c r="BJ269" s="241"/>
      <c r="BK269" s="241"/>
      <c r="BL269" s="241"/>
      <c r="BM269" s="241"/>
    </row>
    <row r="270" spans="1:65" ht="13.5" customHeight="1" x14ac:dyDescent="0.3">
      <c r="A270" s="241"/>
      <c r="B270" s="241"/>
      <c r="C270" s="241"/>
      <c r="D270" s="241"/>
      <c r="E270" s="241"/>
      <c r="F270" s="241"/>
      <c r="G270" s="241"/>
      <c r="H270" s="241"/>
      <c r="I270" s="241"/>
      <c r="J270" s="241"/>
      <c r="K270" s="241"/>
      <c r="L270" s="241"/>
      <c r="M270" s="241"/>
      <c r="N270" s="241"/>
      <c r="O270" s="241"/>
      <c r="P270" s="241"/>
      <c r="Q270" s="241"/>
      <c r="R270" s="241"/>
      <c r="S270" s="241"/>
      <c r="T270" s="241"/>
      <c r="U270" s="241"/>
      <c r="V270" s="241"/>
      <c r="W270" s="241"/>
      <c r="X270" s="241"/>
      <c r="Y270" s="241"/>
      <c r="Z270" s="241"/>
      <c r="AA270" s="241"/>
      <c r="AB270" s="241"/>
      <c r="AC270" s="241"/>
      <c r="AD270" s="241"/>
      <c r="AE270" s="241"/>
      <c r="AF270" s="241"/>
      <c r="AG270" s="241"/>
      <c r="AH270" s="241"/>
      <c r="AI270" s="241"/>
      <c r="AJ270" s="241"/>
      <c r="AK270" s="241"/>
      <c r="AL270" s="241"/>
      <c r="AM270" s="241"/>
      <c r="AN270" s="241"/>
      <c r="AO270" s="241"/>
      <c r="AP270" s="241"/>
      <c r="AQ270" s="241"/>
      <c r="AR270" s="241"/>
      <c r="AS270" s="241"/>
      <c r="AT270" s="241"/>
      <c r="AU270" s="241"/>
      <c r="AV270" s="241"/>
      <c r="AW270" s="241"/>
      <c r="AX270" s="241"/>
      <c r="AY270" s="241"/>
      <c r="AZ270" s="241"/>
      <c r="BA270" s="241"/>
      <c r="BB270" s="241"/>
      <c r="BC270" s="241"/>
      <c r="BD270" s="241"/>
      <c r="BE270" s="241"/>
      <c r="BF270" s="241"/>
      <c r="BG270" s="241"/>
      <c r="BH270" s="241"/>
      <c r="BI270" s="241"/>
      <c r="BJ270" s="241"/>
      <c r="BK270" s="241"/>
      <c r="BL270" s="241"/>
      <c r="BM270" s="241"/>
    </row>
    <row r="271" spans="1:65" ht="13.5" customHeight="1" x14ac:dyDescent="0.3">
      <c r="A271" s="241"/>
      <c r="B271" s="241"/>
      <c r="C271" s="241"/>
      <c r="D271" s="241"/>
      <c r="E271" s="241"/>
      <c r="F271" s="241"/>
      <c r="G271" s="241"/>
      <c r="H271" s="241"/>
      <c r="I271" s="241"/>
      <c r="J271" s="241"/>
      <c r="K271" s="241"/>
      <c r="L271" s="241"/>
      <c r="M271" s="241"/>
      <c r="N271" s="241"/>
      <c r="O271" s="241"/>
      <c r="P271" s="241"/>
      <c r="Q271" s="241"/>
      <c r="R271" s="241"/>
      <c r="S271" s="241"/>
      <c r="T271" s="241"/>
      <c r="U271" s="241"/>
      <c r="V271" s="241"/>
      <c r="W271" s="241"/>
      <c r="X271" s="241"/>
      <c r="Y271" s="241"/>
      <c r="Z271" s="241"/>
      <c r="AA271" s="241"/>
      <c r="AB271" s="241"/>
      <c r="AC271" s="241"/>
      <c r="AD271" s="241"/>
      <c r="AE271" s="241"/>
      <c r="AF271" s="241"/>
      <c r="AG271" s="241"/>
      <c r="AH271" s="241"/>
      <c r="AI271" s="241"/>
      <c r="AJ271" s="241"/>
      <c r="AK271" s="241"/>
      <c r="AL271" s="241"/>
      <c r="AM271" s="241"/>
      <c r="AN271" s="241"/>
      <c r="AO271" s="241"/>
      <c r="AP271" s="241"/>
      <c r="AQ271" s="241"/>
      <c r="AR271" s="241"/>
      <c r="AS271" s="241"/>
      <c r="AT271" s="241"/>
      <c r="AU271" s="241"/>
      <c r="AV271" s="241"/>
      <c r="AW271" s="241"/>
      <c r="AX271" s="241"/>
      <c r="AY271" s="241"/>
      <c r="AZ271" s="241"/>
      <c r="BA271" s="241"/>
      <c r="BB271" s="241"/>
      <c r="BC271" s="241"/>
      <c r="BD271" s="241"/>
      <c r="BE271" s="241"/>
      <c r="BF271" s="241"/>
      <c r="BG271" s="241"/>
      <c r="BH271" s="241"/>
      <c r="BI271" s="241"/>
      <c r="BJ271" s="241"/>
      <c r="BK271" s="241"/>
      <c r="BL271" s="241"/>
      <c r="BM271" s="241"/>
    </row>
    <row r="272" spans="1:65" ht="13.5" customHeight="1" x14ac:dyDescent="0.3">
      <c r="A272" s="241"/>
      <c r="B272" s="241"/>
      <c r="C272" s="241"/>
      <c r="D272" s="241"/>
      <c r="E272" s="241"/>
      <c r="F272" s="241"/>
      <c r="G272" s="241"/>
      <c r="H272" s="241"/>
      <c r="I272" s="241"/>
      <c r="J272" s="241"/>
      <c r="K272" s="241"/>
      <c r="L272" s="241"/>
      <c r="M272" s="241"/>
      <c r="N272" s="241"/>
      <c r="O272" s="241"/>
      <c r="P272" s="241"/>
      <c r="Q272" s="241"/>
      <c r="R272" s="241"/>
      <c r="S272" s="241"/>
      <c r="T272" s="241"/>
      <c r="U272" s="241"/>
      <c r="V272" s="241"/>
      <c r="W272" s="241"/>
      <c r="X272" s="241"/>
      <c r="Y272" s="241"/>
      <c r="Z272" s="241"/>
      <c r="AA272" s="241"/>
      <c r="AB272" s="241"/>
      <c r="AC272" s="241"/>
      <c r="AD272" s="241"/>
      <c r="AE272" s="241"/>
      <c r="AF272" s="241"/>
      <c r="AG272" s="241"/>
      <c r="AH272" s="241"/>
      <c r="AI272" s="241"/>
      <c r="AJ272" s="241"/>
      <c r="AK272" s="241"/>
      <c r="AL272" s="241"/>
      <c r="AM272" s="241"/>
      <c r="AN272" s="241"/>
      <c r="AO272" s="241"/>
      <c r="AP272" s="241"/>
      <c r="AQ272" s="241"/>
      <c r="AR272" s="241"/>
      <c r="AS272" s="241"/>
      <c r="AT272" s="241"/>
      <c r="AU272" s="241"/>
      <c r="AV272" s="241"/>
      <c r="AW272" s="241"/>
      <c r="AX272" s="241"/>
      <c r="AY272" s="241"/>
      <c r="AZ272" s="241"/>
      <c r="BA272" s="241"/>
      <c r="BB272" s="241"/>
      <c r="BC272" s="241"/>
      <c r="BD272" s="241"/>
      <c r="BE272" s="241"/>
      <c r="BF272" s="241"/>
      <c r="BG272" s="241"/>
      <c r="BH272" s="241"/>
      <c r="BI272" s="241"/>
      <c r="BJ272" s="241"/>
      <c r="BK272" s="241"/>
      <c r="BL272" s="241"/>
      <c r="BM272" s="241"/>
    </row>
    <row r="273" spans="1:65" ht="13.5" customHeight="1" x14ac:dyDescent="0.3">
      <c r="A273" s="241"/>
      <c r="B273" s="241"/>
      <c r="C273" s="241"/>
      <c r="D273" s="241"/>
      <c r="E273" s="241"/>
      <c r="F273" s="241"/>
      <c r="G273" s="241"/>
      <c r="H273" s="241"/>
      <c r="I273" s="241"/>
      <c r="J273" s="241"/>
      <c r="K273" s="241"/>
      <c r="L273" s="241"/>
      <c r="M273" s="241"/>
      <c r="N273" s="241"/>
      <c r="O273" s="241"/>
      <c r="P273" s="241"/>
      <c r="Q273" s="241"/>
      <c r="R273" s="241"/>
      <c r="S273" s="241"/>
      <c r="T273" s="241"/>
      <c r="U273" s="241"/>
      <c r="V273" s="241"/>
      <c r="W273" s="241"/>
      <c r="X273" s="241"/>
      <c r="Y273" s="241"/>
      <c r="Z273" s="241"/>
      <c r="AA273" s="241"/>
      <c r="AB273" s="241"/>
      <c r="AC273" s="241"/>
      <c r="AD273" s="241"/>
      <c r="AE273" s="241"/>
      <c r="AF273" s="241"/>
      <c r="AG273" s="241"/>
      <c r="AH273" s="241"/>
      <c r="AI273" s="241"/>
      <c r="AJ273" s="241"/>
      <c r="AK273" s="241"/>
      <c r="AL273" s="241"/>
      <c r="AM273" s="241"/>
      <c r="AN273" s="241"/>
      <c r="AO273" s="241"/>
      <c r="AP273" s="241"/>
      <c r="AQ273" s="241"/>
      <c r="AR273" s="241"/>
      <c r="AS273" s="241"/>
      <c r="AT273" s="241"/>
      <c r="AU273" s="241"/>
      <c r="AV273" s="241"/>
      <c r="AW273" s="241"/>
      <c r="AX273" s="241"/>
      <c r="AY273" s="241"/>
      <c r="AZ273" s="241"/>
      <c r="BA273" s="241"/>
      <c r="BB273" s="241"/>
      <c r="BC273" s="241"/>
      <c r="BD273" s="241"/>
      <c r="BE273" s="241"/>
      <c r="BF273" s="241"/>
      <c r="BG273" s="241"/>
      <c r="BH273" s="241"/>
      <c r="BI273" s="241"/>
      <c r="BJ273" s="241"/>
      <c r="BK273" s="241"/>
      <c r="BL273" s="241"/>
      <c r="BM273" s="241"/>
    </row>
    <row r="274" spans="1:65" ht="13.5" customHeight="1" x14ac:dyDescent="0.3">
      <c r="A274" s="241"/>
      <c r="B274" s="241"/>
      <c r="C274" s="241"/>
      <c r="D274" s="241"/>
      <c r="E274" s="241"/>
      <c r="F274" s="241"/>
      <c r="G274" s="241"/>
      <c r="H274" s="241"/>
      <c r="I274" s="241"/>
      <c r="J274" s="241"/>
      <c r="K274" s="241"/>
      <c r="L274" s="241"/>
      <c r="M274" s="241"/>
      <c r="N274" s="241"/>
      <c r="O274" s="241"/>
      <c r="P274" s="241"/>
      <c r="Q274" s="241"/>
      <c r="R274" s="241"/>
      <c r="S274" s="241"/>
      <c r="T274" s="241"/>
      <c r="U274" s="241"/>
      <c r="V274" s="241"/>
      <c r="W274" s="241"/>
      <c r="X274" s="241"/>
      <c r="Y274" s="241"/>
      <c r="Z274" s="241"/>
      <c r="AA274" s="241"/>
      <c r="AB274" s="241"/>
      <c r="AC274" s="241"/>
      <c r="AD274" s="241"/>
      <c r="AE274" s="241"/>
      <c r="AF274" s="241"/>
      <c r="AG274" s="241"/>
      <c r="AH274" s="241"/>
      <c r="AI274" s="241"/>
      <c r="AJ274" s="241"/>
      <c r="AK274" s="241"/>
      <c r="AL274" s="241"/>
      <c r="AM274" s="241"/>
      <c r="AN274" s="241"/>
      <c r="AO274" s="241"/>
      <c r="AP274" s="241"/>
      <c r="AQ274" s="241"/>
      <c r="AR274" s="241"/>
      <c r="AS274" s="241"/>
      <c r="AT274" s="241"/>
      <c r="AU274" s="241"/>
      <c r="AV274" s="241"/>
      <c r="AW274" s="241"/>
      <c r="AX274" s="241"/>
      <c r="AY274" s="241"/>
      <c r="AZ274" s="241"/>
      <c r="BA274" s="241"/>
      <c r="BB274" s="241"/>
      <c r="BC274" s="241"/>
      <c r="BD274" s="241"/>
      <c r="BE274" s="241"/>
      <c r="BF274" s="241"/>
      <c r="BG274" s="241"/>
      <c r="BH274" s="241"/>
      <c r="BI274" s="241"/>
      <c r="BJ274" s="241"/>
      <c r="BK274" s="241"/>
      <c r="BL274" s="241"/>
      <c r="BM274" s="241"/>
    </row>
    <row r="275" spans="1:65" ht="13.5" customHeight="1" x14ac:dyDescent="0.3">
      <c r="A275" s="241"/>
      <c r="B275" s="241"/>
      <c r="C275" s="241"/>
      <c r="D275" s="241"/>
      <c r="E275" s="241"/>
      <c r="F275" s="241"/>
      <c r="G275" s="241"/>
      <c r="H275" s="241"/>
      <c r="I275" s="241"/>
      <c r="J275" s="241"/>
      <c r="K275" s="241"/>
      <c r="L275" s="241"/>
      <c r="M275" s="241"/>
      <c r="N275" s="241"/>
      <c r="O275" s="241"/>
      <c r="P275" s="241"/>
      <c r="Q275" s="241"/>
      <c r="R275" s="241"/>
      <c r="S275" s="241"/>
      <c r="T275" s="241"/>
      <c r="U275" s="241"/>
      <c r="V275" s="241"/>
      <c r="W275" s="241"/>
      <c r="X275" s="241"/>
      <c r="Y275" s="241"/>
      <c r="Z275" s="241"/>
      <c r="AA275" s="241"/>
      <c r="AB275" s="241"/>
      <c r="AC275" s="241"/>
      <c r="AD275" s="241"/>
      <c r="AE275" s="241"/>
      <c r="AF275" s="241"/>
      <c r="AG275" s="241"/>
      <c r="AH275" s="241"/>
      <c r="AI275" s="241"/>
      <c r="AJ275" s="241"/>
      <c r="AK275" s="241"/>
      <c r="AL275" s="241"/>
      <c r="AM275" s="241"/>
      <c r="AN275" s="241"/>
      <c r="AO275" s="241"/>
      <c r="AP275" s="241"/>
      <c r="AQ275" s="241"/>
      <c r="AR275" s="241"/>
      <c r="AS275" s="241"/>
      <c r="AT275" s="241"/>
      <c r="AU275" s="241"/>
      <c r="AV275" s="241"/>
      <c r="AW275" s="241"/>
      <c r="AX275" s="241"/>
      <c r="AY275" s="241"/>
      <c r="AZ275" s="241"/>
      <c r="BA275" s="241"/>
      <c r="BB275" s="241"/>
      <c r="BC275" s="241"/>
      <c r="BD275" s="241"/>
      <c r="BE275" s="241"/>
      <c r="BF275" s="241"/>
      <c r="BG275" s="241"/>
      <c r="BH275" s="241"/>
      <c r="BI275" s="241"/>
      <c r="BJ275" s="241"/>
      <c r="BK275" s="241"/>
      <c r="BL275" s="241"/>
      <c r="BM275" s="241"/>
    </row>
    <row r="276" spans="1:65" ht="13.5" customHeight="1" x14ac:dyDescent="0.3">
      <c r="A276" s="241"/>
      <c r="B276" s="241"/>
      <c r="C276" s="241"/>
      <c r="D276" s="241"/>
      <c r="E276" s="241"/>
      <c r="F276" s="241"/>
      <c r="G276" s="241"/>
      <c r="H276" s="241"/>
      <c r="I276" s="241"/>
      <c r="J276" s="241"/>
      <c r="K276" s="241"/>
      <c r="L276" s="241"/>
      <c r="M276" s="241"/>
      <c r="N276" s="241"/>
      <c r="O276" s="241"/>
      <c r="P276" s="241"/>
      <c r="Q276" s="241"/>
      <c r="R276" s="241"/>
      <c r="S276" s="241"/>
      <c r="T276" s="241"/>
      <c r="U276" s="241"/>
      <c r="V276" s="241"/>
      <c r="W276" s="241"/>
      <c r="X276" s="241"/>
      <c r="Y276" s="241"/>
      <c r="Z276" s="241"/>
      <c r="AA276" s="241"/>
      <c r="AB276" s="241"/>
      <c r="AC276" s="241"/>
      <c r="AD276" s="241"/>
      <c r="AE276" s="241"/>
      <c r="AF276" s="241"/>
      <c r="AG276" s="241"/>
      <c r="AH276" s="241"/>
      <c r="AI276" s="241"/>
      <c r="AJ276" s="241"/>
      <c r="AK276" s="241"/>
      <c r="AL276" s="241"/>
      <c r="AM276" s="241"/>
      <c r="AN276" s="241"/>
      <c r="AO276" s="241"/>
      <c r="AP276" s="241"/>
      <c r="AQ276" s="241"/>
      <c r="AR276" s="241"/>
      <c r="AS276" s="241"/>
      <c r="AT276" s="241"/>
      <c r="AU276" s="241"/>
      <c r="AV276" s="241"/>
      <c r="AW276" s="241"/>
      <c r="AX276" s="241"/>
      <c r="AY276" s="241"/>
      <c r="AZ276" s="241"/>
      <c r="BA276" s="241"/>
      <c r="BB276" s="241"/>
      <c r="BC276" s="241"/>
      <c r="BD276" s="241"/>
      <c r="BE276" s="241"/>
      <c r="BF276" s="241"/>
      <c r="BG276" s="241"/>
      <c r="BH276" s="241"/>
      <c r="BI276" s="241"/>
      <c r="BJ276" s="241"/>
      <c r="BK276" s="241"/>
      <c r="BL276" s="241"/>
      <c r="BM276" s="241"/>
    </row>
    <row r="277" spans="1:65" ht="13.5" customHeight="1" x14ac:dyDescent="0.3">
      <c r="A277" s="241"/>
      <c r="B277" s="241"/>
      <c r="C277" s="241"/>
      <c r="D277" s="241"/>
      <c r="E277" s="241"/>
      <c r="F277" s="241"/>
      <c r="G277" s="241"/>
      <c r="H277" s="241"/>
      <c r="I277" s="241"/>
      <c r="J277" s="241"/>
      <c r="K277" s="241"/>
      <c r="L277" s="241"/>
      <c r="M277" s="241"/>
      <c r="N277" s="241"/>
      <c r="O277" s="241"/>
      <c r="P277" s="241"/>
      <c r="Q277" s="241"/>
      <c r="R277" s="241"/>
      <c r="S277" s="241"/>
      <c r="T277" s="241"/>
      <c r="U277" s="241"/>
      <c r="V277" s="241"/>
      <c r="W277" s="241"/>
      <c r="X277" s="241"/>
      <c r="Y277" s="241"/>
      <c r="Z277" s="241"/>
      <c r="AA277" s="241"/>
      <c r="AB277" s="241"/>
      <c r="AC277" s="241"/>
      <c r="AD277" s="241"/>
      <c r="AE277" s="241"/>
      <c r="AF277" s="241"/>
      <c r="AG277" s="241"/>
      <c r="AH277" s="241"/>
      <c r="AI277" s="241"/>
      <c r="AJ277" s="241"/>
      <c r="AK277" s="241"/>
      <c r="AL277" s="241"/>
      <c r="AM277" s="241"/>
      <c r="AN277" s="241"/>
      <c r="AO277" s="241"/>
      <c r="AP277" s="241"/>
      <c r="AQ277" s="241"/>
      <c r="AR277" s="241"/>
      <c r="AS277" s="241"/>
      <c r="AT277" s="241"/>
      <c r="AU277" s="241"/>
      <c r="AV277" s="241"/>
      <c r="AW277" s="241"/>
      <c r="AX277" s="241"/>
      <c r="AY277" s="241"/>
      <c r="AZ277" s="241"/>
      <c r="BA277" s="241"/>
      <c r="BB277" s="241"/>
      <c r="BC277" s="241"/>
      <c r="BD277" s="241"/>
      <c r="BE277" s="241"/>
      <c r="BF277" s="241"/>
      <c r="BG277" s="241"/>
      <c r="BH277" s="241"/>
      <c r="BI277" s="241"/>
      <c r="BJ277" s="241"/>
      <c r="BK277" s="241"/>
      <c r="BL277" s="241"/>
      <c r="BM277" s="241"/>
    </row>
    <row r="278" spans="1:65" ht="13.5" customHeight="1" x14ac:dyDescent="0.3">
      <c r="A278" s="241"/>
      <c r="B278" s="241"/>
      <c r="C278" s="241"/>
      <c r="D278" s="241"/>
      <c r="E278" s="241"/>
      <c r="F278" s="241"/>
      <c r="G278" s="241"/>
      <c r="H278" s="241"/>
      <c r="I278" s="241"/>
      <c r="J278" s="241"/>
      <c r="K278" s="241"/>
      <c r="L278" s="241"/>
      <c r="M278" s="241"/>
      <c r="N278" s="241"/>
      <c r="O278" s="241"/>
      <c r="P278" s="241"/>
      <c r="Q278" s="241"/>
      <c r="R278" s="241"/>
      <c r="S278" s="241"/>
      <c r="T278" s="241"/>
      <c r="U278" s="241"/>
      <c r="V278" s="241"/>
      <c r="W278" s="241"/>
      <c r="X278" s="241"/>
      <c r="Y278" s="241"/>
      <c r="Z278" s="241"/>
      <c r="AA278" s="241"/>
      <c r="AB278" s="241"/>
      <c r="AC278" s="241"/>
      <c r="AD278" s="241"/>
      <c r="AE278" s="241"/>
      <c r="AF278" s="241"/>
      <c r="AG278" s="241"/>
      <c r="AH278" s="241"/>
      <c r="AI278" s="241"/>
      <c r="AJ278" s="241"/>
      <c r="AK278" s="241"/>
      <c r="AL278" s="241"/>
      <c r="AM278" s="241"/>
      <c r="AN278" s="241"/>
      <c r="AO278" s="241"/>
      <c r="AP278" s="241"/>
      <c r="AQ278" s="241"/>
      <c r="AR278" s="241"/>
      <c r="AS278" s="241"/>
      <c r="AT278" s="241"/>
      <c r="AU278" s="241"/>
      <c r="AV278" s="241"/>
      <c r="AW278" s="241"/>
      <c r="AX278" s="241"/>
      <c r="AY278" s="241"/>
      <c r="AZ278" s="241"/>
      <c r="BA278" s="241"/>
      <c r="BB278" s="241"/>
      <c r="BC278" s="241"/>
      <c r="BD278" s="241"/>
      <c r="BE278" s="241"/>
      <c r="BF278" s="241"/>
      <c r="BG278" s="241"/>
      <c r="BH278" s="241"/>
      <c r="BI278" s="241"/>
      <c r="BJ278" s="241"/>
      <c r="BK278" s="241"/>
      <c r="BL278" s="241"/>
      <c r="BM278" s="241"/>
    </row>
    <row r="279" spans="1:65" ht="13.5" customHeight="1" x14ac:dyDescent="0.3">
      <c r="A279" s="241"/>
      <c r="B279" s="241"/>
      <c r="C279" s="241"/>
      <c r="D279" s="241"/>
      <c r="E279" s="241"/>
      <c r="F279" s="241"/>
      <c r="G279" s="241"/>
      <c r="H279" s="241"/>
      <c r="I279" s="241"/>
      <c r="J279" s="241"/>
      <c r="K279" s="241"/>
      <c r="L279" s="241"/>
      <c r="M279" s="241"/>
      <c r="N279" s="241"/>
      <c r="O279" s="241"/>
      <c r="P279" s="241"/>
      <c r="Q279" s="241"/>
      <c r="R279" s="241"/>
      <c r="S279" s="241"/>
      <c r="T279" s="241"/>
      <c r="U279" s="241"/>
      <c r="V279" s="241"/>
      <c r="W279" s="241"/>
      <c r="X279" s="241"/>
      <c r="Y279" s="241"/>
      <c r="Z279" s="241"/>
      <c r="AA279" s="241"/>
      <c r="AB279" s="241"/>
      <c r="AC279" s="241"/>
      <c r="AD279" s="241"/>
      <c r="AE279" s="241"/>
      <c r="AF279" s="241"/>
      <c r="AG279" s="241"/>
      <c r="AH279" s="241"/>
      <c r="AI279" s="241"/>
      <c r="AJ279" s="241"/>
      <c r="AK279" s="241"/>
      <c r="AL279" s="241"/>
      <c r="AM279" s="241"/>
      <c r="AN279" s="241"/>
      <c r="AO279" s="241"/>
      <c r="AP279" s="241"/>
      <c r="AQ279" s="241"/>
      <c r="AR279" s="241"/>
      <c r="AS279" s="241"/>
      <c r="AT279" s="241"/>
      <c r="AU279" s="241"/>
      <c r="AV279" s="241"/>
      <c r="AW279" s="241"/>
      <c r="AX279" s="241"/>
      <c r="AY279" s="241"/>
      <c r="AZ279" s="241"/>
      <c r="BA279" s="241"/>
      <c r="BB279" s="241"/>
      <c r="BC279" s="241"/>
      <c r="BD279" s="241"/>
      <c r="BE279" s="241"/>
      <c r="BF279" s="241"/>
      <c r="BG279" s="241"/>
      <c r="BH279" s="241"/>
      <c r="BI279" s="241"/>
      <c r="BJ279" s="241"/>
      <c r="BK279" s="241"/>
      <c r="BL279" s="241"/>
      <c r="BM279" s="241"/>
    </row>
    <row r="280" spans="1:65" ht="13.5" customHeight="1" x14ac:dyDescent="0.3">
      <c r="A280" s="241"/>
      <c r="B280" s="241"/>
      <c r="C280" s="241"/>
      <c r="D280" s="241"/>
      <c r="E280" s="241"/>
      <c r="F280" s="241"/>
      <c r="G280" s="241"/>
      <c r="H280" s="241"/>
      <c r="I280" s="241"/>
      <c r="J280" s="241"/>
      <c r="K280" s="241"/>
      <c r="L280" s="241"/>
      <c r="M280" s="241"/>
      <c r="N280" s="241"/>
      <c r="O280" s="241"/>
      <c r="P280" s="241"/>
      <c r="Q280" s="241"/>
      <c r="R280" s="241"/>
      <c r="S280" s="241"/>
      <c r="T280" s="241"/>
      <c r="U280" s="241"/>
      <c r="V280" s="241"/>
      <c r="W280" s="241"/>
      <c r="X280" s="241"/>
      <c r="Y280" s="241"/>
      <c r="Z280" s="241"/>
      <c r="AA280" s="241"/>
      <c r="AB280" s="241"/>
      <c r="AC280" s="241"/>
      <c r="AD280" s="241"/>
      <c r="AE280" s="241"/>
      <c r="AF280" s="241"/>
      <c r="AG280" s="241"/>
      <c r="AH280" s="241"/>
      <c r="AI280" s="241"/>
      <c r="AJ280" s="241"/>
      <c r="AK280" s="241"/>
      <c r="AL280" s="241"/>
      <c r="AM280" s="241"/>
      <c r="AN280" s="241"/>
      <c r="AO280" s="241"/>
      <c r="AP280" s="241"/>
      <c r="AQ280" s="241"/>
      <c r="AR280" s="241"/>
      <c r="AS280" s="241"/>
      <c r="AT280" s="241"/>
      <c r="AU280" s="241"/>
      <c r="AV280" s="241"/>
      <c r="AW280" s="241"/>
      <c r="AX280" s="241"/>
      <c r="AY280" s="241"/>
      <c r="AZ280" s="241"/>
      <c r="BA280" s="241"/>
      <c r="BB280" s="241"/>
      <c r="BC280" s="241"/>
      <c r="BD280" s="241"/>
      <c r="BE280" s="241"/>
      <c r="BF280" s="241"/>
      <c r="BG280" s="241"/>
      <c r="BH280" s="241"/>
      <c r="BI280" s="241"/>
      <c r="BJ280" s="241"/>
      <c r="BK280" s="241"/>
      <c r="BL280" s="241"/>
      <c r="BM280" s="241"/>
    </row>
    <row r="281" spans="1:65" ht="13.5" customHeight="1" x14ac:dyDescent="0.3">
      <c r="A281" s="241"/>
      <c r="B281" s="241"/>
      <c r="C281" s="241"/>
      <c r="D281" s="241"/>
      <c r="E281" s="241"/>
      <c r="F281" s="241"/>
      <c r="G281" s="241"/>
      <c r="H281" s="241"/>
      <c r="I281" s="241"/>
      <c r="J281" s="241"/>
      <c r="K281" s="241"/>
      <c r="L281" s="241"/>
      <c r="M281" s="241"/>
      <c r="N281" s="241"/>
      <c r="O281" s="241"/>
      <c r="P281" s="241"/>
      <c r="Q281" s="241"/>
      <c r="R281" s="241"/>
      <c r="S281" s="241"/>
      <c r="T281" s="241"/>
      <c r="U281" s="241"/>
      <c r="V281" s="241"/>
      <c r="W281" s="241"/>
      <c r="X281" s="241"/>
      <c r="Y281" s="241"/>
      <c r="Z281" s="241"/>
      <c r="AA281" s="241"/>
      <c r="AB281" s="241"/>
      <c r="AC281" s="241"/>
      <c r="AD281" s="241"/>
      <c r="AE281" s="241"/>
      <c r="AF281" s="241"/>
      <c r="AG281" s="241"/>
      <c r="AH281" s="241"/>
      <c r="AI281" s="241"/>
      <c r="AJ281" s="241"/>
      <c r="AK281" s="241"/>
      <c r="AL281" s="241"/>
      <c r="AM281" s="241"/>
      <c r="AN281" s="241"/>
      <c r="AO281" s="241"/>
      <c r="AP281" s="241"/>
      <c r="AQ281" s="241"/>
      <c r="AR281" s="241"/>
      <c r="AS281" s="241"/>
      <c r="AT281" s="241"/>
      <c r="AU281" s="241"/>
      <c r="AV281" s="241"/>
      <c r="AW281" s="241"/>
      <c r="AX281" s="241"/>
      <c r="AY281" s="241"/>
      <c r="AZ281" s="241"/>
      <c r="BA281" s="241"/>
      <c r="BB281" s="241"/>
      <c r="BC281" s="241"/>
      <c r="BD281" s="241"/>
      <c r="BE281" s="241"/>
      <c r="BF281" s="241"/>
      <c r="BG281" s="241"/>
      <c r="BH281" s="241"/>
      <c r="BI281" s="241"/>
      <c r="BJ281" s="241"/>
      <c r="BK281" s="241"/>
      <c r="BL281" s="241"/>
      <c r="BM281" s="241"/>
    </row>
    <row r="282" spans="1:65" ht="13.5" customHeight="1" x14ac:dyDescent="0.3">
      <c r="A282" s="241"/>
      <c r="B282" s="241"/>
      <c r="C282" s="241"/>
      <c r="D282" s="241"/>
      <c r="E282" s="241"/>
      <c r="F282" s="241"/>
      <c r="G282" s="241"/>
      <c r="H282" s="241"/>
      <c r="I282" s="241"/>
      <c r="J282" s="241"/>
      <c r="K282" s="241"/>
      <c r="L282" s="241"/>
      <c r="M282" s="241"/>
      <c r="N282" s="241"/>
      <c r="O282" s="241"/>
      <c r="P282" s="241"/>
      <c r="Q282" s="241"/>
      <c r="R282" s="241"/>
      <c r="S282" s="241"/>
      <c r="T282" s="241"/>
      <c r="U282" s="241"/>
      <c r="V282" s="241"/>
      <c r="W282" s="241"/>
      <c r="X282" s="241"/>
      <c r="Y282" s="241"/>
      <c r="Z282" s="241"/>
      <c r="AA282" s="241"/>
      <c r="AB282" s="241"/>
      <c r="AC282" s="241"/>
      <c r="AD282" s="241"/>
      <c r="AE282" s="241"/>
      <c r="AF282" s="241"/>
      <c r="AG282" s="241"/>
      <c r="AH282" s="241"/>
      <c r="AI282" s="241"/>
      <c r="AJ282" s="241"/>
      <c r="AK282" s="241"/>
      <c r="AL282" s="241"/>
      <c r="AM282" s="241"/>
      <c r="AN282" s="241"/>
      <c r="AO282" s="241"/>
      <c r="AP282" s="241"/>
      <c r="AQ282" s="241"/>
      <c r="AR282" s="241"/>
      <c r="AS282" s="241"/>
      <c r="AT282" s="241"/>
      <c r="AU282" s="241"/>
      <c r="AV282" s="241"/>
      <c r="AW282" s="241"/>
      <c r="AX282" s="241"/>
      <c r="AY282" s="241"/>
      <c r="AZ282" s="241"/>
      <c r="BA282" s="241"/>
      <c r="BB282" s="241"/>
      <c r="BC282" s="241"/>
      <c r="BD282" s="241"/>
      <c r="BE282" s="241"/>
      <c r="BF282" s="241"/>
      <c r="BG282" s="241"/>
      <c r="BH282" s="241"/>
      <c r="BI282" s="241"/>
      <c r="BJ282" s="241"/>
      <c r="BK282" s="241"/>
      <c r="BL282" s="241"/>
      <c r="BM282" s="241"/>
    </row>
    <row r="283" spans="1:65" ht="13.5" customHeight="1" x14ac:dyDescent="0.3">
      <c r="A283" s="241"/>
      <c r="B283" s="241"/>
      <c r="C283" s="241"/>
      <c r="D283" s="241"/>
      <c r="E283" s="241"/>
      <c r="F283" s="241"/>
      <c r="G283" s="241"/>
      <c r="H283" s="241"/>
      <c r="I283" s="241"/>
      <c r="J283" s="241"/>
      <c r="K283" s="241"/>
      <c r="L283" s="241"/>
      <c r="M283" s="241"/>
      <c r="N283" s="241"/>
      <c r="O283" s="241"/>
      <c r="P283" s="241"/>
      <c r="Q283" s="241"/>
      <c r="R283" s="241"/>
      <c r="S283" s="241"/>
      <c r="T283" s="241"/>
      <c r="U283" s="241"/>
      <c r="V283" s="241"/>
      <c r="W283" s="241"/>
      <c r="X283" s="241"/>
      <c r="Y283" s="241"/>
      <c r="Z283" s="241"/>
      <c r="AA283" s="241"/>
      <c r="AB283" s="241"/>
      <c r="AC283" s="241"/>
      <c r="AD283" s="241"/>
      <c r="AE283" s="241"/>
      <c r="AF283" s="241"/>
      <c r="AG283" s="241"/>
      <c r="AH283" s="241"/>
      <c r="AI283" s="241"/>
      <c r="AJ283" s="241"/>
      <c r="AK283" s="241"/>
      <c r="AL283" s="241"/>
      <c r="AM283" s="241"/>
      <c r="AN283" s="241"/>
      <c r="AO283" s="241"/>
      <c r="AP283" s="241"/>
      <c r="AQ283" s="241"/>
      <c r="AR283" s="241"/>
      <c r="AS283" s="241"/>
      <c r="AT283" s="241"/>
      <c r="AU283" s="241"/>
      <c r="AV283" s="241"/>
      <c r="AW283" s="241"/>
      <c r="AX283" s="241"/>
      <c r="AY283" s="241"/>
      <c r="AZ283" s="241"/>
      <c r="BA283" s="241"/>
      <c r="BB283" s="241"/>
      <c r="BC283" s="241"/>
      <c r="BD283" s="241"/>
      <c r="BE283" s="241"/>
      <c r="BF283" s="241"/>
      <c r="BG283" s="241"/>
      <c r="BH283" s="241"/>
      <c r="BI283" s="241"/>
      <c r="BJ283" s="241"/>
      <c r="BK283" s="241"/>
      <c r="BL283" s="241"/>
      <c r="BM283" s="241"/>
    </row>
    <row r="284" spans="1:65" ht="13.5" customHeight="1" x14ac:dyDescent="0.3">
      <c r="A284" s="241"/>
      <c r="B284" s="241"/>
      <c r="C284" s="241"/>
      <c r="D284" s="241"/>
      <c r="E284" s="241"/>
      <c r="F284" s="241"/>
      <c r="G284" s="241"/>
      <c r="H284" s="241"/>
      <c r="I284" s="241"/>
      <c r="J284" s="241"/>
      <c r="K284" s="241"/>
      <c r="L284" s="241"/>
      <c r="M284" s="241"/>
      <c r="N284" s="241"/>
      <c r="O284" s="241"/>
      <c r="P284" s="241"/>
      <c r="Q284" s="241"/>
      <c r="R284" s="241"/>
      <c r="S284" s="241"/>
      <c r="T284" s="241"/>
      <c r="U284" s="241"/>
      <c r="V284" s="241"/>
      <c r="W284" s="241"/>
      <c r="X284" s="241"/>
      <c r="Y284" s="241"/>
      <c r="Z284" s="241"/>
      <c r="AA284" s="241"/>
      <c r="AB284" s="241"/>
      <c r="AC284" s="241"/>
      <c r="AD284" s="241"/>
      <c r="AE284" s="241"/>
      <c r="AF284" s="241"/>
      <c r="AG284" s="241"/>
      <c r="AH284" s="241"/>
      <c r="AI284" s="241"/>
      <c r="AJ284" s="241"/>
      <c r="AK284" s="241"/>
      <c r="AL284" s="241"/>
      <c r="AM284" s="241"/>
      <c r="AN284" s="241"/>
      <c r="AO284" s="241"/>
      <c r="AP284" s="241"/>
      <c r="AQ284" s="241"/>
      <c r="AR284" s="241"/>
      <c r="AS284" s="241"/>
      <c r="AT284" s="241"/>
      <c r="AU284" s="241"/>
      <c r="AV284" s="241"/>
      <c r="AW284" s="241"/>
      <c r="AX284" s="241"/>
      <c r="AY284" s="241"/>
      <c r="AZ284" s="241"/>
      <c r="BA284" s="241"/>
      <c r="BB284" s="241"/>
      <c r="BC284" s="241"/>
      <c r="BD284" s="241"/>
      <c r="BE284" s="241"/>
      <c r="BF284" s="241"/>
      <c r="BG284" s="241"/>
      <c r="BH284" s="241"/>
      <c r="BI284" s="241"/>
      <c r="BJ284" s="241"/>
      <c r="BK284" s="241"/>
      <c r="BL284" s="241"/>
      <c r="BM284" s="241"/>
    </row>
    <row r="285" spans="1:65" ht="13.5" customHeight="1" x14ac:dyDescent="0.3">
      <c r="A285" s="241"/>
      <c r="B285" s="241"/>
      <c r="C285" s="241"/>
      <c r="D285" s="241"/>
      <c r="E285" s="241"/>
      <c r="F285" s="241"/>
      <c r="G285" s="241"/>
      <c r="H285" s="241"/>
      <c r="I285" s="241"/>
      <c r="J285" s="241"/>
      <c r="K285" s="241"/>
      <c r="L285" s="241"/>
      <c r="M285" s="241"/>
      <c r="N285" s="241"/>
      <c r="O285" s="241"/>
      <c r="P285" s="241"/>
      <c r="Q285" s="241"/>
      <c r="R285" s="241"/>
      <c r="S285" s="241"/>
      <c r="T285" s="241"/>
      <c r="U285" s="241"/>
      <c r="V285" s="241"/>
      <c r="W285" s="241"/>
      <c r="X285" s="241"/>
      <c r="Y285" s="241"/>
      <c r="Z285" s="241"/>
      <c r="AA285" s="241"/>
      <c r="AB285" s="241"/>
      <c r="AC285" s="241"/>
      <c r="AD285" s="241"/>
      <c r="AE285" s="241"/>
      <c r="AF285" s="241"/>
      <c r="AG285" s="241"/>
      <c r="AH285" s="241"/>
      <c r="AI285" s="241"/>
      <c r="AJ285" s="241"/>
      <c r="AK285" s="241"/>
      <c r="AL285" s="241"/>
      <c r="AM285" s="241"/>
      <c r="AN285" s="241"/>
      <c r="AO285" s="241"/>
      <c r="AP285" s="241"/>
      <c r="AQ285" s="241"/>
      <c r="AR285" s="241"/>
      <c r="AS285" s="241"/>
      <c r="AT285" s="241"/>
      <c r="AU285" s="241"/>
      <c r="AV285" s="241"/>
      <c r="AW285" s="241"/>
      <c r="AX285" s="241"/>
      <c r="AY285" s="241"/>
      <c r="AZ285" s="241"/>
      <c r="BA285" s="241"/>
      <c r="BB285" s="241"/>
      <c r="BC285" s="241"/>
      <c r="BD285" s="241"/>
      <c r="BE285" s="241"/>
      <c r="BF285" s="241"/>
      <c r="BG285" s="241"/>
      <c r="BH285" s="241"/>
      <c r="BI285" s="241"/>
      <c r="BJ285" s="241"/>
      <c r="BK285" s="241"/>
      <c r="BL285" s="241"/>
      <c r="BM285" s="241"/>
    </row>
    <row r="286" spans="1:65" ht="13.5" customHeight="1" x14ac:dyDescent="0.3">
      <c r="A286" s="241"/>
      <c r="B286" s="241"/>
      <c r="C286" s="241"/>
      <c r="D286" s="241"/>
      <c r="E286" s="241"/>
      <c r="F286" s="241"/>
      <c r="G286" s="241"/>
      <c r="H286" s="241"/>
      <c r="I286" s="241"/>
      <c r="J286" s="241"/>
      <c r="K286" s="241"/>
      <c r="L286" s="241"/>
      <c r="M286" s="241"/>
      <c r="N286" s="241"/>
      <c r="O286" s="241"/>
      <c r="P286" s="241"/>
      <c r="Q286" s="241"/>
      <c r="R286" s="241"/>
      <c r="S286" s="241"/>
      <c r="T286" s="241"/>
      <c r="U286" s="241"/>
      <c r="V286" s="241"/>
      <c r="W286" s="241"/>
      <c r="X286" s="241"/>
      <c r="Y286" s="241"/>
      <c r="Z286" s="241"/>
      <c r="AA286" s="241"/>
      <c r="AB286" s="241"/>
      <c r="AC286" s="241"/>
      <c r="AD286" s="241"/>
      <c r="AE286" s="241"/>
      <c r="AF286" s="241"/>
      <c r="AG286" s="241"/>
      <c r="AH286" s="241"/>
      <c r="AI286" s="241"/>
      <c r="AJ286" s="241"/>
      <c r="AK286" s="241"/>
      <c r="AL286" s="241"/>
      <c r="AM286" s="241"/>
      <c r="AN286" s="241"/>
      <c r="AO286" s="241"/>
      <c r="AP286" s="241"/>
      <c r="AQ286" s="241"/>
      <c r="AR286" s="241"/>
      <c r="AS286" s="241"/>
      <c r="AT286" s="241"/>
      <c r="AU286" s="241"/>
      <c r="AV286" s="241"/>
      <c r="AW286" s="241"/>
      <c r="AX286" s="241"/>
      <c r="AY286" s="241"/>
      <c r="AZ286" s="241"/>
      <c r="BA286" s="241"/>
      <c r="BB286" s="241"/>
      <c r="BC286" s="241"/>
      <c r="BD286" s="241"/>
      <c r="BE286" s="241"/>
      <c r="BF286" s="241"/>
      <c r="BG286" s="241"/>
      <c r="BH286" s="241"/>
      <c r="BI286" s="241"/>
      <c r="BJ286" s="241"/>
      <c r="BK286" s="241"/>
      <c r="BL286" s="241"/>
      <c r="BM286" s="241"/>
    </row>
    <row r="287" spans="1:65" ht="13.5" customHeight="1" x14ac:dyDescent="0.3">
      <c r="A287" s="241"/>
      <c r="B287" s="241"/>
      <c r="C287" s="241"/>
      <c r="D287" s="241"/>
      <c r="E287" s="241"/>
      <c r="F287" s="241"/>
      <c r="G287" s="241"/>
      <c r="H287" s="241"/>
      <c r="I287" s="241"/>
      <c r="J287" s="241"/>
      <c r="K287" s="241"/>
      <c r="L287" s="241"/>
      <c r="M287" s="241"/>
      <c r="N287" s="241"/>
      <c r="O287" s="241"/>
      <c r="P287" s="241"/>
      <c r="Q287" s="241"/>
      <c r="R287" s="241"/>
      <c r="S287" s="241"/>
      <c r="T287" s="241"/>
      <c r="U287" s="241"/>
      <c r="V287" s="241"/>
      <c r="W287" s="241"/>
      <c r="X287" s="241"/>
      <c r="Y287" s="241"/>
      <c r="Z287" s="241"/>
      <c r="AA287" s="241"/>
      <c r="AB287" s="241"/>
      <c r="AC287" s="241"/>
      <c r="AD287" s="241"/>
      <c r="AE287" s="241"/>
      <c r="AF287" s="241"/>
      <c r="AG287" s="241"/>
      <c r="AH287" s="241"/>
      <c r="AI287" s="241"/>
      <c r="AJ287" s="241"/>
      <c r="AK287" s="241"/>
      <c r="AL287" s="241"/>
      <c r="AM287" s="241"/>
      <c r="AN287" s="241"/>
      <c r="AO287" s="241"/>
      <c r="AP287" s="241"/>
      <c r="AQ287" s="241"/>
      <c r="AR287" s="241"/>
      <c r="AS287" s="241"/>
      <c r="AT287" s="241"/>
      <c r="AU287" s="241"/>
      <c r="AV287" s="241"/>
      <c r="AW287" s="241"/>
      <c r="AX287" s="241"/>
      <c r="AY287" s="241"/>
      <c r="AZ287" s="241"/>
      <c r="BA287" s="241"/>
      <c r="BB287" s="241"/>
      <c r="BC287" s="241"/>
      <c r="BD287" s="241"/>
      <c r="BE287" s="241"/>
      <c r="BF287" s="241"/>
      <c r="BG287" s="241"/>
      <c r="BH287" s="241"/>
      <c r="BI287" s="241"/>
      <c r="BJ287" s="241"/>
      <c r="BK287" s="241"/>
      <c r="BL287" s="241"/>
      <c r="BM287" s="241"/>
    </row>
    <row r="288" spans="1:65" ht="13.5" customHeight="1" x14ac:dyDescent="0.3">
      <c r="A288" s="241"/>
      <c r="B288" s="241"/>
      <c r="C288" s="241"/>
      <c r="D288" s="241"/>
      <c r="E288" s="241"/>
      <c r="F288" s="241"/>
      <c r="G288" s="241"/>
      <c r="H288" s="241"/>
      <c r="I288" s="241"/>
      <c r="J288" s="241"/>
      <c r="K288" s="241"/>
      <c r="L288" s="241"/>
      <c r="M288" s="241"/>
      <c r="N288" s="241"/>
      <c r="O288" s="241"/>
      <c r="P288" s="241"/>
      <c r="Q288" s="241"/>
      <c r="R288" s="241"/>
      <c r="S288" s="241"/>
      <c r="T288" s="241"/>
      <c r="U288" s="241"/>
      <c r="V288" s="241"/>
      <c r="W288" s="241"/>
      <c r="X288" s="241"/>
      <c r="Y288" s="241"/>
      <c r="Z288" s="241"/>
      <c r="AA288" s="241"/>
      <c r="AB288" s="241"/>
      <c r="AC288" s="241"/>
      <c r="AD288" s="241"/>
      <c r="AE288" s="241"/>
      <c r="AF288" s="241"/>
      <c r="AG288" s="241"/>
      <c r="AH288" s="241"/>
      <c r="AI288" s="241"/>
      <c r="AJ288" s="241"/>
      <c r="AK288" s="241"/>
      <c r="AL288" s="241"/>
      <c r="AM288" s="241"/>
      <c r="AN288" s="241"/>
      <c r="AO288" s="241"/>
      <c r="AP288" s="241"/>
      <c r="AQ288" s="241"/>
      <c r="AR288" s="241"/>
      <c r="AS288" s="241"/>
      <c r="AT288" s="241"/>
      <c r="AU288" s="241"/>
      <c r="AV288" s="241"/>
      <c r="AW288" s="241"/>
      <c r="AX288" s="241"/>
      <c r="AY288" s="241"/>
      <c r="AZ288" s="241"/>
      <c r="BA288" s="241"/>
      <c r="BB288" s="241"/>
      <c r="BC288" s="241"/>
      <c r="BD288" s="241"/>
      <c r="BE288" s="241"/>
      <c r="BF288" s="241"/>
      <c r="BG288" s="241"/>
      <c r="BH288" s="241"/>
      <c r="BI288" s="241"/>
      <c r="BJ288" s="241"/>
      <c r="BK288" s="241"/>
      <c r="BL288" s="241"/>
      <c r="BM288" s="241"/>
    </row>
    <row r="289" spans="1:65" ht="13.5" customHeight="1" x14ac:dyDescent="0.3">
      <c r="A289" s="241"/>
      <c r="B289" s="241"/>
      <c r="C289" s="241"/>
      <c r="D289" s="241"/>
      <c r="E289" s="241"/>
      <c r="F289" s="241"/>
      <c r="G289" s="241"/>
      <c r="H289" s="241"/>
      <c r="I289" s="241"/>
      <c r="J289" s="241"/>
      <c r="K289" s="241"/>
      <c r="L289" s="241"/>
      <c r="M289" s="241"/>
      <c r="N289" s="241"/>
      <c r="O289" s="241"/>
      <c r="P289" s="241"/>
      <c r="Q289" s="241"/>
      <c r="R289" s="241"/>
      <c r="S289" s="241"/>
      <c r="T289" s="241"/>
      <c r="U289" s="241"/>
      <c r="V289" s="241"/>
      <c r="W289" s="241"/>
      <c r="X289" s="241"/>
      <c r="Y289" s="241"/>
      <c r="Z289" s="241"/>
      <c r="AA289" s="241"/>
      <c r="AB289" s="241"/>
      <c r="AC289" s="241"/>
      <c r="AD289" s="241"/>
      <c r="AE289" s="241"/>
      <c r="AF289" s="241"/>
      <c r="AG289" s="241"/>
      <c r="AH289" s="241"/>
      <c r="AI289" s="241"/>
      <c r="AJ289" s="241"/>
      <c r="AK289" s="241"/>
      <c r="AL289" s="241"/>
      <c r="AM289" s="241"/>
      <c r="AN289" s="241"/>
      <c r="AO289" s="241"/>
      <c r="AP289" s="241"/>
      <c r="AQ289" s="241"/>
      <c r="AR289" s="241"/>
      <c r="AS289" s="241"/>
      <c r="AT289" s="241"/>
      <c r="AU289" s="241"/>
      <c r="AV289" s="241"/>
      <c r="AW289" s="241"/>
      <c r="AX289" s="241"/>
      <c r="AY289" s="241"/>
      <c r="AZ289" s="241"/>
      <c r="BA289" s="241"/>
      <c r="BB289" s="241"/>
      <c r="BC289" s="241"/>
      <c r="BD289" s="241"/>
      <c r="BE289" s="241"/>
      <c r="BF289" s="241"/>
      <c r="BG289" s="241"/>
      <c r="BH289" s="241"/>
      <c r="BI289" s="241"/>
      <c r="BJ289" s="241"/>
      <c r="BK289" s="241"/>
      <c r="BL289" s="241"/>
      <c r="BM289" s="241"/>
    </row>
    <row r="290" spans="1:65" ht="13.5" customHeight="1" x14ac:dyDescent="0.3">
      <c r="A290" s="241"/>
      <c r="B290" s="241"/>
      <c r="C290" s="241"/>
      <c r="D290" s="241"/>
      <c r="E290" s="241"/>
      <c r="F290" s="241"/>
      <c r="G290" s="241"/>
      <c r="H290" s="241"/>
      <c r="I290" s="241"/>
      <c r="J290" s="241"/>
      <c r="K290" s="241"/>
      <c r="L290" s="241"/>
      <c r="M290" s="241"/>
      <c r="N290" s="241"/>
      <c r="O290" s="241"/>
      <c r="P290" s="241"/>
      <c r="Q290" s="241"/>
      <c r="R290" s="241"/>
      <c r="S290" s="241"/>
      <c r="T290" s="241"/>
      <c r="U290" s="241"/>
      <c r="V290" s="241"/>
      <c r="W290" s="241"/>
      <c r="X290" s="241"/>
      <c r="Y290" s="241"/>
      <c r="Z290" s="241"/>
      <c r="AA290" s="241"/>
      <c r="AB290" s="241"/>
      <c r="AC290" s="241"/>
      <c r="AD290" s="241"/>
      <c r="AE290" s="241"/>
      <c r="AF290" s="241"/>
      <c r="AG290" s="241"/>
      <c r="AH290" s="241"/>
      <c r="AI290" s="241"/>
      <c r="AJ290" s="241"/>
      <c r="AK290" s="241"/>
      <c r="AL290" s="241"/>
      <c r="AM290" s="241"/>
      <c r="AN290" s="241"/>
      <c r="AO290" s="241"/>
      <c r="AP290" s="241"/>
      <c r="AQ290" s="241"/>
      <c r="AR290" s="241"/>
      <c r="AS290" s="241"/>
      <c r="AT290" s="241"/>
      <c r="AU290" s="241"/>
      <c r="AV290" s="241"/>
      <c r="AW290" s="241"/>
      <c r="AX290" s="241"/>
      <c r="AY290" s="241"/>
      <c r="AZ290" s="241"/>
      <c r="BA290" s="241"/>
      <c r="BB290" s="241"/>
      <c r="BC290" s="241"/>
      <c r="BD290" s="241"/>
      <c r="BE290" s="241"/>
      <c r="BF290" s="241"/>
      <c r="BG290" s="241"/>
      <c r="BH290" s="241"/>
      <c r="BI290" s="241"/>
      <c r="BJ290" s="241"/>
      <c r="BK290" s="241"/>
      <c r="BL290" s="241"/>
      <c r="BM290" s="241"/>
    </row>
    <row r="291" spans="1:65" ht="13.5" customHeight="1" x14ac:dyDescent="0.3">
      <c r="A291" s="241"/>
      <c r="B291" s="241"/>
      <c r="C291" s="241"/>
      <c r="D291" s="241"/>
      <c r="E291" s="241"/>
      <c r="F291" s="241"/>
      <c r="G291" s="241"/>
      <c r="H291" s="241"/>
      <c r="I291" s="241"/>
      <c r="J291" s="241"/>
      <c r="K291" s="241"/>
      <c r="L291" s="241"/>
      <c r="M291" s="241"/>
      <c r="N291" s="241"/>
      <c r="O291" s="241"/>
      <c r="P291" s="241"/>
      <c r="Q291" s="241"/>
      <c r="R291" s="241"/>
      <c r="S291" s="241"/>
      <c r="T291" s="241"/>
      <c r="U291" s="241"/>
      <c r="V291" s="241"/>
      <c r="W291" s="241"/>
      <c r="X291" s="241"/>
      <c r="Y291" s="241"/>
      <c r="Z291" s="241"/>
      <c r="AA291" s="241"/>
      <c r="AB291" s="241"/>
      <c r="AC291" s="241"/>
      <c r="AD291" s="241"/>
      <c r="AE291" s="241"/>
      <c r="AF291" s="241"/>
      <c r="AG291" s="241"/>
      <c r="AH291" s="241"/>
      <c r="AI291" s="241"/>
      <c r="AJ291" s="241"/>
      <c r="AK291" s="241"/>
      <c r="AL291" s="241"/>
      <c r="AM291" s="241"/>
      <c r="AN291" s="241"/>
      <c r="AO291" s="241"/>
      <c r="AP291" s="241"/>
      <c r="AQ291" s="241"/>
      <c r="AR291" s="241"/>
      <c r="AS291" s="241"/>
      <c r="AT291" s="241"/>
      <c r="AU291" s="241"/>
      <c r="AV291" s="241"/>
      <c r="AW291" s="241"/>
      <c r="AX291" s="241"/>
      <c r="AY291" s="241"/>
      <c r="AZ291" s="241"/>
      <c r="BA291" s="241"/>
      <c r="BB291" s="241"/>
      <c r="BC291" s="241"/>
      <c r="BD291" s="241"/>
      <c r="BE291" s="241"/>
      <c r="BF291" s="241"/>
      <c r="BG291" s="241"/>
      <c r="BH291" s="241"/>
      <c r="BI291" s="241"/>
      <c r="BJ291" s="241"/>
      <c r="BK291" s="241"/>
      <c r="BL291" s="241"/>
      <c r="BM291" s="241"/>
    </row>
    <row r="292" spans="1:65" ht="13.5" customHeight="1" x14ac:dyDescent="0.3">
      <c r="A292" s="241"/>
      <c r="B292" s="241"/>
      <c r="C292" s="241"/>
      <c r="D292" s="241"/>
      <c r="E292" s="241"/>
      <c r="F292" s="241"/>
      <c r="G292" s="241"/>
      <c r="H292" s="241"/>
      <c r="I292" s="241"/>
      <c r="J292" s="241"/>
      <c r="K292" s="241"/>
      <c r="L292" s="241"/>
      <c r="M292" s="241"/>
      <c r="N292" s="241"/>
      <c r="O292" s="241"/>
      <c r="P292" s="241"/>
      <c r="Q292" s="241"/>
      <c r="R292" s="241"/>
      <c r="S292" s="241"/>
      <c r="T292" s="241"/>
      <c r="U292" s="241"/>
      <c r="V292" s="241"/>
      <c r="W292" s="241"/>
      <c r="X292" s="241"/>
      <c r="Y292" s="241"/>
      <c r="Z292" s="241"/>
      <c r="AA292" s="241"/>
      <c r="AB292" s="241"/>
      <c r="AC292" s="241"/>
      <c r="AD292" s="241"/>
      <c r="AE292" s="241"/>
      <c r="AF292" s="241"/>
      <c r="AG292" s="241"/>
      <c r="AH292" s="241"/>
      <c r="AI292" s="241"/>
      <c r="AJ292" s="241"/>
      <c r="AK292" s="241"/>
      <c r="AL292" s="241"/>
      <c r="AM292" s="241"/>
      <c r="AN292" s="241"/>
      <c r="AO292" s="241"/>
      <c r="AP292" s="241"/>
      <c r="AQ292" s="241"/>
      <c r="AR292" s="241"/>
      <c r="AS292" s="241"/>
      <c r="AT292" s="241"/>
      <c r="AU292" s="241"/>
      <c r="AV292" s="241"/>
      <c r="AW292" s="241"/>
      <c r="AX292" s="241"/>
      <c r="AY292" s="241"/>
      <c r="AZ292" s="241"/>
      <c r="BA292" s="241"/>
      <c r="BB292" s="241"/>
      <c r="BC292" s="241"/>
      <c r="BD292" s="241"/>
      <c r="BE292" s="241"/>
      <c r="BF292" s="241"/>
      <c r="BG292" s="241"/>
      <c r="BH292" s="241"/>
      <c r="BI292" s="241"/>
      <c r="BJ292" s="241"/>
      <c r="BK292" s="241"/>
      <c r="BL292" s="241"/>
      <c r="BM292" s="241"/>
    </row>
    <row r="293" spans="1:65" ht="13.5" customHeight="1" x14ac:dyDescent="0.3">
      <c r="A293" s="241"/>
      <c r="B293" s="241"/>
      <c r="C293" s="241"/>
      <c r="D293" s="241"/>
      <c r="E293" s="241"/>
      <c r="F293" s="241"/>
      <c r="G293" s="241"/>
      <c r="H293" s="241"/>
      <c r="I293" s="241"/>
      <c r="J293" s="241"/>
      <c r="K293" s="241"/>
      <c r="L293" s="241"/>
      <c r="M293" s="241"/>
      <c r="N293" s="241"/>
      <c r="O293" s="241"/>
      <c r="P293" s="241"/>
      <c r="Q293" s="241"/>
      <c r="R293" s="241"/>
      <c r="S293" s="241"/>
      <c r="T293" s="241"/>
      <c r="U293" s="241"/>
      <c r="V293" s="241"/>
      <c r="W293" s="241"/>
      <c r="X293" s="241"/>
      <c r="Y293" s="241"/>
      <c r="Z293" s="241"/>
      <c r="AA293" s="241"/>
      <c r="AB293" s="241"/>
      <c r="AC293" s="241"/>
      <c r="AD293" s="241"/>
      <c r="AE293" s="241"/>
      <c r="AF293" s="241"/>
      <c r="AG293" s="241"/>
      <c r="AH293" s="241"/>
      <c r="AI293" s="241"/>
      <c r="AJ293" s="241"/>
      <c r="AK293" s="241"/>
      <c r="AL293" s="241"/>
      <c r="AM293" s="241"/>
      <c r="AN293" s="241"/>
      <c r="AO293" s="241"/>
      <c r="AP293" s="241"/>
      <c r="AQ293" s="241"/>
      <c r="AR293" s="241"/>
      <c r="AS293" s="241"/>
      <c r="AT293" s="241"/>
      <c r="AU293" s="241"/>
      <c r="AV293" s="241"/>
      <c r="AW293" s="241"/>
      <c r="AX293" s="241"/>
      <c r="AY293" s="241"/>
      <c r="AZ293" s="241"/>
      <c r="BA293" s="241"/>
      <c r="BB293" s="241"/>
      <c r="BC293" s="241"/>
      <c r="BD293" s="241"/>
      <c r="BE293" s="241"/>
      <c r="BF293" s="241"/>
      <c r="BG293" s="241"/>
      <c r="BH293" s="241"/>
      <c r="BI293" s="241"/>
      <c r="BJ293" s="241"/>
      <c r="BK293" s="241"/>
      <c r="BL293" s="241"/>
      <c r="BM293" s="241"/>
    </row>
    <row r="294" spans="1:65" ht="13.5" customHeight="1" x14ac:dyDescent="0.3">
      <c r="A294" s="241"/>
      <c r="B294" s="241"/>
      <c r="C294" s="241"/>
      <c r="D294" s="241"/>
      <c r="E294" s="241"/>
      <c r="F294" s="241"/>
      <c r="G294" s="241"/>
      <c r="H294" s="241"/>
      <c r="I294" s="241"/>
      <c r="J294" s="241"/>
      <c r="K294" s="241"/>
      <c r="L294" s="241"/>
      <c r="M294" s="241"/>
      <c r="N294" s="241"/>
      <c r="O294" s="241"/>
      <c r="P294" s="241"/>
      <c r="Q294" s="241"/>
      <c r="R294" s="241"/>
      <c r="S294" s="241"/>
      <c r="T294" s="241"/>
      <c r="U294" s="241"/>
      <c r="V294" s="241"/>
      <c r="W294" s="241"/>
      <c r="X294" s="241"/>
      <c r="Y294" s="241"/>
      <c r="Z294" s="241"/>
      <c r="AA294" s="241"/>
      <c r="AB294" s="241"/>
      <c r="AC294" s="241"/>
      <c r="AD294" s="241"/>
      <c r="AE294" s="241"/>
      <c r="AF294" s="241"/>
      <c r="AG294" s="241"/>
      <c r="AH294" s="241"/>
      <c r="AI294" s="241"/>
      <c r="AJ294" s="241"/>
      <c r="AK294" s="241"/>
      <c r="AL294" s="241"/>
      <c r="AM294" s="241"/>
      <c r="AN294" s="241"/>
      <c r="AO294" s="241"/>
      <c r="AP294" s="241"/>
      <c r="AQ294" s="241"/>
      <c r="AR294" s="241"/>
      <c r="AS294" s="241"/>
      <c r="AT294" s="241"/>
      <c r="AU294" s="241"/>
      <c r="AV294" s="241"/>
      <c r="AW294" s="241"/>
      <c r="AX294" s="241"/>
      <c r="AY294" s="241"/>
      <c r="AZ294" s="241"/>
      <c r="BA294" s="241"/>
      <c r="BB294" s="241"/>
      <c r="BC294" s="241"/>
      <c r="BD294" s="241"/>
      <c r="BE294" s="241"/>
      <c r="BF294" s="241"/>
      <c r="BG294" s="241"/>
      <c r="BH294" s="241"/>
      <c r="BI294" s="241"/>
      <c r="BJ294" s="241"/>
      <c r="BK294" s="241"/>
      <c r="BL294" s="241"/>
      <c r="BM294" s="241"/>
    </row>
    <row r="295" spans="1:65" ht="13.5" customHeight="1" x14ac:dyDescent="0.3">
      <c r="A295" s="241"/>
      <c r="B295" s="241"/>
      <c r="C295" s="241"/>
      <c r="D295" s="241"/>
      <c r="E295" s="241"/>
      <c r="F295" s="241"/>
      <c r="G295" s="241"/>
      <c r="H295" s="241"/>
      <c r="I295" s="241"/>
      <c r="J295" s="241"/>
      <c r="K295" s="241"/>
      <c r="L295" s="241"/>
      <c r="M295" s="241"/>
      <c r="N295" s="241"/>
      <c r="O295" s="241"/>
      <c r="P295" s="241"/>
      <c r="Q295" s="241"/>
      <c r="R295" s="241"/>
      <c r="S295" s="241"/>
      <c r="T295" s="241"/>
      <c r="U295" s="241"/>
      <c r="V295" s="241"/>
      <c r="W295" s="241"/>
      <c r="X295" s="241"/>
      <c r="Y295" s="241"/>
      <c r="Z295" s="241"/>
      <c r="AA295" s="241"/>
      <c r="AB295" s="241"/>
      <c r="AC295" s="241"/>
      <c r="AD295" s="241"/>
      <c r="AE295" s="241"/>
      <c r="AF295" s="241"/>
      <c r="AG295" s="241"/>
      <c r="AH295" s="241"/>
      <c r="AI295" s="241"/>
      <c r="AJ295" s="241"/>
      <c r="AK295" s="241"/>
      <c r="AL295" s="241"/>
      <c r="AM295" s="241"/>
      <c r="AN295" s="241"/>
      <c r="AO295" s="241"/>
      <c r="AP295" s="241"/>
      <c r="AQ295" s="241"/>
      <c r="AR295" s="241"/>
      <c r="AS295" s="241"/>
      <c r="AT295" s="241"/>
      <c r="AU295" s="241"/>
      <c r="AV295" s="241"/>
      <c r="AW295" s="241"/>
      <c r="AX295" s="241"/>
      <c r="AY295" s="241"/>
      <c r="AZ295" s="241"/>
      <c r="BA295" s="241"/>
      <c r="BB295" s="241"/>
      <c r="BC295" s="241"/>
      <c r="BD295" s="241"/>
      <c r="BE295" s="241"/>
      <c r="BF295" s="241"/>
      <c r="BG295" s="241"/>
      <c r="BH295" s="241"/>
      <c r="BI295" s="241"/>
      <c r="BJ295" s="241"/>
      <c r="BK295" s="241"/>
      <c r="BL295" s="241"/>
      <c r="BM295" s="241"/>
    </row>
    <row r="296" spans="1:65" ht="13.5" customHeight="1" x14ac:dyDescent="0.3">
      <c r="A296" s="241"/>
      <c r="B296" s="241"/>
      <c r="C296" s="241"/>
      <c r="D296" s="241"/>
      <c r="E296" s="241"/>
      <c r="F296" s="241"/>
      <c r="G296" s="241"/>
      <c r="H296" s="241"/>
      <c r="I296" s="241"/>
      <c r="J296" s="241"/>
      <c r="K296" s="241"/>
      <c r="L296" s="241"/>
      <c r="M296" s="241"/>
      <c r="N296" s="241"/>
      <c r="O296" s="241"/>
      <c r="P296" s="241"/>
      <c r="Q296" s="241"/>
      <c r="R296" s="241"/>
      <c r="S296" s="241"/>
      <c r="T296" s="241"/>
      <c r="U296" s="241"/>
      <c r="V296" s="241"/>
      <c r="W296" s="241"/>
      <c r="X296" s="241"/>
      <c r="Y296" s="241"/>
      <c r="Z296" s="241"/>
      <c r="AA296" s="241"/>
      <c r="AB296" s="241"/>
      <c r="AC296" s="241"/>
      <c r="AD296" s="241"/>
      <c r="AE296" s="241"/>
      <c r="AF296" s="241"/>
      <c r="AG296" s="241"/>
      <c r="AH296" s="241"/>
      <c r="AI296" s="241"/>
      <c r="AJ296" s="241"/>
      <c r="AK296" s="241"/>
      <c r="AL296" s="241"/>
      <c r="AM296" s="241"/>
      <c r="AN296" s="241"/>
      <c r="AO296" s="241"/>
      <c r="AP296" s="241"/>
      <c r="AQ296" s="241"/>
      <c r="AR296" s="241"/>
      <c r="AS296" s="241"/>
      <c r="AT296" s="241"/>
      <c r="AU296" s="241"/>
      <c r="AV296" s="241"/>
      <c r="AW296" s="241"/>
      <c r="AX296" s="241"/>
      <c r="AY296" s="241"/>
      <c r="AZ296" s="241"/>
      <c r="BA296" s="241"/>
      <c r="BB296" s="241"/>
      <c r="BC296" s="241"/>
      <c r="BD296" s="241"/>
      <c r="BE296" s="241"/>
      <c r="BF296" s="241"/>
      <c r="BG296" s="241"/>
      <c r="BH296" s="241"/>
      <c r="BI296" s="241"/>
      <c r="BJ296" s="241"/>
      <c r="BK296" s="241"/>
      <c r="BL296" s="241"/>
      <c r="BM296" s="241"/>
    </row>
    <row r="297" spans="1:65" ht="13.5" customHeight="1" x14ac:dyDescent="0.3">
      <c r="A297" s="241"/>
      <c r="B297" s="241"/>
      <c r="C297" s="241"/>
      <c r="D297" s="241"/>
      <c r="E297" s="241"/>
      <c r="F297" s="241"/>
      <c r="G297" s="241"/>
      <c r="H297" s="241"/>
      <c r="I297" s="241"/>
      <c r="J297" s="241"/>
      <c r="K297" s="241"/>
      <c r="L297" s="241"/>
      <c r="M297" s="241"/>
      <c r="N297" s="241"/>
      <c r="O297" s="241"/>
      <c r="P297" s="241"/>
      <c r="Q297" s="241"/>
      <c r="R297" s="241"/>
      <c r="S297" s="241"/>
      <c r="T297" s="241"/>
      <c r="U297" s="241"/>
      <c r="V297" s="241"/>
      <c r="W297" s="241"/>
      <c r="X297" s="241"/>
      <c r="Y297" s="241"/>
      <c r="Z297" s="241"/>
      <c r="AA297" s="241"/>
      <c r="AB297" s="241"/>
      <c r="AC297" s="241"/>
      <c r="AD297" s="241"/>
      <c r="AE297" s="241"/>
      <c r="AF297" s="241"/>
      <c r="AG297" s="241"/>
      <c r="AH297" s="241"/>
      <c r="AI297" s="241"/>
      <c r="AJ297" s="241"/>
      <c r="AK297" s="241"/>
      <c r="AL297" s="241"/>
      <c r="AM297" s="241"/>
      <c r="AN297" s="241"/>
      <c r="AO297" s="241"/>
      <c r="AP297" s="241"/>
      <c r="AQ297" s="241"/>
      <c r="AR297" s="241"/>
      <c r="AS297" s="241"/>
      <c r="AT297" s="241"/>
      <c r="AU297" s="241"/>
      <c r="AV297" s="241"/>
      <c r="AW297" s="241"/>
      <c r="AX297" s="241"/>
      <c r="AY297" s="241"/>
      <c r="AZ297" s="241"/>
      <c r="BA297" s="241"/>
      <c r="BB297" s="241"/>
      <c r="BC297" s="241"/>
      <c r="BD297" s="241"/>
      <c r="BE297" s="241"/>
      <c r="BF297" s="241"/>
      <c r="BG297" s="241"/>
      <c r="BH297" s="241"/>
      <c r="BI297" s="241"/>
      <c r="BJ297" s="241"/>
      <c r="BK297" s="241"/>
      <c r="BL297" s="241"/>
      <c r="BM297" s="241"/>
    </row>
    <row r="298" spans="1:65" ht="13.5" customHeight="1" x14ac:dyDescent="0.3">
      <c r="A298" s="241"/>
      <c r="B298" s="241"/>
      <c r="C298" s="241"/>
      <c r="D298" s="241"/>
      <c r="E298" s="241"/>
      <c r="F298" s="241"/>
      <c r="G298" s="241"/>
      <c r="H298" s="241"/>
      <c r="I298" s="241"/>
      <c r="J298" s="241"/>
      <c r="K298" s="241"/>
      <c r="L298" s="241"/>
      <c r="M298" s="241"/>
      <c r="N298" s="241"/>
      <c r="O298" s="241"/>
      <c r="P298" s="241"/>
      <c r="Q298" s="241"/>
      <c r="R298" s="241"/>
      <c r="S298" s="241"/>
      <c r="T298" s="241"/>
      <c r="U298" s="241"/>
      <c r="V298" s="241"/>
      <c r="W298" s="241"/>
      <c r="X298" s="241"/>
      <c r="Y298" s="241"/>
      <c r="Z298" s="241"/>
      <c r="AA298" s="241"/>
      <c r="AB298" s="241"/>
      <c r="AC298" s="241"/>
      <c r="AD298" s="241"/>
      <c r="AE298" s="241"/>
      <c r="AF298" s="241"/>
      <c r="AG298" s="241"/>
      <c r="AH298" s="241"/>
      <c r="AI298" s="241"/>
      <c r="AJ298" s="241"/>
      <c r="AK298" s="241"/>
      <c r="AL298" s="241"/>
      <c r="AM298" s="241"/>
      <c r="AN298" s="241"/>
      <c r="AO298" s="241"/>
      <c r="AP298" s="241"/>
      <c r="AQ298" s="241"/>
      <c r="AR298" s="241"/>
      <c r="AS298" s="241"/>
      <c r="AT298" s="241"/>
      <c r="AU298" s="241"/>
      <c r="AV298" s="241"/>
      <c r="AW298" s="241"/>
      <c r="AX298" s="241"/>
      <c r="AY298" s="241"/>
      <c r="AZ298" s="241"/>
      <c r="BA298" s="241"/>
      <c r="BB298" s="241"/>
      <c r="BC298" s="241"/>
      <c r="BD298" s="241"/>
      <c r="BE298" s="241"/>
      <c r="BF298" s="241"/>
      <c r="BG298" s="241"/>
      <c r="BH298" s="241"/>
      <c r="BI298" s="241"/>
      <c r="BJ298" s="241"/>
      <c r="BK298" s="241"/>
      <c r="BL298" s="241"/>
      <c r="BM298" s="241"/>
    </row>
    <row r="299" spans="1:65" ht="13.5" customHeight="1" x14ac:dyDescent="0.3">
      <c r="A299" s="241"/>
      <c r="B299" s="241"/>
      <c r="C299" s="241"/>
      <c r="D299" s="241"/>
      <c r="E299" s="241"/>
      <c r="F299" s="241"/>
      <c r="G299" s="241"/>
      <c r="H299" s="241"/>
      <c r="I299" s="241"/>
      <c r="J299" s="241"/>
      <c r="K299" s="241"/>
      <c r="L299" s="241"/>
      <c r="M299" s="241"/>
      <c r="N299" s="241"/>
      <c r="O299" s="241"/>
      <c r="P299" s="241"/>
      <c r="Q299" s="241"/>
      <c r="R299" s="241"/>
      <c r="S299" s="241"/>
      <c r="T299" s="241"/>
      <c r="U299" s="241"/>
      <c r="V299" s="241"/>
      <c r="W299" s="241"/>
      <c r="X299" s="241"/>
      <c r="Y299" s="241"/>
      <c r="Z299" s="241"/>
      <c r="AA299" s="241"/>
      <c r="AB299" s="241"/>
      <c r="AC299" s="241"/>
      <c r="AD299" s="241"/>
      <c r="AE299" s="241"/>
      <c r="AF299" s="241"/>
      <c r="AG299" s="241"/>
      <c r="AH299" s="241"/>
      <c r="AI299" s="241"/>
      <c r="AJ299" s="241"/>
      <c r="AK299" s="241"/>
      <c r="AL299" s="241"/>
      <c r="AM299" s="241"/>
      <c r="AN299" s="241"/>
      <c r="AO299" s="241"/>
      <c r="AP299" s="241"/>
      <c r="AQ299" s="241"/>
      <c r="AR299" s="241"/>
      <c r="AS299" s="241"/>
      <c r="AT299" s="241"/>
      <c r="AU299" s="241"/>
      <c r="AV299" s="241"/>
      <c r="AW299" s="241"/>
      <c r="AX299" s="241"/>
      <c r="AY299" s="241"/>
      <c r="AZ299" s="241"/>
      <c r="BA299" s="241"/>
      <c r="BB299" s="241"/>
      <c r="BC299" s="241"/>
      <c r="BD299" s="241"/>
      <c r="BE299" s="241"/>
      <c r="BF299" s="241"/>
      <c r="BG299" s="241"/>
      <c r="BH299" s="241"/>
      <c r="BI299" s="241"/>
      <c r="BJ299" s="241"/>
      <c r="BK299" s="241"/>
      <c r="BL299" s="241"/>
      <c r="BM299" s="241"/>
    </row>
    <row r="300" spans="1:65" ht="13.5" customHeight="1" x14ac:dyDescent="0.3">
      <c r="A300" s="241"/>
      <c r="B300" s="241"/>
      <c r="C300" s="241"/>
      <c r="D300" s="241"/>
      <c r="E300" s="241"/>
      <c r="F300" s="241"/>
      <c r="G300" s="241"/>
      <c r="H300" s="241"/>
      <c r="I300" s="241"/>
      <c r="J300" s="241"/>
      <c r="K300" s="241"/>
      <c r="L300" s="241"/>
      <c r="M300" s="241"/>
      <c r="N300" s="241"/>
      <c r="O300" s="241"/>
      <c r="P300" s="241"/>
      <c r="Q300" s="241"/>
      <c r="R300" s="241"/>
      <c r="S300" s="241"/>
      <c r="T300" s="241"/>
      <c r="U300" s="241"/>
      <c r="V300" s="241"/>
      <c r="W300" s="241"/>
      <c r="X300" s="241"/>
      <c r="Y300" s="241"/>
      <c r="Z300" s="241"/>
      <c r="AA300" s="241"/>
      <c r="AB300" s="241"/>
      <c r="AC300" s="241"/>
      <c r="AD300" s="241"/>
      <c r="AE300" s="241"/>
      <c r="AF300" s="241"/>
      <c r="AG300" s="241"/>
      <c r="AH300" s="241"/>
      <c r="AI300" s="241"/>
      <c r="AJ300" s="241"/>
      <c r="AK300" s="241"/>
      <c r="AL300" s="241"/>
      <c r="AM300" s="241"/>
      <c r="AN300" s="241"/>
      <c r="AO300" s="241"/>
      <c r="AP300" s="241"/>
      <c r="AQ300" s="241"/>
      <c r="AR300" s="241"/>
      <c r="AS300" s="241"/>
      <c r="AT300" s="241"/>
      <c r="AU300" s="241"/>
      <c r="AV300" s="241"/>
      <c r="AW300" s="241"/>
      <c r="AX300" s="241"/>
      <c r="AY300" s="241"/>
      <c r="AZ300" s="241"/>
      <c r="BA300" s="241"/>
      <c r="BB300" s="241"/>
      <c r="BC300" s="241"/>
      <c r="BD300" s="241"/>
      <c r="BE300" s="241"/>
      <c r="BF300" s="241"/>
      <c r="BG300" s="241"/>
      <c r="BH300" s="241"/>
      <c r="BI300" s="241"/>
      <c r="BJ300" s="241"/>
      <c r="BK300" s="241"/>
      <c r="BL300" s="241"/>
      <c r="BM300" s="241"/>
    </row>
    <row r="301" spans="1:65" ht="13.5" customHeight="1" x14ac:dyDescent="0.3">
      <c r="A301" s="241"/>
      <c r="B301" s="241"/>
      <c r="C301" s="241"/>
      <c r="D301" s="241"/>
      <c r="E301" s="241"/>
      <c r="F301" s="241"/>
      <c r="G301" s="241"/>
      <c r="H301" s="241"/>
      <c r="I301" s="241"/>
      <c r="J301" s="241"/>
      <c r="K301" s="241"/>
      <c r="L301" s="241"/>
      <c r="M301" s="241"/>
      <c r="N301" s="241"/>
      <c r="O301" s="241"/>
      <c r="P301" s="241"/>
      <c r="Q301" s="241"/>
      <c r="R301" s="241"/>
      <c r="S301" s="241"/>
      <c r="T301" s="241"/>
      <c r="U301" s="241"/>
      <c r="V301" s="241"/>
      <c r="W301" s="241"/>
      <c r="X301" s="241"/>
      <c r="Y301" s="241"/>
      <c r="Z301" s="241"/>
      <c r="AA301" s="241"/>
      <c r="AB301" s="241"/>
      <c r="AC301" s="241"/>
      <c r="AD301" s="241"/>
      <c r="AE301" s="241"/>
      <c r="AF301" s="241"/>
      <c r="AG301" s="241"/>
      <c r="AH301" s="241"/>
      <c r="AI301" s="241"/>
      <c r="AJ301" s="241"/>
      <c r="AK301" s="241"/>
      <c r="AL301" s="241"/>
      <c r="AM301" s="241"/>
      <c r="AN301" s="241"/>
      <c r="AO301" s="241"/>
      <c r="AP301" s="241"/>
      <c r="AQ301" s="241"/>
      <c r="AR301" s="241"/>
      <c r="AS301" s="241"/>
      <c r="AT301" s="241"/>
      <c r="AU301" s="241"/>
      <c r="AV301" s="241"/>
      <c r="AW301" s="241"/>
      <c r="AX301" s="241"/>
      <c r="AY301" s="241"/>
      <c r="AZ301" s="241"/>
      <c r="BA301" s="241"/>
      <c r="BB301" s="241"/>
      <c r="BC301" s="241"/>
      <c r="BD301" s="241"/>
      <c r="BE301" s="241"/>
      <c r="BF301" s="241"/>
      <c r="BG301" s="241"/>
      <c r="BH301" s="241"/>
      <c r="BI301" s="241"/>
      <c r="BJ301" s="241"/>
      <c r="BK301" s="241"/>
      <c r="BL301" s="241"/>
      <c r="BM301" s="241"/>
    </row>
    <row r="302" spans="1:65" ht="13.5" customHeight="1" x14ac:dyDescent="0.3">
      <c r="A302" s="241"/>
      <c r="B302" s="241"/>
      <c r="C302" s="241"/>
      <c r="D302" s="241"/>
      <c r="E302" s="241"/>
      <c r="F302" s="241"/>
      <c r="G302" s="241"/>
      <c r="H302" s="241"/>
      <c r="I302" s="241"/>
      <c r="J302" s="241"/>
      <c r="K302" s="241"/>
      <c r="L302" s="241"/>
      <c r="M302" s="241"/>
      <c r="N302" s="241"/>
      <c r="O302" s="241"/>
      <c r="P302" s="241"/>
      <c r="Q302" s="241"/>
      <c r="R302" s="241"/>
      <c r="S302" s="241"/>
      <c r="T302" s="241"/>
      <c r="U302" s="241"/>
      <c r="V302" s="241"/>
      <c r="W302" s="241"/>
      <c r="X302" s="241"/>
      <c r="Y302" s="241"/>
      <c r="Z302" s="241"/>
      <c r="AA302" s="241"/>
      <c r="AB302" s="241"/>
      <c r="AC302" s="241"/>
      <c r="AD302" s="241"/>
      <c r="AE302" s="241"/>
      <c r="AF302" s="241"/>
      <c r="AG302" s="241"/>
      <c r="AH302" s="241"/>
      <c r="AI302" s="241"/>
      <c r="AJ302" s="241"/>
      <c r="AK302" s="241"/>
      <c r="AL302" s="241"/>
      <c r="AM302" s="241"/>
      <c r="AN302" s="241"/>
      <c r="AO302" s="241"/>
      <c r="AP302" s="241"/>
      <c r="AQ302" s="241"/>
      <c r="AR302" s="241"/>
      <c r="AS302" s="241"/>
      <c r="AT302" s="241"/>
      <c r="AU302" s="241"/>
      <c r="AV302" s="241"/>
      <c r="AW302" s="241"/>
      <c r="AX302" s="241"/>
      <c r="AY302" s="241"/>
      <c r="AZ302" s="241"/>
      <c r="BA302" s="241"/>
      <c r="BB302" s="241"/>
      <c r="BC302" s="241"/>
      <c r="BD302" s="241"/>
      <c r="BE302" s="241"/>
      <c r="BF302" s="241"/>
      <c r="BG302" s="241"/>
      <c r="BH302" s="241"/>
      <c r="BI302" s="241"/>
      <c r="BJ302" s="241"/>
      <c r="BK302" s="241"/>
      <c r="BL302" s="241"/>
      <c r="BM302" s="241"/>
    </row>
    <row r="303" spans="1:65" ht="13.5" customHeight="1" x14ac:dyDescent="0.3">
      <c r="A303" s="241"/>
      <c r="B303" s="241"/>
      <c r="C303" s="241"/>
      <c r="D303" s="241"/>
      <c r="E303" s="241"/>
      <c r="F303" s="241"/>
      <c r="G303" s="241"/>
      <c r="H303" s="241"/>
      <c r="I303" s="241"/>
      <c r="J303" s="241"/>
      <c r="K303" s="241"/>
      <c r="L303" s="241"/>
      <c r="M303" s="241"/>
      <c r="N303" s="241"/>
      <c r="O303" s="241"/>
      <c r="P303" s="241"/>
      <c r="Q303" s="241"/>
      <c r="R303" s="241"/>
      <c r="S303" s="241"/>
      <c r="T303" s="241"/>
      <c r="U303" s="241"/>
      <c r="V303" s="241"/>
      <c r="W303" s="241"/>
      <c r="X303" s="241"/>
      <c r="Y303" s="241"/>
      <c r="Z303" s="241"/>
      <c r="AA303" s="241"/>
      <c r="AB303" s="241"/>
      <c r="AC303" s="241"/>
      <c r="AD303" s="241"/>
      <c r="AE303" s="241"/>
      <c r="AF303" s="241"/>
      <c r="AG303" s="241"/>
      <c r="AH303" s="241"/>
      <c r="AI303" s="241"/>
      <c r="AJ303" s="241"/>
      <c r="AK303" s="241"/>
      <c r="AL303" s="241"/>
      <c r="AM303" s="241"/>
      <c r="AN303" s="241"/>
      <c r="AO303" s="241"/>
      <c r="AP303" s="241"/>
      <c r="AQ303" s="241"/>
      <c r="AR303" s="241"/>
      <c r="AS303" s="241"/>
      <c r="AT303" s="241"/>
      <c r="AU303" s="241"/>
      <c r="AV303" s="241"/>
      <c r="AW303" s="241"/>
      <c r="AX303" s="241"/>
      <c r="AY303" s="241"/>
      <c r="AZ303" s="241"/>
      <c r="BA303" s="241"/>
      <c r="BB303" s="241"/>
      <c r="BC303" s="241"/>
      <c r="BD303" s="241"/>
      <c r="BE303" s="241"/>
      <c r="BF303" s="241"/>
      <c r="BG303" s="241"/>
      <c r="BH303" s="241"/>
      <c r="BI303" s="241"/>
      <c r="BJ303" s="241"/>
      <c r="BK303" s="241"/>
      <c r="BL303" s="241"/>
      <c r="BM303" s="241"/>
    </row>
    <row r="304" spans="1:65" ht="13.5" customHeight="1" x14ac:dyDescent="0.3">
      <c r="A304" s="241"/>
      <c r="B304" s="241"/>
      <c r="C304" s="241"/>
      <c r="D304" s="241"/>
      <c r="E304" s="241"/>
      <c r="F304" s="241"/>
      <c r="G304" s="241"/>
      <c r="H304" s="241"/>
      <c r="I304" s="241"/>
      <c r="J304" s="241"/>
      <c r="K304" s="241"/>
      <c r="L304" s="241"/>
      <c r="M304" s="241"/>
      <c r="N304" s="241"/>
      <c r="O304" s="241"/>
      <c r="P304" s="241"/>
      <c r="Q304" s="241"/>
      <c r="R304" s="241"/>
      <c r="S304" s="241"/>
      <c r="T304" s="241"/>
      <c r="U304" s="241"/>
      <c r="V304" s="241"/>
      <c r="W304" s="241"/>
      <c r="X304" s="241"/>
      <c r="Y304" s="241"/>
      <c r="Z304" s="241"/>
      <c r="AA304" s="241"/>
      <c r="AB304" s="241"/>
      <c r="AC304" s="241"/>
      <c r="AD304" s="241"/>
      <c r="AE304" s="241"/>
      <c r="AF304" s="241"/>
      <c r="AG304" s="241"/>
      <c r="AH304" s="241"/>
      <c r="AI304" s="241"/>
      <c r="AJ304" s="241"/>
      <c r="AK304" s="241"/>
      <c r="AL304" s="241"/>
      <c r="AM304" s="241"/>
      <c r="AN304" s="241"/>
      <c r="AO304" s="241"/>
      <c r="AP304" s="241"/>
      <c r="AQ304" s="241"/>
      <c r="AR304" s="241"/>
      <c r="AS304" s="241"/>
      <c r="AT304" s="241"/>
      <c r="AU304" s="241"/>
      <c r="AV304" s="241"/>
      <c r="AW304" s="241"/>
      <c r="AX304" s="241"/>
      <c r="AY304" s="241"/>
      <c r="AZ304" s="241"/>
      <c r="BA304" s="241"/>
      <c r="BB304" s="241"/>
      <c r="BC304" s="241"/>
      <c r="BD304" s="241"/>
      <c r="BE304" s="241"/>
      <c r="BF304" s="241"/>
      <c r="BG304" s="241"/>
      <c r="BH304" s="241"/>
      <c r="BI304" s="241"/>
      <c r="BJ304" s="241"/>
      <c r="BK304" s="241"/>
      <c r="BL304" s="241"/>
      <c r="BM304" s="241"/>
    </row>
    <row r="305" spans="1:65" ht="13.5" customHeight="1" x14ac:dyDescent="0.3">
      <c r="A305" s="241"/>
      <c r="B305" s="241"/>
      <c r="C305" s="241"/>
      <c r="D305" s="241"/>
      <c r="E305" s="241"/>
      <c r="F305" s="241"/>
      <c r="G305" s="241"/>
      <c r="H305" s="241"/>
      <c r="I305" s="241"/>
      <c r="J305" s="241"/>
      <c r="K305" s="241"/>
      <c r="L305" s="241"/>
      <c r="M305" s="241"/>
      <c r="N305" s="241"/>
      <c r="O305" s="241"/>
      <c r="P305" s="241"/>
      <c r="Q305" s="241"/>
      <c r="R305" s="241"/>
      <c r="S305" s="241"/>
      <c r="T305" s="241"/>
      <c r="U305" s="241"/>
      <c r="V305" s="241"/>
      <c r="W305" s="241"/>
      <c r="X305" s="241"/>
      <c r="Y305" s="241"/>
      <c r="Z305" s="241"/>
      <c r="AA305" s="241"/>
      <c r="AB305" s="241"/>
      <c r="AC305" s="241"/>
      <c r="AD305" s="241"/>
      <c r="AE305" s="241"/>
      <c r="AF305" s="241"/>
      <c r="AG305" s="241"/>
      <c r="AH305" s="241"/>
      <c r="AI305" s="241"/>
      <c r="AJ305" s="241"/>
      <c r="AK305" s="241"/>
      <c r="AL305" s="241"/>
      <c r="AM305" s="241"/>
      <c r="AN305" s="241"/>
      <c r="AO305" s="241"/>
      <c r="AP305" s="241"/>
      <c r="AQ305" s="241"/>
      <c r="AR305" s="241"/>
      <c r="AS305" s="241"/>
      <c r="AT305" s="241"/>
      <c r="AU305" s="241"/>
      <c r="AV305" s="241"/>
      <c r="AW305" s="241"/>
      <c r="AX305" s="241"/>
      <c r="AY305" s="241"/>
      <c r="AZ305" s="241"/>
      <c r="BA305" s="241"/>
      <c r="BB305" s="241"/>
      <c r="BC305" s="241"/>
      <c r="BD305" s="241"/>
      <c r="BE305" s="241"/>
      <c r="BF305" s="241"/>
      <c r="BG305" s="241"/>
      <c r="BH305" s="241"/>
      <c r="BI305" s="241"/>
      <c r="BJ305" s="241"/>
      <c r="BK305" s="241"/>
      <c r="BL305" s="241"/>
      <c r="BM305" s="241"/>
    </row>
    <row r="306" spans="1:65" ht="13.5" customHeight="1" x14ac:dyDescent="0.3">
      <c r="A306" s="241"/>
      <c r="B306" s="241"/>
      <c r="C306" s="241"/>
      <c r="D306" s="241"/>
      <c r="E306" s="241"/>
      <c r="F306" s="241"/>
      <c r="G306" s="241"/>
      <c r="H306" s="241"/>
      <c r="I306" s="241"/>
      <c r="J306" s="241"/>
      <c r="K306" s="241"/>
      <c r="L306" s="241"/>
      <c r="M306" s="241"/>
      <c r="N306" s="241"/>
      <c r="O306" s="241"/>
      <c r="P306" s="241"/>
      <c r="Q306" s="241"/>
      <c r="R306" s="241"/>
      <c r="S306" s="241"/>
      <c r="T306" s="241"/>
      <c r="U306" s="241"/>
      <c r="V306" s="241"/>
      <c r="W306" s="241"/>
      <c r="X306" s="241"/>
      <c r="Y306" s="241"/>
      <c r="Z306" s="241"/>
      <c r="AA306" s="241"/>
      <c r="AB306" s="241"/>
      <c r="AC306" s="241"/>
      <c r="AD306" s="241"/>
      <c r="AE306" s="241"/>
      <c r="AF306" s="241"/>
      <c r="AG306" s="241"/>
      <c r="AH306" s="241"/>
      <c r="AI306" s="241"/>
      <c r="AJ306" s="241"/>
      <c r="AK306" s="241"/>
      <c r="AL306" s="241"/>
      <c r="AM306" s="241"/>
      <c r="AN306" s="241"/>
      <c r="AO306" s="241"/>
      <c r="AP306" s="241"/>
      <c r="AQ306" s="241"/>
      <c r="AR306" s="241"/>
      <c r="AS306" s="241"/>
      <c r="AT306" s="241"/>
      <c r="AU306" s="241"/>
      <c r="AV306" s="241"/>
      <c r="AW306" s="241"/>
      <c r="AX306" s="241"/>
      <c r="AY306" s="241"/>
      <c r="AZ306" s="241"/>
      <c r="BA306" s="241"/>
      <c r="BB306" s="241"/>
      <c r="BC306" s="241"/>
      <c r="BD306" s="241"/>
      <c r="BE306" s="241"/>
      <c r="BF306" s="241"/>
      <c r="BG306" s="241"/>
      <c r="BH306" s="241"/>
      <c r="BI306" s="241"/>
      <c r="BJ306" s="241"/>
      <c r="BK306" s="241"/>
      <c r="BL306" s="241"/>
      <c r="BM306" s="241"/>
    </row>
    <row r="307" spans="1:65" ht="13.5" customHeight="1" x14ac:dyDescent="0.3">
      <c r="A307" s="241"/>
      <c r="B307" s="241"/>
      <c r="C307" s="241"/>
      <c r="D307" s="241"/>
      <c r="E307" s="241"/>
      <c r="F307" s="241"/>
      <c r="G307" s="241"/>
      <c r="H307" s="241"/>
      <c r="I307" s="241"/>
      <c r="J307" s="241"/>
      <c r="K307" s="241"/>
      <c r="L307" s="241"/>
      <c r="M307" s="241"/>
      <c r="N307" s="241"/>
      <c r="O307" s="241"/>
      <c r="P307" s="241"/>
      <c r="Q307" s="241"/>
      <c r="R307" s="241"/>
      <c r="S307" s="241"/>
      <c r="T307" s="241"/>
      <c r="U307" s="241"/>
      <c r="V307" s="241"/>
      <c r="W307" s="241"/>
      <c r="X307" s="241"/>
      <c r="Y307" s="241"/>
      <c r="Z307" s="241"/>
      <c r="AA307" s="241"/>
      <c r="AB307" s="241"/>
      <c r="AC307" s="241"/>
      <c r="AD307" s="241"/>
      <c r="AE307" s="241"/>
      <c r="AF307" s="241"/>
      <c r="AG307" s="241"/>
      <c r="AH307" s="241"/>
      <c r="AI307" s="241"/>
      <c r="AJ307" s="241"/>
      <c r="AK307" s="241"/>
      <c r="AL307" s="241"/>
      <c r="AM307" s="241"/>
      <c r="AN307" s="241"/>
      <c r="AO307" s="241"/>
      <c r="AP307" s="241"/>
      <c r="AQ307" s="241"/>
      <c r="AR307" s="241"/>
      <c r="AS307" s="241"/>
      <c r="AT307" s="241"/>
      <c r="AU307" s="241"/>
      <c r="AV307" s="241"/>
      <c r="AW307" s="241"/>
      <c r="AX307" s="241"/>
      <c r="AY307" s="241"/>
      <c r="AZ307" s="241"/>
      <c r="BA307" s="241"/>
      <c r="BB307" s="241"/>
      <c r="BC307" s="241"/>
      <c r="BD307" s="241"/>
      <c r="BE307" s="241"/>
      <c r="BF307" s="241"/>
      <c r="BG307" s="241"/>
      <c r="BH307" s="241"/>
      <c r="BI307" s="241"/>
      <c r="BJ307" s="241"/>
      <c r="BK307" s="241"/>
      <c r="BL307" s="241"/>
      <c r="BM307" s="241"/>
    </row>
    <row r="308" spans="1:65" ht="13.5" customHeight="1" x14ac:dyDescent="0.3">
      <c r="A308" s="241"/>
      <c r="B308" s="241"/>
      <c r="C308" s="241"/>
      <c r="D308" s="241"/>
      <c r="E308" s="241"/>
      <c r="F308" s="241"/>
      <c r="G308" s="241"/>
      <c r="H308" s="241"/>
      <c r="I308" s="241"/>
      <c r="J308" s="241"/>
      <c r="K308" s="241"/>
      <c r="L308" s="241"/>
      <c r="M308" s="241"/>
      <c r="N308" s="241"/>
      <c r="O308" s="241"/>
      <c r="P308" s="241"/>
      <c r="Q308" s="241"/>
      <c r="R308" s="241"/>
      <c r="S308" s="241"/>
      <c r="T308" s="241"/>
      <c r="U308" s="241"/>
      <c r="V308" s="241"/>
      <c r="W308" s="241"/>
      <c r="X308" s="241"/>
      <c r="Y308" s="241"/>
      <c r="Z308" s="241"/>
      <c r="AA308" s="241"/>
      <c r="AB308" s="241"/>
      <c r="AC308" s="241"/>
      <c r="AD308" s="241"/>
      <c r="AE308" s="241"/>
      <c r="AF308" s="241"/>
      <c r="AG308" s="241"/>
      <c r="AH308" s="241"/>
      <c r="AI308" s="241"/>
      <c r="AJ308" s="241"/>
      <c r="AK308" s="241"/>
      <c r="AL308" s="241"/>
      <c r="AM308" s="241"/>
      <c r="AN308" s="241"/>
      <c r="AO308" s="241"/>
      <c r="AP308" s="241"/>
      <c r="AQ308" s="241"/>
      <c r="AR308" s="241"/>
      <c r="AS308" s="241"/>
      <c r="AT308" s="241"/>
      <c r="AU308" s="241"/>
      <c r="AV308" s="241"/>
      <c r="AW308" s="241"/>
      <c r="AX308" s="241"/>
      <c r="AY308" s="241"/>
      <c r="AZ308" s="241"/>
      <c r="BA308" s="241"/>
      <c r="BB308" s="241"/>
      <c r="BC308" s="241"/>
      <c r="BD308" s="241"/>
      <c r="BE308" s="241"/>
      <c r="BF308" s="241"/>
      <c r="BG308" s="241"/>
      <c r="BH308" s="241"/>
      <c r="BI308" s="241"/>
      <c r="BJ308" s="241"/>
      <c r="BK308" s="241"/>
      <c r="BL308" s="241"/>
      <c r="BM308" s="241"/>
    </row>
    <row r="309" spans="1:65" ht="13.5" customHeight="1" x14ac:dyDescent="0.3">
      <c r="A309" s="241"/>
      <c r="B309" s="241"/>
      <c r="C309" s="241"/>
      <c r="D309" s="241"/>
      <c r="E309" s="241"/>
      <c r="F309" s="241"/>
      <c r="G309" s="241"/>
      <c r="H309" s="241"/>
      <c r="I309" s="241"/>
      <c r="J309" s="241"/>
      <c r="K309" s="241"/>
      <c r="L309" s="241"/>
      <c r="M309" s="241"/>
      <c r="N309" s="241"/>
      <c r="O309" s="241"/>
      <c r="P309" s="241"/>
      <c r="Q309" s="241"/>
      <c r="R309" s="241"/>
      <c r="S309" s="241"/>
      <c r="T309" s="241"/>
      <c r="U309" s="241"/>
      <c r="V309" s="241"/>
      <c r="W309" s="241"/>
      <c r="X309" s="241"/>
      <c r="Y309" s="241"/>
      <c r="Z309" s="241"/>
      <c r="AA309" s="241"/>
      <c r="AB309" s="241"/>
      <c r="AC309" s="241"/>
      <c r="AD309" s="241"/>
      <c r="AE309" s="241"/>
      <c r="AF309" s="241"/>
      <c r="AG309" s="241"/>
      <c r="AH309" s="241"/>
      <c r="AI309" s="241"/>
      <c r="AJ309" s="241"/>
      <c r="AK309" s="241"/>
      <c r="AL309" s="241"/>
      <c r="AM309" s="241"/>
      <c r="AN309" s="241"/>
      <c r="AO309" s="241"/>
      <c r="AP309" s="241"/>
      <c r="AQ309" s="241"/>
      <c r="AR309" s="241"/>
      <c r="AS309" s="241"/>
      <c r="AT309" s="241"/>
      <c r="AU309" s="241"/>
      <c r="AV309" s="241"/>
      <c r="AW309" s="241"/>
      <c r="AX309" s="241"/>
      <c r="AY309" s="241"/>
      <c r="AZ309" s="241"/>
      <c r="BA309" s="241"/>
      <c r="BB309" s="241"/>
      <c r="BC309" s="241"/>
      <c r="BD309" s="241"/>
      <c r="BE309" s="241"/>
      <c r="BF309" s="241"/>
      <c r="BG309" s="241"/>
      <c r="BH309" s="241"/>
      <c r="BI309" s="241"/>
      <c r="BJ309" s="241"/>
      <c r="BK309" s="241"/>
      <c r="BL309" s="241"/>
      <c r="BM309" s="241"/>
    </row>
    <row r="310" spans="1:65" ht="13.5" customHeight="1" x14ac:dyDescent="0.3">
      <c r="A310" s="241"/>
      <c r="B310" s="241"/>
      <c r="C310" s="241"/>
      <c r="D310" s="241"/>
      <c r="E310" s="241"/>
      <c r="F310" s="241"/>
      <c r="G310" s="241"/>
      <c r="H310" s="241"/>
      <c r="I310" s="241"/>
      <c r="J310" s="241"/>
      <c r="K310" s="241"/>
      <c r="L310" s="241"/>
      <c r="M310" s="241"/>
      <c r="N310" s="241"/>
      <c r="O310" s="241"/>
      <c r="P310" s="241"/>
      <c r="Q310" s="241"/>
      <c r="R310" s="241"/>
      <c r="S310" s="241"/>
      <c r="T310" s="241"/>
      <c r="U310" s="241"/>
      <c r="V310" s="241"/>
      <c r="W310" s="241"/>
      <c r="X310" s="241"/>
      <c r="Y310" s="241"/>
      <c r="Z310" s="241"/>
      <c r="AA310" s="241"/>
      <c r="AB310" s="241"/>
      <c r="AC310" s="241"/>
      <c r="AD310" s="241"/>
      <c r="AE310" s="241"/>
      <c r="AF310" s="241"/>
      <c r="AG310" s="241"/>
      <c r="AH310" s="241"/>
      <c r="AI310" s="241"/>
      <c r="AJ310" s="241"/>
      <c r="AK310" s="241"/>
      <c r="AL310" s="241"/>
      <c r="AM310" s="241"/>
      <c r="AN310" s="241"/>
      <c r="AO310" s="241"/>
      <c r="AP310" s="241"/>
      <c r="AQ310" s="241"/>
      <c r="AR310" s="241"/>
      <c r="AS310" s="241"/>
      <c r="AT310" s="241"/>
      <c r="AU310" s="241"/>
      <c r="AV310" s="241"/>
      <c r="AW310" s="241"/>
      <c r="AX310" s="241"/>
      <c r="AY310" s="241"/>
      <c r="AZ310" s="241"/>
      <c r="BA310" s="241"/>
      <c r="BB310" s="241"/>
      <c r="BC310" s="241"/>
      <c r="BD310" s="241"/>
      <c r="BE310" s="241"/>
      <c r="BF310" s="241"/>
      <c r="BG310" s="241"/>
      <c r="BH310" s="241"/>
      <c r="BI310" s="241"/>
      <c r="BJ310" s="241"/>
      <c r="BK310" s="241"/>
      <c r="BL310" s="241"/>
      <c r="BM310" s="241"/>
    </row>
    <row r="311" spans="1:65" ht="13.5" customHeight="1" x14ac:dyDescent="0.3">
      <c r="A311" s="241"/>
      <c r="B311" s="241"/>
      <c r="C311" s="241"/>
      <c r="D311" s="241"/>
      <c r="E311" s="241"/>
      <c r="F311" s="241"/>
      <c r="G311" s="241"/>
      <c r="H311" s="241"/>
      <c r="I311" s="241"/>
      <c r="J311" s="241"/>
      <c r="K311" s="241"/>
      <c r="L311" s="241"/>
      <c r="M311" s="241"/>
      <c r="N311" s="241"/>
      <c r="O311" s="241"/>
      <c r="P311" s="241"/>
      <c r="Q311" s="241"/>
      <c r="R311" s="241"/>
      <c r="S311" s="241"/>
      <c r="T311" s="241"/>
      <c r="U311" s="241"/>
      <c r="V311" s="241"/>
      <c r="W311" s="241"/>
      <c r="X311" s="241"/>
      <c r="Y311" s="241"/>
      <c r="Z311" s="241"/>
      <c r="AA311" s="241"/>
      <c r="AB311" s="241"/>
      <c r="AC311" s="241"/>
      <c r="AD311" s="241"/>
      <c r="AE311" s="241"/>
      <c r="AF311" s="241"/>
      <c r="AG311" s="241"/>
      <c r="AH311" s="241"/>
      <c r="AI311" s="241"/>
      <c r="AJ311" s="241"/>
      <c r="AK311" s="241"/>
      <c r="AL311" s="241"/>
      <c r="AM311" s="241"/>
      <c r="AN311" s="241"/>
      <c r="AO311" s="241"/>
      <c r="AP311" s="241"/>
      <c r="AQ311" s="241"/>
      <c r="AR311" s="241"/>
      <c r="AS311" s="241"/>
      <c r="AT311" s="241"/>
      <c r="AU311" s="241"/>
      <c r="AV311" s="241"/>
      <c r="AW311" s="241"/>
      <c r="AX311" s="241"/>
      <c r="AY311" s="241"/>
      <c r="AZ311" s="241"/>
      <c r="BA311" s="241"/>
      <c r="BB311" s="241"/>
      <c r="BC311" s="241"/>
      <c r="BD311" s="241"/>
      <c r="BE311" s="241"/>
      <c r="BF311" s="241"/>
      <c r="BG311" s="241"/>
      <c r="BH311" s="241"/>
      <c r="BI311" s="241"/>
      <c r="BJ311" s="241"/>
      <c r="BK311" s="241"/>
      <c r="BL311" s="241"/>
      <c r="BM311" s="241"/>
    </row>
    <row r="312" spans="1:65" ht="13.5" customHeight="1" x14ac:dyDescent="0.3">
      <c r="A312" s="241"/>
      <c r="B312" s="241"/>
      <c r="C312" s="241"/>
      <c r="D312" s="241"/>
      <c r="E312" s="241"/>
      <c r="F312" s="241"/>
      <c r="G312" s="241"/>
      <c r="H312" s="241"/>
      <c r="I312" s="241"/>
      <c r="J312" s="241"/>
      <c r="K312" s="241"/>
      <c r="L312" s="241"/>
      <c r="M312" s="241"/>
      <c r="N312" s="241"/>
      <c r="O312" s="241"/>
      <c r="P312" s="241"/>
      <c r="Q312" s="241"/>
      <c r="R312" s="241"/>
      <c r="S312" s="241"/>
      <c r="T312" s="241"/>
      <c r="U312" s="241"/>
      <c r="V312" s="241"/>
      <c r="W312" s="241"/>
      <c r="X312" s="241"/>
      <c r="Y312" s="241"/>
      <c r="Z312" s="241"/>
      <c r="AA312" s="241"/>
      <c r="AB312" s="241"/>
      <c r="AC312" s="241"/>
      <c r="AD312" s="241"/>
      <c r="AE312" s="241"/>
      <c r="AF312" s="241"/>
      <c r="AG312" s="241"/>
      <c r="AH312" s="241"/>
      <c r="AI312" s="241"/>
      <c r="AJ312" s="241"/>
      <c r="AK312" s="241"/>
      <c r="AL312" s="241"/>
      <c r="AM312" s="241"/>
      <c r="AN312" s="241"/>
      <c r="AO312" s="241"/>
      <c r="AP312" s="241"/>
      <c r="AQ312" s="241"/>
      <c r="AR312" s="241"/>
      <c r="AS312" s="241"/>
      <c r="AT312" s="241"/>
      <c r="AU312" s="241"/>
      <c r="AV312" s="241"/>
      <c r="AW312" s="241"/>
      <c r="AX312" s="241"/>
      <c r="AY312" s="241"/>
      <c r="AZ312" s="241"/>
      <c r="BA312" s="241"/>
      <c r="BB312" s="241"/>
      <c r="BC312" s="241"/>
      <c r="BD312" s="241"/>
      <c r="BE312" s="241"/>
      <c r="BF312" s="241"/>
      <c r="BG312" s="241"/>
      <c r="BH312" s="241"/>
      <c r="BI312" s="241"/>
      <c r="BJ312" s="241"/>
      <c r="BK312" s="241"/>
      <c r="BL312" s="241"/>
      <c r="BM312" s="241"/>
    </row>
    <row r="313" spans="1:65" ht="13.5" customHeight="1" x14ac:dyDescent="0.3">
      <c r="A313" s="241"/>
      <c r="B313" s="241"/>
      <c r="C313" s="241"/>
      <c r="D313" s="241"/>
      <c r="E313" s="241"/>
      <c r="F313" s="241"/>
      <c r="G313" s="241"/>
      <c r="H313" s="241"/>
      <c r="I313" s="241"/>
      <c r="J313" s="241"/>
      <c r="K313" s="241"/>
      <c r="L313" s="241"/>
      <c r="M313" s="241"/>
      <c r="N313" s="241"/>
      <c r="O313" s="241"/>
      <c r="P313" s="241"/>
      <c r="Q313" s="241"/>
      <c r="R313" s="241"/>
      <c r="S313" s="241"/>
      <c r="T313" s="241"/>
      <c r="U313" s="241"/>
      <c r="V313" s="241"/>
      <c r="W313" s="241"/>
      <c r="X313" s="241"/>
      <c r="Y313" s="241"/>
      <c r="Z313" s="241"/>
      <c r="AA313" s="241"/>
      <c r="AB313" s="241"/>
      <c r="AC313" s="241"/>
      <c r="AD313" s="241"/>
      <c r="AE313" s="241"/>
      <c r="AF313" s="241"/>
      <c r="AG313" s="241"/>
      <c r="AH313" s="241"/>
      <c r="AI313" s="241"/>
      <c r="AJ313" s="241"/>
      <c r="AK313" s="241"/>
      <c r="AL313" s="241"/>
      <c r="AM313" s="241"/>
      <c r="AN313" s="241"/>
      <c r="AO313" s="241"/>
      <c r="AP313" s="241"/>
      <c r="AQ313" s="241"/>
      <c r="AR313" s="241"/>
      <c r="AS313" s="241"/>
      <c r="AT313" s="241"/>
      <c r="AU313" s="241"/>
      <c r="AV313" s="241"/>
      <c r="AW313" s="241"/>
      <c r="AX313" s="241"/>
      <c r="AY313" s="241"/>
      <c r="AZ313" s="241"/>
      <c r="BA313" s="241"/>
      <c r="BB313" s="241"/>
      <c r="BC313" s="241"/>
      <c r="BD313" s="241"/>
      <c r="BE313" s="241"/>
      <c r="BF313" s="241"/>
      <c r="BG313" s="241"/>
      <c r="BH313" s="241"/>
      <c r="BI313" s="241"/>
      <c r="BJ313" s="241"/>
      <c r="BK313" s="241"/>
      <c r="BL313" s="241"/>
      <c r="BM313" s="241"/>
    </row>
    <row r="314" spans="1:65" ht="13.5" customHeight="1" x14ac:dyDescent="0.3">
      <c r="A314" s="241"/>
      <c r="B314" s="241"/>
      <c r="C314" s="241"/>
      <c r="D314" s="241"/>
      <c r="E314" s="241"/>
      <c r="F314" s="241"/>
      <c r="G314" s="241"/>
      <c r="H314" s="241"/>
      <c r="I314" s="241"/>
      <c r="J314" s="241"/>
      <c r="K314" s="241"/>
      <c r="L314" s="241"/>
      <c r="M314" s="241"/>
      <c r="N314" s="241"/>
      <c r="O314" s="241"/>
      <c r="P314" s="241"/>
      <c r="Q314" s="241"/>
      <c r="R314" s="241"/>
      <c r="S314" s="241"/>
      <c r="T314" s="241"/>
      <c r="U314" s="241"/>
      <c r="V314" s="241"/>
      <c r="W314" s="241"/>
      <c r="X314" s="241"/>
      <c r="Y314" s="241"/>
      <c r="Z314" s="241"/>
      <c r="AA314" s="241"/>
      <c r="AB314" s="241"/>
      <c r="AC314" s="241"/>
      <c r="AD314" s="241"/>
      <c r="AE314" s="241"/>
      <c r="AF314" s="241"/>
      <c r="AG314" s="241"/>
      <c r="AH314" s="241"/>
      <c r="AI314" s="241"/>
      <c r="AJ314" s="241"/>
      <c r="AK314" s="241"/>
      <c r="AL314" s="241"/>
      <c r="AM314" s="241"/>
      <c r="AN314" s="241"/>
      <c r="AO314" s="241"/>
      <c r="AP314" s="241"/>
      <c r="AQ314" s="241"/>
      <c r="AR314" s="241"/>
      <c r="AS314" s="241"/>
      <c r="AT314" s="241"/>
      <c r="AU314" s="241"/>
      <c r="AV314" s="241"/>
      <c r="AW314" s="241"/>
      <c r="AX314" s="241"/>
      <c r="AY314" s="241"/>
      <c r="AZ314" s="241"/>
      <c r="BA314" s="241"/>
      <c r="BB314" s="241"/>
      <c r="BC314" s="241"/>
      <c r="BD314" s="241"/>
      <c r="BE314" s="241"/>
      <c r="BF314" s="241"/>
      <c r="BG314" s="241"/>
      <c r="BH314" s="241"/>
      <c r="BI314" s="241"/>
      <c r="BJ314" s="241"/>
      <c r="BK314" s="241"/>
      <c r="BL314" s="241"/>
      <c r="BM314" s="241"/>
    </row>
    <row r="315" spans="1:65" ht="13.5" customHeight="1" x14ac:dyDescent="0.3">
      <c r="A315" s="241"/>
      <c r="B315" s="241"/>
      <c r="C315" s="241"/>
      <c r="D315" s="241"/>
      <c r="E315" s="241"/>
      <c r="F315" s="241"/>
      <c r="G315" s="241"/>
      <c r="H315" s="241"/>
      <c r="I315" s="241"/>
      <c r="J315" s="241"/>
      <c r="K315" s="241"/>
      <c r="L315" s="241"/>
      <c r="M315" s="241"/>
      <c r="N315" s="241"/>
      <c r="O315" s="241"/>
      <c r="P315" s="241"/>
      <c r="Q315" s="241"/>
      <c r="R315" s="241"/>
      <c r="S315" s="241"/>
      <c r="T315" s="241"/>
      <c r="U315" s="241"/>
      <c r="V315" s="241"/>
      <c r="W315" s="241"/>
      <c r="X315" s="241"/>
      <c r="Y315" s="241"/>
      <c r="Z315" s="241"/>
      <c r="AA315" s="241"/>
      <c r="AB315" s="241"/>
      <c r="AC315" s="241"/>
      <c r="AD315" s="241"/>
      <c r="AE315" s="241"/>
      <c r="AF315" s="241"/>
      <c r="AG315" s="241"/>
      <c r="AH315" s="241"/>
      <c r="AI315" s="241"/>
      <c r="AJ315" s="241"/>
      <c r="AK315" s="241"/>
      <c r="AL315" s="241"/>
      <c r="AM315" s="241"/>
      <c r="AN315" s="241"/>
      <c r="AO315" s="241"/>
      <c r="AP315" s="241"/>
      <c r="AQ315" s="241"/>
      <c r="AR315" s="241"/>
      <c r="AS315" s="241"/>
      <c r="AT315" s="241"/>
      <c r="AU315" s="241"/>
      <c r="AV315" s="241"/>
      <c r="AW315" s="241"/>
      <c r="AX315" s="241"/>
      <c r="AY315" s="241"/>
      <c r="AZ315" s="241"/>
      <c r="BA315" s="241"/>
      <c r="BB315" s="241"/>
      <c r="BC315" s="241"/>
      <c r="BD315" s="241"/>
      <c r="BE315" s="241"/>
      <c r="BF315" s="241"/>
      <c r="BG315" s="241"/>
      <c r="BH315" s="241"/>
      <c r="BI315" s="241"/>
      <c r="BJ315" s="241"/>
      <c r="BK315" s="241"/>
      <c r="BL315" s="241"/>
      <c r="BM315" s="241"/>
    </row>
    <row r="316" spans="1:65" ht="13.5" customHeight="1" x14ac:dyDescent="0.3">
      <c r="A316" s="241"/>
      <c r="B316" s="241"/>
      <c r="C316" s="241"/>
      <c r="D316" s="241"/>
      <c r="E316" s="241"/>
      <c r="F316" s="241"/>
      <c r="G316" s="241"/>
      <c r="H316" s="241"/>
      <c r="I316" s="241"/>
      <c r="J316" s="241"/>
      <c r="K316" s="241"/>
      <c r="L316" s="241"/>
      <c r="M316" s="241"/>
      <c r="N316" s="241"/>
      <c r="O316" s="241"/>
      <c r="P316" s="241"/>
      <c r="Q316" s="241"/>
      <c r="R316" s="241"/>
      <c r="S316" s="241"/>
      <c r="T316" s="241"/>
      <c r="U316" s="241"/>
      <c r="V316" s="241"/>
      <c r="W316" s="241"/>
      <c r="X316" s="241"/>
      <c r="Y316" s="241"/>
      <c r="Z316" s="241"/>
      <c r="AA316" s="241"/>
      <c r="AB316" s="241"/>
      <c r="AC316" s="241"/>
      <c r="AD316" s="241"/>
      <c r="AE316" s="241"/>
      <c r="AF316" s="241"/>
      <c r="AG316" s="241"/>
      <c r="AH316" s="241"/>
      <c r="AI316" s="241"/>
      <c r="AJ316" s="241"/>
      <c r="AK316" s="241"/>
      <c r="AL316" s="241"/>
      <c r="AM316" s="241"/>
      <c r="AN316" s="241"/>
      <c r="AO316" s="241"/>
      <c r="AP316" s="241"/>
      <c r="AQ316" s="241"/>
      <c r="AR316" s="241"/>
      <c r="AS316" s="241"/>
      <c r="AT316" s="241"/>
      <c r="AU316" s="241"/>
      <c r="AV316" s="241"/>
      <c r="AW316" s="241"/>
      <c r="AX316" s="241"/>
      <c r="AY316" s="241"/>
      <c r="AZ316" s="241"/>
      <c r="BA316" s="241"/>
      <c r="BB316" s="241"/>
      <c r="BC316" s="241"/>
      <c r="BD316" s="241"/>
      <c r="BE316" s="241"/>
      <c r="BF316" s="241"/>
      <c r="BG316" s="241"/>
      <c r="BH316" s="241"/>
      <c r="BI316" s="241"/>
      <c r="BJ316" s="241"/>
      <c r="BK316" s="241"/>
      <c r="BL316" s="241"/>
      <c r="BM316" s="241"/>
    </row>
    <row r="317" spans="1:65" ht="13.5" customHeight="1" x14ac:dyDescent="0.3">
      <c r="A317" s="241"/>
      <c r="B317" s="241"/>
      <c r="C317" s="241"/>
      <c r="D317" s="241"/>
      <c r="E317" s="241"/>
      <c r="F317" s="241"/>
      <c r="G317" s="241"/>
      <c r="H317" s="241"/>
      <c r="I317" s="241"/>
      <c r="J317" s="241"/>
      <c r="K317" s="241"/>
      <c r="L317" s="241"/>
      <c r="M317" s="241"/>
      <c r="N317" s="241"/>
      <c r="O317" s="241"/>
      <c r="P317" s="241"/>
      <c r="Q317" s="241"/>
      <c r="R317" s="241"/>
      <c r="S317" s="241"/>
      <c r="T317" s="241"/>
      <c r="U317" s="241"/>
      <c r="V317" s="241"/>
      <c r="W317" s="241"/>
      <c r="X317" s="241"/>
      <c r="Y317" s="241"/>
      <c r="Z317" s="241"/>
      <c r="AA317" s="241"/>
      <c r="AB317" s="241"/>
      <c r="AC317" s="241"/>
      <c r="AD317" s="241"/>
      <c r="AE317" s="241"/>
      <c r="AF317" s="241"/>
      <c r="AG317" s="241"/>
      <c r="AH317" s="241"/>
      <c r="AI317" s="241"/>
      <c r="AJ317" s="241"/>
      <c r="AK317" s="241"/>
      <c r="AL317" s="241"/>
      <c r="AM317" s="241"/>
      <c r="AN317" s="241"/>
      <c r="AO317" s="241"/>
      <c r="AP317" s="241"/>
      <c r="AQ317" s="241"/>
      <c r="AR317" s="241"/>
      <c r="AS317" s="241"/>
      <c r="AT317" s="241"/>
      <c r="AU317" s="241"/>
      <c r="AV317" s="241"/>
      <c r="AW317" s="241"/>
      <c r="AX317" s="241"/>
      <c r="AY317" s="241"/>
      <c r="AZ317" s="241"/>
      <c r="BA317" s="241"/>
      <c r="BB317" s="241"/>
      <c r="BC317" s="241"/>
      <c r="BD317" s="241"/>
      <c r="BE317" s="241"/>
      <c r="BF317" s="241"/>
      <c r="BG317" s="241"/>
      <c r="BH317" s="241"/>
      <c r="BI317" s="241"/>
      <c r="BJ317" s="241"/>
      <c r="BK317" s="241"/>
      <c r="BL317" s="241"/>
      <c r="BM317" s="241"/>
    </row>
    <row r="318" spans="1:65" ht="13.5" customHeight="1" x14ac:dyDescent="0.3">
      <c r="A318" s="241"/>
      <c r="B318" s="241"/>
      <c r="C318" s="241"/>
      <c r="D318" s="241"/>
      <c r="E318" s="241"/>
      <c r="F318" s="241"/>
      <c r="G318" s="241"/>
      <c r="H318" s="241"/>
      <c r="I318" s="241"/>
      <c r="J318" s="241"/>
      <c r="K318" s="241"/>
      <c r="L318" s="241"/>
      <c r="M318" s="241"/>
      <c r="N318" s="241"/>
      <c r="O318" s="241"/>
      <c r="P318" s="241"/>
      <c r="Q318" s="241"/>
      <c r="R318" s="241"/>
      <c r="S318" s="241"/>
      <c r="T318" s="241"/>
      <c r="U318" s="241"/>
      <c r="V318" s="241"/>
      <c r="W318" s="241"/>
      <c r="X318" s="241"/>
      <c r="Y318" s="241"/>
      <c r="Z318" s="241"/>
      <c r="AA318" s="241"/>
      <c r="AB318" s="241"/>
      <c r="AC318" s="241"/>
      <c r="AD318" s="241"/>
      <c r="AE318" s="241"/>
      <c r="AF318" s="241"/>
      <c r="AG318" s="241"/>
      <c r="AH318" s="241"/>
      <c r="AI318" s="241"/>
      <c r="AJ318" s="241"/>
      <c r="AK318" s="241"/>
      <c r="AL318" s="241"/>
      <c r="AM318" s="241"/>
      <c r="AN318" s="241"/>
      <c r="AO318" s="241"/>
      <c r="AP318" s="241"/>
      <c r="AQ318" s="241"/>
      <c r="AR318" s="241"/>
      <c r="AS318" s="241"/>
      <c r="AT318" s="241"/>
      <c r="AU318" s="241"/>
      <c r="AV318" s="241"/>
      <c r="AW318" s="241"/>
      <c r="AX318" s="241"/>
      <c r="AY318" s="241"/>
      <c r="AZ318" s="241"/>
      <c r="BA318" s="241"/>
      <c r="BB318" s="241"/>
      <c r="BC318" s="241"/>
      <c r="BD318" s="241"/>
      <c r="BE318" s="241"/>
      <c r="BF318" s="241"/>
      <c r="BG318" s="241"/>
      <c r="BH318" s="241"/>
      <c r="BI318" s="241"/>
      <c r="BJ318" s="241"/>
      <c r="BK318" s="241"/>
      <c r="BL318" s="241"/>
      <c r="BM318" s="241"/>
    </row>
    <row r="319" spans="1:65" ht="13.5" customHeight="1" x14ac:dyDescent="0.3">
      <c r="A319" s="241"/>
      <c r="B319" s="241"/>
      <c r="C319" s="241"/>
      <c r="D319" s="241"/>
      <c r="E319" s="241"/>
      <c r="F319" s="241"/>
      <c r="G319" s="241"/>
      <c r="H319" s="241"/>
      <c r="I319" s="241"/>
      <c r="J319" s="241"/>
      <c r="K319" s="241"/>
      <c r="L319" s="241"/>
      <c r="M319" s="241"/>
      <c r="N319" s="241"/>
      <c r="O319" s="241"/>
      <c r="P319" s="241"/>
      <c r="Q319" s="241"/>
      <c r="R319" s="241"/>
      <c r="S319" s="241"/>
      <c r="T319" s="241"/>
      <c r="U319" s="241"/>
      <c r="V319" s="241"/>
      <c r="W319" s="241"/>
      <c r="X319" s="241"/>
      <c r="Y319" s="241"/>
      <c r="Z319" s="241"/>
      <c r="AA319" s="241"/>
      <c r="AB319" s="241"/>
      <c r="AC319" s="241"/>
      <c r="AD319" s="241"/>
      <c r="AE319" s="241"/>
      <c r="AF319" s="241"/>
      <c r="AG319" s="241"/>
      <c r="AH319" s="241"/>
      <c r="AI319" s="241"/>
      <c r="AJ319" s="241"/>
      <c r="AK319" s="241"/>
      <c r="AL319" s="241"/>
      <c r="AM319" s="241"/>
      <c r="AN319" s="241"/>
      <c r="AO319" s="241"/>
      <c r="AP319" s="241"/>
      <c r="AQ319" s="241"/>
      <c r="AR319" s="241"/>
      <c r="AS319" s="241"/>
      <c r="AT319" s="241"/>
      <c r="AU319" s="241"/>
      <c r="AV319" s="241"/>
      <c r="AW319" s="241"/>
      <c r="AX319" s="241"/>
      <c r="AY319" s="241"/>
      <c r="AZ319" s="241"/>
      <c r="BA319" s="241"/>
      <c r="BB319" s="241"/>
      <c r="BC319" s="241"/>
      <c r="BD319" s="241"/>
      <c r="BE319" s="241"/>
      <c r="BF319" s="241"/>
      <c r="BG319" s="241"/>
      <c r="BH319" s="241"/>
      <c r="BI319" s="241"/>
      <c r="BJ319" s="241"/>
      <c r="BK319" s="241"/>
      <c r="BL319" s="241"/>
      <c r="BM319" s="241"/>
    </row>
    <row r="320" spans="1:65" ht="13.5" customHeight="1" x14ac:dyDescent="0.3">
      <c r="A320" s="241"/>
      <c r="B320" s="241"/>
      <c r="C320" s="241"/>
      <c r="D320" s="241"/>
      <c r="E320" s="241"/>
      <c r="F320" s="241"/>
      <c r="G320" s="241"/>
      <c r="H320" s="241"/>
      <c r="I320" s="241"/>
      <c r="J320" s="241"/>
      <c r="K320" s="241"/>
      <c r="L320" s="241"/>
      <c r="M320" s="241"/>
      <c r="N320" s="241"/>
      <c r="O320" s="241"/>
      <c r="P320" s="241"/>
      <c r="Q320" s="241"/>
      <c r="R320" s="241"/>
      <c r="S320" s="241"/>
      <c r="T320" s="241"/>
      <c r="U320" s="241"/>
      <c r="V320" s="241"/>
      <c r="W320" s="241"/>
      <c r="X320" s="241"/>
      <c r="Y320" s="241"/>
      <c r="Z320" s="241"/>
      <c r="AA320" s="241"/>
      <c r="AB320" s="241"/>
      <c r="AC320" s="241"/>
      <c r="AD320" s="241"/>
      <c r="AE320" s="241"/>
      <c r="AF320" s="241"/>
      <c r="AG320" s="241"/>
      <c r="AH320" s="241"/>
      <c r="AI320" s="241"/>
      <c r="AJ320" s="241"/>
      <c r="AK320" s="241"/>
      <c r="AL320" s="241"/>
      <c r="AM320" s="241"/>
      <c r="AN320" s="241"/>
      <c r="AO320" s="241"/>
      <c r="AP320" s="241"/>
      <c r="AQ320" s="241"/>
      <c r="AR320" s="241"/>
      <c r="AS320" s="241"/>
      <c r="AT320" s="241"/>
      <c r="AU320" s="241"/>
      <c r="AV320" s="241"/>
      <c r="AW320" s="241"/>
      <c r="AX320" s="241"/>
      <c r="AY320" s="241"/>
      <c r="AZ320" s="241"/>
      <c r="BA320" s="241"/>
      <c r="BB320" s="241"/>
      <c r="BC320" s="241"/>
      <c r="BD320" s="241"/>
      <c r="BE320" s="241"/>
      <c r="BF320" s="241"/>
      <c r="BG320" s="241"/>
      <c r="BH320" s="241"/>
      <c r="BI320" s="241"/>
      <c r="BJ320" s="241"/>
      <c r="BK320" s="241"/>
      <c r="BL320" s="241"/>
      <c r="BM320" s="241"/>
    </row>
    <row r="321" spans="1:65" ht="13.5" customHeight="1" x14ac:dyDescent="0.3">
      <c r="A321" s="241"/>
      <c r="B321" s="241"/>
      <c r="C321" s="241"/>
      <c r="D321" s="241"/>
      <c r="E321" s="241"/>
      <c r="F321" s="241"/>
      <c r="G321" s="241"/>
      <c r="H321" s="241"/>
      <c r="I321" s="241"/>
      <c r="J321" s="241"/>
      <c r="K321" s="241"/>
      <c r="L321" s="241"/>
      <c r="M321" s="241"/>
      <c r="N321" s="241"/>
      <c r="O321" s="241"/>
      <c r="P321" s="241"/>
      <c r="Q321" s="241"/>
      <c r="R321" s="241"/>
      <c r="S321" s="241"/>
      <c r="T321" s="241"/>
      <c r="U321" s="241"/>
      <c r="V321" s="241"/>
      <c r="W321" s="241"/>
      <c r="X321" s="241"/>
      <c r="Y321" s="241"/>
      <c r="Z321" s="241"/>
      <c r="AA321" s="241"/>
      <c r="AB321" s="241"/>
      <c r="AC321" s="241"/>
      <c r="AD321" s="241"/>
      <c r="AE321" s="241"/>
      <c r="AF321" s="241"/>
      <c r="AG321" s="241"/>
      <c r="AH321" s="241"/>
      <c r="AI321" s="241"/>
      <c r="AJ321" s="241"/>
      <c r="AK321" s="241"/>
      <c r="AL321" s="241"/>
      <c r="AM321" s="241"/>
      <c r="AN321" s="241"/>
      <c r="AO321" s="241"/>
      <c r="AP321" s="241"/>
      <c r="AQ321" s="241"/>
      <c r="AR321" s="241"/>
      <c r="AS321" s="241"/>
      <c r="AT321" s="241"/>
      <c r="AU321" s="241"/>
      <c r="AV321" s="241"/>
      <c r="AW321" s="241"/>
      <c r="AX321" s="241"/>
      <c r="AY321" s="241"/>
      <c r="AZ321" s="241"/>
      <c r="BA321" s="241"/>
      <c r="BB321" s="241"/>
      <c r="BC321" s="241"/>
      <c r="BD321" s="241"/>
      <c r="BE321" s="241"/>
      <c r="BF321" s="241"/>
      <c r="BG321" s="241"/>
      <c r="BH321" s="241"/>
      <c r="BI321" s="241"/>
      <c r="BJ321" s="241"/>
      <c r="BK321" s="241"/>
      <c r="BL321" s="241"/>
      <c r="BM321" s="241"/>
    </row>
    <row r="322" spans="1:65" ht="13.5" customHeight="1" x14ac:dyDescent="0.3">
      <c r="A322" s="241"/>
      <c r="B322" s="241"/>
      <c r="C322" s="241"/>
      <c r="D322" s="241"/>
      <c r="E322" s="241"/>
      <c r="F322" s="241"/>
      <c r="G322" s="241"/>
      <c r="H322" s="241"/>
      <c r="I322" s="241"/>
      <c r="J322" s="241"/>
      <c r="K322" s="241"/>
      <c r="L322" s="241"/>
      <c r="M322" s="241"/>
      <c r="N322" s="241"/>
      <c r="O322" s="241"/>
      <c r="P322" s="241"/>
      <c r="Q322" s="241"/>
      <c r="R322" s="241"/>
      <c r="S322" s="241"/>
      <c r="T322" s="241"/>
      <c r="U322" s="241"/>
      <c r="V322" s="241"/>
      <c r="W322" s="241"/>
      <c r="X322" s="241"/>
      <c r="Y322" s="241"/>
      <c r="Z322" s="241"/>
      <c r="AA322" s="241"/>
      <c r="AB322" s="241"/>
      <c r="AC322" s="241"/>
      <c r="AD322" s="241"/>
      <c r="AE322" s="241"/>
      <c r="AF322" s="241"/>
      <c r="AG322" s="241"/>
      <c r="AH322" s="241"/>
      <c r="AI322" s="241"/>
      <c r="AJ322" s="241"/>
      <c r="AK322" s="241"/>
      <c r="AL322" s="241"/>
      <c r="AM322" s="241"/>
      <c r="AN322" s="241"/>
      <c r="AO322" s="241"/>
      <c r="AP322" s="241"/>
      <c r="AQ322" s="241"/>
      <c r="AR322" s="241"/>
      <c r="AS322" s="241"/>
      <c r="AT322" s="241"/>
      <c r="AU322" s="241"/>
      <c r="AV322" s="241"/>
      <c r="AW322" s="241"/>
      <c r="AX322" s="241"/>
      <c r="AY322" s="241"/>
      <c r="AZ322" s="241"/>
      <c r="BA322" s="241"/>
      <c r="BB322" s="241"/>
      <c r="BC322" s="241"/>
      <c r="BD322" s="241"/>
      <c r="BE322" s="241"/>
      <c r="BF322" s="241"/>
      <c r="BG322" s="241"/>
      <c r="BH322" s="241"/>
      <c r="BI322" s="241"/>
      <c r="BJ322" s="241"/>
      <c r="BK322" s="241"/>
      <c r="BL322" s="241"/>
      <c r="BM322" s="241"/>
    </row>
    <row r="323" spans="1:65" ht="13.5" customHeight="1" x14ac:dyDescent="0.3">
      <c r="A323" s="241"/>
      <c r="B323" s="241"/>
      <c r="C323" s="241"/>
      <c r="D323" s="241"/>
      <c r="E323" s="241"/>
      <c r="F323" s="241"/>
      <c r="G323" s="241"/>
      <c r="H323" s="241"/>
      <c r="I323" s="241"/>
      <c r="J323" s="241"/>
      <c r="K323" s="241"/>
      <c r="L323" s="241"/>
      <c r="M323" s="241"/>
      <c r="N323" s="241"/>
      <c r="O323" s="241"/>
      <c r="P323" s="241"/>
      <c r="Q323" s="241"/>
      <c r="R323" s="241"/>
      <c r="S323" s="241"/>
      <c r="T323" s="241"/>
      <c r="U323" s="241"/>
      <c r="V323" s="241"/>
      <c r="W323" s="241"/>
      <c r="X323" s="241"/>
      <c r="Y323" s="241"/>
      <c r="Z323" s="241"/>
      <c r="AA323" s="241"/>
      <c r="AB323" s="241"/>
      <c r="AC323" s="241"/>
      <c r="AD323" s="241"/>
      <c r="AE323" s="241"/>
      <c r="AF323" s="241"/>
      <c r="AG323" s="241"/>
      <c r="AH323" s="241"/>
      <c r="AI323" s="241"/>
      <c r="AJ323" s="241"/>
      <c r="AK323" s="241"/>
      <c r="AL323" s="241"/>
      <c r="AM323" s="241"/>
      <c r="AN323" s="241"/>
      <c r="AO323" s="241"/>
      <c r="AP323" s="241"/>
      <c r="AQ323" s="241"/>
      <c r="AR323" s="241"/>
      <c r="AS323" s="241"/>
      <c r="AT323" s="241"/>
      <c r="AU323" s="241"/>
      <c r="AV323" s="241"/>
      <c r="AW323" s="241"/>
      <c r="AX323" s="241"/>
      <c r="AY323" s="241"/>
      <c r="AZ323" s="241"/>
      <c r="BA323" s="241"/>
      <c r="BB323" s="241"/>
      <c r="BC323" s="241"/>
      <c r="BD323" s="241"/>
      <c r="BE323" s="241"/>
      <c r="BF323" s="241"/>
      <c r="BG323" s="241"/>
      <c r="BH323" s="241"/>
      <c r="BI323" s="241"/>
      <c r="BJ323" s="241"/>
      <c r="BK323" s="241"/>
      <c r="BL323" s="241"/>
      <c r="BM323" s="241"/>
    </row>
    <row r="324" spans="1:65" ht="13.5" customHeight="1" x14ac:dyDescent="0.3">
      <c r="A324" s="241"/>
      <c r="B324" s="241"/>
      <c r="C324" s="241"/>
      <c r="D324" s="241"/>
      <c r="E324" s="241"/>
      <c r="F324" s="241"/>
      <c r="G324" s="241"/>
      <c r="H324" s="241"/>
      <c r="I324" s="241"/>
      <c r="J324" s="241"/>
      <c r="K324" s="241"/>
      <c r="L324" s="241"/>
      <c r="M324" s="241"/>
      <c r="N324" s="241"/>
      <c r="O324" s="241"/>
      <c r="P324" s="241"/>
      <c r="Q324" s="241"/>
      <c r="R324" s="241"/>
      <c r="S324" s="241"/>
      <c r="T324" s="241"/>
      <c r="U324" s="241"/>
      <c r="V324" s="241"/>
      <c r="W324" s="241"/>
      <c r="X324" s="241"/>
      <c r="Y324" s="241"/>
      <c r="Z324" s="241"/>
      <c r="AA324" s="241"/>
      <c r="AB324" s="241"/>
      <c r="AC324" s="241"/>
      <c r="AD324" s="241"/>
      <c r="AE324" s="241"/>
      <c r="AF324" s="241"/>
      <c r="AG324" s="241"/>
      <c r="AH324" s="241"/>
      <c r="AI324" s="241"/>
      <c r="AJ324" s="241"/>
      <c r="AK324" s="241"/>
      <c r="AL324" s="241"/>
      <c r="AM324" s="241"/>
      <c r="AN324" s="241"/>
      <c r="AO324" s="241"/>
      <c r="AP324" s="241"/>
      <c r="AQ324" s="241"/>
      <c r="AR324" s="241"/>
      <c r="AS324" s="241"/>
      <c r="AT324" s="241"/>
      <c r="AU324" s="241"/>
      <c r="AV324" s="241"/>
      <c r="AW324" s="241"/>
      <c r="AX324" s="241"/>
      <c r="AY324" s="241"/>
      <c r="AZ324" s="241"/>
      <c r="BA324" s="241"/>
      <c r="BB324" s="241"/>
      <c r="BC324" s="241"/>
      <c r="BD324" s="241"/>
      <c r="BE324" s="241"/>
      <c r="BF324" s="241"/>
      <c r="BG324" s="241"/>
      <c r="BH324" s="241"/>
      <c r="BI324" s="241"/>
      <c r="BJ324" s="241"/>
      <c r="BK324" s="241"/>
      <c r="BL324" s="241"/>
      <c r="BM324" s="241"/>
    </row>
    <row r="325" spans="1:65" ht="13.5" customHeight="1" x14ac:dyDescent="0.3">
      <c r="A325" s="241"/>
      <c r="B325" s="241"/>
      <c r="C325" s="241"/>
      <c r="D325" s="241"/>
      <c r="E325" s="241"/>
      <c r="F325" s="241"/>
      <c r="G325" s="241"/>
      <c r="H325" s="241"/>
      <c r="I325" s="241"/>
      <c r="J325" s="241"/>
      <c r="K325" s="241"/>
      <c r="L325" s="241"/>
      <c r="M325" s="241"/>
      <c r="N325" s="241"/>
      <c r="O325" s="241"/>
      <c r="P325" s="241"/>
      <c r="Q325" s="241"/>
      <c r="R325" s="241"/>
      <c r="S325" s="241"/>
      <c r="T325" s="241"/>
      <c r="U325" s="241"/>
      <c r="V325" s="241"/>
      <c r="W325" s="241"/>
      <c r="X325" s="241"/>
      <c r="Y325" s="241"/>
      <c r="Z325" s="241"/>
      <c r="AA325" s="241"/>
      <c r="AB325" s="241"/>
      <c r="AC325" s="241"/>
      <c r="AD325" s="241"/>
      <c r="AE325" s="241"/>
      <c r="AF325" s="241"/>
      <c r="AG325" s="241"/>
      <c r="AH325" s="241"/>
      <c r="AI325" s="241"/>
      <c r="AJ325" s="241"/>
      <c r="AK325" s="241"/>
      <c r="AL325" s="241"/>
      <c r="AM325" s="241"/>
      <c r="AN325" s="241"/>
      <c r="AO325" s="241"/>
      <c r="AP325" s="241"/>
      <c r="AQ325" s="241"/>
      <c r="AR325" s="241"/>
      <c r="AS325" s="241"/>
      <c r="AT325" s="241"/>
      <c r="AU325" s="241"/>
      <c r="AV325" s="241"/>
      <c r="AW325" s="241"/>
      <c r="AX325" s="241"/>
      <c r="AY325" s="241"/>
      <c r="AZ325" s="241"/>
      <c r="BA325" s="241"/>
      <c r="BB325" s="241"/>
      <c r="BC325" s="241"/>
      <c r="BD325" s="241"/>
      <c r="BE325" s="241"/>
      <c r="BF325" s="241"/>
      <c r="BG325" s="241"/>
      <c r="BH325" s="241"/>
      <c r="BI325" s="241"/>
      <c r="BJ325" s="241"/>
      <c r="BK325" s="241"/>
      <c r="BL325" s="241"/>
      <c r="BM325" s="241"/>
    </row>
    <row r="326" spans="1:65" ht="13.5" customHeight="1" x14ac:dyDescent="0.3">
      <c r="A326" s="241"/>
      <c r="B326" s="241"/>
      <c r="C326" s="241"/>
      <c r="D326" s="241"/>
      <c r="E326" s="241"/>
      <c r="F326" s="241"/>
      <c r="G326" s="241"/>
      <c r="H326" s="241"/>
      <c r="I326" s="241"/>
      <c r="J326" s="241"/>
      <c r="K326" s="241"/>
      <c r="L326" s="241"/>
      <c r="M326" s="241"/>
      <c r="N326" s="241"/>
      <c r="O326" s="241"/>
      <c r="P326" s="241"/>
      <c r="Q326" s="241"/>
      <c r="R326" s="241"/>
      <c r="S326" s="241"/>
      <c r="T326" s="241"/>
      <c r="U326" s="241"/>
      <c r="V326" s="241"/>
      <c r="W326" s="241"/>
      <c r="X326" s="241"/>
      <c r="Y326" s="241"/>
      <c r="Z326" s="241"/>
      <c r="AA326" s="241"/>
      <c r="AB326" s="241"/>
      <c r="AC326" s="241"/>
      <c r="AD326" s="241"/>
      <c r="AE326" s="241"/>
      <c r="AF326" s="241"/>
      <c r="AG326" s="241"/>
      <c r="AH326" s="241"/>
      <c r="AI326" s="241"/>
      <c r="AJ326" s="241"/>
      <c r="AK326" s="241"/>
      <c r="AL326" s="241"/>
      <c r="AM326" s="241"/>
      <c r="AN326" s="241"/>
      <c r="AO326" s="241"/>
      <c r="AP326" s="241"/>
      <c r="AQ326" s="241"/>
      <c r="AR326" s="241"/>
      <c r="AS326" s="241"/>
      <c r="AT326" s="241"/>
      <c r="AU326" s="241"/>
      <c r="AV326" s="241"/>
      <c r="AW326" s="241"/>
      <c r="AX326" s="241"/>
      <c r="AY326" s="241"/>
      <c r="AZ326" s="241"/>
      <c r="BA326" s="241"/>
      <c r="BB326" s="241"/>
      <c r="BC326" s="241"/>
      <c r="BD326" s="241"/>
      <c r="BE326" s="241"/>
      <c r="BF326" s="241"/>
      <c r="BG326" s="241"/>
      <c r="BH326" s="241"/>
      <c r="BI326" s="241"/>
      <c r="BJ326" s="241"/>
      <c r="BK326" s="241"/>
      <c r="BL326" s="241"/>
      <c r="BM326" s="241"/>
    </row>
    <row r="327" spans="1:65" ht="13.5" customHeight="1" x14ac:dyDescent="0.3">
      <c r="A327" s="241"/>
      <c r="B327" s="241"/>
      <c r="C327" s="241"/>
      <c r="D327" s="241"/>
      <c r="E327" s="241"/>
      <c r="F327" s="241"/>
      <c r="G327" s="241"/>
      <c r="H327" s="241"/>
      <c r="I327" s="241"/>
      <c r="J327" s="241"/>
      <c r="K327" s="241"/>
      <c r="L327" s="241"/>
      <c r="M327" s="241"/>
      <c r="N327" s="241"/>
      <c r="O327" s="241"/>
      <c r="P327" s="241"/>
      <c r="Q327" s="241"/>
      <c r="R327" s="241"/>
      <c r="S327" s="241"/>
      <c r="T327" s="241"/>
      <c r="U327" s="241"/>
      <c r="V327" s="241"/>
      <c r="W327" s="241"/>
      <c r="X327" s="241"/>
      <c r="Y327" s="241"/>
      <c r="Z327" s="241"/>
      <c r="AA327" s="241"/>
      <c r="AB327" s="241"/>
      <c r="AC327" s="241"/>
      <c r="AD327" s="241"/>
      <c r="AE327" s="241"/>
      <c r="AF327" s="241"/>
      <c r="AG327" s="241"/>
      <c r="AH327" s="241"/>
      <c r="AI327" s="241"/>
      <c r="AJ327" s="241"/>
      <c r="AK327" s="241"/>
      <c r="AL327" s="241"/>
      <c r="AM327" s="241"/>
      <c r="AN327" s="241"/>
      <c r="AO327" s="241"/>
      <c r="AP327" s="241"/>
      <c r="AQ327" s="241"/>
      <c r="AR327" s="241"/>
      <c r="AS327" s="241"/>
      <c r="AT327" s="241"/>
      <c r="AU327" s="241"/>
      <c r="AV327" s="241"/>
      <c r="AW327" s="241"/>
      <c r="AX327" s="241"/>
      <c r="AY327" s="241"/>
      <c r="AZ327" s="241"/>
      <c r="BA327" s="241"/>
      <c r="BB327" s="241"/>
      <c r="BC327" s="241"/>
      <c r="BD327" s="241"/>
      <c r="BE327" s="241"/>
      <c r="BF327" s="241"/>
      <c r="BG327" s="241"/>
      <c r="BH327" s="241"/>
      <c r="BI327" s="241"/>
      <c r="BJ327" s="241"/>
      <c r="BK327" s="241"/>
      <c r="BL327" s="241"/>
      <c r="BM327" s="241"/>
    </row>
    <row r="328" spans="1:65" ht="13.5" customHeight="1" x14ac:dyDescent="0.3">
      <c r="A328" s="241"/>
      <c r="B328" s="241"/>
      <c r="C328" s="241"/>
      <c r="D328" s="241"/>
      <c r="E328" s="241"/>
      <c r="F328" s="241"/>
      <c r="G328" s="241"/>
      <c r="H328" s="241"/>
      <c r="I328" s="241"/>
      <c r="J328" s="241"/>
      <c r="K328" s="241"/>
      <c r="L328" s="241"/>
      <c r="M328" s="241"/>
      <c r="N328" s="241"/>
      <c r="O328" s="241"/>
      <c r="P328" s="241"/>
      <c r="Q328" s="241"/>
      <c r="R328" s="241"/>
      <c r="S328" s="241"/>
      <c r="T328" s="241"/>
      <c r="U328" s="241"/>
      <c r="V328" s="241"/>
      <c r="W328" s="241"/>
      <c r="X328" s="241"/>
      <c r="Y328" s="241"/>
      <c r="Z328" s="241"/>
      <c r="AA328" s="241"/>
      <c r="AB328" s="241"/>
      <c r="AC328" s="241"/>
      <c r="AD328" s="241"/>
      <c r="AE328" s="241"/>
      <c r="AF328" s="241"/>
      <c r="AG328" s="241"/>
      <c r="AH328" s="241"/>
      <c r="AI328" s="241"/>
      <c r="AJ328" s="241"/>
      <c r="AK328" s="241"/>
      <c r="AL328" s="241"/>
      <c r="AM328" s="241"/>
      <c r="AN328" s="241"/>
      <c r="AO328" s="241"/>
      <c r="AP328" s="241"/>
      <c r="AQ328" s="241"/>
      <c r="AR328" s="241"/>
      <c r="AS328" s="241"/>
      <c r="AT328" s="241"/>
      <c r="AU328" s="241"/>
      <c r="AV328" s="241"/>
      <c r="AW328" s="241"/>
      <c r="AX328" s="241"/>
      <c r="AY328" s="241"/>
      <c r="AZ328" s="241"/>
      <c r="BA328" s="241"/>
      <c r="BB328" s="241"/>
      <c r="BC328" s="241"/>
      <c r="BD328" s="241"/>
      <c r="BE328" s="241"/>
      <c r="BF328" s="241"/>
      <c r="BG328" s="241"/>
      <c r="BH328" s="241"/>
      <c r="BI328" s="241"/>
      <c r="BJ328" s="241"/>
      <c r="BK328" s="241"/>
      <c r="BL328" s="241"/>
      <c r="BM328" s="241"/>
    </row>
    <row r="329" spans="1:65" ht="13.5" customHeight="1" x14ac:dyDescent="0.3">
      <c r="A329" s="241"/>
      <c r="B329" s="241"/>
      <c r="C329" s="241"/>
      <c r="D329" s="241"/>
      <c r="E329" s="241"/>
      <c r="F329" s="241"/>
      <c r="G329" s="241"/>
      <c r="H329" s="241"/>
      <c r="I329" s="241"/>
      <c r="J329" s="241"/>
      <c r="K329" s="241"/>
      <c r="L329" s="241"/>
      <c r="M329" s="241"/>
      <c r="N329" s="241"/>
      <c r="O329" s="241"/>
      <c r="P329" s="241"/>
      <c r="Q329" s="241"/>
      <c r="R329" s="241"/>
      <c r="S329" s="241"/>
      <c r="T329" s="241"/>
      <c r="U329" s="241"/>
      <c r="V329" s="241"/>
      <c r="W329" s="241"/>
      <c r="X329" s="241"/>
      <c r="Y329" s="241"/>
      <c r="Z329" s="241"/>
      <c r="AA329" s="241"/>
      <c r="AB329" s="241"/>
      <c r="AC329" s="241"/>
      <c r="AD329" s="241"/>
      <c r="AE329" s="241"/>
      <c r="AF329" s="241"/>
      <c r="AG329" s="241"/>
      <c r="AH329" s="241"/>
      <c r="AI329" s="241"/>
      <c r="AJ329" s="241"/>
      <c r="AK329" s="241"/>
      <c r="AL329" s="241"/>
      <c r="AM329" s="241"/>
      <c r="AN329" s="241"/>
      <c r="AO329" s="241"/>
      <c r="AP329" s="241"/>
      <c r="AQ329" s="241"/>
      <c r="AR329" s="241"/>
      <c r="AS329" s="241"/>
      <c r="AT329" s="241"/>
      <c r="AU329" s="241"/>
      <c r="AV329" s="241"/>
      <c r="AW329" s="241"/>
      <c r="AX329" s="241"/>
      <c r="AY329" s="241"/>
      <c r="AZ329" s="241"/>
      <c r="BA329" s="241"/>
      <c r="BB329" s="241"/>
      <c r="BC329" s="241"/>
      <c r="BD329" s="241"/>
      <c r="BE329" s="241"/>
      <c r="BF329" s="241"/>
      <c r="BG329" s="241"/>
      <c r="BH329" s="241"/>
      <c r="BI329" s="241"/>
      <c r="BJ329" s="241"/>
      <c r="BK329" s="241"/>
      <c r="BL329" s="241"/>
      <c r="BM329" s="241"/>
    </row>
    <row r="330" spans="1:65" ht="13.5" customHeight="1" x14ac:dyDescent="0.3">
      <c r="A330" s="241"/>
      <c r="B330" s="241"/>
      <c r="C330" s="241"/>
      <c r="D330" s="241"/>
      <c r="E330" s="241"/>
      <c r="F330" s="241"/>
      <c r="G330" s="241"/>
      <c r="H330" s="241"/>
      <c r="I330" s="241"/>
      <c r="J330" s="241"/>
      <c r="K330" s="241"/>
      <c r="L330" s="241"/>
      <c r="M330" s="241"/>
      <c r="N330" s="241"/>
      <c r="O330" s="241"/>
      <c r="P330" s="241"/>
      <c r="Q330" s="241"/>
      <c r="R330" s="241"/>
      <c r="S330" s="241"/>
      <c r="T330" s="241"/>
      <c r="U330" s="241"/>
      <c r="V330" s="241"/>
      <c r="W330" s="241"/>
      <c r="X330" s="241"/>
      <c r="Y330" s="241"/>
      <c r="Z330" s="241"/>
      <c r="AA330" s="241"/>
      <c r="AB330" s="241"/>
      <c r="AC330" s="241"/>
      <c r="AD330" s="241"/>
      <c r="AE330" s="241"/>
      <c r="AF330" s="241"/>
      <c r="AG330" s="241"/>
      <c r="AH330" s="241"/>
      <c r="AI330" s="241"/>
      <c r="AJ330" s="241"/>
      <c r="AK330" s="241"/>
      <c r="AL330" s="241"/>
      <c r="AM330" s="241"/>
      <c r="AN330" s="241"/>
      <c r="AO330" s="241"/>
      <c r="AP330" s="241"/>
      <c r="AQ330" s="241"/>
      <c r="AR330" s="241"/>
      <c r="AS330" s="241"/>
      <c r="AT330" s="241"/>
      <c r="AU330" s="241"/>
      <c r="AV330" s="241"/>
      <c r="AW330" s="241"/>
      <c r="AX330" s="241"/>
      <c r="AY330" s="241"/>
      <c r="AZ330" s="241"/>
      <c r="BA330" s="241"/>
      <c r="BB330" s="241"/>
      <c r="BC330" s="241"/>
      <c r="BD330" s="241"/>
      <c r="BE330" s="241"/>
      <c r="BF330" s="241"/>
      <c r="BG330" s="241"/>
      <c r="BH330" s="241"/>
      <c r="BI330" s="241"/>
      <c r="BJ330" s="241"/>
      <c r="BK330" s="241"/>
      <c r="BL330" s="241"/>
      <c r="BM330" s="241"/>
    </row>
    <row r="331" spans="1:65" ht="13.5" customHeight="1" x14ac:dyDescent="0.3">
      <c r="A331" s="241"/>
      <c r="B331" s="241"/>
      <c r="C331" s="241"/>
      <c r="D331" s="241"/>
      <c r="E331" s="241"/>
      <c r="F331" s="241"/>
      <c r="G331" s="241"/>
      <c r="H331" s="241"/>
      <c r="I331" s="241"/>
      <c r="J331" s="241"/>
      <c r="K331" s="241"/>
      <c r="L331" s="241"/>
      <c r="M331" s="241"/>
      <c r="N331" s="241"/>
      <c r="O331" s="241"/>
      <c r="P331" s="241"/>
      <c r="Q331" s="241"/>
      <c r="R331" s="241"/>
      <c r="S331" s="241"/>
      <c r="T331" s="241"/>
      <c r="U331" s="241"/>
      <c r="V331" s="241"/>
      <c r="W331" s="241"/>
      <c r="X331" s="241"/>
      <c r="Y331" s="241"/>
      <c r="Z331" s="241"/>
      <c r="AA331" s="241"/>
      <c r="AB331" s="241"/>
      <c r="AC331" s="241"/>
      <c r="AD331" s="241"/>
      <c r="AE331" s="241"/>
      <c r="AF331" s="241"/>
      <c r="AG331" s="241"/>
      <c r="AH331" s="241"/>
      <c r="AI331" s="241"/>
      <c r="AJ331" s="241"/>
      <c r="AK331" s="241"/>
      <c r="AL331" s="241"/>
      <c r="AM331" s="241"/>
      <c r="AN331" s="241"/>
      <c r="AO331" s="241"/>
      <c r="AP331" s="241"/>
      <c r="AQ331" s="241"/>
      <c r="AR331" s="241"/>
      <c r="AS331" s="241"/>
      <c r="AT331" s="241"/>
      <c r="AU331" s="241"/>
      <c r="AV331" s="241"/>
      <c r="AW331" s="241"/>
      <c r="AX331" s="241"/>
      <c r="AY331" s="241"/>
      <c r="AZ331" s="241"/>
      <c r="BA331" s="241"/>
      <c r="BB331" s="241"/>
      <c r="BC331" s="241"/>
      <c r="BD331" s="241"/>
      <c r="BE331" s="241"/>
      <c r="BF331" s="241"/>
      <c r="BG331" s="241"/>
      <c r="BH331" s="241"/>
      <c r="BI331" s="241"/>
      <c r="BJ331" s="241"/>
      <c r="BK331" s="241"/>
      <c r="BL331" s="241"/>
      <c r="BM331" s="241"/>
    </row>
    <row r="332" spans="1:65" ht="13.5" customHeight="1" x14ac:dyDescent="0.3">
      <c r="A332" s="241"/>
      <c r="B332" s="241"/>
      <c r="C332" s="241"/>
      <c r="D332" s="241"/>
      <c r="E332" s="241"/>
      <c r="F332" s="241"/>
      <c r="G332" s="241"/>
      <c r="H332" s="241"/>
      <c r="I332" s="241"/>
      <c r="J332" s="241"/>
      <c r="K332" s="241"/>
      <c r="L332" s="241"/>
      <c r="M332" s="241"/>
      <c r="N332" s="241"/>
      <c r="O332" s="241"/>
      <c r="P332" s="241"/>
      <c r="Q332" s="241"/>
      <c r="R332" s="241"/>
      <c r="S332" s="241"/>
      <c r="T332" s="241"/>
      <c r="U332" s="241"/>
      <c r="V332" s="241"/>
      <c r="W332" s="241"/>
      <c r="X332" s="241"/>
      <c r="Y332" s="241"/>
      <c r="Z332" s="241"/>
      <c r="AA332" s="241"/>
      <c r="AB332" s="241"/>
      <c r="AC332" s="241"/>
      <c r="AD332" s="241"/>
      <c r="AE332" s="241"/>
      <c r="AF332" s="241"/>
      <c r="AG332" s="241"/>
      <c r="AH332" s="241"/>
      <c r="AI332" s="241"/>
      <c r="AJ332" s="241"/>
      <c r="AK332" s="241"/>
      <c r="AL332" s="241"/>
      <c r="AM332" s="241"/>
      <c r="AN332" s="241"/>
      <c r="AO332" s="241"/>
      <c r="AP332" s="241"/>
      <c r="AQ332" s="241"/>
      <c r="AR332" s="241"/>
      <c r="AS332" s="241"/>
      <c r="AT332" s="241"/>
      <c r="AU332" s="241"/>
      <c r="AV332" s="241"/>
      <c r="AW332" s="241"/>
      <c r="AX332" s="241"/>
      <c r="AY332" s="241"/>
      <c r="AZ332" s="241"/>
      <c r="BA332" s="241"/>
      <c r="BB332" s="241"/>
      <c r="BC332" s="241"/>
      <c r="BD332" s="241"/>
      <c r="BE332" s="241"/>
      <c r="BF332" s="241"/>
      <c r="BG332" s="241"/>
      <c r="BH332" s="241"/>
      <c r="BI332" s="241"/>
      <c r="BJ332" s="241"/>
      <c r="BK332" s="241"/>
      <c r="BL332" s="241"/>
      <c r="BM332" s="241"/>
    </row>
    <row r="333" spans="1:65" ht="13.5" customHeight="1" x14ac:dyDescent="0.3">
      <c r="A333" s="241"/>
      <c r="B333" s="241"/>
      <c r="C333" s="241"/>
      <c r="D333" s="241"/>
      <c r="E333" s="241"/>
      <c r="F333" s="241"/>
      <c r="G333" s="241"/>
      <c r="H333" s="241"/>
      <c r="I333" s="241"/>
      <c r="J333" s="241"/>
      <c r="K333" s="241"/>
      <c r="L333" s="241"/>
      <c r="M333" s="241"/>
      <c r="N333" s="241"/>
      <c r="O333" s="241"/>
      <c r="P333" s="241"/>
      <c r="Q333" s="241"/>
      <c r="R333" s="241"/>
      <c r="S333" s="241"/>
      <c r="T333" s="241"/>
      <c r="U333" s="241"/>
      <c r="V333" s="241"/>
      <c r="W333" s="241"/>
      <c r="X333" s="241"/>
      <c r="Y333" s="241"/>
      <c r="Z333" s="241"/>
      <c r="AA333" s="241"/>
      <c r="AB333" s="241"/>
      <c r="AC333" s="241"/>
      <c r="AD333" s="241"/>
      <c r="AE333" s="241"/>
      <c r="AF333" s="241"/>
      <c r="AG333" s="241"/>
      <c r="AH333" s="241"/>
      <c r="AI333" s="241"/>
      <c r="AJ333" s="241"/>
      <c r="AK333" s="241"/>
      <c r="AL333" s="241"/>
      <c r="AM333" s="241"/>
      <c r="AN333" s="241"/>
      <c r="AO333" s="241"/>
      <c r="AP333" s="241"/>
      <c r="AQ333" s="241"/>
      <c r="AR333" s="241"/>
      <c r="AS333" s="241"/>
      <c r="AT333" s="241"/>
      <c r="AU333" s="241"/>
      <c r="AV333" s="241"/>
      <c r="AW333" s="241"/>
      <c r="AX333" s="241"/>
      <c r="AY333" s="241"/>
      <c r="AZ333" s="241"/>
      <c r="BA333" s="241"/>
      <c r="BB333" s="241"/>
      <c r="BC333" s="241"/>
      <c r="BD333" s="241"/>
      <c r="BE333" s="241"/>
      <c r="BF333" s="241"/>
      <c r="BG333" s="241"/>
      <c r="BH333" s="241"/>
      <c r="BI333" s="241"/>
      <c r="BJ333" s="241"/>
      <c r="BK333" s="241"/>
      <c r="BL333" s="241"/>
      <c r="BM333" s="241"/>
    </row>
    <row r="334" spans="1:65" ht="13.5" customHeight="1" x14ac:dyDescent="0.3">
      <c r="A334" s="241"/>
      <c r="B334" s="241"/>
      <c r="C334" s="241"/>
      <c r="D334" s="241"/>
      <c r="E334" s="241"/>
      <c r="F334" s="241"/>
      <c r="G334" s="241"/>
      <c r="H334" s="241"/>
      <c r="I334" s="241"/>
      <c r="J334" s="241"/>
      <c r="K334" s="241"/>
      <c r="L334" s="241"/>
      <c r="M334" s="241"/>
      <c r="N334" s="241"/>
      <c r="O334" s="241"/>
      <c r="P334" s="241"/>
      <c r="Q334" s="241"/>
      <c r="R334" s="241"/>
      <c r="S334" s="241"/>
      <c r="T334" s="241"/>
      <c r="U334" s="241"/>
      <c r="V334" s="241"/>
      <c r="W334" s="241"/>
      <c r="X334" s="241"/>
      <c r="Y334" s="241"/>
      <c r="Z334" s="241"/>
      <c r="AA334" s="241"/>
      <c r="AB334" s="241"/>
      <c r="AC334" s="241"/>
      <c r="AD334" s="241"/>
      <c r="AE334" s="241"/>
      <c r="AF334" s="241"/>
      <c r="AG334" s="241"/>
      <c r="AH334" s="241"/>
      <c r="AI334" s="241"/>
      <c r="AJ334" s="241"/>
      <c r="AK334" s="241"/>
      <c r="AL334" s="241"/>
      <c r="AM334" s="241"/>
      <c r="AN334" s="241"/>
      <c r="AO334" s="241"/>
      <c r="AP334" s="241"/>
      <c r="AQ334" s="241"/>
      <c r="AR334" s="241"/>
      <c r="AS334" s="241"/>
      <c r="AT334" s="241"/>
      <c r="AU334" s="241"/>
      <c r="AV334" s="241"/>
      <c r="AW334" s="241"/>
      <c r="AX334" s="241"/>
      <c r="AY334" s="241"/>
      <c r="AZ334" s="241"/>
      <c r="BA334" s="241"/>
      <c r="BB334" s="241"/>
      <c r="BC334" s="241"/>
      <c r="BD334" s="241"/>
      <c r="BE334" s="241"/>
      <c r="BF334" s="241"/>
      <c r="BG334" s="241"/>
      <c r="BH334" s="241"/>
      <c r="BI334" s="241"/>
      <c r="BJ334" s="241"/>
      <c r="BK334" s="241"/>
      <c r="BL334" s="241"/>
      <c r="BM334" s="241"/>
    </row>
    <row r="335" spans="1:65" ht="13.5" customHeight="1" x14ac:dyDescent="0.3">
      <c r="A335" s="241"/>
      <c r="B335" s="241"/>
      <c r="C335" s="241"/>
      <c r="D335" s="241"/>
      <c r="E335" s="241"/>
      <c r="F335" s="241"/>
      <c r="G335" s="241"/>
      <c r="H335" s="241"/>
      <c r="I335" s="241"/>
      <c r="J335" s="241"/>
      <c r="K335" s="241"/>
      <c r="L335" s="241"/>
      <c r="M335" s="241"/>
      <c r="N335" s="241"/>
      <c r="O335" s="241"/>
      <c r="P335" s="241"/>
      <c r="Q335" s="241"/>
      <c r="R335" s="241"/>
      <c r="S335" s="241"/>
      <c r="T335" s="241"/>
      <c r="U335" s="241"/>
      <c r="V335" s="241"/>
      <c r="W335" s="241"/>
      <c r="X335" s="241"/>
      <c r="Y335" s="241"/>
      <c r="Z335" s="241"/>
      <c r="AA335" s="241"/>
      <c r="AB335" s="241"/>
      <c r="AC335" s="241"/>
      <c r="AD335" s="241"/>
      <c r="AE335" s="241"/>
      <c r="AF335" s="241"/>
      <c r="AG335" s="241"/>
      <c r="AH335" s="241"/>
      <c r="AI335" s="241"/>
      <c r="AJ335" s="241"/>
      <c r="AK335" s="241"/>
      <c r="AL335" s="241"/>
      <c r="AM335" s="241"/>
      <c r="AN335" s="241"/>
      <c r="AO335" s="241"/>
      <c r="AP335" s="241"/>
      <c r="AQ335" s="241"/>
      <c r="AR335" s="241"/>
      <c r="AS335" s="241"/>
      <c r="AT335" s="241"/>
      <c r="AU335" s="241"/>
      <c r="AV335" s="241"/>
      <c r="AW335" s="241"/>
      <c r="AX335" s="241"/>
      <c r="AY335" s="241"/>
      <c r="AZ335" s="241"/>
      <c r="BA335" s="241"/>
      <c r="BB335" s="241"/>
      <c r="BC335" s="241"/>
      <c r="BD335" s="241"/>
      <c r="BE335" s="241"/>
      <c r="BF335" s="241"/>
      <c r="BG335" s="241"/>
      <c r="BH335" s="241"/>
      <c r="BI335" s="241"/>
      <c r="BJ335" s="241"/>
      <c r="BK335" s="241"/>
      <c r="BL335" s="241"/>
      <c r="BM335" s="241"/>
    </row>
    <row r="336" spans="1:65" ht="13.5" customHeight="1" x14ac:dyDescent="0.3">
      <c r="A336" s="241"/>
      <c r="B336" s="241"/>
      <c r="C336" s="241"/>
      <c r="D336" s="241"/>
      <c r="E336" s="241"/>
      <c r="F336" s="241"/>
      <c r="G336" s="241"/>
      <c r="H336" s="241"/>
      <c r="I336" s="241"/>
      <c r="J336" s="241"/>
      <c r="K336" s="241"/>
      <c r="L336" s="241"/>
      <c r="M336" s="241"/>
      <c r="N336" s="241"/>
      <c r="O336" s="241"/>
      <c r="P336" s="241"/>
      <c r="Q336" s="241"/>
      <c r="R336" s="241"/>
      <c r="S336" s="241"/>
      <c r="T336" s="241"/>
      <c r="U336" s="241"/>
      <c r="V336" s="241"/>
      <c r="W336" s="241"/>
      <c r="X336" s="241"/>
      <c r="Y336" s="241"/>
      <c r="Z336" s="241"/>
      <c r="AA336" s="241"/>
      <c r="AB336" s="241"/>
      <c r="AC336" s="241"/>
      <c r="AD336" s="241"/>
      <c r="AE336" s="241"/>
      <c r="AF336" s="241"/>
      <c r="AG336" s="241"/>
      <c r="AH336" s="241"/>
      <c r="AI336" s="241"/>
      <c r="AJ336" s="241"/>
      <c r="AK336" s="241"/>
      <c r="AL336" s="241"/>
      <c r="AM336" s="241"/>
      <c r="AN336" s="241"/>
      <c r="AO336" s="241"/>
      <c r="AP336" s="241"/>
      <c r="AQ336" s="241"/>
      <c r="AR336" s="241"/>
      <c r="AS336" s="241"/>
      <c r="AT336" s="241"/>
      <c r="AU336" s="241"/>
      <c r="AV336" s="241"/>
      <c r="AW336" s="241"/>
      <c r="AX336" s="241"/>
      <c r="AY336" s="241"/>
      <c r="AZ336" s="241"/>
      <c r="BA336" s="241"/>
      <c r="BB336" s="241"/>
      <c r="BC336" s="241"/>
      <c r="BD336" s="241"/>
      <c r="BE336" s="241"/>
      <c r="BF336" s="241"/>
      <c r="BG336" s="241"/>
      <c r="BH336" s="241"/>
      <c r="BI336" s="241"/>
      <c r="BJ336" s="241"/>
      <c r="BK336" s="241"/>
      <c r="BL336" s="241"/>
      <c r="BM336" s="241"/>
    </row>
    <row r="337" spans="1:65" ht="13.5" customHeight="1" x14ac:dyDescent="0.3">
      <c r="A337" s="241"/>
      <c r="B337" s="241"/>
      <c r="C337" s="241"/>
      <c r="D337" s="241"/>
      <c r="E337" s="241"/>
      <c r="F337" s="241"/>
      <c r="G337" s="241"/>
      <c r="H337" s="241"/>
      <c r="I337" s="241"/>
      <c r="J337" s="241"/>
      <c r="K337" s="241"/>
      <c r="L337" s="241"/>
      <c r="M337" s="241"/>
      <c r="N337" s="241"/>
      <c r="O337" s="241"/>
      <c r="P337" s="241"/>
      <c r="Q337" s="241"/>
      <c r="R337" s="241"/>
      <c r="S337" s="241"/>
      <c r="T337" s="241"/>
      <c r="U337" s="241"/>
      <c r="V337" s="241"/>
      <c r="W337" s="241"/>
      <c r="X337" s="241"/>
      <c r="Y337" s="241"/>
      <c r="Z337" s="241"/>
      <c r="AA337" s="241"/>
      <c r="AB337" s="241"/>
      <c r="AC337" s="241"/>
      <c r="AD337" s="241"/>
      <c r="AE337" s="241"/>
      <c r="AF337" s="241"/>
      <c r="AG337" s="241"/>
      <c r="AH337" s="241"/>
      <c r="AI337" s="241"/>
      <c r="AJ337" s="241"/>
      <c r="AK337" s="241"/>
      <c r="AL337" s="241"/>
      <c r="AM337" s="241"/>
      <c r="AN337" s="241"/>
      <c r="AO337" s="241"/>
      <c r="AP337" s="241"/>
      <c r="AQ337" s="241"/>
      <c r="AR337" s="241"/>
      <c r="AS337" s="241"/>
      <c r="AT337" s="241"/>
      <c r="AU337" s="241"/>
      <c r="AV337" s="241"/>
      <c r="AW337" s="241"/>
      <c r="AX337" s="241"/>
      <c r="AY337" s="241"/>
      <c r="AZ337" s="241"/>
      <c r="BA337" s="241"/>
      <c r="BB337" s="241"/>
      <c r="BC337" s="241"/>
      <c r="BD337" s="241"/>
      <c r="BE337" s="241"/>
      <c r="BF337" s="241"/>
      <c r="BG337" s="241"/>
      <c r="BH337" s="241"/>
      <c r="BI337" s="241"/>
      <c r="BJ337" s="241"/>
      <c r="BK337" s="241"/>
      <c r="BL337" s="241"/>
      <c r="BM337" s="241"/>
    </row>
    <row r="338" spans="1:65" ht="13.5" customHeight="1" x14ac:dyDescent="0.3">
      <c r="A338" s="241"/>
      <c r="B338" s="241"/>
      <c r="C338" s="241"/>
      <c r="D338" s="241"/>
      <c r="E338" s="241"/>
      <c r="F338" s="241"/>
      <c r="G338" s="241"/>
      <c r="H338" s="241"/>
      <c r="I338" s="241"/>
      <c r="J338" s="241"/>
      <c r="K338" s="241"/>
      <c r="L338" s="241"/>
      <c r="M338" s="241"/>
      <c r="N338" s="241"/>
      <c r="O338" s="241"/>
      <c r="P338" s="241"/>
      <c r="Q338" s="241"/>
      <c r="R338" s="241"/>
      <c r="S338" s="241"/>
      <c r="T338" s="241"/>
      <c r="U338" s="241"/>
      <c r="V338" s="241"/>
      <c r="W338" s="241"/>
      <c r="X338" s="241"/>
      <c r="Y338" s="241"/>
      <c r="Z338" s="241"/>
      <c r="AA338" s="241"/>
      <c r="AB338" s="241"/>
      <c r="AC338" s="241"/>
      <c r="AD338" s="241"/>
      <c r="AE338" s="241"/>
      <c r="AF338" s="241"/>
      <c r="AG338" s="241"/>
      <c r="AH338" s="241"/>
      <c r="AI338" s="241"/>
      <c r="AJ338" s="241"/>
      <c r="AK338" s="241"/>
      <c r="AL338" s="241"/>
      <c r="AM338" s="241"/>
      <c r="AN338" s="241"/>
      <c r="AO338" s="241"/>
      <c r="AP338" s="241"/>
      <c r="AQ338" s="241"/>
      <c r="AR338" s="241"/>
      <c r="AS338" s="241"/>
      <c r="AT338" s="241"/>
      <c r="AU338" s="241"/>
      <c r="AV338" s="241"/>
      <c r="AW338" s="241"/>
      <c r="AX338" s="241"/>
      <c r="AY338" s="241"/>
      <c r="AZ338" s="241"/>
      <c r="BA338" s="241"/>
      <c r="BB338" s="241"/>
      <c r="BC338" s="241"/>
      <c r="BD338" s="241"/>
      <c r="BE338" s="241"/>
      <c r="BF338" s="241"/>
      <c r="BG338" s="241"/>
      <c r="BH338" s="241"/>
      <c r="BI338" s="241"/>
      <c r="BJ338" s="241"/>
      <c r="BK338" s="241"/>
      <c r="BL338" s="241"/>
      <c r="BM338" s="241"/>
    </row>
    <row r="339" spans="1:65" ht="13.5" customHeight="1" x14ac:dyDescent="0.3">
      <c r="A339" s="241"/>
      <c r="B339" s="241"/>
      <c r="C339" s="241"/>
      <c r="D339" s="241"/>
      <c r="E339" s="241"/>
      <c r="F339" s="241"/>
      <c r="G339" s="241"/>
      <c r="H339" s="241"/>
      <c r="I339" s="241"/>
      <c r="J339" s="241"/>
      <c r="K339" s="241"/>
      <c r="L339" s="241"/>
      <c r="M339" s="241"/>
      <c r="N339" s="241"/>
      <c r="O339" s="241"/>
      <c r="P339" s="241"/>
      <c r="Q339" s="241"/>
      <c r="R339" s="241"/>
      <c r="S339" s="241"/>
      <c r="T339" s="241"/>
      <c r="U339" s="241"/>
      <c r="V339" s="241"/>
      <c r="W339" s="241"/>
      <c r="X339" s="241"/>
      <c r="Y339" s="241"/>
      <c r="Z339" s="241"/>
      <c r="AA339" s="241"/>
      <c r="AB339" s="241"/>
      <c r="AC339" s="241"/>
      <c r="AD339" s="241"/>
      <c r="AE339" s="241"/>
      <c r="AF339" s="241"/>
      <c r="AG339" s="241"/>
      <c r="AH339" s="241"/>
      <c r="AI339" s="241"/>
      <c r="AJ339" s="241"/>
      <c r="AK339" s="241"/>
      <c r="AL339" s="241"/>
      <c r="AM339" s="241"/>
      <c r="AN339" s="241"/>
      <c r="AO339" s="241"/>
      <c r="AP339" s="241"/>
      <c r="AQ339" s="241"/>
      <c r="AR339" s="241"/>
      <c r="AS339" s="241"/>
      <c r="AT339" s="241"/>
      <c r="AU339" s="241"/>
      <c r="AV339" s="241"/>
      <c r="AW339" s="241"/>
      <c r="AX339" s="241"/>
      <c r="AY339" s="241"/>
      <c r="AZ339" s="241"/>
      <c r="BA339" s="241"/>
      <c r="BB339" s="241"/>
      <c r="BC339" s="241"/>
      <c r="BD339" s="241"/>
      <c r="BE339" s="241"/>
      <c r="BF339" s="241"/>
      <c r="BG339" s="241"/>
      <c r="BH339" s="241"/>
      <c r="BI339" s="241"/>
      <c r="BJ339" s="241"/>
      <c r="BK339" s="241"/>
      <c r="BL339" s="241"/>
      <c r="BM339" s="241"/>
    </row>
    <row r="340" spans="1:65" ht="13.5" customHeight="1" x14ac:dyDescent="0.3">
      <c r="A340" s="241"/>
      <c r="B340" s="241"/>
      <c r="C340" s="241"/>
      <c r="D340" s="241"/>
      <c r="E340" s="241"/>
      <c r="F340" s="241"/>
      <c r="G340" s="241"/>
      <c r="H340" s="241"/>
      <c r="I340" s="241"/>
      <c r="J340" s="241"/>
      <c r="K340" s="241"/>
      <c r="L340" s="241"/>
      <c r="M340" s="241"/>
      <c r="N340" s="241"/>
      <c r="O340" s="241"/>
      <c r="P340" s="241"/>
      <c r="Q340" s="241"/>
      <c r="R340" s="241"/>
      <c r="S340" s="241"/>
      <c r="T340" s="241"/>
      <c r="U340" s="241"/>
      <c r="V340" s="241"/>
      <c r="W340" s="241"/>
      <c r="X340" s="241"/>
      <c r="Y340" s="241"/>
      <c r="Z340" s="241"/>
      <c r="AA340" s="241"/>
      <c r="AB340" s="241"/>
      <c r="AC340" s="241"/>
      <c r="AD340" s="241"/>
      <c r="AE340" s="241"/>
      <c r="AF340" s="241"/>
      <c r="AG340" s="241"/>
      <c r="AH340" s="241"/>
      <c r="AI340" s="241"/>
      <c r="AJ340" s="241"/>
      <c r="AK340" s="241"/>
      <c r="AL340" s="241"/>
      <c r="AM340" s="241"/>
      <c r="AN340" s="241"/>
      <c r="AO340" s="241"/>
      <c r="AP340" s="241"/>
      <c r="AQ340" s="241"/>
      <c r="AR340" s="241"/>
      <c r="AS340" s="241"/>
      <c r="AT340" s="241"/>
      <c r="AU340" s="241"/>
      <c r="AV340" s="241"/>
      <c r="AW340" s="241"/>
      <c r="AX340" s="241"/>
      <c r="AY340" s="241"/>
      <c r="AZ340" s="241"/>
      <c r="BA340" s="241"/>
      <c r="BB340" s="241"/>
      <c r="BC340" s="241"/>
      <c r="BD340" s="241"/>
      <c r="BE340" s="241"/>
      <c r="BF340" s="241"/>
      <c r="BG340" s="241"/>
      <c r="BH340" s="241"/>
      <c r="BI340" s="241"/>
      <c r="BJ340" s="241"/>
      <c r="BK340" s="241"/>
      <c r="BL340" s="241"/>
      <c r="BM340" s="241"/>
    </row>
    <row r="341" spans="1:65" ht="13.5" customHeight="1" x14ac:dyDescent="0.3">
      <c r="A341" s="241"/>
      <c r="B341" s="241"/>
      <c r="C341" s="241"/>
      <c r="D341" s="241"/>
      <c r="E341" s="241"/>
      <c r="F341" s="241"/>
      <c r="G341" s="241"/>
      <c r="H341" s="241"/>
      <c r="I341" s="241"/>
      <c r="J341" s="241"/>
      <c r="K341" s="241"/>
      <c r="L341" s="241"/>
      <c r="M341" s="241"/>
      <c r="N341" s="241"/>
      <c r="O341" s="241"/>
      <c r="P341" s="241"/>
      <c r="Q341" s="241"/>
      <c r="R341" s="241"/>
      <c r="S341" s="241"/>
      <c r="T341" s="241"/>
      <c r="U341" s="241"/>
      <c r="V341" s="241"/>
      <c r="W341" s="241"/>
      <c r="X341" s="241"/>
      <c r="Y341" s="241"/>
      <c r="Z341" s="241"/>
      <c r="AA341" s="241"/>
      <c r="AB341" s="241"/>
      <c r="AC341" s="241"/>
      <c r="AD341" s="241"/>
      <c r="AE341" s="241"/>
      <c r="AF341" s="241"/>
      <c r="AG341" s="241"/>
      <c r="AH341" s="241"/>
      <c r="AI341" s="241"/>
      <c r="AJ341" s="241"/>
      <c r="AK341" s="241"/>
      <c r="AL341" s="241"/>
      <c r="AM341" s="241"/>
      <c r="AN341" s="241"/>
      <c r="AO341" s="241"/>
      <c r="AP341" s="241"/>
      <c r="AQ341" s="241"/>
      <c r="AR341" s="241"/>
      <c r="AS341" s="241"/>
      <c r="AT341" s="241"/>
      <c r="AU341" s="241"/>
      <c r="AV341" s="241"/>
      <c r="AW341" s="241"/>
      <c r="AX341" s="241"/>
      <c r="AY341" s="241"/>
      <c r="AZ341" s="241"/>
      <c r="BA341" s="241"/>
      <c r="BB341" s="241"/>
      <c r="BC341" s="241"/>
      <c r="BD341" s="241"/>
      <c r="BE341" s="241"/>
      <c r="BF341" s="241"/>
      <c r="BG341" s="241"/>
      <c r="BH341" s="241"/>
      <c r="BI341" s="241"/>
      <c r="BJ341" s="241"/>
      <c r="BK341" s="241"/>
      <c r="BL341" s="241"/>
      <c r="BM341" s="241"/>
    </row>
    <row r="342" spans="1:65" ht="13.5" customHeight="1" x14ac:dyDescent="0.3">
      <c r="A342" s="241"/>
      <c r="B342" s="241"/>
      <c r="C342" s="241"/>
      <c r="D342" s="241"/>
      <c r="E342" s="241"/>
      <c r="F342" s="241"/>
      <c r="G342" s="241"/>
      <c r="H342" s="241"/>
      <c r="I342" s="241"/>
      <c r="J342" s="241"/>
      <c r="K342" s="241"/>
      <c r="L342" s="241"/>
      <c r="M342" s="241"/>
      <c r="N342" s="241"/>
      <c r="O342" s="241"/>
      <c r="P342" s="241"/>
      <c r="Q342" s="241"/>
      <c r="R342" s="241"/>
      <c r="S342" s="241"/>
      <c r="T342" s="241"/>
      <c r="U342" s="241"/>
      <c r="V342" s="241"/>
      <c r="W342" s="241"/>
      <c r="X342" s="241"/>
      <c r="Y342" s="241"/>
      <c r="Z342" s="241"/>
      <c r="AA342" s="241"/>
      <c r="AB342" s="241"/>
      <c r="AC342" s="241"/>
      <c r="AD342" s="241"/>
      <c r="AE342" s="241"/>
      <c r="AF342" s="241"/>
      <c r="AG342" s="241"/>
      <c r="AH342" s="241"/>
      <c r="AI342" s="241"/>
      <c r="AJ342" s="241"/>
      <c r="AK342" s="241"/>
      <c r="AL342" s="241"/>
      <c r="AM342" s="241"/>
      <c r="AN342" s="241"/>
      <c r="AO342" s="241"/>
      <c r="AP342" s="241"/>
      <c r="AQ342" s="241"/>
      <c r="AR342" s="241"/>
      <c r="AS342" s="241"/>
      <c r="AT342" s="241"/>
      <c r="AU342" s="241"/>
      <c r="AV342" s="241"/>
      <c r="AW342" s="241"/>
      <c r="AX342" s="241"/>
      <c r="AY342" s="241"/>
      <c r="AZ342" s="241"/>
      <c r="BA342" s="241"/>
      <c r="BB342" s="241"/>
      <c r="BC342" s="241"/>
      <c r="BD342" s="241"/>
      <c r="BE342" s="241"/>
      <c r="BF342" s="241"/>
      <c r="BG342" s="241"/>
      <c r="BH342" s="241"/>
      <c r="BI342" s="241"/>
      <c r="BJ342" s="241"/>
      <c r="BK342" s="241"/>
      <c r="BL342" s="241"/>
      <c r="BM342" s="241"/>
    </row>
    <row r="343" spans="1:65" ht="13.5" customHeight="1" x14ac:dyDescent="0.3">
      <c r="A343" s="241"/>
      <c r="B343" s="241"/>
      <c r="C343" s="241"/>
      <c r="D343" s="241"/>
      <c r="E343" s="241"/>
      <c r="F343" s="241"/>
      <c r="G343" s="241"/>
      <c r="H343" s="241"/>
      <c r="I343" s="241"/>
      <c r="J343" s="241"/>
      <c r="K343" s="241"/>
      <c r="L343" s="241"/>
      <c r="M343" s="241"/>
      <c r="N343" s="241"/>
      <c r="O343" s="241"/>
      <c r="P343" s="241"/>
      <c r="Q343" s="241"/>
      <c r="R343" s="241"/>
      <c r="S343" s="241"/>
      <c r="T343" s="241"/>
      <c r="U343" s="241"/>
      <c r="V343" s="241"/>
      <c r="W343" s="241"/>
      <c r="X343" s="241"/>
      <c r="Y343" s="241"/>
      <c r="Z343" s="241"/>
      <c r="AA343" s="241"/>
      <c r="AB343" s="241"/>
      <c r="AC343" s="241"/>
      <c r="AD343" s="241"/>
      <c r="AE343" s="241"/>
      <c r="AF343" s="241"/>
      <c r="AG343" s="241"/>
      <c r="AH343" s="241"/>
      <c r="AI343" s="241"/>
      <c r="AJ343" s="241"/>
      <c r="AK343" s="241"/>
      <c r="AL343" s="241"/>
      <c r="AM343" s="241"/>
      <c r="AN343" s="241"/>
      <c r="AO343" s="241"/>
      <c r="AP343" s="241"/>
      <c r="AQ343" s="241"/>
      <c r="AR343" s="241"/>
      <c r="AS343" s="241"/>
      <c r="AT343" s="241"/>
      <c r="AU343" s="241"/>
      <c r="AV343" s="241"/>
      <c r="AW343" s="241"/>
      <c r="AX343" s="241"/>
      <c r="AY343" s="241"/>
      <c r="AZ343" s="241"/>
      <c r="BA343" s="241"/>
      <c r="BB343" s="241"/>
      <c r="BC343" s="241"/>
      <c r="BD343" s="241"/>
      <c r="BE343" s="241"/>
      <c r="BF343" s="241"/>
      <c r="BG343" s="241"/>
      <c r="BH343" s="241"/>
      <c r="BI343" s="241"/>
      <c r="BJ343" s="241"/>
      <c r="BK343" s="241"/>
      <c r="BL343" s="241"/>
      <c r="BM343" s="241"/>
    </row>
    <row r="344" spans="1:65" ht="13.5" customHeight="1" x14ac:dyDescent="0.3">
      <c r="A344" s="241"/>
      <c r="B344" s="241"/>
      <c r="C344" s="241"/>
      <c r="D344" s="241"/>
      <c r="E344" s="241"/>
      <c r="F344" s="241"/>
      <c r="G344" s="241"/>
      <c r="H344" s="241"/>
      <c r="I344" s="241"/>
      <c r="J344" s="241"/>
      <c r="K344" s="241"/>
      <c r="L344" s="241"/>
      <c r="M344" s="241"/>
      <c r="N344" s="241"/>
      <c r="O344" s="241"/>
      <c r="P344" s="241"/>
      <c r="Q344" s="241"/>
      <c r="R344" s="241"/>
      <c r="S344" s="241"/>
      <c r="T344" s="241"/>
      <c r="U344" s="241"/>
      <c r="V344" s="241"/>
      <c r="W344" s="241"/>
      <c r="X344" s="241"/>
      <c r="Y344" s="241"/>
      <c r="Z344" s="241"/>
      <c r="AA344" s="241"/>
      <c r="AB344" s="241"/>
      <c r="AC344" s="241"/>
      <c r="AD344" s="241"/>
      <c r="AE344" s="241"/>
      <c r="AF344" s="241"/>
      <c r="AG344" s="241"/>
      <c r="AH344" s="241"/>
      <c r="AI344" s="241"/>
      <c r="AJ344" s="241"/>
      <c r="AK344" s="241"/>
      <c r="AL344" s="241"/>
      <c r="AM344" s="241"/>
      <c r="AN344" s="241"/>
      <c r="AO344" s="241"/>
      <c r="AP344" s="241"/>
      <c r="AQ344" s="241"/>
      <c r="AR344" s="241"/>
      <c r="AS344" s="241"/>
      <c r="AT344" s="241"/>
      <c r="AU344" s="241"/>
      <c r="AV344" s="241"/>
      <c r="AW344" s="241"/>
      <c r="AX344" s="241"/>
      <c r="AY344" s="241"/>
      <c r="AZ344" s="241"/>
      <c r="BA344" s="241"/>
      <c r="BB344" s="241"/>
      <c r="BC344" s="241"/>
      <c r="BD344" s="241"/>
      <c r="BE344" s="241"/>
      <c r="BF344" s="241"/>
      <c r="BG344" s="241"/>
      <c r="BH344" s="241"/>
      <c r="BI344" s="241"/>
      <c r="BJ344" s="241"/>
      <c r="BK344" s="241"/>
      <c r="BL344" s="241"/>
      <c r="BM344" s="241"/>
    </row>
    <row r="345" spans="1:65" ht="13.5" customHeight="1" x14ac:dyDescent="0.3">
      <c r="A345" s="241"/>
      <c r="B345" s="241"/>
      <c r="C345" s="241"/>
      <c r="D345" s="241"/>
      <c r="E345" s="241"/>
      <c r="F345" s="241"/>
      <c r="G345" s="241"/>
      <c r="H345" s="241"/>
      <c r="I345" s="241"/>
      <c r="J345" s="241"/>
      <c r="K345" s="241"/>
      <c r="L345" s="241"/>
      <c r="M345" s="241"/>
      <c r="N345" s="241"/>
      <c r="O345" s="241"/>
      <c r="P345" s="241"/>
      <c r="Q345" s="241"/>
      <c r="R345" s="241"/>
      <c r="S345" s="241"/>
      <c r="T345" s="241"/>
      <c r="U345" s="241"/>
      <c r="V345" s="241"/>
      <c r="W345" s="241"/>
      <c r="X345" s="241"/>
      <c r="Y345" s="241"/>
      <c r="Z345" s="241"/>
      <c r="AA345" s="241"/>
      <c r="AB345" s="241"/>
      <c r="AC345" s="241"/>
      <c r="AD345" s="241"/>
      <c r="AE345" s="241"/>
      <c r="AF345" s="241"/>
      <c r="AG345" s="241"/>
      <c r="AH345" s="241"/>
      <c r="AI345" s="241"/>
      <c r="AJ345" s="241"/>
      <c r="AK345" s="241"/>
      <c r="AL345" s="241"/>
      <c r="AM345" s="241"/>
      <c r="AN345" s="241"/>
      <c r="AO345" s="241"/>
      <c r="AP345" s="241"/>
      <c r="AQ345" s="241"/>
      <c r="AR345" s="241"/>
      <c r="AS345" s="241"/>
      <c r="AT345" s="241"/>
      <c r="AU345" s="241"/>
      <c r="AV345" s="241"/>
      <c r="AW345" s="241"/>
      <c r="AX345" s="241"/>
      <c r="AY345" s="241"/>
      <c r="AZ345" s="241"/>
      <c r="BA345" s="241"/>
      <c r="BB345" s="241"/>
      <c r="BC345" s="241"/>
      <c r="BD345" s="241"/>
      <c r="BE345" s="241"/>
      <c r="BF345" s="241"/>
      <c r="BG345" s="241"/>
      <c r="BH345" s="241"/>
      <c r="BI345" s="241"/>
      <c r="BJ345" s="241"/>
      <c r="BK345" s="241"/>
      <c r="BL345" s="241"/>
      <c r="BM345" s="241"/>
    </row>
    <row r="346" spans="1:65" ht="13.5" customHeight="1" x14ac:dyDescent="0.3">
      <c r="A346" s="241"/>
      <c r="B346" s="241"/>
      <c r="C346" s="241"/>
      <c r="D346" s="241"/>
      <c r="E346" s="241"/>
      <c r="F346" s="241"/>
      <c r="G346" s="241"/>
      <c r="H346" s="241"/>
      <c r="I346" s="241"/>
      <c r="J346" s="241"/>
      <c r="K346" s="241"/>
      <c r="L346" s="241"/>
      <c r="M346" s="241"/>
      <c r="N346" s="241"/>
      <c r="O346" s="241"/>
      <c r="P346" s="241"/>
      <c r="Q346" s="241"/>
      <c r="R346" s="241"/>
      <c r="S346" s="241"/>
      <c r="T346" s="241"/>
      <c r="U346" s="241"/>
      <c r="V346" s="241"/>
      <c r="W346" s="241"/>
      <c r="X346" s="241"/>
      <c r="Y346" s="241"/>
      <c r="Z346" s="241"/>
      <c r="AA346" s="241"/>
      <c r="AB346" s="241"/>
      <c r="AC346" s="241"/>
      <c r="AD346" s="241"/>
      <c r="AE346" s="241"/>
      <c r="AF346" s="241"/>
      <c r="AG346" s="241"/>
      <c r="AH346" s="241"/>
      <c r="AI346" s="241"/>
      <c r="AJ346" s="241"/>
      <c r="AK346" s="241"/>
      <c r="AL346" s="241"/>
      <c r="AM346" s="241"/>
      <c r="AN346" s="241"/>
      <c r="AO346" s="241"/>
      <c r="AP346" s="241"/>
      <c r="AQ346" s="241"/>
      <c r="AR346" s="241"/>
      <c r="AS346" s="241"/>
      <c r="AT346" s="241"/>
      <c r="AU346" s="241"/>
      <c r="AV346" s="241"/>
      <c r="AW346" s="241"/>
      <c r="AX346" s="241"/>
      <c r="AY346" s="241"/>
      <c r="AZ346" s="241"/>
      <c r="BA346" s="241"/>
      <c r="BB346" s="241"/>
      <c r="BC346" s="241"/>
      <c r="BD346" s="241"/>
      <c r="BE346" s="241"/>
      <c r="BF346" s="241"/>
      <c r="BG346" s="241"/>
      <c r="BH346" s="241"/>
      <c r="BI346" s="241"/>
      <c r="BJ346" s="241"/>
      <c r="BK346" s="241"/>
      <c r="BL346" s="241"/>
      <c r="BM346" s="241"/>
    </row>
    <row r="347" spans="1:65" ht="13.5" customHeight="1" x14ac:dyDescent="0.3">
      <c r="A347" s="241"/>
      <c r="B347" s="241"/>
      <c r="C347" s="241"/>
      <c r="D347" s="241"/>
      <c r="E347" s="241"/>
      <c r="F347" s="241"/>
      <c r="G347" s="241"/>
      <c r="H347" s="241"/>
      <c r="I347" s="241"/>
      <c r="J347" s="241"/>
      <c r="K347" s="241"/>
      <c r="L347" s="241"/>
      <c r="M347" s="241"/>
      <c r="N347" s="241"/>
      <c r="O347" s="241"/>
      <c r="P347" s="241"/>
      <c r="Q347" s="241"/>
      <c r="R347" s="241"/>
      <c r="S347" s="241"/>
      <c r="T347" s="241"/>
      <c r="U347" s="241"/>
      <c r="V347" s="241"/>
      <c r="W347" s="241"/>
      <c r="X347" s="241"/>
      <c r="Y347" s="241"/>
      <c r="Z347" s="241"/>
      <c r="AA347" s="241"/>
      <c r="AB347" s="241"/>
      <c r="AC347" s="241"/>
      <c r="AD347" s="241"/>
      <c r="AE347" s="241"/>
      <c r="AF347" s="241"/>
      <c r="AG347" s="241"/>
      <c r="AH347" s="241"/>
      <c r="AI347" s="241"/>
      <c r="AJ347" s="241"/>
      <c r="AK347" s="241"/>
      <c r="AL347" s="241"/>
      <c r="AM347" s="241"/>
      <c r="AN347" s="241"/>
      <c r="AO347" s="241"/>
      <c r="AP347" s="241"/>
      <c r="AQ347" s="241"/>
      <c r="AR347" s="241"/>
      <c r="AS347" s="241"/>
      <c r="AT347" s="241"/>
      <c r="AU347" s="241"/>
      <c r="AV347" s="241"/>
      <c r="AW347" s="241"/>
      <c r="AX347" s="241"/>
      <c r="AY347" s="241"/>
      <c r="AZ347" s="241"/>
      <c r="BA347" s="241"/>
      <c r="BB347" s="241"/>
      <c r="BC347" s="241"/>
      <c r="BD347" s="241"/>
      <c r="BE347" s="241"/>
      <c r="BF347" s="241"/>
      <c r="BG347" s="241"/>
      <c r="BH347" s="241"/>
      <c r="BI347" s="241"/>
      <c r="BJ347" s="241"/>
      <c r="BK347" s="241"/>
      <c r="BL347" s="241"/>
      <c r="BM347" s="241"/>
    </row>
    <row r="348" spans="1:65" ht="13.5" customHeight="1" x14ac:dyDescent="0.3">
      <c r="A348" s="241"/>
      <c r="B348" s="241"/>
      <c r="C348" s="241"/>
      <c r="D348" s="241"/>
      <c r="E348" s="241"/>
      <c r="F348" s="241"/>
      <c r="G348" s="241"/>
      <c r="H348" s="241"/>
      <c r="I348" s="241"/>
      <c r="J348" s="241"/>
      <c r="K348" s="241"/>
      <c r="L348" s="241"/>
      <c r="M348" s="241"/>
      <c r="N348" s="241"/>
      <c r="O348" s="241"/>
      <c r="P348" s="241"/>
      <c r="Q348" s="241"/>
      <c r="R348" s="241"/>
      <c r="S348" s="241"/>
      <c r="T348" s="241"/>
      <c r="U348" s="241"/>
      <c r="V348" s="241"/>
      <c r="W348" s="241"/>
      <c r="X348" s="241"/>
      <c r="Y348" s="241"/>
      <c r="Z348" s="241"/>
      <c r="AA348" s="241"/>
      <c r="AB348" s="241"/>
      <c r="AC348" s="241"/>
      <c r="AD348" s="241"/>
      <c r="AE348" s="241"/>
      <c r="AF348" s="241"/>
      <c r="AG348" s="241"/>
      <c r="AH348" s="241"/>
      <c r="AI348" s="241"/>
      <c r="AJ348" s="241"/>
      <c r="AK348" s="241"/>
      <c r="AL348" s="241"/>
      <c r="AM348" s="241"/>
      <c r="AN348" s="241"/>
      <c r="AO348" s="241"/>
      <c r="AP348" s="241"/>
      <c r="AQ348" s="241"/>
      <c r="AR348" s="241"/>
      <c r="AS348" s="241"/>
      <c r="AT348" s="241"/>
      <c r="AU348" s="241"/>
      <c r="AV348" s="241"/>
      <c r="AW348" s="241"/>
      <c r="AX348" s="241"/>
      <c r="AY348" s="241"/>
      <c r="AZ348" s="241"/>
      <c r="BA348" s="241"/>
      <c r="BB348" s="241"/>
      <c r="BC348" s="241"/>
      <c r="BD348" s="241"/>
      <c r="BE348" s="241"/>
      <c r="BF348" s="241"/>
      <c r="BG348" s="241"/>
      <c r="BH348" s="241"/>
      <c r="BI348" s="241"/>
      <c r="BJ348" s="241"/>
      <c r="BK348" s="241"/>
      <c r="BL348" s="241"/>
      <c r="BM348" s="241"/>
    </row>
    <row r="349" spans="1:65" ht="13.5" customHeight="1" x14ac:dyDescent="0.3">
      <c r="A349" s="241"/>
      <c r="B349" s="241"/>
      <c r="C349" s="241"/>
      <c r="D349" s="241"/>
      <c r="E349" s="241"/>
      <c r="F349" s="241"/>
      <c r="G349" s="241"/>
      <c r="H349" s="241"/>
      <c r="I349" s="241"/>
      <c r="J349" s="241"/>
      <c r="K349" s="241"/>
      <c r="L349" s="241"/>
      <c r="M349" s="241"/>
      <c r="N349" s="241"/>
      <c r="O349" s="241"/>
      <c r="P349" s="241"/>
      <c r="Q349" s="241"/>
      <c r="R349" s="241"/>
      <c r="S349" s="241"/>
      <c r="T349" s="241"/>
      <c r="U349" s="241"/>
      <c r="V349" s="241"/>
      <c r="W349" s="241"/>
      <c r="X349" s="241"/>
      <c r="Y349" s="241"/>
      <c r="Z349" s="241"/>
      <c r="AA349" s="241"/>
      <c r="AB349" s="241"/>
      <c r="AC349" s="241"/>
      <c r="AD349" s="241"/>
      <c r="AE349" s="241"/>
      <c r="AF349" s="241"/>
      <c r="AG349" s="241"/>
      <c r="AH349" s="241"/>
      <c r="AI349" s="241"/>
      <c r="AJ349" s="241"/>
      <c r="AK349" s="241"/>
      <c r="AL349" s="241"/>
      <c r="AM349" s="241"/>
      <c r="AN349" s="241"/>
      <c r="AO349" s="241"/>
      <c r="AP349" s="241"/>
      <c r="AQ349" s="241"/>
      <c r="AR349" s="241"/>
      <c r="AS349" s="241"/>
      <c r="AT349" s="241"/>
      <c r="AU349" s="241"/>
      <c r="AV349" s="241"/>
      <c r="AW349" s="241"/>
      <c r="AX349" s="241"/>
      <c r="AY349" s="241"/>
      <c r="AZ349" s="241"/>
      <c r="BA349" s="241"/>
      <c r="BB349" s="241"/>
      <c r="BC349" s="241"/>
      <c r="BD349" s="241"/>
      <c r="BE349" s="241"/>
      <c r="BF349" s="241"/>
      <c r="BG349" s="241"/>
      <c r="BH349" s="241"/>
      <c r="BI349" s="241"/>
      <c r="BJ349" s="241"/>
      <c r="BK349" s="241"/>
      <c r="BL349" s="241"/>
      <c r="BM349" s="241"/>
    </row>
    <row r="350" spans="1:65" ht="13.5" customHeight="1" x14ac:dyDescent="0.3">
      <c r="A350" s="241"/>
      <c r="B350" s="241"/>
      <c r="C350" s="241"/>
      <c r="D350" s="241"/>
      <c r="E350" s="241"/>
      <c r="F350" s="241"/>
      <c r="G350" s="241"/>
      <c r="H350" s="241"/>
      <c r="I350" s="241"/>
      <c r="J350" s="241"/>
      <c r="K350" s="241"/>
      <c r="L350" s="241"/>
      <c r="M350" s="241"/>
      <c r="N350" s="241"/>
      <c r="O350" s="241"/>
      <c r="P350" s="241"/>
      <c r="Q350" s="241"/>
      <c r="R350" s="241"/>
      <c r="S350" s="241"/>
      <c r="T350" s="241"/>
      <c r="U350" s="241"/>
      <c r="V350" s="241"/>
      <c r="W350" s="241"/>
      <c r="X350" s="241"/>
      <c r="Y350" s="241"/>
      <c r="Z350" s="241"/>
      <c r="AA350" s="241"/>
      <c r="AB350" s="241"/>
      <c r="AC350" s="241"/>
      <c r="AD350" s="241"/>
      <c r="AE350" s="241"/>
      <c r="AF350" s="241"/>
      <c r="AG350" s="241"/>
      <c r="AH350" s="241"/>
      <c r="AI350" s="241"/>
      <c r="AJ350" s="241"/>
      <c r="AK350" s="241"/>
      <c r="AL350" s="241"/>
      <c r="AM350" s="241"/>
      <c r="AN350" s="241"/>
      <c r="AO350" s="241"/>
      <c r="AP350" s="241"/>
      <c r="AQ350" s="241"/>
      <c r="AR350" s="241"/>
      <c r="AS350" s="241"/>
      <c r="AT350" s="241"/>
      <c r="AU350" s="241"/>
      <c r="AV350" s="241"/>
      <c r="AW350" s="241"/>
      <c r="AX350" s="241"/>
      <c r="AY350" s="241"/>
      <c r="AZ350" s="241"/>
      <c r="BA350" s="241"/>
      <c r="BB350" s="241"/>
      <c r="BC350" s="241"/>
      <c r="BD350" s="241"/>
      <c r="BE350" s="241"/>
      <c r="BF350" s="241"/>
      <c r="BG350" s="241"/>
      <c r="BH350" s="241"/>
      <c r="BI350" s="241"/>
      <c r="BJ350" s="241"/>
      <c r="BK350" s="241"/>
      <c r="BL350" s="241"/>
      <c r="BM350" s="241"/>
    </row>
    <row r="351" spans="1:65" ht="13.5" customHeight="1" x14ac:dyDescent="0.3">
      <c r="A351" s="241"/>
      <c r="B351" s="241"/>
      <c r="C351" s="241"/>
      <c r="D351" s="241"/>
      <c r="E351" s="241"/>
      <c r="F351" s="241"/>
      <c r="G351" s="241"/>
      <c r="H351" s="241"/>
      <c r="I351" s="241"/>
      <c r="J351" s="241"/>
      <c r="K351" s="241"/>
      <c r="L351" s="241"/>
      <c r="M351" s="241"/>
      <c r="N351" s="241"/>
      <c r="O351" s="241"/>
      <c r="P351" s="241"/>
      <c r="Q351" s="241"/>
      <c r="R351" s="241"/>
      <c r="S351" s="241"/>
      <c r="T351" s="241"/>
      <c r="U351" s="241"/>
      <c r="V351" s="241"/>
      <c r="W351" s="241"/>
      <c r="X351" s="241"/>
      <c r="Y351" s="241"/>
      <c r="Z351" s="241"/>
      <c r="AA351" s="241"/>
      <c r="AB351" s="241"/>
      <c r="AC351" s="241"/>
      <c r="AD351" s="241"/>
      <c r="AE351" s="241"/>
      <c r="AF351" s="241"/>
      <c r="AG351" s="241"/>
      <c r="AH351" s="241"/>
      <c r="AI351" s="241"/>
      <c r="AJ351" s="241"/>
      <c r="AK351" s="241"/>
      <c r="AL351" s="241"/>
      <c r="AM351" s="241"/>
      <c r="AN351" s="241"/>
      <c r="AO351" s="241"/>
      <c r="AP351" s="241"/>
      <c r="AQ351" s="241"/>
      <c r="AR351" s="241"/>
      <c r="AS351" s="241"/>
      <c r="AT351" s="241"/>
      <c r="AU351" s="241"/>
      <c r="AV351" s="241"/>
      <c r="AW351" s="241"/>
      <c r="AX351" s="241"/>
      <c r="AY351" s="241"/>
      <c r="AZ351" s="241"/>
      <c r="BA351" s="241"/>
      <c r="BB351" s="241"/>
      <c r="BC351" s="241"/>
      <c r="BD351" s="241"/>
      <c r="BE351" s="241"/>
      <c r="BF351" s="241"/>
      <c r="BG351" s="241"/>
      <c r="BH351" s="241"/>
      <c r="BI351" s="241"/>
      <c r="BJ351" s="241"/>
      <c r="BK351" s="241"/>
      <c r="BL351" s="241"/>
      <c r="BM351" s="241"/>
    </row>
    <row r="352" spans="1:65" ht="13.5" customHeight="1" x14ac:dyDescent="0.3">
      <c r="A352" s="241"/>
      <c r="B352" s="241"/>
      <c r="C352" s="241"/>
      <c r="D352" s="241"/>
      <c r="E352" s="241"/>
      <c r="F352" s="241"/>
      <c r="G352" s="241"/>
      <c r="H352" s="241"/>
      <c r="I352" s="241"/>
      <c r="J352" s="241"/>
      <c r="K352" s="241"/>
      <c r="L352" s="241"/>
      <c r="M352" s="241"/>
      <c r="N352" s="241"/>
      <c r="O352" s="241"/>
      <c r="P352" s="241"/>
      <c r="Q352" s="241"/>
      <c r="R352" s="241"/>
      <c r="S352" s="241"/>
      <c r="T352" s="241"/>
      <c r="U352" s="241"/>
      <c r="V352" s="241"/>
      <c r="W352" s="241"/>
      <c r="X352" s="241"/>
      <c r="Y352" s="241"/>
      <c r="Z352" s="241"/>
      <c r="AA352" s="241"/>
      <c r="AB352" s="241"/>
      <c r="AC352" s="241"/>
      <c r="AD352" s="241"/>
      <c r="AE352" s="241"/>
      <c r="AF352" s="241"/>
      <c r="AG352" s="241"/>
      <c r="AH352" s="241"/>
      <c r="AI352" s="241"/>
      <c r="AJ352" s="241"/>
      <c r="AK352" s="241"/>
      <c r="AL352" s="241"/>
      <c r="AM352" s="241"/>
      <c r="AN352" s="241"/>
      <c r="AO352" s="241"/>
      <c r="AP352" s="241"/>
      <c r="AQ352" s="241"/>
      <c r="AR352" s="241"/>
      <c r="AS352" s="241"/>
      <c r="AT352" s="241"/>
      <c r="AU352" s="241"/>
      <c r="AV352" s="241"/>
      <c r="AW352" s="241"/>
      <c r="AX352" s="241"/>
      <c r="AY352" s="241"/>
      <c r="AZ352" s="241"/>
      <c r="BA352" s="241"/>
      <c r="BB352" s="241"/>
      <c r="BC352" s="241"/>
      <c r="BD352" s="241"/>
      <c r="BE352" s="241"/>
      <c r="BF352" s="241"/>
      <c r="BG352" s="241"/>
      <c r="BH352" s="241"/>
      <c r="BI352" s="241"/>
      <c r="BJ352" s="241"/>
      <c r="BK352" s="241"/>
      <c r="BL352" s="241"/>
      <c r="BM352" s="241"/>
    </row>
    <row r="353" spans="1:65" ht="13.5" customHeight="1" x14ac:dyDescent="0.3">
      <c r="A353" s="241"/>
      <c r="B353" s="241"/>
      <c r="C353" s="241"/>
      <c r="D353" s="241"/>
      <c r="E353" s="241"/>
      <c r="F353" s="241"/>
      <c r="G353" s="241"/>
      <c r="H353" s="241"/>
      <c r="I353" s="241"/>
      <c r="J353" s="241"/>
      <c r="K353" s="241"/>
      <c r="L353" s="241"/>
      <c r="M353" s="241"/>
      <c r="N353" s="241"/>
      <c r="O353" s="241"/>
      <c r="P353" s="241"/>
      <c r="Q353" s="241"/>
      <c r="R353" s="241"/>
      <c r="S353" s="241"/>
      <c r="T353" s="241"/>
      <c r="U353" s="241"/>
      <c r="V353" s="241"/>
      <c r="W353" s="241"/>
      <c r="X353" s="241"/>
      <c r="Y353" s="241"/>
      <c r="Z353" s="241"/>
      <c r="AA353" s="241"/>
      <c r="AB353" s="241"/>
      <c r="AC353" s="241"/>
      <c r="AD353" s="241"/>
      <c r="AE353" s="241"/>
      <c r="AF353" s="241"/>
      <c r="AG353" s="241"/>
      <c r="AH353" s="241"/>
      <c r="AI353" s="241"/>
      <c r="AJ353" s="241"/>
      <c r="AK353" s="241"/>
      <c r="AL353" s="241"/>
      <c r="AM353" s="241"/>
      <c r="AN353" s="241"/>
      <c r="AO353" s="241"/>
      <c r="AP353" s="241"/>
      <c r="AQ353" s="241"/>
      <c r="AR353" s="241"/>
      <c r="AS353" s="241"/>
      <c r="AT353" s="241"/>
      <c r="AU353" s="241"/>
      <c r="AV353" s="241"/>
      <c r="AW353" s="241"/>
      <c r="AX353" s="241"/>
      <c r="AY353" s="241"/>
      <c r="AZ353" s="241"/>
      <c r="BA353" s="241"/>
      <c r="BB353" s="241"/>
      <c r="BC353" s="241"/>
      <c r="BD353" s="241"/>
      <c r="BE353" s="241"/>
      <c r="BF353" s="241"/>
      <c r="BG353" s="241"/>
      <c r="BH353" s="241"/>
      <c r="BI353" s="241"/>
      <c r="BJ353" s="241"/>
      <c r="BK353" s="241"/>
      <c r="BL353" s="241"/>
      <c r="BM353" s="241"/>
    </row>
    <row r="354" spans="1:65" ht="13.5" customHeight="1" x14ac:dyDescent="0.3">
      <c r="A354" s="241"/>
      <c r="B354" s="241"/>
      <c r="C354" s="241"/>
      <c r="D354" s="241"/>
      <c r="E354" s="241"/>
      <c r="F354" s="241"/>
      <c r="G354" s="241"/>
      <c r="H354" s="241"/>
      <c r="I354" s="241"/>
      <c r="J354" s="241"/>
      <c r="K354" s="241"/>
      <c r="L354" s="241"/>
      <c r="M354" s="241"/>
      <c r="N354" s="241"/>
      <c r="O354" s="241"/>
      <c r="P354" s="241"/>
      <c r="Q354" s="241"/>
      <c r="R354" s="241"/>
      <c r="S354" s="241"/>
      <c r="T354" s="241"/>
      <c r="U354" s="241"/>
      <c r="V354" s="241"/>
      <c r="W354" s="241"/>
      <c r="X354" s="241"/>
      <c r="Y354" s="241"/>
      <c r="Z354" s="241"/>
      <c r="AA354" s="241"/>
      <c r="AB354" s="241"/>
      <c r="AC354" s="241"/>
      <c r="AD354" s="241"/>
      <c r="AE354" s="241"/>
      <c r="AF354" s="241"/>
      <c r="AG354" s="241"/>
      <c r="AH354" s="241"/>
      <c r="AI354" s="241"/>
      <c r="AJ354" s="241"/>
      <c r="AK354" s="241"/>
      <c r="AL354" s="241"/>
      <c r="AM354" s="241"/>
      <c r="AN354" s="241"/>
      <c r="AO354" s="241"/>
      <c r="AP354" s="241"/>
      <c r="AQ354" s="241"/>
      <c r="AR354" s="241"/>
      <c r="AS354" s="241"/>
      <c r="AT354" s="241"/>
      <c r="AU354" s="241"/>
      <c r="AV354" s="241"/>
      <c r="AW354" s="241"/>
      <c r="AX354" s="241"/>
      <c r="AY354" s="241"/>
      <c r="AZ354" s="241"/>
      <c r="BA354" s="241"/>
      <c r="BB354" s="241"/>
      <c r="BC354" s="241"/>
      <c r="BD354" s="241"/>
      <c r="BE354" s="241"/>
      <c r="BF354" s="241"/>
      <c r="BG354" s="241"/>
      <c r="BH354" s="241"/>
      <c r="BI354" s="241"/>
      <c r="BJ354" s="241"/>
      <c r="BK354" s="241"/>
      <c r="BL354" s="241"/>
      <c r="BM354" s="241"/>
    </row>
    <row r="355" spans="1:65" ht="13.5" customHeight="1" x14ac:dyDescent="0.3">
      <c r="A355" s="241"/>
      <c r="B355" s="241"/>
      <c r="C355" s="241"/>
      <c r="D355" s="241"/>
      <c r="E355" s="241"/>
      <c r="F355" s="241"/>
      <c r="G355" s="241"/>
      <c r="H355" s="241"/>
      <c r="I355" s="241"/>
      <c r="J355" s="241"/>
      <c r="K355" s="241"/>
      <c r="L355" s="241"/>
      <c r="M355" s="241"/>
      <c r="N355" s="241"/>
      <c r="O355" s="241"/>
      <c r="P355" s="241"/>
      <c r="Q355" s="241"/>
      <c r="R355" s="241"/>
      <c r="S355" s="241"/>
      <c r="T355" s="241"/>
      <c r="U355" s="241"/>
      <c r="V355" s="241"/>
      <c r="W355" s="241"/>
      <c r="X355" s="241"/>
      <c r="Y355" s="241"/>
      <c r="Z355" s="241"/>
      <c r="AA355" s="241"/>
      <c r="AB355" s="241"/>
      <c r="AC355" s="241"/>
      <c r="AD355" s="241"/>
      <c r="AE355" s="241"/>
      <c r="AF355" s="241"/>
      <c r="AG355" s="241"/>
      <c r="AH355" s="241"/>
      <c r="AI355" s="241"/>
      <c r="AJ355" s="241"/>
      <c r="AK355" s="241"/>
      <c r="AL355" s="241"/>
      <c r="AM355" s="241"/>
      <c r="AN355" s="241"/>
      <c r="AO355" s="241"/>
      <c r="AP355" s="241"/>
      <c r="AQ355" s="241"/>
      <c r="AR355" s="241"/>
      <c r="AS355" s="241"/>
      <c r="AT355" s="241"/>
      <c r="AU355" s="241"/>
      <c r="AV355" s="241"/>
      <c r="AW355" s="241"/>
      <c r="AX355" s="241"/>
      <c r="AY355" s="241"/>
      <c r="AZ355" s="241"/>
      <c r="BA355" s="241"/>
      <c r="BB355" s="241"/>
      <c r="BC355" s="241"/>
      <c r="BD355" s="241"/>
      <c r="BE355" s="241"/>
      <c r="BF355" s="241"/>
      <c r="BG355" s="241"/>
      <c r="BH355" s="241"/>
      <c r="BI355" s="241"/>
      <c r="BJ355" s="241"/>
      <c r="BK355" s="241"/>
      <c r="BL355" s="241"/>
      <c r="BM355" s="241"/>
    </row>
    <row r="356" spans="1:65" ht="13.5" customHeight="1" x14ac:dyDescent="0.3">
      <c r="A356" s="241"/>
      <c r="B356" s="241"/>
      <c r="C356" s="241"/>
      <c r="D356" s="241"/>
      <c r="E356" s="241"/>
      <c r="F356" s="241"/>
      <c r="G356" s="241"/>
      <c r="H356" s="241"/>
      <c r="I356" s="241"/>
      <c r="J356" s="241"/>
      <c r="K356" s="241"/>
      <c r="L356" s="241"/>
      <c r="M356" s="241"/>
      <c r="N356" s="241"/>
      <c r="O356" s="241"/>
      <c r="P356" s="241"/>
      <c r="Q356" s="241"/>
      <c r="R356" s="241"/>
      <c r="S356" s="241"/>
      <c r="T356" s="241"/>
      <c r="U356" s="241"/>
      <c r="V356" s="241"/>
      <c r="W356" s="241"/>
      <c r="X356" s="241"/>
      <c r="Y356" s="241"/>
      <c r="Z356" s="241"/>
      <c r="AA356" s="241"/>
      <c r="AB356" s="241"/>
      <c r="AC356" s="241"/>
      <c r="AD356" s="241"/>
      <c r="AE356" s="241"/>
      <c r="AF356" s="241"/>
      <c r="AG356" s="241"/>
      <c r="AH356" s="241"/>
      <c r="AI356" s="241"/>
      <c r="AJ356" s="241"/>
      <c r="AK356" s="241"/>
      <c r="AL356" s="241"/>
      <c r="AM356" s="241"/>
      <c r="AN356" s="241"/>
      <c r="AO356" s="241"/>
      <c r="AP356" s="241"/>
      <c r="AQ356" s="241"/>
      <c r="AR356" s="241"/>
      <c r="AS356" s="241"/>
      <c r="AT356" s="241"/>
      <c r="AU356" s="241"/>
      <c r="AV356" s="241"/>
      <c r="AW356" s="241"/>
      <c r="AX356" s="241"/>
      <c r="AY356" s="241"/>
      <c r="AZ356" s="241"/>
      <c r="BA356" s="241"/>
      <c r="BB356" s="241"/>
      <c r="BC356" s="241"/>
      <c r="BD356" s="241"/>
      <c r="BE356" s="241"/>
      <c r="BF356" s="241"/>
      <c r="BG356" s="241"/>
      <c r="BH356" s="241"/>
      <c r="BI356" s="241"/>
      <c r="BJ356" s="241"/>
      <c r="BK356" s="241"/>
      <c r="BL356" s="241"/>
      <c r="BM356" s="241"/>
    </row>
    <row r="357" spans="1:65" ht="13.5" customHeight="1" x14ac:dyDescent="0.3">
      <c r="A357" s="241"/>
      <c r="B357" s="241"/>
      <c r="C357" s="241"/>
      <c r="D357" s="241"/>
      <c r="E357" s="241"/>
      <c r="F357" s="241"/>
      <c r="G357" s="241"/>
      <c r="H357" s="241"/>
      <c r="I357" s="241"/>
      <c r="J357" s="241"/>
      <c r="K357" s="241"/>
      <c r="L357" s="241"/>
      <c r="M357" s="241"/>
      <c r="N357" s="241"/>
      <c r="O357" s="241"/>
      <c r="P357" s="241"/>
      <c r="Q357" s="241"/>
      <c r="R357" s="241"/>
      <c r="S357" s="241"/>
      <c r="T357" s="241"/>
      <c r="U357" s="241"/>
      <c r="V357" s="241"/>
      <c r="W357" s="241"/>
      <c r="X357" s="241"/>
      <c r="Y357" s="241"/>
      <c r="Z357" s="241"/>
      <c r="AA357" s="241"/>
      <c r="AB357" s="241"/>
      <c r="AC357" s="241"/>
      <c r="AD357" s="241"/>
      <c r="AE357" s="241"/>
      <c r="AF357" s="241"/>
      <c r="AG357" s="241"/>
      <c r="AH357" s="241"/>
      <c r="AI357" s="241"/>
      <c r="AJ357" s="241"/>
      <c r="AK357" s="241"/>
      <c r="AL357" s="241"/>
      <c r="AM357" s="241"/>
      <c r="AN357" s="241"/>
      <c r="AO357" s="241"/>
      <c r="AP357" s="241"/>
      <c r="AQ357" s="241"/>
      <c r="AR357" s="241"/>
      <c r="AS357" s="241"/>
      <c r="AT357" s="241"/>
      <c r="AU357" s="241"/>
      <c r="AV357" s="241"/>
      <c r="AW357" s="241"/>
      <c r="AX357" s="241"/>
      <c r="AY357" s="241"/>
      <c r="AZ357" s="241"/>
      <c r="BA357" s="241"/>
      <c r="BB357" s="241"/>
      <c r="BC357" s="241"/>
      <c r="BD357" s="241"/>
      <c r="BE357" s="241"/>
      <c r="BF357" s="241"/>
      <c r="BG357" s="241"/>
      <c r="BH357" s="241"/>
      <c r="BI357" s="241"/>
      <c r="BJ357" s="241"/>
      <c r="BK357" s="241"/>
      <c r="BL357" s="241"/>
      <c r="BM357" s="241"/>
    </row>
    <row r="358" spans="1:65" ht="13.5" customHeight="1" x14ac:dyDescent="0.3">
      <c r="A358" s="241"/>
      <c r="B358" s="241"/>
      <c r="C358" s="241"/>
      <c r="D358" s="241"/>
      <c r="E358" s="241"/>
      <c r="F358" s="241"/>
      <c r="G358" s="241"/>
      <c r="H358" s="241"/>
      <c r="I358" s="241"/>
      <c r="J358" s="241"/>
      <c r="K358" s="241"/>
      <c r="L358" s="241"/>
      <c r="M358" s="241"/>
      <c r="N358" s="241"/>
      <c r="O358" s="241"/>
      <c r="P358" s="241"/>
      <c r="Q358" s="241"/>
      <c r="R358" s="241"/>
      <c r="S358" s="241"/>
      <c r="T358" s="241"/>
      <c r="U358" s="241"/>
      <c r="V358" s="241"/>
      <c r="W358" s="241"/>
      <c r="X358" s="241"/>
      <c r="Y358" s="241"/>
      <c r="Z358" s="241"/>
      <c r="AA358" s="241"/>
      <c r="AB358" s="241"/>
      <c r="AC358" s="241"/>
      <c r="AD358" s="241"/>
      <c r="AE358" s="241"/>
      <c r="AF358" s="241"/>
      <c r="AG358" s="241"/>
      <c r="AH358" s="241"/>
      <c r="AI358" s="241"/>
      <c r="AJ358" s="241"/>
      <c r="AK358" s="241"/>
      <c r="AL358" s="241"/>
      <c r="AM358" s="241"/>
      <c r="AN358" s="241"/>
      <c r="AO358" s="241"/>
      <c r="AP358" s="241"/>
      <c r="AQ358" s="241"/>
      <c r="AR358" s="241"/>
      <c r="AS358" s="241"/>
      <c r="AT358" s="241"/>
      <c r="AU358" s="241"/>
      <c r="AV358" s="241"/>
      <c r="AW358" s="241"/>
      <c r="AX358" s="241"/>
      <c r="AY358" s="241"/>
      <c r="AZ358" s="241"/>
      <c r="BA358" s="241"/>
      <c r="BB358" s="241"/>
      <c r="BC358" s="241"/>
      <c r="BD358" s="241"/>
      <c r="BE358" s="241"/>
      <c r="BF358" s="241"/>
      <c r="BG358" s="241"/>
      <c r="BH358" s="241"/>
      <c r="BI358" s="241"/>
      <c r="BJ358" s="241"/>
      <c r="BK358" s="241"/>
      <c r="BL358" s="241"/>
      <c r="BM358" s="241"/>
    </row>
    <row r="359" spans="1:65" ht="13.5" customHeight="1" x14ac:dyDescent="0.3">
      <c r="A359" s="241"/>
      <c r="B359" s="241"/>
      <c r="C359" s="241"/>
      <c r="D359" s="241"/>
      <c r="E359" s="241"/>
      <c r="F359" s="241"/>
      <c r="G359" s="241"/>
      <c r="H359" s="241"/>
      <c r="I359" s="241"/>
      <c r="J359" s="241"/>
      <c r="K359" s="241"/>
      <c r="L359" s="241"/>
      <c r="M359" s="241"/>
      <c r="N359" s="241"/>
      <c r="O359" s="241"/>
      <c r="P359" s="241"/>
      <c r="Q359" s="241"/>
      <c r="R359" s="241"/>
      <c r="S359" s="241"/>
      <c r="T359" s="241"/>
      <c r="U359" s="241"/>
      <c r="V359" s="241"/>
      <c r="W359" s="241"/>
      <c r="X359" s="241"/>
      <c r="Y359" s="241"/>
      <c r="Z359" s="241"/>
      <c r="AA359" s="241"/>
      <c r="AB359" s="241"/>
      <c r="AC359" s="241"/>
      <c r="AD359" s="241"/>
      <c r="AE359" s="241"/>
      <c r="AF359" s="241"/>
      <c r="AG359" s="241"/>
      <c r="AH359" s="241"/>
      <c r="AI359" s="241"/>
      <c r="AJ359" s="241"/>
      <c r="AK359" s="241"/>
      <c r="AL359" s="241"/>
      <c r="AM359" s="241"/>
      <c r="AN359" s="241"/>
      <c r="AO359" s="241"/>
      <c r="AP359" s="241"/>
      <c r="AQ359" s="241"/>
      <c r="AR359" s="241"/>
      <c r="AS359" s="241"/>
      <c r="AT359" s="241"/>
      <c r="AU359" s="241"/>
      <c r="AV359" s="241"/>
      <c r="AW359" s="241"/>
      <c r="AX359" s="241"/>
      <c r="AY359" s="241"/>
      <c r="AZ359" s="241"/>
      <c r="BA359" s="241"/>
      <c r="BB359" s="241"/>
      <c r="BC359" s="241"/>
      <c r="BD359" s="241"/>
      <c r="BE359" s="241"/>
      <c r="BF359" s="241"/>
      <c r="BG359" s="241"/>
      <c r="BH359" s="241"/>
      <c r="BI359" s="241"/>
      <c r="BJ359" s="241"/>
      <c r="BK359" s="241"/>
      <c r="BL359" s="241"/>
      <c r="BM359" s="241"/>
    </row>
    <row r="360" spans="1:65" ht="13.5" customHeight="1" x14ac:dyDescent="0.3">
      <c r="A360" s="241"/>
      <c r="B360" s="241"/>
      <c r="C360" s="241"/>
      <c r="D360" s="241"/>
      <c r="E360" s="241"/>
      <c r="F360" s="241"/>
      <c r="G360" s="241"/>
      <c r="H360" s="241"/>
      <c r="I360" s="241"/>
      <c r="J360" s="241"/>
      <c r="K360" s="241"/>
      <c r="L360" s="241"/>
      <c r="M360" s="241"/>
      <c r="N360" s="241"/>
      <c r="O360" s="241"/>
      <c r="P360" s="241"/>
      <c r="Q360" s="241"/>
      <c r="R360" s="241"/>
      <c r="S360" s="241"/>
      <c r="T360" s="241"/>
      <c r="U360" s="241"/>
      <c r="V360" s="241"/>
      <c r="W360" s="241"/>
      <c r="X360" s="241"/>
      <c r="Y360" s="241"/>
      <c r="Z360" s="241"/>
      <c r="AA360" s="241"/>
      <c r="AB360" s="241"/>
      <c r="AC360" s="241"/>
      <c r="AD360" s="241"/>
      <c r="AE360" s="241"/>
      <c r="AF360" s="241"/>
      <c r="AG360" s="241"/>
      <c r="AH360" s="241"/>
      <c r="AI360" s="241"/>
      <c r="AJ360" s="241"/>
      <c r="AK360" s="241"/>
      <c r="AL360" s="241"/>
      <c r="AM360" s="241"/>
      <c r="AN360" s="241"/>
      <c r="AO360" s="241"/>
      <c r="AP360" s="241"/>
      <c r="AQ360" s="241"/>
      <c r="AR360" s="241"/>
      <c r="AS360" s="241"/>
      <c r="AT360" s="241"/>
      <c r="AU360" s="241"/>
      <c r="AV360" s="241"/>
      <c r="AW360" s="241"/>
      <c r="AX360" s="241"/>
      <c r="AY360" s="241"/>
      <c r="AZ360" s="241"/>
      <c r="BA360" s="241"/>
      <c r="BB360" s="241"/>
      <c r="BC360" s="241"/>
      <c r="BD360" s="241"/>
      <c r="BE360" s="241"/>
      <c r="BF360" s="241"/>
      <c r="BG360" s="241"/>
      <c r="BH360" s="241"/>
      <c r="BI360" s="241"/>
      <c r="BJ360" s="241"/>
      <c r="BK360" s="241"/>
      <c r="BL360" s="241"/>
      <c r="BM360" s="241"/>
    </row>
    <row r="361" spans="1:65" ht="13.5" customHeight="1" x14ac:dyDescent="0.3">
      <c r="A361" s="241"/>
      <c r="B361" s="241"/>
      <c r="C361" s="241"/>
      <c r="D361" s="241"/>
      <c r="E361" s="241"/>
      <c r="F361" s="241"/>
      <c r="G361" s="241"/>
      <c r="H361" s="241"/>
      <c r="I361" s="241"/>
      <c r="J361" s="241"/>
      <c r="K361" s="241"/>
      <c r="L361" s="241"/>
      <c r="M361" s="241"/>
      <c r="N361" s="241"/>
      <c r="O361" s="241"/>
      <c r="P361" s="241"/>
      <c r="Q361" s="241"/>
      <c r="R361" s="241"/>
      <c r="S361" s="241"/>
      <c r="T361" s="241"/>
      <c r="U361" s="241"/>
      <c r="V361" s="241"/>
      <c r="W361" s="241"/>
      <c r="X361" s="241"/>
      <c r="Y361" s="241"/>
      <c r="Z361" s="241"/>
      <c r="AA361" s="241"/>
      <c r="AB361" s="241"/>
      <c r="AC361" s="241"/>
      <c r="AD361" s="241"/>
      <c r="AE361" s="241"/>
      <c r="AF361" s="241"/>
      <c r="AG361" s="241"/>
      <c r="AH361" s="241"/>
      <c r="AI361" s="241"/>
      <c r="AJ361" s="241"/>
      <c r="AK361" s="241"/>
      <c r="AL361" s="241"/>
      <c r="AM361" s="241"/>
      <c r="AN361" s="241"/>
      <c r="AO361" s="241"/>
      <c r="AP361" s="241"/>
      <c r="AQ361" s="241"/>
      <c r="AR361" s="241"/>
      <c r="AS361" s="241"/>
      <c r="AT361" s="241"/>
      <c r="AU361" s="241"/>
      <c r="AV361" s="241"/>
      <c r="AW361" s="241"/>
      <c r="AX361" s="241"/>
      <c r="AY361" s="241"/>
      <c r="AZ361" s="241"/>
      <c r="BA361" s="241"/>
      <c r="BB361" s="241"/>
      <c r="BC361" s="241"/>
      <c r="BD361" s="241"/>
      <c r="BE361" s="241"/>
      <c r="BF361" s="241"/>
      <c r="BG361" s="241"/>
      <c r="BH361" s="241"/>
      <c r="BI361" s="241"/>
      <c r="BJ361" s="241"/>
      <c r="BK361" s="241"/>
      <c r="BL361" s="241"/>
      <c r="BM361" s="241"/>
    </row>
    <row r="362" spans="1:65" ht="13.5" customHeight="1" x14ac:dyDescent="0.3">
      <c r="A362" s="241"/>
      <c r="B362" s="241"/>
      <c r="C362" s="241"/>
      <c r="D362" s="241"/>
      <c r="E362" s="241"/>
      <c r="F362" s="241"/>
      <c r="G362" s="241"/>
      <c r="H362" s="241"/>
      <c r="I362" s="241"/>
      <c r="J362" s="241"/>
      <c r="K362" s="241"/>
      <c r="L362" s="241"/>
      <c r="M362" s="241"/>
      <c r="N362" s="241"/>
      <c r="O362" s="241"/>
      <c r="P362" s="241"/>
      <c r="Q362" s="241"/>
      <c r="R362" s="241"/>
      <c r="S362" s="241"/>
      <c r="T362" s="241"/>
      <c r="U362" s="241"/>
      <c r="V362" s="241"/>
      <c r="W362" s="241"/>
      <c r="X362" s="241"/>
      <c r="Y362" s="241"/>
      <c r="Z362" s="241"/>
      <c r="AA362" s="241"/>
      <c r="AB362" s="241"/>
      <c r="AC362" s="241"/>
      <c r="AD362" s="241"/>
      <c r="AE362" s="241"/>
      <c r="AF362" s="241"/>
      <c r="AG362" s="241"/>
      <c r="AH362" s="241"/>
      <c r="AI362" s="241"/>
      <c r="AJ362" s="241"/>
      <c r="AK362" s="241"/>
      <c r="AL362" s="241"/>
      <c r="AM362" s="241"/>
      <c r="AN362" s="241"/>
      <c r="AO362" s="241"/>
      <c r="AP362" s="241"/>
      <c r="AQ362" s="241"/>
      <c r="AR362" s="241"/>
      <c r="AS362" s="241"/>
      <c r="AT362" s="241"/>
      <c r="AU362" s="241"/>
      <c r="AV362" s="241"/>
      <c r="AW362" s="241"/>
      <c r="AX362" s="241"/>
      <c r="AY362" s="241"/>
      <c r="AZ362" s="241"/>
      <c r="BA362" s="241"/>
      <c r="BB362" s="241"/>
      <c r="BC362" s="241"/>
      <c r="BD362" s="241"/>
      <c r="BE362" s="241"/>
      <c r="BF362" s="241"/>
      <c r="BG362" s="241"/>
      <c r="BH362" s="241"/>
      <c r="BI362" s="241"/>
      <c r="BJ362" s="241"/>
      <c r="BK362" s="241"/>
      <c r="BL362" s="241"/>
      <c r="BM362" s="241"/>
    </row>
    <row r="363" spans="1:65" ht="13.5" customHeight="1" x14ac:dyDescent="0.3">
      <c r="A363" s="241"/>
      <c r="B363" s="241"/>
      <c r="C363" s="241"/>
      <c r="D363" s="241"/>
      <c r="E363" s="241"/>
      <c r="F363" s="241"/>
      <c r="G363" s="241"/>
      <c r="H363" s="241"/>
      <c r="I363" s="241"/>
      <c r="J363" s="241"/>
      <c r="K363" s="241"/>
      <c r="L363" s="241"/>
      <c r="M363" s="241"/>
      <c r="N363" s="241"/>
      <c r="O363" s="241"/>
      <c r="P363" s="241"/>
      <c r="Q363" s="241"/>
      <c r="R363" s="241"/>
      <c r="S363" s="241"/>
      <c r="T363" s="241"/>
      <c r="U363" s="241"/>
      <c r="V363" s="241"/>
      <c r="W363" s="241"/>
      <c r="X363" s="241"/>
      <c r="Y363" s="241"/>
      <c r="Z363" s="241"/>
      <c r="AA363" s="241"/>
      <c r="AB363" s="241"/>
      <c r="AC363" s="241"/>
      <c r="AD363" s="241"/>
      <c r="AE363" s="241"/>
      <c r="AF363" s="241"/>
      <c r="AG363" s="241"/>
      <c r="AH363" s="241"/>
      <c r="AI363" s="241"/>
      <c r="AJ363" s="241"/>
      <c r="AK363" s="241"/>
      <c r="AL363" s="241"/>
      <c r="AM363" s="241"/>
      <c r="AN363" s="241"/>
      <c r="AO363" s="241"/>
      <c r="AP363" s="241"/>
      <c r="AQ363" s="241"/>
      <c r="AR363" s="241"/>
      <c r="AS363" s="241"/>
      <c r="AT363" s="241"/>
      <c r="AU363" s="241"/>
      <c r="AV363" s="241"/>
      <c r="AW363" s="241"/>
      <c r="AX363" s="241"/>
      <c r="AY363" s="241"/>
      <c r="AZ363" s="241"/>
      <c r="BA363" s="241"/>
      <c r="BB363" s="241"/>
      <c r="BC363" s="241"/>
      <c r="BD363" s="241"/>
      <c r="BE363" s="241"/>
      <c r="BF363" s="241"/>
      <c r="BG363" s="241"/>
      <c r="BH363" s="241"/>
      <c r="BI363" s="241"/>
      <c r="BJ363" s="241"/>
      <c r="BK363" s="241"/>
      <c r="BL363" s="241"/>
      <c r="BM363" s="241"/>
    </row>
    <row r="364" spans="1:65" ht="13.5" customHeight="1" x14ac:dyDescent="0.3">
      <c r="A364" s="241"/>
      <c r="B364" s="241"/>
      <c r="C364" s="241"/>
      <c r="D364" s="241"/>
      <c r="E364" s="241"/>
      <c r="F364" s="241"/>
      <c r="G364" s="241"/>
      <c r="H364" s="241"/>
      <c r="I364" s="241"/>
      <c r="J364" s="241"/>
      <c r="K364" s="241"/>
      <c r="L364" s="241"/>
      <c r="M364" s="241"/>
      <c r="N364" s="241"/>
      <c r="O364" s="241"/>
      <c r="P364" s="241"/>
      <c r="Q364" s="241"/>
      <c r="R364" s="241"/>
      <c r="S364" s="241"/>
      <c r="T364" s="241"/>
      <c r="U364" s="241"/>
      <c r="V364" s="241"/>
      <c r="W364" s="241"/>
      <c r="X364" s="241"/>
      <c r="Y364" s="241"/>
      <c r="Z364" s="241"/>
      <c r="AA364" s="241"/>
      <c r="AB364" s="241"/>
      <c r="AC364" s="241"/>
      <c r="AD364" s="241"/>
      <c r="AE364" s="241"/>
      <c r="AF364" s="241"/>
      <c r="AG364" s="241"/>
      <c r="AH364" s="241"/>
      <c r="AI364" s="241"/>
      <c r="AJ364" s="241"/>
      <c r="AK364" s="241"/>
      <c r="AL364" s="241"/>
      <c r="AM364" s="241"/>
      <c r="AN364" s="241"/>
      <c r="AO364" s="241"/>
      <c r="AP364" s="241"/>
      <c r="AQ364" s="241"/>
      <c r="AR364" s="241"/>
      <c r="AS364" s="241"/>
      <c r="AT364" s="241"/>
      <c r="AU364" s="241"/>
      <c r="AV364" s="241"/>
      <c r="AW364" s="241"/>
      <c r="AX364" s="241"/>
      <c r="AY364" s="241"/>
      <c r="AZ364" s="241"/>
      <c r="BA364" s="241"/>
      <c r="BB364" s="241"/>
      <c r="BC364" s="241"/>
      <c r="BD364" s="241"/>
      <c r="BE364" s="241"/>
      <c r="BF364" s="241"/>
      <c r="BG364" s="241"/>
      <c r="BH364" s="241"/>
      <c r="BI364" s="241"/>
      <c r="BJ364" s="241"/>
      <c r="BK364" s="241"/>
      <c r="BL364" s="241"/>
      <c r="BM364" s="241"/>
    </row>
    <row r="365" spans="1:65" ht="13.5" customHeight="1" x14ac:dyDescent="0.3">
      <c r="A365" s="241"/>
      <c r="B365" s="241"/>
      <c r="C365" s="241"/>
      <c r="D365" s="241"/>
      <c r="E365" s="241"/>
      <c r="F365" s="241"/>
      <c r="G365" s="241"/>
      <c r="H365" s="241"/>
      <c r="I365" s="241"/>
      <c r="J365" s="241"/>
      <c r="K365" s="241"/>
      <c r="L365" s="241"/>
      <c r="M365" s="241"/>
      <c r="N365" s="241"/>
      <c r="O365" s="241"/>
      <c r="P365" s="241"/>
      <c r="Q365" s="241"/>
      <c r="R365" s="241"/>
      <c r="S365" s="241"/>
      <c r="T365" s="241"/>
      <c r="U365" s="241"/>
      <c r="V365" s="241"/>
      <c r="W365" s="241"/>
      <c r="X365" s="241"/>
      <c r="Y365" s="241"/>
      <c r="Z365" s="241"/>
      <c r="AA365" s="241"/>
      <c r="AB365" s="241"/>
      <c r="AC365" s="241"/>
      <c r="AD365" s="241"/>
      <c r="AE365" s="241"/>
      <c r="AF365" s="241"/>
      <c r="AG365" s="241"/>
      <c r="AH365" s="241"/>
      <c r="AI365" s="241"/>
      <c r="AJ365" s="241"/>
      <c r="AK365" s="241"/>
      <c r="AL365" s="241"/>
      <c r="AM365" s="241"/>
      <c r="AN365" s="241"/>
      <c r="AO365" s="241"/>
      <c r="AP365" s="241"/>
      <c r="AQ365" s="241"/>
      <c r="AR365" s="241"/>
      <c r="AS365" s="241"/>
      <c r="AT365" s="241"/>
      <c r="AU365" s="241"/>
      <c r="AV365" s="241"/>
      <c r="AW365" s="241"/>
      <c r="AX365" s="241"/>
      <c r="AY365" s="241"/>
      <c r="AZ365" s="241"/>
      <c r="BA365" s="241"/>
      <c r="BB365" s="241"/>
      <c r="BC365" s="241"/>
      <c r="BD365" s="241"/>
      <c r="BE365" s="241"/>
      <c r="BF365" s="241"/>
      <c r="BG365" s="241"/>
      <c r="BH365" s="241"/>
      <c r="BI365" s="241"/>
      <c r="BJ365" s="241"/>
      <c r="BK365" s="241"/>
      <c r="BL365" s="241"/>
      <c r="BM365" s="241"/>
    </row>
    <row r="366" spans="1:65" ht="13.5" customHeight="1" x14ac:dyDescent="0.3">
      <c r="A366" s="241"/>
      <c r="B366" s="241"/>
      <c r="C366" s="241"/>
      <c r="D366" s="241"/>
      <c r="E366" s="241"/>
      <c r="F366" s="241"/>
      <c r="G366" s="241"/>
      <c r="H366" s="241"/>
      <c r="I366" s="241"/>
      <c r="J366" s="241"/>
      <c r="K366" s="241"/>
      <c r="L366" s="241"/>
      <c r="M366" s="241"/>
      <c r="N366" s="241"/>
      <c r="O366" s="241"/>
      <c r="P366" s="241"/>
      <c r="Q366" s="241"/>
      <c r="R366" s="241"/>
      <c r="S366" s="241"/>
      <c r="T366" s="241"/>
      <c r="U366" s="241"/>
      <c r="V366" s="241"/>
      <c r="W366" s="241"/>
      <c r="X366" s="241"/>
      <c r="Y366" s="241"/>
      <c r="Z366" s="241"/>
      <c r="AA366" s="241"/>
      <c r="AB366" s="241"/>
      <c r="AC366" s="241"/>
      <c r="AD366" s="241"/>
      <c r="AE366" s="241"/>
      <c r="AF366" s="241"/>
      <c r="AG366" s="241"/>
      <c r="AH366" s="241"/>
      <c r="AI366" s="241"/>
      <c r="AJ366" s="241"/>
      <c r="AK366" s="241"/>
      <c r="AL366" s="241"/>
      <c r="AM366" s="241"/>
      <c r="AN366" s="241"/>
      <c r="AO366" s="241"/>
      <c r="AP366" s="241"/>
      <c r="AQ366" s="241"/>
      <c r="AR366" s="241"/>
      <c r="AS366" s="241"/>
      <c r="AT366" s="241"/>
      <c r="AU366" s="241"/>
      <c r="AV366" s="241"/>
      <c r="AW366" s="241"/>
      <c r="AX366" s="241"/>
      <c r="AY366" s="241"/>
      <c r="AZ366" s="241"/>
      <c r="BA366" s="241"/>
      <c r="BB366" s="241"/>
      <c r="BC366" s="241"/>
      <c r="BD366" s="241"/>
      <c r="BE366" s="241"/>
      <c r="BF366" s="241"/>
      <c r="BG366" s="241"/>
      <c r="BH366" s="241"/>
      <c r="BI366" s="241"/>
      <c r="BJ366" s="241"/>
      <c r="BK366" s="241"/>
      <c r="BL366" s="241"/>
      <c r="BM366" s="241"/>
    </row>
    <row r="367" spans="1:65" ht="13.5" customHeight="1" x14ac:dyDescent="0.3">
      <c r="A367" s="241"/>
      <c r="B367" s="241"/>
      <c r="C367" s="241"/>
      <c r="D367" s="241"/>
      <c r="E367" s="241"/>
      <c r="F367" s="241"/>
      <c r="G367" s="241"/>
      <c r="H367" s="241"/>
      <c r="I367" s="241"/>
      <c r="J367" s="241"/>
      <c r="K367" s="241"/>
      <c r="L367" s="241"/>
      <c r="M367" s="241"/>
      <c r="N367" s="241"/>
      <c r="O367" s="241"/>
      <c r="P367" s="241"/>
      <c r="Q367" s="241"/>
      <c r="R367" s="241"/>
      <c r="S367" s="241"/>
      <c r="T367" s="241"/>
      <c r="U367" s="241"/>
      <c r="V367" s="241"/>
      <c r="W367" s="241"/>
      <c r="X367" s="241"/>
      <c r="Y367" s="241"/>
      <c r="Z367" s="241"/>
      <c r="AA367" s="241"/>
      <c r="AB367" s="241"/>
      <c r="AC367" s="241"/>
      <c r="AD367" s="241"/>
      <c r="AE367" s="241"/>
      <c r="AF367" s="241"/>
      <c r="AG367" s="241"/>
      <c r="AH367" s="241"/>
      <c r="AI367" s="241"/>
      <c r="AJ367" s="241"/>
      <c r="AK367" s="241"/>
      <c r="AL367" s="241"/>
      <c r="AM367" s="241"/>
      <c r="AN367" s="241"/>
      <c r="AO367" s="241"/>
      <c r="AP367" s="241"/>
      <c r="AQ367" s="241"/>
      <c r="AR367" s="241"/>
      <c r="AS367" s="241"/>
      <c r="AT367" s="241"/>
      <c r="AU367" s="241"/>
      <c r="AV367" s="241"/>
      <c r="AW367" s="241"/>
      <c r="AX367" s="241"/>
      <c r="AY367" s="241"/>
      <c r="AZ367" s="241"/>
      <c r="BA367" s="241"/>
      <c r="BB367" s="241"/>
      <c r="BC367" s="241"/>
      <c r="BD367" s="241"/>
      <c r="BE367" s="241"/>
      <c r="BF367" s="241"/>
      <c r="BG367" s="241"/>
      <c r="BH367" s="241"/>
      <c r="BI367" s="241"/>
      <c r="BJ367" s="241"/>
      <c r="BK367" s="241"/>
      <c r="BL367" s="241"/>
      <c r="BM367" s="241"/>
    </row>
    <row r="368" spans="1:65" ht="13.5" customHeight="1" x14ac:dyDescent="0.3">
      <c r="A368" s="241"/>
      <c r="B368" s="241"/>
      <c r="C368" s="241"/>
      <c r="D368" s="241"/>
      <c r="E368" s="241"/>
      <c r="F368" s="241"/>
      <c r="G368" s="241"/>
      <c r="H368" s="241"/>
      <c r="I368" s="241"/>
      <c r="J368" s="241"/>
      <c r="K368" s="241"/>
      <c r="L368" s="241"/>
      <c r="M368" s="241"/>
      <c r="N368" s="241"/>
      <c r="O368" s="241"/>
      <c r="P368" s="241"/>
      <c r="Q368" s="241"/>
      <c r="R368" s="241"/>
      <c r="S368" s="241"/>
      <c r="T368" s="241"/>
      <c r="U368" s="241"/>
      <c r="V368" s="241"/>
      <c r="W368" s="241"/>
      <c r="X368" s="241"/>
      <c r="Y368" s="241"/>
      <c r="Z368" s="241"/>
      <c r="AA368" s="241"/>
      <c r="AB368" s="241"/>
      <c r="AC368" s="241"/>
      <c r="AD368" s="241"/>
      <c r="AE368" s="241"/>
      <c r="AF368" s="241"/>
      <c r="AG368" s="241"/>
      <c r="AH368" s="241"/>
      <c r="AI368" s="241"/>
      <c r="AJ368" s="241"/>
      <c r="AK368" s="241"/>
      <c r="AL368" s="241"/>
      <c r="AM368" s="241"/>
      <c r="AN368" s="241"/>
      <c r="AO368" s="241"/>
      <c r="AP368" s="241"/>
      <c r="AQ368" s="241"/>
      <c r="AR368" s="241"/>
      <c r="AS368" s="241"/>
      <c r="AT368" s="241"/>
      <c r="AU368" s="241"/>
      <c r="AV368" s="241"/>
      <c r="AW368" s="241"/>
      <c r="AX368" s="241"/>
      <c r="AY368" s="241"/>
      <c r="AZ368" s="241"/>
      <c r="BA368" s="241"/>
      <c r="BB368" s="241"/>
      <c r="BC368" s="241"/>
      <c r="BD368" s="241"/>
      <c r="BE368" s="241"/>
      <c r="BF368" s="241"/>
      <c r="BG368" s="241"/>
      <c r="BH368" s="241"/>
      <c r="BI368" s="241"/>
      <c r="BJ368" s="241"/>
      <c r="BK368" s="241"/>
      <c r="BL368" s="241"/>
      <c r="BM368" s="241"/>
    </row>
    <row r="369" spans="1:65" ht="13.5" customHeight="1" x14ac:dyDescent="0.3">
      <c r="A369" s="241"/>
      <c r="B369" s="241"/>
      <c r="C369" s="241"/>
      <c r="D369" s="241"/>
      <c r="E369" s="241"/>
      <c r="F369" s="241"/>
      <c r="G369" s="241"/>
      <c r="H369" s="241"/>
      <c r="I369" s="241"/>
      <c r="J369" s="241"/>
      <c r="K369" s="241"/>
      <c r="L369" s="241"/>
      <c r="M369" s="241"/>
      <c r="N369" s="241"/>
      <c r="O369" s="241"/>
      <c r="P369" s="241"/>
      <c r="Q369" s="241"/>
      <c r="R369" s="241"/>
      <c r="S369" s="241"/>
      <c r="T369" s="241"/>
      <c r="U369" s="241"/>
      <c r="V369" s="241"/>
      <c r="W369" s="241"/>
      <c r="X369" s="241"/>
      <c r="Y369" s="241"/>
      <c r="Z369" s="241"/>
      <c r="AA369" s="241"/>
      <c r="AB369" s="241"/>
      <c r="AC369" s="241"/>
      <c r="AD369" s="241"/>
      <c r="AE369" s="241"/>
      <c r="AF369" s="241"/>
      <c r="AG369" s="241"/>
      <c r="AH369" s="241"/>
      <c r="AI369" s="241"/>
      <c r="AJ369" s="241"/>
      <c r="AK369" s="241"/>
      <c r="AL369" s="241"/>
      <c r="AM369" s="241"/>
      <c r="AN369" s="241"/>
      <c r="AO369" s="241"/>
      <c r="AP369" s="241"/>
      <c r="AQ369" s="241"/>
      <c r="AR369" s="241"/>
      <c r="AS369" s="241"/>
      <c r="AT369" s="241"/>
      <c r="AU369" s="241"/>
      <c r="AV369" s="241"/>
      <c r="AW369" s="241"/>
      <c r="AX369" s="241"/>
      <c r="AY369" s="241"/>
      <c r="AZ369" s="241"/>
      <c r="BA369" s="241"/>
      <c r="BB369" s="241"/>
      <c r="BC369" s="241"/>
      <c r="BD369" s="241"/>
      <c r="BE369" s="241"/>
      <c r="BF369" s="241"/>
      <c r="BG369" s="241"/>
      <c r="BH369" s="241"/>
      <c r="BI369" s="241"/>
      <c r="BJ369" s="241"/>
      <c r="BK369" s="241"/>
      <c r="BL369" s="241"/>
      <c r="BM369" s="241"/>
    </row>
    <row r="370" spans="1:65" ht="13.5" customHeight="1" x14ac:dyDescent="0.3">
      <c r="A370" s="241"/>
      <c r="B370" s="241"/>
      <c r="C370" s="241"/>
      <c r="D370" s="241"/>
      <c r="E370" s="241"/>
      <c r="F370" s="241"/>
      <c r="G370" s="241"/>
      <c r="H370" s="241"/>
      <c r="I370" s="241"/>
      <c r="J370" s="241"/>
      <c r="K370" s="241"/>
      <c r="L370" s="241"/>
      <c r="M370" s="241"/>
      <c r="N370" s="241"/>
      <c r="O370" s="241"/>
      <c r="P370" s="241"/>
      <c r="Q370" s="241"/>
      <c r="R370" s="241"/>
      <c r="S370" s="241"/>
      <c r="T370" s="241"/>
      <c r="U370" s="241"/>
      <c r="V370" s="241"/>
      <c r="W370" s="241"/>
      <c r="X370" s="241"/>
      <c r="Y370" s="241"/>
      <c r="Z370" s="241"/>
      <c r="AA370" s="241"/>
      <c r="AB370" s="241"/>
      <c r="AC370" s="241"/>
      <c r="AD370" s="241"/>
      <c r="AE370" s="241"/>
      <c r="AF370" s="241"/>
      <c r="AG370" s="241"/>
      <c r="AH370" s="241"/>
      <c r="AI370" s="241"/>
      <c r="AJ370" s="241"/>
      <c r="AK370" s="241"/>
      <c r="AL370" s="241"/>
      <c r="AM370" s="241"/>
      <c r="AN370" s="241"/>
      <c r="AO370" s="241"/>
      <c r="AP370" s="241"/>
      <c r="AQ370" s="241"/>
      <c r="AR370" s="241"/>
      <c r="AS370" s="241"/>
      <c r="AT370" s="241"/>
      <c r="AU370" s="241"/>
      <c r="AV370" s="241"/>
      <c r="AW370" s="241"/>
      <c r="AX370" s="241"/>
      <c r="AY370" s="241"/>
      <c r="AZ370" s="241"/>
      <c r="BA370" s="241"/>
      <c r="BB370" s="241"/>
      <c r="BC370" s="241"/>
      <c r="BD370" s="241"/>
      <c r="BE370" s="241"/>
      <c r="BF370" s="241"/>
      <c r="BG370" s="241"/>
      <c r="BH370" s="241"/>
      <c r="BI370" s="241"/>
      <c r="BJ370" s="241"/>
      <c r="BK370" s="241"/>
      <c r="BL370" s="241"/>
      <c r="BM370" s="241"/>
    </row>
    <row r="371" spans="1:65" ht="13.5" customHeight="1" x14ac:dyDescent="0.3">
      <c r="A371" s="241"/>
      <c r="B371" s="241"/>
      <c r="C371" s="241"/>
      <c r="D371" s="241"/>
      <c r="E371" s="241"/>
      <c r="F371" s="241"/>
      <c r="G371" s="241"/>
      <c r="H371" s="241"/>
      <c r="I371" s="241"/>
      <c r="J371" s="241"/>
      <c r="K371" s="241"/>
      <c r="L371" s="241"/>
      <c r="M371" s="241"/>
      <c r="N371" s="241"/>
      <c r="O371" s="241"/>
      <c r="P371" s="241"/>
      <c r="Q371" s="241"/>
      <c r="R371" s="241"/>
      <c r="S371" s="241"/>
      <c r="T371" s="241"/>
      <c r="U371" s="241"/>
      <c r="V371" s="241"/>
      <c r="W371" s="241"/>
      <c r="X371" s="241"/>
      <c r="Y371" s="241"/>
      <c r="Z371" s="241"/>
      <c r="AA371" s="241"/>
      <c r="AB371" s="241"/>
      <c r="AC371" s="241"/>
      <c r="AD371" s="241"/>
      <c r="AE371" s="241"/>
      <c r="AF371" s="241"/>
      <c r="AG371" s="241"/>
      <c r="AH371" s="241"/>
      <c r="AI371" s="241"/>
      <c r="AJ371" s="241"/>
      <c r="AK371" s="241"/>
      <c r="AL371" s="241"/>
      <c r="AM371" s="241"/>
      <c r="AN371" s="241"/>
      <c r="AO371" s="241"/>
      <c r="AP371" s="241"/>
      <c r="AQ371" s="241"/>
      <c r="AR371" s="241"/>
      <c r="AS371" s="241"/>
      <c r="AT371" s="241"/>
      <c r="AU371" s="241"/>
      <c r="AV371" s="241"/>
      <c r="AW371" s="241"/>
      <c r="AX371" s="241"/>
      <c r="AY371" s="241"/>
      <c r="AZ371" s="241"/>
      <c r="BA371" s="241"/>
      <c r="BB371" s="241"/>
      <c r="BC371" s="241"/>
      <c r="BD371" s="241"/>
      <c r="BE371" s="241"/>
      <c r="BF371" s="241"/>
      <c r="BG371" s="241"/>
      <c r="BH371" s="241"/>
      <c r="BI371" s="241"/>
      <c r="BJ371" s="241"/>
      <c r="BK371" s="241"/>
      <c r="BL371" s="241"/>
      <c r="BM371" s="241"/>
    </row>
    <row r="372" spans="1:65" ht="13.5" customHeight="1" x14ac:dyDescent="0.3">
      <c r="A372" s="241"/>
      <c r="B372" s="241"/>
      <c r="C372" s="241"/>
      <c r="D372" s="241"/>
      <c r="E372" s="241"/>
      <c r="F372" s="241"/>
      <c r="G372" s="241"/>
      <c r="H372" s="241"/>
      <c r="I372" s="241"/>
      <c r="J372" s="241"/>
      <c r="K372" s="241"/>
      <c r="L372" s="241"/>
      <c r="M372" s="241"/>
      <c r="N372" s="241"/>
      <c r="O372" s="241"/>
      <c r="P372" s="241"/>
      <c r="Q372" s="241"/>
      <c r="R372" s="241"/>
      <c r="S372" s="241"/>
      <c r="T372" s="241"/>
      <c r="U372" s="241"/>
      <c r="V372" s="241"/>
      <c r="W372" s="241"/>
      <c r="X372" s="241"/>
      <c r="Y372" s="241"/>
      <c r="Z372" s="241"/>
      <c r="AA372" s="241"/>
      <c r="AB372" s="241"/>
      <c r="AC372" s="241"/>
      <c r="AD372" s="241"/>
      <c r="AE372" s="241"/>
      <c r="AF372" s="241"/>
      <c r="AG372" s="241"/>
      <c r="AH372" s="241"/>
      <c r="AI372" s="241"/>
      <c r="AJ372" s="241"/>
      <c r="AK372" s="241"/>
      <c r="AL372" s="241"/>
      <c r="AM372" s="241"/>
      <c r="AN372" s="241"/>
      <c r="AO372" s="241"/>
      <c r="AP372" s="241"/>
      <c r="AQ372" s="241"/>
      <c r="AR372" s="241"/>
      <c r="AS372" s="241"/>
      <c r="AT372" s="241"/>
      <c r="AU372" s="241"/>
      <c r="AV372" s="241"/>
      <c r="AW372" s="241"/>
      <c r="AX372" s="241"/>
      <c r="AY372" s="241"/>
      <c r="AZ372" s="241"/>
      <c r="BA372" s="241"/>
      <c r="BB372" s="241"/>
      <c r="BC372" s="241"/>
      <c r="BD372" s="241"/>
      <c r="BE372" s="241"/>
      <c r="BF372" s="241"/>
      <c r="BG372" s="241"/>
      <c r="BH372" s="241"/>
      <c r="BI372" s="241"/>
      <c r="BJ372" s="241"/>
      <c r="BK372" s="241"/>
      <c r="BL372" s="241"/>
      <c r="BM372" s="241"/>
    </row>
    <row r="373" spans="1:65" ht="13.5" customHeight="1" x14ac:dyDescent="0.3">
      <c r="A373" s="241"/>
      <c r="B373" s="241"/>
      <c r="C373" s="241"/>
      <c r="D373" s="241"/>
      <c r="E373" s="241"/>
      <c r="F373" s="241"/>
      <c r="G373" s="241"/>
      <c r="H373" s="241"/>
      <c r="I373" s="241"/>
      <c r="J373" s="241"/>
      <c r="K373" s="241"/>
      <c r="L373" s="241"/>
      <c r="M373" s="241"/>
      <c r="N373" s="241"/>
      <c r="O373" s="241"/>
      <c r="P373" s="241"/>
      <c r="Q373" s="241"/>
      <c r="R373" s="241"/>
      <c r="S373" s="241"/>
      <c r="T373" s="241"/>
      <c r="U373" s="241"/>
      <c r="V373" s="241"/>
      <c r="W373" s="241"/>
      <c r="X373" s="241"/>
      <c r="Y373" s="241"/>
      <c r="Z373" s="241"/>
      <c r="AA373" s="241"/>
      <c r="AB373" s="241"/>
      <c r="AC373" s="241"/>
      <c r="AD373" s="241"/>
      <c r="AE373" s="241"/>
      <c r="AF373" s="241"/>
      <c r="AG373" s="241"/>
      <c r="AH373" s="241"/>
      <c r="AI373" s="241"/>
      <c r="AJ373" s="241"/>
      <c r="AK373" s="241"/>
      <c r="AL373" s="241"/>
      <c r="AM373" s="241"/>
      <c r="AN373" s="241"/>
      <c r="AO373" s="241"/>
      <c r="AP373" s="241"/>
      <c r="AQ373" s="241"/>
      <c r="AR373" s="241"/>
      <c r="AS373" s="241"/>
      <c r="AT373" s="241"/>
      <c r="AU373" s="241"/>
      <c r="AV373" s="241"/>
      <c r="AW373" s="241"/>
      <c r="AX373" s="241"/>
      <c r="AY373" s="241"/>
      <c r="AZ373" s="241"/>
      <c r="BA373" s="241"/>
      <c r="BB373" s="241"/>
      <c r="BC373" s="241"/>
      <c r="BD373" s="241"/>
      <c r="BE373" s="241"/>
      <c r="BF373" s="241"/>
      <c r="BG373" s="241"/>
      <c r="BH373" s="241"/>
      <c r="BI373" s="241"/>
      <c r="BJ373" s="241"/>
      <c r="BK373" s="241"/>
      <c r="BL373" s="241"/>
      <c r="BM373" s="241"/>
    </row>
    <row r="374" spans="1:65" ht="13.5" customHeight="1" x14ac:dyDescent="0.3">
      <c r="A374" s="241"/>
      <c r="B374" s="241"/>
      <c r="C374" s="241"/>
      <c r="D374" s="241"/>
      <c r="E374" s="241"/>
      <c r="F374" s="241"/>
      <c r="G374" s="241"/>
      <c r="H374" s="241"/>
      <c r="I374" s="241"/>
      <c r="J374" s="241"/>
      <c r="K374" s="241"/>
      <c r="L374" s="241"/>
      <c r="M374" s="241"/>
      <c r="N374" s="241"/>
      <c r="O374" s="241"/>
      <c r="P374" s="241"/>
      <c r="Q374" s="241"/>
      <c r="R374" s="241"/>
      <c r="S374" s="241"/>
      <c r="T374" s="241"/>
      <c r="U374" s="241"/>
      <c r="V374" s="241"/>
      <c r="W374" s="241"/>
      <c r="X374" s="241"/>
      <c r="Y374" s="241"/>
      <c r="Z374" s="241"/>
      <c r="AA374" s="241"/>
      <c r="AB374" s="241"/>
      <c r="AC374" s="241"/>
      <c r="AD374" s="241"/>
      <c r="AE374" s="241"/>
      <c r="AF374" s="241"/>
      <c r="AG374" s="241"/>
      <c r="AH374" s="241"/>
      <c r="AI374" s="241"/>
      <c r="AJ374" s="241"/>
      <c r="AK374" s="241"/>
      <c r="AL374" s="241"/>
      <c r="AM374" s="241"/>
      <c r="AN374" s="241"/>
      <c r="AO374" s="241"/>
      <c r="AP374" s="241"/>
      <c r="AQ374" s="241"/>
      <c r="AR374" s="241"/>
      <c r="AS374" s="241"/>
      <c r="AT374" s="241"/>
      <c r="AU374" s="241"/>
      <c r="AV374" s="241"/>
      <c r="AW374" s="241"/>
      <c r="AX374" s="241"/>
      <c r="AY374" s="241"/>
      <c r="AZ374" s="241"/>
      <c r="BA374" s="241"/>
      <c r="BB374" s="241"/>
      <c r="BC374" s="241"/>
      <c r="BD374" s="241"/>
      <c r="BE374" s="241"/>
      <c r="BF374" s="241"/>
      <c r="BG374" s="241"/>
      <c r="BH374" s="241"/>
      <c r="BI374" s="241"/>
      <c r="BJ374" s="241"/>
      <c r="BK374" s="241"/>
      <c r="BL374" s="241"/>
      <c r="BM374" s="241"/>
    </row>
    <row r="375" spans="1:65" ht="13.5" customHeight="1" x14ac:dyDescent="0.3">
      <c r="A375" s="241"/>
      <c r="B375" s="241"/>
      <c r="C375" s="241"/>
      <c r="D375" s="241"/>
      <c r="E375" s="241"/>
      <c r="F375" s="241"/>
      <c r="G375" s="241"/>
      <c r="H375" s="241"/>
      <c r="I375" s="241"/>
      <c r="J375" s="241"/>
      <c r="K375" s="241"/>
      <c r="L375" s="241"/>
      <c r="M375" s="241"/>
      <c r="N375" s="241"/>
      <c r="O375" s="241"/>
      <c r="P375" s="241"/>
      <c r="Q375" s="241"/>
      <c r="R375" s="241"/>
      <c r="S375" s="241"/>
      <c r="T375" s="241"/>
      <c r="U375" s="241"/>
      <c r="V375" s="241"/>
      <c r="W375" s="241"/>
      <c r="X375" s="241"/>
      <c r="Y375" s="241"/>
      <c r="Z375" s="241"/>
      <c r="AA375" s="241"/>
      <c r="AB375" s="241"/>
      <c r="AC375" s="241"/>
      <c r="AD375" s="241"/>
      <c r="AE375" s="241"/>
      <c r="AF375" s="241"/>
      <c r="AG375" s="241"/>
      <c r="AH375" s="241"/>
      <c r="AI375" s="241"/>
      <c r="AJ375" s="241"/>
      <c r="AK375" s="241"/>
      <c r="AL375" s="241"/>
      <c r="AM375" s="241"/>
      <c r="AN375" s="241"/>
      <c r="AO375" s="241"/>
      <c r="AP375" s="241"/>
      <c r="AQ375" s="241"/>
      <c r="AR375" s="241"/>
      <c r="AS375" s="241"/>
      <c r="AT375" s="241"/>
      <c r="AU375" s="241"/>
      <c r="AV375" s="241"/>
      <c r="AW375" s="241"/>
      <c r="AX375" s="241"/>
      <c r="AY375" s="241"/>
      <c r="AZ375" s="241"/>
      <c r="BA375" s="241"/>
      <c r="BB375" s="241"/>
      <c r="BC375" s="241"/>
      <c r="BD375" s="241"/>
      <c r="BE375" s="241"/>
      <c r="BF375" s="241"/>
      <c r="BG375" s="241"/>
      <c r="BH375" s="241"/>
      <c r="BI375" s="241"/>
      <c r="BJ375" s="241"/>
      <c r="BK375" s="241"/>
      <c r="BL375" s="241"/>
      <c r="BM375" s="241"/>
    </row>
    <row r="376" spans="1:65" ht="13.5" customHeight="1" x14ac:dyDescent="0.3">
      <c r="A376" s="241"/>
      <c r="B376" s="241"/>
      <c r="C376" s="241"/>
      <c r="D376" s="241"/>
      <c r="E376" s="241"/>
      <c r="F376" s="241"/>
      <c r="G376" s="241"/>
      <c r="H376" s="241"/>
      <c r="I376" s="241"/>
      <c r="J376" s="241"/>
      <c r="K376" s="241"/>
      <c r="L376" s="241"/>
      <c r="M376" s="241"/>
      <c r="N376" s="241"/>
      <c r="O376" s="241"/>
      <c r="P376" s="241"/>
      <c r="Q376" s="241"/>
      <c r="R376" s="241"/>
      <c r="S376" s="241"/>
      <c r="T376" s="241"/>
      <c r="U376" s="241"/>
      <c r="V376" s="241"/>
      <c r="W376" s="241"/>
      <c r="X376" s="241"/>
      <c r="Y376" s="241"/>
      <c r="Z376" s="241"/>
      <c r="AA376" s="241"/>
      <c r="AB376" s="241"/>
      <c r="AC376" s="241"/>
      <c r="AD376" s="241"/>
      <c r="AE376" s="241"/>
      <c r="AF376" s="241"/>
      <c r="AG376" s="241"/>
      <c r="AH376" s="241"/>
      <c r="AI376" s="241"/>
      <c r="AJ376" s="241"/>
      <c r="AK376" s="241"/>
      <c r="AL376" s="241"/>
      <c r="AM376" s="241"/>
      <c r="AN376" s="241"/>
      <c r="AO376" s="241"/>
      <c r="AP376" s="241"/>
      <c r="AQ376" s="241"/>
      <c r="AR376" s="241"/>
      <c r="AS376" s="241"/>
      <c r="AT376" s="241"/>
      <c r="AU376" s="241"/>
      <c r="AV376" s="241"/>
      <c r="AW376" s="241"/>
      <c r="AX376" s="241"/>
      <c r="AY376" s="241"/>
      <c r="AZ376" s="241"/>
      <c r="BA376" s="241"/>
      <c r="BB376" s="241"/>
      <c r="BC376" s="241"/>
      <c r="BD376" s="241"/>
      <c r="BE376" s="241"/>
      <c r="BF376" s="241"/>
      <c r="BG376" s="241"/>
      <c r="BH376" s="241"/>
      <c r="BI376" s="241"/>
      <c r="BJ376" s="241"/>
      <c r="BK376" s="241"/>
      <c r="BL376" s="241"/>
      <c r="BM376" s="241"/>
    </row>
    <row r="377" spans="1:65" ht="13.5" customHeight="1" x14ac:dyDescent="0.3">
      <c r="A377" s="241"/>
      <c r="B377" s="241"/>
      <c r="C377" s="241"/>
      <c r="D377" s="241"/>
      <c r="E377" s="241"/>
      <c r="F377" s="241"/>
      <c r="G377" s="241"/>
      <c r="H377" s="241"/>
      <c r="I377" s="241"/>
      <c r="J377" s="241"/>
      <c r="K377" s="241"/>
      <c r="L377" s="241"/>
      <c r="M377" s="241"/>
      <c r="N377" s="241"/>
      <c r="O377" s="241"/>
      <c r="P377" s="241"/>
      <c r="Q377" s="241"/>
      <c r="R377" s="241"/>
      <c r="S377" s="241"/>
      <c r="T377" s="241"/>
      <c r="U377" s="241"/>
      <c r="V377" s="241"/>
      <c r="W377" s="241"/>
      <c r="X377" s="241"/>
      <c r="Y377" s="241"/>
      <c r="Z377" s="241"/>
      <c r="AA377" s="241"/>
      <c r="AB377" s="241"/>
      <c r="AC377" s="241"/>
      <c r="AD377" s="241"/>
      <c r="AE377" s="241"/>
      <c r="AF377" s="241"/>
      <c r="AG377" s="241"/>
      <c r="AH377" s="241"/>
      <c r="AI377" s="241"/>
      <c r="AJ377" s="241"/>
      <c r="AK377" s="241"/>
      <c r="AL377" s="241"/>
      <c r="AM377" s="241"/>
      <c r="AN377" s="241"/>
      <c r="AO377" s="241"/>
      <c r="AP377" s="241"/>
      <c r="AQ377" s="241"/>
      <c r="AR377" s="241"/>
      <c r="AS377" s="241"/>
      <c r="AT377" s="241"/>
      <c r="AU377" s="241"/>
      <c r="AV377" s="241"/>
      <c r="AW377" s="241"/>
      <c r="AX377" s="241"/>
      <c r="AY377" s="241"/>
      <c r="AZ377" s="241"/>
      <c r="BA377" s="241"/>
      <c r="BB377" s="241"/>
      <c r="BC377" s="241"/>
      <c r="BD377" s="241"/>
      <c r="BE377" s="241"/>
      <c r="BF377" s="241"/>
      <c r="BG377" s="241"/>
      <c r="BH377" s="241"/>
      <c r="BI377" s="241"/>
      <c r="BJ377" s="241"/>
      <c r="BK377" s="241"/>
      <c r="BL377" s="241"/>
      <c r="BM377" s="241"/>
    </row>
    <row r="378" spans="1:65" ht="13.5" customHeight="1" x14ac:dyDescent="0.3">
      <c r="A378" s="241"/>
      <c r="B378" s="241"/>
      <c r="C378" s="241"/>
      <c r="D378" s="241"/>
      <c r="E378" s="241"/>
      <c r="F378" s="241"/>
      <c r="G378" s="241"/>
      <c r="H378" s="241"/>
      <c r="I378" s="241"/>
      <c r="J378" s="241"/>
      <c r="K378" s="241"/>
      <c r="L378" s="241"/>
      <c r="M378" s="241"/>
      <c r="N378" s="241"/>
      <c r="O378" s="241"/>
      <c r="P378" s="241"/>
      <c r="Q378" s="241"/>
      <c r="R378" s="241"/>
      <c r="S378" s="241"/>
      <c r="T378" s="241"/>
      <c r="U378" s="241"/>
      <c r="V378" s="241"/>
      <c r="W378" s="241"/>
      <c r="X378" s="241"/>
      <c r="Y378" s="241"/>
      <c r="Z378" s="241"/>
      <c r="AA378" s="241"/>
      <c r="AB378" s="241"/>
      <c r="AC378" s="241"/>
      <c r="AD378" s="241"/>
      <c r="AE378" s="241"/>
      <c r="AF378" s="241"/>
      <c r="AG378" s="241"/>
      <c r="AH378" s="241"/>
      <c r="AI378" s="241"/>
      <c r="AJ378" s="241"/>
      <c r="AK378" s="241"/>
      <c r="AL378" s="241"/>
      <c r="AM378" s="241"/>
      <c r="AN378" s="241"/>
      <c r="AO378" s="241"/>
      <c r="AP378" s="241"/>
      <c r="AQ378" s="241"/>
      <c r="AR378" s="241"/>
      <c r="AS378" s="241"/>
      <c r="AT378" s="241"/>
      <c r="AU378" s="241"/>
      <c r="AV378" s="241"/>
      <c r="AW378" s="241"/>
      <c r="AX378" s="241"/>
      <c r="AY378" s="241"/>
      <c r="AZ378" s="241"/>
      <c r="BA378" s="241"/>
      <c r="BB378" s="241"/>
      <c r="BC378" s="241"/>
      <c r="BD378" s="241"/>
      <c r="BE378" s="241"/>
      <c r="BF378" s="241"/>
      <c r="BG378" s="241"/>
      <c r="BH378" s="241"/>
      <c r="BI378" s="241"/>
      <c r="BJ378" s="241"/>
      <c r="BK378" s="241"/>
      <c r="BL378" s="241"/>
      <c r="BM378" s="241"/>
    </row>
    <row r="379" spans="1:65" ht="13.5" customHeight="1" x14ac:dyDescent="0.3">
      <c r="A379" s="241"/>
      <c r="B379" s="241"/>
      <c r="C379" s="241"/>
      <c r="D379" s="241"/>
      <c r="E379" s="241"/>
      <c r="F379" s="241"/>
      <c r="G379" s="241"/>
      <c r="H379" s="241"/>
      <c r="I379" s="241"/>
      <c r="J379" s="241"/>
      <c r="K379" s="241"/>
      <c r="L379" s="241"/>
      <c r="M379" s="241"/>
      <c r="N379" s="241"/>
      <c r="O379" s="241"/>
      <c r="P379" s="241"/>
      <c r="Q379" s="241"/>
      <c r="R379" s="241"/>
      <c r="S379" s="241"/>
      <c r="T379" s="241"/>
      <c r="U379" s="241"/>
      <c r="V379" s="241"/>
      <c r="W379" s="241"/>
      <c r="X379" s="241"/>
      <c r="Y379" s="241"/>
      <c r="Z379" s="241"/>
      <c r="AA379" s="241"/>
      <c r="AB379" s="241"/>
      <c r="AC379" s="241"/>
      <c r="AD379" s="241"/>
      <c r="AE379" s="241"/>
      <c r="AF379" s="241"/>
      <c r="AG379" s="241"/>
      <c r="AH379" s="241"/>
      <c r="AI379" s="241"/>
      <c r="AJ379" s="241"/>
      <c r="AK379" s="241"/>
      <c r="AL379" s="241"/>
      <c r="AM379" s="241"/>
      <c r="AN379" s="241"/>
      <c r="AO379" s="241"/>
      <c r="AP379" s="241"/>
      <c r="AQ379" s="241"/>
      <c r="AR379" s="241"/>
      <c r="AS379" s="241"/>
      <c r="AT379" s="241"/>
      <c r="AU379" s="241"/>
      <c r="AV379" s="241"/>
      <c r="AW379" s="241"/>
      <c r="AX379" s="241"/>
      <c r="AY379" s="241"/>
      <c r="AZ379" s="241"/>
      <c r="BA379" s="241"/>
      <c r="BB379" s="241"/>
      <c r="BC379" s="241"/>
      <c r="BD379" s="241"/>
      <c r="BE379" s="241"/>
      <c r="BF379" s="241"/>
      <c r="BG379" s="241"/>
      <c r="BH379" s="241"/>
      <c r="BI379" s="241"/>
      <c r="BJ379" s="241"/>
      <c r="BK379" s="241"/>
      <c r="BL379" s="241"/>
      <c r="BM379" s="241"/>
    </row>
    <row r="380" spans="1:65" ht="13.5" customHeight="1" x14ac:dyDescent="0.3">
      <c r="A380" s="241"/>
      <c r="B380" s="241"/>
      <c r="C380" s="241"/>
      <c r="D380" s="241"/>
      <c r="E380" s="241"/>
      <c r="F380" s="241"/>
      <c r="G380" s="241"/>
      <c r="H380" s="241"/>
      <c r="I380" s="241"/>
      <c r="J380" s="241"/>
      <c r="K380" s="241"/>
      <c r="L380" s="241"/>
      <c r="M380" s="241"/>
      <c r="N380" s="241"/>
      <c r="O380" s="241"/>
      <c r="P380" s="241"/>
      <c r="Q380" s="241"/>
      <c r="R380" s="241"/>
      <c r="S380" s="241"/>
      <c r="T380" s="241"/>
      <c r="U380" s="241"/>
      <c r="V380" s="241"/>
      <c r="W380" s="241"/>
      <c r="X380" s="241"/>
      <c r="Y380" s="241"/>
      <c r="Z380" s="241"/>
      <c r="AA380" s="241"/>
      <c r="AB380" s="241"/>
      <c r="AC380" s="241"/>
      <c r="AD380" s="241"/>
      <c r="AE380" s="241"/>
      <c r="AF380" s="241"/>
      <c r="AG380" s="241"/>
      <c r="AH380" s="241"/>
      <c r="AI380" s="241"/>
      <c r="AJ380" s="241"/>
      <c r="AK380" s="241"/>
      <c r="AL380" s="241"/>
      <c r="AM380" s="241"/>
      <c r="AN380" s="241"/>
      <c r="AO380" s="241"/>
      <c r="AP380" s="241"/>
      <c r="AQ380" s="241"/>
      <c r="AR380" s="241"/>
      <c r="AS380" s="241"/>
      <c r="AT380" s="241"/>
      <c r="AU380" s="241"/>
      <c r="AV380" s="241"/>
      <c r="AW380" s="241"/>
      <c r="AX380" s="241"/>
      <c r="AY380" s="241"/>
      <c r="AZ380" s="241"/>
      <c r="BA380" s="241"/>
      <c r="BB380" s="241"/>
      <c r="BC380" s="241"/>
      <c r="BD380" s="241"/>
      <c r="BE380" s="241"/>
      <c r="BF380" s="241"/>
      <c r="BG380" s="241"/>
      <c r="BH380" s="241"/>
      <c r="BI380" s="241"/>
      <c r="BJ380" s="241"/>
      <c r="BK380" s="241"/>
      <c r="BL380" s="241"/>
      <c r="BM380" s="241"/>
    </row>
    <row r="381" spans="1:65" ht="13.5" customHeight="1" x14ac:dyDescent="0.3">
      <c r="A381" s="241"/>
      <c r="B381" s="241"/>
      <c r="C381" s="241"/>
      <c r="D381" s="241"/>
      <c r="E381" s="241"/>
      <c r="F381" s="241"/>
      <c r="G381" s="241"/>
      <c r="H381" s="241"/>
      <c r="I381" s="241"/>
      <c r="J381" s="241"/>
      <c r="K381" s="241"/>
      <c r="L381" s="241"/>
      <c r="M381" s="241"/>
      <c r="N381" s="241"/>
      <c r="O381" s="241"/>
      <c r="P381" s="241"/>
      <c r="Q381" s="241"/>
      <c r="R381" s="241"/>
      <c r="S381" s="241"/>
      <c r="T381" s="241"/>
      <c r="U381" s="241"/>
      <c r="V381" s="241"/>
      <c r="W381" s="241"/>
      <c r="X381" s="241"/>
      <c r="Y381" s="241"/>
      <c r="Z381" s="241"/>
      <c r="AA381" s="241"/>
      <c r="AB381" s="241"/>
      <c r="AC381" s="241"/>
      <c r="AD381" s="241"/>
      <c r="AE381" s="241"/>
      <c r="AF381" s="241"/>
      <c r="AG381" s="241"/>
      <c r="AH381" s="241"/>
      <c r="AI381" s="241"/>
      <c r="AJ381" s="241"/>
      <c r="AK381" s="241"/>
      <c r="AL381" s="241"/>
      <c r="AM381" s="241"/>
      <c r="AN381" s="241"/>
      <c r="AO381" s="241"/>
      <c r="AP381" s="241"/>
      <c r="AQ381" s="241"/>
      <c r="AR381" s="241"/>
      <c r="AS381" s="241"/>
      <c r="AT381" s="241"/>
      <c r="AU381" s="241"/>
      <c r="AV381" s="241"/>
      <c r="AW381" s="241"/>
      <c r="AX381" s="241"/>
      <c r="AY381" s="241"/>
      <c r="AZ381" s="241"/>
      <c r="BA381" s="241"/>
      <c r="BB381" s="241"/>
      <c r="BC381" s="241"/>
      <c r="BD381" s="241"/>
      <c r="BE381" s="241"/>
      <c r="BF381" s="241"/>
      <c r="BG381" s="241"/>
      <c r="BH381" s="241"/>
      <c r="BI381" s="241"/>
      <c r="BJ381" s="241"/>
      <c r="BK381" s="241"/>
      <c r="BL381" s="241"/>
      <c r="BM381" s="241"/>
    </row>
    <row r="382" spans="1:65" ht="13.5" customHeight="1" x14ac:dyDescent="0.3">
      <c r="A382" s="241"/>
      <c r="B382" s="241"/>
      <c r="C382" s="241"/>
      <c r="D382" s="241"/>
      <c r="E382" s="241"/>
      <c r="F382" s="241"/>
      <c r="G382" s="241"/>
      <c r="H382" s="241"/>
      <c r="I382" s="241"/>
      <c r="J382" s="241"/>
      <c r="K382" s="241"/>
      <c r="L382" s="241"/>
      <c r="M382" s="241"/>
      <c r="N382" s="241"/>
      <c r="O382" s="241"/>
      <c r="P382" s="241"/>
      <c r="Q382" s="241"/>
      <c r="R382" s="241"/>
      <c r="S382" s="241"/>
      <c r="T382" s="241"/>
      <c r="U382" s="241"/>
      <c r="V382" s="241"/>
      <c r="W382" s="241"/>
      <c r="X382" s="241"/>
      <c r="Y382" s="241"/>
      <c r="Z382" s="241"/>
      <c r="AA382" s="241"/>
      <c r="AB382" s="241"/>
      <c r="AC382" s="241"/>
      <c r="AD382" s="241"/>
      <c r="AE382" s="241"/>
      <c r="AF382" s="241"/>
      <c r="AG382" s="241"/>
      <c r="AH382" s="241"/>
      <c r="AI382" s="241"/>
      <c r="AJ382" s="241"/>
      <c r="AK382" s="241"/>
      <c r="AL382" s="241"/>
      <c r="AM382" s="241"/>
      <c r="AN382" s="241"/>
      <c r="AO382" s="241"/>
      <c r="AP382" s="241"/>
      <c r="AQ382" s="241"/>
      <c r="AR382" s="241"/>
      <c r="AS382" s="241"/>
      <c r="AT382" s="241"/>
      <c r="AU382" s="241"/>
      <c r="AV382" s="241"/>
      <c r="AW382" s="241"/>
      <c r="AX382" s="241"/>
      <c r="AY382" s="241"/>
      <c r="AZ382" s="241"/>
      <c r="BA382" s="241"/>
      <c r="BB382" s="241"/>
      <c r="BC382" s="241"/>
      <c r="BD382" s="241"/>
      <c r="BE382" s="241"/>
      <c r="BF382" s="241"/>
      <c r="BG382" s="241"/>
      <c r="BH382" s="241"/>
      <c r="BI382" s="241"/>
      <c r="BJ382" s="241"/>
      <c r="BK382" s="241"/>
      <c r="BL382" s="241"/>
      <c r="BM382" s="241"/>
    </row>
    <row r="383" spans="1:65" ht="13.5" customHeight="1" x14ac:dyDescent="0.3">
      <c r="A383" s="241"/>
      <c r="B383" s="241"/>
      <c r="C383" s="241"/>
      <c r="D383" s="241"/>
      <c r="E383" s="241"/>
      <c r="F383" s="241"/>
      <c r="G383" s="241"/>
      <c r="H383" s="241"/>
      <c r="I383" s="241"/>
      <c r="J383" s="241"/>
      <c r="K383" s="241"/>
      <c r="L383" s="241"/>
      <c r="M383" s="241"/>
      <c r="N383" s="241"/>
      <c r="O383" s="241"/>
      <c r="P383" s="241"/>
      <c r="Q383" s="241"/>
      <c r="R383" s="241"/>
      <c r="S383" s="241"/>
      <c r="T383" s="241"/>
      <c r="U383" s="241"/>
      <c r="V383" s="241"/>
      <c r="W383" s="241"/>
      <c r="X383" s="241"/>
      <c r="Y383" s="241"/>
      <c r="Z383" s="241"/>
      <c r="AA383" s="241"/>
      <c r="AB383" s="241"/>
      <c r="AC383" s="241"/>
      <c r="AD383" s="241"/>
      <c r="AE383" s="241"/>
      <c r="AF383" s="241"/>
      <c r="AG383" s="241"/>
      <c r="AH383" s="241"/>
      <c r="AI383" s="241"/>
      <c r="AJ383" s="241"/>
      <c r="AK383" s="241"/>
      <c r="AL383" s="241"/>
      <c r="AM383" s="241"/>
      <c r="AN383" s="241"/>
      <c r="AO383" s="241"/>
      <c r="AP383" s="241"/>
      <c r="AQ383" s="241"/>
      <c r="AR383" s="241"/>
      <c r="AS383" s="241"/>
      <c r="AT383" s="241"/>
      <c r="AU383" s="241"/>
      <c r="AV383" s="241"/>
      <c r="AW383" s="241"/>
      <c r="AX383" s="241"/>
      <c r="AY383" s="241"/>
      <c r="AZ383" s="241"/>
      <c r="BA383" s="241"/>
      <c r="BB383" s="241"/>
      <c r="BC383" s="241"/>
      <c r="BD383" s="241"/>
      <c r="BE383" s="241"/>
      <c r="BF383" s="241"/>
      <c r="BG383" s="241"/>
      <c r="BH383" s="241"/>
      <c r="BI383" s="241"/>
      <c r="BJ383" s="241"/>
      <c r="BK383" s="241"/>
      <c r="BL383" s="241"/>
      <c r="BM383" s="241"/>
    </row>
    <row r="384" spans="1:65" ht="13.5" customHeight="1" x14ac:dyDescent="0.3">
      <c r="A384" s="241"/>
      <c r="B384" s="241"/>
      <c r="C384" s="241"/>
      <c r="D384" s="241"/>
      <c r="E384" s="241"/>
      <c r="F384" s="241"/>
      <c r="G384" s="241"/>
      <c r="H384" s="241"/>
      <c r="I384" s="241"/>
      <c r="J384" s="241"/>
      <c r="K384" s="241"/>
      <c r="L384" s="241"/>
      <c r="M384" s="241"/>
      <c r="N384" s="241"/>
      <c r="O384" s="241"/>
      <c r="P384" s="241"/>
      <c r="Q384" s="241"/>
      <c r="R384" s="241"/>
      <c r="S384" s="241"/>
      <c r="T384" s="241"/>
      <c r="U384" s="241"/>
      <c r="V384" s="241"/>
      <c r="W384" s="241"/>
      <c r="X384" s="241"/>
      <c r="Y384" s="241"/>
      <c r="Z384" s="241"/>
      <c r="AA384" s="241"/>
      <c r="AB384" s="241"/>
      <c r="AC384" s="241"/>
      <c r="AD384" s="241"/>
      <c r="AE384" s="241"/>
      <c r="AF384" s="241"/>
      <c r="AG384" s="241"/>
      <c r="AH384" s="241"/>
      <c r="AI384" s="241"/>
      <c r="AJ384" s="241"/>
      <c r="AK384" s="241"/>
      <c r="AL384" s="241"/>
      <c r="AM384" s="241"/>
      <c r="AN384" s="241"/>
      <c r="AO384" s="241"/>
      <c r="AP384" s="241"/>
      <c r="AQ384" s="241"/>
      <c r="AR384" s="241"/>
      <c r="AS384" s="241"/>
      <c r="AT384" s="241"/>
      <c r="AU384" s="241"/>
      <c r="AV384" s="241"/>
      <c r="AW384" s="241"/>
      <c r="AX384" s="241"/>
      <c r="AY384" s="241"/>
      <c r="AZ384" s="241"/>
      <c r="BA384" s="241"/>
      <c r="BB384" s="241"/>
      <c r="BC384" s="241"/>
      <c r="BD384" s="241"/>
      <c r="BE384" s="241"/>
      <c r="BF384" s="241"/>
      <c r="BG384" s="241"/>
      <c r="BH384" s="241"/>
      <c r="BI384" s="241"/>
      <c r="BJ384" s="241"/>
      <c r="BK384" s="241"/>
      <c r="BL384" s="241"/>
      <c r="BM384" s="241"/>
    </row>
    <row r="385" spans="1:65" ht="13.5" customHeight="1" x14ac:dyDescent="0.3">
      <c r="A385" s="241"/>
      <c r="B385" s="241"/>
      <c r="C385" s="241"/>
      <c r="D385" s="241"/>
      <c r="E385" s="241"/>
      <c r="F385" s="241"/>
      <c r="G385" s="241"/>
      <c r="H385" s="241"/>
      <c r="I385" s="241"/>
      <c r="J385" s="241"/>
      <c r="K385" s="241"/>
      <c r="L385" s="241"/>
      <c r="M385" s="241"/>
      <c r="N385" s="241"/>
      <c r="O385" s="241"/>
      <c r="P385" s="241"/>
      <c r="Q385" s="241"/>
      <c r="R385" s="241"/>
      <c r="S385" s="241"/>
      <c r="T385" s="241"/>
      <c r="U385" s="241"/>
      <c r="V385" s="241"/>
      <c r="W385" s="241"/>
      <c r="X385" s="241"/>
      <c r="Y385" s="241"/>
      <c r="Z385" s="241"/>
      <c r="AA385" s="241"/>
      <c r="AB385" s="241"/>
      <c r="AC385" s="241"/>
      <c r="AD385" s="241"/>
      <c r="AE385" s="241"/>
      <c r="AF385" s="241"/>
      <c r="AG385" s="241"/>
      <c r="AH385" s="241"/>
      <c r="AI385" s="241"/>
      <c r="AJ385" s="241"/>
      <c r="AK385" s="241"/>
      <c r="AL385" s="241"/>
      <c r="AM385" s="241"/>
      <c r="AN385" s="241"/>
      <c r="AO385" s="241"/>
      <c r="AP385" s="241"/>
      <c r="AQ385" s="241"/>
      <c r="AR385" s="241"/>
      <c r="AS385" s="241"/>
      <c r="AT385" s="241"/>
      <c r="AU385" s="241"/>
      <c r="AV385" s="241"/>
      <c r="AW385" s="241"/>
      <c r="AX385" s="241"/>
      <c r="AY385" s="241"/>
      <c r="AZ385" s="241"/>
      <c r="BA385" s="241"/>
      <c r="BB385" s="241"/>
      <c r="BC385" s="241"/>
      <c r="BD385" s="241"/>
      <c r="BE385" s="241"/>
      <c r="BF385" s="241"/>
      <c r="BG385" s="241"/>
      <c r="BH385" s="241"/>
      <c r="BI385" s="241"/>
      <c r="BJ385" s="241"/>
      <c r="BK385" s="241"/>
      <c r="BL385" s="241"/>
      <c r="BM385" s="241"/>
    </row>
    <row r="386" spans="1:65" ht="13.5" customHeight="1" x14ac:dyDescent="0.3">
      <c r="A386" s="241"/>
      <c r="B386" s="241"/>
      <c r="C386" s="241"/>
      <c r="D386" s="241"/>
      <c r="E386" s="241"/>
      <c r="F386" s="241"/>
      <c r="G386" s="241"/>
      <c r="H386" s="241"/>
      <c r="I386" s="241"/>
      <c r="J386" s="241"/>
      <c r="K386" s="241"/>
      <c r="L386" s="241"/>
      <c r="M386" s="241"/>
      <c r="N386" s="241"/>
      <c r="O386" s="241"/>
      <c r="P386" s="241"/>
      <c r="Q386" s="241"/>
      <c r="R386" s="241"/>
      <c r="S386" s="241"/>
      <c r="T386" s="241"/>
      <c r="U386" s="241"/>
      <c r="V386" s="241"/>
      <c r="W386" s="241"/>
      <c r="X386" s="241"/>
      <c r="Y386" s="241"/>
      <c r="Z386" s="241"/>
      <c r="AA386" s="241"/>
      <c r="AB386" s="241"/>
      <c r="AC386" s="241"/>
      <c r="AD386" s="241"/>
      <c r="AE386" s="241"/>
      <c r="AF386" s="241"/>
      <c r="AG386" s="241"/>
      <c r="AH386" s="241"/>
      <c r="AI386" s="241"/>
      <c r="AJ386" s="241"/>
      <c r="AK386" s="241"/>
      <c r="AL386" s="241"/>
      <c r="AM386" s="241"/>
      <c r="AN386" s="241"/>
      <c r="AO386" s="241"/>
      <c r="AP386" s="241"/>
      <c r="AQ386" s="241"/>
      <c r="AR386" s="241"/>
      <c r="AS386" s="241"/>
      <c r="AT386" s="241"/>
      <c r="AU386" s="241"/>
      <c r="AV386" s="241"/>
      <c r="AW386" s="241"/>
      <c r="AX386" s="241"/>
      <c r="AY386" s="241"/>
      <c r="AZ386" s="241"/>
      <c r="BA386" s="241"/>
      <c r="BB386" s="241"/>
      <c r="BC386" s="241"/>
      <c r="BD386" s="241"/>
      <c r="BE386" s="241"/>
      <c r="BF386" s="241"/>
      <c r="BG386" s="241"/>
      <c r="BH386" s="241"/>
      <c r="BI386" s="241"/>
      <c r="BJ386" s="241"/>
      <c r="BK386" s="241"/>
      <c r="BL386" s="241"/>
      <c r="BM386" s="241"/>
    </row>
    <row r="387" spans="1:65" ht="13.5" customHeight="1" x14ac:dyDescent="0.3">
      <c r="A387" s="241"/>
      <c r="B387" s="241"/>
      <c r="C387" s="241"/>
      <c r="D387" s="241"/>
      <c r="E387" s="241"/>
      <c r="F387" s="241"/>
      <c r="G387" s="241"/>
      <c r="H387" s="241"/>
      <c r="I387" s="241"/>
      <c r="J387" s="241"/>
      <c r="K387" s="241"/>
      <c r="L387" s="241"/>
      <c r="M387" s="241"/>
      <c r="N387" s="241"/>
      <c r="O387" s="241"/>
      <c r="P387" s="241"/>
      <c r="Q387" s="241"/>
      <c r="R387" s="241"/>
      <c r="S387" s="241"/>
      <c r="T387" s="241"/>
      <c r="U387" s="241"/>
      <c r="V387" s="241"/>
      <c r="W387" s="241"/>
      <c r="X387" s="241"/>
      <c r="Y387" s="241"/>
      <c r="Z387" s="241"/>
      <c r="AA387" s="241"/>
      <c r="AB387" s="241"/>
      <c r="AC387" s="241"/>
      <c r="AD387" s="241"/>
      <c r="AE387" s="241"/>
      <c r="AF387" s="241"/>
      <c r="AG387" s="241"/>
      <c r="AH387" s="241"/>
      <c r="AI387" s="241"/>
      <c r="AJ387" s="241"/>
      <c r="AK387" s="241"/>
      <c r="AL387" s="241"/>
      <c r="AM387" s="241"/>
      <c r="AN387" s="241"/>
      <c r="AO387" s="241"/>
      <c r="AP387" s="241"/>
      <c r="AQ387" s="241"/>
      <c r="AR387" s="241"/>
      <c r="AS387" s="241"/>
      <c r="AT387" s="241"/>
      <c r="AU387" s="241"/>
      <c r="AV387" s="241"/>
      <c r="AW387" s="241"/>
      <c r="AX387" s="241"/>
      <c r="AY387" s="241"/>
      <c r="AZ387" s="241"/>
      <c r="BA387" s="241"/>
      <c r="BB387" s="241"/>
      <c r="BC387" s="241"/>
      <c r="BD387" s="241"/>
      <c r="BE387" s="241"/>
      <c r="BF387" s="241"/>
      <c r="BG387" s="241"/>
      <c r="BH387" s="241"/>
      <c r="BI387" s="241"/>
      <c r="BJ387" s="241"/>
      <c r="BK387" s="241"/>
      <c r="BL387" s="241"/>
      <c r="BM387" s="241"/>
    </row>
    <row r="388" spans="1:65" ht="13.5" customHeight="1" x14ac:dyDescent="0.3">
      <c r="A388" s="241"/>
      <c r="B388" s="241"/>
      <c r="C388" s="241"/>
      <c r="D388" s="241"/>
      <c r="E388" s="241"/>
      <c r="F388" s="241"/>
      <c r="G388" s="241"/>
      <c r="H388" s="241"/>
      <c r="I388" s="241"/>
      <c r="J388" s="241"/>
      <c r="K388" s="241"/>
      <c r="L388" s="241"/>
      <c r="M388" s="241"/>
      <c r="N388" s="241"/>
      <c r="O388" s="241"/>
      <c r="P388" s="241"/>
      <c r="Q388" s="241"/>
      <c r="R388" s="241"/>
      <c r="S388" s="241"/>
      <c r="T388" s="241"/>
      <c r="U388" s="241"/>
      <c r="V388" s="241"/>
      <c r="W388" s="241"/>
      <c r="X388" s="241"/>
      <c r="Y388" s="241"/>
      <c r="Z388" s="241"/>
      <c r="AA388" s="241"/>
      <c r="AB388" s="241"/>
      <c r="AC388" s="241"/>
      <c r="AD388" s="241"/>
      <c r="AE388" s="241"/>
      <c r="AF388" s="241"/>
      <c r="AG388" s="241"/>
      <c r="AH388" s="241"/>
      <c r="AI388" s="241"/>
      <c r="AJ388" s="241"/>
      <c r="AK388" s="241"/>
      <c r="AL388" s="241"/>
      <c r="AM388" s="241"/>
      <c r="AN388" s="241"/>
      <c r="AO388" s="241"/>
      <c r="AP388" s="241"/>
      <c r="AQ388" s="241"/>
      <c r="AR388" s="241"/>
      <c r="AS388" s="241"/>
      <c r="AT388" s="241"/>
      <c r="AU388" s="241"/>
      <c r="AV388" s="241"/>
      <c r="AW388" s="241"/>
      <c r="AX388" s="241"/>
      <c r="AY388" s="241"/>
      <c r="AZ388" s="241"/>
      <c r="BA388" s="241"/>
      <c r="BB388" s="241"/>
      <c r="BC388" s="241"/>
      <c r="BD388" s="241"/>
      <c r="BE388" s="241"/>
      <c r="BF388" s="241"/>
      <c r="BG388" s="241"/>
      <c r="BH388" s="241"/>
      <c r="BI388" s="241"/>
      <c r="BJ388" s="241"/>
      <c r="BK388" s="241"/>
      <c r="BL388" s="241"/>
      <c r="BM388" s="241"/>
    </row>
    <row r="389" spans="1:65" ht="13.5" customHeight="1" x14ac:dyDescent="0.3">
      <c r="A389" s="241"/>
      <c r="B389" s="241"/>
      <c r="C389" s="241"/>
      <c r="D389" s="241"/>
      <c r="E389" s="241"/>
      <c r="F389" s="241"/>
      <c r="G389" s="241"/>
      <c r="H389" s="241"/>
      <c r="I389" s="241"/>
      <c r="J389" s="241"/>
      <c r="K389" s="241"/>
      <c r="L389" s="241"/>
      <c r="M389" s="241"/>
      <c r="N389" s="241"/>
      <c r="O389" s="241"/>
      <c r="P389" s="241"/>
      <c r="Q389" s="241"/>
      <c r="R389" s="241"/>
      <c r="S389" s="241"/>
      <c r="T389" s="241"/>
      <c r="U389" s="241"/>
      <c r="V389" s="241"/>
      <c r="W389" s="241"/>
      <c r="X389" s="241"/>
      <c r="Y389" s="241"/>
      <c r="Z389" s="241"/>
      <c r="AA389" s="241"/>
      <c r="AB389" s="241"/>
      <c r="AC389" s="241"/>
      <c r="AD389" s="241"/>
      <c r="AE389" s="241"/>
      <c r="AF389" s="241"/>
      <c r="AG389" s="241"/>
      <c r="AH389" s="241"/>
      <c r="AI389" s="241"/>
      <c r="AJ389" s="241"/>
      <c r="AK389" s="241"/>
      <c r="AL389" s="241"/>
      <c r="AM389" s="241"/>
      <c r="AN389" s="241"/>
      <c r="AO389" s="241"/>
      <c r="AP389" s="241"/>
      <c r="AQ389" s="241"/>
      <c r="AR389" s="241"/>
      <c r="AS389" s="241"/>
      <c r="AT389" s="241"/>
      <c r="AU389" s="241"/>
      <c r="AV389" s="241"/>
      <c r="AW389" s="241"/>
      <c r="AX389" s="241"/>
      <c r="AY389" s="241"/>
      <c r="AZ389" s="241"/>
      <c r="BA389" s="241"/>
      <c r="BB389" s="241"/>
      <c r="BC389" s="241"/>
      <c r="BD389" s="241"/>
      <c r="BE389" s="241"/>
      <c r="BF389" s="241"/>
      <c r="BG389" s="241"/>
      <c r="BH389" s="241"/>
      <c r="BI389" s="241"/>
      <c r="BJ389" s="241"/>
      <c r="BK389" s="241"/>
      <c r="BL389" s="241"/>
      <c r="BM389" s="241"/>
    </row>
    <row r="390" spans="1:65" ht="13.5" customHeight="1" x14ac:dyDescent="0.3">
      <c r="A390" s="241"/>
      <c r="B390" s="241"/>
      <c r="C390" s="241"/>
      <c r="D390" s="241"/>
      <c r="E390" s="241"/>
      <c r="F390" s="241"/>
      <c r="G390" s="241"/>
      <c r="H390" s="241"/>
      <c r="I390" s="241"/>
      <c r="J390" s="241"/>
      <c r="K390" s="241"/>
      <c r="L390" s="241"/>
      <c r="M390" s="241"/>
      <c r="N390" s="241"/>
      <c r="O390" s="241"/>
      <c r="P390" s="241"/>
      <c r="Q390" s="241"/>
      <c r="R390" s="241"/>
      <c r="S390" s="241"/>
      <c r="T390" s="241"/>
      <c r="U390" s="241"/>
      <c r="V390" s="241"/>
      <c r="W390" s="241"/>
      <c r="X390" s="241"/>
      <c r="Y390" s="241"/>
      <c r="Z390" s="241"/>
      <c r="AA390" s="241"/>
      <c r="AB390" s="241"/>
      <c r="AC390" s="241"/>
      <c r="AD390" s="241"/>
      <c r="AE390" s="241"/>
      <c r="AF390" s="241"/>
      <c r="AG390" s="241"/>
      <c r="AH390" s="241"/>
      <c r="AI390" s="241"/>
      <c r="AJ390" s="241"/>
      <c r="AK390" s="241"/>
      <c r="AL390" s="241"/>
      <c r="AM390" s="241"/>
      <c r="AN390" s="241"/>
      <c r="AO390" s="241"/>
      <c r="AP390" s="241"/>
      <c r="AQ390" s="241"/>
      <c r="AR390" s="241"/>
      <c r="AS390" s="241"/>
      <c r="AT390" s="241"/>
      <c r="AU390" s="241"/>
      <c r="AV390" s="241"/>
      <c r="AW390" s="241"/>
      <c r="AX390" s="241"/>
      <c r="AY390" s="241"/>
      <c r="AZ390" s="241"/>
      <c r="BA390" s="241"/>
      <c r="BB390" s="241"/>
      <c r="BC390" s="241"/>
      <c r="BD390" s="241"/>
      <c r="BE390" s="241"/>
      <c r="BF390" s="241"/>
      <c r="BG390" s="241"/>
      <c r="BH390" s="241"/>
      <c r="BI390" s="241"/>
      <c r="BJ390" s="241"/>
      <c r="BK390" s="241"/>
      <c r="BL390" s="241"/>
      <c r="BM390" s="241"/>
    </row>
    <row r="391" spans="1:65" ht="13.5" customHeight="1" x14ac:dyDescent="0.3">
      <c r="A391" s="241"/>
      <c r="B391" s="241"/>
      <c r="C391" s="241"/>
      <c r="D391" s="241"/>
      <c r="E391" s="241"/>
      <c r="F391" s="241"/>
      <c r="G391" s="241"/>
      <c r="H391" s="241"/>
      <c r="I391" s="241"/>
      <c r="J391" s="241"/>
      <c r="K391" s="241"/>
      <c r="L391" s="241"/>
      <c r="M391" s="241"/>
      <c r="N391" s="241"/>
      <c r="O391" s="241"/>
      <c r="P391" s="241"/>
      <c r="Q391" s="241"/>
      <c r="R391" s="241"/>
      <c r="S391" s="241"/>
      <c r="T391" s="241"/>
      <c r="U391" s="241"/>
      <c r="V391" s="241"/>
      <c r="W391" s="241"/>
      <c r="X391" s="241"/>
      <c r="Y391" s="241"/>
      <c r="Z391" s="241"/>
      <c r="AA391" s="241"/>
      <c r="AB391" s="241"/>
      <c r="AC391" s="241"/>
      <c r="AD391" s="241"/>
      <c r="AE391" s="241"/>
      <c r="AF391" s="241"/>
      <c r="AG391" s="241"/>
      <c r="AH391" s="241"/>
      <c r="AI391" s="241"/>
      <c r="AJ391" s="241"/>
      <c r="AK391" s="241"/>
      <c r="AL391" s="241"/>
      <c r="AM391" s="241"/>
      <c r="AN391" s="241"/>
      <c r="AO391" s="241"/>
      <c r="AP391" s="241"/>
      <c r="AQ391" s="241"/>
      <c r="AR391" s="241"/>
      <c r="AS391" s="241"/>
      <c r="AT391" s="241"/>
      <c r="AU391" s="241"/>
      <c r="AV391" s="241"/>
      <c r="AW391" s="241"/>
      <c r="AX391" s="241"/>
      <c r="AY391" s="241"/>
      <c r="AZ391" s="241"/>
      <c r="BA391" s="241"/>
      <c r="BB391" s="241"/>
      <c r="BC391" s="241"/>
      <c r="BD391" s="241"/>
      <c r="BE391" s="241"/>
      <c r="BF391" s="241"/>
      <c r="BG391" s="241"/>
      <c r="BH391" s="241"/>
      <c r="BI391" s="241"/>
      <c r="BJ391" s="241"/>
      <c r="BK391" s="241"/>
      <c r="BL391" s="241"/>
      <c r="BM391" s="241"/>
    </row>
    <row r="392" spans="1:65" ht="13.5" customHeight="1" x14ac:dyDescent="0.3">
      <c r="A392" s="241"/>
      <c r="B392" s="241"/>
      <c r="C392" s="241"/>
      <c r="D392" s="241"/>
      <c r="E392" s="241"/>
      <c r="F392" s="241"/>
      <c r="G392" s="241"/>
      <c r="H392" s="241"/>
      <c r="I392" s="241"/>
      <c r="J392" s="241"/>
      <c r="K392" s="241"/>
      <c r="L392" s="241"/>
      <c r="M392" s="241"/>
      <c r="N392" s="241"/>
      <c r="O392" s="241"/>
      <c r="P392" s="241"/>
      <c r="Q392" s="241"/>
      <c r="R392" s="241"/>
      <c r="S392" s="241"/>
      <c r="T392" s="241"/>
      <c r="U392" s="241"/>
      <c r="V392" s="241"/>
      <c r="W392" s="241"/>
      <c r="X392" s="241"/>
      <c r="Y392" s="241"/>
      <c r="Z392" s="241"/>
      <c r="AA392" s="241"/>
      <c r="AB392" s="241"/>
      <c r="AC392" s="241"/>
      <c r="AD392" s="241"/>
      <c r="AE392" s="241"/>
      <c r="AF392" s="241"/>
      <c r="AG392" s="241"/>
      <c r="AH392" s="241"/>
      <c r="AI392" s="241"/>
      <c r="AJ392" s="241"/>
      <c r="AK392" s="241"/>
      <c r="AL392" s="241"/>
      <c r="AM392" s="241"/>
      <c r="AN392" s="241"/>
      <c r="AO392" s="241"/>
      <c r="AP392" s="241"/>
      <c r="AQ392" s="241"/>
      <c r="AR392" s="241"/>
      <c r="AS392" s="241"/>
      <c r="AT392" s="241"/>
      <c r="AU392" s="241"/>
      <c r="AV392" s="241"/>
      <c r="AW392" s="241"/>
      <c r="AX392" s="241"/>
      <c r="AY392" s="241"/>
      <c r="AZ392" s="241"/>
      <c r="BA392" s="241"/>
      <c r="BB392" s="241"/>
      <c r="BC392" s="241"/>
      <c r="BD392" s="241"/>
      <c r="BE392" s="241"/>
      <c r="BF392" s="241"/>
      <c r="BG392" s="241"/>
      <c r="BH392" s="241"/>
      <c r="BI392" s="241"/>
      <c r="BJ392" s="241"/>
      <c r="BK392" s="241"/>
      <c r="BL392" s="241"/>
      <c r="BM392" s="241"/>
    </row>
    <row r="393" spans="1:65" ht="13.5" customHeight="1" x14ac:dyDescent="0.3">
      <c r="A393" s="241"/>
      <c r="B393" s="241"/>
      <c r="C393" s="241"/>
      <c r="D393" s="241"/>
      <c r="E393" s="241"/>
      <c r="F393" s="241"/>
      <c r="G393" s="241"/>
      <c r="H393" s="241"/>
      <c r="I393" s="241"/>
      <c r="J393" s="241"/>
      <c r="K393" s="241"/>
      <c r="L393" s="241"/>
      <c r="M393" s="241"/>
      <c r="N393" s="241"/>
      <c r="O393" s="241"/>
      <c r="P393" s="241"/>
      <c r="Q393" s="241"/>
      <c r="R393" s="241"/>
      <c r="S393" s="241"/>
      <c r="T393" s="241"/>
      <c r="U393" s="241"/>
      <c r="V393" s="241"/>
      <c r="W393" s="241"/>
      <c r="X393" s="241"/>
      <c r="Y393" s="241"/>
      <c r="Z393" s="241"/>
      <c r="AA393" s="241"/>
      <c r="AB393" s="241"/>
      <c r="AC393" s="241"/>
      <c r="AD393" s="241"/>
      <c r="AE393" s="241"/>
      <c r="AF393" s="241"/>
      <c r="AG393" s="241"/>
      <c r="AH393" s="241"/>
      <c r="AI393" s="241"/>
      <c r="AJ393" s="241"/>
      <c r="AK393" s="241"/>
      <c r="AL393" s="241"/>
      <c r="AM393" s="241"/>
      <c r="AN393" s="241"/>
      <c r="AO393" s="241"/>
      <c r="AP393" s="241"/>
      <c r="AQ393" s="241"/>
      <c r="AR393" s="241"/>
      <c r="AS393" s="241"/>
      <c r="AT393" s="241"/>
      <c r="AU393" s="241"/>
      <c r="AV393" s="241"/>
      <c r="AW393" s="241"/>
      <c r="AX393" s="241"/>
      <c r="AY393" s="241"/>
      <c r="AZ393" s="241"/>
      <c r="BA393" s="241"/>
      <c r="BB393" s="241"/>
      <c r="BC393" s="241"/>
      <c r="BD393" s="241"/>
      <c r="BE393" s="241"/>
      <c r="BF393" s="241"/>
      <c r="BG393" s="241"/>
      <c r="BH393" s="241"/>
      <c r="BI393" s="241"/>
      <c r="BJ393" s="241"/>
      <c r="BK393" s="241"/>
      <c r="BL393" s="241"/>
      <c r="BM393" s="241"/>
    </row>
    <row r="394" spans="1:65" ht="13.5" customHeight="1" x14ac:dyDescent="0.3">
      <c r="A394" s="241"/>
      <c r="B394" s="241"/>
      <c r="C394" s="241"/>
      <c r="D394" s="241"/>
      <c r="E394" s="241"/>
      <c r="F394" s="241"/>
      <c r="G394" s="241"/>
      <c r="H394" s="241"/>
      <c r="I394" s="241"/>
      <c r="J394" s="241"/>
      <c r="K394" s="241"/>
      <c r="L394" s="241"/>
      <c r="M394" s="241"/>
      <c r="N394" s="241"/>
      <c r="O394" s="241"/>
      <c r="P394" s="241"/>
      <c r="Q394" s="241"/>
      <c r="R394" s="241"/>
      <c r="S394" s="241"/>
      <c r="T394" s="241"/>
      <c r="U394" s="241"/>
      <c r="V394" s="241"/>
      <c r="W394" s="241"/>
      <c r="X394" s="241"/>
      <c r="Y394" s="241"/>
      <c r="Z394" s="241"/>
      <c r="AA394" s="241"/>
      <c r="AB394" s="241"/>
      <c r="AC394" s="241"/>
      <c r="AD394" s="241"/>
      <c r="AE394" s="241"/>
      <c r="AF394" s="241"/>
      <c r="AG394" s="241"/>
      <c r="AH394" s="241"/>
      <c r="AI394" s="241"/>
      <c r="AJ394" s="241"/>
      <c r="AK394" s="241"/>
      <c r="AL394" s="241"/>
      <c r="AM394" s="241"/>
      <c r="AN394" s="241"/>
      <c r="AO394" s="241"/>
      <c r="AP394" s="241"/>
      <c r="AQ394" s="241"/>
      <c r="AR394" s="241"/>
      <c r="AS394" s="241"/>
      <c r="AT394" s="241"/>
      <c r="AU394" s="241"/>
      <c r="AV394" s="241"/>
      <c r="AW394" s="241"/>
      <c r="AX394" s="241"/>
      <c r="AY394" s="241"/>
      <c r="AZ394" s="241"/>
      <c r="BA394" s="241"/>
      <c r="BB394" s="241"/>
      <c r="BC394" s="241"/>
      <c r="BD394" s="241"/>
      <c r="BE394" s="241"/>
      <c r="BF394" s="241"/>
      <c r="BG394" s="241"/>
      <c r="BH394" s="241"/>
      <c r="BI394" s="241"/>
      <c r="BJ394" s="241"/>
      <c r="BK394" s="241"/>
      <c r="BL394" s="241"/>
      <c r="BM394" s="241"/>
    </row>
    <row r="395" spans="1:65" ht="13.5" customHeight="1" x14ac:dyDescent="0.3">
      <c r="A395" s="241"/>
      <c r="B395" s="241"/>
      <c r="C395" s="241"/>
      <c r="D395" s="241"/>
      <c r="E395" s="241"/>
      <c r="F395" s="241"/>
      <c r="G395" s="241"/>
      <c r="H395" s="241"/>
      <c r="I395" s="241"/>
      <c r="J395" s="241"/>
      <c r="K395" s="241"/>
      <c r="L395" s="241"/>
      <c r="M395" s="241"/>
      <c r="N395" s="241"/>
      <c r="O395" s="241"/>
      <c r="P395" s="241"/>
      <c r="Q395" s="241"/>
      <c r="R395" s="241"/>
      <c r="S395" s="241"/>
      <c r="T395" s="241"/>
      <c r="U395" s="241"/>
      <c r="V395" s="241"/>
      <c r="W395" s="241"/>
      <c r="X395" s="241"/>
      <c r="Y395" s="241"/>
      <c r="Z395" s="241"/>
      <c r="AA395" s="241"/>
      <c r="AB395" s="241"/>
      <c r="AC395" s="241"/>
      <c r="AD395" s="241"/>
      <c r="AE395" s="241"/>
      <c r="AF395" s="241"/>
      <c r="AG395" s="241"/>
      <c r="AH395" s="241"/>
      <c r="AI395" s="241"/>
      <c r="AJ395" s="241"/>
      <c r="AK395" s="241"/>
      <c r="AL395" s="241"/>
      <c r="AM395" s="241"/>
      <c r="AN395" s="241"/>
      <c r="AO395" s="241"/>
      <c r="AP395" s="241"/>
      <c r="AQ395" s="241"/>
      <c r="AR395" s="241"/>
      <c r="AS395" s="241"/>
      <c r="AT395" s="241"/>
      <c r="AU395" s="241"/>
      <c r="AV395" s="241"/>
      <c r="AW395" s="241"/>
      <c r="AX395" s="241"/>
      <c r="AY395" s="241"/>
      <c r="AZ395" s="241"/>
      <c r="BA395" s="241"/>
      <c r="BB395" s="241"/>
      <c r="BC395" s="241"/>
      <c r="BD395" s="241"/>
      <c r="BE395" s="241"/>
      <c r="BF395" s="241"/>
      <c r="BG395" s="241"/>
      <c r="BH395" s="241"/>
      <c r="BI395" s="241"/>
      <c r="BJ395" s="241"/>
      <c r="BK395" s="241"/>
      <c r="BL395" s="241"/>
      <c r="BM395" s="241"/>
    </row>
    <row r="396" spans="1:65" ht="13.5" customHeight="1" x14ac:dyDescent="0.3">
      <c r="A396" s="241"/>
      <c r="B396" s="241"/>
      <c r="C396" s="241"/>
      <c r="D396" s="241"/>
      <c r="E396" s="241"/>
      <c r="F396" s="241"/>
      <c r="G396" s="241"/>
      <c r="H396" s="241"/>
      <c r="I396" s="241"/>
      <c r="J396" s="241"/>
      <c r="K396" s="241"/>
      <c r="L396" s="241"/>
      <c r="M396" s="241"/>
      <c r="N396" s="241"/>
      <c r="O396" s="241"/>
      <c r="P396" s="241"/>
      <c r="Q396" s="241"/>
      <c r="R396" s="241"/>
      <c r="S396" s="241"/>
      <c r="T396" s="241"/>
      <c r="U396" s="241"/>
      <c r="V396" s="241"/>
      <c r="W396" s="241"/>
      <c r="X396" s="241"/>
      <c r="Y396" s="241"/>
      <c r="Z396" s="241"/>
      <c r="AA396" s="241"/>
      <c r="AB396" s="241"/>
      <c r="AC396" s="241"/>
      <c r="AD396" s="241"/>
      <c r="AE396" s="241"/>
      <c r="AF396" s="241"/>
      <c r="AG396" s="241"/>
      <c r="AH396" s="241"/>
      <c r="AI396" s="241"/>
      <c r="AJ396" s="241"/>
      <c r="AK396" s="241"/>
      <c r="AL396" s="241"/>
      <c r="AM396" s="241"/>
      <c r="AN396" s="241"/>
      <c r="AO396" s="241"/>
      <c r="AP396" s="241"/>
      <c r="AQ396" s="241"/>
      <c r="AR396" s="241"/>
      <c r="AS396" s="241"/>
      <c r="AT396" s="241"/>
      <c r="AU396" s="241"/>
      <c r="AV396" s="241"/>
      <c r="AW396" s="241"/>
      <c r="AX396" s="241"/>
      <c r="AY396" s="241"/>
      <c r="AZ396" s="241"/>
      <c r="BA396" s="241"/>
      <c r="BB396" s="241"/>
      <c r="BC396" s="241"/>
      <c r="BD396" s="241"/>
      <c r="BE396" s="241"/>
      <c r="BF396" s="241"/>
      <c r="BG396" s="241"/>
      <c r="BH396" s="241"/>
      <c r="BI396" s="241"/>
      <c r="BJ396" s="241"/>
      <c r="BK396" s="241"/>
      <c r="BL396" s="241"/>
      <c r="BM396" s="241"/>
    </row>
    <row r="397" spans="1:65" ht="13.5" customHeight="1" x14ac:dyDescent="0.3">
      <c r="A397" s="241"/>
      <c r="B397" s="241"/>
      <c r="C397" s="241"/>
      <c r="D397" s="241"/>
      <c r="E397" s="241"/>
      <c r="F397" s="241"/>
      <c r="G397" s="241"/>
      <c r="H397" s="241"/>
      <c r="I397" s="241"/>
      <c r="J397" s="241"/>
      <c r="K397" s="241"/>
      <c r="L397" s="241"/>
      <c r="M397" s="241"/>
      <c r="N397" s="241"/>
      <c r="O397" s="241"/>
      <c r="P397" s="241"/>
      <c r="Q397" s="241"/>
      <c r="R397" s="241"/>
      <c r="S397" s="241"/>
      <c r="T397" s="241"/>
      <c r="U397" s="241"/>
      <c r="V397" s="241"/>
      <c r="W397" s="241"/>
      <c r="X397" s="241"/>
      <c r="Y397" s="241"/>
      <c r="Z397" s="241"/>
      <c r="AA397" s="241"/>
      <c r="AB397" s="241"/>
      <c r="AC397" s="241"/>
      <c r="AD397" s="241"/>
      <c r="AE397" s="241"/>
      <c r="AF397" s="241"/>
      <c r="AG397" s="241"/>
      <c r="AH397" s="241"/>
      <c r="AI397" s="241"/>
      <c r="AJ397" s="241"/>
      <c r="AK397" s="241"/>
      <c r="AL397" s="241"/>
      <c r="AM397" s="241"/>
      <c r="AN397" s="241"/>
      <c r="AO397" s="241"/>
      <c r="AP397" s="241"/>
      <c r="AQ397" s="241"/>
      <c r="AR397" s="241"/>
      <c r="AS397" s="241"/>
      <c r="AT397" s="241"/>
      <c r="AU397" s="241"/>
      <c r="AV397" s="241"/>
      <c r="AW397" s="241"/>
      <c r="AX397" s="241"/>
      <c r="AY397" s="241"/>
      <c r="AZ397" s="241"/>
      <c r="BA397" s="241"/>
      <c r="BB397" s="241"/>
      <c r="BC397" s="241"/>
      <c r="BD397" s="241"/>
      <c r="BE397" s="241"/>
      <c r="BF397" s="241"/>
      <c r="BG397" s="241"/>
      <c r="BH397" s="241"/>
      <c r="BI397" s="241"/>
      <c r="BJ397" s="241"/>
      <c r="BK397" s="241"/>
      <c r="BL397" s="241"/>
      <c r="BM397" s="241"/>
    </row>
    <row r="398" spans="1:65" ht="13.5" customHeight="1" x14ac:dyDescent="0.3">
      <c r="A398" s="241"/>
      <c r="B398" s="241"/>
      <c r="C398" s="241"/>
      <c r="D398" s="241"/>
      <c r="E398" s="241"/>
      <c r="F398" s="241"/>
      <c r="G398" s="241"/>
      <c r="H398" s="241"/>
      <c r="I398" s="241"/>
      <c r="J398" s="241"/>
      <c r="K398" s="241"/>
      <c r="L398" s="241"/>
      <c r="M398" s="241"/>
      <c r="N398" s="241"/>
      <c r="O398" s="241"/>
      <c r="P398" s="241"/>
      <c r="Q398" s="241"/>
      <c r="R398" s="241"/>
      <c r="S398" s="241"/>
      <c r="T398" s="241"/>
      <c r="U398" s="241"/>
      <c r="V398" s="241"/>
      <c r="W398" s="241"/>
      <c r="X398" s="241"/>
      <c r="Y398" s="241"/>
      <c r="Z398" s="241"/>
      <c r="AA398" s="241"/>
      <c r="AB398" s="241"/>
      <c r="AC398" s="241"/>
      <c r="AD398" s="241"/>
      <c r="AE398" s="241"/>
      <c r="AF398" s="241"/>
      <c r="AG398" s="241"/>
      <c r="AH398" s="241"/>
      <c r="AI398" s="241"/>
      <c r="AJ398" s="241"/>
      <c r="AK398" s="241"/>
      <c r="AL398" s="241"/>
      <c r="AM398" s="241"/>
      <c r="AN398" s="241"/>
      <c r="AO398" s="241"/>
      <c r="AP398" s="241"/>
      <c r="AQ398" s="241"/>
      <c r="AR398" s="241"/>
      <c r="AS398" s="241"/>
      <c r="AT398" s="241"/>
      <c r="AU398" s="241"/>
      <c r="AV398" s="241"/>
      <c r="AW398" s="241"/>
      <c r="AX398" s="241"/>
      <c r="AY398" s="241"/>
      <c r="AZ398" s="241"/>
      <c r="BA398" s="241"/>
      <c r="BB398" s="241"/>
      <c r="BC398" s="241"/>
      <c r="BD398" s="241"/>
      <c r="BE398" s="241"/>
      <c r="BF398" s="241"/>
      <c r="BG398" s="241"/>
      <c r="BH398" s="241"/>
      <c r="BI398" s="241"/>
      <c r="BJ398" s="241"/>
      <c r="BK398" s="241"/>
      <c r="BL398" s="241"/>
      <c r="BM398" s="241"/>
    </row>
    <row r="399" spans="1:65" ht="13.5" customHeight="1" x14ac:dyDescent="0.3">
      <c r="A399" s="241"/>
      <c r="B399" s="241"/>
      <c r="C399" s="241"/>
      <c r="D399" s="241"/>
      <c r="E399" s="241"/>
      <c r="F399" s="241"/>
      <c r="G399" s="241"/>
      <c r="H399" s="241"/>
      <c r="I399" s="241"/>
      <c r="J399" s="241"/>
      <c r="K399" s="241"/>
      <c r="L399" s="241"/>
      <c r="M399" s="241"/>
      <c r="N399" s="241"/>
      <c r="O399" s="241"/>
      <c r="P399" s="241"/>
      <c r="Q399" s="241"/>
      <c r="R399" s="241"/>
      <c r="S399" s="241"/>
      <c r="T399" s="241"/>
      <c r="U399" s="241"/>
      <c r="V399" s="241"/>
      <c r="W399" s="241"/>
      <c r="X399" s="241"/>
      <c r="Y399" s="241"/>
      <c r="Z399" s="241"/>
      <c r="AA399" s="241"/>
      <c r="AB399" s="241"/>
      <c r="AC399" s="241"/>
      <c r="AD399" s="241"/>
      <c r="AE399" s="241"/>
      <c r="AF399" s="241"/>
      <c r="AG399" s="241"/>
      <c r="AH399" s="241"/>
      <c r="AI399" s="241"/>
      <c r="AJ399" s="241"/>
      <c r="AK399" s="241"/>
      <c r="AL399" s="241"/>
      <c r="AM399" s="241"/>
      <c r="AN399" s="241"/>
      <c r="AO399" s="241"/>
      <c r="AP399" s="241"/>
      <c r="AQ399" s="241"/>
      <c r="AR399" s="241"/>
      <c r="AS399" s="241"/>
      <c r="AT399" s="241"/>
      <c r="AU399" s="241"/>
      <c r="AV399" s="241"/>
      <c r="AW399" s="241"/>
      <c r="AX399" s="241"/>
      <c r="AY399" s="241"/>
      <c r="AZ399" s="241"/>
      <c r="BA399" s="241"/>
      <c r="BB399" s="241"/>
      <c r="BC399" s="241"/>
      <c r="BD399" s="241"/>
      <c r="BE399" s="241"/>
      <c r="BF399" s="241"/>
      <c r="BG399" s="241"/>
      <c r="BH399" s="241"/>
      <c r="BI399" s="241"/>
      <c r="BJ399" s="241"/>
      <c r="BK399" s="241"/>
      <c r="BL399" s="241"/>
      <c r="BM399" s="241"/>
    </row>
    <row r="400" spans="1:65" ht="13.5" customHeight="1" x14ac:dyDescent="0.3">
      <c r="A400" s="241"/>
      <c r="B400" s="241"/>
      <c r="C400" s="241"/>
      <c r="D400" s="241"/>
      <c r="E400" s="241"/>
      <c r="F400" s="241"/>
      <c r="G400" s="241"/>
      <c r="H400" s="241"/>
      <c r="I400" s="241"/>
      <c r="J400" s="241"/>
      <c r="K400" s="241"/>
      <c r="L400" s="241"/>
      <c r="M400" s="241"/>
      <c r="N400" s="241"/>
      <c r="O400" s="241"/>
      <c r="P400" s="241"/>
      <c r="Q400" s="241"/>
      <c r="R400" s="241"/>
      <c r="S400" s="241"/>
      <c r="T400" s="241"/>
      <c r="U400" s="241"/>
      <c r="V400" s="241"/>
      <c r="W400" s="241"/>
      <c r="X400" s="241"/>
      <c r="Y400" s="241"/>
      <c r="Z400" s="241"/>
      <c r="AA400" s="241"/>
      <c r="AB400" s="241"/>
      <c r="AC400" s="241"/>
      <c r="AD400" s="241"/>
      <c r="AE400" s="241"/>
      <c r="AF400" s="241"/>
      <c r="AG400" s="241"/>
      <c r="AH400" s="241"/>
      <c r="AI400" s="241"/>
      <c r="AJ400" s="241"/>
      <c r="AK400" s="241"/>
      <c r="AL400" s="241"/>
      <c r="AM400" s="241"/>
      <c r="AN400" s="241"/>
      <c r="AO400" s="241"/>
      <c r="AP400" s="241"/>
      <c r="AQ400" s="241"/>
      <c r="AR400" s="241"/>
      <c r="AS400" s="241"/>
      <c r="AT400" s="241"/>
      <c r="AU400" s="241"/>
      <c r="AV400" s="241"/>
      <c r="AW400" s="241"/>
      <c r="AX400" s="241"/>
      <c r="AY400" s="241"/>
      <c r="AZ400" s="241"/>
      <c r="BA400" s="241"/>
      <c r="BB400" s="241"/>
      <c r="BC400" s="241"/>
      <c r="BD400" s="241"/>
      <c r="BE400" s="241"/>
      <c r="BF400" s="241"/>
      <c r="BG400" s="241"/>
      <c r="BH400" s="241"/>
      <c r="BI400" s="241"/>
      <c r="BJ400" s="241"/>
      <c r="BK400" s="241"/>
      <c r="BL400" s="241"/>
      <c r="BM400" s="241"/>
    </row>
    <row r="401" spans="1:65" ht="13.5" customHeight="1" x14ac:dyDescent="0.3">
      <c r="A401" s="241"/>
      <c r="B401" s="241"/>
      <c r="C401" s="241"/>
      <c r="D401" s="241"/>
      <c r="E401" s="241"/>
      <c r="F401" s="241"/>
      <c r="G401" s="241"/>
      <c r="H401" s="241"/>
      <c r="I401" s="241"/>
      <c r="J401" s="241"/>
      <c r="K401" s="241"/>
      <c r="L401" s="241"/>
      <c r="M401" s="241"/>
      <c r="N401" s="241"/>
      <c r="O401" s="241"/>
      <c r="P401" s="241"/>
      <c r="Q401" s="241"/>
      <c r="R401" s="241"/>
      <c r="S401" s="241"/>
      <c r="T401" s="241"/>
      <c r="U401" s="241"/>
      <c r="V401" s="241"/>
      <c r="W401" s="241"/>
      <c r="X401" s="241"/>
      <c r="Y401" s="241"/>
      <c r="Z401" s="241"/>
      <c r="AA401" s="241"/>
      <c r="AB401" s="241"/>
      <c r="AC401" s="241"/>
      <c r="AD401" s="241"/>
      <c r="AE401" s="241"/>
      <c r="AF401" s="241"/>
      <c r="AG401" s="241"/>
      <c r="AH401" s="241"/>
      <c r="AI401" s="241"/>
      <c r="AJ401" s="241"/>
      <c r="AK401" s="241"/>
      <c r="AL401" s="241"/>
      <c r="AM401" s="241"/>
      <c r="AN401" s="241"/>
      <c r="AO401" s="241"/>
      <c r="AP401" s="241"/>
      <c r="AQ401" s="241"/>
      <c r="AR401" s="241"/>
      <c r="AS401" s="241"/>
      <c r="AT401" s="241"/>
      <c r="AU401" s="241"/>
      <c r="AV401" s="241"/>
      <c r="AW401" s="241"/>
      <c r="AX401" s="241"/>
      <c r="AY401" s="241"/>
      <c r="AZ401" s="241"/>
      <c r="BA401" s="241"/>
      <c r="BB401" s="241"/>
      <c r="BC401" s="241"/>
      <c r="BD401" s="241"/>
      <c r="BE401" s="241"/>
      <c r="BF401" s="241"/>
      <c r="BG401" s="241"/>
      <c r="BH401" s="241"/>
      <c r="BI401" s="241"/>
      <c r="BJ401" s="241"/>
      <c r="BK401" s="241"/>
      <c r="BL401" s="241"/>
      <c r="BM401" s="241"/>
    </row>
    <row r="402" spans="1:65" ht="13.5" customHeight="1" x14ac:dyDescent="0.3">
      <c r="A402" s="241"/>
      <c r="B402" s="241"/>
      <c r="C402" s="241"/>
      <c r="D402" s="241"/>
      <c r="E402" s="241"/>
      <c r="F402" s="241"/>
      <c r="G402" s="241"/>
      <c r="H402" s="241"/>
      <c r="I402" s="241"/>
      <c r="J402" s="241"/>
      <c r="K402" s="241"/>
      <c r="L402" s="241"/>
      <c r="M402" s="241"/>
      <c r="N402" s="241"/>
      <c r="O402" s="241"/>
      <c r="P402" s="241"/>
      <c r="Q402" s="241"/>
      <c r="R402" s="241"/>
      <c r="S402" s="241"/>
      <c r="T402" s="241"/>
      <c r="U402" s="241"/>
      <c r="V402" s="241"/>
      <c r="W402" s="241"/>
      <c r="X402" s="241"/>
      <c r="Y402" s="241"/>
      <c r="Z402" s="241"/>
      <c r="AA402" s="241"/>
      <c r="AB402" s="241"/>
      <c r="AC402" s="241"/>
      <c r="AD402" s="241"/>
      <c r="AE402" s="241"/>
      <c r="AF402" s="241"/>
      <c r="AG402" s="241"/>
      <c r="AH402" s="241"/>
      <c r="AI402" s="241"/>
      <c r="AJ402" s="241"/>
      <c r="AK402" s="241"/>
      <c r="AL402" s="241"/>
      <c r="AM402" s="241"/>
      <c r="AN402" s="241"/>
      <c r="AO402" s="241"/>
      <c r="AP402" s="241"/>
      <c r="AQ402" s="241"/>
      <c r="AR402" s="241"/>
      <c r="AS402" s="241"/>
      <c r="AT402" s="241"/>
      <c r="AU402" s="241"/>
      <c r="AV402" s="241"/>
      <c r="AW402" s="241"/>
      <c r="AX402" s="241"/>
      <c r="AY402" s="241"/>
      <c r="AZ402" s="241"/>
      <c r="BA402" s="241"/>
      <c r="BB402" s="241"/>
      <c r="BC402" s="241"/>
      <c r="BD402" s="241"/>
      <c r="BE402" s="241"/>
      <c r="BF402" s="241"/>
      <c r="BG402" s="241"/>
      <c r="BH402" s="241"/>
      <c r="BI402" s="241"/>
      <c r="BJ402" s="241"/>
      <c r="BK402" s="241"/>
      <c r="BL402" s="241"/>
      <c r="BM402" s="241"/>
    </row>
    <row r="403" spans="1:65" ht="13.5" customHeight="1" x14ac:dyDescent="0.3">
      <c r="A403" s="241"/>
      <c r="B403" s="241"/>
      <c r="C403" s="241"/>
      <c r="D403" s="241"/>
      <c r="E403" s="241"/>
      <c r="F403" s="241"/>
      <c r="G403" s="241"/>
      <c r="H403" s="241"/>
      <c r="I403" s="241"/>
      <c r="J403" s="241"/>
      <c r="K403" s="241"/>
      <c r="L403" s="241"/>
      <c r="M403" s="241"/>
      <c r="N403" s="241"/>
      <c r="O403" s="241"/>
      <c r="P403" s="241"/>
      <c r="Q403" s="241"/>
      <c r="R403" s="241"/>
      <c r="S403" s="241"/>
      <c r="T403" s="241"/>
      <c r="U403" s="241"/>
      <c r="V403" s="241"/>
      <c r="W403" s="241"/>
      <c r="X403" s="241"/>
      <c r="Y403" s="241"/>
      <c r="Z403" s="241"/>
      <c r="AA403" s="241"/>
      <c r="AB403" s="241"/>
      <c r="AC403" s="241"/>
      <c r="AD403" s="241"/>
      <c r="AE403" s="241"/>
      <c r="AF403" s="241"/>
      <c r="AG403" s="241"/>
      <c r="AH403" s="241"/>
      <c r="AI403" s="241"/>
      <c r="AJ403" s="241"/>
      <c r="AK403" s="241"/>
      <c r="AL403" s="241"/>
      <c r="AM403" s="241"/>
      <c r="AN403" s="241"/>
      <c r="AO403" s="241"/>
      <c r="AP403" s="241"/>
      <c r="AQ403" s="241"/>
      <c r="AR403" s="241"/>
      <c r="AS403" s="241"/>
      <c r="AT403" s="241"/>
      <c r="AU403" s="241"/>
      <c r="AV403" s="241"/>
      <c r="AW403" s="241"/>
      <c r="AX403" s="241"/>
      <c r="AY403" s="241"/>
      <c r="AZ403" s="241"/>
      <c r="BA403" s="241"/>
      <c r="BB403" s="241"/>
      <c r="BC403" s="241"/>
      <c r="BD403" s="241"/>
      <c r="BE403" s="241"/>
      <c r="BF403" s="241"/>
      <c r="BG403" s="241"/>
      <c r="BH403" s="241"/>
      <c r="BI403" s="241"/>
      <c r="BJ403" s="241"/>
      <c r="BK403" s="241"/>
      <c r="BL403" s="241"/>
      <c r="BM403" s="241"/>
    </row>
    <row r="404" spans="1:65" ht="13.5" customHeight="1" x14ac:dyDescent="0.3">
      <c r="A404" s="241"/>
      <c r="B404" s="241"/>
      <c r="C404" s="241"/>
      <c r="D404" s="241"/>
      <c r="E404" s="241"/>
      <c r="F404" s="241"/>
      <c r="G404" s="241"/>
      <c r="H404" s="241"/>
      <c r="I404" s="241"/>
      <c r="J404" s="241"/>
      <c r="K404" s="241"/>
      <c r="L404" s="241"/>
      <c r="M404" s="241"/>
      <c r="N404" s="241"/>
      <c r="O404" s="241"/>
      <c r="P404" s="241"/>
      <c r="Q404" s="241"/>
      <c r="R404" s="241"/>
      <c r="S404" s="241"/>
      <c r="T404" s="241"/>
      <c r="U404" s="241"/>
      <c r="V404" s="241"/>
      <c r="W404" s="241"/>
      <c r="X404" s="241"/>
      <c r="Y404" s="241"/>
      <c r="Z404" s="241"/>
      <c r="AA404" s="241"/>
      <c r="AB404" s="241"/>
      <c r="AC404" s="241"/>
      <c r="AD404" s="241"/>
      <c r="AE404" s="241"/>
      <c r="AF404" s="241"/>
      <c r="AG404" s="241"/>
      <c r="AH404" s="241"/>
      <c r="AI404" s="241"/>
      <c r="AJ404" s="241"/>
      <c r="AK404" s="241"/>
      <c r="AL404" s="241"/>
      <c r="AM404" s="241"/>
      <c r="AN404" s="241"/>
      <c r="AO404" s="241"/>
      <c r="AP404" s="241"/>
      <c r="AQ404" s="241"/>
      <c r="AR404" s="241"/>
      <c r="AS404" s="241"/>
      <c r="AT404" s="241"/>
      <c r="AU404" s="241"/>
      <c r="AV404" s="241"/>
      <c r="AW404" s="241"/>
      <c r="AX404" s="241"/>
      <c r="AY404" s="241"/>
      <c r="AZ404" s="241"/>
      <c r="BA404" s="241"/>
      <c r="BB404" s="241"/>
      <c r="BC404" s="241"/>
      <c r="BD404" s="241"/>
      <c r="BE404" s="241"/>
      <c r="BF404" s="241"/>
      <c r="BG404" s="241"/>
      <c r="BH404" s="241"/>
      <c r="BI404" s="241"/>
      <c r="BJ404" s="241"/>
      <c r="BK404" s="241"/>
      <c r="BL404" s="241"/>
      <c r="BM404" s="241"/>
    </row>
    <row r="405" spans="1:65" ht="13.5" customHeight="1" x14ac:dyDescent="0.3">
      <c r="A405" s="241"/>
      <c r="B405" s="241"/>
      <c r="C405" s="241"/>
      <c r="D405" s="241"/>
      <c r="E405" s="241"/>
      <c r="F405" s="241"/>
      <c r="G405" s="241"/>
      <c r="H405" s="241"/>
      <c r="I405" s="241"/>
      <c r="J405" s="241"/>
      <c r="K405" s="241"/>
      <c r="L405" s="241"/>
      <c r="M405" s="241"/>
      <c r="N405" s="241"/>
      <c r="O405" s="241"/>
      <c r="P405" s="241"/>
      <c r="Q405" s="241"/>
      <c r="R405" s="241"/>
      <c r="S405" s="241"/>
      <c r="T405" s="241"/>
      <c r="U405" s="241"/>
      <c r="V405" s="241"/>
      <c r="W405" s="241"/>
      <c r="X405" s="241"/>
      <c r="Y405" s="241"/>
      <c r="Z405" s="241"/>
      <c r="AA405" s="241"/>
      <c r="AB405" s="241"/>
      <c r="AC405" s="241"/>
      <c r="AD405" s="241"/>
      <c r="AE405" s="241"/>
      <c r="AF405" s="241"/>
      <c r="AG405" s="241"/>
      <c r="AH405" s="241"/>
      <c r="AI405" s="241"/>
      <c r="AJ405" s="241"/>
      <c r="AK405" s="241"/>
      <c r="AL405" s="241"/>
      <c r="AM405" s="241"/>
      <c r="AN405" s="241"/>
      <c r="AO405" s="241"/>
      <c r="AP405" s="241"/>
      <c r="AQ405" s="241"/>
      <c r="AR405" s="241"/>
      <c r="AS405" s="241"/>
      <c r="AT405" s="241"/>
      <c r="AU405" s="241"/>
      <c r="AV405" s="241"/>
      <c r="AW405" s="241"/>
      <c r="AX405" s="241"/>
      <c r="AY405" s="241"/>
      <c r="AZ405" s="241"/>
      <c r="BA405" s="241"/>
      <c r="BB405" s="241"/>
      <c r="BC405" s="241"/>
      <c r="BD405" s="241"/>
      <c r="BE405" s="241"/>
      <c r="BF405" s="241"/>
      <c r="BG405" s="241"/>
      <c r="BH405" s="241"/>
      <c r="BI405" s="241"/>
      <c r="BJ405" s="241"/>
      <c r="BK405" s="241"/>
      <c r="BL405" s="241"/>
      <c r="BM405" s="241"/>
    </row>
    <row r="406" spans="1:65" ht="13.5" customHeight="1" x14ac:dyDescent="0.3">
      <c r="A406" s="241"/>
      <c r="B406" s="241"/>
      <c r="C406" s="241"/>
      <c r="D406" s="241"/>
      <c r="E406" s="241"/>
      <c r="F406" s="241"/>
      <c r="G406" s="241"/>
      <c r="H406" s="241"/>
      <c r="I406" s="241"/>
      <c r="J406" s="241"/>
      <c r="K406" s="241"/>
      <c r="L406" s="241"/>
      <c r="M406" s="241"/>
      <c r="N406" s="241"/>
      <c r="O406" s="241"/>
      <c r="P406" s="241"/>
      <c r="Q406" s="241"/>
      <c r="R406" s="241"/>
      <c r="S406" s="241"/>
      <c r="T406" s="241"/>
      <c r="U406" s="241"/>
      <c r="V406" s="241"/>
      <c r="W406" s="241"/>
      <c r="X406" s="241"/>
      <c r="Y406" s="241"/>
      <c r="Z406" s="241"/>
      <c r="AA406" s="241"/>
      <c r="AB406" s="241"/>
      <c r="AC406" s="241"/>
      <c r="AD406" s="241"/>
      <c r="AE406" s="241"/>
      <c r="AF406" s="241"/>
      <c r="AG406" s="241"/>
      <c r="AH406" s="241"/>
      <c r="AI406" s="241"/>
      <c r="AJ406" s="241"/>
      <c r="AK406" s="241"/>
      <c r="AL406" s="241"/>
      <c r="AM406" s="241"/>
      <c r="AN406" s="241"/>
      <c r="AO406" s="241"/>
      <c r="AP406" s="241"/>
      <c r="AQ406" s="241"/>
      <c r="AR406" s="241"/>
      <c r="AS406" s="241"/>
      <c r="AT406" s="241"/>
      <c r="AU406" s="241"/>
      <c r="AV406" s="241"/>
      <c r="AW406" s="241"/>
      <c r="AX406" s="241"/>
      <c r="AY406" s="241"/>
      <c r="AZ406" s="241"/>
      <c r="BA406" s="241"/>
      <c r="BB406" s="241"/>
      <c r="BC406" s="241"/>
      <c r="BD406" s="241"/>
      <c r="BE406" s="241"/>
      <c r="BF406" s="241"/>
      <c r="BG406" s="241"/>
      <c r="BH406" s="241"/>
      <c r="BI406" s="241"/>
      <c r="BJ406" s="241"/>
      <c r="BK406" s="241"/>
      <c r="BL406" s="241"/>
      <c r="BM406" s="241"/>
    </row>
    <row r="407" spans="1:65" ht="13.5" customHeight="1" x14ac:dyDescent="0.3">
      <c r="A407" s="241"/>
      <c r="B407" s="241"/>
      <c r="C407" s="241"/>
      <c r="D407" s="241"/>
      <c r="E407" s="241"/>
      <c r="F407" s="241"/>
      <c r="G407" s="241"/>
      <c r="H407" s="241"/>
      <c r="I407" s="241"/>
      <c r="J407" s="241"/>
      <c r="K407" s="241"/>
      <c r="L407" s="241"/>
      <c r="M407" s="241"/>
      <c r="N407" s="241"/>
      <c r="O407" s="241"/>
      <c r="P407" s="241"/>
      <c r="Q407" s="241"/>
      <c r="R407" s="241"/>
      <c r="S407" s="241"/>
      <c r="T407" s="241"/>
      <c r="U407" s="241"/>
      <c r="V407" s="241"/>
      <c r="W407" s="241"/>
      <c r="X407" s="241"/>
      <c r="Y407" s="241"/>
      <c r="Z407" s="241"/>
      <c r="AA407" s="241"/>
      <c r="AB407" s="241"/>
      <c r="AC407" s="241"/>
      <c r="AD407" s="241"/>
      <c r="AE407" s="241"/>
      <c r="AF407" s="241"/>
      <c r="AG407" s="241"/>
      <c r="AH407" s="241"/>
      <c r="AI407" s="241"/>
      <c r="AJ407" s="241"/>
      <c r="AK407" s="241"/>
      <c r="AL407" s="241"/>
      <c r="AM407" s="241"/>
      <c r="AN407" s="241"/>
      <c r="AO407" s="241"/>
      <c r="AP407" s="241"/>
      <c r="AQ407" s="241"/>
      <c r="AR407" s="241"/>
      <c r="AS407" s="241"/>
      <c r="AT407" s="241"/>
      <c r="AU407" s="241"/>
      <c r="AV407" s="241"/>
      <c r="AW407" s="241"/>
      <c r="AX407" s="241"/>
      <c r="AY407" s="241"/>
      <c r="AZ407" s="241"/>
      <c r="BA407" s="241"/>
      <c r="BB407" s="241"/>
      <c r="BC407" s="241"/>
      <c r="BD407" s="241"/>
      <c r="BE407" s="241"/>
      <c r="BF407" s="241"/>
      <c r="BG407" s="241"/>
      <c r="BH407" s="241"/>
      <c r="BI407" s="241"/>
      <c r="BJ407" s="241"/>
      <c r="BK407" s="241"/>
      <c r="BL407" s="241"/>
      <c r="BM407" s="241"/>
    </row>
    <row r="408" spans="1:65" ht="13.5" customHeight="1" x14ac:dyDescent="0.3">
      <c r="A408" s="241"/>
      <c r="B408" s="241"/>
      <c r="C408" s="241"/>
      <c r="D408" s="241"/>
      <c r="E408" s="241"/>
      <c r="F408" s="241"/>
      <c r="G408" s="241"/>
      <c r="H408" s="241"/>
      <c r="I408" s="241"/>
      <c r="J408" s="241"/>
      <c r="K408" s="241"/>
      <c r="L408" s="241"/>
      <c r="M408" s="241"/>
      <c r="N408" s="241"/>
      <c r="O408" s="241"/>
      <c r="P408" s="241"/>
      <c r="Q408" s="241"/>
      <c r="R408" s="241"/>
      <c r="S408" s="241"/>
      <c r="T408" s="241"/>
      <c r="U408" s="241"/>
      <c r="V408" s="241"/>
      <c r="W408" s="241"/>
      <c r="X408" s="241"/>
      <c r="Y408" s="241"/>
      <c r="Z408" s="241"/>
      <c r="AA408" s="241"/>
      <c r="AB408" s="241"/>
      <c r="AC408" s="241"/>
      <c r="AD408" s="241"/>
      <c r="AE408" s="241"/>
      <c r="AF408" s="241"/>
      <c r="AG408" s="241"/>
      <c r="AH408" s="241"/>
      <c r="AI408" s="241"/>
      <c r="AJ408" s="241"/>
      <c r="AK408" s="241"/>
      <c r="AL408" s="241"/>
      <c r="AM408" s="241"/>
      <c r="AN408" s="241"/>
      <c r="AO408" s="241"/>
      <c r="AP408" s="241"/>
      <c r="AQ408" s="241"/>
      <c r="AR408" s="241"/>
      <c r="AS408" s="241"/>
      <c r="AT408" s="241"/>
      <c r="AU408" s="241"/>
      <c r="AV408" s="241"/>
      <c r="AW408" s="241"/>
      <c r="AX408" s="241"/>
      <c r="AY408" s="241"/>
      <c r="AZ408" s="241"/>
      <c r="BA408" s="241"/>
      <c r="BB408" s="241"/>
      <c r="BC408" s="241"/>
      <c r="BD408" s="241"/>
      <c r="BE408" s="241"/>
      <c r="BF408" s="241"/>
      <c r="BG408" s="241"/>
      <c r="BH408" s="241"/>
      <c r="BI408" s="241"/>
      <c r="BJ408" s="241"/>
      <c r="BK408" s="241"/>
      <c r="BL408" s="241"/>
      <c r="BM408" s="241"/>
    </row>
    <row r="409" spans="1:65" ht="13.5" customHeight="1" x14ac:dyDescent="0.3">
      <c r="A409" s="241"/>
      <c r="B409" s="241"/>
      <c r="C409" s="241"/>
      <c r="D409" s="241"/>
      <c r="E409" s="241"/>
      <c r="F409" s="241"/>
      <c r="G409" s="241"/>
      <c r="H409" s="241"/>
      <c r="I409" s="241"/>
      <c r="J409" s="241"/>
      <c r="K409" s="241"/>
      <c r="L409" s="241"/>
      <c r="M409" s="241"/>
      <c r="N409" s="241"/>
      <c r="O409" s="241"/>
      <c r="P409" s="241"/>
      <c r="Q409" s="241"/>
      <c r="R409" s="241"/>
      <c r="S409" s="241"/>
      <c r="T409" s="241"/>
      <c r="U409" s="241"/>
      <c r="V409" s="241"/>
      <c r="W409" s="241"/>
      <c r="X409" s="241"/>
      <c r="Y409" s="241"/>
      <c r="Z409" s="241"/>
      <c r="AA409" s="241"/>
      <c r="AB409" s="241"/>
      <c r="AC409" s="241"/>
      <c r="AD409" s="241"/>
      <c r="AE409" s="241"/>
      <c r="AF409" s="241"/>
      <c r="AG409" s="241"/>
      <c r="AH409" s="241"/>
      <c r="AI409" s="241"/>
      <c r="AJ409" s="241"/>
      <c r="AK409" s="241"/>
      <c r="AL409" s="241"/>
      <c r="AM409" s="241"/>
      <c r="AN409" s="241"/>
      <c r="AO409" s="241"/>
      <c r="AP409" s="241"/>
      <c r="AQ409" s="241"/>
      <c r="AR409" s="241"/>
      <c r="AS409" s="241"/>
      <c r="AT409" s="241"/>
      <c r="AU409" s="241"/>
      <c r="AV409" s="241"/>
      <c r="AW409" s="241"/>
      <c r="AX409" s="241"/>
      <c r="AY409" s="241"/>
      <c r="AZ409" s="241"/>
      <c r="BA409" s="241"/>
      <c r="BB409" s="241"/>
      <c r="BC409" s="241"/>
      <c r="BD409" s="241"/>
      <c r="BE409" s="241"/>
      <c r="BF409" s="241"/>
      <c r="BG409" s="241"/>
      <c r="BH409" s="241"/>
      <c r="BI409" s="241"/>
      <c r="BJ409" s="241"/>
      <c r="BK409" s="241"/>
      <c r="BL409" s="241"/>
      <c r="BM409" s="241"/>
    </row>
    <row r="410" spans="1:65" ht="13.5" customHeight="1" x14ac:dyDescent="0.3">
      <c r="A410" s="241"/>
      <c r="B410" s="241"/>
      <c r="C410" s="241"/>
      <c r="D410" s="241"/>
      <c r="E410" s="241"/>
      <c r="F410" s="241"/>
      <c r="G410" s="241"/>
      <c r="H410" s="241"/>
      <c r="I410" s="241"/>
      <c r="J410" s="241"/>
      <c r="K410" s="241"/>
      <c r="L410" s="241"/>
      <c r="M410" s="241"/>
      <c r="N410" s="241"/>
      <c r="O410" s="241"/>
      <c r="P410" s="241"/>
      <c r="Q410" s="241"/>
      <c r="R410" s="241"/>
      <c r="S410" s="241"/>
      <c r="T410" s="241"/>
      <c r="U410" s="241"/>
      <c r="V410" s="241"/>
      <c r="W410" s="241"/>
      <c r="X410" s="241"/>
      <c r="Y410" s="241"/>
      <c r="Z410" s="241"/>
      <c r="AA410" s="241"/>
      <c r="AB410" s="241"/>
      <c r="AC410" s="241"/>
      <c r="AD410" s="241"/>
      <c r="AE410" s="241"/>
      <c r="AF410" s="241"/>
      <c r="AG410" s="241"/>
      <c r="AH410" s="241"/>
      <c r="AI410" s="241"/>
      <c r="AJ410" s="241"/>
      <c r="AK410" s="241"/>
      <c r="AL410" s="241"/>
      <c r="AM410" s="241"/>
      <c r="AN410" s="241"/>
      <c r="AO410" s="241"/>
      <c r="AP410" s="241"/>
      <c r="AQ410" s="241"/>
      <c r="AR410" s="241"/>
      <c r="AS410" s="241"/>
      <c r="AT410" s="241"/>
      <c r="AU410" s="241"/>
      <c r="AV410" s="241"/>
      <c r="AW410" s="241"/>
      <c r="AX410" s="241"/>
      <c r="AY410" s="241"/>
      <c r="AZ410" s="241"/>
      <c r="BA410" s="241"/>
      <c r="BB410" s="241"/>
      <c r="BC410" s="241"/>
      <c r="BD410" s="241"/>
      <c r="BE410" s="241"/>
      <c r="BF410" s="241"/>
      <c r="BG410" s="241"/>
      <c r="BH410" s="241"/>
      <c r="BI410" s="241"/>
      <c r="BJ410" s="241"/>
      <c r="BK410" s="241"/>
      <c r="BL410" s="241"/>
      <c r="BM410" s="241"/>
    </row>
    <row r="411" spans="1:65" ht="13.5" customHeight="1" x14ac:dyDescent="0.3">
      <c r="A411" s="241"/>
      <c r="B411" s="241"/>
      <c r="C411" s="241"/>
      <c r="D411" s="241"/>
      <c r="E411" s="241"/>
      <c r="F411" s="241"/>
      <c r="G411" s="241"/>
      <c r="H411" s="241"/>
      <c r="I411" s="241"/>
      <c r="J411" s="241"/>
      <c r="K411" s="241"/>
      <c r="L411" s="241"/>
      <c r="M411" s="241"/>
      <c r="N411" s="241"/>
      <c r="O411" s="241"/>
      <c r="P411" s="241"/>
      <c r="Q411" s="241"/>
      <c r="R411" s="241"/>
      <c r="S411" s="241"/>
      <c r="T411" s="241"/>
      <c r="U411" s="241"/>
      <c r="V411" s="241"/>
      <c r="W411" s="241"/>
      <c r="X411" s="241"/>
      <c r="Y411" s="241"/>
      <c r="Z411" s="241"/>
      <c r="AA411" s="241"/>
      <c r="AB411" s="241"/>
      <c r="AC411" s="241"/>
      <c r="AD411" s="241"/>
      <c r="AE411" s="241"/>
      <c r="AF411" s="241"/>
      <c r="AG411" s="241"/>
      <c r="AH411" s="241"/>
      <c r="AI411" s="241"/>
      <c r="AJ411" s="241"/>
      <c r="AK411" s="241"/>
      <c r="AL411" s="241"/>
      <c r="AM411" s="241"/>
      <c r="AN411" s="241"/>
      <c r="AO411" s="241"/>
      <c r="AP411" s="241"/>
      <c r="AQ411" s="241"/>
      <c r="AR411" s="241"/>
      <c r="AS411" s="241"/>
      <c r="AT411" s="241"/>
      <c r="AU411" s="241"/>
      <c r="AV411" s="241"/>
      <c r="AW411" s="241"/>
      <c r="AX411" s="241"/>
      <c r="AY411" s="241"/>
      <c r="AZ411" s="241"/>
      <c r="BA411" s="241"/>
      <c r="BB411" s="241"/>
      <c r="BC411" s="241"/>
      <c r="BD411" s="241"/>
      <c r="BE411" s="241"/>
      <c r="BF411" s="241"/>
      <c r="BG411" s="241"/>
      <c r="BH411" s="241"/>
      <c r="BI411" s="241"/>
      <c r="BJ411" s="241"/>
      <c r="BK411" s="241"/>
      <c r="BL411" s="241"/>
      <c r="BM411" s="241"/>
    </row>
    <row r="412" spans="1:65" ht="13.5" customHeight="1" x14ac:dyDescent="0.3">
      <c r="A412" s="241"/>
      <c r="B412" s="241"/>
      <c r="C412" s="241"/>
      <c r="D412" s="241"/>
      <c r="E412" s="241"/>
      <c r="F412" s="241"/>
      <c r="G412" s="241"/>
      <c r="H412" s="241"/>
      <c r="I412" s="241"/>
      <c r="J412" s="241"/>
      <c r="K412" s="241"/>
      <c r="L412" s="241"/>
      <c r="M412" s="241"/>
      <c r="N412" s="241"/>
      <c r="O412" s="241"/>
      <c r="P412" s="241"/>
      <c r="Q412" s="241"/>
      <c r="R412" s="241"/>
      <c r="S412" s="241"/>
      <c r="T412" s="241"/>
      <c r="U412" s="241"/>
      <c r="V412" s="241"/>
      <c r="W412" s="241"/>
      <c r="X412" s="241"/>
      <c r="Y412" s="241"/>
      <c r="Z412" s="241"/>
      <c r="AA412" s="241"/>
      <c r="AB412" s="241"/>
      <c r="AC412" s="241"/>
      <c r="AD412" s="241"/>
      <c r="AE412" s="241"/>
      <c r="AF412" s="241"/>
      <c r="AG412" s="241"/>
      <c r="AH412" s="241"/>
      <c r="AI412" s="241"/>
      <c r="AJ412" s="241"/>
      <c r="AK412" s="241"/>
      <c r="AL412" s="241"/>
      <c r="AM412" s="241"/>
      <c r="AN412" s="241"/>
      <c r="AO412" s="241"/>
      <c r="AP412" s="241"/>
      <c r="AQ412" s="241"/>
      <c r="AR412" s="241"/>
      <c r="AS412" s="241"/>
      <c r="AT412" s="241"/>
      <c r="AU412" s="241"/>
      <c r="AV412" s="241"/>
      <c r="AW412" s="241"/>
      <c r="AX412" s="241"/>
      <c r="AY412" s="241"/>
      <c r="AZ412" s="241"/>
      <c r="BA412" s="241"/>
      <c r="BB412" s="241"/>
      <c r="BC412" s="241"/>
      <c r="BD412" s="241"/>
      <c r="BE412" s="241"/>
      <c r="BF412" s="241"/>
      <c r="BG412" s="241"/>
      <c r="BH412" s="241"/>
      <c r="BI412" s="241"/>
      <c r="BJ412" s="241"/>
      <c r="BK412" s="241"/>
      <c r="BL412" s="241"/>
      <c r="BM412" s="241"/>
    </row>
    <row r="413" spans="1:65" ht="13.5" customHeight="1" x14ac:dyDescent="0.3">
      <c r="A413" s="241"/>
      <c r="B413" s="241"/>
      <c r="C413" s="241"/>
      <c r="D413" s="241"/>
      <c r="E413" s="241"/>
      <c r="F413" s="241"/>
      <c r="G413" s="241"/>
      <c r="H413" s="241"/>
      <c r="I413" s="241"/>
      <c r="J413" s="241"/>
      <c r="K413" s="241"/>
      <c r="L413" s="241"/>
      <c r="M413" s="241"/>
      <c r="N413" s="241"/>
      <c r="O413" s="241"/>
      <c r="P413" s="241"/>
      <c r="Q413" s="241"/>
      <c r="R413" s="241"/>
      <c r="S413" s="241"/>
      <c r="T413" s="241"/>
      <c r="U413" s="241"/>
      <c r="V413" s="241"/>
      <c r="W413" s="241"/>
      <c r="X413" s="241"/>
      <c r="Y413" s="241"/>
      <c r="Z413" s="241"/>
      <c r="AA413" s="241"/>
      <c r="AB413" s="241"/>
      <c r="AC413" s="241"/>
      <c r="AD413" s="241"/>
      <c r="AE413" s="241"/>
      <c r="AF413" s="241"/>
      <c r="AG413" s="241"/>
      <c r="AH413" s="241"/>
      <c r="AI413" s="241"/>
      <c r="AJ413" s="241"/>
      <c r="AK413" s="241"/>
      <c r="AL413" s="241"/>
      <c r="AM413" s="241"/>
      <c r="AN413" s="241"/>
      <c r="AO413" s="241"/>
      <c r="AP413" s="241"/>
      <c r="AQ413" s="241"/>
      <c r="AR413" s="241"/>
      <c r="AS413" s="241"/>
      <c r="AT413" s="241"/>
      <c r="AU413" s="241"/>
      <c r="AV413" s="241"/>
      <c r="AW413" s="241"/>
      <c r="AX413" s="241"/>
      <c r="AY413" s="241"/>
      <c r="AZ413" s="241"/>
      <c r="BA413" s="241"/>
      <c r="BB413" s="241"/>
      <c r="BC413" s="241"/>
      <c r="BD413" s="241"/>
      <c r="BE413" s="241"/>
      <c r="BF413" s="241"/>
      <c r="BG413" s="241"/>
      <c r="BH413" s="241"/>
      <c r="BI413" s="241"/>
      <c r="BJ413" s="241"/>
      <c r="BK413" s="241"/>
      <c r="BL413" s="241"/>
      <c r="BM413" s="241"/>
    </row>
    <row r="414" spans="1:65" ht="13.5" customHeight="1" x14ac:dyDescent="0.3">
      <c r="A414" s="241"/>
      <c r="B414" s="241"/>
      <c r="C414" s="241"/>
      <c r="D414" s="241"/>
      <c r="E414" s="241"/>
      <c r="F414" s="241"/>
      <c r="G414" s="241"/>
      <c r="H414" s="241"/>
      <c r="I414" s="241"/>
      <c r="J414" s="241"/>
      <c r="K414" s="241"/>
      <c r="L414" s="241"/>
      <c r="M414" s="241"/>
      <c r="N414" s="241"/>
      <c r="O414" s="241"/>
      <c r="P414" s="241"/>
      <c r="Q414" s="241"/>
      <c r="R414" s="241"/>
      <c r="S414" s="241"/>
      <c r="T414" s="241"/>
      <c r="U414" s="241"/>
      <c r="V414" s="241"/>
      <c r="W414" s="241"/>
      <c r="X414" s="241"/>
      <c r="Y414" s="241"/>
      <c r="Z414" s="241"/>
      <c r="AA414" s="241"/>
      <c r="AB414" s="241"/>
      <c r="AC414" s="241"/>
      <c r="AD414" s="241"/>
      <c r="AE414" s="241"/>
      <c r="AF414" s="241"/>
      <c r="AG414" s="241"/>
      <c r="AH414" s="241"/>
      <c r="AI414" s="241"/>
      <c r="AJ414" s="241"/>
      <c r="AK414" s="241"/>
      <c r="AL414" s="241"/>
      <c r="AM414" s="241"/>
      <c r="AN414" s="241"/>
      <c r="AO414" s="241"/>
      <c r="AP414" s="241"/>
      <c r="AQ414" s="241"/>
      <c r="AR414" s="241"/>
      <c r="AS414" s="241"/>
      <c r="AT414" s="241"/>
      <c r="AU414" s="241"/>
      <c r="AV414" s="241"/>
      <c r="AW414" s="241"/>
      <c r="AX414" s="241"/>
      <c r="AY414" s="241"/>
      <c r="AZ414" s="241"/>
      <c r="BA414" s="241"/>
      <c r="BB414" s="241"/>
      <c r="BC414" s="241"/>
      <c r="BD414" s="241"/>
      <c r="BE414" s="241"/>
      <c r="BF414" s="241"/>
      <c r="BG414" s="241"/>
      <c r="BH414" s="241"/>
      <c r="BI414" s="241"/>
      <c r="BJ414" s="241"/>
      <c r="BK414" s="241"/>
      <c r="BL414" s="241"/>
      <c r="BM414" s="241"/>
    </row>
    <row r="415" spans="1:65" ht="13.5" customHeight="1" x14ac:dyDescent="0.3">
      <c r="A415" s="241"/>
      <c r="B415" s="241"/>
      <c r="C415" s="241"/>
      <c r="D415" s="241"/>
      <c r="E415" s="241"/>
      <c r="F415" s="241"/>
      <c r="G415" s="241"/>
      <c r="H415" s="241"/>
      <c r="I415" s="241"/>
      <c r="J415" s="241"/>
      <c r="K415" s="241"/>
      <c r="L415" s="241"/>
      <c r="M415" s="241"/>
      <c r="N415" s="241"/>
      <c r="O415" s="241"/>
      <c r="P415" s="241"/>
      <c r="Q415" s="241"/>
      <c r="R415" s="241"/>
      <c r="S415" s="241"/>
      <c r="T415" s="241"/>
      <c r="U415" s="241"/>
      <c r="V415" s="241"/>
      <c r="W415" s="241"/>
      <c r="X415" s="241"/>
      <c r="Y415" s="241"/>
      <c r="Z415" s="241"/>
      <c r="AA415" s="241"/>
      <c r="AB415" s="241"/>
      <c r="AC415" s="241"/>
      <c r="AD415" s="241"/>
      <c r="AE415" s="241"/>
      <c r="AF415" s="241"/>
      <c r="AG415" s="241"/>
      <c r="AH415" s="241"/>
      <c r="AI415" s="241"/>
      <c r="AJ415" s="241"/>
      <c r="AK415" s="241"/>
      <c r="AL415" s="241"/>
      <c r="AM415" s="241"/>
      <c r="AN415" s="241"/>
      <c r="AO415" s="241"/>
      <c r="AP415" s="241"/>
      <c r="AQ415" s="241"/>
      <c r="AR415" s="241"/>
      <c r="AS415" s="241"/>
      <c r="AT415" s="241"/>
      <c r="AU415" s="241"/>
      <c r="AV415" s="241"/>
      <c r="AW415" s="241"/>
      <c r="AX415" s="241"/>
      <c r="AY415" s="241"/>
      <c r="AZ415" s="241"/>
      <c r="BA415" s="241"/>
      <c r="BB415" s="241"/>
      <c r="BC415" s="241"/>
      <c r="BD415" s="241"/>
      <c r="BE415" s="241"/>
      <c r="BF415" s="241"/>
      <c r="BG415" s="241"/>
      <c r="BH415" s="241"/>
      <c r="BI415" s="241"/>
      <c r="BJ415" s="241"/>
      <c r="BK415" s="241"/>
      <c r="BL415" s="241"/>
      <c r="BM415" s="241"/>
    </row>
    <row r="416" spans="1:65" ht="13.5" customHeight="1" x14ac:dyDescent="0.3">
      <c r="A416" s="241"/>
      <c r="B416" s="241"/>
      <c r="C416" s="241"/>
      <c r="D416" s="241"/>
      <c r="E416" s="241"/>
      <c r="F416" s="241"/>
      <c r="G416" s="241"/>
      <c r="H416" s="241"/>
      <c r="I416" s="241"/>
      <c r="J416" s="241"/>
      <c r="K416" s="241"/>
      <c r="L416" s="241"/>
      <c r="M416" s="241"/>
      <c r="N416" s="241"/>
      <c r="O416" s="241"/>
      <c r="P416" s="241"/>
      <c r="Q416" s="241"/>
      <c r="R416" s="241"/>
      <c r="S416" s="241"/>
      <c r="T416" s="241"/>
      <c r="U416" s="241"/>
      <c r="V416" s="241"/>
      <c r="W416" s="241"/>
      <c r="X416" s="241"/>
      <c r="Y416" s="241"/>
      <c r="Z416" s="241"/>
      <c r="AA416" s="241"/>
      <c r="AB416" s="241"/>
      <c r="AC416" s="241"/>
      <c r="AD416" s="241"/>
      <c r="AE416" s="241"/>
      <c r="AF416" s="241"/>
      <c r="AG416" s="241"/>
      <c r="AH416" s="241"/>
      <c r="AI416" s="241"/>
      <c r="AJ416" s="241"/>
      <c r="AK416" s="241"/>
      <c r="AL416" s="241"/>
      <c r="AM416" s="241"/>
      <c r="AN416" s="241"/>
      <c r="AO416" s="241"/>
      <c r="AP416" s="241"/>
      <c r="AQ416" s="241"/>
      <c r="AR416" s="241"/>
      <c r="AS416" s="241"/>
      <c r="AT416" s="241"/>
      <c r="AU416" s="241"/>
      <c r="AV416" s="241"/>
      <c r="AW416" s="241"/>
      <c r="AX416" s="241"/>
      <c r="AY416" s="241"/>
      <c r="AZ416" s="241"/>
      <c r="BA416" s="241"/>
      <c r="BB416" s="241"/>
      <c r="BC416" s="241"/>
      <c r="BD416" s="241"/>
      <c r="BE416" s="241"/>
      <c r="BF416" s="241"/>
      <c r="BG416" s="241"/>
      <c r="BH416" s="241"/>
      <c r="BI416" s="241"/>
      <c r="BJ416" s="241"/>
      <c r="BK416" s="241"/>
      <c r="BL416" s="241"/>
      <c r="BM416" s="241"/>
    </row>
    <row r="417" spans="1:65" ht="13.5" customHeight="1" x14ac:dyDescent="0.3">
      <c r="A417" s="241"/>
      <c r="B417" s="241"/>
      <c r="C417" s="241"/>
      <c r="D417" s="241"/>
      <c r="E417" s="241"/>
      <c r="F417" s="241"/>
      <c r="G417" s="241"/>
      <c r="H417" s="241"/>
      <c r="I417" s="241"/>
      <c r="J417" s="241"/>
      <c r="K417" s="241"/>
      <c r="L417" s="241"/>
      <c r="M417" s="241"/>
      <c r="N417" s="241"/>
      <c r="O417" s="241"/>
      <c r="P417" s="241"/>
      <c r="Q417" s="241"/>
      <c r="R417" s="241"/>
      <c r="S417" s="241"/>
      <c r="T417" s="241"/>
      <c r="U417" s="241"/>
      <c r="V417" s="241"/>
      <c r="W417" s="241"/>
      <c r="X417" s="241"/>
      <c r="Y417" s="241"/>
      <c r="Z417" s="241"/>
      <c r="AA417" s="241"/>
      <c r="AB417" s="241"/>
      <c r="AC417" s="241"/>
      <c r="AD417" s="241"/>
      <c r="AE417" s="241"/>
      <c r="AF417" s="241"/>
      <c r="AG417" s="241"/>
      <c r="AH417" s="241"/>
      <c r="AI417" s="241"/>
      <c r="AJ417" s="241"/>
      <c r="AK417" s="241"/>
      <c r="AL417" s="241"/>
      <c r="AM417" s="241"/>
      <c r="AN417" s="241"/>
      <c r="AO417" s="241"/>
      <c r="AP417" s="241"/>
      <c r="AQ417" s="241"/>
      <c r="AR417" s="241"/>
      <c r="AS417" s="241"/>
      <c r="AT417" s="241"/>
      <c r="AU417" s="241"/>
      <c r="AV417" s="241"/>
      <c r="AW417" s="241"/>
      <c r="AX417" s="241"/>
      <c r="AY417" s="241"/>
      <c r="AZ417" s="241"/>
      <c r="BA417" s="241"/>
      <c r="BB417" s="241"/>
      <c r="BC417" s="241"/>
      <c r="BD417" s="241"/>
      <c r="BE417" s="241"/>
      <c r="BF417" s="241"/>
      <c r="BG417" s="241"/>
      <c r="BH417" s="241"/>
      <c r="BI417" s="241"/>
      <c r="BJ417" s="241"/>
      <c r="BK417" s="241"/>
      <c r="BL417" s="241"/>
      <c r="BM417" s="241"/>
    </row>
    <row r="418" spans="1:65" ht="13.5" customHeight="1" x14ac:dyDescent="0.3">
      <c r="A418" s="241"/>
      <c r="B418" s="241"/>
      <c r="C418" s="241"/>
      <c r="D418" s="241"/>
      <c r="E418" s="241"/>
      <c r="F418" s="241"/>
      <c r="G418" s="241"/>
      <c r="H418" s="241"/>
      <c r="I418" s="241"/>
      <c r="J418" s="241"/>
      <c r="K418" s="241"/>
      <c r="L418" s="241"/>
      <c r="M418" s="241"/>
      <c r="N418" s="241"/>
      <c r="O418" s="241"/>
      <c r="P418" s="241"/>
      <c r="Q418" s="241"/>
      <c r="R418" s="241"/>
      <c r="S418" s="241"/>
      <c r="T418" s="241"/>
      <c r="U418" s="241"/>
      <c r="V418" s="241"/>
      <c r="W418" s="241"/>
      <c r="X418" s="241"/>
      <c r="Y418" s="241"/>
      <c r="Z418" s="241"/>
      <c r="AA418" s="241"/>
      <c r="AB418" s="241"/>
      <c r="AC418" s="241"/>
      <c r="AD418" s="241"/>
      <c r="AE418" s="241"/>
      <c r="AF418" s="241"/>
      <c r="AG418" s="241"/>
      <c r="AH418" s="241"/>
      <c r="AI418" s="241"/>
      <c r="AJ418" s="241"/>
      <c r="AK418" s="241"/>
      <c r="AL418" s="241"/>
      <c r="AM418" s="241"/>
      <c r="AN418" s="241"/>
      <c r="AO418" s="241"/>
      <c r="AP418" s="241"/>
      <c r="AQ418" s="241"/>
      <c r="AR418" s="241"/>
      <c r="AS418" s="241"/>
      <c r="AT418" s="241"/>
      <c r="AU418" s="241"/>
      <c r="AV418" s="241"/>
      <c r="AW418" s="241"/>
      <c r="AX418" s="241"/>
      <c r="AY418" s="241"/>
      <c r="AZ418" s="241"/>
      <c r="BA418" s="241"/>
      <c r="BB418" s="241"/>
      <c r="BC418" s="241"/>
      <c r="BD418" s="241"/>
      <c r="BE418" s="241"/>
      <c r="BF418" s="241"/>
      <c r="BG418" s="241"/>
      <c r="BH418" s="241"/>
      <c r="BI418" s="241"/>
      <c r="BJ418" s="241"/>
      <c r="BK418" s="241"/>
      <c r="BL418" s="241"/>
      <c r="BM418" s="241"/>
    </row>
    <row r="419" spans="1:65" ht="13.5" customHeight="1" x14ac:dyDescent="0.3">
      <c r="A419" s="241"/>
      <c r="B419" s="241"/>
      <c r="C419" s="241"/>
      <c r="D419" s="241"/>
      <c r="E419" s="241"/>
      <c r="F419" s="241"/>
      <c r="G419" s="241"/>
      <c r="H419" s="241"/>
      <c r="I419" s="241"/>
      <c r="J419" s="241"/>
      <c r="K419" s="241"/>
      <c r="L419" s="241"/>
      <c r="M419" s="241"/>
      <c r="N419" s="241"/>
      <c r="O419" s="241"/>
      <c r="P419" s="241"/>
      <c r="Q419" s="241"/>
      <c r="R419" s="241"/>
      <c r="S419" s="241"/>
      <c r="T419" s="241"/>
      <c r="U419" s="241"/>
      <c r="V419" s="241"/>
      <c r="W419" s="241"/>
      <c r="X419" s="241"/>
      <c r="Y419" s="241"/>
      <c r="Z419" s="241"/>
      <c r="AA419" s="241"/>
      <c r="AB419" s="241"/>
      <c r="AC419" s="241"/>
      <c r="AD419" s="241"/>
      <c r="AE419" s="241"/>
      <c r="AF419" s="241"/>
      <c r="AG419" s="241"/>
      <c r="AH419" s="241"/>
      <c r="AI419" s="241"/>
      <c r="AJ419" s="241"/>
      <c r="AK419" s="241"/>
      <c r="AL419" s="241"/>
      <c r="AM419" s="241"/>
      <c r="AN419" s="241"/>
      <c r="AO419" s="241"/>
      <c r="AP419" s="241"/>
      <c r="AQ419" s="241"/>
      <c r="AR419" s="241"/>
      <c r="AS419" s="241"/>
      <c r="AT419" s="241"/>
      <c r="AU419" s="241"/>
      <c r="AV419" s="241"/>
      <c r="AW419" s="241"/>
      <c r="AX419" s="241"/>
      <c r="AY419" s="241"/>
      <c r="AZ419" s="241"/>
      <c r="BA419" s="241"/>
      <c r="BB419" s="241"/>
      <c r="BC419" s="241"/>
      <c r="BD419" s="241"/>
      <c r="BE419" s="241"/>
      <c r="BF419" s="241"/>
      <c r="BG419" s="241"/>
      <c r="BH419" s="241"/>
      <c r="BI419" s="241"/>
      <c r="BJ419" s="241"/>
      <c r="BK419" s="241"/>
      <c r="BL419" s="241"/>
      <c r="BM419" s="241"/>
    </row>
    <row r="420" spans="1:65" ht="13.5" customHeight="1" x14ac:dyDescent="0.3">
      <c r="A420" s="241"/>
      <c r="B420" s="241"/>
      <c r="C420" s="241"/>
      <c r="D420" s="241"/>
      <c r="E420" s="241"/>
      <c r="F420" s="241"/>
      <c r="G420" s="241"/>
      <c r="H420" s="241"/>
      <c r="I420" s="241"/>
      <c r="J420" s="241"/>
      <c r="K420" s="241"/>
      <c r="L420" s="241"/>
      <c r="M420" s="241"/>
      <c r="N420" s="241"/>
      <c r="O420" s="241"/>
      <c r="P420" s="241"/>
      <c r="Q420" s="241"/>
      <c r="R420" s="241"/>
      <c r="S420" s="241"/>
      <c r="T420" s="241"/>
      <c r="U420" s="241"/>
      <c r="V420" s="241"/>
      <c r="W420" s="241"/>
      <c r="X420" s="241"/>
      <c r="Y420" s="241"/>
      <c r="Z420" s="241"/>
      <c r="AA420" s="241"/>
      <c r="AB420" s="241"/>
      <c r="AC420" s="241"/>
      <c r="AD420" s="241"/>
      <c r="AE420" s="241"/>
      <c r="AF420" s="241"/>
      <c r="AG420" s="241"/>
      <c r="AH420" s="241"/>
      <c r="AI420" s="241"/>
      <c r="AJ420" s="241"/>
      <c r="AK420" s="241"/>
      <c r="AL420" s="241"/>
      <c r="AM420" s="241"/>
      <c r="AN420" s="241"/>
      <c r="AO420" s="241"/>
      <c r="AP420" s="241"/>
      <c r="AQ420" s="241"/>
      <c r="AR420" s="241"/>
      <c r="AS420" s="241"/>
      <c r="AT420" s="241"/>
      <c r="AU420" s="241"/>
      <c r="AV420" s="241"/>
      <c r="AW420" s="241"/>
      <c r="AX420" s="241"/>
      <c r="AY420" s="241"/>
      <c r="AZ420" s="241"/>
      <c r="BA420" s="241"/>
      <c r="BB420" s="241"/>
      <c r="BC420" s="241"/>
      <c r="BD420" s="241"/>
      <c r="BE420" s="241"/>
      <c r="BF420" s="241"/>
      <c r="BG420" s="241"/>
      <c r="BH420" s="241"/>
      <c r="BI420" s="241"/>
      <c r="BJ420" s="241"/>
      <c r="BK420" s="241"/>
      <c r="BL420" s="241"/>
      <c r="BM420" s="241"/>
    </row>
    <row r="421" spans="1:65" ht="13.5" customHeight="1" x14ac:dyDescent="0.3">
      <c r="A421" s="241"/>
      <c r="B421" s="241"/>
      <c r="C421" s="241"/>
      <c r="D421" s="241"/>
      <c r="E421" s="241"/>
      <c r="F421" s="241"/>
      <c r="G421" s="241"/>
      <c r="H421" s="241"/>
      <c r="I421" s="241"/>
      <c r="J421" s="241"/>
      <c r="K421" s="241"/>
      <c r="L421" s="241"/>
      <c r="M421" s="241"/>
      <c r="N421" s="241"/>
      <c r="O421" s="241"/>
      <c r="P421" s="241"/>
      <c r="Q421" s="241"/>
      <c r="R421" s="241"/>
      <c r="S421" s="241"/>
      <c r="T421" s="241"/>
      <c r="U421" s="241"/>
      <c r="V421" s="241"/>
      <c r="W421" s="241"/>
      <c r="X421" s="241"/>
      <c r="Y421" s="241"/>
      <c r="Z421" s="241"/>
      <c r="AA421" s="241"/>
      <c r="AB421" s="241"/>
      <c r="AC421" s="241"/>
      <c r="AD421" s="241"/>
      <c r="AE421" s="241"/>
      <c r="AF421" s="241"/>
      <c r="AG421" s="241"/>
      <c r="AH421" s="241"/>
      <c r="AI421" s="241"/>
      <c r="AJ421" s="241"/>
      <c r="AK421" s="241"/>
      <c r="AL421" s="241"/>
      <c r="AM421" s="241"/>
      <c r="AN421" s="241"/>
      <c r="AO421" s="241"/>
      <c r="AP421" s="241"/>
      <c r="AQ421" s="241"/>
      <c r="AR421" s="241"/>
      <c r="AS421" s="241"/>
      <c r="AT421" s="241"/>
      <c r="AU421" s="241"/>
      <c r="AV421" s="241"/>
      <c r="AW421" s="241"/>
      <c r="AX421" s="241"/>
      <c r="AY421" s="241"/>
      <c r="AZ421" s="241"/>
      <c r="BA421" s="241"/>
      <c r="BB421" s="241"/>
      <c r="BC421" s="241"/>
      <c r="BD421" s="241"/>
      <c r="BE421" s="241"/>
      <c r="BF421" s="241"/>
      <c r="BG421" s="241"/>
      <c r="BH421" s="241"/>
      <c r="BI421" s="241"/>
      <c r="BJ421" s="241"/>
      <c r="BK421" s="241"/>
      <c r="BL421" s="241"/>
      <c r="BM421" s="241"/>
    </row>
    <row r="422" spans="1:65" ht="13.5" customHeight="1" x14ac:dyDescent="0.3">
      <c r="A422" s="241"/>
      <c r="B422" s="241"/>
      <c r="C422" s="241"/>
      <c r="D422" s="241"/>
      <c r="E422" s="241"/>
      <c r="F422" s="241"/>
      <c r="G422" s="241"/>
      <c r="H422" s="241"/>
      <c r="I422" s="241"/>
      <c r="J422" s="241"/>
      <c r="K422" s="241"/>
      <c r="L422" s="241"/>
      <c r="M422" s="241"/>
      <c r="N422" s="241"/>
      <c r="O422" s="241"/>
      <c r="P422" s="241"/>
      <c r="Q422" s="241"/>
      <c r="R422" s="241"/>
      <c r="S422" s="241"/>
      <c r="T422" s="241"/>
      <c r="U422" s="241"/>
      <c r="V422" s="241"/>
      <c r="W422" s="241"/>
      <c r="X422" s="241"/>
      <c r="Y422" s="241"/>
      <c r="Z422" s="241"/>
      <c r="AA422" s="241"/>
      <c r="AB422" s="241"/>
      <c r="AC422" s="241"/>
      <c r="AD422" s="241"/>
      <c r="AE422" s="241"/>
      <c r="AF422" s="241"/>
      <c r="AG422" s="241"/>
      <c r="AH422" s="241"/>
      <c r="AI422" s="241"/>
      <c r="AJ422" s="241"/>
      <c r="AK422" s="241"/>
      <c r="AL422" s="241"/>
      <c r="AM422" s="241"/>
      <c r="AN422" s="241"/>
      <c r="AO422" s="241"/>
      <c r="AP422" s="241"/>
      <c r="AQ422" s="241"/>
      <c r="AR422" s="241"/>
      <c r="AS422" s="241"/>
      <c r="AT422" s="241"/>
      <c r="AU422" s="241"/>
      <c r="AV422" s="241"/>
      <c r="AW422" s="241"/>
      <c r="AX422" s="241"/>
      <c r="AY422" s="241"/>
      <c r="AZ422" s="241"/>
      <c r="BA422" s="241"/>
      <c r="BB422" s="241"/>
      <c r="BC422" s="241"/>
      <c r="BD422" s="241"/>
      <c r="BE422" s="241"/>
      <c r="BF422" s="241"/>
      <c r="BG422" s="241"/>
      <c r="BH422" s="241"/>
      <c r="BI422" s="241"/>
      <c r="BJ422" s="241"/>
      <c r="BK422" s="241"/>
      <c r="BL422" s="241"/>
      <c r="BM422" s="241"/>
    </row>
    <row r="423" spans="1:65" ht="13.5" customHeight="1" x14ac:dyDescent="0.3">
      <c r="A423" s="241"/>
      <c r="B423" s="241"/>
      <c r="C423" s="241"/>
      <c r="D423" s="241"/>
      <c r="E423" s="241"/>
      <c r="F423" s="241"/>
      <c r="G423" s="241"/>
      <c r="H423" s="241"/>
      <c r="I423" s="241"/>
      <c r="J423" s="241"/>
      <c r="K423" s="241"/>
      <c r="L423" s="241"/>
      <c r="M423" s="241"/>
      <c r="N423" s="241"/>
      <c r="O423" s="241"/>
      <c r="P423" s="241"/>
      <c r="Q423" s="241"/>
      <c r="R423" s="241"/>
      <c r="S423" s="241"/>
      <c r="T423" s="241"/>
      <c r="U423" s="241"/>
      <c r="V423" s="241"/>
      <c r="W423" s="241"/>
      <c r="X423" s="241"/>
      <c r="Y423" s="241"/>
      <c r="Z423" s="241"/>
      <c r="AA423" s="241"/>
      <c r="AB423" s="241"/>
      <c r="AC423" s="241"/>
      <c r="AD423" s="241"/>
      <c r="AE423" s="241"/>
      <c r="AF423" s="241"/>
      <c r="AG423" s="241"/>
      <c r="AH423" s="241"/>
      <c r="AI423" s="241"/>
      <c r="AJ423" s="241"/>
      <c r="AK423" s="241"/>
      <c r="AL423" s="241"/>
      <c r="AM423" s="241"/>
      <c r="AN423" s="241"/>
      <c r="AO423" s="241"/>
      <c r="AP423" s="241"/>
      <c r="AQ423" s="241"/>
      <c r="AR423" s="241"/>
      <c r="AS423" s="241"/>
      <c r="AT423" s="241"/>
      <c r="AU423" s="241"/>
      <c r="AV423" s="241"/>
      <c r="AW423" s="241"/>
      <c r="AX423" s="241"/>
      <c r="AY423" s="241"/>
      <c r="AZ423" s="241"/>
      <c r="BA423" s="241"/>
      <c r="BB423" s="241"/>
      <c r="BC423" s="241"/>
      <c r="BD423" s="241"/>
      <c r="BE423" s="241"/>
      <c r="BF423" s="241"/>
      <c r="BG423" s="241"/>
      <c r="BH423" s="241"/>
      <c r="BI423" s="241"/>
      <c r="BJ423" s="241"/>
      <c r="BK423" s="241"/>
      <c r="BL423" s="241"/>
      <c r="BM423" s="241"/>
    </row>
    <row r="424" spans="1:65" ht="13.5" customHeight="1" x14ac:dyDescent="0.3">
      <c r="A424" s="241"/>
      <c r="B424" s="241"/>
      <c r="C424" s="241"/>
      <c r="D424" s="241"/>
      <c r="E424" s="241"/>
      <c r="F424" s="241"/>
      <c r="G424" s="241"/>
      <c r="H424" s="241"/>
      <c r="I424" s="241"/>
      <c r="J424" s="241"/>
      <c r="K424" s="241"/>
      <c r="L424" s="241"/>
      <c r="M424" s="241"/>
      <c r="N424" s="241"/>
      <c r="O424" s="241"/>
      <c r="P424" s="241"/>
      <c r="Q424" s="241"/>
      <c r="R424" s="241"/>
      <c r="S424" s="241"/>
      <c r="T424" s="241"/>
      <c r="U424" s="241"/>
      <c r="V424" s="241"/>
      <c r="W424" s="241"/>
      <c r="X424" s="241"/>
      <c r="Y424" s="241"/>
      <c r="Z424" s="241"/>
      <c r="AA424" s="241"/>
      <c r="AB424" s="241"/>
      <c r="AC424" s="241"/>
      <c r="AD424" s="241"/>
      <c r="AE424" s="241"/>
      <c r="AF424" s="241"/>
      <c r="AG424" s="241"/>
      <c r="AH424" s="241"/>
      <c r="AI424" s="241"/>
      <c r="AJ424" s="241"/>
      <c r="AK424" s="241"/>
      <c r="AL424" s="241"/>
      <c r="AM424" s="241"/>
      <c r="AN424" s="241"/>
      <c r="AO424" s="241"/>
      <c r="AP424" s="241"/>
      <c r="AQ424" s="241"/>
      <c r="AR424" s="241"/>
      <c r="AS424" s="241"/>
      <c r="AT424" s="241"/>
      <c r="AU424" s="241"/>
      <c r="AV424" s="241"/>
      <c r="AW424" s="241"/>
      <c r="AX424" s="241"/>
      <c r="AY424" s="241"/>
      <c r="AZ424" s="241"/>
      <c r="BA424" s="241"/>
      <c r="BB424" s="241"/>
      <c r="BC424" s="241"/>
      <c r="BD424" s="241"/>
      <c r="BE424" s="241"/>
      <c r="BF424" s="241"/>
      <c r="BG424" s="241"/>
      <c r="BH424" s="241"/>
      <c r="BI424" s="241"/>
      <c r="BJ424" s="241"/>
      <c r="BK424" s="241"/>
      <c r="BL424" s="241"/>
      <c r="BM424" s="241"/>
    </row>
    <row r="425" spans="1:65" ht="13.5" customHeight="1" x14ac:dyDescent="0.3">
      <c r="A425" s="241"/>
      <c r="B425" s="241"/>
      <c r="C425" s="241"/>
      <c r="D425" s="241"/>
      <c r="E425" s="241"/>
      <c r="F425" s="241"/>
      <c r="G425" s="241"/>
      <c r="H425" s="241"/>
      <c r="I425" s="241"/>
      <c r="J425" s="241"/>
      <c r="K425" s="241"/>
      <c r="L425" s="241"/>
      <c r="M425" s="241"/>
      <c r="N425" s="241"/>
      <c r="O425" s="241"/>
      <c r="P425" s="241"/>
      <c r="Q425" s="241"/>
      <c r="R425" s="241"/>
      <c r="S425" s="241"/>
      <c r="T425" s="241"/>
      <c r="U425" s="241"/>
      <c r="V425" s="241"/>
      <c r="W425" s="241"/>
      <c r="X425" s="241"/>
      <c r="Y425" s="241"/>
      <c r="Z425" s="241"/>
      <c r="AA425" s="241"/>
      <c r="AB425" s="241"/>
      <c r="AC425" s="241"/>
      <c r="AD425" s="241"/>
      <c r="AE425" s="241"/>
      <c r="AF425" s="241"/>
      <c r="AG425" s="241"/>
      <c r="AH425" s="241"/>
      <c r="AI425" s="241"/>
      <c r="AJ425" s="241"/>
      <c r="AK425" s="241"/>
      <c r="AL425" s="241"/>
      <c r="AM425" s="241"/>
      <c r="AN425" s="241"/>
      <c r="AO425" s="241"/>
      <c r="AP425" s="241"/>
      <c r="AQ425" s="241"/>
      <c r="AR425" s="241"/>
      <c r="AS425" s="241"/>
      <c r="AT425" s="241"/>
      <c r="AU425" s="241"/>
      <c r="AV425" s="241"/>
      <c r="AW425" s="241"/>
      <c r="AX425" s="241"/>
      <c r="AY425" s="241"/>
      <c r="AZ425" s="241"/>
      <c r="BA425" s="241"/>
      <c r="BB425" s="241"/>
      <c r="BC425" s="241"/>
      <c r="BD425" s="241"/>
      <c r="BE425" s="241"/>
      <c r="BF425" s="241"/>
      <c r="BG425" s="241"/>
      <c r="BH425" s="241"/>
      <c r="BI425" s="241"/>
      <c r="BJ425" s="241"/>
      <c r="BK425" s="241"/>
      <c r="BL425" s="241"/>
      <c r="BM425" s="241"/>
    </row>
    <row r="426" spans="1:65" ht="13.5" customHeight="1" x14ac:dyDescent="0.3">
      <c r="A426" s="241"/>
      <c r="B426" s="241"/>
      <c r="C426" s="241"/>
      <c r="D426" s="241"/>
      <c r="E426" s="241"/>
      <c r="F426" s="241"/>
      <c r="G426" s="241"/>
      <c r="H426" s="241"/>
      <c r="I426" s="241"/>
      <c r="J426" s="241"/>
      <c r="K426" s="241"/>
      <c r="L426" s="241"/>
      <c r="M426" s="241"/>
      <c r="N426" s="241"/>
      <c r="O426" s="241"/>
      <c r="P426" s="241"/>
      <c r="Q426" s="241"/>
      <c r="R426" s="241"/>
      <c r="S426" s="241"/>
      <c r="T426" s="241"/>
      <c r="U426" s="241"/>
      <c r="V426" s="241"/>
      <c r="W426" s="241"/>
      <c r="X426" s="241"/>
      <c r="Y426" s="241"/>
      <c r="Z426" s="241"/>
      <c r="AA426" s="241"/>
      <c r="AB426" s="241"/>
      <c r="AC426" s="241"/>
      <c r="AD426" s="241"/>
      <c r="AE426" s="241"/>
      <c r="AF426" s="241"/>
      <c r="AG426" s="241"/>
      <c r="AH426" s="241"/>
      <c r="AI426" s="241"/>
      <c r="AJ426" s="241"/>
      <c r="AK426" s="241"/>
      <c r="AL426" s="241"/>
      <c r="AM426" s="241"/>
      <c r="AN426" s="241"/>
      <c r="AO426" s="241"/>
      <c r="AP426" s="241"/>
      <c r="AQ426" s="241"/>
      <c r="AR426" s="241"/>
      <c r="AS426" s="241"/>
      <c r="AT426" s="241"/>
      <c r="AU426" s="241"/>
      <c r="AV426" s="241"/>
      <c r="AW426" s="241"/>
      <c r="AX426" s="241"/>
      <c r="AY426" s="241"/>
      <c r="AZ426" s="241"/>
      <c r="BA426" s="241"/>
      <c r="BB426" s="241"/>
      <c r="BC426" s="241"/>
      <c r="BD426" s="241"/>
      <c r="BE426" s="241"/>
      <c r="BF426" s="241"/>
      <c r="BG426" s="241"/>
      <c r="BH426" s="241"/>
      <c r="BI426" s="241"/>
      <c r="BJ426" s="241"/>
      <c r="BK426" s="241"/>
      <c r="BL426" s="241"/>
      <c r="BM426" s="241"/>
    </row>
    <row r="427" spans="1:65" ht="13.5" customHeight="1" x14ac:dyDescent="0.3">
      <c r="A427" s="241"/>
      <c r="B427" s="241"/>
      <c r="C427" s="241"/>
      <c r="D427" s="241"/>
      <c r="E427" s="241"/>
      <c r="F427" s="241"/>
      <c r="G427" s="241"/>
      <c r="H427" s="241"/>
      <c r="I427" s="241"/>
      <c r="J427" s="241"/>
      <c r="K427" s="241"/>
      <c r="L427" s="241"/>
      <c r="M427" s="241"/>
      <c r="N427" s="241"/>
      <c r="O427" s="241"/>
      <c r="P427" s="241"/>
      <c r="Q427" s="241"/>
      <c r="R427" s="241"/>
      <c r="S427" s="241"/>
      <c r="T427" s="241"/>
      <c r="U427" s="241"/>
      <c r="V427" s="241"/>
      <c r="W427" s="241"/>
      <c r="X427" s="241"/>
      <c r="Y427" s="241"/>
      <c r="Z427" s="241"/>
      <c r="AA427" s="241"/>
      <c r="AB427" s="241"/>
      <c r="AC427" s="241"/>
      <c r="AD427" s="241"/>
      <c r="AE427" s="241"/>
      <c r="AF427" s="241"/>
      <c r="AG427" s="241"/>
      <c r="AH427" s="241"/>
      <c r="AI427" s="241"/>
      <c r="AJ427" s="241"/>
      <c r="AK427" s="241"/>
      <c r="AL427" s="241"/>
      <c r="AM427" s="241"/>
      <c r="AN427" s="241"/>
      <c r="AO427" s="241"/>
      <c r="AP427" s="241"/>
      <c r="AQ427" s="241"/>
      <c r="AR427" s="241"/>
      <c r="AS427" s="241"/>
      <c r="AT427" s="241"/>
      <c r="AU427" s="241"/>
      <c r="AV427" s="241"/>
      <c r="AW427" s="241"/>
      <c r="AX427" s="241"/>
      <c r="AY427" s="241"/>
      <c r="AZ427" s="241"/>
      <c r="BA427" s="241"/>
      <c r="BB427" s="241"/>
      <c r="BC427" s="241"/>
      <c r="BD427" s="241"/>
      <c r="BE427" s="241"/>
      <c r="BF427" s="241"/>
      <c r="BG427" s="241"/>
      <c r="BH427" s="241"/>
      <c r="BI427" s="241"/>
      <c r="BJ427" s="241"/>
      <c r="BK427" s="241"/>
      <c r="BL427" s="241"/>
      <c r="BM427" s="241"/>
    </row>
    <row r="428" spans="1:65" ht="13.5" customHeight="1" x14ac:dyDescent="0.3">
      <c r="A428" s="241"/>
      <c r="B428" s="241"/>
      <c r="C428" s="241"/>
      <c r="D428" s="241"/>
      <c r="E428" s="241"/>
      <c r="F428" s="241"/>
      <c r="G428" s="241"/>
      <c r="H428" s="241"/>
      <c r="I428" s="241"/>
      <c r="J428" s="241"/>
      <c r="K428" s="241"/>
      <c r="L428" s="241"/>
      <c r="M428" s="241"/>
      <c r="N428" s="241"/>
      <c r="O428" s="241"/>
      <c r="P428" s="241"/>
      <c r="Q428" s="241"/>
      <c r="R428" s="241"/>
      <c r="S428" s="241"/>
      <c r="T428" s="241"/>
      <c r="U428" s="241"/>
      <c r="V428" s="241"/>
      <c r="W428" s="241"/>
      <c r="X428" s="241"/>
      <c r="Y428" s="241"/>
      <c r="Z428" s="241"/>
      <c r="AA428" s="241"/>
      <c r="AB428" s="241"/>
      <c r="AC428" s="241"/>
      <c r="AD428" s="241"/>
      <c r="AE428" s="241"/>
      <c r="AF428" s="241"/>
      <c r="AG428" s="241"/>
      <c r="AH428" s="241"/>
      <c r="AI428" s="241"/>
      <c r="AJ428" s="241"/>
      <c r="AK428" s="241"/>
      <c r="AL428" s="241"/>
      <c r="AM428" s="241"/>
      <c r="AN428" s="241"/>
      <c r="AO428" s="241"/>
      <c r="AP428" s="241"/>
      <c r="AQ428" s="241"/>
      <c r="AR428" s="241"/>
      <c r="AS428" s="241"/>
      <c r="AT428" s="241"/>
      <c r="AU428" s="241"/>
      <c r="AV428" s="241"/>
      <c r="AW428" s="241"/>
      <c r="AX428" s="241"/>
      <c r="AY428" s="241"/>
      <c r="AZ428" s="241"/>
      <c r="BA428" s="241"/>
      <c r="BB428" s="241"/>
      <c r="BC428" s="241"/>
      <c r="BD428" s="241"/>
      <c r="BE428" s="241"/>
      <c r="BF428" s="241"/>
      <c r="BG428" s="241"/>
      <c r="BH428" s="241"/>
      <c r="BI428" s="241"/>
      <c r="BJ428" s="241"/>
      <c r="BK428" s="241"/>
      <c r="BL428" s="241"/>
      <c r="BM428" s="241"/>
    </row>
    <row r="429" spans="1:65" ht="13.5" customHeight="1" x14ac:dyDescent="0.3">
      <c r="A429" s="241"/>
      <c r="B429" s="241"/>
      <c r="C429" s="241"/>
      <c r="D429" s="241"/>
      <c r="E429" s="241"/>
      <c r="F429" s="241"/>
      <c r="G429" s="241"/>
      <c r="H429" s="241"/>
      <c r="I429" s="241"/>
      <c r="J429" s="241"/>
      <c r="K429" s="241"/>
      <c r="L429" s="241"/>
      <c r="M429" s="241"/>
      <c r="N429" s="241"/>
      <c r="O429" s="241"/>
      <c r="P429" s="241"/>
      <c r="Q429" s="241"/>
      <c r="R429" s="241"/>
      <c r="S429" s="241"/>
      <c r="T429" s="241"/>
      <c r="U429" s="241"/>
      <c r="V429" s="241"/>
      <c r="W429" s="241"/>
      <c r="X429" s="241"/>
      <c r="Y429" s="241"/>
      <c r="Z429" s="241"/>
      <c r="AA429" s="241"/>
      <c r="AB429" s="241"/>
      <c r="AC429" s="241"/>
      <c r="AD429" s="241"/>
      <c r="AE429" s="241"/>
      <c r="AF429" s="241"/>
      <c r="AG429" s="241"/>
      <c r="AH429" s="241"/>
      <c r="AI429" s="241"/>
      <c r="AJ429" s="241"/>
      <c r="AK429" s="241"/>
      <c r="AL429" s="241"/>
      <c r="AM429" s="241"/>
      <c r="AN429" s="241"/>
      <c r="AO429" s="241"/>
      <c r="AP429" s="241"/>
      <c r="AQ429" s="241"/>
      <c r="AR429" s="241"/>
      <c r="AS429" s="241"/>
      <c r="AT429" s="241"/>
      <c r="AU429" s="241"/>
      <c r="AV429" s="241"/>
      <c r="AW429" s="241"/>
      <c r="AX429" s="241"/>
      <c r="AY429" s="241"/>
      <c r="AZ429" s="241"/>
      <c r="BA429" s="241"/>
      <c r="BB429" s="241"/>
      <c r="BC429" s="241"/>
      <c r="BD429" s="241"/>
      <c r="BE429" s="241"/>
      <c r="BF429" s="241"/>
      <c r="BG429" s="241"/>
      <c r="BH429" s="241"/>
      <c r="BI429" s="241"/>
      <c r="BJ429" s="241"/>
      <c r="BK429" s="241"/>
      <c r="BL429" s="241"/>
      <c r="BM429" s="241"/>
    </row>
    <row r="430" spans="1:65" ht="13.5" customHeight="1" x14ac:dyDescent="0.3">
      <c r="A430" s="241"/>
      <c r="B430" s="241"/>
      <c r="C430" s="241"/>
      <c r="D430" s="241"/>
      <c r="E430" s="241"/>
      <c r="F430" s="241"/>
      <c r="G430" s="241"/>
      <c r="H430" s="241"/>
      <c r="I430" s="241"/>
      <c r="J430" s="241"/>
      <c r="K430" s="241"/>
      <c r="L430" s="241"/>
      <c r="M430" s="241"/>
      <c r="N430" s="241"/>
      <c r="O430" s="241"/>
      <c r="P430" s="241"/>
      <c r="Q430" s="241"/>
      <c r="R430" s="241"/>
      <c r="S430" s="241"/>
      <c r="T430" s="241"/>
      <c r="U430" s="241"/>
      <c r="V430" s="241"/>
      <c r="W430" s="241"/>
      <c r="X430" s="241"/>
      <c r="Y430" s="241"/>
      <c r="Z430" s="241"/>
      <c r="AA430" s="241"/>
      <c r="AB430" s="241"/>
      <c r="AC430" s="241"/>
      <c r="AD430" s="241"/>
      <c r="AE430" s="241"/>
      <c r="AF430" s="241"/>
      <c r="AG430" s="241"/>
      <c r="AH430" s="241"/>
      <c r="AI430" s="241"/>
      <c r="AJ430" s="241"/>
      <c r="AK430" s="241"/>
      <c r="AL430" s="241"/>
      <c r="AM430" s="241"/>
      <c r="AN430" s="241"/>
      <c r="AO430" s="241"/>
      <c r="AP430" s="241"/>
      <c r="AQ430" s="241"/>
      <c r="AR430" s="241"/>
      <c r="AS430" s="241"/>
      <c r="AT430" s="241"/>
      <c r="AU430" s="241"/>
      <c r="AV430" s="241"/>
      <c r="AW430" s="241"/>
      <c r="AX430" s="241"/>
      <c r="AY430" s="241"/>
      <c r="AZ430" s="241"/>
      <c r="BA430" s="241"/>
      <c r="BB430" s="241"/>
      <c r="BC430" s="241"/>
      <c r="BD430" s="241"/>
      <c r="BE430" s="241"/>
      <c r="BF430" s="241"/>
      <c r="BG430" s="241"/>
      <c r="BH430" s="241"/>
      <c r="BI430" s="241"/>
      <c r="BJ430" s="241"/>
      <c r="BK430" s="241"/>
      <c r="BL430" s="241"/>
      <c r="BM430" s="241"/>
    </row>
    <row r="431" spans="1:65" ht="13.5" customHeight="1" x14ac:dyDescent="0.3">
      <c r="A431" s="241"/>
      <c r="B431" s="241"/>
      <c r="C431" s="241"/>
      <c r="D431" s="241"/>
      <c r="E431" s="241"/>
      <c r="F431" s="241"/>
      <c r="G431" s="241"/>
      <c r="H431" s="241"/>
      <c r="I431" s="241"/>
      <c r="J431" s="241"/>
      <c r="K431" s="241"/>
      <c r="L431" s="241"/>
      <c r="M431" s="241"/>
      <c r="N431" s="241"/>
      <c r="O431" s="241"/>
      <c r="P431" s="241"/>
      <c r="Q431" s="241"/>
      <c r="R431" s="241"/>
      <c r="S431" s="241"/>
      <c r="T431" s="241"/>
      <c r="U431" s="241"/>
      <c r="V431" s="241"/>
      <c r="W431" s="241"/>
      <c r="X431" s="241"/>
      <c r="Y431" s="241"/>
      <c r="Z431" s="241"/>
      <c r="AA431" s="241"/>
      <c r="AB431" s="241"/>
      <c r="AC431" s="241"/>
      <c r="AD431" s="241"/>
      <c r="AE431" s="241"/>
      <c r="AF431" s="241"/>
      <c r="AG431" s="241"/>
      <c r="AH431" s="241"/>
      <c r="AI431" s="241"/>
      <c r="AJ431" s="241"/>
      <c r="AK431" s="241"/>
      <c r="AL431" s="241"/>
      <c r="AM431" s="241"/>
      <c r="AN431" s="241"/>
      <c r="AO431" s="241"/>
      <c r="AP431" s="241"/>
      <c r="AQ431" s="241"/>
      <c r="AR431" s="241"/>
      <c r="AS431" s="241"/>
      <c r="AT431" s="241"/>
      <c r="AU431" s="241"/>
      <c r="AV431" s="241"/>
      <c r="AW431" s="241"/>
      <c r="AX431" s="241"/>
      <c r="AY431" s="241"/>
      <c r="AZ431" s="241"/>
      <c r="BA431" s="241"/>
      <c r="BB431" s="241"/>
      <c r="BC431" s="241"/>
      <c r="BD431" s="241"/>
      <c r="BE431" s="241"/>
      <c r="BF431" s="241"/>
      <c r="BG431" s="241"/>
      <c r="BH431" s="241"/>
      <c r="BI431" s="241"/>
      <c r="BJ431" s="241"/>
      <c r="BK431" s="241"/>
      <c r="BL431" s="241"/>
      <c r="BM431" s="241"/>
    </row>
    <row r="432" spans="1:65" ht="13.5" customHeight="1" x14ac:dyDescent="0.3">
      <c r="A432" s="241"/>
      <c r="B432" s="241"/>
      <c r="C432" s="241"/>
      <c r="D432" s="241"/>
      <c r="E432" s="241"/>
      <c r="F432" s="241"/>
      <c r="G432" s="241"/>
      <c r="H432" s="241"/>
      <c r="I432" s="241"/>
      <c r="J432" s="241"/>
      <c r="K432" s="241"/>
      <c r="L432" s="241"/>
      <c r="M432" s="241"/>
      <c r="N432" s="241"/>
      <c r="O432" s="241"/>
      <c r="P432" s="241"/>
      <c r="Q432" s="241"/>
      <c r="R432" s="241"/>
      <c r="S432" s="241"/>
      <c r="T432" s="241"/>
      <c r="U432" s="241"/>
      <c r="V432" s="241"/>
      <c r="W432" s="241"/>
      <c r="X432" s="241"/>
      <c r="Y432" s="241"/>
      <c r="Z432" s="241"/>
      <c r="AA432" s="241"/>
      <c r="AB432" s="241"/>
      <c r="AC432" s="241"/>
      <c r="AD432" s="241"/>
      <c r="AE432" s="241"/>
      <c r="AF432" s="241"/>
      <c r="AG432" s="241"/>
      <c r="AH432" s="241"/>
      <c r="AI432" s="241"/>
      <c r="AJ432" s="241"/>
      <c r="AK432" s="241"/>
      <c r="AL432" s="241"/>
      <c r="AM432" s="241"/>
      <c r="AN432" s="241"/>
      <c r="AO432" s="241"/>
      <c r="AP432" s="241"/>
      <c r="AQ432" s="241"/>
      <c r="AR432" s="241"/>
      <c r="AS432" s="241"/>
      <c r="AT432" s="241"/>
      <c r="AU432" s="241"/>
      <c r="AV432" s="241"/>
      <c r="AW432" s="241"/>
      <c r="AX432" s="241"/>
      <c r="AY432" s="241"/>
      <c r="AZ432" s="241"/>
      <c r="BA432" s="241"/>
      <c r="BB432" s="241"/>
      <c r="BC432" s="241"/>
      <c r="BD432" s="241"/>
      <c r="BE432" s="241"/>
      <c r="BF432" s="241"/>
      <c r="BG432" s="241"/>
      <c r="BH432" s="241"/>
      <c r="BI432" s="241"/>
      <c r="BJ432" s="241"/>
      <c r="BK432" s="241"/>
      <c r="BL432" s="241"/>
      <c r="BM432" s="241"/>
    </row>
    <row r="433" spans="1:65" ht="13.5" customHeight="1" x14ac:dyDescent="0.3">
      <c r="A433" s="241"/>
      <c r="B433" s="241"/>
      <c r="C433" s="241"/>
      <c r="D433" s="241"/>
      <c r="E433" s="241"/>
      <c r="F433" s="241"/>
      <c r="G433" s="241"/>
      <c r="H433" s="241"/>
      <c r="I433" s="241"/>
      <c r="J433" s="241"/>
      <c r="K433" s="241"/>
      <c r="L433" s="241"/>
      <c r="M433" s="241"/>
      <c r="N433" s="241"/>
      <c r="O433" s="241"/>
      <c r="P433" s="241"/>
      <c r="Q433" s="241"/>
      <c r="R433" s="241"/>
      <c r="S433" s="241"/>
      <c r="T433" s="241"/>
      <c r="U433" s="241"/>
      <c r="V433" s="241"/>
      <c r="W433" s="241"/>
      <c r="X433" s="241"/>
      <c r="Y433" s="241"/>
      <c r="Z433" s="241"/>
      <c r="AA433" s="241"/>
      <c r="AB433" s="241"/>
      <c r="AC433" s="241"/>
      <c r="AD433" s="241"/>
      <c r="AE433" s="241"/>
      <c r="AF433" s="241"/>
      <c r="AG433" s="241"/>
      <c r="AH433" s="241"/>
      <c r="AI433" s="241"/>
      <c r="AJ433" s="241"/>
      <c r="AK433" s="241"/>
      <c r="AL433" s="241"/>
      <c r="AM433" s="241"/>
      <c r="AN433" s="241"/>
      <c r="AO433" s="241"/>
      <c r="AP433" s="241"/>
      <c r="AQ433" s="241"/>
      <c r="AR433" s="241"/>
      <c r="AS433" s="241"/>
      <c r="AT433" s="241"/>
      <c r="AU433" s="241"/>
      <c r="AV433" s="241"/>
      <c r="AW433" s="241"/>
      <c r="AX433" s="241"/>
      <c r="AY433" s="241"/>
      <c r="AZ433" s="241"/>
      <c r="BA433" s="241"/>
      <c r="BB433" s="241"/>
      <c r="BC433" s="241"/>
      <c r="BD433" s="241"/>
      <c r="BE433" s="241"/>
      <c r="BF433" s="241"/>
      <c r="BG433" s="241"/>
      <c r="BH433" s="241"/>
      <c r="BI433" s="241"/>
      <c r="BJ433" s="241"/>
      <c r="BK433" s="241"/>
      <c r="BL433" s="241"/>
      <c r="BM433" s="241"/>
    </row>
    <row r="434" spans="1:65" ht="13.5" customHeight="1" x14ac:dyDescent="0.3">
      <c r="A434" s="241"/>
      <c r="B434" s="241"/>
      <c r="C434" s="241"/>
      <c r="D434" s="241"/>
      <c r="E434" s="241"/>
      <c r="F434" s="241"/>
      <c r="G434" s="241"/>
      <c r="H434" s="241"/>
      <c r="I434" s="241"/>
      <c r="J434" s="241"/>
      <c r="K434" s="241"/>
      <c r="L434" s="241"/>
      <c r="M434" s="241"/>
      <c r="N434" s="241"/>
      <c r="O434" s="241"/>
      <c r="P434" s="241"/>
      <c r="Q434" s="241"/>
      <c r="R434" s="241"/>
      <c r="S434" s="241"/>
      <c r="T434" s="241"/>
      <c r="U434" s="241"/>
      <c r="V434" s="241"/>
      <c r="W434" s="241"/>
      <c r="X434" s="241"/>
      <c r="Y434" s="241"/>
      <c r="Z434" s="241"/>
      <c r="AA434" s="241"/>
      <c r="AB434" s="241"/>
      <c r="AC434" s="241"/>
      <c r="AD434" s="241"/>
      <c r="AE434" s="241"/>
      <c r="AF434" s="241"/>
      <c r="AG434" s="241"/>
      <c r="AH434" s="241"/>
      <c r="AI434" s="241"/>
      <c r="AJ434" s="241"/>
      <c r="AK434" s="241"/>
      <c r="AL434" s="241"/>
      <c r="AM434" s="241"/>
      <c r="AN434" s="241"/>
      <c r="AO434" s="241"/>
      <c r="AP434" s="241"/>
      <c r="AQ434" s="241"/>
      <c r="AR434" s="241"/>
      <c r="AS434" s="241"/>
      <c r="AT434" s="241"/>
      <c r="AU434" s="241"/>
      <c r="AV434" s="241"/>
      <c r="AW434" s="241"/>
      <c r="AX434" s="241"/>
      <c r="AY434" s="241"/>
      <c r="AZ434" s="241"/>
      <c r="BA434" s="241"/>
      <c r="BB434" s="241"/>
      <c r="BC434" s="241"/>
      <c r="BD434" s="241"/>
      <c r="BE434" s="241"/>
      <c r="BF434" s="241"/>
      <c r="BG434" s="241"/>
      <c r="BH434" s="241"/>
      <c r="BI434" s="241"/>
      <c r="BJ434" s="241"/>
      <c r="BK434" s="241"/>
      <c r="BL434" s="241"/>
      <c r="BM434" s="241"/>
    </row>
    <row r="435" spans="1:65" ht="13.5" customHeight="1" x14ac:dyDescent="0.3">
      <c r="A435" s="241"/>
      <c r="B435" s="241"/>
      <c r="C435" s="241"/>
      <c r="D435" s="241"/>
      <c r="E435" s="241"/>
      <c r="F435" s="241"/>
      <c r="G435" s="241"/>
      <c r="H435" s="241"/>
      <c r="I435" s="241"/>
      <c r="J435" s="241"/>
      <c r="K435" s="241"/>
      <c r="L435" s="241"/>
      <c r="M435" s="241"/>
      <c r="N435" s="241"/>
      <c r="O435" s="241"/>
      <c r="P435" s="241"/>
      <c r="Q435" s="241"/>
      <c r="R435" s="241"/>
      <c r="S435" s="241"/>
      <c r="T435" s="241"/>
      <c r="U435" s="241"/>
      <c r="V435" s="241"/>
      <c r="W435" s="241"/>
      <c r="X435" s="241"/>
      <c r="Y435" s="241"/>
      <c r="Z435" s="241"/>
      <c r="AA435" s="241"/>
      <c r="AB435" s="241"/>
      <c r="AC435" s="241"/>
      <c r="AD435" s="241"/>
      <c r="AE435" s="241"/>
      <c r="AF435" s="241"/>
      <c r="AG435" s="241"/>
      <c r="AH435" s="241"/>
      <c r="AI435" s="241"/>
      <c r="AJ435" s="241"/>
      <c r="AK435" s="241"/>
      <c r="AL435" s="241"/>
      <c r="AM435" s="241"/>
      <c r="AN435" s="241"/>
      <c r="AO435" s="241"/>
      <c r="AP435" s="241"/>
      <c r="AQ435" s="241"/>
      <c r="AR435" s="241"/>
      <c r="AS435" s="241"/>
      <c r="AT435" s="241"/>
      <c r="AU435" s="241"/>
      <c r="AV435" s="241"/>
      <c r="AW435" s="241"/>
      <c r="AX435" s="241"/>
      <c r="AY435" s="241"/>
      <c r="AZ435" s="241"/>
      <c r="BA435" s="241"/>
      <c r="BB435" s="241"/>
      <c r="BC435" s="241"/>
      <c r="BD435" s="241"/>
      <c r="BE435" s="241"/>
      <c r="BF435" s="241"/>
      <c r="BG435" s="241"/>
      <c r="BH435" s="241"/>
      <c r="BI435" s="241"/>
      <c r="BJ435" s="241"/>
      <c r="BK435" s="241"/>
      <c r="BL435" s="241"/>
      <c r="BM435" s="241"/>
    </row>
    <row r="436" spans="1:65" ht="13.5" customHeight="1" x14ac:dyDescent="0.3">
      <c r="A436" s="241"/>
      <c r="B436" s="241"/>
      <c r="C436" s="241"/>
      <c r="D436" s="241"/>
      <c r="E436" s="241"/>
      <c r="F436" s="241"/>
      <c r="G436" s="241"/>
      <c r="H436" s="241"/>
      <c r="I436" s="241"/>
      <c r="J436" s="241"/>
      <c r="K436" s="241"/>
      <c r="L436" s="241"/>
      <c r="M436" s="241"/>
      <c r="N436" s="241"/>
      <c r="O436" s="241"/>
      <c r="P436" s="241"/>
      <c r="Q436" s="241"/>
      <c r="R436" s="241"/>
      <c r="S436" s="241"/>
      <c r="T436" s="241"/>
      <c r="U436" s="241"/>
      <c r="V436" s="241"/>
      <c r="W436" s="241"/>
      <c r="X436" s="241"/>
      <c r="Y436" s="241"/>
      <c r="Z436" s="241"/>
      <c r="AA436" s="241"/>
      <c r="AB436" s="241"/>
      <c r="AC436" s="241"/>
      <c r="AD436" s="241"/>
      <c r="AE436" s="241"/>
      <c r="AF436" s="241"/>
      <c r="AG436" s="241"/>
      <c r="AH436" s="241"/>
      <c r="AI436" s="241"/>
      <c r="AJ436" s="241"/>
      <c r="AK436" s="241"/>
      <c r="AL436" s="241"/>
      <c r="AM436" s="241"/>
      <c r="AN436" s="241"/>
      <c r="AO436" s="241"/>
      <c r="AP436" s="241"/>
      <c r="AQ436" s="241"/>
      <c r="AR436" s="241"/>
      <c r="AS436" s="241"/>
      <c r="AT436" s="241"/>
      <c r="AU436" s="241"/>
      <c r="AV436" s="241"/>
      <c r="AW436" s="241"/>
      <c r="AX436" s="241"/>
      <c r="AY436" s="241"/>
      <c r="AZ436" s="241"/>
      <c r="BA436" s="241"/>
      <c r="BB436" s="241"/>
      <c r="BC436" s="241"/>
      <c r="BD436" s="241"/>
      <c r="BE436" s="241"/>
      <c r="BF436" s="241"/>
      <c r="BG436" s="241"/>
      <c r="BH436" s="241"/>
      <c r="BI436" s="241"/>
      <c r="BJ436" s="241"/>
      <c r="BK436" s="241"/>
      <c r="BL436" s="241"/>
      <c r="BM436" s="241"/>
    </row>
    <row r="437" spans="1:65" ht="13.5" customHeight="1" x14ac:dyDescent="0.3">
      <c r="A437" s="241"/>
      <c r="B437" s="241"/>
      <c r="C437" s="241"/>
      <c r="D437" s="241"/>
      <c r="E437" s="241"/>
      <c r="F437" s="241"/>
      <c r="G437" s="241"/>
      <c r="H437" s="241"/>
      <c r="I437" s="241"/>
      <c r="J437" s="241"/>
      <c r="K437" s="241"/>
      <c r="L437" s="241"/>
      <c r="M437" s="241"/>
      <c r="N437" s="241"/>
      <c r="O437" s="241"/>
      <c r="P437" s="241"/>
      <c r="Q437" s="241"/>
      <c r="R437" s="241"/>
      <c r="S437" s="241"/>
      <c r="T437" s="241"/>
      <c r="U437" s="241"/>
      <c r="V437" s="241"/>
      <c r="W437" s="241"/>
      <c r="X437" s="241"/>
      <c r="Y437" s="241"/>
      <c r="Z437" s="241"/>
      <c r="AA437" s="241"/>
      <c r="AB437" s="241"/>
      <c r="AC437" s="241"/>
      <c r="AD437" s="241"/>
      <c r="AE437" s="241"/>
      <c r="AF437" s="241"/>
      <c r="AG437" s="241"/>
      <c r="AH437" s="241"/>
      <c r="AI437" s="241"/>
      <c r="AJ437" s="241"/>
      <c r="AK437" s="241"/>
      <c r="AL437" s="241"/>
      <c r="AM437" s="241"/>
      <c r="AN437" s="241"/>
      <c r="AO437" s="241"/>
      <c r="AP437" s="241"/>
      <c r="AQ437" s="241"/>
      <c r="AR437" s="241"/>
      <c r="AS437" s="241"/>
      <c r="AT437" s="241"/>
      <c r="AU437" s="241"/>
      <c r="AV437" s="241"/>
      <c r="AW437" s="241"/>
      <c r="AX437" s="241"/>
      <c r="AY437" s="241"/>
      <c r="AZ437" s="241"/>
      <c r="BA437" s="241"/>
      <c r="BB437" s="241"/>
      <c r="BC437" s="241"/>
      <c r="BD437" s="241"/>
      <c r="BE437" s="241"/>
      <c r="BF437" s="241"/>
      <c r="BG437" s="241"/>
      <c r="BH437" s="241"/>
      <c r="BI437" s="241"/>
      <c r="BJ437" s="241"/>
      <c r="BK437" s="241"/>
      <c r="BL437" s="241"/>
      <c r="BM437" s="241"/>
    </row>
    <row r="438" spans="1:65" ht="13.5" customHeight="1" x14ac:dyDescent="0.3">
      <c r="A438" s="241"/>
      <c r="B438" s="241"/>
      <c r="C438" s="241"/>
      <c r="D438" s="241"/>
      <c r="E438" s="241"/>
      <c r="F438" s="241"/>
      <c r="G438" s="241"/>
      <c r="H438" s="241"/>
      <c r="I438" s="241"/>
      <c r="J438" s="241"/>
      <c r="K438" s="241"/>
      <c r="L438" s="241"/>
      <c r="M438" s="241"/>
      <c r="N438" s="241"/>
      <c r="O438" s="241"/>
      <c r="P438" s="241"/>
      <c r="Q438" s="241"/>
      <c r="R438" s="241"/>
      <c r="S438" s="241"/>
      <c r="T438" s="241"/>
      <c r="U438" s="241"/>
      <c r="V438" s="241"/>
      <c r="W438" s="241"/>
      <c r="X438" s="241"/>
      <c r="Y438" s="241"/>
      <c r="Z438" s="241"/>
      <c r="AA438" s="241"/>
      <c r="AB438" s="241"/>
      <c r="AC438" s="241"/>
      <c r="AD438" s="241"/>
      <c r="AE438" s="241"/>
      <c r="AF438" s="241"/>
      <c r="AG438" s="241"/>
      <c r="AH438" s="241"/>
      <c r="AI438" s="241"/>
      <c r="AJ438" s="241"/>
      <c r="AK438" s="241"/>
      <c r="AL438" s="241"/>
      <c r="AM438" s="241"/>
      <c r="AN438" s="241"/>
      <c r="AO438" s="241"/>
      <c r="AP438" s="241"/>
      <c r="AQ438" s="241"/>
      <c r="AR438" s="241"/>
      <c r="AS438" s="241"/>
      <c r="AT438" s="241"/>
      <c r="AU438" s="241"/>
      <c r="AV438" s="241"/>
      <c r="AW438" s="241"/>
      <c r="AX438" s="241"/>
      <c r="AY438" s="241"/>
      <c r="AZ438" s="241"/>
      <c r="BA438" s="241"/>
      <c r="BB438" s="241"/>
      <c r="BC438" s="241"/>
      <c r="BD438" s="241"/>
      <c r="BE438" s="241"/>
      <c r="BF438" s="241"/>
      <c r="BG438" s="241"/>
      <c r="BH438" s="241"/>
      <c r="BI438" s="241"/>
      <c r="BJ438" s="241"/>
      <c r="BK438" s="241"/>
      <c r="BL438" s="241"/>
      <c r="BM438" s="241"/>
    </row>
    <row r="439" spans="1:65" ht="13.5" customHeight="1" x14ac:dyDescent="0.3">
      <c r="A439" s="241"/>
      <c r="B439" s="241"/>
      <c r="C439" s="241"/>
      <c r="D439" s="241"/>
      <c r="E439" s="241"/>
      <c r="F439" s="241"/>
      <c r="G439" s="241"/>
      <c r="H439" s="241"/>
      <c r="I439" s="241"/>
      <c r="J439" s="241"/>
      <c r="K439" s="241"/>
      <c r="L439" s="241"/>
      <c r="M439" s="241"/>
      <c r="N439" s="241"/>
      <c r="O439" s="241"/>
      <c r="P439" s="241"/>
      <c r="Q439" s="241"/>
      <c r="R439" s="241"/>
      <c r="S439" s="241"/>
      <c r="T439" s="241"/>
      <c r="U439" s="241"/>
      <c r="V439" s="241"/>
      <c r="W439" s="241"/>
      <c r="X439" s="241"/>
      <c r="Y439" s="241"/>
      <c r="Z439" s="241"/>
      <c r="AA439" s="241"/>
      <c r="AB439" s="241"/>
      <c r="AC439" s="241"/>
      <c r="AD439" s="241"/>
      <c r="AE439" s="241"/>
      <c r="AF439" s="241"/>
      <c r="AG439" s="241"/>
      <c r="AH439" s="241"/>
      <c r="AI439" s="241"/>
      <c r="AJ439" s="241"/>
      <c r="AK439" s="241"/>
      <c r="AL439" s="241"/>
      <c r="AM439" s="241"/>
      <c r="AN439" s="241"/>
      <c r="AO439" s="241"/>
      <c r="AP439" s="241"/>
      <c r="AQ439" s="241"/>
      <c r="AR439" s="241"/>
      <c r="AS439" s="241"/>
      <c r="AT439" s="241"/>
      <c r="AU439" s="241"/>
      <c r="AV439" s="241"/>
      <c r="AW439" s="241"/>
      <c r="AX439" s="241"/>
      <c r="AY439" s="241"/>
      <c r="AZ439" s="241"/>
      <c r="BA439" s="241"/>
      <c r="BB439" s="241"/>
      <c r="BC439" s="241"/>
      <c r="BD439" s="241"/>
      <c r="BE439" s="241"/>
      <c r="BF439" s="241"/>
      <c r="BG439" s="241"/>
      <c r="BH439" s="241"/>
      <c r="BI439" s="241"/>
      <c r="BJ439" s="241"/>
      <c r="BK439" s="241"/>
      <c r="BL439" s="241"/>
      <c r="BM439" s="241"/>
    </row>
    <row r="440" spans="1:65" ht="13.5" customHeight="1" x14ac:dyDescent="0.3">
      <c r="A440" s="241"/>
      <c r="B440" s="241"/>
      <c r="C440" s="241"/>
      <c r="D440" s="241"/>
      <c r="E440" s="241"/>
      <c r="F440" s="241"/>
      <c r="G440" s="241"/>
      <c r="H440" s="241"/>
      <c r="I440" s="241"/>
      <c r="J440" s="241"/>
      <c r="K440" s="241"/>
      <c r="L440" s="241"/>
      <c r="M440" s="241"/>
      <c r="N440" s="241"/>
      <c r="O440" s="241"/>
      <c r="P440" s="241"/>
      <c r="Q440" s="241"/>
      <c r="R440" s="241"/>
      <c r="S440" s="241"/>
      <c r="T440" s="241"/>
      <c r="U440" s="241"/>
      <c r="V440" s="241"/>
      <c r="W440" s="241"/>
      <c r="X440" s="241"/>
      <c r="Y440" s="241"/>
      <c r="Z440" s="241"/>
      <c r="AA440" s="241"/>
      <c r="AB440" s="241"/>
      <c r="AC440" s="241"/>
      <c r="AD440" s="241"/>
      <c r="AE440" s="241"/>
      <c r="AF440" s="241"/>
      <c r="AG440" s="241"/>
      <c r="AH440" s="241"/>
      <c r="AI440" s="241"/>
      <c r="AJ440" s="241"/>
      <c r="AK440" s="241"/>
      <c r="AL440" s="241"/>
      <c r="AM440" s="241"/>
      <c r="AN440" s="241"/>
      <c r="AO440" s="241"/>
      <c r="AP440" s="241"/>
      <c r="AQ440" s="241"/>
      <c r="AR440" s="241"/>
      <c r="AS440" s="241"/>
      <c r="AT440" s="241"/>
      <c r="AU440" s="241"/>
      <c r="AV440" s="241"/>
      <c r="AW440" s="241"/>
      <c r="AX440" s="241"/>
      <c r="AY440" s="241"/>
      <c r="AZ440" s="241"/>
      <c r="BA440" s="241"/>
      <c r="BB440" s="241"/>
      <c r="BC440" s="241"/>
      <c r="BD440" s="241"/>
      <c r="BE440" s="241"/>
      <c r="BF440" s="241"/>
      <c r="BG440" s="241"/>
      <c r="BH440" s="241"/>
      <c r="BI440" s="241"/>
      <c r="BJ440" s="241"/>
      <c r="BK440" s="241"/>
      <c r="BL440" s="241"/>
      <c r="BM440" s="241"/>
    </row>
    <row r="441" spans="1:65" ht="13.5" customHeight="1" x14ac:dyDescent="0.3">
      <c r="A441" s="241"/>
      <c r="B441" s="241"/>
      <c r="C441" s="241"/>
      <c r="D441" s="241"/>
      <c r="E441" s="241"/>
      <c r="F441" s="241"/>
      <c r="G441" s="241"/>
      <c r="H441" s="241"/>
      <c r="I441" s="241"/>
      <c r="J441" s="241"/>
      <c r="K441" s="241"/>
      <c r="L441" s="241"/>
      <c r="M441" s="241"/>
      <c r="N441" s="241"/>
      <c r="O441" s="241"/>
      <c r="P441" s="241"/>
      <c r="Q441" s="241"/>
      <c r="R441" s="241"/>
      <c r="S441" s="241"/>
      <c r="T441" s="241"/>
      <c r="U441" s="241"/>
      <c r="V441" s="241"/>
      <c r="W441" s="241"/>
      <c r="X441" s="241"/>
      <c r="Y441" s="241"/>
      <c r="Z441" s="241"/>
      <c r="AA441" s="241"/>
      <c r="AB441" s="241"/>
      <c r="AC441" s="241"/>
      <c r="AD441" s="241"/>
      <c r="AE441" s="241"/>
      <c r="AF441" s="241"/>
      <c r="AG441" s="241"/>
      <c r="AH441" s="241"/>
      <c r="AI441" s="241"/>
      <c r="AJ441" s="241"/>
      <c r="AK441" s="241"/>
      <c r="AL441" s="241"/>
      <c r="AM441" s="241"/>
      <c r="AN441" s="241"/>
      <c r="AO441" s="241"/>
      <c r="AP441" s="241"/>
      <c r="AQ441" s="241"/>
      <c r="AR441" s="241"/>
      <c r="AS441" s="241"/>
      <c r="AT441" s="241"/>
      <c r="AU441" s="241"/>
      <c r="AV441" s="241"/>
      <c r="AW441" s="241"/>
      <c r="AX441" s="241"/>
      <c r="AY441" s="241"/>
      <c r="AZ441" s="241"/>
      <c r="BA441" s="241"/>
      <c r="BB441" s="241"/>
      <c r="BC441" s="241"/>
      <c r="BD441" s="241"/>
      <c r="BE441" s="241"/>
      <c r="BF441" s="241"/>
      <c r="BG441" s="241"/>
      <c r="BH441" s="241"/>
      <c r="BI441" s="241"/>
      <c r="BJ441" s="241"/>
      <c r="BK441" s="241"/>
      <c r="BL441" s="241"/>
      <c r="BM441" s="241"/>
    </row>
    <row r="442" spans="1:65" ht="13.5" customHeight="1" x14ac:dyDescent="0.3">
      <c r="A442" s="241"/>
      <c r="B442" s="241"/>
      <c r="C442" s="241"/>
      <c r="D442" s="241"/>
      <c r="E442" s="241"/>
      <c r="F442" s="241"/>
      <c r="G442" s="241"/>
      <c r="H442" s="241"/>
      <c r="I442" s="241"/>
      <c r="J442" s="241"/>
      <c r="K442" s="241"/>
      <c r="L442" s="241"/>
      <c r="M442" s="241"/>
      <c r="N442" s="241"/>
      <c r="O442" s="241"/>
      <c r="P442" s="241"/>
      <c r="Q442" s="241"/>
      <c r="R442" s="241"/>
      <c r="S442" s="241"/>
      <c r="T442" s="241"/>
      <c r="U442" s="241"/>
      <c r="V442" s="241"/>
      <c r="W442" s="241"/>
      <c r="X442" s="241"/>
      <c r="Y442" s="241"/>
      <c r="Z442" s="241"/>
      <c r="AA442" s="241"/>
      <c r="AB442" s="241"/>
      <c r="AC442" s="241"/>
      <c r="AD442" s="241"/>
      <c r="AE442" s="241"/>
      <c r="AF442" s="241"/>
      <c r="AG442" s="241"/>
      <c r="AH442" s="241"/>
      <c r="AI442" s="241"/>
      <c r="AJ442" s="241"/>
      <c r="AK442" s="241"/>
      <c r="AL442" s="241"/>
      <c r="AM442" s="241"/>
      <c r="AN442" s="241"/>
      <c r="AO442" s="241"/>
      <c r="AP442" s="241"/>
      <c r="AQ442" s="241"/>
      <c r="AR442" s="241"/>
      <c r="AS442" s="241"/>
      <c r="AT442" s="241"/>
      <c r="AU442" s="241"/>
      <c r="AV442" s="241"/>
      <c r="AW442" s="241"/>
      <c r="AX442" s="241"/>
      <c r="AY442" s="241"/>
      <c r="AZ442" s="241"/>
      <c r="BA442" s="241"/>
      <c r="BB442" s="241"/>
      <c r="BC442" s="241"/>
      <c r="BD442" s="241"/>
      <c r="BE442" s="241"/>
      <c r="BF442" s="241"/>
      <c r="BG442" s="241"/>
      <c r="BH442" s="241"/>
      <c r="BI442" s="241"/>
      <c r="BJ442" s="241"/>
      <c r="BK442" s="241"/>
      <c r="BL442" s="241"/>
      <c r="BM442" s="241"/>
    </row>
    <row r="443" spans="1:65" ht="13.5" customHeight="1" x14ac:dyDescent="0.3">
      <c r="A443" s="241"/>
      <c r="B443" s="241"/>
      <c r="C443" s="241"/>
      <c r="D443" s="241"/>
      <c r="E443" s="241"/>
      <c r="F443" s="241"/>
      <c r="G443" s="241"/>
      <c r="H443" s="241"/>
      <c r="I443" s="241"/>
      <c r="J443" s="241"/>
      <c r="K443" s="241"/>
      <c r="L443" s="241"/>
      <c r="M443" s="241"/>
      <c r="N443" s="241"/>
      <c r="O443" s="241"/>
      <c r="P443" s="241"/>
      <c r="Q443" s="241"/>
      <c r="R443" s="241"/>
      <c r="S443" s="241"/>
      <c r="T443" s="241"/>
      <c r="U443" s="241"/>
      <c r="V443" s="241"/>
      <c r="W443" s="241"/>
      <c r="X443" s="241"/>
      <c r="Y443" s="241"/>
      <c r="Z443" s="241"/>
      <c r="AA443" s="241"/>
      <c r="AB443" s="241"/>
      <c r="AC443" s="241"/>
      <c r="AD443" s="241"/>
      <c r="AE443" s="241"/>
      <c r="AF443" s="241"/>
      <c r="AG443" s="241"/>
      <c r="AH443" s="241"/>
      <c r="AI443" s="241"/>
      <c r="AJ443" s="241"/>
      <c r="AK443" s="241"/>
      <c r="AL443" s="241"/>
      <c r="AM443" s="241"/>
      <c r="AN443" s="241"/>
      <c r="AO443" s="241"/>
      <c r="AP443" s="241"/>
      <c r="AQ443" s="241"/>
      <c r="AR443" s="241"/>
      <c r="AS443" s="241"/>
      <c r="AT443" s="241"/>
      <c r="AU443" s="241"/>
      <c r="AV443" s="241"/>
      <c r="AW443" s="241"/>
      <c r="AX443" s="241"/>
      <c r="AY443" s="241"/>
      <c r="AZ443" s="241"/>
      <c r="BA443" s="241"/>
      <c r="BB443" s="241"/>
      <c r="BC443" s="241"/>
      <c r="BD443" s="241"/>
      <c r="BE443" s="241"/>
      <c r="BF443" s="241"/>
      <c r="BG443" s="241"/>
      <c r="BH443" s="241"/>
      <c r="BI443" s="241"/>
      <c r="BJ443" s="241"/>
      <c r="BK443" s="241"/>
      <c r="BL443" s="241"/>
      <c r="BM443" s="241"/>
    </row>
    <row r="444" spans="1:65" ht="13.5" customHeight="1" x14ac:dyDescent="0.3">
      <c r="A444" s="241"/>
      <c r="B444" s="241"/>
      <c r="C444" s="241"/>
      <c r="D444" s="241"/>
      <c r="E444" s="241"/>
      <c r="F444" s="241"/>
      <c r="G444" s="241"/>
      <c r="H444" s="241"/>
      <c r="I444" s="241"/>
      <c r="J444" s="241"/>
      <c r="K444" s="241"/>
      <c r="L444" s="241"/>
      <c r="M444" s="241"/>
      <c r="N444" s="241"/>
      <c r="O444" s="241"/>
      <c r="P444" s="241"/>
      <c r="Q444" s="241"/>
      <c r="R444" s="241"/>
      <c r="S444" s="241"/>
      <c r="T444" s="241"/>
      <c r="U444" s="241"/>
      <c r="V444" s="241"/>
      <c r="W444" s="241"/>
      <c r="X444" s="241"/>
      <c r="Y444" s="241"/>
      <c r="Z444" s="241"/>
      <c r="AA444" s="241"/>
      <c r="AB444" s="241"/>
      <c r="AC444" s="241"/>
      <c r="AD444" s="241"/>
      <c r="AE444" s="241"/>
      <c r="AF444" s="241"/>
      <c r="AG444" s="241"/>
      <c r="AH444" s="241"/>
      <c r="AI444" s="241"/>
      <c r="AJ444" s="241"/>
      <c r="AK444" s="241"/>
      <c r="AL444" s="241"/>
      <c r="AM444" s="241"/>
      <c r="AN444" s="241"/>
      <c r="AO444" s="241"/>
      <c r="AP444" s="241"/>
      <c r="AQ444" s="241"/>
      <c r="AR444" s="241"/>
      <c r="AS444" s="241"/>
      <c r="AT444" s="241"/>
      <c r="AU444" s="241"/>
      <c r="AV444" s="241"/>
      <c r="AW444" s="241"/>
      <c r="AX444" s="241"/>
      <c r="AY444" s="241"/>
      <c r="AZ444" s="241"/>
      <c r="BA444" s="241"/>
      <c r="BB444" s="241"/>
      <c r="BC444" s="241"/>
      <c r="BD444" s="241"/>
      <c r="BE444" s="241"/>
      <c r="BF444" s="241"/>
      <c r="BG444" s="241"/>
      <c r="BH444" s="241"/>
      <c r="BI444" s="241"/>
      <c r="BJ444" s="241"/>
      <c r="BK444" s="241"/>
      <c r="BL444" s="241"/>
      <c r="BM444" s="241"/>
    </row>
    <row r="445" spans="1:65" ht="13.5" customHeight="1" x14ac:dyDescent="0.3">
      <c r="A445" s="241"/>
      <c r="B445" s="241"/>
      <c r="C445" s="241"/>
      <c r="D445" s="241"/>
      <c r="E445" s="241"/>
      <c r="F445" s="241"/>
      <c r="G445" s="241"/>
      <c r="H445" s="241"/>
      <c r="I445" s="241"/>
      <c r="J445" s="241"/>
      <c r="K445" s="241"/>
      <c r="L445" s="241"/>
      <c r="M445" s="241"/>
      <c r="N445" s="241"/>
      <c r="O445" s="241"/>
      <c r="P445" s="241"/>
      <c r="Q445" s="241"/>
      <c r="R445" s="241"/>
      <c r="S445" s="241"/>
      <c r="T445" s="241"/>
      <c r="U445" s="241"/>
      <c r="V445" s="241"/>
      <c r="W445" s="241"/>
      <c r="X445" s="241"/>
      <c r="Y445" s="241"/>
      <c r="Z445" s="241"/>
      <c r="AA445" s="241"/>
      <c r="AB445" s="241"/>
      <c r="AC445" s="241"/>
      <c r="AD445" s="241"/>
      <c r="AE445" s="241"/>
      <c r="AF445" s="241"/>
      <c r="AG445" s="241"/>
      <c r="AH445" s="241"/>
      <c r="AI445" s="241"/>
      <c r="AJ445" s="241"/>
      <c r="AK445" s="241"/>
      <c r="AL445" s="241"/>
      <c r="AM445" s="241"/>
      <c r="AN445" s="241"/>
      <c r="AO445" s="241"/>
      <c r="AP445" s="241"/>
      <c r="AQ445" s="241"/>
      <c r="AR445" s="241"/>
      <c r="AS445" s="241"/>
      <c r="AT445" s="241"/>
      <c r="AU445" s="241"/>
      <c r="AV445" s="241"/>
      <c r="AW445" s="241"/>
      <c r="AX445" s="241"/>
      <c r="AY445" s="241"/>
      <c r="AZ445" s="241"/>
      <c r="BA445" s="241"/>
      <c r="BB445" s="241"/>
      <c r="BC445" s="241"/>
      <c r="BD445" s="241"/>
      <c r="BE445" s="241"/>
      <c r="BF445" s="241"/>
      <c r="BG445" s="241"/>
      <c r="BH445" s="241"/>
      <c r="BI445" s="241"/>
      <c r="BJ445" s="241"/>
      <c r="BK445" s="241"/>
      <c r="BL445" s="241"/>
      <c r="BM445" s="241"/>
    </row>
    <row r="446" spans="1:65" ht="13.5" customHeight="1" x14ac:dyDescent="0.3">
      <c r="A446" s="241"/>
      <c r="B446" s="241"/>
      <c r="C446" s="241"/>
      <c r="D446" s="241"/>
      <c r="E446" s="241"/>
      <c r="F446" s="241"/>
      <c r="G446" s="241"/>
      <c r="H446" s="241"/>
      <c r="I446" s="241"/>
      <c r="J446" s="241"/>
      <c r="K446" s="241"/>
      <c r="L446" s="241"/>
      <c r="M446" s="241"/>
      <c r="N446" s="241"/>
      <c r="O446" s="241"/>
      <c r="P446" s="241"/>
      <c r="Q446" s="241"/>
      <c r="R446" s="241"/>
      <c r="S446" s="241"/>
      <c r="T446" s="241"/>
      <c r="U446" s="241"/>
      <c r="V446" s="241"/>
      <c r="W446" s="241"/>
      <c r="X446" s="241"/>
      <c r="Y446" s="241"/>
      <c r="Z446" s="241"/>
      <c r="AA446" s="241"/>
      <c r="AB446" s="241"/>
      <c r="AC446" s="241"/>
      <c r="AD446" s="241"/>
      <c r="AE446" s="241"/>
      <c r="AF446" s="241"/>
      <c r="AG446" s="241"/>
      <c r="AH446" s="241"/>
      <c r="AI446" s="241"/>
      <c r="AJ446" s="241"/>
      <c r="AK446" s="241"/>
      <c r="AL446" s="241"/>
      <c r="AM446" s="241"/>
      <c r="AN446" s="241"/>
      <c r="AO446" s="241"/>
      <c r="AP446" s="241"/>
      <c r="AQ446" s="241"/>
      <c r="AR446" s="241"/>
      <c r="AS446" s="241"/>
      <c r="AT446" s="241"/>
      <c r="AU446" s="241"/>
      <c r="AV446" s="241"/>
      <c r="AW446" s="241"/>
      <c r="AX446" s="241"/>
      <c r="AY446" s="241"/>
      <c r="AZ446" s="241"/>
      <c r="BA446" s="241"/>
      <c r="BB446" s="241"/>
      <c r="BC446" s="241"/>
      <c r="BD446" s="241"/>
      <c r="BE446" s="241"/>
      <c r="BF446" s="241"/>
      <c r="BG446" s="241"/>
      <c r="BH446" s="241"/>
      <c r="BI446" s="241"/>
      <c r="BJ446" s="241"/>
      <c r="BK446" s="241"/>
      <c r="BL446" s="241"/>
      <c r="BM446" s="241"/>
    </row>
    <row r="447" spans="1:65" ht="13.5" customHeight="1" x14ac:dyDescent="0.3">
      <c r="A447" s="241"/>
      <c r="B447" s="241"/>
      <c r="C447" s="241"/>
      <c r="D447" s="241"/>
      <c r="E447" s="241"/>
      <c r="F447" s="241"/>
      <c r="G447" s="241"/>
      <c r="H447" s="241"/>
      <c r="I447" s="241"/>
      <c r="J447" s="241"/>
      <c r="K447" s="241"/>
      <c r="L447" s="241"/>
      <c r="M447" s="241"/>
      <c r="N447" s="241"/>
      <c r="O447" s="241"/>
      <c r="P447" s="241"/>
      <c r="Q447" s="241"/>
      <c r="R447" s="241"/>
      <c r="S447" s="241"/>
      <c r="T447" s="241"/>
      <c r="U447" s="241"/>
      <c r="V447" s="241"/>
      <c r="W447" s="241"/>
      <c r="X447" s="241"/>
      <c r="Y447" s="241"/>
      <c r="Z447" s="241"/>
      <c r="AA447" s="241"/>
      <c r="AB447" s="241"/>
      <c r="AC447" s="241"/>
      <c r="AD447" s="241"/>
      <c r="AE447" s="241"/>
      <c r="AF447" s="241"/>
      <c r="AG447" s="241"/>
      <c r="AH447" s="241"/>
      <c r="AI447" s="241"/>
      <c r="AJ447" s="241"/>
      <c r="AK447" s="241"/>
      <c r="AL447" s="241"/>
      <c r="AM447" s="241"/>
      <c r="AN447" s="241"/>
      <c r="AO447" s="241"/>
      <c r="AP447" s="241"/>
      <c r="AQ447" s="241"/>
      <c r="AR447" s="241"/>
      <c r="AS447" s="241"/>
      <c r="AT447" s="241"/>
      <c r="AU447" s="241"/>
      <c r="AV447" s="241"/>
      <c r="AW447" s="241"/>
      <c r="AX447" s="241"/>
      <c r="AY447" s="241"/>
      <c r="AZ447" s="241"/>
      <c r="BA447" s="241"/>
      <c r="BB447" s="241"/>
      <c r="BC447" s="241"/>
      <c r="BD447" s="241"/>
      <c r="BE447" s="241"/>
      <c r="BF447" s="241"/>
      <c r="BG447" s="241"/>
      <c r="BH447" s="241"/>
      <c r="BI447" s="241"/>
      <c r="BJ447" s="241"/>
      <c r="BK447" s="241"/>
      <c r="BL447" s="241"/>
      <c r="BM447" s="241"/>
    </row>
    <row r="448" spans="1:65" ht="13.5" customHeight="1" x14ac:dyDescent="0.3">
      <c r="A448" s="241"/>
      <c r="B448" s="241"/>
      <c r="C448" s="241"/>
      <c r="D448" s="241"/>
      <c r="E448" s="241"/>
      <c r="F448" s="241"/>
      <c r="G448" s="241"/>
      <c r="H448" s="241"/>
      <c r="I448" s="241"/>
      <c r="J448" s="241"/>
      <c r="K448" s="241"/>
      <c r="L448" s="241"/>
      <c r="M448" s="241"/>
      <c r="N448" s="241"/>
      <c r="O448" s="241"/>
      <c r="P448" s="241"/>
      <c r="Q448" s="241"/>
      <c r="R448" s="241"/>
      <c r="S448" s="241"/>
      <c r="T448" s="241"/>
      <c r="U448" s="241"/>
      <c r="V448" s="241"/>
      <c r="W448" s="241"/>
      <c r="X448" s="241"/>
      <c r="Y448" s="241"/>
      <c r="Z448" s="241"/>
      <c r="AA448" s="241"/>
      <c r="AB448" s="241"/>
      <c r="AC448" s="241"/>
      <c r="AD448" s="241"/>
      <c r="AE448" s="241"/>
      <c r="AF448" s="241"/>
      <c r="AG448" s="241"/>
      <c r="AH448" s="241"/>
      <c r="AI448" s="241"/>
      <c r="AJ448" s="241"/>
      <c r="AK448" s="241"/>
      <c r="AL448" s="241"/>
      <c r="AM448" s="241"/>
      <c r="AN448" s="241"/>
      <c r="AO448" s="241"/>
      <c r="AP448" s="241"/>
      <c r="AQ448" s="241"/>
      <c r="AR448" s="241"/>
      <c r="AS448" s="241"/>
      <c r="AT448" s="241"/>
      <c r="AU448" s="241"/>
      <c r="AV448" s="241"/>
      <c r="AW448" s="241"/>
      <c r="AX448" s="241"/>
      <c r="AY448" s="241"/>
      <c r="AZ448" s="241"/>
      <c r="BA448" s="241"/>
      <c r="BB448" s="241"/>
      <c r="BC448" s="241"/>
      <c r="BD448" s="241"/>
      <c r="BE448" s="241"/>
      <c r="BF448" s="241"/>
      <c r="BG448" s="241"/>
      <c r="BH448" s="241"/>
      <c r="BI448" s="241"/>
      <c r="BJ448" s="241"/>
      <c r="BK448" s="241"/>
      <c r="BL448" s="241"/>
      <c r="BM448" s="241"/>
    </row>
    <row r="449" spans="1:65" ht="13.5" customHeight="1" x14ac:dyDescent="0.3">
      <c r="A449" s="241"/>
      <c r="B449" s="241"/>
      <c r="C449" s="241"/>
      <c r="D449" s="241"/>
      <c r="E449" s="241"/>
      <c r="F449" s="241"/>
      <c r="G449" s="241"/>
      <c r="H449" s="241"/>
      <c r="I449" s="241"/>
      <c r="J449" s="241"/>
      <c r="K449" s="241"/>
      <c r="L449" s="241"/>
      <c r="M449" s="241"/>
      <c r="N449" s="241"/>
      <c r="O449" s="241"/>
      <c r="P449" s="241"/>
      <c r="Q449" s="241"/>
      <c r="R449" s="241"/>
      <c r="S449" s="241"/>
      <c r="T449" s="241"/>
      <c r="U449" s="241"/>
      <c r="V449" s="241"/>
      <c r="W449" s="241"/>
      <c r="X449" s="241"/>
      <c r="Y449" s="241"/>
      <c r="Z449" s="241"/>
      <c r="AA449" s="241"/>
      <c r="AB449" s="241"/>
      <c r="AC449" s="241"/>
      <c r="AD449" s="241"/>
      <c r="AE449" s="241"/>
      <c r="AF449" s="241"/>
      <c r="AG449" s="241"/>
      <c r="AH449" s="241"/>
      <c r="AI449" s="241"/>
      <c r="AJ449" s="241"/>
      <c r="AK449" s="241"/>
      <c r="AL449" s="241"/>
      <c r="AM449" s="241"/>
      <c r="AN449" s="241"/>
      <c r="AO449" s="241"/>
      <c r="AP449" s="241"/>
      <c r="AQ449" s="241"/>
      <c r="AR449" s="241"/>
      <c r="AS449" s="241"/>
      <c r="AT449" s="241"/>
      <c r="AU449" s="241"/>
      <c r="AV449" s="241"/>
      <c r="AW449" s="241"/>
      <c r="AX449" s="241"/>
      <c r="AY449" s="241"/>
      <c r="AZ449" s="241"/>
      <c r="BA449" s="241"/>
      <c r="BB449" s="241"/>
      <c r="BC449" s="241"/>
      <c r="BD449" s="241"/>
      <c r="BE449" s="241"/>
      <c r="BF449" s="241"/>
      <c r="BG449" s="241"/>
      <c r="BH449" s="241"/>
      <c r="BI449" s="241"/>
      <c r="BJ449" s="241"/>
      <c r="BK449" s="241"/>
      <c r="BL449" s="241"/>
      <c r="BM449" s="241"/>
    </row>
    <row r="450" spans="1:65" ht="13.5" customHeight="1" x14ac:dyDescent="0.3">
      <c r="A450" s="241"/>
      <c r="B450" s="241"/>
      <c r="C450" s="241"/>
      <c r="D450" s="241"/>
      <c r="E450" s="241"/>
      <c r="F450" s="241"/>
      <c r="G450" s="241"/>
      <c r="H450" s="241"/>
      <c r="I450" s="241"/>
      <c r="J450" s="241"/>
      <c r="K450" s="241"/>
      <c r="L450" s="241"/>
      <c r="M450" s="241"/>
      <c r="N450" s="241"/>
      <c r="O450" s="241"/>
      <c r="P450" s="241"/>
      <c r="Q450" s="241"/>
      <c r="R450" s="241"/>
      <c r="S450" s="241"/>
      <c r="T450" s="241"/>
      <c r="U450" s="241"/>
      <c r="V450" s="241"/>
      <c r="W450" s="241"/>
      <c r="X450" s="241"/>
      <c r="Y450" s="241"/>
      <c r="Z450" s="241"/>
      <c r="AA450" s="241"/>
      <c r="AB450" s="241"/>
      <c r="AC450" s="241"/>
      <c r="AD450" s="241"/>
      <c r="AE450" s="241"/>
      <c r="AF450" s="241"/>
      <c r="AG450" s="241"/>
      <c r="AH450" s="241"/>
      <c r="AI450" s="241"/>
      <c r="AJ450" s="241"/>
      <c r="AK450" s="241"/>
      <c r="AL450" s="241"/>
      <c r="AM450" s="241"/>
      <c r="AN450" s="241"/>
      <c r="AO450" s="241"/>
      <c r="AP450" s="241"/>
      <c r="AQ450" s="241"/>
      <c r="AR450" s="241"/>
      <c r="AS450" s="241"/>
      <c r="AT450" s="241"/>
      <c r="AU450" s="241"/>
      <c r="AV450" s="241"/>
      <c r="AW450" s="241"/>
      <c r="AX450" s="241"/>
      <c r="AY450" s="241"/>
      <c r="AZ450" s="241"/>
      <c r="BA450" s="241"/>
      <c r="BB450" s="241"/>
      <c r="BC450" s="241"/>
      <c r="BD450" s="241"/>
      <c r="BE450" s="241"/>
      <c r="BF450" s="241"/>
      <c r="BG450" s="241"/>
      <c r="BH450" s="241"/>
      <c r="BI450" s="241"/>
      <c r="BJ450" s="241"/>
      <c r="BK450" s="241"/>
      <c r="BL450" s="241"/>
      <c r="BM450" s="241"/>
    </row>
    <row r="451" spans="1:65" ht="13.5" customHeight="1" x14ac:dyDescent="0.3">
      <c r="A451" s="241"/>
      <c r="B451" s="241"/>
      <c r="C451" s="241"/>
      <c r="D451" s="241"/>
      <c r="E451" s="241"/>
      <c r="F451" s="241"/>
      <c r="G451" s="241"/>
      <c r="H451" s="241"/>
      <c r="I451" s="241"/>
      <c r="J451" s="241"/>
      <c r="K451" s="241"/>
      <c r="L451" s="241"/>
      <c r="M451" s="241"/>
      <c r="N451" s="241"/>
      <c r="O451" s="241"/>
      <c r="P451" s="241"/>
      <c r="Q451" s="241"/>
      <c r="R451" s="241"/>
      <c r="S451" s="241"/>
      <c r="T451" s="241"/>
      <c r="U451" s="241"/>
      <c r="V451" s="241"/>
      <c r="W451" s="241"/>
      <c r="X451" s="241"/>
      <c r="Y451" s="241"/>
      <c r="Z451" s="241"/>
      <c r="AA451" s="241"/>
      <c r="AB451" s="241"/>
      <c r="AC451" s="241"/>
      <c r="AD451" s="241"/>
      <c r="AE451" s="241"/>
      <c r="AF451" s="241"/>
      <c r="AG451" s="241"/>
      <c r="AH451" s="241"/>
      <c r="AI451" s="241"/>
      <c r="AJ451" s="241"/>
      <c r="AK451" s="241"/>
      <c r="AL451" s="241"/>
      <c r="AM451" s="241"/>
      <c r="AN451" s="241"/>
      <c r="AO451" s="241"/>
      <c r="AP451" s="241"/>
      <c r="AQ451" s="241"/>
      <c r="AR451" s="241"/>
      <c r="AS451" s="241"/>
      <c r="AT451" s="241"/>
      <c r="AU451" s="241"/>
      <c r="AV451" s="241"/>
      <c r="AW451" s="241"/>
      <c r="AX451" s="241"/>
      <c r="AY451" s="241"/>
      <c r="AZ451" s="241"/>
      <c r="BA451" s="241"/>
      <c r="BB451" s="241"/>
      <c r="BC451" s="241"/>
      <c r="BD451" s="241"/>
      <c r="BE451" s="241"/>
      <c r="BF451" s="241"/>
      <c r="BG451" s="241"/>
      <c r="BH451" s="241"/>
      <c r="BI451" s="241"/>
      <c r="BJ451" s="241"/>
      <c r="BK451" s="241"/>
      <c r="BL451" s="241"/>
      <c r="BM451" s="241"/>
    </row>
    <row r="452" spans="1:65" ht="13.5" customHeight="1" x14ac:dyDescent="0.3">
      <c r="A452" s="241"/>
      <c r="B452" s="241"/>
      <c r="C452" s="241"/>
      <c r="D452" s="241"/>
      <c r="E452" s="241"/>
      <c r="F452" s="241"/>
      <c r="G452" s="241"/>
      <c r="H452" s="241"/>
      <c r="I452" s="241"/>
      <c r="J452" s="241"/>
      <c r="K452" s="241"/>
      <c r="L452" s="241"/>
      <c r="M452" s="241"/>
      <c r="N452" s="241"/>
      <c r="O452" s="241"/>
      <c r="P452" s="241"/>
      <c r="Q452" s="241"/>
      <c r="R452" s="241"/>
      <c r="S452" s="241"/>
      <c r="T452" s="241"/>
      <c r="U452" s="241"/>
      <c r="V452" s="241"/>
      <c r="W452" s="241"/>
      <c r="X452" s="241"/>
      <c r="Y452" s="241"/>
      <c r="Z452" s="241"/>
      <c r="AA452" s="241"/>
      <c r="AB452" s="241"/>
      <c r="AC452" s="241"/>
      <c r="AD452" s="241"/>
      <c r="AE452" s="241"/>
      <c r="AF452" s="241"/>
      <c r="AG452" s="241"/>
      <c r="AH452" s="241"/>
      <c r="AI452" s="241"/>
      <c r="AJ452" s="241"/>
      <c r="AK452" s="241"/>
      <c r="AL452" s="241"/>
      <c r="AM452" s="241"/>
      <c r="AN452" s="241"/>
      <c r="AO452" s="241"/>
      <c r="AP452" s="241"/>
      <c r="AQ452" s="241"/>
      <c r="AR452" s="241"/>
      <c r="AS452" s="241"/>
      <c r="AT452" s="241"/>
      <c r="AU452" s="241"/>
      <c r="AV452" s="241"/>
      <c r="AW452" s="241"/>
      <c r="AX452" s="241"/>
      <c r="AY452" s="241"/>
      <c r="AZ452" s="241"/>
      <c r="BA452" s="241"/>
      <c r="BB452" s="241"/>
      <c r="BC452" s="241"/>
      <c r="BD452" s="241"/>
      <c r="BE452" s="241"/>
      <c r="BF452" s="241"/>
      <c r="BG452" s="241"/>
      <c r="BH452" s="241"/>
      <c r="BI452" s="241"/>
      <c r="BJ452" s="241"/>
      <c r="BK452" s="241"/>
      <c r="BL452" s="241"/>
      <c r="BM452" s="241"/>
    </row>
    <row r="453" spans="1:65" ht="13.5" customHeight="1" x14ac:dyDescent="0.3">
      <c r="A453" s="241"/>
      <c r="B453" s="241"/>
      <c r="C453" s="241"/>
      <c r="D453" s="241"/>
      <c r="E453" s="241"/>
      <c r="F453" s="241"/>
      <c r="G453" s="241"/>
      <c r="H453" s="241"/>
      <c r="I453" s="241"/>
      <c r="J453" s="241"/>
      <c r="K453" s="241"/>
      <c r="L453" s="241"/>
      <c r="M453" s="241"/>
      <c r="N453" s="241"/>
      <c r="O453" s="241"/>
      <c r="P453" s="241"/>
      <c r="Q453" s="241"/>
      <c r="R453" s="241"/>
      <c r="S453" s="241"/>
      <c r="T453" s="241"/>
      <c r="U453" s="241"/>
      <c r="V453" s="241"/>
      <c r="W453" s="241"/>
      <c r="X453" s="241"/>
      <c r="Y453" s="241"/>
      <c r="Z453" s="241"/>
      <c r="AA453" s="241"/>
      <c r="AB453" s="241"/>
      <c r="AC453" s="241"/>
      <c r="AD453" s="241"/>
      <c r="AE453" s="241"/>
      <c r="AF453" s="241"/>
      <c r="AG453" s="241"/>
      <c r="AH453" s="241"/>
      <c r="AI453" s="241"/>
      <c r="AJ453" s="241"/>
      <c r="AK453" s="241"/>
      <c r="AL453" s="241"/>
      <c r="AM453" s="241"/>
      <c r="AN453" s="241"/>
      <c r="AO453" s="241"/>
      <c r="AP453" s="241"/>
      <c r="AQ453" s="241"/>
      <c r="AR453" s="241"/>
      <c r="AS453" s="241"/>
      <c r="AT453" s="241"/>
      <c r="AU453" s="241"/>
      <c r="AV453" s="241"/>
      <c r="AW453" s="241"/>
      <c r="AX453" s="241"/>
      <c r="AY453" s="241"/>
      <c r="AZ453" s="241"/>
      <c r="BA453" s="241"/>
      <c r="BB453" s="241"/>
      <c r="BC453" s="241"/>
      <c r="BD453" s="241"/>
      <c r="BE453" s="241"/>
      <c r="BF453" s="241"/>
      <c r="BG453" s="241"/>
      <c r="BH453" s="241"/>
      <c r="BI453" s="241"/>
      <c r="BJ453" s="241"/>
      <c r="BK453" s="241"/>
      <c r="BL453" s="241"/>
      <c r="BM453" s="241"/>
    </row>
    <row r="454" spans="1:65" ht="13.5" customHeight="1" x14ac:dyDescent="0.3">
      <c r="A454" s="241"/>
      <c r="B454" s="241"/>
      <c r="C454" s="241"/>
      <c r="D454" s="241"/>
      <c r="E454" s="241"/>
      <c r="F454" s="241"/>
      <c r="G454" s="241"/>
      <c r="H454" s="241"/>
      <c r="I454" s="241"/>
      <c r="J454" s="241"/>
      <c r="K454" s="241"/>
      <c r="L454" s="241"/>
      <c r="M454" s="241"/>
      <c r="N454" s="241"/>
      <c r="O454" s="241"/>
      <c r="P454" s="241"/>
      <c r="Q454" s="241"/>
      <c r="R454" s="241"/>
      <c r="S454" s="241"/>
      <c r="T454" s="241"/>
      <c r="U454" s="241"/>
      <c r="V454" s="241"/>
      <c r="W454" s="241"/>
      <c r="X454" s="241"/>
      <c r="Y454" s="241"/>
      <c r="Z454" s="241"/>
      <c r="AA454" s="241"/>
      <c r="AB454" s="241"/>
      <c r="AC454" s="241"/>
      <c r="AD454" s="241"/>
      <c r="AE454" s="241"/>
      <c r="AF454" s="241"/>
      <c r="AG454" s="241"/>
      <c r="AH454" s="241"/>
      <c r="AI454" s="241"/>
      <c r="AJ454" s="241"/>
      <c r="AK454" s="241"/>
      <c r="AL454" s="241"/>
      <c r="AM454" s="241"/>
      <c r="AN454" s="241"/>
      <c r="AO454" s="241"/>
      <c r="AP454" s="241"/>
      <c r="AQ454" s="241"/>
      <c r="AR454" s="241"/>
      <c r="AS454" s="241"/>
      <c r="AT454" s="241"/>
      <c r="AU454" s="241"/>
      <c r="AV454" s="241"/>
      <c r="AW454" s="241"/>
      <c r="AX454" s="241"/>
      <c r="AY454" s="241"/>
      <c r="AZ454" s="241"/>
      <c r="BA454" s="241"/>
      <c r="BB454" s="241"/>
      <c r="BC454" s="241"/>
      <c r="BD454" s="241"/>
      <c r="BE454" s="241"/>
      <c r="BF454" s="241"/>
      <c r="BG454" s="241"/>
      <c r="BH454" s="241"/>
      <c r="BI454" s="241"/>
      <c r="BJ454" s="241"/>
      <c r="BK454" s="241"/>
      <c r="BL454" s="241"/>
      <c r="BM454" s="241"/>
    </row>
    <row r="455" spans="1:65" ht="13.5" customHeight="1" x14ac:dyDescent="0.3">
      <c r="A455" s="241"/>
      <c r="B455" s="241"/>
      <c r="C455" s="241"/>
      <c r="D455" s="241"/>
      <c r="E455" s="241"/>
      <c r="F455" s="241"/>
      <c r="G455" s="241"/>
      <c r="H455" s="241"/>
      <c r="I455" s="241"/>
      <c r="J455" s="241"/>
      <c r="K455" s="241"/>
      <c r="L455" s="241"/>
      <c r="M455" s="241"/>
      <c r="N455" s="241"/>
      <c r="O455" s="241"/>
      <c r="P455" s="241"/>
      <c r="Q455" s="241"/>
      <c r="R455" s="241"/>
      <c r="S455" s="241"/>
      <c r="T455" s="241"/>
      <c r="U455" s="241"/>
      <c r="V455" s="241"/>
      <c r="W455" s="241"/>
      <c r="X455" s="241"/>
      <c r="Y455" s="241"/>
      <c r="Z455" s="241"/>
      <c r="AA455" s="241"/>
      <c r="AB455" s="241"/>
      <c r="AC455" s="241"/>
      <c r="AD455" s="241"/>
      <c r="AE455" s="241"/>
      <c r="AF455" s="241"/>
      <c r="AG455" s="241"/>
      <c r="AH455" s="241"/>
      <c r="AI455" s="241"/>
      <c r="AJ455" s="241"/>
      <c r="AK455" s="241"/>
      <c r="AL455" s="241"/>
      <c r="AM455" s="241"/>
      <c r="AN455" s="241"/>
      <c r="AO455" s="241"/>
      <c r="AP455" s="241"/>
      <c r="AQ455" s="241"/>
      <c r="AR455" s="241"/>
      <c r="AS455" s="241"/>
      <c r="AT455" s="241"/>
      <c r="AU455" s="241"/>
      <c r="AV455" s="241"/>
      <c r="AW455" s="241"/>
      <c r="AX455" s="241"/>
      <c r="AY455" s="241"/>
      <c r="AZ455" s="241"/>
      <c r="BA455" s="241"/>
      <c r="BB455" s="241"/>
      <c r="BC455" s="241"/>
      <c r="BD455" s="241"/>
      <c r="BE455" s="241"/>
      <c r="BF455" s="241"/>
      <c r="BG455" s="241"/>
      <c r="BH455" s="241"/>
      <c r="BI455" s="241"/>
      <c r="BJ455" s="241"/>
      <c r="BK455" s="241"/>
      <c r="BL455" s="241"/>
      <c r="BM455" s="241"/>
    </row>
    <row r="456" spans="1:65" ht="13.5" customHeight="1" x14ac:dyDescent="0.3">
      <c r="A456" s="241"/>
      <c r="B456" s="241"/>
      <c r="C456" s="241"/>
      <c r="D456" s="241"/>
      <c r="E456" s="241"/>
      <c r="F456" s="241"/>
      <c r="G456" s="241"/>
      <c r="H456" s="241"/>
      <c r="I456" s="241"/>
      <c r="J456" s="241"/>
      <c r="K456" s="241"/>
      <c r="L456" s="241"/>
      <c r="M456" s="241"/>
      <c r="N456" s="241"/>
      <c r="O456" s="241"/>
      <c r="P456" s="241"/>
      <c r="Q456" s="241"/>
      <c r="R456" s="241"/>
      <c r="S456" s="241"/>
      <c r="T456" s="241"/>
      <c r="U456" s="241"/>
      <c r="V456" s="241"/>
      <c r="W456" s="241"/>
      <c r="X456" s="241"/>
      <c r="Y456" s="241"/>
      <c r="Z456" s="241"/>
      <c r="AA456" s="241"/>
      <c r="AB456" s="241"/>
      <c r="AC456" s="241"/>
      <c r="AD456" s="241"/>
      <c r="AE456" s="241"/>
      <c r="AF456" s="241"/>
      <c r="AG456" s="241"/>
      <c r="AH456" s="241"/>
      <c r="AI456" s="241"/>
      <c r="AJ456" s="241"/>
      <c r="AK456" s="241"/>
      <c r="AL456" s="241"/>
      <c r="AM456" s="241"/>
      <c r="AN456" s="241"/>
      <c r="AO456" s="241"/>
      <c r="AP456" s="241"/>
      <c r="AQ456" s="241"/>
      <c r="AR456" s="241"/>
      <c r="AS456" s="241"/>
      <c r="AT456" s="241"/>
      <c r="AU456" s="241"/>
      <c r="AV456" s="241"/>
      <c r="AW456" s="241"/>
      <c r="AX456" s="241"/>
      <c r="AY456" s="241"/>
      <c r="AZ456" s="241"/>
      <c r="BA456" s="241"/>
      <c r="BB456" s="241"/>
      <c r="BC456" s="241"/>
      <c r="BD456" s="241"/>
      <c r="BE456" s="241"/>
      <c r="BF456" s="241"/>
      <c r="BG456" s="241"/>
      <c r="BH456" s="241"/>
      <c r="BI456" s="241"/>
      <c r="BJ456" s="241"/>
      <c r="BK456" s="241"/>
      <c r="BL456" s="241"/>
      <c r="BM456" s="241"/>
    </row>
    <row r="457" spans="1:65" ht="13.5" customHeight="1" x14ac:dyDescent="0.3">
      <c r="A457" s="241"/>
      <c r="B457" s="241"/>
      <c r="C457" s="241"/>
      <c r="D457" s="241"/>
      <c r="E457" s="241"/>
      <c r="F457" s="241"/>
      <c r="G457" s="241"/>
      <c r="H457" s="241"/>
      <c r="I457" s="241"/>
      <c r="J457" s="241"/>
      <c r="K457" s="241"/>
      <c r="L457" s="241"/>
      <c r="M457" s="241"/>
      <c r="N457" s="241"/>
      <c r="O457" s="241"/>
      <c r="P457" s="241"/>
      <c r="Q457" s="241"/>
      <c r="R457" s="241"/>
      <c r="S457" s="241"/>
      <c r="T457" s="241"/>
      <c r="U457" s="241"/>
      <c r="V457" s="241"/>
      <c r="W457" s="241"/>
      <c r="X457" s="241"/>
      <c r="Y457" s="241"/>
      <c r="Z457" s="241"/>
      <c r="AA457" s="241"/>
      <c r="AB457" s="241"/>
      <c r="AC457" s="241"/>
      <c r="AD457" s="241"/>
      <c r="AE457" s="241"/>
      <c r="AF457" s="241"/>
      <c r="AG457" s="241"/>
      <c r="AH457" s="241"/>
      <c r="AI457" s="241"/>
      <c r="AJ457" s="241"/>
      <c r="AK457" s="241"/>
      <c r="AL457" s="241"/>
      <c r="AM457" s="241"/>
      <c r="AN457" s="241"/>
      <c r="AO457" s="241"/>
      <c r="AP457" s="241"/>
      <c r="AQ457" s="241"/>
      <c r="AR457" s="241"/>
      <c r="AS457" s="241"/>
      <c r="AT457" s="241"/>
      <c r="AU457" s="241"/>
      <c r="AV457" s="241"/>
      <c r="AW457" s="241"/>
      <c r="AX457" s="241"/>
      <c r="AY457" s="241"/>
      <c r="AZ457" s="241"/>
      <c r="BA457" s="241"/>
      <c r="BB457" s="241"/>
      <c r="BC457" s="241"/>
      <c r="BD457" s="241"/>
      <c r="BE457" s="241"/>
      <c r="BF457" s="241"/>
      <c r="BG457" s="241"/>
      <c r="BH457" s="241"/>
      <c r="BI457" s="241"/>
      <c r="BJ457" s="241"/>
      <c r="BK457" s="241"/>
      <c r="BL457" s="241"/>
      <c r="BM457" s="241"/>
    </row>
    <row r="458" spans="1:65" ht="13.5" customHeight="1" x14ac:dyDescent="0.3">
      <c r="A458" s="241"/>
      <c r="B458" s="241"/>
      <c r="C458" s="241"/>
      <c r="D458" s="241"/>
      <c r="E458" s="241"/>
      <c r="F458" s="241"/>
      <c r="G458" s="241"/>
      <c r="H458" s="241"/>
      <c r="I458" s="241"/>
      <c r="J458" s="241"/>
      <c r="K458" s="241"/>
      <c r="L458" s="241"/>
      <c r="M458" s="241"/>
      <c r="N458" s="241"/>
      <c r="O458" s="241"/>
      <c r="P458" s="241"/>
      <c r="Q458" s="241"/>
      <c r="R458" s="241"/>
      <c r="S458" s="241"/>
      <c r="T458" s="241"/>
      <c r="U458" s="241"/>
      <c r="V458" s="241"/>
      <c r="W458" s="241"/>
      <c r="X458" s="241"/>
      <c r="Y458" s="241"/>
      <c r="Z458" s="241"/>
      <c r="AA458" s="241"/>
      <c r="AB458" s="241"/>
      <c r="AC458" s="241"/>
      <c r="AD458" s="241"/>
      <c r="AE458" s="241"/>
      <c r="AF458" s="241"/>
      <c r="AG458" s="241"/>
      <c r="AH458" s="241"/>
      <c r="AI458" s="241"/>
      <c r="AJ458" s="241"/>
      <c r="AK458" s="241"/>
      <c r="AL458" s="241"/>
      <c r="AM458" s="241"/>
      <c r="AN458" s="241"/>
      <c r="AO458" s="241"/>
      <c r="AP458" s="241"/>
      <c r="AQ458" s="241"/>
      <c r="AR458" s="241"/>
      <c r="AS458" s="241"/>
      <c r="AT458" s="241"/>
      <c r="AU458" s="241"/>
      <c r="AV458" s="241"/>
      <c r="AW458" s="241"/>
      <c r="AX458" s="241"/>
      <c r="AY458" s="241"/>
      <c r="AZ458" s="241"/>
      <c r="BA458" s="241"/>
      <c r="BB458" s="241"/>
      <c r="BC458" s="241"/>
      <c r="BD458" s="241"/>
      <c r="BE458" s="241"/>
      <c r="BF458" s="241"/>
      <c r="BG458" s="241"/>
      <c r="BH458" s="241"/>
      <c r="BI458" s="241"/>
      <c r="BJ458" s="241"/>
      <c r="BK458" s="241"/>
      <c r="BL458" s="241"/>
      <c r="BM458" s="241"/>
    </row>
    <row r="459" spans="1:65" ht="13.5" customHeight="1" x14ac:dyDescent="0.3">
      <c r="A459" s="241"/>
      <c r="B459" s="241"/>
      <c r="C459" s="241"/>
      <c r="D459" s="241"/>
      <c r="E459" s="241"/>
      <c r="F459" s="241"/>
      <c r="G459" s="241"/>
      <c r="H459" s="241"/>
      <c r="I459" s="241"/>
      <c r="J459" s="241"/>
      <c r="K459" s="241"/>
      <c r="L459" s="241"/>
      <c r="M459" s="241"/>
      <c r="N459" s="241"/>
      <c r="O459" s="241"/>
      <c r="P459" s="241"/>
      <c r="Q459" s="241"/>
      <c r="R459" s="241"/>
      <c r="S459" s="241"/>
      <c r="T459" s="241"/>
      <c r="U459" s="241"/>
      <c r="V459" s="241"/>
      <c r="W459" s="241"/>
      <c r="X459" s="241"/>
      <c r="Y459" s="241"/>
      <c r="Z459" s="241"/>
      <c r="AA459" s="241"/>
      <c r="AB459" s="241"/>
      <c r="AC459" s="241"/>
      <c r="AD459" s="241"/>
      <c r="AE459" s="241"/>
      <c r="AF459" s="241"/>
      <c r="AG459" s="241"/>
      <c r="AH459" s="241"/>
      <c r="AI459" s="241"/>
      <c r="AJ459" s="241"/>
      <c r="AK459" s="241"/>
      <c r="AL459" s="241"/>
      <c r="AM459" s="241"/>
      <c r="AN459" s="241"/>
      <c r="AO459" s="241"/>
      <c r="AP459" s="241"/>
      <c r="AQ459" s="241"/>
      <c r="AR459" s="241"/>
      <c r="AS459" s="241"/>
      <c r="AT459" s="241"/>
      <c r="AU459" s="241"/>
      <c r="AV459" s="241"/>
      <c r="AW459" s="241"/>
      <c r="AX459" s="241"/>
      <c r="AY459" s="241"/>
      <c r="AZ459" s="241"/>
      <c r="BA459" s="241"/>
      <c r="BB459" s="241"/>
      <c r="BC459" s="241"/>
      <c r="BD459" s="241"/>
      <c r="BE459" s="241"/>
      <c r="BF459" s="241"/>
      <c r="BG459" s="241"/>
      <c r="BH459" s="241"/>
      <c r="BI459" s="241"/>
      <c r="BJ459" s="241"/>
      <c r="BK459" s="241"/>
      <c r="BL459" s="241"/>
      <c r="BM459" s="241"/>
    </row>
    <row r="460" spans="1:65" ht="13.5" customHeight="1" x14ac:dyDescent="0.3">
      <c r="A460" s="241"/>
      <c r="B460" s="241"/>
      <c r="C460" s="241"/>
      <c r="D460" s="241"/>
      <c r="E460" s="241"/>
      <c r="F460" s="241"/>
      <c r="G460" s="241"/>
      <c r="H460" s="241"/>
      <c r="I460" s="241"/>
      <c r="J460" s="241"/>
      <c r="K460" s="241"/>
      <c r="L460" s="241"/>
      <c r="M460" s="241"/>
      <c r="N460" s="241"/>
      <c r="O460" s="241"/>
      <c r="P460" s="241"/>
      <c r="Q460" s="241"/>
      <c r="R460" s="241"/>
      <c r="S460" s="241"/>
      <c r="T460" s="241"/>
      <c r="U460" s="241"/>
      <c r="V460" s="241"/>
      <c r="W460" s="241"/>
      <c r="X460" s="241"/>
      <c r="Y460" s="241"/>
      <c r="Z460" s="241"/>
      <c r="AA460" s="241"/>
      <c r="AB460" s="241"/>
      <c r="AC460" s="241"/>
      <c r="AD460" s="241"/>
      <c r="AE460" s="241"/>
      <c r="AF460" s="241"/>
      <c r="AG460" s="241"/>
      <c r="AH460" s="241"/>
      <c r="AI460" s="241"/>
      <c r="AJ460" s="241"/>
      <c r="AK460" s="241"/>
      <c r="AL460" s="241"/>
      <c r="AM460" s="241"/>
      <c r="AN460" s="241"/>
      <c r="AO460" s="241"/>
      <c r="AP460" s="241"/>
      <c r="AQ460" s="241"/>
      <c r="AR460" s="241"/>
      <c r="AS460" s="241"/>
      <c r="AT460" s="241"/>
      <c r="AU460" s="241"/>
      <c r="AV460" s="241"/>
      <c r="AW460" s="241"/>
      <c r="AX460" s="241"/>
      <c r="AY460" s="241"/>
      <c r="AZ460" s="241"/>
      <c r="BA460" s="241"/>
      <c r="BB460" s="241"/>
      <c r="BC460" s="241"/>
      <c r="BD460" s="241"/>
      <c r="BE460" s="241"/>
      <c r="BF460" s="241"/>
      <c r="BG460" s="241"/>
      <c r="BH460" s="241"/>
      <c r="BI460" s="241"/>
      <c r="BJ460" s="241"/>
      <c r="BK460" s="241"/>
      <c r="BL460" s="241"/>
      <c r="BM460" s="241"/>
    </row>
    <row r="461" spans="1:65" ht="13.5" customHeight="1" x14ac:dyDescent="0.3">
      <c r="A461" s="241"/>
      <c r="B461" s="241"/>
      <c r="C461" s="241"/>
      <c r="D461" s="241"/>
      <c r="E461" s="241"/>
      <c r="F461" s="241"/>
      <c r="G461" s="241"/>
      <c r="H461" s="241"/>
      <c r="I461" s="241"/>
      <c r="J461" s="241"/>
      <c r="K461" s="241"/>
      <c r="L461" s="241"/>
      <c r="M461" s="241"/>
      <c r="N461" s="241"/>
      <c r="O461" s="241"/>
      <c r="P461" s="241"/>
      <c r="Q461" s="241"/>
      <c r="R461" s="241"/>
      <c r="S461" s="241"/>
      <c r="T461" s="241"/>
      <c r="U461" s="241"/>
      <c r="V461" s="241"/>
      <c r="W461" s="241"/>
      <c r="X461" s="241"/>
      <c r="Y461" s="241"/>
      <c r="Z461" s="241"/>
      <c r="AA461" s="241"/>
      <c r="AB461" s="241"/>
      <c r="AC461" s="241"/>
      <c r="AD461" s="241"/>
      <c r="AE461" s="241"/>
      <c r="AF461" s="241"/>
      <c r="AG461" s="241"/>
      <c r="AH461" s="241"/>
      <c r="AI461" s="241"/>
      <c r="AJ461" s="241"/>
      <c r="AK461" s="241"/>
      <c r="AL461" s="241"/>
      <c r="AM461" s="241"/>
      <c r="AN461" s="241"/>
      <c r="AO461" s="241"/>
      <c r="AP461" s="241"/>
      <c r="AQ461" s="241"/>
      <c r="AR461" s="241"/>
      <c r="AS461" s="241"/>
      <c r="AT461" s="241"/>
      <c r="AU461" s="241"/>
      <c r="AV461" s="241"/>
      <c r="AW461" s="241"/>
      <c r="AX461" s="241"/>
      <c r="AY461" s="241"/>
      <c r="AZ461" s="241"/>
      <c r="BA461" s="241"/>
      <c r="BB461" s="241"/>
      <c r="BC461" s="241"/>
      <c r="BD461" s="241"/>
      <c r="BE461" s="241"/>
      <c r="BF461" s="241"/>
      <c r="BG461" s="241"/>
      <c r="BH461" s="241"/>
      <c r="BI461" s="241"/>
      <c r="BJ461" s="241"/>
      <c r="BK461" s="241"/>
      <c r="BL461" s="241"/>
      <c r="BM461" s="241"/>
    </row>
    <row r="462" spans="1:65" ht="13.5" customHeight="1" x14ac:dyDescent="0.3">
      <c r="A462" s="241"/>
      <c r="B462" s="241"/>
      <c r="C462" s="241"/>
      <c r="D462" s="241"/>
      <c r="E462" s="241"/>
      <c r="F462" s="241"/>
      <c r="G462" s="241"/>
      <c r="H462" s="241"/>
      <c r="I462" s="241"/>
      <c r="J462" s="241"/>
      <c r="K462" s="241"/>
      <c r="L462" s="241"/>
      <c r="M462" s="241"/>
      <c r="N462" s="241"/>
      <c r="O462" s="241"/>
      <c r="P462" s="241"/>
      <c r="Q462" s="241"/>
      <c r="R462" s="241"/>
      <c r="S462" s="241"/>
      <c r="T462" s="241"/>
      <c r="U462" s="241"/>
      <c r="V462" s="241"/>
      <c r="W462" s="241"/>
      <c r="X462" s="241"/>
      <c r="Y462" s="241"/>
      <c r="Z462" s="241"/>
      <c r="AA462" s="241"/>
      <c r="AB462" s="241"/>
      <c r="AC462" s="241"/>
      <c r="AD462" s="241"/>
      <c r="AE462" s="241"/>
      <c r="AF462" s="241"/>
      <c r="AG462" s="241"/>
      <c r="AH462" s="241"/>
      <c r="AI462" s="241"/>
      <c r="AJ462" s="241"/>
      <c r="AK462" s="241"/>
      <c r="AL462" s="241"/>
      <c r="AM462" s="241"/>
      <c r="AN462" s="241"/>
      <c r="AO462" s="241"/>
      <c r="AP462" s="241"/>
      <c r="AQ462" s="241"/>
      <c r="AR462" s="241"/>
      <c r="AS462" s="241"/>
      <c r="AT462" s="241"/>
      <c r="AU462" s="241"/>
      <c r="AV462" s="241"/>
      <c r="AW462" s="241"/>
      <c r="AX462" s="241"/>
      <c r="AY462" s="241"/>
      <c r="AZ462" s="241"/>
      <c r="BA462" s="241"/>
      <c r="BB462" s="241"/>
      <c r="BC462" s="241"/>
      <c r="BD462" s="241"/>
      <c r="BE462" s="241"/>
      <c r="BF462" s="241"/>
      <c r="BG462" s="241"/>
      <c r="BH462" s="241"/>
      <c r="BI462" s="241"/>
      <c r="BJ462" s="241"/>
      <c r="BK462" s="241"/>
      <c r="BL462" s="241"/>
      <c r="BM462" s="241"/>
    </row>
    <row r="463" spans="1:65" ht="13.5" customHeight="1" x14ac:dyDescent="0.3">
      <c r="A463" s="241"/>
      <c r="B463" s="241"/>
      <c r="C463" s="241"/>
      <c r="D463" s="241"/>
      <c r="E463" s="241"/>
      <c r="F463" s="241"/>
      <c r="G463" s="241"/>
      <c r="H463" s="241"/>
      <c r="I463" s="241"/>
      <c r="J463" s="241"/>
      <c r="K463" s="241"/>
      <c r="L463" s="241"/>
      <c r="M463" s="241"/>
      <c r="N463" s="241"/>
      <c r="O463" s="241"/>
      <c r="P463" s="241"/>
      <c r="Q463" s="241"/>
      <c r="R463" s="241"/>
      <c r="S463" s="241"/>
      <c r="T463" s="241"/>
      <c r="U463" s="241"/>
      <c r="V463" s="241"/>
      <c r="W463" s="241"/>
      <c r="X463" s="241"/>
      <c r="Y463" s="241"/>
      <c r="Z463" s="241"/>
      <c r="AA463" s="241"/>
      <c r="AB463" s="241"/>
      <c r="AC463" s="241"/>
      <c r="AD463" s="241"/>
      <c r="AE463" s="241"/>
      <c r="AF463" s="241"/>
      <c r="AG463" s="241"/>
      <c r="AH463" s="241"/>
      <c r="AI463" s="241"/>
      <c r="AJ463" s="241"/>
      <c r="AK463" s="241"/>
      <c r="AL463" s="241"/>
      <c r="AM463" s="241"/>
      <c r="AN463" s="241"/>
      <c r="AO463" s="241"/>
      <c r="AP463" s="241"/>
      <c r="AQ463" s="241"/>
      <c r="AR463" s="241"/>
      <c r="AS463" s="241"/>
      <c r="AT463" s="241"/>
      <c r="AU463" s="241"/>
      <c r="AV463" s="241"/>
      <c r="AW463" s="241"/>
      <c r="AX463" s="241"/>
      <c r="AY463" s="241"/>
      <c r="AZ463" s="241"/>
      <c r="BA463" s="241"/>
      <c r="BB463" s="241"/>
      <c r="BC463" s="241"/>
      <c r="BD463" s="241"/>
      <c r="BE463" s="241"/>
      <c r="BF463" s="241"/>
      <c r="BG463" s="241"/>
      <c r="BH463" s="241"/>
      <c r="BI463" s="241"/>
      <c r="BJ463" s="241"/>
      <c r="BK463" s="241"/>
      <c r="BL463" s="241"/>
      <c r="BM463" s="241"/>
    </row>
    <row r="464" spans="1:65" ht="13.5" customHeight="1" x14ac:dyDescent="0.3">
      <c r="A464" s="241"/>
      <c r="B464" s="241"/>
      <c r="C464" s="241"/>
      <c r="D464" s="241"/>
      <c r="E464" s="241"/>
      <c r="F464" s="241"/>
      <c r="G464" s="241"/>
      <c r="H464" s="241"/>
      <c r="I464" s="241"/>
      <c r="J464" s="241"/>
      <c r="K464" s="241"/>
      <c r="L464" s="241"/>
      <c r="M464" s="241"/>
      <c r="N464" s="241"/>
      <c r="O464" s="241"/>
      <c r="P464" s="241"/>
      <c r="Q464" s="241"/>
      <c r="R464" s="241"/>
      <c r="S464" s="241"/>
      <c r="T464" s="241"/>
      <c r="U464" s="241"/>
      <c r="V464" s="241"/>
      <c r="W464" s="241"/>
      <c r="X464" s="241"/>
      <c r="Y464" s="241"/>
      <c r="Z464" s="241"/>
      <c r="AA464" s="241"/>
      <c r="AB464" s="241"/>
      <c r="AC464" s="241"/>
      <c r="AD464" s="241"/>
      <c r="AE464" s="241"/>
      <c r="AF464" s="241"/>
      <c r="AG464" s="241"/>
      <c r="AH464" s="241"/>
      <c r="AI464" s="241"/>
      <c r="AJ464" s="241"/>
      <c r="AK464" s="241"/>
      <c r="AL464" s="241"/>
      <c r="AM464" s="241"/>
      <c r="AN464" s="241"/>
      <c r="AO464" s="241"/>
      <c r="AP464" s="241"/>
      <c r="AQ464" s="241"/>
      <c r="AR464" s="241"/>
      <c r="AS464" s="241"/>
      <c r="AT464" s="241"/>
      <c r="AU464" s="241"/>
      <c r="AV464" s="241"/>
      <c r="AW464" s="241"/>
      <c r="AX464" s="241"/>
      <c r="AY464" s="241"/>
      <c r="AZ464" s="241"/>
      <c r="BA464" s="241"/>
      <c r="BB464" s="241"/>
      <c r="BC464" s="241"/>
      <c r="BD464" s="241"/>
      <c r="BE464" s="241"/>
      <c r="BF464" s="241"/>
      <c r="BG464" s="241"/>
      <c r="BH464" s="241"/>
      <c r="BI464" s="241"/>
      <c r="BJ464" s="241"/>
      <c r="BK464" s="241"/>
      <c r="BL464" s="241"/>
      <c r="BM464" s="241"/>
    </row>
    <row r="465" spans="1:65" ht="13.5" customHeight="1" x14ac:dyDescent="0.3">
      <c r="A465" s="241"/>
      <c r="B465" s="241"/>
      <c r="C465" s="241"/>
      <c r="D465" s="241"/>
      <c r="E465" s="241"/>
      <c r="F465" s="241"/>
      <c r="G465" s="241"/>
      <c r="H465" s="241"/>
      <c r="I465" s="241"/>
      <c r="J465" s="241"/>
      <c r="K465" s="241"/>
      <c r="L465" s="241"/>
      <c r="M465" s="241"/>
      <c r="N465" s="241"/>
      <c r="O465" s="241"/>
      <c r="P465" s="241"/>
      <c r="Q465" s="241"/>
      <c r="R465" s="241"/>
      <c r="S465" s="241"/>
      <c r="T465" s="241"/>
      <c r="U465" s="241"/>
      <c r="V465" s="241"/>
      <c r="W465" s="241"/>
      <c r="X465" s="241"/>
      <c r="Y465" s="241"/>
      <c r="Z465" s="241"/>
      <c r="AA465" s="241"/>
      <c r="AB465" s="241"/>
      <c r="AC465" s="241"/>
      <c r="AD465" s="241"/>
      <c r="AE465" s="241"/>
      <c r="AF465" s="241"/>
      <c r="AG465" s="241"/>
      <c r="AH465" s="241"/>
      <c r="AI465" s="241"/>
      <c r="AJ465" s="241"/>
      <c r="AK465" s="241"/>
      <c r="AL465" s="241"/>
      <c r="AM465" s="241"/>
      <c r="AN465" s="241"/>
      <c r="AO465" s="241"/>
      <c r="AP465" s="241"/>
      <c r="AQ465" s="241"/>
      <c r="AR465" s="241"/>
      <c r="AS465" s="241"/>
      <c r="AT465" s="241"/>
      <c r="AU465" s="241"/>
      <c r="AV465" s="241"/>
      <c r="AW465" s="241"/>
      <c r="AX465" s="241"/>
      <c r="AY465" s="241"/>
      <c r="AZ465" s="241"/>
      <c r="BA465" s="241"/>
      <c r="BB465" s="241"/>
      <c r="BC465" s="241"/>
      <c r="BD465" s="241"/>
      <c r="BE465" s="241"/>
      <c r="BF465" s="241"/>
      <c r="BG465" s="241"/>
      <c r="BH465" s="241"/>
      <c r="BI465" s="241"/>
      <c r="BJ465" s="241"/>
      <c r="BK465" s="241"/>
      <c r="BL465" s="241"/>
      <c r="BM465" s="241"/>
    </row>
    <row r="466" spans="1:65" ht="13.5" customHeight="1" x14ac:dyDescent="0.3">
      <c r="A466" s="241"/>
      <c r="B466" s="241"/>
      <c r="C466" s="241"/>
      <c r="D466" s="241"/>
      <c r="E466" s="241"/>
      <c r="F466" s="241"/>
      <c r="G466" s="241"/>
      <c r="H466" s="241"/>
      <c r="I466" s="241"/>
      <c r="J466" s="241"/>
      <c r="K466" s="241"/>
      <c r="L466" s="241"/>
      <c r="M466" s="241"/>
      <c r="N466" s="241"/>
      <c r="O466" s="241"/>
      <c r="P466" s="241"/>
      <c r="Q466" s="241"/>
      <c r="R466" s="241"/>
      <c r="S466" s="241"/>
      <c r="T466" s="241"/>
      <c r="U466" s="241"/>
      <c r="V466" s="241"/>
      <c r="W466" s="241"/>
      <c r="X466" s="241"/>
      <c r="Y466" s="241"/>
      <c r="Z466" s="241"/>
      <c r="AA466" s="241"/>
      <c r="AB466" s="241"/>
      <c r="AC466" s="241"/>
      <c r="AD466" s="241"/>
      <c r="AE466" s="241"/>
      <c r="AF466" s="241"/>
      <c r="AG466" s="241"/>
      <c r="AH466" s="241"/>
      <c r="AI466" s="241"/>
      <c r="AJ466" s="241"/>
      <c r="AK466" s="241"/>
      <c r="AL466" s="241"/>
      <c r="AM466" s="241"/>
      <c r="AN466" s="241"/>
      <c r="AO466" s="241"/>
      <c r="AP466" s="241"/>
      <c r="AQ466" s="241"/>
      <c r="AR466" s="241"/>
      <c r="AS466" s="241"/>
      <c r="AT466" s="241"/>
      <c r="AU466" s="241"/>
      <c r="AV466" s="241"/>
      <c r="AW466" s="241"/>
      <c r="AX466" s="241"/>
      <c r="AY466" s="241"/>
      <c r="AZ466" s="241"/>
      <c r="BA466" s="241"/>
      <c r="BB466" s="241"/>
      <c r="BC466" s="241"/>
      <c r="BD466" s="241"/>
      <c r="BE466" s="241"/>
      <c r="BF466" s="241"/>
      <c r="BG466" s="241"/>
      <c r="BH466" s="241"/>
      <c r="BI466" s="241"/>
      <c r="BJ466" s="241"/>
      <c r="BK466" s="241"/>
      <c r="BL466" s="241"/>
      <c r="BM466" s="241"/>
    </row>
    <row r="467" spans="1:65" ht="13.5" customHeight="1" x14ac:dyDescent="0.3">
      <c r="A467" s="241"/>
      <c r="B467" s="241"/>
      <c r="C467" s="241"/>
      <c r="D467" s="241"/>
      <c r="E467" s="241"/>
      <c r="F467" s="241"/>
      <c r="G467" s="241"/>
      <c r="H467" s="241"/>
      <c r="I467" s="241"/>
      <c r="J467" s="241"/>
      <c r="K467" s="241"/>
      <c r="L467" s="241"/>
      <c r="M467" s="241"/>
      <c r="N467" s="241"/>
      <c r="O467" s="241"/>
      <c r="P467" s="241"/>
      <c r="Q467" s="241"/>
      <c r="R467" s="241"/>
      <c r="S467" s="241"/>
      <c r="T467" s="241"/>
      <c r="U467" s="241"/>
      <c r="V467" s="241"/>
      <c r="W467" s="241"/>
      <c r="X467" s="241"/>
      <c r="Y467" s="241"/>
      <c r="Z467" s="241"/>
      <c r="AA467" s="241"/>
      <c r="AB467" s="241"/>
      <c r="AC467" s="241"/>
      <c r="AD467" s="241"/>
      <c r="AE467" s="241"/>
      <c r="AF467" s="241"/>
      <c r="AG467" s="241"/>
      <c r="AH467" s="241"/>
      <c r="AI467" s="241"/>
      <c r="AJ467" s="241"/>
      <c r="AK467" s="241"/>
      <c r="AL467" s="241"/>
      <c r="AM467" s="241"/>
      <c r="AN467" s="241"/>
      <c r="AO467" s="241"/>
      <c r="AP467" s="241"/>
      <c r="AQ467" s="241"/>
      <c r="AR467" s="241"/>
      <c r="AS467" s="241"/>
      <c r="AT467" s="241"/>
      <c r="AU467" s="241"/>
      <c r="AV467" s="241"/>
      <c r="AW467" s="241"/>
      <c r="AX467" s="241"/>
      <c r="AY467" s="241"/>
      <c r="AZ467" s="241"/>
      <c r="BA467" s="241"/>
      <c r="BB467" s="241"/>
      <c r="BC467" s="241"/>
      <c r="BD467" s="241"/>
      <c r="BE467" s="241"/>
      <c r="BF467" s="241"/>
      <c r="BG467" s="241"/>
      <c r="BH467" s="241"/>
      <c r="BI467" s="241"/>
      <c r="BJ467" s="241"/>
      <c r="BK467" s="241"/>
      <c r="BL467" s="241"/>
      <c r="BM467" s="241"/>
    </row>
    <row r="468" spans="1:65" ht="13.5" customHeight="1" x14ac:dyDescent="0.3">
      <c r="A468" s="241"/>
      <c r="B468" s="241"/>
      <c r="C468" s="241"/>
      <c r="D468" s="241"/>
      <c r="E468" s="241"/>
      <c r="F468" s="241"/>
      <c r="G468" s="241"/>
      <c r="H468" s="241"/>
      <c r="I468" s="241"/>
      <c r="J468" s="241"/>
      <c r="K468" s="241"/>
      <c r="L468" s="241"/>
      <c r="M468" s="241"/>
      <c r="N468" s="241"/>
      <c r="O468" s="241"/>
      <c r="P468" s="241"/>
      <c r="Q468" s="241"/>
      <c r="R468" s="241"/>
      <c r="S468" s="241"/>
      <c r="T468" s="241"/>
      <c r="U468" s="241"/>
      <c r="V468" s="241"/>
      <c r="W468" s="241"/>
      <c r="X468" s="241"/>
      <c r="Y468" s="241"/>
      <c r="Z468" s="241"/>
      <c r="AA468" s="241"/>
      <c r="AB468" s="241"/>
      <c r="AC468" s="241"/>
      <c r="AD468" s="241"/>
      <c r="AE468" s="241"/>
      <c r="AF468" s="241"/>
      <c r="AG468" s="241"/>
      <c r="AH468" s="241"/>
      <c r="AI468" s="241"/>
      <c r="AJ468" s="241"/>
      <c r="AK468" s="241"/>
      <c r="AL468" s="241"/>
      <c r="AM468" s="241"/>
      <c r="AN468" s="241"/>
      <c r="AO468" s="241"/>
      <c r="AP468" s="241"/>
      <c r="AQ468" s="241"/>
      <c r="AR468" s="241"/>
      <c r="AS468" s="241"/>
      <c r="AT468" s="241"/>
      <c r="AU468" s="241"/>
      <c r="AV468" s="241"/>
      <c r="AW468" s="241"/>
      <c r="AX468" s="241"/>
      <c r="AY468" s="241"/>
      <c r="AZ468" s="241"/>
      <c r="BA468" s="241"/>
      <c r="BB468" s="241"/>
      <c r="BC468" s="241"/>
      <c r="BD468" s="241"/>
      <c r="BE468" s="241"/>
      <c r="BF468" s="241"/>
      <c r="BG468" s="241"/>
      <c r="BH468" s="241"/>
      <c r="BI468" s="241"/>
      <c r="BJ468" s="241"/>
      <c r="BK468" s="241"/>
      <c r="BL468" s="241"/>
      <c r="BM468" s="241"/>
    </row>
    <row r="469" spans="1:65" ht="13.5" customHeight="1" x14ac:dyDescent="0.3">
      <c r="A469" s="241"/>
      <c r="B469" s="241"/>
      <c r="C469" s="241"/>
      <c r="D469" s="241"/>
      <c r="E469" s="241"/>
      <c r="F469" s="241"/>
      <c r="G469" s="241"/>
      <c r="H469" s="241"/>
      <c r="I469" s="241"/>
      <c r="J469" s="241"/>
      <c r="K469" s="241"/>
      <c r="L469" s="241"/>
      <c r="M469" s="241"/>
      <c r="N469" s="241"/>
      <c r="O469" s="241"/>
      <c r="P469" s="241"/>
      <c r="Q469" s="241"/>
      <c r="R469" s="241"/>
      <c r="S469" s="241"/>
      <c r="T469" s="241"/>
      <c r="U469" s="241"/>
      <c r="V469" s="241"/>
      <c r="W469" s="241"/>
      <c r="X469" s="241"/>
      <c r="Y469" s="241"/>
      <c r="Z469" s="241"/>
      <c r="AA469" s="241"/>
      <c r="AB469" s="241"/>
      <c r="AC469" s="241"/>
      <c r="AD469" s="241"/>
      <c r="AE469" s="241"/>
      <c r="AF469" s="241"/>
      <c r="AG469" s="241"/>
      <c r="AH469" s="241"/>
      <c r="AI469" s="241"/>
      <c r="AJ469" s="241"/>
      <c r="AK469" s="241"/>
      <c r="AL469" s="241"/>
      <c r="AM469" s="241"/>
      <c r="AN469" s="241"/>
      <c r="AO469" s="241"/>
      <c r="AP469" s="241"/>
      <c r="AQ469" s="241"/>
      <c r="AR469" s="241"/>
      <c r="AS469" s="241"/>
      <c r="AT469" s="241"/>
      <c r="AU469" s="241"/>
      <c r="AV469" s="241"/>
      <c r="AW469" s="241"/>
      <c r="AX469" s="241"/>
      <c r="AY469" s="241"/>
      <c r="AZ469" s="241"/>
      <c r="BA469" s="241"/>
      <c r="BB469" s="241"/>
      <c r="BC469" s="241"/>
      <c r="BD469" s="241"/>
      <c r="BE469" s="241"/>
      <c r="BF469" s="241"/>
      <c r="BG469" s="241"/>
      <c r="BH469" s="241"/>
      <c r="BI469" s="241"/>
      <c r="BJ469" s="241"/>
      <c r="BK469" s="241"/>
      <c r="BL469" s="241"/>
      <c r="BM469" s="241"/>
    </row>
    <row r="470" spans="1:65" ht="13.5" customHeight="1" x14ac:dyDescent="0.3">
      <c r="A470" s="241"/>
      <c r="B470" s="241"/>
      <c r="C470" s="241"/>
      <c r="D470" s="241"/>
      <c r="E470" s="241"/>
      <c r="F470" s="241"/>
      <c r="G470" s="241"/>
      <c r="H470" s="241"/>
      <c r="I470" s="241"/>
      <c r="J470" s="241"/>
      <c r="K470" s="241"/>
      <c r="L470" s="241"/>
      <c r="M470" s="241"/>
      <c r="N470" s="241"/>
      <c r="O470" s="241"/>
      <c r="P470" s="241"/>
      <c r="Q470" s="241"/>
      <c r="R470" s="241"/>
      <c r="S470" s="241"/>
      <c r="T470" s="241"/>
      <c r="U470" s="241"/>
      <c r="V470" s="241"/>
      <c r="W470" s="241"/>
      <c r="X470" s="241"/>
      <c r="Y470" s="241"/>
      <c r="Z470" s="241"/>
      <c r="AA470" s="241"/>
      <c r="AB470" s="241"/>
      <c r="AC470" s="241"/>
      <c r="AD470" s="241"/>
      <c r="AE470" s="241"/>
      <c r="AF470" s="241"/>
      <c r="AG470" s="241"/>
      <c r="AH470" s="241"/>
      <c r="AI470" s="241"/>
      <c r="AJ470" s="241"/>
      <c r="AK470" s="241"/>
      <c r="AL470" s="241"/>
      <c r="AM470" s="241"/>
      <c r="AN470" s="241"/>
      <c r="AO470" s="241"/>
      <c r="AP470" s="241"/>
      <c r="AQ470" s="241"/>
      <c r="AR470" s="241"/>
      <c r="AS470" s="241"/>
      <c r="AT470" s="241"/>
      <c r="AU470" s="241"/>
      <c r="AV470" s="241"/>
      <c r="AW470" s="241"/>
      <c r="AX470" s="241"/>
      <c r="AY470" s="241"/>
      <c r="AZ470" s="241"/>
      <c r="BA470" s="241"/>
      <c r="BB470" s="241"/>
      <c r="BC470" s="241"/>
      <c r="BD470" s="241"/>
      <c r="BE470" s="241"/>
      <c r="BF470" s="241"/>
      <c r="BG470" s="241"/>
      <c r="BH470" s="241"/>
      <c r="BI470" s="241"/>
      <c r="BJ470" s="241"/>
      <c r="BK470" s="241"/>
      <c r="BL470" s="241"/>
      <c r="BM470" s="241"/>
    </row>
    <row r="471" spans="1:65" ht="13.5" customHeight="1" x14ac:dyDescent="0.3">
      <c r="A471" s="241"/>
      <c r="B471" s="241"/>
      <c r="C471" s="241"/>
      <c r="D471" s="241"/>
      <c r="E471" s="241"/>
      <c r="F471" s="241"/>
      <c r="G471" s="241"/>
      <c r="H471" s="241"/>
      <c r="I471" s="241"/>
      <c r="J471" s="241"/>
      <c r="K471" s="241"/>
      <c r="L471" s="241"/>
      <c r="M471" s="241"/>
      <c r="N471" s="241"/>
      <c r="O471" s="241"/>
      <c r="P471" s="241"/>
      <c r="Q471" s="241"/>
      <c r="R471" s="241"/>
      <c r="S471" s="241"/>
      <c r="T471" s="241"/>
      <c r="U471" s="241"/>
      <c r="V471" s="241"/>
      <c r="W471" s="241"/>
      <c r="X471" s="241"/>
      <c r="Y471" s="241"/>
      <c r="Z471" s="241"/>
      <c r="AA471" s="241"/>
      <c r="AB471" s="241"/>
      <c r="AC471" s="241"/>
      <c r="AD471" s="241"/>
      <c r="AE471" s="241"/>
      <c r="AF471" s="241"/>
      <c r="AG471" s="241"/>
      <c r="AH471" s="241"/>
      <c r="AI471" s="241"/>
      <c r="AJ471" s="241"/>
      <c r="AK471" s="241"/>
      <c r="AL471" s="241"/>
      <c r="AM471" s="241"/>
      <c r="AN471" s="241"/>
      <c r="AO471" s="241"/>
      <c r="AP471" s="241"/>
      <c r="AQ471" s="241"/>
      <c r="AR471" s="241"/>
      <c r="AS471" s="241"/>
      <c r="AT471" s="241"/>
      <c r="AU471" s="241"/>
      <c r="AV471" s="241"/>
      <c r="AW471" s="241"/>
      <c r="AX471" s="241"/>
      <c r="AY471" s="241"/>
      <c r="AZ471" s="241"/>
      <c r="BA471" s="241"/>
      <c r="BB471" s="241"/>
      <c r="BC471" s="241"/>
      <c r="BD471" s="241"/>
      <c r="BE471" s="241"/>
      <c r="BF471" s="241"/>
      <c r="BG471" s="241"/>
      <c r="BH471" s="241"/>
      <c r="BI471" s="241"/>
      <c r="BJ471" s="241"/>
      <c r="BK471" s="241"/>
      <c r="BL471" s="241"/>
      <c r="BM471" s="241"/>
    </row>
    <row r="472" spans="1:65" ht="13.5" customHeight="1" x14ac:dyDescent="0.3">
      <c r="A472" s="241"/>
      <c r="B472" s="241"/>
      <c r="C472" s="241"/>
      <c r="D472" s="241"/>
      <c r="E472" s="241"/>
      <c r="F472" s="241"/>
      <c r="G472" s="241"/>
      <c r="H472" s="241"/>
      <c r="I472" s="241"/>
      <c r="J472" s="241"/>
      <c r="K472" s="241"/>
      <c r="L472" s="241"/>
      <c r="M472" s="241"/>
      <c r="N472" s="241"/>
      <c r="O472" s="241"/>
      <c r="P472" s="241"/>
      <c r="Q472" s="241"/>
      <c r="R472" s="241"/>
      <c r="S472" s="241"/>
      <c r="T472" s="241"/>
      <c r="U472" s="241"/>
      <c r="V472" s="241"/>
      <c r="W472" s="241"/>
      <c r="X472" s="241"/>
      <c r="Y472" s="241"/>
      <c r="Z472" s="241"/>
      <c r="AA472" s="241"/>
      <c r="AB472" s="241"/>
      <c r="AC472" s="241"/>
      <c r="AD472" s="241"/>
      <c r="AE472" s="241"/>
      <c r="AF472" s="241"/>
      <c r="AG472" s="241"/>
      <c r="AH472" s="241"/>
      <c r="AI472" s="241"/>
      <c r="AJ472" s="241"/>
      <c r="AK472" s="241"/>
      <c r="AL472" s="241"/>
      <c r="AM472" s="241"/>
      <c r="AN472" s="241"/>
      <c r="AO472" s="241"/>
      <c r="AP472" s="241"/>
      <c r="AQ472" s="241"/>
      <c r="AR472" s="241"/>
      <c r="AS472" s="241"/>
      <c r="AT472" s="241"/>
      <c r="AU472" s="241"/>
      <c r="AV472" s="241"/>
      <c r="AW472" s="241"/>
      <c r="AX472" s="241"/>
      <c r="AY472" s="241"/>
      <c r="AZ472" s="241"/>
      <c r="BA472" s="241"/>
      <c r="BB472" s="241"/>
      <c r="BC472" s="241"/>
      <c r="BD472" s="241"/>
      <c r="BE472" s="241"/>
      <c r="BF472" s="241"/>
      <c r="BG472" s="241"/>
      <c r="BH472" s="241"/>
      <c r="BI472" s="241"/>
      <c r="BJ472" s="241"/>
      <c r="BK472" s="241"/>
      <c r="BL472" s="241"/>
      <c r="BM472" s="241"/>
    </row>
    <row r="473" spans="1:65" ht="13.5" customHeight="1" x14ac:dyDescent="0.3">
      <c r="A473" s="241"/>
      <c r="B473" s="241"/>
      <c r="C473" s="241"/>
      <c r="D473" s="241"/>
      <c r="E473" s="241"/>
      <c r="F473" s="241"/>
      <c r="G473" s="241"/>
      <c r="H473" s="241"/>
      <c r="I473" s="241"/>
      <c r="J473" s="241"/>
      <c r="K473" s="241"/>
      <c r="L473" s="241"/>
      <c r="M473" s="241"/>
      <c r="N473" s="241"/>
      <c r="O473" s="241"/>
      <c r="P473" s="241"/>
      <c r="Q473" s="241"/>
      <c r="R473" s="241"/>
      <c r="S473" s="241"/>
      <c r="T473" s="241"/>
      <c r="U473" s="241"/>
      <c r="V473" s="241"/>
      <c r="W473" s="241"/>
      <c r="X473" s="241"/>
      <c r="Y473" s="241"/>
      <c r="Z473" s="241"/>
      <c r="AA473" s="241"/>
      <c r="AB473" s="241"/>
      <c r="AC473" s="241"/>
      <c r="AD473" s="241"/>
      <c r="AE473" s="241"/>
      <c r="AF473" s="241"/>
      <c r="AG473" s="241"/>
      <c r="AH473" s="241"/>
      <c r="AI473" s="241"/>
      <c r="AJ473" s="241"/>
      <c r="AK473" s="241"/>
      <c r="AL473" s="241"/>
      <c r="AM473" s="241"/>
      <c r="AN473" s="241"/>
      <c r="AO473" s="241"/>
      <c r="AP473" s="241"/>
      <c r="AQ473" s="241"/>
      <c r="AR473" s="241"/>
      <c r="AS473" s="241"/>
      <c r="AT473" s="241"/>
      <c r="AU473" s="241"/>
      <c r="AV473" s="241"/>
      <c r="AW473" s="241"/>
      <c r="AX473" s="241"/>
      <c r="AY473" s="241"/>
      <c r="AZ473" s="241"/>
      <c r="BA473" s="241"/>
      <c r="BB473" s="241"/>
      <c r="BC473" s="241"/>
      <c r="BD473" s="241"/>
      <c r="BE473" s="241"/>
      <c r="BF473" s="241"/>
      <c r="BG473" s="241"/>
      <c r="BH473" s="241"/>
      <c r="BI473" s="241"/>
      <c r="BJ473" s="241"/>
      <c r="BK473" s="241"/>
      <c r="BL473" s="241"/>
      <c r="BM473" s="241"/>
    </row>
    <row r="474" spans="1:65" ht="13.5" customHeight="1" x14ac:dyDescent="0.3">
      <c r="A474" s="241"/>
      <c r="B474" s="241"/>
      <c r="C474" s="241"/>
      <c r="D474" s="241"/>
      <c r="E474" s="241"/>
      <c r="F474" s="241"/>
      <c r="G474" s="241"/>
      <c r="H474" s="241"/>
      <c r="I474" s="241"/>
      <c r="J474" s="241"/>
      <c r="K474" s="241"/>
      <c r="L474" s="241"/>
      <c r="M474" s="241"/>
      <c r="N474" s="241"/>
      <c r="O474" s="241"/>
      <c r="P474" s="241"/>
      <c r="Q474" s="241"/>
      <c r="R474" s="241"/>
      <c r="S474" s="241"/>
      <c r="T474" s="241"/>
      <c r="U474" s="241"/>
      <c r="V474" s="241"/>
      <c r="W474" s="241"/>
      <c r="X474" s="241"/>
      <c r="Y474" s="241"/>
      <c r="Z474" s="241"/>
      <c r="AA474" s="241"/>
      <c r="AB474" s="241"/>
      <c r="AC474" s="241"/>
      <c r="AD474" s="241"/>
      <c r="AE474" s="241"/>
      <c r="AF474" s="241"/>
      <c r="AG474" s="241"/>
      <c r="AH474" s="241"/>
      <c r="AI474" s="241"/>
      <c r="AJ474" s="241"/>
      <c r="AK474" s="241"/>
      <c r="AL474" s="241"/>
      <c r="AM474" s="241"/>
      <c r="AN474" s="241"/>
      <c r="AO474" s="241"/>
      <c r="AP474" s="241"/>
      <c r="AQ474" s="241"/>
      <c r="AR474" s="241"/>
      <c r="AS474" s="241"/>
      <c r="AT474" s="241"/>
      <c r="AU474" s="241"/>
      <c r="AV474" s="241"/>
      <c r="AW474" s="241"/>
      <c r="AX474" s="241"/>
      <c r="AY474" s="241"/>
      <c r="AZ474" s="241"/>
      <c r="BA474" s="241"/>
      <c r="BB474" s="241"/>
      <c r="BC474" s="241"/>
      <c r="BD474" s="241"/>
      <c r="BE474" s="241"/>
      <c r="BF474" s="241"/>
      <c r="BG474" s="241"/>
      <c r="BH474" s="241"/>
      <c r="BI474" s="241"/>
      <c r="BJ474" s="241"/>
      <c r="BK474" s="241"/>
      <c r="BL474" s="241"/>
      <c r="BM474" s="241"/>
    </row>
    <row r="475" spans="1:65" ht="13.5" customHeight="1" x14ac:dyDescent="0.3">
      <c r="A475" s="241"/>
      <c r="B475" s="241"/>
      <c r="C475" s="241"/>
      <c r="D475" s="241"/>
      <c r="E475" s="241"/>
      <c r="F475" s="241"/>
      <c r="G475" s="241"/>
      <c r="H475" s="241"/>
      <c r="I475" s="241"/>
      <c r="J475" s="241"/>
      <c r="K475" s="241"/>
      <c r="L475" s="241"/>
      <c r="M475" s="241"/>
      <c r="N475" s="241"/>
      <c r="O475" s="241"/>
      <c r="P475" s="241"/>
      <c r="Q475" s="241"/>
      <c r="R475" s="241"/>
      <c r="S475" s="241"/>
      <c r="T475" s="241"/>
      <c r="U475" s="241"/>
      <c r="V475" s="241"/>
      <c r="W475" s="241"/>
      <c r="X475" s="241"/>
      <c r="Y475" s="241"/>
      <c r="Z475" s="241"/>
      <c r="AA475" s="241"/>
      <c r="AB475" s="241"/>
      <c r="AC475" s="241"/>
      <c r="AD475" s="241"/>
      <c r="AE475" s="241"/>
      <c r="AF475" s="241"/>
      <c r="AG475" s="241"/>
      <c r="AH475" s="241"/>
      <c r="AI475" s="241"/>
      <c r="AJ475" s="241"/>
      <c r="AK475" s="241"/>
      <c r="AL475" s="241"/>
      <c r="AM475" s="241"/>
      <c r="AN475" s="241"/>
      <c r="AO475" s="241"/>
      <c r="AP475" s="241"/>
      <c r="AQ475" s="241"/>
      <c r="AR475" s="241"/>
      <c r="AS475" s="241"/>
      <c r="AT475" s="241"/>
      <c r="AU475" s="241"/>
      <c r="AV475" s="241"/>
      <c r="AW475" s="241"/>
      <c r="AX475" s="241"/>
      <c r="AY475" s="241"/>
      <c r="AZ475" s="241"/>
      <c r="BA475" s="241"/>
      <c r="BB475" s="241"/>
      <c r="BC475" s="241"/>
      <c r="BD475" s="241"/>
      <c r="BE475" s="241"/>
      <c r="BF475" s="241"/>
      <c r="BG475" s="241"/>
      <c r="BH475" s="241"/>
      <c r="BI475" s="241"/>
      <c r="BJ475" s="241"/>
      <c r="BK475" s="241"/>
      <c r="BL475" s="241"/>
      <c r="BM475" s="241"/>
    </row>
    <row r="476" spans="1:65" ht="13.5" customHeight="1" x14ac:dyDescent="0.3">
      <c r="A476" s="241"/>
      <c r="B476" s="241"/>
      <c r="C476" s="241"/>
      <c r="D476" s="241"/>
      <c r="E476" s="241"/>
      <c r="F476" s="241"/>
      <c r="G476" s="241"/>
      <c r="H476" s="241"/>
      <c r="I476" s="241"/>
      <c r="J476" s="241"/>
      <c r="K476" s="241"/>
      <c r="L476" s="241"/>
      <c r="M476" s="241"/>
      <c r="N476" s="241"/>
      <c r="O476" s="241"/>
      <c r="P476" s="241"/>
      <c r="Q476" s="241"/>
      <c r="R476" s="241"/>
      <c r="S476" s="241"/>
      <c r="T476" s="241"/>
      <c r="U476" s="241"/>
      <c r="V476" s="241"/>
      <c r="W476" s="241"/>
      <c r="X476" s="241"/>
      <c r="Y476" s="241"/>
      <c r="Z476" s="241"/>
      <c r="AA476" s="241"/>
      <c r="AB476" s="241"/>
      <c r="AC476" s="241"/>
      <c r="AD476" s="241"/>
      <c r="AE476" s="241"/>
      <c r="AF476" s="241"/>
      <c r="AG476" s="241"/>
      <c r="AH476" s="241"/>
      <c r="AI476" s="241"/>
      <c r="AJ476" s="241"/>
      <c r="AK476" s="241"/>
      <c r="AL476" s="241"/>
      <c r="AM476" s="241"/>
      <c r="AN476" s="241"/>
      <c r="AO476" s="241"/>
      <c r="AP476" s="241"/>
      <c r="AQ476" s="241"/>
      <c r="AR476" s="241"/>
      <c r="AS476" s="241"/>
      <c r="AT476" s="241"/>
      <c r="AU476" s="241"/>
      <c r="AV476" s="241"/>
      <c r="AW476" s="241"/>
      <c r="AX476" s="241"/>
      <c r="AY476" s="241"/>
      <c r="AZ476" s="241"/>
      <c r="BA476" s="241"/>
      <c r="BB476" s="241"/>
      <c r="BC476" s="241"/>
      <c r="BD476" s="241"/>
      <c r="BE476" s="241"/>
      <c r="BF476" s="241"/>
      <c r="BG476" s="241"/>
      <c r="BH476" s="241"/>
      <c r="BI476" s="241"/>
      <c r="BJ476" s="241"/>
      <c r="BK476" s="241"/>
      <c r="BL476" s="241"/>
      <c r="BM476" s="241"/>
    </row>
    <row r="477" spans="1:65" ht="13.5" customHeight="1" x14ac:dyDescent="0.3">
      <c r="A477" s="241"/>
      <c r="B477" s="241"/>
      <c r="C477" s="241"/>
      <c r="D477" s="241"/>
      <c r="E477" s="241"/>
      <c r="F477" s="241"/>
      <c r="G477" s="241"/>
      <c r="H477" s="241"/>
      <c r="I477" s="241"/>
      <c r="J477" s="241"/>
      <c r="K477" s="241"/>
      <c r="L477" s="241"/>
      <c r="M477" s="241"/>
      <c r="N477" s="241"/>
      <c r="O477" s="241"/>
      <c r="P477" s="241"/>
      <c r="Q477" s="241"/>
      <c r="R477" s="241"/>
      <c r="S477" s="241"/>
      <c r="T477" s="241"/>
      <c r="U477" s="241"/>
      <c r="V477" s="241"/>
      <c r="W477" s="241"/>
      <c r="X477" s="241"/>
      <c r="Y477" s="241"/>
      <c r="Z477" s="241"/>
      <c r="AA477" s="241"/>
      <c r="AB477" s="241"/>
      <c r="AC477" s="241"/>
      <c r="AD477" s="241"/>
      <c r="AE477" s="241"/>
      <c r="AF477" s="241"/>
      <c r="AG477" s="241"/>
      <c r="AH477" s="241"/>
      <c r="AI477" s="241"/>
      <c r="AJ477" s="241"/>
      <c r="AK477" s="241"/>
      <c r="AL477" s="241"/>
      <c r="AM477" s="241"/>
      <c r="AN477" s="241"/>
      <c r="AO477" s="241"/>
      <c r="AP477" s="241"/>
      <c r="AQ477" s="241"/>
      <c r="AR477" s="241"/>
      <c r="AS477" s="241"/>
      <c r="AT477" s="241"/>
      <c r="AU477" s="241"/>
      <c r="AV477" s="241"/>
      <c r="AW477" s="241"/>
      <c r="AX477" s="241"/>
      <c r="AY477" s="241"/>
      <c r="AZ477" s="241"/>
      <c r="BA477" s="241"/>
      <c r="BB477" s="241"/>
      <c r="BC477" s="241"/>
      <c r="BD477" s="241"/>
      <c r="BE477" s="241"/>
      <c r="BF477" s="241"/>
      <c r="BG477" s="241"/>
      <c r="BH477" s="241"/>
      <c r="BI477" s="241"/>
      <c r="BJ477" s="241"/>
      <c r="BK477" s="241"/>
      <c r="BL477" s="241"/>
      <c r="BM477" s="241"/>
    </row>
    <row r="478" spans="1:65" ht="13.5" customHeight="1" x14ac:dyDescent="0.3">
      <c r="A478" s="241"/>
      <c r="B478" s="241"/>
      <c r="C478" s="241"/>
      <c r="D478" s="241"/>
      <c r="E478" s="241"/>
      <c r="F478" s="241"/>
      <c r="G478" s="241"/>
      <c r="H478" s="241"/>
      <c r="I478" s="241"/>
      <c r="J478" s="241"/>
      <c r="K478" s="241"/>
      <c r="L478" s="241"/>
      <c r="M478" s="241"/>
      <c r="N478" s="241"/>
      <c r="O478" s="241"/>
      <c r="P478" s="241"/>
      <c r="Q478" s="241"/>
      <c r="R478" s="241"/>
      <c r="S478" s="241"/>
      <c r="T478" s="241"/>
      <c r="U478" s="241"/>
      <c r="V478" s="241"/>
      <c r="W478" s="241"/>
      <c r="X478" s="241"/>
      <c r="Y478" s="241"/>
      <c r="Z478" s="241"/>
      <c r="AA478" s="241"/>
      <c r="AB478" s="241"/>
      <c r="AC478" s="241"/>
      <c r="AD478" s="241"/>
      <c r="AE478" s="241"/>
      <c r="AF478" s="241"/>
      <c r="AG478" s="241"/>
      <c r="AH478" s="241"/>
      <c r="AI478" s="241"/>
      <c r="AJ478" s="241"/>
      <c r="AK478" s="241"/>
      <c r="AL478" s="241"/>
      <c r="AM478" s="241"/>
      <c r="AN478" s="241"/>
      <c r="AO478" s="241"/>
      <c r="AP478" s="241"/>
      <c r="AQ478" s="241"/>
      <c r="AR478" s="241"/>
      <c r="AS478" s="241"/>
      <c r="AT478" s="241"/>
      <c r="AU478" s="241"/>
      <c r="AV478" s="241"/>
      <c r="AW478" s="241"/>
      <c r="AX478" s="241"/>
      <c r="AY478" s="241"/>
      <c r="AZ478" s="241"/>
      <c r="BA478" s="241"/>
      <c r="BB478" s="241"/>
      <c r="BC478" s="241"/>
      <c r="BD478" s="241"/>
      <c r="BE478" s="241"/>
      <c r="BF478" s="241"/>
      <c r="BG478" s="241"/>
      <c r="BH478" s="241"/>
      <c r="BI478" s="241"/>
      <c r="BJ478" s="241"/>
      <c r="BK478" s="241"/>
      <c r="BL478" s="241"/>
      <c r="BM478" s="241"/>
    </row>
    <row r="479" spans="1:65" ht="13.5" customHeight="1" x14ac:dyDescent="0.3">
      <c r="A479" s="241"/>
      <c r="B479" s="241"/>
      <c r="C479" s="241"/>
      <c r="D479" s="241"/>
      <c r="E479" s="241"/>
      <c r="F479" s="241"/>
      <c r="G479" s="241"/>
      <c r="H479" s="241"/>
      <c r="I479" s="241"/>
      <c r="J479" s="241"/>
      <c r="K479" s="241"/>
      <c r="L479" s="241"/>
      <c r="M479" s="241"/>
      <c r="N479" s="241"/>
      <c r="O479" s="241"/>
      <c r="P479" s="241"/>
      <c r="Q479" s="241"/>
      <c r="R479" s="241"/>
      <c r="S479" s="241"/>
      <c r="T479" s="241"/>
      <c r="U479" s="241"/>
      <c r="V479" s="241"/>
      <c r="W479" s="241"/>
      <c r="X479" s="241"/>
      <c r="Y479" s="241"/>
      <c r="Z479" s="241"/>
      <c r="AA479" s="241"/>
      <c r="AB479" s="241"/>
      <c r="AC479" s="241"/>
      <c r="AD479" s="241"/>
      <c r="AE479" s="241"/>
      <c r="AF479" s="241"/>
      <c r="AG479" s="241"/>
      <c r="AH479" s="241"/>
      <c r="AI479" s="241"/>
      <c r="AJ479" s="241"/>
      <c r="AK479" s="241"/>
      <c r="AL479" s="241"/>
      <c r="AM479" s="241"/>
      <c r="AN479" s="241"/>
      <c r="AO479" s="241"/>
      <c r="AP479" s="241"/>
      <c r="AQ479" s="241"/>
      <c r="AR479" s="241"/>
      <c r="AS479" s="241"/>
      <c r="AT479" s="241"/>
      <c r="AU479" s="241"/>
      <c r="AV479" s="241"/>
      <c r="AW479" s="241"/>
      <c r="AX479" s="241"/>
      <c r="AY479" s="241"/>
      <c r="AZ479" s="241"/>
      <c r="BA479" s="241"/>
      <c r="BB479" s="241"/>
      <c r="BC479" s="241"/>
      <c r="BD479" s="241"/>
      <c r="BE479" s="241"/>
      <c r="BF479" s="241"/>
      <c r="BG479" s="241"/>
      <c r="BH479" s="241"/>
      <c r="BI479" s="241"/>
      <c r="BJ479" s="241"/>
      <c r="BK479" s="241"/>
      <c r="BL479" s="241"/>
      <c r="BM479" s="241"/>
    </row>
    <row r="480" spans="1:65" ht="13.5" customHeight="1" x14ac:dyDescent="0.3">
      <c r="A480" s="241"/>
      <c r="B480" s="241"/>
      <c r="C480" s="241"/>
      <c r="D480" s="241"/>
      <c r="E480" s="241"/>
      <c r="F480" s="241"/>
      <c r="G480" s="241"/>
      <c r="H480" s="241"/>
      <c r="I480" s="241"/>
      <c r="J480" s="241"/>
      <c r="K480" s="241"/>
      <c r="L480" s="241"/>
      <c r="M480" s="241"/>
      <c r="N480" s="241"/>
      <c r="O480" s="241"/>
      <c r="P480" s="241"/>
      <c r="Q480" s="241"/>
      <c r="R480" s="241"/>
      <c r="S480" s="241"/>
      <c r="T480" s="241"/>
      <c r="U480" s="241"/>
      <c r="V480" s="241"/>
      <c r="W480" s="241"/>
      <c r="X480" s="241"/>
      <c r="Y480" s="241"/>
      <c r="Z480" s="241"/>
      <c r="AA480" s="241"/>
      <c r="AB480" s="241"/>
      <c r="AC480" s="241"/>
      <c r="AD480" s="241"/>
      <c r="AE480" s="241"/>
      <c r="AF480" s="241"/>
      <c r="AG480" s="241"/>
      <c r="AH480" s="241"/>
      <c r="AI480" s="241"/>
      <c r="AJ480" s="241"/>
      <c r="AK480" s="241"/>
      <c r="AL480" s="241"/>
      <c r="AM480" s="241"/>
      <c r="AN480" s="241"/>
      <c r="AO480" s="241"/>
      <c r="AP480" s="241"/>
      <c r="AQ480" s="241"/>
      <c r="AR480" s="241"/>
      <c r="AS480" s="241"/>
      <c r="AT480" s="241"/>
      <c r="AU480" s="241"/>
      <c r="AV480" s="241"/>
      <c r="AW480" s="241"/>
      <c r="AX480" s="241"/>
      <c r="AY480" s="241"/>
      <c r="AZ480" s="241"/>
      <c r="BA480" s="241"/>
      <c r="BB480" s="241"/>
      <c r="BC480" s="241"/>
      <c r="BD480" s="241"/>
      <c r="BE480" s="241"/>
      <c r="BF480" s="241"/>
      <c r="BG480" s="241"/>
      <c r="BH480" s="241"/>
      <c r="BI480" s="241"/>
      <c r="BJ480" s="241"/>
      <c r="BK480" s="241"/>
      <c r="BL480" s="241"/>
      <c r="BM480" s="241"/>
    </row>
    <row r="481" spans="1:65" ht="13.5" customHeight="1" x14ac:dyDescent="0.3">
      <c r="A481" s="241"/>
      <c r="B481" s="241"/>
      <c r="C481" s="241"/>
      <c r="D481" s="241"/>
      <c r="E481" s="241"/>
      <c r="F481" s="241"/>
      <c r="G481" s="241"/>
      <c r="H481" s="241"/>
      <c r="I481" s="241"/>
      <c r="J481" s="241"/>
      <c r="K481" s="241"/>
      <c r="L481" s="241"/>
      <c r="M481" s="241"/>
      <c r="N481" s="241"/>
      <c r="O481" s="241"/>
      <c r="P481" s="241"/>
      <c r="Q481" s="241"/>
      <c r="R481" s="241"/>
      <c r="S481" s="241"/>
      <c r="T481" s="241"/>
      <c r="U481" s="241"/>
      <c r="V481" s="241"/>
      <c r="W481" s="241"/>
      <c r="X481" s="241"/>
      <c r="Y481" s="241"/>
      <c r="Z481" s="241"/>
      <c r="AA481" s="241"/>
      <c r="AB481" s="241"/>
      <c r="AC481" s="241"/>
      <c r="AD481" s="241"/>
      <c r="AE481" s="241"/>
      <c r="AF481" s="241"/>
      <c r="AG481" s="241"/>
      <c r="AH481" s="241"/>
      <c r="AI481" s="241"/>
      <c r="AJ481" s="241"/>
      <c r="AK481" s="241"/>
      <c r="AL481" s="241"/>
      <c r="AM481" s="241"/>
      <c r="AN481" s="241"/>
      <c r="AO481" s="241"/>
      <c r="AP481" s="241"/>
      <c r="AQ481" s="241"/>
      <c r="AR481" s="241"/>
      <c r="AS481" s="241"/>
      <c r="AT481" s="241"/>
      <c r="AU481" s="241"/>
      <c r="AV481" s="241"/>
      <c r="AW481" s="241"/>
      <c r="AX481" s="241"/>
      <c r="AY481" s="241"/>
      <c r="AZ481" s="241"/>
      <c r="BA481" s="241"/>
      <c r="BB481" s="241"/>
      <c r="BC481" s="241"/>
      <c r="BD481" s="241"/>
      <c r="BE481" s="241"/>
      <c r="BF481" s="241"/>
      <c r="BG481" s="241"/>
      <c r="BH481" s="241"/>
      <c r="BI481" s="241"/>
      <c r="BJ481" s="241"/>
      <c r="BK481" s="241"/>
      <c r="BL481" s="241"/>
      <c r="BM481" s="241"/>
    </row>
    <row r="482" spans="1:65" ht="13.5" customHeight="1" x14ac:dyDescent="0.3">
      <c r="A482" s="241"/>
      <c r="B482" s="241"/>
      <c r="C482" s="241"/>
      <c r="D482" s="241"/>
      <c r="E482" s="241"/>
      <c r="F482" s="241"/>
      <c r="G482" s="241"/>
      <c r="H482" s="241"/>
      <c r="I482" s="241"/>
      <c r="J482" s="241"/>
      <c r="K482" s="241"/>
      <c r="L482" s="241"/>
      <c r="M482" s="241"/>
      <c r="N482" s="241"/>
      <c r="O482" s="241"/>
      <c r="P482" s="241"/>
      <c r="Q482" s="241"/>
      <c r="R482" s="241"/>
      <c r="S482" s="241"/>
      <c r="T482" s="241"/>
      <c r="U482" s="241"/>
      <c r="V482" s="241"/>
      <c r="W482" s="241"/>
      <c r="X482" s="241"/>
      <c r="Y482" s="241"/>
      <c r="Z482" s="241"/>
      <c r="AA482" s="241"/>
      <c r="AB482" s="241"/>
      <c r="AC482" s="241"/>
      <c r="AD482" s="241"/>
      <c r="AE482" s="241"/>
      <c r="AF482" s="241"/>
      <c r="AG482" s="241"/>
      <c r="AH482" s="241"/>
      <c r="AI482" s="241"/>
      <c r="AJ482" s="241"/>
      <c r="AK482" s="241"/>
      <c r="AL482" s="241"/>
      <c r="AM482" s="241"/>
      <c r="AN482" s="241"/>
      <c r="AO482" s="241"/>
      <c r="AP482" s="241"/>
      <c r="AQ482" s="241"/>
      <c r="AR482" s="241"/>
      <c r="AS482" s="241"/>
      <c r="AT482" s="241"/>
      <c r="AU482" s="241"/>
      <c r="AV482" s="241"/>
      <c r="AW482" s="241"/>
      <c r="AX482" s="241"/>
      <c r="AY482" s="241"/>
      <c r="AZ482" s="241"/>
      <c r="BA482" s="241"/>
      <c r="BB482" s="241"/>
      <c r="BC482" s="241"/>
      <c r="BD482" s="241"/>
      <c r="BE482" s="241"/>
      <c r="BF482" s="241"/>
      <c r="BG482" s="241"/>
      <c r="BH482" s="241"/>
      <c r="BI482" s="241"/>
      <c r="BJ482" s="241"/>
      <c r="BK482" s="241"/>
      <c r="BL482" s="241"/>
      <c r="BM482" s="241"/>
    </row>
    <row r="483" spans="1:65" ht="13.5" customHeight="1" x14ac:dyDescent="0.3">
      <c r="A483" s="241"/>
      <c r="B483" s="241"/>
      <c r="C483" s="241"/>
      <c r="D483" s="241"/>
      <c r="E483" s="241"/>
      <c r="F483" s="241"/>
      <c r="G483" s="241"/>
      <c r="H483" s="241"/>
      <c r="I483" s="241"/>
      <c r="J483" s="241"/>
      <c r="K483" s="241"/>
      <c r="L483" s="241"/>
      <c r="M483" s="241"/>
      <c r="N483" s="241"/>
      <c r="O483" s="241"/>
      <c r="P483" s="241"/>
      <c r="Q483" s="241"/>
      <c r="R483" s="241"/>
      <c r="S483" s="241"/>
      <c r="T483" s="241"/>
      <c r="U483" s="241"/>
      <c r="V483" s="241"/>
      <c r="W483" s="241"/>
      <c r="X483" s="241"/>
      <c r="Y483" s="241"/>
      <c r="Z483" s="241"/>
      <c r="AA483" s="241"/>
      <c r="AB483" s="241"/>
      <c r="AC483" s="241"/>
      <c r="AD483" s="241"/>
      <c r="AE483" s="241"/>
      <c r="AF483" s="241"/>
      <c r="AG483" s="241"/>
      <c r="AH483" s="241"/>
      <c r="AI483" s="241"/>
      <c r="AJ483" s="241"/>
      <c r="AK483" s="241"/>
      <c r="AL483" s="241"/>
      <c r="AM483" s="241"/>
      <c r="AN483" s="241"/>
      <c r="AO483" s="241"/>
      <c r="AP483" s="241"/>
      <c r="AQ483" s="241"/>
      <c r="AR483" s="241"/>
      <c r="AS483" s="241"/>
      <c r="AT483" s="241"/>
      <c r="AU483" s="241"/>
      <c r="AV483" s="241"/>
      <c r="AW483" s="241"/>
      <c r="AX483" s="241"/>
      <c r="AY483" s="241"/>
      <c r="AZ483" s="241"/>
      <c r="BA483" s="241"/>
      <c r="BB483" s="241"/>
      <c r="BC483" s="241"/>
      <c r="BD483" s="241"/>
      <c r="BE483" s="241"/>
      <c r="BF483" s="241"/>
      <c r="BG483" s="241"/>
      <c r="BH483" s="241"/>
      <c r="BI483" s="241"/>
      <c r="BJ483" s="241"/>
      <c r="BK483" s="241"/>
      <c r="BL483" s="241"/>
      <c r="BM483" s="241"/>
    </row>
    <row r="484" spans="1:65" ht="13.5" customHeight="1" x14ac:dyDescent="0.3">
      <c r="A484" s="241"/>
      <c r="B484" s="241"/>
      <c r="C484" s="241"/>
      <c r="D484" s="241"/>
      <c r="E484" s="241"/>
      <c r="F484" s="241"/>
      <c r="G484" s="241"/>
      <c r="H484" s="241"/>
      <c r="I484" s="241"/>
      <c r="J484" s="241"/>
      <c r="K484" s="241"/>
      <c r="L484" s="241"/>
      <c r="M484" s="241"/>
      <c r="N484" s="241"/>
      <c r="O484" s="241"/>
      <c r="P484" s="241"/>
      <c r="Q484" s="241"/>
      <c r="R484" s="241"/>
      <c r="S484" s="241"/>
      <c r="T484" s="241"/>
      <c r="U484" s="241"/>
      <c r="V484" s="241"/>
      <c r="W484" s="241"/>
      <c r="X484" s="241"/>
      <c r="Y484" s="241"/>
      <c r="Z484" s="241"/>
      <c r="AA484" s="241"/>
      <c r="AB484" s="241"/>
      <c r="AC484" s="241"/>
      <c r="AD484" s="241"/>
      <c r="AE484" s="241"/>
      <c r="AF484" s="241"/>
      <c r="AG484" s="241"/>
      <c r="AH484" s="241"/>
      <c r="AI484" s="241"/>
      <c r="AJ484" s="241"/>
      <c r="AK484" s="241"/>
      <c r="AL484" s="241"/>
      <c r="AM484" s="241"/>
      <c r="AN484" s="241"/>
      <c r="AO484" s="241"/>
      <c r="AP484" s="241"/>
      <c r="AQ484" s="241"/>
      <c r="AR484" s="241"/>
      <c r="AS484" s="241"/>
      <c r="AT484" s="241"/>
      <c r="AU484" s="241"/>
      <c r="AV484" s="241"/>
      <c r="AW484" s="241"/>
      <c r="AX484" s="241"/>
      <c r="AY484" s="241"/>
      <c r="AZ484" s="241"/>
      <c r="BA484" s="241"/>
      <c r="BB484" s="241"/>
      <c r="BC484" s="241"/>
      <c r="BD484" s="241"/>
      <c r="BE484" s="241"/>
      <c r="BF484" s="241"/>
      <c r="BG484" s="241"/>
      <c r="BH484" s="241"/>
      <c r="BI484" s="241"/>
      <c r="BJ484" s="241"/>
      <c r="BK484" s="241"/>
      <c r="BL484" s="241"/>
      <c r="BM484" s="241"/>
    </row>
    <row r="485" spans="1:65" ht="13.5" customHeight="1" x14ac:dyDescent="0.3">
      <c r="A485" s="241"/>
      <c r="B485" s="241"/>
      <c r="C485" s="241"/>
      <c r="D485" s="241"/>
      <c r="E485" s="241"/>
      <c r="F485" s="241"/>
      <c r="G485" s="241"/>
      <c r="H485" s="241"/>
      <c r="I485" s="241"/>
      <c r="J485" s="241"/>
      <c r="K485" s="241"/>
      <c r="L485" s="241"/>
      <c r="M485" s="241"/>
      <c r="N485" s="241"/>
      <c r="O485" s="241"/>
      <c r="P485" s="241"/>
      <c r="Q485" s="241"/>
      <c r="R485" s="241"/>
      <c r="S485" s="241"/>
      <c r="T485" s="241"/>
      <c r="U485" s="241"/>
      <c r="V485" s="241"/>
      <c r="W485" s="241"/>
      <c r="X485" s="241"/>
      <c r="Y485" s="241"/>
      <c r="Z485" s="241"/>
      <c r="AA485" s="241"/>
      <c r="AB485" s="241"/>
      <c r="AC485" s="241"/>
      <c r="AD485" s="241"/>
      <c r="AE485" s="241"/>
      <c r="AF485" s="241"/>
      <c r="AG485" s="241"/>
      <c r="AH485" s="241"/>
      <c r="AI485" s="241"/>
      <c r="AJ485" s="241"/>
      <c r="AK485" s="241"/>
      <c r="AL485" s="241"/>
      <c r="AM485" s="241"/>
      <c r="AN485" s="241"/>
      <c r="AO485" s="241"/>
      <c r="AP485" s="241"/>
      <c r="AQ485" s="241"/>
      <c r="AR485" s="241"/>
      <c r="AS485" s="241"/>
      <c r="AT485" s="241"/>
      <c r="AU485" s="241"/>
      <c r="AV485" s="241"/>
      <c r="AW485" s="241"/>
      <c r="AX485" s="241"/>
      <c r="AY485" s="241"/>
      <c r="AZ485" s="241"/>
      <c r="BA485" s="241"/>
      <c r="BB485" s="241"/>
      <c r="BC485" s="241"/>
      <c r="BD485" s="241"/>
      <c r="BE485" s="241"/>
      <c r="BF485" s="241"/>
      <c r="BG485" s="241"/>
      <c r="BH485" s="241"/>
      <c r="BI485" s="241"/>
      <c r="BJ485" s="241"/>
      <c r="BK485" s="241"/>
      <c r="BL485" s="241"/>
      <c r="BM485" s="241"/>
    </row>
    <row r="486" spans="1:65" ht="13.5" customHeight="1" x14ac:dyDescent="0.3">
      <c r="A486" s="241"/>
      <c r="B486" s="241"/>
      <c r="C486" s="241"/>
      <c r="D486" s="241"/>
      <c r="E486" s="241"/>
      <c r="F486" s="241"/>
      <c r="G486" s="241"/>
      <c r="H486" s="241"/>
      <c r="I486" s="241"/>
      <c r="J486" s="241"/>
      <c r="K486" s="241"/>
      <c r="L486" s="241"/>
      <c r="M486" s="241"/>
      <c r="N486" s="241"/>
      <c r="O486" s="241"/>
      <c r="P486" s="241"/>
      <c r="Q486" s="241"/>
      <c r="R486" s="241"/>
      <c r="S486" s="241"/>
      <c r="T486" s="241"/>
      <c r="U486" s="241"/>
      <c r="V486" s="241"/>
      <c r="W486" s="241"/>
      <c r="X486" s="241"/>
      <c r="Y486" s="241"/>
      <c r="Z486" s="241"/>
      <c r="AA486" s="241"/>
      <c r="AB486" s="241"/>
      <c r="AC486" s="241"/>
      <c r="AD486" s="241"/>
      <c r="AE486" s="241"/>
      <c r="AF486" s="241"/>
      <c r="AG486" s="241"/>
      <c r="AH486" s="241"/>
      <c r="AI486" s="241"/>
      <c r="AJ486" s="241"/>
      <c r="AK486" s="241"/>
      <c r="AL486" s="241"/>
      <c r="AM486" s="241"/>
      <c r="AN486" s="241"/>
      <c r="AO486" s="241"/>
      <c r="AP486" s="241"/>
      <c r="AQ486" s="241"/>
      <c r="AR486" s="241"/>
      <c r="AS486" s="241"/>
      <c r="AT486" s="241"/>
      <c r="AU486" s="241"/>
      <c r="AV486" s="241"/>
      <c r="AW486" s="241"/>
      <c r="AX486" s="241"/>
      <c r="AY486" s="241"/>
      <c r="AZ486" s="241"/>
      <c r="BA486" s="241"/>
      <c r="BB486" s="241"/>
      <c r="BC486" s="241"/>
      <c r="BD486" s="241"/>
      <c r="BE486" s="241"/>
      <c r="BF486" s="241"/>
      <c r="BG486" s="241"/>
      <c r="BH486" s="241"/>
      <c r="BI486" s="241"/>
      <c r="BJ486" s="241"/>
      <c r="BK486" s="241"/>
      <c r="BL486" s="241"/>
      <c r="BM486" s="241"/>
    </row>
    <row r="487" spans="1:65" ht="13.5" customHeight="1" x14ac:dyDescent="0.3">
      <c r="A487" s="241"/>
      <c r="B487" s="241"/>
      <c r="C487" s="241"/>
      <c r="D487" s="241"/>
      <c r="E487" s="241"/>
      <c r="F487" s="241"/>
      <c r="G487" s="241"/>
      <c r="H487" s="241"/>
      <c r="I487" s="241"/>
      <c r="J487" s="241"/>
      <c r="K487" s="241"/>
      <c r="L487" s="241"/>
      <c r="M487" s="241"/>
      <c r="N487" s="241"/>
      <c r="O487" s="241"/>
      <c r="P487" s="241"/>
      <c r="Q487" s="241"/>
      <c r="R487" s="241"/>
      <c r="S487" s="241"/>
      <c r="T487" s="241"/>
      <c r="U487" s="241"/>
      <c r="V487" s="241"/>
      <c r="W487" s="241"/>
      <c r="X487" s="241"/>
      <c r="Y487" s="241"/>
      <c r="Z487" s="241"/>
      <c r="AA487" s="241"/>
      <c r="AB487" s="241"/>
      <c r="AC487" s="241"/>
      <c r="AD487" s="241"/>
      <c r="AE487" s="241"/>
      <c r="AF487" s="241"/>
      <c r="AG487" s="241"/>
      <c r="AH487" s="241"/>
      <c r="AI487" s="241"/>
      <c r="AJ487" s="241"/>
      <c r="AK487" s="241"/>
      <c r="AL487" s="241"/>
      <c r="AM487" s="241"/>
      <c r="AN487" s="241"/>
      <c r="AO487" s="241"/>
      <c r="AP487" s="241"/>
      <c r="AQ487" s="241"/>
      <c r="AR487" s="241"/>
      <c r="AS487" s="241"/>
      <c r="AT487" s="241"/>
      <c r="AU487" s="241"/>
      <c r="AV487" s="241"/>
      <c r="AW487" s="241"/>
      <c r="AX487" s="241"/>
      <c r="AY487" s="241"/>
      <c r="AZ487" s="241"/>
      <c r="BA487" s="241"/>
      <c r="BB487" s="241"/>
      <c r="BC487" s="241"/>
      <c r="BD487" s="241"/>
      <c r="BE487" s="241"/>
      <c r="BF487" s="241"/>
      <c r="BG487" s="241"/>
      <c r="BH487" s="241"/>
      <c r="BI487" s="241"/>
      <c r="BJ487" s="241"/>
      <c r="BK487" s="241"/>
      <c r="BL487" s="241"/>
      <c r="BM487" s="241"/>
    </row>
    <row r="488" spans="1:65" ht="13.5" customHeight="1" x14ac:dyDescent="0.3">
      <c r="A488" s="241"/>
      <c r="B488" s="241"/>
      <c r="C488" s="241"/>
      <c r="D488" s="241"/>
      <c r="E488" s="241"/>
      <c r="F488" s="241"/>
      <c r="G488" s="241"/>
      <c r="H488" s="241"/>
      <c r="I488" s="241"/>
      <c r="J488" s="241"/>
      <c r="K488" s="241"/>
      <c r="L488" s="241"/>
      <c r="M488" s="241"/>
      <c r="N488" s="241"/>
      <c r="O488" s="241"/>
      <c r="P488" s="241"/>
      <c r="Q488" s="241"/>
      <c r="R488" s="241"/>
      <c r="S488" s="241"/>
      <c r="T488" s="241"/>
      <c r="U488" s="241"/>
      <c r="V488" s="241"/>
      <c r="W488" s="241"/>
      <c r="X488" s="241"/>
      <c r="Y488" s="241"/>
      <c r="Z488" s="241"/>
      <c r="AA488" s="241"/>
      <c r="AB488" s="241"/>
      <c r="AC488" s="241"/>
      <c r="AD488" s="241"/>
      <c r="AE488" s="241"/>
      <c r="AF488" s="241"/>
      <c r="AG488" s="241"/>
      <c r="AH488" s="241"/>
      <c r="AI488" s="241"/>
      <c r="AJ488" s="241"/>
      <c r="AK488" s="241"/>
      <c r="AL488" s="241"/>
      <c r="AM488" s="241"/>
      <c r="AN488" s="241"/>
      <c r="AO488" s="241"/>
      <c r="AP488" s="241"/>
      <c r="AQ488" s="241"/>
      <c r="AR488" s="241"/>
      <c r="AS488" s="241"/>
      <c r="AT488" s="241"/>
      <c r="AU488" s="241"/>
      <c r="AV488" s="241"/>
      <c r="AW488" s="241"/>
      <c r="AX488" s="241"/>
      <c r="AY488" s="241"/>
      <c r="AZ488" s="241"/>
      <c r="BA488" s="241"/>
      <c r="BB488" s="241"/>
      <c r="BC488" s="241"/>
      <c r="BD488" s="241"/>
      <c r="BE488" s="241"/>
      <c r="BF488" s="241"/>
      <c r="BG488" s="241"/>
      <c r="BH488" s="241"/>
      <c r="BI488" s="241"/>
      <c r="BJ488" s="241"/>
      <c r="BK488" s="241"/>
      <c r="BL488" s="241"/>
      <c r="BM488" s="241"/>
    </row>
    <row r="489" spans="1:65" ht="13.5" customHeight="1" x14ac:dyDescent="0.3">
      <c r="A489" s="241"/>
      <c r="B489" s="241"/>
      <c r="C489" s="241"/>
      <c r="D489" s="241"/>
      <c r="E489" s="241"/>
      <c r="F489" s="241"/>
      <c r="G489" s="241"/>
      <c r="H489" s="241"/>
      <c r="I489" s="241"/>
      <c r="J489" s="241"/>
      <c r="K489" s="241"/>
      <c r="L489" s="241"/>
      <c r="M489" s="241"/>
      <c r="N489" s="241"/>
      <c r="O489" s="241"/>
      <c r="P489" s="241"/>
      <c r="Q489" s="241"/>
      <c r="R489" s="241"/>
      <c r="S489" s="241"/>
      <c r="T489" s="241"/>
      <c r="U489" s="241"/>
      <c r="V489" s="241"/>
      <c r="W489" s="241"/>
      <c r="X489" s="241"/>
      <c r="Y489" s="241"/>
      <c r="Z489" s="241"/>
      <c r="AA489" s="241"/>
      <c r="AB489" s="241"/>
      <c r="AC489" s="241"/>
      <c r="AD489" s="241"/>
      <c r="AE489" s="241"/>
      <c r="AF489" s="241"/>
      <c r="AG489" s="241"/>
      <c r="AH489" s="241"/>
      <c r="AI489" s="241"/>
      <c r="AJ489" s="241"/>
      <c r="AK489" s="241"/>
      <c r="AL489" s="241"/>
      <c r="AM489" s="241"/>
      <c r="AN489" s="241"/>
      <c r="AO489" s="241"/>
      <c r="AP489" s="241"/>
      <c r="AQ489" s="241"/>
      <c r="AR489" s="241"/>
      <c r="AS489" s="241"/>
      <c r="AT489" s="241"/>
      <c r="AU489" s="241"/>
      <c r="AV489" s="241"/>
      <c r="AW489" s="241"/>
      <c r="AX489" s="241"/>
      <c r="AY489" s="241"/>
      <c r="AZ489" s="241"/>
      <c r="BA489" s="241"/>
      <c r="BB489" s="241"/>
      <c r="BC489" s="241"/>
      <c r="BD489" s="241"/>
      <c r="BE489" s="241"/>
      <c r="BF489" s="241"/>
      <c r="BG489" s="241"/>
      <c r="BH489" s="241"/>
      <c r="BI489" s="241"/>
      <c r="BJ489" s="241"/>
      <c r="BK489" s="241"/>
      <c r="BL489" s="241"/>
      <c r="BM489" s="241"/>
    </row>
    <row r="490" spans="1:65" ht="13.5" customHeight="1" x14ac:dyDescent="0.3">
      <c r="A490" s="241"/>
      <c r="B490" s="241"/>
      <c r="C490" s="241"/>
      <c r="D490" s="241"/>
      <c r="E490" s="241"/>
      <c r="F490" s="241"/>
      <c r="G490" s="241"/>
      <c r="H490" s="241"/>
      <c r="I490" s="241"/>
      <c r="J490" s="241"/>
      <c r="K490" s="241"/>
      <c r="L490" s="241"/>
      <c r="M490" s="241"/>
      <c r="N490" s="241"/>
      <c r="O490" s="241"/>
      <c r="P490" s="241"/>
      <c r="Q490" s="241"/>
      <c r="R490" s="241"/>
      <c r="S490" s="241"/>
      <c r="T490" s="241"/>
      <c r="U490" s="241"/>
      <c r="V490" s="241"/>
      <c r="W490" s="241"/>
      <c r="X490" s="241"/>
      <c r="Y490" s="241"/>
      <c r="Z490" s="241"/>
      <c r="AA490" s="241"/>
      <c r="AB490" s="241"/>
      <c r="AC490" s="241"/>
      <c r="AD490" s="241"/>
      <c r="AE490" s="241"/>
      <c r="AF490" s="241"/>
      <c r="AG490" s="241"/>
      <c r="AH490" s="241"/>
      <c r="AI490" s="241"/>
      <c r="AJ490" s="241"/>
      <c r="AK490" s="241"/>
      <c r="AL490" s="241"/>
      <c r="AM490" s="241"/>
      <c r="AN490" s="241"/>
      <c r="AO490" s="241"/>
      <c r="AP490" s="241"/>
      <c r="AQ490" s="241"/>
      <c r="AR490" s="241"/>
      <c r="AS490" s="241"/>
      <c r="AT490" s="241"/>
      <c r="AU490" s="241"/>
      <c r="AV490" s="241"/>
      <c r="AW490" s="241"/>
      <c r="AX490" s="241"/>
      <c r="AY490" s="241"/>
      <c r="AZ490" s="241"/>
      <c r="BA490" s="241"/>
      <c r="BB490" s="241"/>
      <c r="BC490" s="241"/>
      <c r="BD490" s="241"/>
      <c r="BE490" s="241"/>
      <c r="BF490" s="241"/>
      <c r="BG490" s="241"/>
      <c r="BH490" s="241"/>
      <c r="BI490" s="241"/>
      <c r="BJ490" s="241"/>
      <c r="BK490" s="241"/>
      <c r="BL490" s="241"/>
      <c r="BM490" s="241"/>
    </row>
    <row r="491" spans="1:65" ht="13.5" customHeight="1" x14ac:dyDescent="0.3">
      <c r="A491" s="241"/>
      <c r="B491" s="241"/>
      <c r="C491" s="241"/>
      <c r="D491" s="241"/>
      <c r="E491" s="241"/>
      <c r="F491" s="241"/>
      <c r="G491" s="241"/>
      <c r="H491" s="241"/>
      <c r="I491" s="241"/>
      <c r="J491" s="241"/>
      <c r="K491" s="241"/>
      <c r="L491" s="241"/>
      <c r="M491" s="241"/>
      <c r="N491" s="241"/>
      <c r="O491" s="241"/>
      <c r="P491" s="241"/>
      <c r="Q491" s="241"/>
      <c r="R491" s="241"/>
      <c r="S491" s="241"/>
      <c r="T491" s="241"/>
      <c r="U491" s="241"/>
      <c r="V491" s="241"/>
      <c r="W491" s="241"/>
      <c r="X491" s="241"/>
      <c r="Y491" s="241"/>
      <c r="Z491" s="241"/>
      <c r="AA491" s="241"/>
      <c r="AB491" s="241"/>
      <c r="AC491" s="241"/>
      <c r="AD491" s="241"/>
      <c r="AE491" s="241"/>
      <c r="AF491" s="241"/>
      <c r="AG491" s="241"/>
      <c r="AH491" s="241"/>
      <c r="AI491" s="241"/>
      <c r="AJ491" s="241"/>
      <c r="AK491" s="241"/>
      <c r="AL491" s="241"/>
      <c r="AM491" s="241"/>
      <c r="AN491" s="241"/>
      <c r="AO491" s="241"/>
      <c r="AP491" s="241"/>
      <c r="AQ491" s="241"/>
      <c r="AR491" s="241"/>
      <c r="AS491" s="241"/>
      <c r="AT491" s="241"/>
      <c r="AU491" s="241"/>
      <c r="AV491" s="241"/>
      <c r="AW491" s="241"/>
      <c r="AX491" s="241"/>
      <c r="AY491" s="241"/>
      <c r="AZ491" s="241"/>
      <c r="BA491" s="241"/>
      <c r="BB491" s="241"/>
      <c r="BC491" s="241"/>
      <c r="BD491" s="241"/>
      <c r="BE491" s="241"/>
      <c r="BF491" s="241"/>
      <c r="BG491" s="241"/>
      <c r="BH491" s="241"/>
      <c r="BI491" s="241"/>
      <c r="BJ491" s="241"/>
      <c r="BK491" s="241"/>
      <c r="BL491" s="241"/>
      <c r="BM491" s="241"/>
    </row>
    <row r="492" spans="1:65" ht="13.5" customHeight="1" x14ac:dyDescent="0.3">
      <c r="A492" s="241"/>
      <c r="B492" s="241"/>
      <c r="C492" s="241"/>
      <c r="D492" s="241"/>
      <c r="E492" s="241"/>
      <c r="F492" s="241"/>
      <c r="G492" s="241"/>
      <c r="H492" s="241"/>
      <c r="I492" s="241"/>
      <c r="J492" s="241"/>
      <c r="K492" s="241"/>
      <c r="L492" s="241"/>
      <c r="M492" s="241"/>
      <c r="N492" s="241"/>
      <c r="O492" s="241"/>
      <c r="P492" s="241"/>
      <c r="Q492" s="241"/>
      <c r="R492" s="241"/>
      <c r="S492" s="241"/>
      <c r="T492" s="241"/>
      <c r="U492" s="241"/>
      <c r="V492" s="241"/>
      <c r="W492" s="241"/>
      <c r="X492" s="241"/>
      <c r="Y492" s="241"/>
      <c r="Z492" s="241"/>
      <c r="AA492" s="241"/>
      <c r="AB492" s="241"/>
      <c r="AC492" s="241"/>
      <c r="AD492" s="241"/>
      <c r="AE492" s="241"/>
      <c r="AF492" s="241"/>
      <c r="AG492" s="241"/>
      <c r="AH492" s="241"/>
      <c r="AI492" s="241"/>
      <c r="AJ492" s="241"/>
      <c r="AK492" s="241"/>
      <c r="AL492" s="241"/>
      <c r="AM492" s="241"/>
      <c r="AN492" s="241"/>
      <c r="AO492" s="241"/>
      <c r="AP492" s="241"/>
      <c r="AQ492" s="241"/>
      <c r="AR492" s="241"/>
      <c r="AS492" s="241"/>
      <c r="AT492" s="241"/>
      <c r="AU492" s="241"/>
      <c r="AV492" s="241"/>
      <c r="AW492" s="241"/>
      <c r="AX492" s="241"/>
      <c r="AY492" s="241"/>
      <c r="AZ492" s="241"/>
      <c r="BA492" s="241"/>
      <c r="BB492" s="241"/>
      <c r="BC492" s="241"/>
      <c r="BD492" s="241"/>
      <c r="BE492" s="241"/>
      <c r="BF492" s="241"/>
      <c r="BG492" s="241"/>
      <c r="BH492" s="241"/>
      <c r="BI492" s="241"/>
      <c r="BJ492" s="241"/>
      <c r="BK492" s="241"/>
      <c r="BL492" s="241"/>
      <c r="BM492" s="241"/>
    </row>
    <row r="493" spans="1:65" ht="13.5" customHeight="1" x14ac:dyDescent="0.3">
      <c r="A493" s="241"/>
      <c r="B493" s="241"/>
      <c r="C493" s="241"/>
      <c r="D493" s="241"/>
      <c r="E493" s="241"/>
      <c r="F493" s="241"/>
      <c r="G493" s="241"/>
      <c r="H493" s="241"/>
      <c r="I493" s="241"/>
      <c r="J493" s="241"/>
      <c r="K493" s="241"/>
      <c r="L493" s="241"/>
      <c r="M493" s="241"/>
      <c r="N493" s="241"/>
      <c r="O493" s="241"/>
      <c r="P493" s="241"/>
      <c r="Q493" s="241"/>
      <c r="R493" s="241"/>
      <c r="S493" s="241"/>
      <c r="T493" s="241"/>
      <c r="U493" s="241"/>
      <c r="V493" s="241"/>
      <c r="W493" s="241"/>
      <c r="X493" s="241"/>
      <c r="Y493" s="241"/>
      <c r="Z493" s="241"/>
      <c r="AA493" s="241"/>
      <c r="AB493" s="241"/>
      <c r="AC493" s="241"/>
      <c r="AD493" s="241"/>
      <c r="AE493" s="241"/>
      <c r="AF493" s="241"/>
      <c r="AG493" s="241"/>
      <c r="AH493" s="241"/>
      <c r="AI493" s="241"/>
      <c r="AJ493" s="241"/>
      <c r="AK493" s="241"/>
      <c r="AL493" s="241"/>
      <c r="AM493" s="241"/>
      <c r="AN493" s="241"/>
      <c r="AO493" s="241"/>
      <c r="AP493" s="241"/>
      <c r="AQ493" s="241"/>
      <c r="AR493" s="241"/>
      <c r="AS493" s="241"/>
      <c r="AT493" s="241"/>
      <c r="AU493" s="241"/>
      <c r="AV493" s="241"/>
      <c r="AW493" s="241"/>
      <c r="AX493" s="241"/>
      <c r="AY493" s="241"/>
      <c r="AZ493" s="241"/>
      <c r="BA493" s="241"/>
      <c r="BB493" s="241"/>
      <c r="BC493" s="241"/>
      <c r="BD493" s="241"/>
      <c r="BE493" s="241"/>
      <c r="BF493" s="241"/>
      <c r="BG493" s="241"/>
      <c r="BH493" s="241"/>
      <c r="BI493" s="241"/>
      <c r="BJ493" s="241"/>
      <c r="BK493" s="241"/>
      <c r="BL493" s="241"/>
      <c r="BM493" s="241"/>
    </row>
    <row r="494" spans="1:65" ht="13.5" customHeight="1" x14ac:dyDescent="0.3">
      <c r="A494" s="241"/>
      <c r="B494" s="241"/>
      <c r="C494" s="241"/>
      <c r="D494" s="241"/>
      <c r="E494" s="241"/>
      <c r="F494" s="241"/>
      <c r="G494" s="241"/>
      <c r="H494" s="241"/>
      <c r="I494" s="241"/>
      <c r="J494" s="241"/>
      <c r="K494" s="241"/>
      <c r="L494" s="241"/>
      <c r="M494" s="241"/>
      <c r="N494" s="241"/>
      <c r="O494" s="241"/>
      <c r="P494" s="241"/>
      <c r="Q494" s="241"/>
      <c r="R494" s="241"/>
      <c r="S494" s="241"/>
      <c r="T494" s="241"/>
      <c r="U494" s="241"/>
      <c r="V494" s="241"/>
      <c r="W494" s="241"/>
      <c r="X494" s="241"/>
      <c r="Y494" s="241"/>
      <c r="Z494" s="241"/>
      <c r="AA494" s="241"/>
      <c r="AB494" s="241"/>
      <c r="AC494" s="241"/>
      <c r="AD494" s="241"/>
      <c r="AE494" s="241"/>
      <c r="AF494" s="241"/>
      <c r="AG494" s="241"/>
      <c r="AH494" s="241"/>
      <c r="AI494" s="241"/>
      <c r="AJ494" s="241"/>
      <c r="AK494" s="241"/>
      <c r="AL494" s="241"/>
      <c r="AM494" s="241"/>
      <c r="AN494" s="241"/>
      <c r="AO494" s="241"/>
      <c r="AP494" s="241"/>
      <c r="AQ494" s="241"/>
      <c r="AR494" s="241"/>
      <c r="AS494" s="241"/>
      <c r="AT494" s="241"/>
      <c r="AU494" s="241"/>
      <c r="AV494" s="241"/>
      <c r="AW494" s="241"/>
      <c r="AX494" s="241"/>
      <c r="AY494" s="241"/>
      <c r="AZ494" s="241"/>
      <c r="BA494" s="241"/>
      <c r="BB494" s="241"/>
      <c r="BC494" s="241"/>
      <c r="BD494" s="241"/>
      <c r="BE494" s="241"/>
      <c r="BF494" s="241"/>
      <c r="BG494" s="241"/>
      <c r="BH494" s="241"/>
      <c r="BI494" s="241"/>
      <c r="BJ494" s="241"/>
      <c r="BK494" s="241"/>
      <c r="BL494" s="241"/>
      <c r="BM494" s="241"/>
    </row>
    <row r="495" spans="1:65" ht="13.5" customHeight="1" x14ac:dyDescent="0.3">
      <c r="A495" s="241"/>
      <c r="B495" s="241"/>
      <c r="C495" s="241"/>
      <c r="D495" s="241"/>
      <c r="E495" s="241"/>
      <c r="F495" s="241"/>
      <c r="G495" s="241"/>
      <c r="H495" s="241"/>
      <c r="I495" s="241"/>
      <c r="J495" s="241"/>
      <c r="K495" s="241"/>
      <c r="L495" s="241"/>
      <c r="M495" s="241"/>
      <c r="N495" s="241"/>
      <c r="O495" s="241"/>
      <c r="P495" s="241"/>
      <c r="Q495" s="241"/>
      <c r="R495" s="241"/>
      <c r="S495" s="241"/>
      <c r="T495" s="241"/>
      <c r="U495" s="241"/>
      <c r="V495" s="241"/>
      <c r="W495" s="241"/>
      <c r="X495" s="241"/>
      <c r="Y495" s="241"/>
      <c r="Z495" s="241"/>
      <c r="AA495" s="241"/>
      <c r="AB495" s="241"/>
      <c r="AC495" s="241"/>
      <c r="AD495" s="241"/>
      <c r="AE495" s="241"/>
      <c r="AF495" s="241"/>
      <c r="AG495" s="241"/>
      <c r="AH495" s="241"/>
      <c r="AI495" s="241"/>
      <c r="AJ495" s="241"/>
      <c r="AK495" s="241"/>
      <c r="AL495" s="241"/>
      <c r="AM495" s="241"/>
      <c r="AN495" s="241"/>
      <c r="AO495" s="241"/>
      <c r="AP495" s="241"/>
      <c r="AQ495" s="241"/>
      <c r="AR495" s="241"/>
      <c r="AS495" s="241"/>
      <c r="AT495" s="241"/>
      <c r="AU495" s="241"/>
      <c r="AV495" s="241"/>
      <c r="AW495" s="241"/>
      <c r="AX495" s="241"/>
      <c r="AY495" s="241"/>
      <c r="AZ495" s="241"/>
      <c r="BA495" s="241"/>
      <c r="BB495" s="241"/>
      <c r="BC495" s="241"/>
      <c r="BD495" s="241"/>
      <c r="BE495" s="241"/>
      <c r="BF495" s="241"/>
      <c r="BG495" s="241"/>
      <c r="BH495" s="241"/>
      <c r="BI495" s="241"/>
      <c r="BJ495" s="241"/>
      <c r="BK495" s="241"/>
      <c r="BL495" s="241"/>
      <c r="BM495" s="241"/>
    </row>
    <row r="496" spans="1:65" ht="13.5" customHeight="1" x14ac:dyDescent="0.3">
      <c r="A496" s="241"/>
      <c r="B496" s="241"/>
      <c r="C496" s="241"/>
      <c r="D496" s="241"/>
      <c r="E496" s="241"/>
      <c r="F496" s="241"/>
      <c r="G496" s="241"/>
      <c r="H496" s="241"/>
      <c r="I496" s="241"/>
      <c r="J496" s="241"/>
      <c r="K496" s="241"/>
      <c r="L496" s="241"/>
      <c r="M496" s="241"/>
      <c r="N496" s="241"/>
      <c r="O496" s="241"/>
      <c r="P496" s="241"/>
      <c r="Q496" s="241"/>
      <c r="R496" s="241"/>
      <c r="S496" s="241"/>
      <c r="T496" s="241"/>
      <c r="U496" s="241"/>
      <c r="V496" s="241"/>
      <c r="W496" s="241"/>
      <c r="X496" s="241"/>
      <c r="Y496" s="241"/>
      <c r="Z496" s="241"/>
      <c r="AA496" s="241"/>
      <c r="AB496" s="241"/>
      <c r="AC496" s="241"/>
      <c r="AD496" s="241"/>
      <c r="AE496" s="241"/>
      <c r="AF496" s="241"/>
      <c r="AG496" s="241"/>
      <c r="AH496" s="241"/>
      <c r="AI496" s="241"/>
      <c r="AJ496" s="241"/>
      <c r="AK496" s="241"/>
      <c r="AL496" s="241"/>
      <c r="AM496" s="241"/>
      <c r="AN496" s="241"/>
      <c r="AO496" s="241"/>
      <c r="AP496" s="241"/>
      <c r="AQ496" s="241"/>
      <c r="AR496" s="241"/>
      <c r="AS496" s="241"/>
      <c r="AT496" s="241"/>
      <c r="AU496" s="241"/>
      <c r="AV496" s="241"/>
      <c r="AW496" s="241"/>
      <c r="AX496" s="241"/>
      <c r="AY496" s="241"/>
      <c r="AZ496" s="241"/>
      <c r="BA496" s="241"/>
      <c r="BB496" s="241"/>
      <c r="BC496" s="241"/>
      <c r="BD496" s="241"/>
      <c r="BE496" s="241"/>
      <c r="BF496" s="241"/>
      <c r="BG496" s="241"/>
      <c r="BH496" s="241"/>
      <c r="BI496" s="241"/>
      <c r="BJ496" s="241"/>
      <c r="BK496" s="241"/>
      <c r="BL496" s="241"/>
      <c r="BM496" s="241"/>
    </row>
    <row r="497" spans="1:65" ht="13.5" customHeight="1" x14ac:dyDescent="0.3">
      <c r="A497" s="241"/>
      <c r="B497" s="241"/>
      <c r="C497" s="241"/>
      <c r="D497" s="241"/>
      <c r="E497" s="241"/>
      <c r="F497" s="241"/>
      <c r="G497" s="241"/>
      <c r="H497" s="241"/>
      <c r="I497" s="241"/>
      <c r="J497" s="241"/>
      <c r="K497" s="241"/>
      <c r="L497" s="241"/>
      <c r="M497" s="241"/>
      <c r="N497" s="241"/>
      <c r="O497" s="241"/>
      <c r="P497" s="241"/>
      <c r="Q497" s="241"/>
      <c r="R497" s="241"/>
      <c r="S497" s="241"/>
      <c r="T497" s="241"/>
      <c r="U497" s="241"/>
      <c r="V497" s="241"/>
      <c r="W497" s="241"/>
      <c r="X497" s="241"/>
      <c r="Y497" s="241"/>
      <c r="Z497" s="241"/>
      <c r="AA497" s="241"/>
      <c r="AB497" s="241"/>
      <c r="AC497" s="241"/>
      <c r="AD497" s="241"/>
      <c r="AE497" s="241"/>
      <c r="AF497" s="241"/>
      <c r="AG497" s="241"/>
      <c r="AH497" s="241"/>
      <c r="AI497" s="241"/>
      <c r="AJ497" s="241"/>
      <c r="AK497" s="241"/>
      <c r="AL497" s="241"/>
      <c r="AM497" s="241"/>
      <c r="AN497" s="241"/>
      <c r="AO497" s="241"/>
      <c r="AP497" s="241"/>
      <c r="AQ497" s="241"/>
      <c r="AR497" s="241"/>
      <c r="AS497" s="241"/>
      <c r="AT497" s="241"/>
      <c r="AU497" s="241"/>
      <c r="AV497" s="241"/>
      <c r="AW497" s="241"/>
      <c r="AX497" s="241"/>
      <c r="AY497" s="241"/>
      <c r="AZ497" s="241"/>
      <c r="BA497" s="241"/>
      <c r="BB497" s="241"/>
      <c r="BC497" s="241"/>
      <c r="BD497" s="241"/>
      <c r="BE497" s="241"/>
      <c r="BF497" s="241"/>
      <c r="BG497" s="241"/>
      <c r="BH497" s="241"/>
      <c r="BI497" s="241"/>
      <c r="BJ497" s="241"/>
      <c r="BK497" s="241"/>
      <c r="BL497" s="241"/>
      <c r="BM497" s="241"/>
    </row>
    <row r="498" spans="1:65" ht="13.5" customHeight="1" x14ac:dyDescent="0.3">
      <c r="A498" s="241"/>
      <c r="B498" s="241"/>
      <c r="C498" s="241"/>
      <c r="D498" s="241"/>
      <c r="E498" s="241"/>
      <c r="F498" s="241"/>
      <c r="G498" s="241"/>
      <c r="H498" s="241"/>
      <c r="I498" s="241"/>
      <c r="J498" s="241"/>
      <c r="K498" s="241"/>
      <c r="L498" s="241"/>
      <c r="M498" s="241"/>
      <c r="N498" s="241"/>
      <c r="O498" s="241"/>
      <c r="P498" s="241"/>
      <c r="Q498" s="241"/>
      <c r="R498" s="241"/>
      <c r="S498" s="241"/>
      <c r="T498" s="241"/>
      <c r="U498" s="241"/>
      <c r="V498" s="241"/>
      <c r="W498" s="241"/>
      <c r="X498" s="241"/>
      <c r="Y498" s="241"/>
      <c r="Z498" s="241"/>
      <c r="AA498" s="241"/>
      <c r="AB498" s="241"/>
      <c r="AC498" s="241"/>
      <c r="AD498" s="241"/>
      <c r="AE498" s="241"/>
      <c r="AF498" s="241"/>
      <c r="AG498" s="241"/>
      <c r="AH498" s="241"/>
      <c r="AI498" s="241"/>
      <c r="AJ498" s="241"/>
      <c r="AK498" s="241"/>
      <c r="AL498" s="241"/>
      <c r="AM498" s="241"/>
      <c r="AN498" s="241"/>
      <c r="AO498" s="241"/>
      <c r="AP498" s="241"/>
      <c r="AQ498" s="241"/>
      <c r="AR498" s="241"/>
      <c r="AS498" s="241"/>
      <c r="AT498" s="241"/>
      <c r="AU498" s="241"/>
      <c r="AV498" s="241"/>
      <c r="AW498" s="241"/>
      <c r="AX498" s="241"/>
      <c r="AY498" s="241"/>
      <c r="AZ498" s="241"/>
      <c r="BA498" s="241"/>
      <c r="BB498" s="241"/>
      <c r="BC498" s="241"/>
      <c r="BD498" s="241"/>
      <c r="BE498" s="241"/>
      <c r="BF498" s="241"/>
      <c r="BG498" s="241"/>
      <c r="BH498" s="241"/>
      <c r="BI498" s="241"/>
      <c r="BJ498" s="241"/>
      <c r="BK498" s="241"/>
      <c r="BL498" s="241"/>
      <c r="BM498" s="241"/>
    </row>
    <row r="499" spans="1:65" ht="13.5" customHeight="1" x14ac:dyDescent="0.3">
      <c r="A499" s="241"/>
      <c r="B499" s="241"/>
      <c r="C499" s="241"/>
      <c r="D499" s="241"/>
      <c r="E499" s="241"/>
      <c r="F499" s="241"/>
      <c r="G499" s="241"/>
      <c r="H499" s="241"/>
      <c r="I499" s="241"/>
      <c r="J499" s="241"/>
      <c r="K499" s="241"/>
      <c r="L499" s="241"/>
      <c r="M499" s="241"/>
      <c r="N499" s="241"/>
      <c r="O499" s="241"/>
      <c r="P499" s="241"/>
      <c r="Q499" s="241"/>
      <c r="R499" s="241"/>
      <c r="S499" s="241"/>
      <c r="T499" s="241"/>
      <c r="U499" s="241"/>
      <c r="V499" s="241"/>
      <c r="W499" s="241"/>
      <c r="X499" s="241"/>
      <c r="Y499" s="241"/>
      <c r="Z499" s="241"/>
      <c r="AA499" s="241"/>
      <c r="AB499" s="241"/>
      <c r="AC499" s="241"/>
      <c r="AD499" s="241"/>
      <c r="AE499" s="241"/>
      <c r="AF499" s="241"/>
      <c r="AG499" s="241"/>
      <c r="AH499" s="241"/>
      <c r="AI499" s="241"/>
      <c r="AJ499" s="241"/>
      <c r="AK499" s="241"/>
      <c r="AL499" s="241"/>
      <c r="AM499" s="241"/>
      <c r="AN499" s="241"/>
      <c r="AO499" s="241"/>
      <c r="AP499" s="241"/>
      <c r="AQ499" s="241"/>
      <c r="AR499" s="241"/>
      <c r="AS499" s="241"/>
      <c r="AT499" s="241"/>
      <c r="AU499" s="241"/>
      <c r="AV499" s="241"/>
      <c r="AW499" s="241"/>
      <c r="AX499" s="241"/>
      <c r="AY499" s="241"/>
      <c r="AZ499" s="241"/>
      <c r="BA499" s="241"/>
      <c r="BB499" s="241"/>
      <c r="BC499" s="241"/>
      <c r="BD499" s="241"/>
      <c r="BE499" s="241"/>
      <c r="BF499" s="241"/>
      <c r="BG499" s="241"/>
      <c r="BH499" s="241"/>
      <c r="BI499" s="241"/>
      <c r="BJ499" s="241"/>
      <c r="BK499" s="241"/>
      <c r="BL499" s="241"/>
      <c r="BM499" s="241"/>
    </row>
    <row r="500" spans="1:65" ht="13.5" customHeight="1" x14ac:dyDescent="0.3">
      <c r="A500" s="241"/>
      <c r="B500" s="241"/>
      <c r="C500" s="241"/>
      <c r="D500" s="241"/>
      <c r="E500" s="241"/>
      <c r="F500" s="241"/>
      <c r="G500" s="241"/>
      <c r="H500" s="241"/>
      <c r="I500" s="241"/>
      <c r="J500" s="241"/>
      <c r="K500" s="241"/>
      <c r="L500" s="241"/>
      <c r="M500" s="241"/>
      <c r="N500" s="241"/>
      <c r="O500" s="241"/>
      <c r="P500" s="241"/>
      <c r="Q500" s="241"/>
      <c r="R500" s="241"/>
      <c r="S500" s="241"/>
      <c r="T500" s="241"/>
      <c r="U500" s="241"/>
      <c r="V500" s="241"/>
      <c r="W500" s="241"/>
      <c r="X500" s="241"/>
      <c r="Y500" s="241"/>
      <c r="Z500" s="241"/>
      <c r="AA500" s="241"/>
      <c r="AB500" s="241"/>
      <c r="AC500" s="241"/>
      <c r="AD500" s="241"/>
      <c r="AE500" s="241"/>
      <c r="AF500" s="241"/>
      <c r="AG500" s="241"/>
      <c r="AH500" s="241"/>
      <c r="AI500" s="241"/>
      <c r="AJ500" s="241"/>
      <c r="AK500" s="241"/>
      <c r="AL500" s="241"/>
      <c r="AM500" s="241"/>
      <c r="AN500" s="241"/>
      <c r="AO500" s="241"/>
      <c r="AP500" s="241"/>
      <c r="AQ500" s="241"/>
      <c r="AR500" s="241"/>
      <c r="AS500" s="241"/>
      <c r="AT500" s="241"/>
      <c r="AU500" s="241"/>
      <c r="AV500" s="241"/>
      <c r="AW500" s="241"/>
      <c r="AX500" s="241"/>
      <c r="AY500" s="241"/>
      <c r="AZ500" s="241"/>
      <c r="BA500" s="241"/>
      <c r="BB500" s="241"/>
      <c r="BC500" s="241"/>
      <c r="BD500" s="241"/>
      <c r="BE500" s="241"/>
      <c r="BF500" s="241"/>
      <c r="BG500" s="241"/>
      <c r="BH500" s="241"/>
      <c r="BI500" s="241"/>
      <c r="BJ500" s="241"/>
      <c r="BK500" s="241"/>
      <c r="BL500" s="241"/>
      <c r="BM500" s="241"/>
    </row>
    <row r="501" spans="1:65" ht="13.5" customHeight="1" x14ac:dyDescent="0.3">
      <c r="A501" s="241"/>
      <c r="B501" s="241"/>
      <c r="C501" s="241"/>
      <c r="D501" s="241"/>
      <c r="E501" s="241"/>
      <c r="F501" s="241"/>
      <c r="G501" s="241"/>
      <c r="H501" s="241"/>
      <c r="I501" s="241"/>
      <c r="J501" s="241"/>
      <c r="K501" s="241"/>
      <c r="L501" s="241"/>
      <c r="M501" s="241"/>
      <c r="N501" s="241"/>
      <c r="O501" s="241"/>
      <c r="P501" s="241"/>
      <c r="Q501" s="241"/>
      <c r="R501" s="241"/>
      <c r="S501" s="241"/>
      <c r="T501" s="241"/>
      <c r="U501" s="241"/>
      <c r="V501" s="241"/>
      <c r="W501" s="241"/>
      <c r="X501" s="241"/>
      <c r="Y501" s="241"/>
      <c r="Z501" s="241"/>
      <c r="AA501" s="241"/>
      <c r="AB501" s="241"/>
      <c r="AC501" s="241"/>
      <c r="AD501" s="241"/>
      <c r="AE501" s="241"/>
      <c r="AF501" s="241"/>
      <c r="AG501" s="241"/>
      <c r="AH501" s="241"/>
      <c r="AI501" s="241"/>
      <c r="AJ501" s="241"/>
      <c r="AK501" s="241"/>
      <c r="AL501" s="241"/>
      <c r="AM501" s="241"/>
      <c r="AN501" s="241"/>
      <c r="AO501" s="241"/>
      <c r="AP501" s="241"/>
      <c r="AQ501" s="241"/>
      <c r="AR501" s="241"/>
      <c r="AS501" s="241"/>
      <c r="AT501" s="241"/>
      <c r="AU501" s="241"/>
      <c r="AV501" s="241"/>
      <c r="AW501" s="241"/>
      <c r="AX501" s="241"/>
      <c r="AY501" s="241"/>
      <c r="AZ501" s="241"/>
      <c r="BA501" s="241"/>
      <c r="BB501" s="241"/>
      <c r="BC501" s="241"/>
      <c r="BD501" s="241"/>
      <c r="BE501" s="241"/>
      <c r="BF501" s="241"/>
      <c r="BG501" s="241"/>
      <c r="BH501" s="241"/>
      <c r="BI501" s="241"/>
      <c r="BJ501" s="241"/>
      <c r="BK501" s="241"/>
      <c r="BL501" s="241"/>
      <c r="BM501" s="241"/>
    </row>
    <row r="502" spans="1:65" ht="13.5" customHeight="1" x14ac:dyDescent="0.3">
      <c r="A502" s="241"/>
      <c r="B502" s="241"/>
      <c r="C502" s="241"/>
      <c r="D502" s="241"/>
      <c r="E502" s="241"/>
      <c r="F502" s="241"/>
      <c r="G502" s="241"/>
      <c r="H502" s="241"/>
      <c r="I502" s="241"/>
      <c r="J502" s="241"/>
      <c r="K502" s="241"/>
      <c r="L502" s="241"/>
      <c r="M502" s="241"/>
      <c r="N502" s="241"/>
      <c r="O502" s="241"/>
      <c r="P502" s="241"/>
      <c r="Q502" s="241"/>
      <c r="R502" s="241"/>
      <c r="S502" s="241"/>
      <c r="T502" s="241"/>
      <c r="U502" s="241"/>
      <c r="V502" s="241"/>
      <c r="W502" s="241"/>
      <c r="X502" s="241"/>
      <c r="Y502" s="241"/>
      <c r="Z502" s="241"/>
      <c r="AA502" s="241"/>
      <c r="AB502" s="241"/>
      <c r="AC502" s="241"/>
      <c r="AD502" s="241"/>
      <c r="AE502" s="241"/>
      <c r="AF502" s="241"/>
      <c r="AG502" s="241"/>
      <c r="AH502" s="241"/>
      <c r="AI502" s="241"/>
      <c r="AJ502" s="241"/>
      <c r="AK502" s="241"/>
      <c r="AL502" s="241"/>
      <c r="AM502" s="241"/>
      <c r="AN502" s="241"/>
      <c r="AO502" s="241"/>
      <c r="AP502" s="241"/>
      <c r="AQ502" s="241"/>
      <c r="AR502" s="241"/>
      <c r="AS502" s="241"/>
      <c r="AT502" s="241"/>
      <c r="AU502" s="241"/>
      <c r="AV502" s="241"/>
      <c r="AW502" s="241"/>
      <c r="AX502" s="241"/>
      <c r="AY502" s="241"/>
      <c r="AZ502" s="241"/>
      <c r="BA502" s="241"/>
      <c r="BB502" s="241"/>
      <c r="BC502" s="241"/>
      <c r="BD502" s="241"/>
      <c r="BE502" s="241"/>
      <c r="BF502" s="241"/>
      <c r="BG502" s="241"/>
      <c r="BH502" s="241"/>
      <c r="BI502" s="241"/>
      <c r="BJ502" s="241"/>
      <c r="BK502" s="241"/>
      <c r="BL502" s="241"/>
      <c r="BM502" s="241"/>
    </row>
    <row r="503" spans="1:65" ht="13.5" customHeight="1" x14ac:dyDescent="0.3">
      <c r="A503" s="241"/>
      <c r="B503" s="241"/>
      <c r="C503" s="241"/>
      <c r="D503" s="241"/>
      <c r="E503" s="241"/>
      <c r="F503" s="241"/>
      <c r="G503" s="241"/>
      <c r="H503" s="241"/>
      <c r="I503" s="241"/>
      <c r="J503" s="241"/>
      <c r="K503" s="241"/>
      <c r="L503" s="241"/>
      <c r="M503" s="241"/>
      <c r="N503" s="241"/>
      <c r="O503" s="241"/>
      <c r="P503" s="241"/>
      <c r="Q503" s="241"/>
      <c r="R503" s="241"/>
      <c r="S503" s="241"/>
      <c r="T503" s="241"/>
      <c r="U503" s="241"/>
      <c r="V503" s="241"/>
      <c r="W503" s="241"/>
      <c r="X503" s="241"/>
      <c r="Y503" s="241"/>
      <c r="Z503" s="241"/>
      <c r="AA503" s="241"/>
      <c r="AB503" s="241"/>
      <c r="AC503" s="241"/>
      <c r="AD503" s="241"/>
      <c r="AE503" s="241"/>
      <c r="AF503" s="241"/>
      <c r="AG503" s="241"/>
      <c r="AH503" s="241"/>
      <c r="AI503" s="241"/>
      <c r="AJ503" s="241"/>
      <c r="AK503" s="241"/>
      <c r="AL503" s="241"/>
      <c r="AM503" s="241"/>
      <c r="AN503" s="241"/>
      <c r="AO503" s="241"/>
      <c r="AP503" s="241"/>
      <c r="AQ503" s="241"/>
      <c r="AR503" s="241"/>
      <c r="AS503" s="241"/>
      <c r="AT503" s="241"/>
      <c r="AU503" s="241"/>
      <c r="AV503" s="241"/>
      <c r="AW503" s="241"/>
      <c r="AX503" s="241"/>
      <c r="AY503" s="241"/>
      <c r="AZ503" s="241"/>
      <c r="BA503" s="241"/>
      <c r="BB503" s="241"/>
      <c r="BC503" s="241"/>
      <c r="BD503" s="241"/>
      <c r="BE503" s="241"/>
      <c r="BF503" s="241"/>
      <c r="BG503" s="241"/>
      <c r="BH503" s="241"/>
      <c r="BI503" s="241"/>
      <c r="BJ503" s="241"/>
      <c r="BK503" s="241"/>
      <c r="BL503" s="241"/>
      <c r="BM503" s="241"/>
    </row>
    <row r="504" spans="1:65" ht="13.5" customHeight="1" x14ac:dyDescent="0.3">
      <c r="A504" s="241"/>
      <c r="B504" s="241"/>
      <c r="C504" s="241"/>
      <c r="D504" s="241"/>
      <c r="E504" s="241"/>
      <c r="F504" s="241"/>
      <c r="G504" s="241"/>
      <c r="H504" s="241"/>
      <c r="I504" s="241"/>
      <c r="J504" s="241"/>
      <c r="K504" s="241"/>
      <c r="L504" s="241"/>
      <c r="M504" s="241"/>
      <c r="N504" s="241"/>
      <c r="O504" s="241"/>
      <c r="P504" s="241"/>
      <c r="Q504" s="241"/>
      <c r="R504" s="241"/>
      <c r="S504" s="241"/>
      <c r="T504" s="241"/>
      <c r="U504" s="241"/>
      <c r="V504" s="241"/>
      <c r="W504" s="241"/>
      <c r="X504" s="241"/>
      <c r="Y504" s="241"/>
      <c r="Z504" s="241"/>
      <c r="AA504" s="241"/>
      <c r="AB504" s="241"/>
      <c r="AC504" s="241"/>
      <c r="AD504" s="241"/>
      <c r="AE504" s="241"/>
      <c r="AF504" s="241"/>
      <c r="AG504" s="241"/>
      <c r="AH504" s="241"/>
      <c r="AI504" s="241"/>
      <c r="AJ504" s="241"/>
      <c r="AK504" s="241"/>
      <c r="AL504" s="241"/>
      <c r="AM504" s="241"/>
      <c r="AN504" s="241"/>
      <c r="AO504" s="241"/>
      <c r="AP504" s="241"/>
      <c r="AQ504" s="241"/>
      <c r="AR504" s="241"/>
      <c r="AS504" s="241"/>
      <c r="AT504" s="241"/>
      <c r="AU504" s="241"/>
      <c r="AV504" s="241"/>
      <c r="AW504" s="241"/>
      <c r="AX504" s="241"/>
      <c r="AY504" s="241"/>
      <c r="AZ504" s="241"/>
      <c r="BA504" s="241"/>
      <c r="BB504" s="241"/>
      <c r="BC504" s="241"/>
      <c r="BD504" s="241"/>
      <c r="BE504" s="241"/>
      <c r="BF504" s="241"/>
      <c r="BG504" s="241"/>
      <c r="BH504" s="241"/>
      <c r="BI504" s="241"/>
      <c r="BJ504" s="241"/>
      <c r="BK504" s="241"/>
      <c r="BL504" s="241"/>
      <c r="BM504" s="241"/>
    </row>
    <row r="505" spans="1:65" ht="13.5" customHeight="1" x14ac:dyDescent="0.3">
      <c r="A505" s="241"/>
      <c r="B505" s="241"/>
      <c r="C505" s="241"/>
      <c r="D505" s="241"/>
      <c r="E505" s="241"/>
      <c r="F505" s="241"/>
      <c r="G505" s="241"/>
      <c r="H505" s="241"/>
      <c r="I505" s="241"/>
      <c r="J505" s="241"/>
      <c r="K505" s="241"/>
      <c r="L505" s="241"/>
      <c r="M505" s="241"/>
      <c r="N505" s="241"/>
      <c r="O505" s="241"/>
      <c r="P505" s="241"/>
      <c r="Q505" s="241"/>
      <c r="R505" s="241"/>
      <c r="S505" s="241"/>
      <c r="T505" s="241"/>
      <c r="U505" s="241"/>
      <c r="V505" s="241"/>
      <c r="W505" s="241"/>
      <c r="X505" s="241"/>
      <c r="Y505" s="241"/>
      <c r="Z505" s="241"/>
      <c r="AA505" s="241"/>
      <c r="AB505" s="241"/>
      <c r="AC505" s="241"/>
      <c r="AD505" s="241"/>
      <c r="AE505" s="241"/>
      <c r="AF505" s="241"/>
      <c r="AG505" s="241"/>
      <c r="AH505" s="241"/>
      <c r="AI505" s="241"/>
      <c r="AJ505" s="241"/>
      <c r="AK505" s="241"/>
      <c r="AL505" s="241"/>
      <c r="AM505" s="241"/>
      <c r="AN505" s="241"/>
      <c r="AO505" s="241"/>
      <c r="AP505" s="241"/>
      <c r="AQ505" s="241"/>
      <c r="AR505" s="241"/>
      <c r="AS505" s="241"/>
      <c r="AT505" s="241"/>
      <c r="AU505" s="241"/>
      <c r="AV505" s="241"/>
      <c r="AW505" s="241"/>
      <c r="AX505" s="241"/>
      <c r="AY505" s="241"/>
      <c r="AZ505" s="241"/>
      <c r="BA505" s="241"/>
      <c r="BB505" s="241"/>
      <c r="BC505" s="241"/>
      <c r="BD505" s="241"/>
      <c r="BE505" s="241"/>
      <c r="BF505" s="241"/>
      <c r="BG505" s="241"/>
      <c r="BH505" s="241"/>
      <c r="BI505" s="241"/>
      <c r="BJ505" s="241"/>
      <c r="BK505" s="241"/>
      <c r="BL505" s="241"/>
      <c r="BM505" s="241"/>
    </row>
    <row r="506" spans="1:65" ht="13.5" customHeight="1" x14ac:dyDescent="0.3">
      <c r="A506" s="241"/>
      <c r="B506" s="241"/>
      <c r="C506" s="241"/>
      <c r="D506" s="241"/>
      <c r="E506" s="241"/>
      <c r="F506" s="241"/>
      <c r="G506" s="241"/>
      <c r="H506" s="241"/>
      <c r="I506" s="241"/>
      <c r="J506" s="241"/>
      <c r="K506" s="241"/>
      <c r="L506" s="241"/>
      <c r="M506" s="241"/>
      <c r="N506" s="241"/>
      <c r="O506" s="241"/>
      <c r="P506" s="241"/>
      <c r="Q506" s="241"/>
      <c r="R506" s="241"/>
      <c r="S506" s="241"/>
      <c r="T506" s="241"/>
      <c r="U506" s="241"/>
      <c r="V506" s="241"/>
      <c r="W506" s="241"/>
      <c r="X506" s="241"/>
      <c r="Y506" s="241"/>
      <c r="Z506" s="241"/>
      <c r="AA506" s="241"/>
      <c r="AB506" s="241"/>
      <c r="AC506" s="241"/>
      <c r="AD506" s="241"/>
      <c r="AE506" s="241"/>
      <c r="AF506" s="241"/>
      <c r="AG506" s="241"/>
      <c r="AH506" s="241"/>
      <c r="AI506" s="241"/>
      <c r="AJ506" s="241"/>
      <c r="AK506" s="241"/>
      <c r="AL506" s="241"/>
      <c r="AM506" s="241"/>
      <c r="AN506" s="241"/>
      <c r="AO506" s="241"/>
      <c r="AP506" s="241"/>
      <c r="AQ506" s="241"/>
      <c r="AR506" s="241"/>
      <c r="AS506" s="241"/>
      <c r="AT506" s="241"/>
      <c r="AU506" s="241"/>
      <c r="AV506" s="241"/>
      <c r="AW506" s="241"/>
      <c r="AX506" s="241"/>
      <c r="AY506" s="241"/>
      <c r="AZ506" s="241"/>
      <c r="BA506" s="241"/>
      <c r="BB506" s="241"/>
      <c r="BC506" s="241"/>
      <c r="BD506" s="241"/>
      <c r="BE506" s="241"/>
      <c r="BF506" s="241"/>
      <c r="BG506" s="241"/>
      <c r="BH506" s="241"/>
      <c r="BI506" s="241"/>
      <c r="BJ506" s="241"/>
      <c r="BK506" s="241"/>
      <c r="BL506" s="241"/>
      <c r="BM506" s="241"/>
    </row>
    <row r="507" spans="1:65" ht="13.5" customHeight="1" x14ac:dyDescent="0.3">
      <c r="A507" s="241"/>
      <c r="B507" s="241"/>
      <c r="C507" s="241"/>
      <c r="D507" s="241"/>
      <c r="E507" s="241"/>
      <c r="F507" s="241"/>
      <c r="G507" s="241"/>
      <c r="H507" s="241"/>
      <c r="I507" s="241"/>
      <c r="J507" s="241"/>
      <c r="K507" s="241"/>
      <c r="L507" s="241"/>
      <c r="M507" s="241"/>
      <c r="N507" s="241"/>
      <c r="O507" s="241"/>
      <c r="P507" s="241"/>
      <c r="Q507" s="241"/>
      <c r="R507" s="241"/>
      <c r="S507" s="241"/>
      <c r="T507" s="241"/>
      <c r="U507" s="241"/>
      <c r="V507" s="241"/>
      <c r="W507" s="241"/>
      <c r="X507" s="241"/>
      <c r="Y507" s="241"/>
      <c r="Z507" s="241"/>
      <c r="AA507" s="241"/>
      <c r="AB507" s="241"/>
      <c r="AC507" s="241"/>
      <c r="AD507" s="241"/>
      <c r="AE507" s="241"/>
      <c r="AF507" s="241"/>
      <c r="AG507" s="241"/>
      <c r="AH507" s="241"/>
      <c r="AI507" s="241"/>
      <c r="AJ507" s="241"/>
      <c r="AK507" s="241"/>
      <c r="AL507" s="241"/>
      <c r="AM507" s="241"/>
      <c r="AN507" s="241"/>
      <c r="AO507" s="241"/>
      <c r="AP507" s="241"/>
      <c r="AQ507" s="241"/>
      <c r="AR507" s="241"/>
      <c r="AS507" s="241"/>
      <c r="AT507" s="241"/>
      <c r="AU507" s="241"/>
      <c r="AV507" s="241"/>
      <c r="AW507" s="241"/>
      <c r="AX507" s="241"/>
      <c r="AY507" s="241"/>
      <c r="AZ507" s="241"/>
      <c r="BA507" s="241"/>
      <c r="BB507" s="241"/>
      <c r="BC507" s="241"/>
      <c r="BD507" s="241"/>
      <c r="BE507" s="241"/>
      <c r="BF507" s="241"/>
      <c r="BG507" s="241"/>
      <c r="BH507" s="241"/>
      <c r="BI507" s="241"/>
      <c r="BJ507" s="241"/>
      <c r="BK507" s="241"/>
      <c r="BL507" s="241"/>
      <c r="BM507" s="241"/>
    </row>
    <row r="508" spans="1:65" ht="13.5" customHeight="1" x14ac:dyDescent="0.3">
      <c r="A508" s="241"/>
      <c r="B508" s="241"/>
      <c r="C508" s="241"/>
      <c r="D508" s="241"/>
      <c r="E508" s="241"/>
      <c r="F508" s="241"/>
      <c r="G508" s="241"/>
      <c r="H508" s="241"/>
      <c r="I508" s="241"/>
      <c r="J508" s="241"/>
      <c r="K508" s="241"/>
      <c r="L508" s="241"/>
      <c r="M508" s="241"/>
      <c r="N508" s="241"/>
      <c r="O508" s="241"/>
      <c r="P508" s="241"/>
      <c r="Q508" s="241"/>
      <c r="R508" s="241"/>
      <c r="S508" s="241"/>
      <c r="T508" s="241"/>
      <c r="U508" s="241"/>
      <c r="V508" s="241"/>
      <c r="W508" s="241"/>
      <c r="X508" s="241"/>
      <c r="Y508" s="241"/>
      <c r="Z508" s="241"/>
      <c r="AA508" s="241"/>
      <c r="AB508" s="241"/>
      <c r="AC508" s="241"/>
      <c r="AD508" s="241"/>
      <c r="AE508" s="241"/>
      <c r="AF508" s="241"/>
      <c r="AG508" s="241"/>
      <c r="AH508" s="241"/>
      <c r="AI508" s="241"/>
      <c r="AJ508" s="241"/>
      <c r="AK508" s="241"/>
      <c r="AL508" s="241"/>
      <c r="AM508" s="241"/>
      <c r="AN508" s="241"/>
      <c r="AO508" s="241"/>
      <c r="AP508" s="241"/>
      <c r="AQ508" s="241"/>
      <c r="AR508" s="241"/>
      <c r="AS508" s="241"/>
      <c r="AT508" s="241"/>
      <c r="AU508" s="241"/>
      <c r="AV508" s="241"/>
      <c r="AW508" s="241"/>
      <c r="AX508" s="241"/>
      <c r="AY508" s="241"/>
      <c r="AZ508" s="241"/>
      <c r="BA508" s="241"/>
      <c r="BB508" s="241"/>
      <c r="BC508" s="241"/>
      <c r="BD508" s="241"/>
      <c r="BE508" s="241"/>
      <c r="BF508" s="241"/>
      <c r="BG508" s="241"/>
      <c r="BH508" s="241"/>
      <c r="BI508" s="241"/>
      <c r="BJ508" s="241"/>
      <c r="BK508" s="241"/>
      <c r="BL508" s="241"/>
      <c r="BM508" s="241"/>
    </row>
    <row r="509" spans="1:65" ht="13.5" customHeight="1" x14ac:dyDescent="0.3">
      <c r="A509" s="241"/>
      <c r="B509" s="241"/>
      <c r="C509" s="241"/>
      <c r="D509" s="241"/>
      <c r="E509" s="241"/>
      <c r="F509" s="241"/>
      <c r="G509" s="241"/>
      <c r="H509" s="241"/>
      <c r="I509" s="241"/>
      <c r="J509" s="241"/>
      <c r="K509" s="241"/>
      <c r="L509" s="241"/>
      <c r="M509" s="241"/>
      <c r="N509" s="241"/>
      <c r="O509" s="241"/>
      <c r="P509" s="241"/>
      <c r="Q509" s="241"/>
      <c r="R509" s="241"/>
      <c r="S509" s="241"/>
      <c r="T509" s="241"/>
      <c r="U509" s="241"/>
      <c r="V509" s="241"/>
      <c r="W509" s="241"/>
      <c r="X509" s="241"/>
      <c r="Y509" s="241"/>
      <c r="Z509" s="241"/>
      <c r="AA509" s="241"/>
      <c r="AB509" s="241"/>
      <c r="AC509" s="241"/>
      <c r="AD509" s="241"/>
      <c r="AE509" s="241"/>
      <c r="AF509" s="241"/>
      <c r="AG509" s="241"/>
      <c r="AH509" s="241"/>
      <c r="AI509" s="241"/>
      <c r="AJ509" s="241"/>
      <c r="AK509" s="241"/>
      <c r="AL509" s="241"/>
      <c r="AM509" s="241"/>
      <c r="AN509" s="241"/>
      <c r="AO509" s="241"/>
      <c r="AP509" s="241"/>
      <c r="AQ509" s="241"/>
      <c r="AR509" s="241"/>
      <c r="AS509" s="241"/>
      <c r="AT509" s="241"/>
      <c r="AU509" s="241"/>
      <c r="AV509" s="241"/>
      <c r="AW509" s="241"/>
      <c r="AX509" s="241"/>
      <c r="AY509" s="241"/>
      <c r="AZ509" s="241"/>
      <c r="BA509" s="241"/>
      <c r="BB509" s="241"/>
      <c r="BC509" s="241"/>
      <c r="BD509" s="241"/>
      <c r="BE509" s="241"/>
      <c r="BF509" s="241"/>
      <c r="BG509" s="241"/>
      <c r="BH509" s="241"/>
      <c r="BI509" s="241"/>
      <c r="BJ509" s="241"/>
      <c r="BK509" s="241"/>
      <c r="BL509" s="241"/>
      <c r="BM509" s="241"/>
    </row>
    <row r="510" spans="1:65" ht="13.5" customHeight="1" x14ac:dyDescent="0.3">
      <c r="A510" s="241"/>
      <c r="B510" s="241"/>
      <c r="C510" s="241"/>
      <c r="D510" s="241"/>
      <c r="E510" s="241"/>
      <c r="F510" s="241"/>
      <c r="G510" s="241"/>
      <c r="H510" s="241"/>
      <c r="I510" s="241"/>
      <c r="J510" s="241"/>
      <c r="K510" s="241"/>
      <c r="L510" s="241"/>
      <c r="M510" s="241"/>
      <c r="N510" s="241"/>
      <c r="O510" s="241"/>
      <c r="P510" s="241"/>
      <c r="Q510" s="241"/>
      <c r="R510" s="241"/>
      <c r="S510" s="241"/>
      <c r="T510" s="241"/>
      <c r="U510" s="241"/>
      <c r="V510" s="241"/>
      <c r="W510" s="241"/>
      <c r="X510" s="241"/>
      <c r="Y510" s="241"/>
      <c r="Z510" s="241"/>
      <c r="AA510" s="241"/>
      <c r="AB510" s="241"/>
      <c r="AC510" s="241"/>
      <c r="AD510" s="241"/>
      <c r="AE510" s="241"/>
      <c r="AF510" s="241"/>
      <c r="AG510" s="241"/>
      <c r="AH510" s="241"/>
      <c r="AI510" s="241"/>
      <c r="AJ510" s="241"/>
      <c r="AK510" s="241"/>
      <c r="AL510" s="241"/>
      <c r="AM510" s="241"/>
      <c r="AN510" s="241"/>
      <c r="AO510" s="241"/>
      <c r="AP510" s="241"/>
      <c r="AQ510" s="241"/>
      <c r="AR510" s="241"/>
      <c r="AS510" s="241"/>
      <c r="AT510" s="241"/>
      <c r="AU510" s="241"/>
      <c r="AV510" s="241"/>
      <c r="AW510" s="241"/>
      <c r="AX510" s="241"/>
      <c r="AY510" s="241"/>
      <c r="AZ510" s="241"/>
      <c r="BA510" s="241"/>
      <c r="BB510" s="241"/>
      <c r="BC510" s="241"/>
      <c r="BD510" s="241"/>
      <c r="BE510" s="241"/>
      <c r="BF510" s="241"/>
      <c r="BG510" s="241"/>
      <c r="BH510" s="241"/>
      <c r="BI510" s="241"/>
      <c r="BJ510" s="241"/>
      <c r="BK510" s="241"/>
      <c r="BL510" s="241"/>
      <c r="BM510" s="241"/>
    </row>
    <row r="511" spans="1:65" ht="13.5" customHeight="1" x14ac:dyDescent="0.3">
      <c r="A511" s="241"/>
      <c r="B511" s="241"/>
      <c r="C511" s="241"/>
      <c r="D511" s="241"/>
      <c r="E511" s="241"/>
      <c r="F511" s="241"/>
      <c r="G511" s="241"/>
      <c r="H511" s="241"/>
      <c r="I511" s="241"/>
      <c r="J511" s="241"/>
      <c r="K511" s="241"/>
      <c r="L511" s="241"/>
      <c r="M511" s="241"/>
      <c r="N511" s="241"/>
      <c r="O511" s="241"/>
      <c r="P511" s="241"/>
      <c r="Q511" s="241"/>
      <c r="R511" s="241"/>
      <c r="S511" s="241"/>
      <c r="T511" s="241"/>
      <c r="U511" s="241"/>
      <c r="V511" s="241"/>
      <c r="W511" s="241"/>
      <c r="X511" s="241"/>
      <c r="Y511" s="241"/>
      <c r="Z511" s="241"/>
      <c r="AA511" s="241"/>
      <c r="AB511" s="241"/>
      <c r="AC511" s="241"/>
      <c r="AD511" s="241"/>
      <c r="AE511" s="241"/>
      <c r="AF511" s="241"/>
      <c r="AG511" s="241"/>
      <c r="AH511" s="241"/>
      <c r="AI511" s="241"/>
      <c r="AJ511" s="241"/>
      <c r="AK511" s="241"/>
      <c r="AL511" s="241"/>
      <c r="AM511" s="241"/>
      <c r="AN511" s="241"/>
      <c r="AO511" s="241"/>
      <c r="AP511" s="241"/>
      <c r="AQ511" s="241"/>
      <c r="AR511" s="241"/>
      <c r="AS511" s="241"/>
      <c r="AT511" s="241"/>
      <c r="AU511" s="241"/>
      <c r="AV511" s="241"/>
      <c r="AW511" s="241"/>
      <c r="AX511" s="241"/>
      <c r="AY511" s="241"/>
      <c r="AZ511" s="241"/>
      <c r="BA511" s="241"/>
      <c r="BB511" s="241"/>
      <c r="BC511" s="241"/>
      <c r="BD511" s="241"/>
      <c r="BE511" s="241"/>
      <c r="BF511" s="241"/>
      <c r="BG511" s="241"/>
      <c r="BH511" s="241"/>
      <c r="BI511" s="241"/>
      <c r="BJ511" s="241"/>
      <c r="BK511" s="241"/>
      <c r="BL511" s="241"/>
      <c r="BM511" s="241"/>
    </row>
    <row r="512" spans="1:65" ht="13.5" customHeight="1" x14ac:dyDescent="0.3">
      <c r="A512" s="241"/>
      <c r="B512" s="241"/>
      <c r="C512" s="241"/>
      <c r="D512" s="241"/>
      <c r="E512" s="241"/>
      <c r="F512" s="241"/>
      <c r="G512" s="241"/>
      <c r="H512" s="241"/>
      <c r="I512" s="241"/>
      <c r="J512" s="241"/>
      <c r="K512" s="241"/>
      <c r="L512" s="241"/>
      <c r="M512" s="241"/>
      <c r="N512" s="241"/>
      <c r="O512" s="241"/>
      <c r="P512" s="241"/>
      <c r="Q512" s="241"/>
      <c r="R512" s="241"/>
      <c r="S512" s="241"/>
      <c r="T512" s="241"/>
      <c r="U512" s="241"/>
      <c r="V512" s="241"/>
      <c r="W512" s="241"/>
      <c r="X512" s="241"/>
      <c r="Y512" s="241"/>
      <c r="Z512" s="241"/>
      <c r="AA512" s="241"/>
      <c r="AB512" s="241"/>
      <c r="AC512" s="241"/>
      <c r="AD512" s="241"/>
      <c r="AE512" s="241"/>
      <c r="AF512" s="241"/>
      <c r="AG512" s="241"/>
      <c r="AH512" s="241"/>
      <c r="AI512" s="241"/>
      <c r="AJ512" s="241"/>
      <c r="AK512" s="241"/>
      <c r="AL512" s="241"/>
      <c r="AM512" s="241"/>
      <c r="AN512" s="241"/>
      <c r="AO512" s="241"/>
      <c r="AP512" s="241"/>
      <c r="AQ512" s="241"/>
      <c r="AR512" s="241"/>
      <c r="AS512" s="241"/>
      <c r="AT512" s="241"/>
      <c r="AU512" s="241"/>
      <c r="AV512" s="241"/>
      <c r="AW512" s="241"/>
      <c r="AX512" s="241"/>
      <c r="AY512" s="241"/>
      <c r="AZ512" s="241"/>
      <c r="BA512" s="241"/>
      <c r="BB512" s="241"/>
      <c r="BC512" s="241"/>
      <c r="BD512" s="241"/>
      <c r="BE512" s="241"/>
      <c r="BF512" s="241"/>
      <c r="BG512" s="241"/>
      <c r="BH512" s="241"/>
      <c r="BI512" s="241"/>
      <c r="BJ512" s="241"/>
      <c r="BK512" s="241"/>
      <c r="BL512" s="241"/>
      <c r="BM512" s="241"/>
    </row>
    <row r="513" spans="1:65" ht="13.5" customHeight="1" x14ac:dyDescent="0.3">
      <c r="A513" s="241"/>
      <c r="B513" s="241"/>
      <c r="C513" s="241"/>
      <c r="D513" s="241"/>
      <c r="E513" s="241"/>
      <c r="F513" s="241"/>
      <c r="G513" s="241"/>
      <c r="H513" s="241"/>
      <c r="I513" s="241"/>
      <c r="J513" s="241"/>
      <c r="K513" s="241"/>
      <c r="L513" s="241"/>
      <c r="M513" s="241"/>
      <c r="N513" s="241"/>
      <c r="O513" s="241"/>
      <c r="P513" s="241"/>
      <c r="Q513" s="241"/>
      <c r="R513" s="241"/>
      <c r="S513" s="241"/>
      <c r="T513" s="241"/>
      <c r="U513" s="241"/>
      <c r="V513" s="241"/>
      <c r="W513" s="241"/>
      <c r="X513" s="241"/>
      <c r="Y513" s="241"/>
      <c r="Z513" s="241"/>
      <c r="AA513" s="241"/>
      <c r="AB513" s="241"/>
      <c r="AC513" s="241"/>
      <c r="AD513" s="241"/>
      <c r="AE513" s="241"/>
      <c r="AF513" s="241"/>
      <c r="AG513" s="241"/>
      <c r="AH513" s="241"/>
      <c r="AI513" s="241"/>
      <c r="AJ513" s="241"/>
      <c r="AK513" s="241"/>
      <c r="AL513" s="241"/>
      <c r="AM513" s="241"/>
      <c r="AN513" s="241"/>
      <c r="AO513" s="241"/>
      <c r="AP513" s="241"/>
      <c r="AQ513" s="241"/>
      <c r="AR513" s="241"/>
      <c r="AS513" s="241"/>
      <c r="AT513" s="241"/>
      <c r="AU513" s="241"/>
      <c r="AV513" s="241"/>
      <c r="AW513" s="241"/>
      <c r="AX513" s="241"/>
      <c r="AY513" s="241"/>
      <c r="AZ513" s="241"/>
      <c r="BA513" s="241"/>
      <c r="BB513" s="241"/>
      <c r="BC513" s="241"/>
      <c r="BD513" s="241"/>
      <c r="BE513" s="241"/>
      <c r="BF513" s="241"/>
      <c r="BG513" s="241"/>
      <c r="BH513" s="241"/>
      <c r="BI513" s="241"/>
      <c r="BJ513" s="241"/>
      <c r="BK513" s="241"/>
      <c r="BL513" s="241"/>
      <c r="BM513" s="241"/>
    </row>
    <row r="514" spans="1:65" ht="13.5" customHeight="1" x14ac:dyDescent="0.3">
      <c r="A514" s="241"/>
      <c r="B514" s="241"/>
      <c r="C514" s="241"/>
      <c r="D514" s="241"/>
      <c r="E514" s="241"/>
      <c r="F514" s="241"/>
      <c r="G514" s="241"/>
      <c r="H514" s="241"/>
      <c r="I514" s="241"/>
      <c r="J514" s="241"/>
      <c r="K514" s="241"/>
      <c r="L514" s="241"/>
      <c r="M514" s="241"/>
      <c r="N514" s="241"/>
      <c r="O514" s="241"/>
      <c r="P514" s="241"/>
      <c r="Q514" s="241"/>
      <c r="R514" s="241"/>
      <c r="S514" s="241"/>
      <c r="T514" s="241"/>
      <c r="U514" s="241"/>
      <c r="V514" s="241"/>
      <c r="W514" s="241"/>
      <c r="X514" s="241"/>
      <c r="Y514" s="241"/>
      <c r="Z514" s="241"/>
      <c r="AA514" s="241"/>
      <c r="AB514" s="241"/>
      <c r="AC514" s="241"/>
      <c r="AD514" s="241"/>
      <c r="AE514" s="241"/>
      <c r="AF514" s="241"/>
      <c r="AG514" s="241"/>
      <c r="AH514" s="241"/>
      <c r="AI514" s="241"/>
      <c r="AJ514" s="241"/>
      <c r="AK514" s="241"/>
      <c r="AL514" s="241"/>
      <c r="AM514" s="241"/>
      <c r="AN514" s="241"/>
      <c r="AO514" s="241"/>
      <c r="AP514" s="241"/>
      <c r="AQ514" s="241"/>
      <c r="AR514" s="241"/>
      <c r="AS514" s="241"/>
      <c r="AT514" s="241"/>
      <c r="AU514" s="241"/>
      <c r="AV514" s="241"/>
      <c r="AW514" s="241"/>
      <c r="AX514" s="241"/>
      <c r="AY514" s="241"/>
      <c r="AZ514" s="241"/>
      <c r="BA514" s="241"/>
      <c r="BB514" s="241"/>
      <c r="BC514" s="241"/>
      <c r="BD514" s="241"/>
      <c r="BE514" s="241"/>
      <c r="BF514" s="241"/>
      <c r="BG514" s="241"/>
      <c r="BH514" s="241"/>
      <c r="BI514" s="241"/>
      <c r="BJ514" s="241"/>
      <c r="BK514" s="241"/>
      <c r="BL514" s="241"/>
      <c r="BM514" s="241"/>
    </row>
    <row r="515" spans="1:65" ht="13.5" customHeight="1" x14ac:dyDescent="0.3">
      <c r="A515" s="241"/>
      <c r="B515" s="241"/>
      <c r="C515" s="241"/>
      <c r="D515" s="241"/>
      <c r="E515" s="241"/>
      <c r="F515" s="241"/>
      <c r="G515" s="241"/>
      <c r="H515" s="241"/>
      <c r="I515" s="241"/>
      <c r="J515" s="241"/>
      <c r="K515" s="241"/>
      <c r="L515" s="241"/>
      <c r="M515" s="241"/>
      <c r="N515" s="241"/>
      <c r="O515" s="241"/>
      <c r="P515" s="241"/>
      <c r="Q515" s="241"/>
      <c r="R515" s="241"/>
      <c r="S515" s="241"/>
      <c r="T515" s="241"/>
      <c r="U515" s="241"/>
      <c r="V515" s="241"/>
      <c r="W515" s="241"/>
      <c r="X515" s="241"/>
      <c r="Y515" s="241"/>
      <c r="Z515" s="241"/>
      <c r="AA515" s="241"/>
      <c r="AB515" s="241"/>
      <c r="AC515" s="241"/>
      <c r="AD515" s="241"/>
      <c r="AE515" s="241"/>
      <c r="AF515" s="241"/>
      <c r="AG515" s="241"/>
      <c r="AH515" s="241"/>
      <c r="AI515" s="241"/>
      <c r="AJ515" s="241"/>
      <c r="AK515" s="241"/>
      <c r="AL515" s="241"/>
      <c r="AM515" s="241"/>
      <c r="AN515" s="241"/>
      <c r="AO515" s="241"/>
      <c r="AP515" s="241"/>
      <c r="AQ515" s="241"/>
      <c r="AR515" s="241"/>
      <c r="AS515" s="241"/>
      <c r="AT515" s="241"/>
      <c r="AU515" s="241"/>
      <c r="AV515" s="241"/>
      <c r="AW515" s="241"/>
      <c r="AX515" s="241"/>
      <c r="AY515" s="241"/>
      <c r="AZ515" s="241"/>
      <c r="BA515" s="241"/>
      <c r="BB515" s="241"/>
      <c r="BC515" s="241"/>
      <c r="BD515" s="241"/>
      <c r="BE515" s="241"/>
      <c r="BF515" s="241"/>
      <c r="BG515" s="241"/>
      <c r="BH515" s="241"/>
      <c r="BI515" s="241"/>
      <c r="BJ515" s="241"/>
      <c r="BK515" s="241"/>
      <c r="BL515" s="241"/>
      <c r="BM515" s="241"/>
    </row>
    <row r="516" spans="1:65" ht="13.5" customHeight="1" x14ac:dyDescent="0.3">
      <c r="A516" s="241"/>
      <c r="B516" s="241"/>
      <c r="C516" s="241"/>
      <c r="D516" s="241"/>
      <c r="E516" s="241"/>
      <c r="F516" s="241"/>
      <c r="G516" s="241"/>
      <c r="H516" s="241"/>
      <c r="I516" s="241"/>
      <c r="J516" s="241"/>
      <c r="K516" s="241"/>
      <c r="L516" s="241"/>
      <c r="M516" s="241"/>
      <c r="N516" s="241"/>
      <c r="O516" s="241"/>
      <c r="P516" s="241"/>
      <c r="Q516" s="241"/>
      <c r="R516" s="241"/>
      <c r="S516" s="241"/>
      <c r="T516" s="241"/>
      <c r="U516" s="241"/>
      <c r="V516" s="241"/>
      <c r="W516" s="241"/>
      <c r="X516" s="241"/>
      <c r="Y516" s="241"/>
      <c r="Z516" s="241"/>
      <c r="AA516" s="241"/>
      <c r="AB516" s="241"/>
      <c r="AC516" s="241"/>
      <c r="AD516" s="241"/>
      <c r="AE516" s="241"/>
      <c r="AF516" s="241"/>
      <c r="AG516" s="241"/>
      <c r="AH516" s="241"/>
      <c r="AI516" s="241"/>
      <c r="AJ516" s="241"/>
      <c r="AK516" s="241"/>
      <c r="AL516" s="241"/>
      <c r="AM516" s="241"/>
      <c r="AN516" s="241"/>
      <c r="AO516" s="241"/>
      <c r="AP516" s="241"/>
      <c r="AQ516" s="241"/>
      <c r="AR516" s="241"/>
      <c r="AS516" s="241"/>
      <c r="AT516" s="241"/>
      <c r="AU516" s="241"/>
      <c r="AV516" s="241"/>
      <c r="AW516" s="241"/>
      <c r="AX516" s="241"/>
      <c r="AY516" s="241"/>
      <c r="AZ516" s="241"/>
      <c r="BA516" s="241"/>
      <c r="BB516" s="241"/>
      <c r="BC516" s="241"/>
      <c r="BD516" s="241"/>
      <c r="BE516" s="241"/>
      <c r="BF516" s="241"/>
      <c r="BG516" s="241"/>
      <c r="BH516" s="241"/>
      <c r="BI516" s="241"/>
      <c r="BJ516" s="241"/>
      <c r="BK516" s="241"/>
      <c r="BL516" s="241"/>
      <c r="BM516" s="241"/>
    </row>
    <row r="517" spans="1:65" ht="13.5" customHeight="1" x14ac:dyDescent="0.3">
      <c r="A517" s="241"/>
      <c r="B517" s="241"/>
      <c r="C517" s="241"/>
      <c r="D517" s="241"/>
      <c r="E517" s="241"/>
      <c r="F517" s="241"/>
      <c r="G517" s="241"/>
      <c r="H517" s="241"/>
      <c r="I517" s="241"/>
      <c r="J517" s="241"/>
      <c r="K517" s="241"/>
      <c r="L517" s="241"/>
      <c r="M517" s="241"/>
      <c r="N517" s="241"/>
      <c r="O517" s="241"/>
      <c r="P517" s="241"/>
      <c r="Q517" s="241"/>
      <c r="R517" s="241"/>
      <c r="S517" s="241"/>
      <c r="T517" s="241"/>
      <c r="U517" s="241"/>
      <c r="V517" s="241"/>
      <c r="W517" s="241"/>
      <c r="X517" s="241"/>
      <c r="Y517" s="241"/>
      <c r="Z517" s="241"/>
      <c r="AA517" s="241"/>
      <c r="AB517" s="241"/>
      <c r="AC517" s="241"/>
      <c r="AD517" s="241"/>
      <c r="AE517" s="241"/>
      <c r="AF517" s="241"/>
      <c r="AG517" s="241"/>
      <c r="AH517" s="241"/>
      <c r="AI517" s="241"/>
      <c r="AJ517" s="241"/>
      <c r="AK517" s="241"/>
      <c r="AL517" s="241"/>
      <c r="AM517" s="241"/>
      <c r="AN517" s="241"/>
      <c r="AO517" s="241"/>
      <c r="AP517" s="241"/>
      <c r="AQ517" s="241"/>
      <c r="AR517" s="241"/>
      <c r="AS517" s="241"/>
      <c r="AT517" s="241"/>
      <c r="AU517" s="241"/>
      <c r="AV517" s="241"/>
      <c r="AW517" s="241"/>
      <c r="AX517" s="241"/>
      <c r="AY517" s="241"/>
      <c r="AZ517" s="241"/>
      <c r="BA517" s="241"/>
      <c r="BB517" s="241"/>
      <c r="BC517" s="241"/>
      <c r="BD517" s="241"/>
      <c r="BE517" s="241"/>
      <c r="BF517" s="241"/>
      <c r="BG517" s="241"/>
      <c r="BH517" s="241"/>
      <c r="BI517" s="241"/>
      <c r="BJ517" s="241"/>
      <c r="BK517" s="241"/>
      <c r="BL517" s="241"/>
      <c r="BM517" s="241"/>
    </row>
    <row r="518" spans="1:65" ht="13.5" customHeight="1" x14ac:dyDescent="0.3">
      <c r="A518" s="241"/>
      <c r="B518" s="241"/>
      <c r="C518" s="241"/>
      <c r="D518" s="241"/>
      <c r="E518" s="241"/>
      <c r="F518" s="241"/>
      <c r="G518" s="241"/>
      <c r="H518" s="241"/>
      <c r="I518" s="241"/>
      <c r="J518" s="241"/>
      <c r="K518" s="241"/>
      <c r="L518" s="241"/>
      <c r="M518" s="241"/>
      <c r="N518" s="241"/>
      <c r="O518" s="241"/>
      <c r="P518" s="241"/>
      <c r="Q518" s="241"/>
      <c r="R518" s="241"/>
      <c r="S518" s="241"/>
      <c r="T518" s="241"/>
      <c r="U518" s="241"/>
      <c r="V518" s="241"/>
      <c r="W518" s="241"/>
      <c r="X518" s="241"/>
      <c r="Y518" s="241"/>
      <c r="Z518" s="241"/>
      <c r="AA518" s="241"/>
      <c r="AB518" s="241"/>
      <c r="AC518" s="241"/>
      <c r="AD518" s="241"/>
      <c r="AE518" s="241"/>
      <c r="AF518" s="241"/>
      <c r="AG518" s="241"/>
      <c r="AH518" s="241"/>
      <c r="AI518" s="241"/>
      <c r="AJ518" s="241"/>
      <c r="AK518" s="241"/>
      <c r="AL518" s="241"/>
      <c r="AM518" s="241"/>
      <c r="AN518" s="241"/>
      <c r="AO518" s="241"/>
      <c r="AP518" s="241"/>
      <c r="AQ518" s="241"/>
      <c r="AR518" s="241"/>
      <c r="AS518" s="241"/>
      <c r="AT518" s="241"/>
      <c r="AU518" s="241"/>
      <c r="AV518" s="241"/>
      <c r="AW518" s="241"/>
      <c r="AX518" s="241"/>
      <c r="AY518" s="241"/>
      <c r="AZ518" s="241"/>
      <c r="BA518" s="241"/>
      <c r="BB518" s="241"/>
      <c r="BC518" s="241"/>
      <c r="BD518" s="241"/>
      <c r="BE518" s="241"/>
      <c r="BF518" s="241"/>
      <c r="BG518" s="241"/>
      <c r="BH518" s="241"/>
      <c r="BI518" s="241"/>
      <c r="BJ518" s="241"/>
      <c r="BK518" s="241"/>
      <c r="BL518" s="241"/>
      <c r="BM518" s="241"/>
    </row>
    <row r="519" spans="1:65" ht="13.5" customHeight="1" x14ac:dyDescent="0.3">
      <c r="A519" s="241"/>
      <c r="B519" s="241"/>
      <c r="C519" s="241"/>
      <c r="D519" s="241"/>
      <c r="E519" s="241"/>
      <c r="F519" s="241"/>
      <c r="G519" s="241"/>
      <c r="H519" s="241"/>
      <c r="I519" s="241"/>
      <c r="J519" s="241"/>
      <c r="K519" s="241"/>
      <c r="L519" s="241"/>
      <c r="M519" s="241"/>
      <c r="N519" s="241"/>
      <c r="O519" s="241"/>
      <c r="P519" s="241"/>
      <c r="Q519" s="241"/>
      <c r="R519" s="241"/>
      <c r="S519" s="241"/>
      <c r="T519" s="241"/>
      <c r="U519" s="241"/>
      <c r="V519" s="241"/>
      <c r="W519" s="241"/>
      <c r="X519" s="241"/>
      <c r="Y519" s="241"/>
      <c r="Z519" s="241"/>
      <c r="AA519" s="241"/>
      <c r="AB519" s="241"/>
      <c r="AC519" s="241"/>
      <c r="AD519" s="241"/>
      <c r="AE519" s="241"/>
      <c r="AF519" s="241"/>
      <c r="AG519" s="241"/>
      <c r="AH519" s="241"/>
      <c r="AI519" s="241"/>
      <c r="AJ519" s="241"/>
      <c r="AK519" s="241"/>
      <c r="AL519" s="241"/>
      <c r="AM519" s="241"/>
      <c r="AN519" s="241"/>
      <c r="AO519" s="241"/>
      <c r="AP519" s="241"/>
      <c r="AQ519" s="241"/>
      <c r="AR519" s="241"/>
      <c r="AS519" s="241"/>
      <c r="AT519" s="241"/>
      <c r="AU519" s="241"/>
      <c r="AV519" s="241"/>
      <c r="AW519" s="241"/>
      <c r="AX519" s="241"/>
      <c r="AY519" s="241"/>
      <c r="AZ519" s="241"/>
      <c r="BA519" s="241"/>
      <c r="BB519" s="241"/>
      <c r="BC519" s="241"/>
      <c r="BD519" s="241"/>
      <c r="BE519" s="241"/>
      <c r="BF519" s="241"/>
      <c r="BG519" s="241"/>
      <c r="BH519" s="241"/>
      <c r="BI519" s="241"/>
      <c r="BJ519" s="241"/>
      <c r="BK519" s="241"/>
      <c r="BL519" s="241"/>
      <c r="BM519" s="241"/>
    </row>
    <row r="520" spans="1:65" ht="13.5" customHeight="1" x14ac:dyDescent="0.3">
      <c r="A520" s="241"/>
      <c r="B520" s="241"/>
      <c r="C520" s="241"/>
      <c r="D520" s="241"/>
      <c r="E520" s="241"/>
      <c r="F520" s="241"/>
      <c r="G520" s="241"/>
      <c r="H520" s="241"/>
      <c r="I520" s="241"/>
      <c r="J520" s="241"/>
      <c r="K520" s="241"/>
      <c r="L520" s="241"/>
      <c r="M520" s="241"/>
      <c r="N520" s="241"/>
      <c r="O520" s="241"/>
      <c r="P520" s="241"/>
      <c r="Q520" s="241"/>
      <c r="R520" s="241"/>
      <c r="S520" s="241"/>
      <c r="T520" s="241"/>
      <c r="U520" s="241"/>
      <c r="V520" s="241"/>
      <c r="W520" s="241"/>
      <c r="X520" s="241"/>
      <c r="Y520" s="241"/>
      <c r="Z520" s="241"/>
      <c r="AA520" s="241"/>
      <c r="AB520" s="241"/>
      <c r="AC520" s="241"/>
      <c r="AD520" s="241"/>
      <c r="AE520" s="241"/>
      <c r="AF520" s="241"/>
      <c r="AG520" s="241"/>
      <c r="AH520" s="241"/>
      <c r="AI520" s="241"/>
      <c r="AJ520" s="241"/>
      <c r="AK520" s="241"/>
      <c r="AL520" s="241"/>
      <c r="AM520" s="241"/>
      <c r="AN520" s="241"/>
      <c r="AO520" s="241"/>
      <c r="AP520" s="241"/>
      <c r="AQ520" s="241"/>
      <c r="AR520" s="241"/>
      <c r="AS520" s="241"/>
      <c r="AT520" s="241"/>
      <c r="AU520" s="241"/>
      <c r="AV520" s="241"/>
      <c r="AW520" s="241"/>
      <c r="AX520" s="241"/>
      <c r="AY520" s="241"/>
      <c r="AZ520" s="241"/>
      <c r="BA520" s="241"/>
      <c r="BB520" s="241"/>
      <c r="BC520" s="241"/>
      <c r="BD520" s="241"/>
      <c r="BE520" s="241"/>
      <c r="BF520" s="241"/>
      <c r="BG520" s="241"/>
      <c r="BH520" s="241"/>
      <c r="BI520" s="241"/>
      <c r="BJ520" s="241"/>
      <c r="BK520" s="241"/>
      <c r="BL520" s="241"/>
      <c r="BM520" s="241"/>
    </row>
    <row r="521" spans="1:65" ht="13.5" customHeight="1" x14ac:dyDescent="0.3">
      <c r="A521" s="241"/>
      <c r="B521" s="241"/>
      <c r="C521" s="241"/>
      <c r="D521" s="241"/>
      <c r="E521" s="241"/>
      <c r="F521" s="241"/>
      <c r="G521" s="241"/>
      <c r="H521" s="241"/>
      <c r="I521" s="241"/>
      <c r="J521" s="241"/>
      <c r="K521" s="241"/>
      <c r="L521" s="241"/>
      <c r="M521" s="241"/>
      <c r="N521" s="241"/>
      <c r="O521" s="241"/>
      <c r="P521" s="241"/>
      <c r="Q521" s="241"/>
      <c r="R521" s="241"/>
      <c r="S521" s="241"/>
      <c r="T521" s="241"/>
      <c r="U521" s="241"/>
      <c r="V521" s="241"/>
      <c r="W521" s="241"/>
      <c r="X521" s="241"/>
      <c r="Y521" s="241"/>
      <c r="Z521" s="241"/>
      <c r="AA521" s="241"/>
      <c r="AB521" s="241"/>
      <c r="AC521" s="241"/>
      <c r="AD521" s="241"/>
      <c r="AE521" s="241"/>
      <c r="AF521" s="241"/>
      <c r="AG521" s="241"/>
      <c r="AH521" s="241"/>
      <c r="AI521" s="241"/>
      <c r="AJ521" s="241"/>
      <c r="AK521" s="241"/>
      <c r="AL521" s="241"/>
      <c r="AM521" s="241"/>
      <c r="AN521" s="241"/>
      <c r="AO521" s="241"/>
      <c r="AP521" s="241"/>
      <c r="AQ521" s="241"/>
      <c r="AR521" s="241"/>
      <c r="AS521" s="241"/>
      <c r="AT521" s="241"/>
      <c r="AU521" s="241"/>
      <c r="AV521" s="241"/>
      <c r="AW521" s="241"/>
      <c r="AX521" s="241"/>
      <c r="AY521" s="241"/>
      <c r="AZ521" s="241"/>
      <c r="BA521" s="241"/>
      <c r="BB521" s="241"/>
      <c r="BC521" s="241"/>
      <c r="BD521" s="241"/>
      <c r="BE521" s="241"/>
      <c r="BF521" s="241"/>
      <c r="BG521" s="241"/>
      <c r="BH521" s="241"/>
      <c r="BI521" s="241"/>
      <c r="BJ521" s="241"/>
      <c r="BK521" s="241"/>
      <c r="BL521" s="241"/>
      <c r="BM521" s="241"/>
    </row>
    <row r="522" spans="1:65" ht="13.5" customHeight="1" x14ac:dyDescent="0.3">
      <c r="A522" s="241"/>
      <c r="B522" s="241"/>
      <c r="C522" s="241"/>
      <c r="D522" s="241"/>
      <c r="E522" s="241"/>
      <c r="F522" s="241"/>
      <c r="G522" s="241"/>
      <c r="H522" s="241"/>
      <c r="I522" s="241"/>
      <c r="J522" s="241"/>
      <c r="K522" s="241"/>
      <c r="L522" s="241"/>
      <c r="M522" s="241"/>
      <c r="N522" s="241"/>
      <c r="O522" s="241"/>
      <c r="P522" s="241"/>
      <c r="Q522" s="241"/>
      <c r="R522" s="241"/>
      <c r="S522" s="241"/>
      <c r="T522" s="241"/>
      <c r="U522" s="241"/>
      <c r="V522" s="241"/>
      <c r="W522" s="241"/>
      <c r="X522" s="241"/>
      <c r="Y522" s="241"/>
      <c r="Z522" s="241"/>
      <c r="AA522" s="241"/>
      <c r="AB522" s="241"/>
      <c r="AC522" s="241"/>
      <c r="AD522" s="241"/>
      <c r="AE522" s="241"/>
      <c r="AF522" s="241"/>
      <c r="AG522" s="241"/>
      <c r="AH522" s="241"/>
      <c r="AI522" s="241"/>
      <c r="AJ522" s="241"/>
      <c r="AK522" s="241"/>
      <c r="AL522" s="241"/>
      <c r="AM522" s="241"/>
      <c r="AN522" s="241"/>
      <c r="AO522" s="241"/>
      <c r="AP522" s="241"/>
      <c r="AQ522" s="241"/>
      <c r="AR522" s="241"/>
      <c r="AS522" s="241"/>
      <c r="AT522" s="241"/>
      <c r="AU522" s="241"/>
      <c r="AV522" s="241"/>
      <c r="AW522" s="241"/>
      <c r="AX522" s="241"/>
      <c r="AY522" s="241"/>
      <c r="AZ522" s="241"/>
      <c r="BA522" s="241"/>
      <c r="BB522" s="241"/>
      <c r="BC522" s="241"/>
      <c r="BD522" s="241"/>
      <c r="BE522" s="241"/>
      <c r="BF522" s="241"/>
      <c r="BG522" s="241"/>
      <c r="BH522" s="241"/>
      <c r="BI522" s="241"/>
      <c r="BJ522" s="241"/>
      <c r="BK522" s="241"/>
      <c r="BL522" s="241"/>
      <c r="BM522" s="241"/>
    </row>
    <row r="523" spans="1:65" ht="13.5" customHeight="1" x14ac:dyDescent="0.3">
      <c r="A523" s="241"/>
      <c r="B523" s="241"/>
      <c r="C523" s="241"/>
      <c r="D523" s="241"/>
      <c r="E523" s="241"/>
      <c r="F523" s="241"/>
      <c r="G523" s="241"/>
      <c r="H523" s="241"/>
      <c r="I523" s="241"/>
      <c r="J523" s="241"/>
      <c r="K523" s="241"/>
      <c r="L523" s="241"/>
      <c r="M523" s="241"/>
      <c r="N523" s="241"/>
      <c r="O523" s="241"/>
      <c r="P523" s="241"/>
      <c r="Q523" s="241"/>
      <c r="R523" s="241"/>
      <c r="S523" s="241"/>
      <c r="T523" s="241"/>
      <c r="U523" s="241"/>
      <c r="V523" s="241"/>
      <c r="W523" s="241"/>
      <c r="X523" s="241"/>
      <c r="Y523" s="241"/>
      <c r="Z523" s="241"/>
      <c r="AA523" s="241"/>
      <c r="AB523" s="241"/>
      <c r="AC523" s="241"/>
      <c r="AD523" s="241"/>
      <c r="AE523" s="241"/>
      <c r="AF523" s="241"/>
      <c r="AG523" s="241"/>
      <c r="AH523" s="241"/>
      <c r="AI523" s="241"/>
      <c r="AJ523" s="241"/>
      <c r="AK523" s="241"/>
      <c r="AL523" s="241"/>
      <c r="AM523" s="241"/>
      <c r="AN523" s="241"/>
      <c r="AO523" s="241"/>
      <c r="AP523" s="241"/>
      <c r="AQ523" s="241"/>
      <c r="AR523" s="241"/>
      <c r="AS523" s="241"/>
      <c r="AT523" s="241"/>
      <c r="AU523" s="241"/>
      <c r="AV523" s="241"/>
      <c r="AW523" s="241"/>
      <c r="AX523" s="241"/>
      <c r="AY523" s="241"/>
      <c r="AZ523" s="241"/>
      <c r="BA523" s="241"/>
      <c r="BB523" s="241"/>
      <c r="BC523" s="241"/>
      <c r="BD523" s="241"/>
      <c r="BE523" s="241"/>
      <c r="BF523" s="241"/>
      <c r="BG523" s="241"/>
      <c r="BH523" s="241"/>
      <c r="BI523" s="241"/>
      <c r="BJ523" s="241"/>
      <c r="BK523" s="241"/>
      <c r="BL523" s="241"/>
      <c r="BM523" s="241"/>
    </row>
    <row r="524" spans="1:65" ht="13.5" customHeight="1" x14ac:dyDescent="0.3">
      <c r="A524" s="241"/>
      <c r="B524" s="241"/>
      <c r="C524" s="241"/>
      <c r="D524" s="241"/>
      <c r="E524" s="241"/>
      <c r="F524" s="241"/>
      <c r="G524" s="241"/>
      <c r="H524" s="241"/>
      <c r="I524" s="241"/>
      <c r="J524" s="241"/>
      <c r="K524" s="241"/>
      <c r="L524" s="241"/>
      <c r="M524" s="241"/>
      <c r="N524" s="241"/>
      <c r="O524" s="241"/>
      <c r="P524" s="241"/>
      <c r="Q524" s="241"/>
      <c r="R524" s="241"/>
      <c r="S524" s="241"/>
      <c r="T524" s="241"/>
      <c r="U524" s="241"/>
      <c r="V524" s="241"/>
      <c r="W524" s="241"/>
      <c r="X524" s="241"/>
      <c r="Y524" s="241"/>
      <c r="Z524" s="241"/>
      <c r="AA524" s="241"/>
      <c r="AB524" s="241"/>
      <c r="AC524" s="241"/>
      <c r="AD524" s="241"/>
      <c r="AE524" s="241"/>
      <c r="AF524" s="241"/>
      <c r="AG524" s="241"/>
      <c r="AH524" s="241"/>
      <c r="AI524" s="241"/>
      <c r="AJ524" s="241"/>
      <c r="AK524" s="241"/>
      <c r="AL524" s="241"/>
      <c r="AM524" s="241"/>
      <c r="AN524" s="241"/>
      <c r="AO524" s="241"/>
      <c r="AP524" s="241"/>
      <c r="AQ524" s="241"/>
      <c r="AR524" s="241"/>
      <c r="AS524" s="241"/>
      <c r="AT524" s="241"/>
      <c r="AU524" s="241"/>
      <c r="AV524" s="241"/>
      <c r="AW524" s="241"/>
      <c r="AX524" s="241"/>
      <c r="AY524" s="241"/>
      <c r="AZ524" s="241"/>
      <c r="BA524" s="241"/>
      <c r="BB524" s="241"/>
      <c r="BC524" s="241"/>
      <c r="BD524" s="241"/>
      <c r="BE524" s="241"/>
      <c r="BF524" s="241"/>
      <c r="BG524" s="241"/>
      <c r="BH524" s="241"/>
      <c r="BI524" s="241"/>
      <c r="BJ524" s="241"/>
      <c r="BK524" s="241"/>
      <c r="BL524" s="241"/>
      <c r="BM524" s="241"/>
    </row>
    <row r="525" spans="1:65" ht="13.5" customHeight="1" x14ac:dyDescent="0.3">
      <c r="A525" s="241"/>
      <c r="B525" s="241"/>
      <c r="C525" s="241"/>
      <c r="D525" s="241"/>
      <c r="E525" s="241"/>
      <c r="F525" s="241"/>
      <c r="G525" s="241"/>
      <c r="H525" s="241"/>
      <c r="I525" s="241"/>
      <c r="J525" s="241"/>
      <c r="K525" s="241"/>
      <c r="L525" s="241"/>
      <c r="M525" s="241"/>
      <c r="N525" s="241"/>
      <c r="O525" s="241"/>
      <c r="P525" s="241"/>
      <c r="Q525" s="241"/>
      <c r="R525" s="241"/>
      <c r="S525" s="241"/>
      <c r="T525" s="241"/>
      <c r="U525" s="241"/>
      <c r="V525" s="241"/>
      <c r="W525" s="241"/>
      <c r="X525" s="241"/>
      <c r="Y525" s="241"/>
      <c r="Z525" s="241"/>
      <c r="AA525" s="241"/>
      <c r="AB525" s="241"/>
      <c r="AC525" s="241"/>
      <c r="AD525" s="241"/>
      <c r="AE525" s="241"/>
      <c r="AF525" s="241"/>
      <c r="AG525" s="241"/>
      <c r="AH525" s="241"/>
      <c r="AI525" s="241"/>
      <c r="AJ525" s="241"/>
      <c r="AK525" s="241"/>
      <c r="AL525" s="241"/>
      <c r="AM525" s="241"/>
      <c r="AN525" s="241"/>
      <c r="AO525" s="241"/>
      <c r="AP525" s="241"/>
      <c r="AQ525" s="241"/>
      <c r="AR525" s="241"/>
      <c r="AS525" s="241"/>
      <c r="AT525" s="241"/>
      <c r="AU525" s="241"/>
      <c r="AV525" s="241"/>
      <c r="AW525" s="241"/>
      <c r="AX525" s="241"/>
      <c r="AY525" s="241"/>
      <c r="AZ525" s="241"/>
      <c r="BA525" s="241"/>
      <c r="BB525" s="241"/>
      <c r="BC525" s="241"/>
      <c r="BD525" s="241"/>
      <c r="BE525" s="241"/>
      <c r="BF525" s="241"/>
      <c r="BG525" s="241"/>
      <c r="BH525" s="241"/>
      <c r="BI525" s="241"/>
      <c r="BJ525" s="241"/>
      <c r="BK525" s="241"/>
      <c r="BL525" s="241"/>
      <c r="BM525" s="241"/>
    </row>
    <row r="526" spans="1:65" ht="13.5" customHeight="1" x14ac:dyDescent="0.3">
      <c r="A526" s="241"/>
      <c r="B526" s="241"/>
      <c r="C526" s="241"/>
      <c r="D526" s="241"/>
      <c r="E526" s="241"/>
      <c r="F526" s="241"/>
      <c r="G526" s="241"/>
      <c r="H526" s="241"/>
      <c r="I526" s="241"/>
      <c r="J526" s="241"/>
      <c r="K526" s="241"/>
      <c r="L526" s="241"/>
      <c r="M526" s="241"/>
      <c r="N526" s="241"/>
      <c r="O526" s="241"/>
      <c r="P526" s="241"/>
      <c r="Q526" s="241"/>
      <c r="R526" s="241"/>
      <c r="S526" s="241"/>
      <c r="T526" s="241"/>
      <c r="U526" s="241"/>
      <c r="V526" s="241"/>
      <c r="W526" s="241"/>
      <c r="X526" s="241"/>
      <c r="Y526" s="241"/>
      <c r="Z526" s="241"/>
      <c r="AA526" s="241"/>
      <c r="AB526" s="241"/>
      <c r="AC526" s="241"/>
      <c r="AD526" s="241"/>
      <c r="AE526" s="241"/>
      <c r="AF526" s="241"/>
      <c r="AG526" s="241"/>
      <c r="AH526" s="241"/>
      <c r="AI526" s="241"/>
      <c r="AJ526" s="241"/>
      <c r="AK526" s="241"/>
      <c r="AL526" s="241"/>
      <c r="AM526" s="241"/>
      <c r="AN526" s="241"/>
      <c r="AO526" s="241"/>
      <c r="AP526" s="241"/>
      <c r="AQ526" s="241"/>
      <c r="AR526" s="241"/>
      <c r="AS526" s="241"/>
      <c r="AT526" s="241"/>
      <c r="AU526" s="241"/>
      <c r="AV526" s="241"/>
      <c r="AW526" s="241"/>
      <c r="AX526" s="241"/>
      <c r="AY526" s="241"/>
      <c r="AZ526" s="241"/>
      <c r="BA526" s="241"/>
      <c r="BB526" s="241"/>
      <c r="BC526" s="241"/>
      <c r="BD526" s="241"/>
      <c r="BE526" s="241"/>
      <c r="BF526" s="241"/>
      <c r="BG526" s="241"/>
      <c r="BH526" s="241"/>
      <c r="BI526" s="241"/>
      <c r="BJ526" s="241"/>
      <c r="BK526" s="241"/>
      <c r="BL526" s="241"/>
      <c r="BM526" s="241"/>
    </row>
    <row r="527" spans="1:65" ht="13.5" customHeight="1" x14ac:dyDescent="0.3">
      <c r="A527" s="241"/>
      <c r="B527" s="241"/>
      <c r="C527" s="241"/>
      <c r="D527" s="241"/>
      <c r="E527" s="241"/>
      <c r="F527" s="241"/>
      <c r="G527" s="241"/>
      <c r="H527" s="241"/>
      <c r="I527" s="241"/>
      <c r="J527" s="241"/>
      <c r="K527" s="241"/>
      <c r="L527" s="241"/>
      <c r="M527" s="241"/>
      <c r="N527" s="241"/>
      <c r="O527" s="241"/>
      <c r="P527" s="241"/>
      <c r="Q527" s="241"/>
      <c r="R527" s="241"/>
      <c r="S527" s="241"/>
      <c r="T527" s="241"/>
      <c r="U527" s="241"/>
      <c r="V527" s="241"/>
      <c r="W527" s="241"/>
      <c r="X527" s="241"/>
      <c r="Y527" s="241"/>
      <c r="Z527" s="241"/>
      <c r="AA527" s="241"/>
      <c r="AB527" s="241"/>
      <c r="AC527" s="241"/>
      <c r="AD527" s="241"/>
      <c r="AE527" s="241"/>
      <c r="AF527" s="241"/>
      <c r="AG527" s="241"/>
      <c r="AH527" s="241"/>
      <c r="AI527" s="241"/>
      <c r="AJ527" s="241"/>
      <c r="AK527" s="241"/>
      <c r="AL527" s="241"/>
      <c r="AM527" s="241"/>
      <c r="AN527" s="241"/>
      <c r="AO527" s="241"/>
      <c r="AP527" s="241"/>
      <c r="AQ527" s="241"/>
      <c r="AR527" s="241"/>
      <c r="AS527" s="241"/>
      <c r="AT527" s="241"/>
      <c r="AU527" s="241"/>
      <c r="AV527" s="241"/>
      <c r="AW527" s="241"/>
      <c r="AX527" s="241"/>
      <c r="AY527" s="241"/>
      <c r="AZ527" s="241"/>
      <c r="BA527" s="241"/>
      <c r="BB527" s="241"/>
      <c r="BC527" s="241"/>
      <c r="BD527" s="241"/>
      <c r="BE527" s="241"/>
      <c r="BF527" s="241"/>
      <c r="BG527" s="241"/>
      <c r="BH527" s="241"/>
      <c r="BI527" s="241"/>
      <c r="BJ527" s="241"/>
      <c r="BK527" s="241"/>
      <c r="BL527" s="241"/>
      <c r="BM527" s="241"/>
    </row>
    <row r="528" spans="1:65" ht="13.5" customHeight="1" x14ac:dyDescent="0.3">
      <c r="A528" s="241"/>
      <c r="B528" s="241"/>
      <c r="C528" s="241"/>
      <c r="D528" s="241"/>
      <c r="E528" s="241"/>
      <c r="F528" s="241"/>
      <c r="G528" s="241"/>
      <c r="H528" s="241"/>
      <c r="I528" s="241"/>
      <c r="J528" s="241"/>
      <c r="K528" s="241"/>
      <c r="L528" s="241"/>
      <c r="M528" s="241"/>
      <c r="N528" s="241"/>
      <c r="O528" s="241"/>
      <c r="P528" s="241"/>
      <c r="Q528" s="241"/>
      <c r="R528" s="241"/>
      <c r="S528" s="241"/>
      <c r="T528" s="241"/>
      <c r="U528" s="241"/>
      <c r="V528" s="241"/>
      <c r="W528" s="241"/>
      <c r="X528" s="241"/>
      <c r="Y528" s="241"/>
      <c r="Z528" s="241"/>
      <c r="AA528" s="241"/>
      <c r="AB528" s="241"/>
      <c r="AC528" s="241"/>
      <c r="AD528" s="241"/>
      <c r="AE528" s="241"/>
      <c r="AF528" s="241"/>
      <c r="AG528" s="241"/>
      <c r="AH528" s="241"/>
      <c r="AI528" s="241"/>
      <c r="AJ528" s="241"/>
      <c r="AK528" s="241"/>
      <c r="AL528" s="241"/>
      <c r="AM528" s="241"/>
      <c r="AN528" s="241"/>
      <c r="AO528" s="241"/>
      <c r="AP528" s="241"/>
      <c r="AQ528" s="241"/>
      <c r="AR528" s="241"/>
      <c r="AS528" s="241"/>
      <c r="AT528" s="241"/>
      <c r="AU528" s="241"/>
      <c r="AV528" s="241"/>
      <c r="AW528" s="241"/>
      <c r="AX528" s="241"/>
      <c r="AY528" s="241"/>
      <c r="AZ528" s="241"/>
      <c r="BA528" s="241"/>
      <c r="BB528" s="241"/>
      <c r="BC528" s="241"/>
      <c r="BD528" s="241"/>
      <c r="BE528" s="241"/>
      <c r="BF528" s="241"/>
      <c r="BG528" s="241"/>
      <c r="BH528" s="241"/>
      <c r="BI528" s="241"/>
      <c r="BJ528" s="241"/>
      <c r="BK528" s="241"/>
      <c r="BL528" s="241"/>
      <c r="BM528" s="241"/>
    </row>
    <row r="529" spans="1:65" ht="13.5" customHeight="1" x14ac:dyDescent="0.3">
      <c r="A529" s="241"/>
      <c r="B529" s="241"/>
      <c r="C529" s="241"/>
      <c r="D529" s="241"/>
      <c r="E529" s="241"/>
      <c r="F529" s="241"/>
      <c r="G529" s="241"/>
      <c r="H529" s="241"/>
      <c r="I529" s="241"/>
      <c r="J529" s="241"/>
      <c r="K529" s="241"/>
      <c r="L529" s="241"/>
      <c r="M529" s="241"/>
      <c r="N529" s="241"/>
      <c r="O529" s="241"/>
      <c r="P529" s="241"/>
      <c r="Q529" s="241"/>
      <c r="R529" s="241"/>
      <c r="S529" s="241"/>
      <c r="T529" s="241"/>
      <c r="U529" s="241"/>
      <c r="V529" s="241"/>
      <c r="W529" s="241"/>
      <c r="X529" s="241"/>
      <c r="Y529" s="241"/>
      <c r="Z529" s="241"/>
      <c r="AA529" s="241"/>
      <c r="AB529" s="241"/>
      <c r="AC529" s="241"/>
      <c r="AD529" s="241"/>
      <c r="AE529" s="241"/>
      <c r="AF529" s="241"/>
      <c r="AG529" s="241"/>
      <c r="AH529" s="241"/>
      <c r="AI529" s="241"/>
      <c r="AJ529" s="241"/>
      <c r="AK529" s="241"/>
      <c r="AL529" s="241"/>
      <c r="AM529" s="241"/>
      <c r="AN529" s="241"/>
      <c r="AO529" s="241"/>
      <c r="AP529" s="241"/>
      <c r="AQ529" s="241"/>
      <c r="AR529" s="241"/>
      <c r="AS529" s="241"/>
      <c r="AT529" s="241"/>
      <c r="AU529" s="241"/>
      <c r="AV529" s="241"/>
      <c r="AW529" s="241"/>
      <c r="AX529" s="241"/>
      <c r="AY529" s="241"/>
      <c r="AZ529" s="241"/>
      <c r="BA529" s="241"/>
      <c r="BB529" s="241"/>
      <c r="BC529" s="241"/>
      <c r="BD529" s="241"/>
      <c r="BE529" s="241"/>
      <c r="BF529" s="241"/>
      <c r="BG529" s="241"/>
      <c r="BH529" s="241"/>
      <c r="BI529" s="241"/>
      <c r="BJ529" s="241"/>
      <c r="BK529" s="241"/>
      <c r="BL529" s="241"/>
      <c r="BM529" s="241"/>
    </row>
    <row r="530" spans="1:65" ht="13.5" customHeight="1" x14ac:dyDescent="0.3">
      <c r="A530" s="241"/>
      <c r="B530" s="241"/>
      <c r="C530" s="241"/>
      <c r="D530" s="241"/>
      <c r="E530" s="241"/>
      <c r="F530" s="241"/>
      <c r="G530" s="241"/>
      <c r="H530" s="241"/>
      <c r="I530" s="241"/>
      <c r="J530" s="241"/>
      <c r="K530" s="241"/>
      <c r="L530" s="241"/>
      <c r="M530" s="241"/>
      <c r="N530" s="241"/>
      <c r="O530" s="241"/>
      <c r="P530" s="241"/>
      <c r="Q530" s="241"/>
      <c r="R530" s="241"/>
      <c r="S530" s="241"/>
      <c r="T530" s="241"/>
      <c r="U530" s="241"/>
      <c r="V530" s="241"/>
      <c r="W530" s="241"/>
      <c r="X530" s="241"/>
      <c r="Y530" s="241"/>
      <c r="Z530" s="241"/>
      <c r="AA530" s="241"/>
      <c r="AB530" s="241"/>
      <c r="AC530" s="241"/>
      <c r="AD530" s="241"/>
      <c r="AE530" s="241"/>
      <c r="AF530" s="241"/>
      <c r="AG530" s="241"/>
      <c r="AH530" s="241"/>
      <c r="AI530" s="241"/>
      <c r="AJ530" s="241"/>
      <c r="AK530" s="241"/>
      <c r="AL530" s="241"/>
      <c r="AM530" s="241"/>
      <c r="AN530" s="241"/>
      <c r="AO530" s="241"/>
      <c r="AP530" s="241"/>
      <c r="AQ530" s="241"/>
      <c r="AR530" s="241"/>
      <c r="AS530" s="241"/>
      <c r="AT530" s="241"/>
      <c r="AU530" s="241"/>
      <c r="AV530" s="241"/>
      <c r="AW530" s="241"/>
      <c r="AX530" s="241"/>
      <c r="AY530" s="241"/>
      <c r="AZ530" s="241"/>
      <c r="BA530" s="241"/>
      <c r="BB530" s="241"/>
      <c r="BC530" s="241"/>
      <c r="BD530" s="241"/>
      <c r="BE530" s="241"/>
      <c r="BF530" s="241"/>
      <c r="BG530" s="241"/>
      <c r="BH530" s="241"/>
      <c r="BI530" s="241"/>
      <c r="BJ530" s="241"/>
      <c r="BK530" s="241"/>
      <c r="BL530" s="241"/>
      <c r="BM530" s="241"/>
    </row>
    <row r="531" spans="1:65" ht="13.5" customHeight="1" x14ac:dyDescent="0.3">
      <c r="A531" s="241"/>
      <c r="B531" s="241"/>
      <c r="C531" s="241"/>
      <c r="D531" s="241"/>
      <c r="E531" s="241"/>
      <c r="F531" s="241"/>
      <c r="G531" s="241"/>
      <c r="H531" s="241"/>
      <c r="I531" s="241"/>
      <c r="J531" s="241"/>
      <c r="K531" s="241"/>
      <c r="L531" s="241"/>
      <c r="M531" s="241"/>
      <c r="N531" s="241"/>
      <c r="O531" s="241"/>
      <c r="P531" s="241"/>
      <c r="Q531" s="241"/>
      <c r="R531" s="241"/>
      <c r="S531" s="241"/>
      <c r="T531" s="241"/>
      <c r="U531" s="241"/>
      <c r="V531" s="241"/>
      <c r="W531" s="241"/>
      <c r="X531" s="241"/>
      <c r="Y531" s="241"/>
      <c r="Z531" s="241"/>
      <c r="AA531" s="241"/>
      <c r="AB531" s="241"/>
      <c r="AC531" s="241"/>
      <c r="AD531" s="241"/>
      <c r="AE531" s="241"/>
      <c r="AF531" s="241"/>
      <c r="AG531" s="241"/>
      <c r="AH531" s="241"/>
      <c r="AI531" s="241"/>
      <c r="AJ531" s="241"/>
      <c r="AK531" s="241"/>
      <c r="AL531" s="241"/>
      <c r="AM531" s="241"/>
      <c r="AN531" s="241"/>
      <c r="AO531" s="241"/>
      <c r="AP531" s="241"/>
      <c r="AQ531" s="241"/>
      <c r="AR531" s="241"/>
      <c r="AS531" s="241"/>
      <c r="AT531" s="241"/>
      <c r="AU531" s="241"/>
      <c r="AV531" s="241"/>
      <c r="AW531" s="241"/>
      <c r="AX531" s="241"/>
      <c r="AY531" s="241"/>
      <c r="AZ531" s="241"/>
      <c r="BA531" s="241"/>
      <c r="BB531" s="241"/>
      <c r="BC531" s="241"/>
      <c r="BD531" s="241"/>
      <c r="BE531" s="241"/>
      <c r="BF531" s="241"/>
      <c r="BG531" s="241"/>
      <c r="BH531" s="241"/>
      <c r="BI531" s="241"/>
      <c r="BJ531" s="241"/>
      <c r="BK531" s="241"/>
      <c r="BL531" s="241"/>
      <c r="BM531" s="241"/>
    </row>
    <row r="532" spans="1:65" ht="13.5" customHeight="1" x14ac:dyDescent="0.3">
      <c r="A532" s="241"/>
      <c r="B532" s="241"/>
      <c r="C532" s="241"/>
      <c r="D532" s="241"/>
      <c r="E532" s="241"/>
      <c r="F532" s="241"/>
      <c r="G532" s="241"/>
      <c r="H532" s="241"/>
      <c r="I532" s="241"/>
      <c r="J532" s="241"/>
      <c r="K532" s="241"/>
      <c r="L532" s="241"/>
      <c r="M532" s="241"/>
      <c r="N532" s="241"/>
      <c r="O532" s="241"/>
      <c r="P532" s="241"/>
      <c r="Q532" s="241"/>
      <c r="R532" s="241"/>
      <c r="S532" s="241"/>
      <c r="T532" s="241"/>
      <c r="U532" s="241"/>
      <c r="V532" s="241"/>
      <c r="W532" s="241"/>
      <c r="X532" s="241"/>
      <c r="Y532" s="241"/>
      <c r="Z532" s="241"/>
      <c r="AA532" s="241"/>
      <c r="AB532" s="241"/>
      <c r="AC532" s="241"/>
      <c r="AD532" s="241"/>
      <c r="AE532" s="241"/>
      <c r="AF532" s="241"/>
      <c r="AG532" s="241"/>
      <c r="AH532" s="241"/>
      <c r="AI532" s="241"/>
      <c r="AJ532" s="241"/>
      <c r="AK532" s="241"/>
      <c r="AL532" s="241"/>
      <c r="AM532" s="241"/>
      <c r="AN532" s="241"/>
      <c r="AO532" s="241"/>
      <c r="AP532" s="241"/>
      <c r="AQ532" s="241"/>
      <c r="AR532" s="241"/>
      <c r="AS532" s="241"/>
      <c r="AT532" s="241"/>
      <c r="AU532" s="241"/>
      <c r="AV532" s="241"/>
      <c r="AW532" s="241"/>
      <c r="AX532" s="241"/>
      <c r="AY532" s="241"/>
      <c r="AZ532" s="241"/>
      <c r="BA532" s="241"/>
      <c r="BB532" s="241"/>
      <c r="BC532" s="241"/>
      <c r="BD532" s="241"/>
      <c r="BE532" s="241"/>
      <c r="BF532" s="241"/>
      <c r="BG532" s="241"/>
      <c r="BH532" s="241"/>
      <c r="BI532" s="241"/>
      <c r="BJ532" s="241"/>
      <c r="BK532" s="241"/>
      <c r="BL532" s="241"/>
      <c r="BM532" s="241"/>
    </row>
    <row r="533" spans="1:65" ht="13.5" customHeight="1" x14ac:dyDescent="0.3">
      <c r="A533" s="241"/>
      <c r="B533" s="241"/>
      <c r="C533" s="241"/>
      <c r="D533" s="241"/>
      <c r="E533" s="241"/>
      <c r="F533" s="241"/>
      <c r="G533" s="241"/>
      <c r="H533" s="241"/>
      <c r="I533" s="241"/>
      <c r="J533" s="241"/>
      <c r="K533" s="241"/>
      <c r="L533" s="241"/>
      <c r="M533" s="241"/>
      <c r="N533" s="241"/>
      <c r="O533" s="241"/>
      <c r="P533" s="241"/>
      <c r="Q533" s="241"/>
      <c r="R533" s="241"/>
      <c r="S533" s="241"/>
      <c r="T533" s="241"/>
      <c r="U533" s="241"/>
      <c r="V533" s="241"/>
      <c r="W533" s="241"/>
      <c r="X533" s="241"/>
      <c r="Y533" s="241"/>
      <c r="Z533" s="241"/>
      <c r="AA533" s="241"/>
      <c r="AB533" s="241"/>
      <c r="AC533" s="241"/>
      <c r="AD533" s="241"/>
      <c r="AE533" s="241"/>
      <c r="AF533" s="241"/>
      <c r="AG533" s="241"/>
      <c r="AH533" s="241"/>
      <c r="AI533" s="241"/>
      <c r="AJ533" s="241"/>
      <c r="AK533" s="241"/>
      <c r="AL533" s="241"/>
      <c r="AM533" s="241"/>
      <c r="AN533" s="241"/>
      <c r="AO533" s="241"/>
      <c r="AP533" s="241"/>
      <c r="AQ533" s="241"/>
      <c r="AR533" s="241"/>
      <c r="AS533" s="241"/>
      <c r="AT533" s="241"/>
      <c r="AU533" s="241"/>
      <c r="AV533" s="241"/>
      <c r="AW533" s="241"/>
      <c r="AX533" s="241"/>
      <c r="AY533" s="241"/>
      <c r="AZ533" s="241"/>
      <c r="BA533" s="241"/>
      <c r="BB533" s="241"/>
      <c r="BC533" s="241"/>
      <c r="BD533" s="241"/>
      <c r="BE533" s="241"/>
      <c r="BF533" s="241"/>
      <c r="BG533" s="241"/>
      <c r="BH533" s="241"/>
      <c r="BI533" s="241"/>
      <c r="BJ533" s="241"/>
      <c r="BK533" s="241"/>
      <c r="BL533" s="241"/>
      <c r="BM533" s="241"/>
    </row>
    <row r="534" spans="1:65" ht="13.5" customHeight="1" x14ac:dyDescent="0.3">
      <c r="A534" s="241"/>
      <c r="B534" s="241"/>
      <c r="C534" s="241"/>
      <c r="D534" s="241"/>
      <c r="E534" s="241"/>
      <c r="F534" s="241"/>
      <c r="G534" s="241"/>
      <c r="H534" s="241"/>
      <c r="I534" s="241"/>
      <c r="J534" s="241"/>
      <c r="K534" s="241"/>
      <c r="L534" s="241"/>
      <c r="M534" s="241"/>
      <c r="N534" s="241"/>
      <c r="O534" s="241"/>
      <c r="P534" s="241"/>
      <c r="Q534" s="241"/>
      <c r="R534" s="241"/>
      <c r="S534" s="241"/>
      <c r="T534" s="241"/>
      <c r="U534" s="241"/>
      <c r="V534" s="241"/>
      <c r="W534" s="241"/>
      <c r="X534" s="241"/>
      <c r="Y534" s="241"/>
      <c r="Z534" s="241"/>
      <c r="AA534" s="241"/>
      <c r="AB534" s="241"/>
      <c r="AC534" s="241"/>
      <c r="AD534" s="241"/>
      <c r="AE534" s="241"/>
      <c r="AF534" s="241"/>
      <c r="AG534" s="241"/>
      <c r="AH534" s="241"/>
      <c r="AI534" s="241"/>
      <c r="AJ534" s="241"/>
      <c r="AK534" s="241"/>
      <c r="AL534" s="241"/>
      <c r="AM534" s="241"/>
      <c r="AN534" s="241"/>
      <c r="AO534" s="241"/>
      <c r="AP534" s="241"/>
      <c r="AQ534" s="241"/>
      <c r="AR534" s="241"/>
      <c r="AS534" s="241"/>
      <c r="AT534" s="241"/>
      <c r="AU534" s="241"/>
      <c r="AV534" s="241"/>
      <c r="AW534" s="241"/>
      <c r="AX534" s="241"/>
      <c r="AY534" s="241"/>
      <c r="AZ534" s="241"/>
      <c r="BA534" s="241"/>
      <c r="BB534" s="241"/>
      <c r="BC534" s="241"/>
      <c r="BD534" s="241"/>
      <c r="BE534" s="241"/>
      <c r="BF534" s="241"/>
      <c r="BG534" s="241"/>
      <c r="BH534" s="241"/>
      <c r="BI534" s="241"/>
      <c r="BJ534" s="241"/>
      <c r="BK534" s="241"/>
      <c r="BL534" s="241"/>
      <c r="BM534" s="241"/>
    </row>
    <row r="535" spans="1:65" ht="13.5" customHeight="1" x14ac:dyDescent="0.3">
      <c r="A535" s="241"/>
      <c r="B535" s="241"/>
      <c r="C535" s="241"/>
      <c r="D535" s="241"/>
      <c r="E535" s="241"/>
      <c r="F535" s="241"/>
      <c r="G535" s="241"/>
      <c r="H535" s="241"/>
      <c r="I535" s="241"/>
      <c r="J535" s="241"/>
      <c r="K535" s="241"/>
      <c r="L535" s="241"/>
      <c r="M535" s="241"/>
      <c r="N535" s="241"/>
      <c r="O535" s="241"/>
      <c r="P535" s="241"/>
      <c r="Q535" s="241"/>
      <c r="R535" s="241"/>
      <c r="S535" s="241"/>
      <c r="T535" s="241"/>
      <c r="U535" s="241"/>
      <c r="V535" s="241"/>
      <c r="W535" s="241"/>
      <c r="X535" s="241"/>
      <c r="Y535" s="241"/>
      <c r="Z535" s="241"/>
      <c r="AA535" s="241"/>
      <c r="AB535" s="241"/>
      <c r="AC535" s="241"/>
      <c r="AD535" s="241"/>
      <c r="AE535" s="241"/>
      <c r="AF535" s="241"/>
      <c r="AG535" s="241"/>
      <c r="AH535" s="241"/>
      <c r="AI535" s="241"/>
      <c r="AJ535" s="241"/>
      <c r="AK535" s="241"/>
      <c r="AL535" s="241"/>
      <c r="AM535" s="241"/>
      <c r="AN535" s="241"/>
      <c r="AO535" s="241"/>
      <c r="AP535" s="241"/>
      <c r="AQ535" s="241"/>
      <c r="AR535" s="241"/>
      <c r="AS535" s="241"/>
      <c r="AT535" s="241"/>
      <c r="AU535" s="241"/>
      <c r="AV535" s="241"/>
      <c r="AW535" s="241"/>
      <c r="AX535" s="241"/>
      <c r="AY535" s="241"/>
      <c r="AZ535" s="241"/>
      <c r="BA535" s="241"/>
      <c r="BB535" s="241"/>
      <c r="BC535" s="241"/>
      <c r="BD535" s="241"/>
      <c r="BE535" s="241"/>
      <c r="BF535" s="241"/>
      <c r="BG535" s="241"/>
      <c r="BH535" s="241"/>
      <c r="BI535" s="241"/>
      <c r="BJ535" s="241"/>
      <c r="BK535" s="241"/>
      <c r="BL535" s="241"/>
      <c r="BM535" s="241"/>
    </row>
    <row r="536" spans="1:65" ht="13.5" customHeight="1" x14ac:dyDescent="0.3">
      <c r="A536" s="241"/>
      <c r="B536" s="241"/>
      <c r="C536" s="241"/>
      <c r="D536" s="241"/>
      <c r="E536" s="241"/>
      <c r="F536" s="241"/>
      <c r="G536" s="241"/>
      <c r="H536" s="241"/>
      <c r="I536" s="241"/>
      <c r="J536" s="241"/>
      <c r="K536" s="241"/>
      <c r="L536" s="241"/>
      <c r="M536" s="241"/>
      <c r="N536" s="241"/>
      <c r="O536" s="241"/>
      <c r="P536" s="241"/>
      <c r="Q536" s="241"/>
      <c r="R536" s="241"/>
      <c r="S536" s="241"/>
      <c r="T536" s="241"/>
      <c r="U536" s="241"/>
      <c r="V536" s="241"/>
      <c r="W536" s="241"/>
      <c r="X536" s="241"/>
      <c r="Y536" s="241"/>
      <c r="Z536" s="241"/>
      <c r="AA536" s="241"/>
      <c r="AB536" s="241"/>
      <c r="AC536" s="241"/>
      <c r="AD536" s="241"/>
      <c r="AE536" s="241"/>
      <c r="AF536" s="241"/>
      <c r="AG536" s="241"/>
      <c r="AH536" s="241"/>
      <c r="AI536" s="241"/>
      <c r="AJ536" s="241"/>
      <c r="AK536" s="241"/>
      <c r="AL536" s="241"/>
      <c r="AM536" s="241"/>
      <c r="AN536" s="241"/>
      <c r="AO536" s="241"/>
      <c r="AP536" s="241"/>
      <c r="AQ536" s="241"/>
      <c r="AR536" s="241"/>
      <c r="AS536" s="241"/>
      <c r="AT536" s="241"/>
      <c r="AU536" s="241"/>
      <c r="AV536" s="241"/>
      <c r="AW536" s="241"/>
      <c r="AX536" s="241"/>
      <c r="AY536" s="241"/>
      <c r="AZ536" s="241"/>
      <c r="BA536" s="241"/>
      <c r="BB536" s="241"/>
      <c r="BC536" s="241"/>
      <c r="BD536" s="241"/>
      <c r="BE536" s="241"/>
      <c r="BF536" s="241"/>
      <c r="BG536" s="241"/>
      <c r="BH536" s="241"/>
      <c r="BI536" s="241"/>
      <c r="BJ536" s="241"/>
      <c r="BK536" s="241"/>
      <c r="BL536" s="241"/>
      <c r="BM536" s="241"/>
    </row>
    <row r="537" spans="1:65" ht="13.5" customHeight="1" x14ac:dyDescent="0.3">
      <c r="A537" s="241"/>
      <c r="B537" s="241"/>
      <c r="C537" s="241"/>
      <c r="D537" s="241"/>
      <c r="E537" s="241"/>
      <c r="F537" s="241"/>
      <c r="G537" s="241"/>
      <c r="H537" s="241"/>
      <c r="I537" s="241"/>
      <c r="J537" s="241"/>
      <c r="K537" s="241"/>
      <c r="L537" s="241"/>
      <c r="M537" s="241"/>
      <c r="N537" s="241"/>
      <c r="O537" s="241"/>
      <c r="P537" s="241"/>
      <c r="Q537" s="241"/>
      <c r="R537" s="241"/>
      <c r="S537" s="241"/>
      <c r="T537" s="241"/>
      <c r="U537" s="241"/>
      <c r="V537" s="241"/>
      <c r="W537" s="241"/>
      <c r="X537" s="241"/>
      <c r="Y537" s="241"/>
      <c r="Z537" s="241"/>
      <c r="AA537" s="241"/>
      <c r="AB537" s="241"/>
      <c r="AC537" s="241"/>
      <c r="AD537" s="241"/>
      <c r="AE537" s="241"/>
      <c r="AF537" s="241"/>
      <c r="AG537" s="241"/>
      <c r="AH537" s="241"/>
      <c r="AI537" s="241"/>
      <c r="AJ537" s="241"/>
      <c r="AK537" s="241"/>
      <c r="AL537" s="241"/>
      <c r="AM537" s="241"/>
      <c r="AN537" s="241"/>
      <c r="AO537" s="241"/>
      <c r="AP537" s="241"/>
      <c r="AQ537" s="241"/>
      <c r="AR537" s="241"/>
      <c r="AS537" s="241"/>
      <c r="AT537" s="241"/>
      <c r="AU537" s="241"/>
      <c r="AV537" s="241"/>
      <c r="AW537" s="241"/>
      <c r="AX537" s="241"/>
      <c r="AY537" s="241"/>
      <c r="AZ537" s="241"/>
      <c r="BA537" s="241"/>
      <c r="BB537" s="241"/>
      <c r="BC537" s="241"/>
      <c r="BD537" s="241"/>
      <c r="BE537" s="241"/>
      <c r="BF537" s="241"/>
      <c r="BG537" s="241"/>
      <c r="BH537" s="241"/>
      <c r="BI537" s="241"/>
      <c r="BJ537" s="241"/>
      <c r="BK537" s="241"/>
      <c r="BL537" s="241"/>
      <c r="BM537" s="241"/>
    </row>
    <row r="538" spans="1:65" ht="13.5" customHeight="1" x14ac:dyDescent="0.3">
      <c r="A538" s="241"/>
      <c r="B538" s="241"/>
      <c r="C538" s="241"/>
      <c r="D538" s="241"/>
      <c r="E538" s="241"/>
      <c r="F538" s="241"/>
      <c r="G538" s="241"/>
      <c r="H538" s="241"/>
      <c r="I538" s="241"/>
      <c r="J538" s="241"/>
      <c r="K538" s="241"/>
      <c r="L538" s="241"/>
      <c r="M538" s="241"/>
      <c r="N538" s="241"/>
      <c r="O538" s="241"/>
      <c r="P538" s="241"/>
      <c r="Q538" s="241"/>
      <c r="R538" s="241"/>
      <c r="S538" s="241"/>
      <c r="T538" s="241"/>
      <c r="U538" s="241"/>
      <c r="V538" s="241"/>
      <c r="W538" s="241"/>
      <c r="X538" s="241"/>
      <c r="Y538" s="241"/>
      <c r="Z538" s="241"/>
      <c r="AA538" s="241"/>
      <c r="AB538" s="241"/>
      <c r="AC538" s="241"/>
      <c r="AD538" s="241"/>
      <c r="AE538" s="241"/>
      <c r="AF538" s="241"/>
      <c r="AG538" s="241"/>
      <c r="AH538" s="241"/>
      <c r="AI538" s="241"/>
      <c r="AJ538" s="241"/>
      <c r="AK538" s="241"/>
      <c r="AL538" s="241"/>
      <c r="AM538" s="241"/>
      <c r="AN538" s="241"/>
      <c r="AO538" s="241"/>
      <c r="AP538" s="241"/>
      <c r="AQ538" s="241"/>
      <c r="AR538" s="241"/>
      <c r="AS538" s="241"/>
      <c r="AT538" s="241"/>
      <c r="AU538" s="241"/>
      <c r="AV538" s="241"/>
      <c r="AW538" s="241"/>
      <c r="AX538" s="241"/>
      <c r="AY538" s="241"/>
      <c r="AZ538" s="241"/>
      <c r="BA538" s="241"/>
      <c r="BB538" s="241"/>
      <c r="BC538" s="241"/>
      <c r="BD538" s="241"/>
      <c r="BE538" s="241"/>
      <c r="BF538" s="241"/>
      <c r="BG538" s="241"/>
      <c r="BH538" s="241"/>
      <c r="BI538" s="241"/>
      <c r="BJ538" s="241"/>
      <c r="BK538" s="241"/>
      <c r="BL538" s="241"/>
      <c r="BM538" s="241"/>
    </row>
    <row r="539" spans="1:65" ht="13.5" customHeight="1" x14ac:dyDescent="0.3">
      <c r="A539" s="241"/>
      <c r="B539" s="241"/>
      <c r="C539" s="241"/>
      <c r="D539" s="241"/>
      <c r="E539" s="241"/>
      <c r="F539" s="241"/>
      <c r="G539" s="241"/>
      <c r="H539" s="241"/>
      <c r="I539" s="241"/>
      <c r="J539" s="241"/>
      <c r="K539" s="241"/>
      <c r="L539" s="241"/>
      <c r="M539" s="241"/>
      <c r="N539" s="241"/>
      <c r="O539" s="241"/>
      <c r="P539" s="241"/>
      <c r="Q539" s="241"/>
      <c r="R539" s="241"/>
      <c r="S539" s="241"/>
      <c r="T539" s="241"/>
      <c r="U539" s="241"/>
      <c r="V539" s="241"/>
      <c r="W539" s="241"/>
      <c r="X539" s="241"/>
      <c r="Y539" s="241"/>
      <c r="Z539" s="241"/>
      <c r="AA539" s="241"/>
      <c r="AB539" s="241"/>
      <c r="AC539" s="241"/>
      <c r="AD539" s="241"/>
      <c r="AE539" s="241"/>
      <c r="AF539" s="241"/>
      <c r="AG539" s="241"/>
      <c r="AH539" s="241"/>
      <c r="AI539" s="241"/>
      <c r="AJ539" s="241"/>
      <c r="AK539" s="241"/>
      <c r="AL539" s="241"/>
      <c r="AM539" s="241"/>
      <c r="AN539" s="241"/>
      <c r="AO539" s="241"/>
      <c r="AP539" s="241"/>
      <c r="AQ539" s="241"/>
      <c r="AR539" s="241"/>
      <c r="AS539" s="241"/>
      <c r="AT539" s="241"/>
      <c r="AU539" s="241"/>
      <c r="AV539" s="241"/>
      <c r="AW539" s="241"/>
      <c r="AX539" s="241"/>
      <c r="AY539" s="241"/>
      <c r="AZ539" s="241"/>
      <c r="BA539" s="241"/>
      <c r="BB539" s="241"/>
      <c r="BC539" s="241"/>
      <c r="BD539" s="241"/>
      <c r="BE539" s="241"/>
      <c r="BF539" s="241"/>
      <c r="BG539" s="241"/>
      <c r="BH539" s="241"/>
      <c r="BI539" s="241"/>
      <c r="BJ539" s="241"/>
      <c r="BK539" s="241"/>
      <c r="BL539" s="241"/>
      <c r="BM539" s="241"/>
    </row>
    <row r="540" spans="1:65" ht="13.5" customHeight="1" x14ac:dyDescent="0.3">
      <c r="A540" s="241"/>
      <c r="B540" s="241"/>
      <c r="C540" s="241"/>
      <c r="D540" s="241"/>
      <c r="E540" s="241"/>
      <c r="F540" s="241"/>
      <c r="G540" s="241"/>
      <c r="H540" s="241"/>
      <c r="I540" s="241"/>
      <c r="J540" s="241"/>
      <c r="K540" s="241"/>
      <c r="L540" s="241"/>
      <c r="M540" s="241"/>
      <c r="N540" s="241"/>
      <c r="O540" s="241"/>
      <c r="P540" s="241"/>
      <c r="Q540" s="241"/>
      <c r="R540" s="241"/>
      <c r="S540" s="241"/>
      <c r="T540" s="241"/>
      <c r="U540" s="241"/>
      <c r="V540" s="241"/>
      <c r="W540" s="241"/>
      <c r="X540" s="241"/>
      <c r="Y540" s="241"/>
      <c r="Z540" s="241"/>
      <c r="AA540" s="241"/>
      <c r="AB540" s="241"/>
      <c r="AC540" s="241"/>
      <c r="AD540" s="241"/>
      <c r="AE540" s="241"/>
      <c r="AF540" s="241"/>
      <c r="AG540" s="241"/>
      <c r="AH540" s="241"/>
      <c r="AI540" s="241"/>
      <c r="AJ540" s="241"/>
      <c r="AK540" s="241"/>
      <c r="AL540" s="241"/>
      <c r="AM540" s="241"/>
      <c r="AN540" s="241"/>
      <c r="AO540" s="241"/>
      <c r="AP540" s="241"/>
      <c r="AQ540" s="241"/>
      <c r="AR540" s="241"/>
      <c r="AS540" s="241"/>
      <c r="AT540" s="241"/>
      <c r="AU540" s="241"/>
      <c r="AV540" s="241"/>
      <c r="AW540" s="241"/>
      <c r="AX540" s="241"/>
      <c r="AY540" s="241"/>
      <c r="AZ540" s="241"/>
      <c r="BA540" s="241"/>
      <c r="BB540" s="241"/>
      <c r="BC540" s="241"/>
      <c r="BD540" s="241"/>
      <c r="BE540" s="241"/>
      <c r="BF540" s="241"/>
      <c r="BG540" s="241"/>
      <c r="BH540" s="241"/>
      <c r="BI540" s="241"/>
      <c r="BJ540" s="241"/>
      <c r="BK540" s="241"/>
      <c r="BL540" s="241"/>
      <c r="BM540" s="241"/>
    </row>
    <row r="541" spans="1:65" ht="13.5" customHeight="1" x14ac:dyDescent="0.3">
      <c r="A541" s="241"/>
      <c r="B541" s="241"/>
      <c r="C541" s="241"/>
      <c r="D541" s="241"/>
      <c r="E541" s="241"/>
      <c r="F541" s="241"/>
      <c r="G541" s="241"/>
      <c r="H541" s="241"/>
      <c r="I541" s="241"/>
      <c r="J541" s="241"/>
      <c r="K541" s="241"/>
      <c r="L541" s="241"/>
      <c r="M541" s="241"/>
      <c r="N541" s="241"/>
      <c r="O541" s="241"/>
      <c r="P541" s="241"/>
      <c r="Q541" s="241"/>
      <c r="R541" s="241"/>
      <c r="S541" s="241"/>
      <c r="T541" s="241"/>
      <c r="U541" s="241"/>
      <c r="V541" s="241"/>
      <c r="W541" s="241"/>
      <c r="X541" s="241"/>
      <c r="Y541" s="241"/>
      <c r="Z541" s="241"/>
      <c r="AA541" s="241"/>
      <c r="AB541" s="241"/>
      <c r="AC541" s="241"/>
      <c r="AD541" s="241"/>
      <c r="AE541" s="241"/>
      <c r="AF541" s="241"/>
      <c r="AG541" s="241"/>
      <c r="AH541" s="241"/>
      <c r="AI541" s="241"/>
      <c r="AJ541" s="241"/>
      <c r="AK541" s="241"/>
      <c r="AL541" s="241"/>
      <c r="AM541" s="241"/>
      <c r="AN541" s="241"/>
      <c r="AO541" s="241"/>
      <c r="AP541" s="241"/>
      <c r="AQ541" s="241"/>
      <c r="AR541" s="241"/>
      <c r="AS541" s="241"/>
      <c r="AT541" s="241"/>
      <c r="AU541" s="241"/>
      <c r="AV541" s="241"/>
      <c r="AW541" s="241"/>
      <c r="AX541" s="241"/>
      <c r="AY541" s="241"/>
      <c r="AZ541" s="241"/>
      <c r="BA541" s="241"/>
      <c r="BB541" s="241"/>
      <c r="BC541" s="241"/>
      <c r="BD541" s="241"/>
      <c r="BE541" s="241"/>
      <c r="BF541" s="241"/>
      <c r="BG541" s="241"/>
      <c r="BH541" s="241"/>
      <c r="BI541" s="241"/>
      <c r="BJ541" s="241"/>
      <c r="BK541" s="241"/>
      <c r="BL541" s="241"/>
      <c r="BM541" s="241"/>
    </row>
    <row r="542" spans="1:65" ht="13.5" customHeight="1" x14ac:dyDescent="0.3">
      <c r="A542" s="241"/>
      <c r="B542" s="241"/>
      <c r="C542" s="241"/>
      <c r="D542" s="241"/>
      <c r="E542" s="241"/>
      <c r="F542" s="241"/>
      <c r="G542" s="241"/>
      <c r="H542" s="241"/>
      <c r="I542" s="241"/>
      <c r="J542" s="241"/>
      <c r="K542" s="241"/>
      <c r="L542" s="241"/>
      <c r="M542" s="241"/>
      <c r="N542" s="241"/>
      <c r="O542" s="241"/>
      <c r="P542" s="241"/>
      <c r="Q542" s="241"/>
      <c r="R542" s="241"/>
      <c r="S542" s="241"/>
      <c r="T542" s="241"/>
      <c r="U542" s="241"/>
      <c r="V542" s="241"/>
      <c r="W542" s="241"/>
      <c r="X542" s="241"/>
      <c r="Y542" s="241"/>
      <c r="Z542" s="241"/>
      <c r="AA542" s="241"/>
      <c r="AB542" s="241"/>
      <c r="AC542" s="241"/>
      <c r="AD542" s="241"/>
      <c r="AE542" s="241"/>
      <c r="AF542" s="241"/>
      <c r="AG542" s="241"/>
      <c r="AH542" s="241"/>
      <c r="AI542" s="241"/>
      <c r="AJ542" s="241"/>
      <c r="AK542" s="241"/>
      <c r="AL542" s="241"/>
      <c r="AM542" s="241"/>
      <c r="AN542" s="241"/>
      <c r="AO542" s="241"/>
      <c r="AP542" s="241"/>
      <c r="AQ542" s="241"/>
      <c r="AR542" s="241"/>
      <c r="AS542" s="241"/>
      <c r="AT542" s="241"/>
      <c r="AU542" s="241"/>
      <c r="AV542" s="241"/>
      <c r="AW542" s="241"/>
      <c r="AX542" s="241"/>
      <c r="AY542" s="241"/>
      <c r="AZ542" s="241"/>
      <c r="BA542" s="241"/>
      <c r="BB542" s="241"/>
      <c r="BC542" s="241"/>
      <c r="BD542" s="241"/>
      <c r="BE542" s="241"/>
      <c r="BF542" s="241"/>
      <c r="BG542" s="241"/>
      <c r="BH542" s="241"/>
      <c r="BI542" s="241"/>
      <c r="BJ542" s="241"/>
      <c r="BK542" s="241"/>
      <c r="BL542" s="241"/>
      <c r="BM542" s="241"/>
    </row>
    <row r="543" spans="1:65" ht="13.5" customHeight="1" x14ac:dyDescent="0.3">
      <c r="A543" s="241"/>
      <c r="B543" s="241"/>
      <c r="C543" s="241"/>
      <c r="D543" s="241"/>
      <c r="E543" s="241"/>
      <c r="F543" s="241"/>
      <c r="G543" s="241"/>
      <c r="H543" s="241"/>
      <c r="I543" s="241"/>
      <c r="J543" s="241"/>
      <c r="K543" s="241"/>
      <c r="L543" s="241"/>
      <c r="M543" s="241"/>
      <c r="N543" s="241"/>
      <c r="O543" s="241"/>
      <c r="P543" s="241"/>
      <c r="Q543" s="241"/>
      <c r="R543" s="241"/>
      <c r="S543" s="241"/>
      <c r="T543" s="241"/>
      <c r="U543" s="241"/>
      <c r="V543" s="241"/>
      <c r="W543" s="241"/>
      <c r="X543" s="241"/>
      <c r="Y543" s="241"/>
      <c r="Z543" s="241"/>
      <c r="AA543" s="241"/>
      <c r="AB543" s="241"/>
      <c r="AC543" s="241"/>
      <c r="AD543" s="241"/>
      <c r="AE543" s="241"/>
      <c r="AF543" s="241"/>
      <c r="AG543" s="241"/>
      <c r="AH543" s="241"/>
      <c r="AI543" s="241"/>
      <c r="AJ543" s="241"/>
      <c r="AK543" s="241"/>
      <c r="AL543" s="241"/>
      <c r="AM543" s="241"/>
      <c r="AN543" s="241"/>
      <c r="AO543" s="241"/>
      <c r="AP543" s="241"/>
      <c r="AQ543" s="241"/>
      <c r="AR543" s="241"/>
      <c r="AS543" s="241"/>
      <c r="AT543" s="241"/>
      <c r="AU543" s="241"/>
      <c r="AV543" s="241"/>
      <c r="AW543" s="241"/>
      <c r="AX543" s="241"/>
      <c r="AY543" s="241"/>
      <c r="AZ543" s="241"/>
      <c r="BA543" s="241"/>
      <c r="BB543" s="241"/>
      <c r="BC543" s="241"/>
      <c r="BD543" s="241"/>
      <c r="BE543" s="241"/>
      <c r="BF543" s="241"/>
      <c r="BG543" s="241"/>
      <c r="BH543" s="241"/>
      <c r="BI543" s="241"/>
      <c r="BJ543" s="241"/>
      <c r="BK543" s="241"/>
      <c r="BL543" s="241"/>
      <c r="BM543" s="241"/>
    </row>
    <row r="544" spans="1:65" ht="13.5" customHeight="1" x14ac:dyDescent="0.3">
      <c r="A544" s="241"/>
      <c r="B544" s="241"/>
      <c r="C544" s="241"/>
      <c r="D544" s="241"/>
      <c r="E544" s="241"/>
      <c r="F544" s="241"/>
      <c r="G544" s="241"/>
      <c r="H544" s="241"/>
      <c r="I544" s="241"/>
      <c r="J544" s="241"/>
      <c r="K544" s="241"/>
      <c r="L544" s="241"/>
      <c r="M544" s="241"/>
      <c r="N544" s="241"/>
      <c r="O544" s="241"/>
      <c r="P544" s="241"/>
      <c r="Q544" s="241"/>
      <c r="R544" s="241"/>
      <c r="S544" s="241"/>
      <c r="T544" s="241"/>
      <c r="U544" s="241"/>
      <c r="V544" s="241"/>
      <c r="W544" s="241"/>
      <c r="X544" s="241"/>
      <c r="Y544" s="241"/>
      <c r="Z544" s="241"/>
      <c r="AA544" s="241"/>
      <c r="AB544" s="241"/>
      <c r="AC544" s="241"/>
      <c r="AD544" s="241"/>
      <c r="AE544" s="241"/>
      <c r="AF544" s="241"/>
      <c r="AG544" s="241"/>
      <c r="AH544" s="241"/>
      <c r="AI544" s="241"/>
      <c r="AJ544" s="241"/>
      <c r="AK544" s="241"/>
      <c r="AL544" s="241"/>
      <c r="AM544" s="241"/>
      <c r="AN544" s="241"/>
      <c r="AO544" s="241"/>
      <c r="AP544" s="241"/>
      <c r="AQ544" s="241"/>
      <c r="AR544" s="241"/>
      <c r="AS544" s="241"/>
      <c r="AT544" s="241"/>
      <c r="AU544" s="241"/>
      <c r="AV544" s="241"/>
      <c r="AW544" s="241"/>
      <c r="AX544" s="241"/>
      <c r="AY544" s="241"/>
      <c r="AZ544" s="241"/>
      <c r="BA544" s="241"/>
      <c r="BB544" s="241"/>
      <c r="BC544" s="241"/>
      <c r="BD544" s="241"/>
      <c r="BE544" s="241"/>
      <c r="BF544" s="241"/>
      <c r="BG544" s="241"/>
      <c r="BH544" s="241"/>
      <c r="BI544" s="241"/>
      <c r="BJ544" s="241"/>
      <c r="BK544" s="241"/>
      <c r="BL544" s="241"/>
      <c r="BM544" s="241"/>
    </row>
    <row r="545" spans="1:65" ht="13.5" customHeight="1" x14ac:dyDescent="0.3">
      <c r="A545" s="241"/>
      <c r="B545" s="241"/>
      <c r="C545" s="241"/>
      <c r="D545" s="241"/>
      <c r="E545" s="241"/>
      <c r="F545" s="241"/>
      <c r="G545" s="241"/>
      <c r="H545" s="241"/>
      <c r="I545" s="241"/>
      <c r="J545" s="241"/>
      <c r="K545" s="241"/>
      <c r="L545" s="241"/>
      <c r="M545" s="241"/>
      <c r="N545" s="241"/>
      <c r="O545" s="241"/>
      <c r="P545" s="241"/>
      <c r="Q545" s="241"/>
      <c r="R545" s="241"/>
      <c r="S545" s="241"/>
      <c r="T545" s="241"/>
      <c r="U545" s="241"/>
      <c r="V545" s="241"/>
      <c r="W545" s="241"/>
      <c r="X545" s="241"/>
      <c r="Y545" s="241"/>
      <c r="Z545" s="241"/>
      <c r="AA545" s="241"/>
      <c r="AB545" s="241"/>
      <c r="AC545" s="241"/>
      <c r="AD545" s="241"/>
      <c r="AE545" s="241"/>
      <c r="AF545" s="241"/>
      <c r="AG545" s="241"/>
      <c r="AH545" s="241"/>
      <c r="AI545" s="241"/>
      <c r="AJ545" s="241"/>
      <c r="AK545" s="241"/>
      <c r="AL545" s="241"/>
      <c r="AM545" s="241"/>
      <c r="AN545" s="241"/>
      <c r="AO545" s="241"/>
      <c r="AP545" s="241"/>
      <c r="AQ545" s="241"/>
      <c r="AR545" s="241"/>
      <c r="AS545" s="241"/>
      <c r="AT545" s="241"/>
      <c r="AU545" s="241"/>
      <c r="AV545" s="241"/>
      <c r="AW545" s="241"/>
      <c r="AX545" s="241"/>
      <c r="AY545" s="241"/>
      <c r="AZ545" s="241"/>
      <c r="BA545" s="241"/>
      <c r="BB545" s="241"/>
      <c r="BC545" s="241"/>
      <c r="BD545" s="241"/>
      <c r="BE545" s="241"/>
      <c r="BF545" s="241"/>
      <c r="BG545" s="241"/>
      <c r="BH545" s="241"/>
      <c r="BI545" s="241"/>
      <c r="BJ545" s="241"/>
      <c r="BK545" s="241"/>
      <c r="BL545" s="241"/>
      <c r="BM545" s="241"/>
    </row>
    <row r="546" spans="1:65" ht="13.5" customHeight="1" x14ac:dyDescent="0.3">
      <c r="A546" s="241"/>
      <c r="B546" s="241"/>
      <c r="C546" s="241"/>
      <c r="D546" s="241"/>
      <c r="E546" s="241"/>
      <c r="F546" s="241"/>
      <c r="G546" s="241"/>
      <c r="H546" s="241"/>
      <c r="I546" s="241"/>
      <c r="J546" s="241"/>
      <c r="K546" s="241"/>
      <c r="L546" s="241"/>
      <c r="M546" s="241"/>
      <c r="N546" s="241"/>
      <c r="O546" s="241"/>
      <c r="P546" s="241"/>
      <c r="Q546" s="241"/>
      <c r="R546" s="241"/>
      <c r="S546" s="241"/>
      <c r="T546" s="241"/>
      <c r="U546" s="241"/>
      <c r="V546" s="241"/>
      <c r="W546" s="241"/>
      <c r="X546" s="241"/>
      <c r="Y546" s="241"/>
      <c r="Z546" s="241"/>
      <c r="AA546" s="241"/>
      <c r="AB546" s="241"/>
      <c r="AC546" s="241"/>
      <c r="AD546" s="241"/>
      <c r="AE546" s="241"/>
      <c r="AF546" s="241"/>
      <c r="AG546" s="241"/>
      <c r="AH546" s="241"/>
      <c r="AI546" s="241"/>
      <c r="AJ546" s="241"/>
      <c r="AK546" s="241"/>
      <c r="AL546" s="241"/>
      <c r="AM546" s="241"/>
      <c r="AN546" s="241"/>
      <c r="AO546" s="241"/>
      <c r="AP546" s="241"/>
      <c r="AQ546" s="241"/>
      <c r="AR546" s="241"/>
      <c r="AS546" s="241"/>
      <c r="AT546" s="241"/>
      <c r="AU546" s="241"/>
      <c r="AV546" s="241"/>
      <c r="AW546" s="241"/>
      <c r="AX546" s="241"/>
      <c r="AY546" s="241"/>
      <c r="AZ546" s="241"/>
      <c r="BA546" s="241"/>
      <c r="BB546" s="241"/>
      <c r="BC546" s="241"/>
      <c r="BD546" s="241"/>
      <c r="BE546" s="241"/>
      <c r="BF546" s="241"/>
      <c r="BG546" s="241"/>
      <c r="BH546" s="241"/>
      <c r="BI546" s="241"/>
      <c r="BJ546" s="241"/>
      <c r="BK546" s="241"/>
      <c r="BL546" s="241"/>
      <c r="BM546" s="241"/>
    </row>
    <row r="547" spans="1:65" ht="13.5" customHeight="1" x14ac:dyDescent="0.3">
      <c r="A547" s="241"/>
      <c r="B547" s="241"/>
      <c r="C547" s="241"/>
      <c r="D547" s="241"/>
      <c r="E547" s="241"/>
      <c r="F547" s="241"/>
      <c r="G547" s="241"/>
      <c r="H547" s="241"/>
      <c r="I547" s="241"/>
      <c r="J547" s="241"/>
      <c r="K547" s="241"/>
      <c r="L547" s="241"/>
      <c r="M547" s="241"/>
      <c r="N547" s="241"/>
      <c r="O547" s="241"/>
      <c r="P547" s="241"/>
      <c r="Q547" s="241"/>
      <c r="R547" s="241"/>
      <c r="S547" s="241"/>
      <c r="T547" s="241"/>
      <c r="U547" s="241"/>
      <c r="V547" s="241"/>
      <c r="W547" s="241"/>
      <c r="X547" s="241"/>
      <c r="Y547" s="241"/>
      <c r="Z547" s="241"/>
      <c r="AA547" s="241"/>
      <c r="AB547" s="241"/>
      <c r="AC547" s="241"/>
      <c r="AD547" s="241"/>
      <c r="AE547" s="241"/>
      <c r="AF547" s="241"/>
      <c r="AG547" s="241"/>
      <c r="AH547" s="241"/>
      <c r="AI547" s="241"/>
      <c r="AJ547" s="241"/>
      <c r="AK547" s="241"/>
      <c r="AL547" s="241"/>
      <c r="AM547" s="241"/>
      <c r="AN547" s="241"/>
      <c r="AO547" s="241"/>
      <c r="AP547" s="241"/>
      <c r="AQ547" s="241"/>
      <c r="AR547" s="241"/>
      <c r="AS547" s="241"/>
      <c r="AT547" s="241"/>
      <c r="AU547" s="241"/>
      <c r="AV547" s="241"/>
      <c r="AW547" s="241"/>
      <c r="AX547" s="241"/>
      <c r="AY547" s="241"/>
      <c r="AZ547" s="241"/>
      <c r="BA547" s="241"/>
      <c r="BB547" s="241"/>
      <c r="BC547" s="241"/>
      <c r="BD547" s="241"/>
      <c r="BE547" s="241"/>
      <c r="BF547" s="241"/>
      <c r="BG547" s="241"/>
      <c r="BH547" s="241"/>
      <c r="BI547" s="241"/>
      <c r="BJ547" s="241"/>
      <c r="BK547" s="241"/>
      <c r="BL547" s="241"/>
      <c r="BM547" s="241"/>
    </row>
    <row r="548" spans="1:65" ht="13.5" customHeight="1" x14ac:dyDescent="0.3">
      <c r="A548" s="241"/>
      <c r="B548" s="241"/>
      <c r="C548" s="241"/>
      <c r="D548" s="241"/>
      <c r="E548" s="241"/>
      <c r="F548" s="241"/>
      <c r="G548" s="241"/>
      <c r="H548" s="241"/>
      <c r="I548" s="241"/>
      <c r="J548" s="241"/>
      <c r="K548" s="241"/>
      <c r="L548" s="241"/>
      <c r="M548" s="241"/>
      <c r="N548" s="241"/>
      <c r="O548" s="241"/>
      <c r="P548" s="241"/>
      <c r="Q548" s="241"/>
      <c r="R548" s="241"/>
      <c r="S548" s="241"/>
      <c r="T548" s="241"/>
      <c r="U548" s="241"/>
      <c r="V548" s="241"/>
      <c r="W548" s="241"/>
      <c r="X548" s="241"/>
      <c r="Y548" s="241"/>
      <c r="Z548" s="241"/>
      <c r="AA548" s="241"/>
      <c r="AB548" s="241"/>
      <c r="AC548" s="241"/>
      <c r="AD548" s="241"/>
      <c r="AE548" s="241"/>
      <c r="AF548" s="241"/>
      <c r="AG548" s="241"/>
      <c r="AH548" s="241"/>
      <c r="AI548" s="241"/>
      <c r="AJ548" s="241"/>
      <c r="AK548" s="241"/>
      <c r="AL548" s="241"/>
      <c r="AM548" s="241"/>
      <c r="AN548" s="241"/>
      <c r="AO548" s="241"/>
      <c r="AP548" s="241"/>
      <c r="AQ548" s="241"/>
      <c r="AR548" s="241"/>
      <c r="AS548" s="241"/>
      <c r="AT548" s="241"/>
      <c r="AU548" s="241"/>
      <c r="AV548" s="241"/>
      <c r="AW548" s="241"/>
      <c r="AX548" s="241"/>
      <c r="AY548" s="241"/>
      <c r="AZ548" s="241"/>
      <c r="BA548" s="241"/>
      <c r="BB548" s="241"/>
      <c r="BC548" s="241"/>
      <c r="BD548" s="241"/>
      <c r="BE548" s="241"/>
      <c r="BF548" s="241"/>
      <c r="BG548" s="241"/>
      <c r="BH548" s="241"/>
      <c r="BI548" s="241"/>
      <c r="BJ548" s="241"/>
      <c r="BK548" s="241"/>
      <c r="BL548" s="241"/>
      <c r="BM548" s="241"/>
    </row>
    <row r="549" spans="1:65" ht="13.5" customHeight="1" x14ac:dyDescent="0.3">
      <c r="A549" s="241"/>
      <c r="B549" s="241"/>
      <c r="C549" s="241"/>
      <c r="D549" s="241"/>
      <c r="E549" s="241"/>
      <c r="F549" s="241"/>
      <c r="G549" s="241"/>
      <c r="H549" s="241"/>
      <c r="I549" s="241"/>
      <c r="J549" s="241"/>
      <c r="K549" s="241"/>
      <c r="L549" s="241"/>
      <c r="M549" s="241"/>
      <c r="N549" s="241"/>
      <c r="O549" s="241"/>
      <c r="P549" s="241"/>
      <c r="Q549" s="241"/>
      <c r="R549" s="241"/>
      <c r="S549" s="241"/>
      <c r="T549" s="241"/>
      <c r="U549" s="241"/>
      <c r="V549" s="241"/>
      <c r="W549" s="241"/>
      <c r="X549" s="241"/>
      <c r="Y549" s="241"/>
      <c r="Z549" s="241"/>
      <c r="AA549" s="241"/>
      <c r="AB549" s="241"/>
      <c r="AC549" s="241"/>
      <c r="AD549" s="241"/>
      <c r="AE549" s="241"/>
      <c r="AF549" s="241"/>
      <c r="AG549" s="241"/>
      <c r="AH549" s="241"/>
      <c r="AI549" s="241"/>
      <c r="AJ549" s="241"/>
      <c r="AK549" s="241"/>
      <c r="AL549" s="241"/>
      <c r="AM549" s="241"/>
      <c r="AN549" s="241"/>
      <c r="AO549" s="241"/>
      <c r="AP549" s="241"/>
      <c r="AQ549" s="241"/>
      <c r="AR549" s="241"/>
      <c r="AS549" s="241"/>
      <c r="AT549" s="241"/>
      <c r="AU549" s="241"/>
      <c r="AV549" s="241"/>
      <c r="AW549" s="241"/>
      <c r="AX549" s="241"/>
      <c r="AY549" s="241"/>
      <c r="AZ549" s="241"/>
      <c r="BA549" s="241"/>
      <c r="BB549" s="241"/>
      <c r="BC549" s="241"/>
      <c r="BD549" s="241"/>
      <c r="BE549" s="241"/>
      <c r="BF549" s="241"/>
      <c r="BG549" s="241"/>
      <c r="BH549" s="241"/>
      <c r="BI549" s="241"/>
      <c r="BJ549" s="241"/>
      <c r="BK549" s="241"/>
      <c r="BL549" s="241"/>
      <c r="BM549" s="241"/>
    </row>
    <row r="550" spans="1:65" ht="13.5" customHeight="1" x14ac:dyDescent="0.3">
      <c r="A550" s="241"/>
      <c r="B550" s="241"/>
      <c r="C550" s="241"/>
      <c r="D550" s="241"/>
      <c r="E550" s="241"/>
      <c r="F550" s="241"/>
      <c r="G550" s="241"/>
      <c r="H550" s="241"/>
      <c r="I550" s="241"/>
      <c r="J550" s="241"/>
      <c r="K550" s="241"/>
      <c r="L550" s="241"/>
      <c r="M550" s="241"/>
      <c r="N550" s="241"/>
      <c r="O550" s="241"/>
      <c r="P550" s="241"/>
      <c r="Q550" s="241"/>
      <c r="R550" s="241"/>
      <c r="S550" s="241"/>
      <c r="T550" s="241"/>
      <c r="U550" s="241"/>
      <c r="V550" s="241"/>
      <c r="W550" s="241"/>
      <c r="X550" s="241"/>
      <c r="Y550" s="241"/>
      <c r="Z550" s="241"/>
      <c r="AA550" s="241"/>
      <c r="AB550" s="241"/>
      <c r="AC550" s="241"/>
      <c r="AD550" s="241"/>
      <c r="AE550" s="241"/>
      <c r="AF550" s="241"/>
      <c r="AG550" s="241"/>
      <c r="AH550" s="241"/>
      <c r="AI550" s="241"/>
      <c r="AJ550" s="241"/>
      <c r="AK550" s="241"/>
      <c r="AL550" s="241"/>
      <c r="AM550" s="241"/>
      <c r="AN550" s="241"/>
      <c r="AO550" s="241"/>
      <c r="AP550" s="241"/>
      <c r="AQ550" s="241"/>
      <c r="AR550" s="241"/>
      <c r="AS550" s="241"/>
      <c r="AT550" s="241"/>
      <c r="AU550" s="241"/>
      <c r="AV550" s="241"/>
      <c r="AW550" s="241"/>
      <c r="AX550" s="241"/>
      <c r="AY550" s="241"/>
      <c r="AZ550" s="241"/>
      <c r="BA550" s="241"/>
      <c r="BB550" s="241"/>
      <c r="BC550" s="241"/>
      <c r="BD550" s="241"/>
      <c r="BE550" s="241"/>
      <c r="BF550" s="241"/>
      <c r="BG550" s="241"/>
      <c r="BH550" s="241"/>
      <c r="BI550" s="241"/>
      <c r="BJ550" s="241"/>
      <c r="BK550" s="241"/>
      <c r="BL550" s="241"/>
      <c r="BM550" s="241"/>
    </row>
    <row r="551" spans="1:65" ht="13.5" customHeight="1" x14ac:dyDescent="0.3">
      <c r="A551" s="241"/>
      <c r="B551" s="241"/>
      <c r="C551" s="241"/>
      <c r="D551" s="241"/>
      <c r="E551" s="241"/>
      <c r="F551" s="241"/>
      <c r="G551" s="241"/>
      <c r="H551" s="241"/>
      <c r="I551" s="241"/>
      <c r="J551" s="241"/>
      <c r="K551" s="241"/>
      <c r="L551" s="241"/>
      <c r="M551" s="241"/>
      <c r="N551" s="241"/>
      <c r="O551" s="241"/>
      <c r="P551" s="241"/>
      <c r="Q551" s="241"/>
      <c r="R551" s="241"/>
      <c r="S551" s="241"/>
      <c r="T551" s="241"/>
      <c r="U551" s="241"/>
      <c r="V551" s="241"/>
      <c r="W551" s="241"/>
      <c r="X551" s="241"/>
      <c r="Y551" s="241"/>
      <c r="Z551" s="241"/>
      <c r="AA551" s="241"/>
      <c r="AB551" s="241"/>
      <c r="AC551" s="241"/>
      <c r="AD551" s="241"/>
      <c r="AE551" s="241"/>
      <c r="AF551" s="241"/>
      <c r="AG551" s="241"/>
      <c r="AH551" s="241"/>
      <c r="AI551" s="241"/>
      <c r="AJ551" s="241"/>
      <c r="AK551" s="241"/>
      <c r="AL551" s="241"/>
      <c r="AM551" s="241"/>
      <c r="AN551" s="241"/>
      <c r="AO551" s="241"/>
      <c r="AP551" s="241"/>
      <c r="AQ551" s="241"/>
      <c r="AR551" s="241"/>
      <c r="AS551" s="241"/>
      <c r="AT551" s="241"/>
      <c r="AU551" s="241"/>
      <c r="AV551" s="241"/>
      <c r="AW551" s="241"/>
      <c r="AX551" s="241"/>
      <c r="AY551" s="241"/>
      <c r="AZ551" s="241"/>
      <c r="BA551" s="241"/>
      <c r="BB551" s="241"/>
      <c r="BC551" s="241"/>
      <c r="BD551" s="241"/>
      <c r="BE551" s="241"/>
      <c r="BF551" s="241"/>
      <c r="BG551" s="241"/>
      <c r="BH551" s="241"/>
      <c r="BI551" s="241"/>
      <c r="BJ551" s="241"/>
      <c r="BK551" s="241"/>
      <c r="BL551" s="241"/>
      <c r="BM551" s="241"/>
    </row>
    <row r="552" spans="1:65" ht="13.5" customHeight="1" x14ac:dyDescent="0.3">
      <c r="A552" s="241"/>
      <c r="B552" s="241"/>
      <c r="C552" s="241"/>
      <c r="D552" s="241"/>
      <c r="E552" s="241"/>
      <c r="F552" s="241"/>
      <c r="G552" s="241"/>
      <c r="H552" s="241"/>
      <c r="I552" s="241"/>
      <c r="J552" s="241"/>
      <c r="K552" s="241"/>
      <c r="L552" s="241"/>
      <c r="M552" s="241"/>
      <c r="N552" s="241"/>
      <c r="O552" s="241"/>
      <c r="P552" s="241"/>
      <c r="Q552" s="241"/>
      <c r="R552" s="241"/>
      <c r="S552" s="241"/>
      <c r="T552" s="241"/>
      <c r="U552" s="241"/>
      <c r="V552" s="241"/>
      <c r="W552" s="241"/>
      <c r="X552" s="241"/>
      <c r="Y552" s="241"/>
      <c r="Z552" s="241"/>
      <c r="AA552" s="241"/>
      <c r="AB552" s="241"/>
      <c r="AC552" s="241"/>
      <c r="AD552" s="241"/>
      <c r="AE552" s="241"/>
      <c r="AF552" s="241"/>
      <c r="AG552" s="241"/>
      <c r="AH552" s="241"/>
      <c r="AI552" s="241"/>
      <c r="AJ552" s="241"/>
      <c r="AK552" s="241"/>
      <c r="AL552" s="241"/>
      <c r="AM552" s="241"/>
      <c r="AN552" s="241"/>
      <c r="AO552" s="241"/>
      <c r="AP552" s="241"/>
      <c r="AQ552" s="241"/>
      <c r="AR552" s="241"/>
      <c r="AS552" s="241"/>
      <c r="AT552" s="241"/>
      <c r="AU552" s="241"/>
      <c r="AV552" s="241"/>
      <c r="AW552" s="241"/>
      <c r="AX552" s="241"/>
      <c r="AY552" s="241"/>
      <c r="AZ552" s="241"/>
      <c r="BA552" s="241"/>
      <c r="BB552" s="241"/>
      <c r="BC552" s="241"/>
      <c r="BD552" s="241"/>
      <c r="BE552" s="241"/>
      <c r="BF552" s="241"/>
      <c r="BG552" s="241"/>
      <c r="BH552" s="241"/>
      <c r="BI552" s="241"/>
      <c r="BJ552" s="241"/>
      <c r="BK552" s="241"/>
      <c r="BL552" s="241"/>
      <c r="BM552" s="241"/>
    </row>
    <row r="553" spans="1:65" ht="13.5" customHeight="1" x14ac:dyDescent="0.3">
      <c r="A553" s="241"/>
      <c r="B553" s="241"/>
      <c r="C553" s="241"/>
      <c r="D553" s="241"/>
      <c r="E553" s="241"/>
      <c r="F553" s="241"/>
      <c r="G553" s="241"/>
      <c r="H553" s="241"/>
      <c r="I553" s="241"/>
      <c r="J553" s="241"/>
      <c r="K553" s="241"/>
      <c r="L553" s="241"/>
      <c r="M553" s="241"/>
      <c r="N553" s="241"/>
      <c r="O553" s="241"/>
      <c r="P553" s="241"/>
      <c r="Q553" s="241"/>
      <c r="R553" s="241"/>
      <c r="S553" s="241"/>
      <c r="T553" s="241"/>
      <c r="U553" s="241"/>
      <c r="V553" s="241"/>
      <c r="W553" s="241"/>
      <c r="X553" s="241"/>
      <c r="Y553" s="241"/>
      <c r="Z553" s="241"/>
      <c r="AA553" s="241"/>
      <c r="AB553" s="241"/>
      <c r="AC553" s="241"/>
      <c r="AD553" s="241"/>
      <c r="AE553" s="241"/>
      <c r="AF553" s="241"/>
      <c r="AG553" s="241"/>
      <c r="AH553" s="241"/>
      <c r="AI553" s="241"/>
      <c r="AJ553" s="241"/>
      <c r="AK553" s="241"/>
      <c r="AL553" s="241"/>
      <c r="AM553" s="241"/>
      <c r="AN553" s="241"/>
      <c r="AO553" s="241"/>
      <c r="AP553" s="241"/>
      <c r="AQ553" s="241"/>
      <c r="AR553" s="241"/>
      <c r="AS553" s="241"/>
      <c r="AT553" s="241"/>
      <c r="AU553" s="241"/>
      <c r="AV553" s="241"/>
      <c r="AW553" s="241"/>
      <c r="AX553" s="241"/>
      <c r="AY553" s="241"/>
      <c r="AZ553" s="241"/>
      <c r="BA553" s="241"/>
      <c r="BB553" s="241"/>
      <c r="BC553" s="241"/>
      <c r="BD553" s="241"/>
      <c r="BE553" s="241"/>
      <c r="BF553" s="241"/>
      <c r="BG553" s="241"/>
      <c r="BH553" s="241"/>
      <c r="BI553" s="241"/>
      <c r="BJ553" s="241"/>
      <c r="BK553" s="241"/>
      <c r="BL553" s="241"/>
      <c r="BM553" s="241"/>
    </row>
    <row r="554" spans="1:65" ht="13.5" customHeight="1" x14ac:dyDescent="0.3">
      <c r="A554" s="241"/>
      <c r="B554" s="241"/>
      <c r="C554" s="241"/>
      <c r="D554" s="241"/>
      <c r="E554" s="241"/>
      <c r="F554" s="241"/>
      <c r="G554" s="241"/>
      <c r="H554" s="241"/>
      <c r="I554" s="241"/>
      <c r="J554" s="241"/>
      <c r="K554" s="241"/>
      <c r="L554" s="241"/>
      <c r="M554" s="241"/>
      <c r="N554" s="241"/>
      <c r="O554" s="241"/>
      <c r="P554" s="241"/>
      <c r="Q554" s="241"/>
      <c r="R554" s="241"/>
      <c r="S554" s="241"/>
      <c r="T554" s="241"/>
      <c r="U554" s="241"/>
      <c r="V554" s="241"/>
      <c r="W554" s="241"/>
      <c r="X554" s="241"/>
      <c r="Y554" s="241"/>
      <c r="Z554" s="241"/>
      <c r="AA554" s="241"/>
      <c r="AB554" s="241"/>
      <c r="AC554" s="241"/>
      <c r="AD554" s="241"/>
      <c r="AE554" s="241"/>
      <c r="AF554" s="241"/>
      <c r="AG554" s="241"/>
      <c r="AH554" s="241"/>
      <c r="AI554" s="241"/>
      <c r="AJ554" s="241"/>
      <c r="AK554" s="241"/>
      <c r="AL554" s="241"/>
      <c r="AM554" s="241"/>
      <c r="AN554" s="241"/>
      <c r="AO554" s="241"/>
      <c r="AP554" s="241"/>
      <c r="AQ554" s="241"/>
      <c r="AR554" s="241"/>
      <c r="AS554" s="241"/>
      <c r="AT554" s="241"/>
      <c r="AU554" s="241"/>
      <c r="AV554" s="241"/>
      <c r="AW554" s="241"/>
      <c r="AX554" s="241"/>
      <c r="AY554" s="241"/>
      <c r="AZ554" s="241"/>
      <c r="BA554" s="241"/>
      <c r="BB554" s="241"/>
      <c r="BC554" s="241"/>
      <c r="BD554" s="241"/>
      <c r="BE554" s="241"/>
      <c r="BF554" s="241"/>
      <c r="BG554" s="241"/>
      <c r="BH554" s="241"/>
      <c r="BI554" s="241"/>
      <c r="BJ554" s="241"/>
      <c r="BK554" s="241"/>
      <c r="BL554" s="241"/>
      <c r="BM554" s="241"/>
    </row>
    <row r="555" spans="1:65" ht="13.5" customHeight="1" x14ac:dyDescent="0.3">
      <c r="A555" s="241"/>
      <c r="B555" s="241"/>
      <c r="C555" s="241"/>
      <c r="D555" s="241"/>
      <c r="E555" s="241"/>
      <c r="F555" s="241"/>
      <c r="G555" s="241"/>
      <c r="H555" s="241"/>
      <c r="I555" s="241"/>
      <c r="J555" s="241"/>
      <c r="K555" s="241"/>
      <c r="L555" s="241"/>
      <c r="M555" s="241"/>
      <c r="N555" s="241"/>
      <c r="O555" s="241"/>
      <c r="P555" s="241"/>
      <c r="Q555" s="241"/>
      <c r="R555" s="241"/>
      <c r="S555" s="241"/>
      <c r="T555" s="241"/>
      <c r="U555" s="241"/>
      <c r="V555" s="241"/>
      <c r="W555" s="241"/>
      <c r="X555" s="241"/>
      <c r="Y555" s="241"/>
      <c r="Z555" s="241"/>
      <c r="AA555" s="241"/>
      <c r="AB555" s="241"/>
      <c r="AC555" s="241"/>
      <c r="AD555" s="241"/>
      <c r="AE555" s="241"/>
      <c r="AF555" s="241"/>
      <c r="AG555" s="241"/>
      <c r="AH555" s="241"/>
      <c r="AI555" s="241"/>
      <c r="AJ555" s="241"/>
      <c r="AK555" s="241"/>
      <c r="AL555" s="241"/>
      <c r="AM555" s="241"/>
      <c r="AN555" s="241"/>
      <c r="AO555" s="241"/>
      <c r="AP555" s="241"/>
      <c r="AQ555" s="241"/>
      <c r="AR555" s="241"/>
      <c r="AS555" s="241"/>
      <c r="AT555" s="241"/>
      <c r="AU555" s="241"/>
      <c r="AV555" s="241"/>
      <c r="AW555" s="241"/>
      <c r="AX555" s="241"/>
      <c r="AY555" s="241"/>
      <c r="AZ555" s="241"/>
      <c r="BA555" s="241"/>
      <c r="BB555" s="241"/>
      <c r="BC555" s="241"/>
      <c r="BD555" s="241"/>
      <c r="BE555" s="241"/>
      <c r="BF555" s="241"/>
      <c r="BG555" s="241"/>
      <c r="BH555" s="241"/>
      <c r="BI555" s="241"/>
      <c r="BJ555" s="241"/>
      <c r="BK555" s="241"/>
      <c r="BL555" s="241"/>
      <c r="BM555" s="241"/>
    </row>
    <row r="556" spans="1:65" ht="13.5" customHeight="1" x14ac:dyDescent="0.3">
      <c r="A556" s="241"/>
      <c r="B556" s="241"/>
      <c r="C556" s="241"/>
      <c r="D556" s="241"/>
      <c r="E556" s="241"/>
      <c r="F556" s="241"/>
      <c r="G556" s="241"/>
      <c r="H556" s="241"/>
      <c r="I556" s="241"/>
      <c r="J556" s="241"/>
      <c r="K556" s="241"/>
      <c r="L556" s="241"/>
      <c r="M556" s="241"/>
      <c r="N556" s="241"/>
      <c r="O556" s="241"/>
      <c r="P556" s="241"/>
      <c r="Q556" s="241"/>
      <c r="R556" s="241"/>
      <c r="S556" s="241"/>
      <c r="T556" s="241"/>
      <c r="U556" s="241"/>
      <c r="V556" s="241"/>
      <c r="W556" s="241"/>
      <c r="X556" s="241"/>
      <c r="Y556" s="241"/>
      <c r="Z556" s="241"/>
      <c r="AA556" s="241"/>
      <c r="AB556" s="241"/>
      <c r="AC556" s="241"/>
      <c r="AD556" s="241"/>
      <c r="AE556" s="241"/>
      <c r="AF556" s="241"/>
      <c r="AG556" s="241"/>
      <c r="AH556" s="241"/>
      <c r="AI556" s="241"/>
      <c r="AJ556" s="241"/>
      <c r="AK556" s="241"/>
      <c r="AL556" s="241"/>
      <c r="AM556" s="241"/>
      <c r="AN556" s="241"/>
      <c r="AO556" s="241"/>
      <c r="AP556" s="241"/>
      <c r="AQ556" s="241"/>
      <c r="AR556" s="241"/>
      <c r="AS556" s="241"/>
      <c r="AT556" s="241"/>
      <c r="AU556" s="241"/>
      <c r="AV556" s="241"/>
      <c r="AW556" s="241"/>
      <c r="AX556" s="241"/>
      <c r="AY556" s="241"/>
      <c r="AZ556" s="241"/>
      <c r="BA556" s="241"/>
      <c r="BB556" s="241"/>
      <c r="BC556" s="241"/>
      <c r="BD556" s="241"/>
      <c r="BE556" s="241"/>
      <c r="BF556" s="241"/>
      <c r="BG556" s="241"/>
      <c r="BH556" s="241"/>
      <c r="BI556" s="241"/>
      <c r="BJ556" s="241"/>
      <c r="BK556" s="241"/>
      <c r="BL556" s="241"/>
      <c r="BM556" s="241"/>
    </row>
    <row r="557" spans="1:65" ht="13.5" customHeight="1" x14ac:dyDescent="0.3">
      <c r="A557" s="241"/>
      <c r="B557" s="241"/>
      <c r="C557" s="241"/>
      <c r="D557" s="241"/>
      <c r="E557" s="241"/>
      <c r="F557" s="241"/>
      <c r="G557" s="241"/>
      <c r="H557" s="241"/>
      <c r="I557" s="241"/>
      <c r="J557" s="241"/>
      <c r="K557" s="241"/>
      <c r="L557" s="241"/>
      <c r="M557" s="241"/>
      <c r="N557" s="241"/>
      <c r="O557" s="241"/>
      <c r="P557" s="241"/>
      <c r="Q557" s="241"/>
      <c r="R557" s="241"/>
      <c r="S557" s="241"/>
      <c r="T557" s="241"/>
      <c r="U557" s="241"/>
      <c r="V557" s="241"/>
      <c r="W557" s="241"/>
      <c r="X557" s="241"/>
      <c r="Y557" s="241"/>
      <c r="Z557" s="241"/>
      <c r="AA557" s="241"/>
      <c r="AB557" s="241"/>
      <c r="AC557" s="241"/>
      <c r="AD557" s="241"/>
      <c r="AE557" s="241"/>
      <c r="AF557" s="241"/>
      <c r="AG557" s="241"/>
      <c r="AH557" s="241"/>
      <c r="AI557" s="241"/>
      <c r="AJ557" s="241"/>
      <c r="AK557" s="241"/>
      <c r="AL557" s="241"/>
      <c r="AM557" s="241"/>
      <c r="AN557" s="241"/>
      <c r="AO557" s="241"/>
      <c r="AP557" s="241"/>
      <c r="AQ557" s="241"/>
      <c r="AR557" s="241"/>
      <c r="AS557" s="241"/>
      <c r="AT557" s="241"/>
      <c r="AU557" s="241"/>
      <c r="AV557" s="241"/>
      <c r="AW557" s="241"/>
      <c r="AX557" s="241"/>
      <c r="AY557" s="241"/>
      <c r="AZ557" s="241"/>
      <c r="BA557" s="241"/>
      <c r="BB557" s="241"/>
      <c r="BC557" s="241"/>
      <c r="BD557" s="241"/>
      <c r="BE557" s="241"/>
      <c r="BF557" s="241"/>
      <c r="BG557" s="241"/>
      <c r="BH557" s="241"/>
      <c r="BI557" s="241"/>
      <c r="BJ557" s="241"/>
      <c r="BK557" s="241"/>
      <c r="BL557" s="241"/>
      <c r="BM557" s="241"/>
    </row>
    <row r="558" spans="1:65" ht="13.5" customHeight="1" x14ac:dyDescent="0.3">
      <c r="A558" s="241"/>
      <c r="B558" s="241"/>
      <c r="C558" s="241"/>
      <c r="D558" s="241"/>
      <c r="E558" s="241"/>
      <c r="F558" s="241"/>
      <c r="G558" s="241"/>
      <c r="H558" s="241"/>
      <c r="I558" s="241"/>
      <c r="J558" s="241"/>
      <c r="K558" s="241"/>
      <c r="L558" s="241"/>
      <c r="M558" s="241"/>
      <c r="N558" s="241"/>
      <c r="O558" s="241"/>
      <c r="P558" s="241"/>
      <c r="Q558" s="241"/>
      <c r="R558" s="241"/>
      <c r="S558" s="241"/>
      <c r="T558" s="241"/>
      <c r="U558" s="241"/>
      <c r="V558" s="241"/>
      <c r="W558" s="241"/>
      <c r="X558" s="241"/>
      <c r="Y558" s="241"/>
      <c r="Z558" s="241"/>
      <c r="AA558" s="241"/>
      <c r="AB558" s="241"/>
      <c r="AC558" s="241"/>
      <c r="AD558" s="241"/>
      <c r="AE558" s="241"/>
      <c r="AF558" s="241"/>
      <c r="AG558" s="241"/>
      <c r="AH558" s="241"/>
      <c r="AI558" s="241"/>
      <c r="AJ558" s="241"/>
      <c r="AK558" s="241"/>
      <c r="AL558" s="241"/>
      <c r="AM558" s="241"/>
      <c r="AN558" s="241"/>
      <c r="AO558" s="241"/>
      <c r="AP558" s="241"/>
      <c r="AQ558" s="241"/>
      <c r="AR558" s="241"/>
      <c r="AS558" s="241"/>
      <c r="AT558" s="241"/>
      <c r="AU558" s="241"/>
      <c r="AV558" s="241"/>
      <c r="AW558" s="241"/>
      <c r="AX558" s="241"/>
      <c r="AY558" s="241"/>
      <c r="AZ558" s="241"/>
      <c r="BA558" s="241"/>
      <c r="BB558" s="241"/>
      <c r="BC558" s="241"/>
      <c r="BD558" s="241"/>
      <c r="BE558" s="241"/>
      <c r="BF558" s="241"/>
      <c r="BG558" s="241"/>
      <c r="BH558" s="241"/>
      <c r="BI558" s="241"/>
      <c r="BJ558" s="241"/>
      <c r="BK558" s="241"/>
      <c r="BL558" s="241"/>
      <c r="BM558" s="241"/>
    </row>
    <row r="559" spans="1:65" ht="13.5" customHeight="1" x14ac:dyDescent="0.3">
      <c r="A559" s="241"/>
      <c r="B559" s="241"/>
      <c r="C559" s="241"/>
      <c r="D559" s="241"/>
      <c r="E559" s="241"/>
      <c r="F559" s="241"/>
      <c r="G559" s="241"/>
      <c r="H559" s="241"/>
      <c r="I559" s="241"/>
      <c r="J559" s="241"/>
      <c r="K559" s="241"/>
      <c r="L559" s="241"/>
      <c r="M559" s="241"/>
      <c r="N559" s="241"/>
      <c r="O559" s="241"/>
      <c r="P559" s="241"/>
      <c r="Q559" s="241"/>
      <c r="R559" s="241"/>
      <c r="S559" s="241"/>
      <c r="T559" s="241"/>
      <c r="U559" s="241"/>
      <c r="V559" s="241"/>
      <c r="W559" s="241"/>
      <c r="X559" s="241"/>
      <c r="Y559" s="241"/>
      <c r="Z559" s="241"/>
      <c r="AA559" s="241"/>
      <c r="AB559" s="241"/>
      <c r="AC559" s="241"/>
      <c r="AD559" s="241"/>
      <c r="AE559" s="241"/>
      <c r="AF559" s="241"/>
      <c r="AG559" s="241"/>
      <c r="AH559" s="241"/>
      <c r="AI559" s="241"/>
      <c r="AJ559" s="241"/>
      <c r="AK559" s="241"/>
      <c r="AL559" s="241"/>
      <c r="AM559" s="241"/>
      <c r="AN559" s="241"/>
      <c r="AO559" s="241"/>
      <c r="AP559" s="241"/>
      <c r="AQ559" s="241"/>
      <c r="AR559" s="241"/>
      <c r="AS559" s="241"/>
      <c r="AT559" s="241"/>
      <c r="AU559" s="241"/>
      <c r="AV559" s="241"/>
      <c r="AW559" s="241"/>
      <c r="AX559" s="241"/>
      <c r="AY559" s="241"/>
      <c r="AZ559" s="241"/>
      <c r="BA559" s="241"/>
      <c r="BB559" s="241"/>
      <c r="BC559" s="241"/>
      <c r="BD559" s="241"/>
      <c r="BE559" s="241"/>
      <c r="BF559" s="241"/>
      <c r="BG559" s="241"/>
      <c r="BH559" s="241"/>
      <c r="BI559" s="241"/>
      <c r="BJ559" s="241"/>
      <c r="BK559" s="241"/>
      <c r="BL559" s="241"/>
      <c r="BM559" s="241"/>
    </row>
    <row r="560" spans="1:65" ht="13.5" customHeight="1" x14ac:dyDescent="0.3">
      <c r="A560" s="241"/>
      <c r="B560" s="241"/>
      <c r="C560" s="241"/>
      <c r="D560" s="241"/>
      <c r="E560" s="241"/>
      <c r="F560" s="241"/>
      <c r="G560" s="241"/>
      <c r="H560" s="241"/>
      <c r="I560" s="241"/>
      <c r="J560" s="241"/>
      <c r="K560" s="241"/>
      <c r="L560" s="241"/>
      <c r="M560" s="241"/>
      <c r="N560" s="241"/>
      <c r="O560" s="241"/>
      <c r="P560" s="241"/>
      <c r="Q560" s="241"/>
      <c r="R560" s="241"/>
      <c r="S560" s="241"/>
      <c r="T560" s="241"/>
      <c r="U560" s="241"/>
      <c r="V560" s="241"/>
      <c r="W560" s="241"/>
      <c r="X560" s="241"/>
      <c r="Y560" s="241"/>
      <c r="Z560" s="241"/>
      <c r="AA560" s="241"/>
      <c r="AB560" s="241"/>
      <c r="AC560" s="241"/>
      <c r="AD560" s="241"/>
      <c r="AE560" s="241"/>
      <c r="AF560" s="241"/>
      <c r="AG560" s="241"/>
      <c r="AH560" s="241"/>
      <c r="AI560" s="241"/>
      <c r="AJ560" s="241"/>
      <c r="AK560" s="241"/>
      <c r="AL560" s="241"/>
      <c r="AM560" s="241"/>
      <c r="AN560" s="241"/>
      <c r="AO560" s="241"/>
      <c r="AP560" s="241"/>
      <c r="AQ560" s="241"/>
      <c r="AR560" s="241"/>
      <c r="AS560" s="241"/>
      <c r="AT560" s="241"/>
      <c r="AU560" s="241"/>
      <c r="AV560" s="241"/>
      <c r="AW560" s="241"/>
      <c r="AX560" s="241"/>
      <c r="AY560" s="241"/>
      <c r="AZ560" s="241"/>
      <c r="BA560" s="241"/>
      <c r="BB560" s="241"/>
      <c r="BC560" s="241"/>
      <c r="BD560" s="241"/>
      <c r="BE560" s="241"/>
      <c r="BF560" s="241"/>
      <c r="BG560" s="241"/>
      <c r="BH560" s="241"/>
      <c r="BI560" s="241"/>
      <c r="BJ560" s="241"/>
      <c r="BK560" s="241"/>
      <c r="BL560" s="241"/>
      <c r="BM560" s="241"/>
    </row>
    <row r="561" spans="1:65" ht="13.5" customHeight="1" x14ac:dyDescent="0.3">
      <c r="A561" s="241"/>
      <c r="B561" s="241"/>
      <c r="C561" s="241"/>
      <c r="D561" s="241"/>
      <c r="E561" s="241"/>
      <c r="F561" s="241"/>
      <c r="G561" s="241"/>
      <c r="H561" s="241"/>
      <c r="I561" s="241"/>
      <c r="J561" s="241"/>
      <c r="K561" s="241"/>
      <c r="L561" s="241"/>
      <c r="M561" s="241"/>
      <c r="N561" s="241"/>
      <c r="O561" s="241"/>
      <c r="P561" s="241"/>
      <c r="Q561" s="241"/>
      <c r="R561" s="241"/>
      <c r="S561" s="241"/>
      <c r="T561" s="241"/>
      <c r="U561" s="241"/>
      <c r="V561" s="241"/>
      <c r="W561" s="241"/>
      <c r="X561" s="241"/>
      <c r="Y561" s="241"/>
      <c r="Z561" s="241"/>
      <c r="AA561" s="241"/>
      <c r="AB561" s="241"/>
      <c r="AC561" s="241"/>
      <c r="AD561" s="241"/>
      <c r="AE561" s="241"/>
      <c r="AF561" s="241"/>
      <c r="AG561" s="241"/>
      <c r="AH561" s="241"/>
      <c r="AI561" s="241"/>
      <c r="AJ561" s="241"/>
      <c r="AK561" s="241"/>
      <c r="AL561" s="241"/>
      <c r="AM561" s="241"/>
      <c r="AN561" s="241"/>
      <c r="AO561" s="241"/>
      <c r="AP561" s="241"/>
      <c r="AQ561" s="241"/>
      <c r="AR561" s="241"/>
      <c r="AS561" s="241"/>
      <c r="AT561" s="241"/>
      <c r="AU561" s="241"/>
      <c r="AV561" s="241"/>
      <c r="AW561" s="241"/>
      <c r="AX561" s="241"/>
      <c r="AY561" s="241"/>
      <c r="AZ561" s="241"/>
      <c r="BA561" s="241"/>
      <c r="BB561" s="241"/>
      <c r="BC561" s="241"/>
      <c r="BD561" s="241"/>
      <c r="BE561" s="241"/>
      <c r="BF561" s="241"/>
      <c r="BG561" s="241"/>
      <c r="BH561" s="241"/>
      <c r="BI561" s="241"/>
      <c r="BJ561" s="241"/>
      <c r="BK561" s="241"/>
      <c r="BL561" s="241"/>
      <c r="BM561" s="241"/>
    </row>
    <row r="562" spans="1:65" ht="13.5" customHeight="1" x14ac:dyDescent="0.3">
      <c r="A562" s="241"/>
      <c r="B562" s="241"/>
      <c r="C562" s="241"/>
      <c r="D562" s="241"/>
      <c r="E562" s="241"/>
      <c r="F562" s="241"/>
      <c r="G562" s="241"/>
      <c r="H562" s="241"/>
      <c r="I562" s="241"/>
      <c r="J562" s="241"/>
      <c r="K562" s="241"/>
      <c r="L562" s="241"/>
      <c r="M562" s="241"/>
      <c r="N562" s="241"/>
      <c r="O562" s="241"/>
      <c r="P562" s="241"/>
      <c r="Q562" s="241"/>
      <c r="R562" s="241"/>
      <c r="S562" s="241"/>
      <c r="T562" s="241"/>
      <c r="U562" s="241"/>
      <c r="V562" s="241"/>
      <c r="W562" s="241"/>
      <c r="X562" s="241"/>
      <c r="Y562" s="241"/>
      <c r="Z562" s="241"/>
      <c r="AA562" s="241"/>
      <c r="AB562" s="241"/>
      <c r="AC562" s="241"/>
      <c r="AD562" s="241"/>
      <c r="AE562" s="241"/>
      <c r="AF562" s="241"/>
      <c r="AG562" s="241"/>
      <c r="AH562" s="241"/>
      <c r="AI562" s="241"/>
      <c r="AJ562" s="241"/>
      <c r="AK562" s="241"/>
      <c r="AL562" s="241"/>
      <c r="AM562" s="241"/>
      <c r="AN562" s="241"/>
      <c r="AO562" s="241"/>
      <c r="AP562" s="241"/>
      <c r="AQ562" s="241"/>
      <c r="AR562" s="241"/>
      <c r="AS562" s="241"/>
      <c r="AT562" s="241"/>
      <c r="AU562" s="241"/>
      <c r="AV562" s="241"/>
      <c r="AW562" s="241"/>
      <c r="AX562" s="241"/>
      <c r="AY562" s="241"/>
      <c r="AZ562" s="241"/>
      <c r="BA562" s="241"/>
      <c r="BB562" s="241"/>
      <c r="BC562" s="241"/>
      <c r="BD562" s="241"/>
      <c r="BE562" s="241"/>
      <c r="BF562" s="241"/>
      <c r="BG562" s="241"/>
      <c r="BH562" s="241"/>
      <c r="BI562" s="241"/>
      <c r="BJ562" s="241"/>
      <c r="BK562" s="241"/>
      <c r="BL562" s="241"/>
      <c r="BM562" s="241"/>
    </row>
    <row r="563" spans="1:65" ht="13.5" customHeight="1" x14ac:dyDescent="0.3">
      <c r="A563" s="241"/>
      <c r="B563" s="241"/>
      <c r="C563" s="241"/>
      <c r="D563" s="241"/>
      <c r="E563" s="241"/>
      <c r="F563" s="241"/>
      <c r="G563" s="241"/>
      <c r="H563" s="241"/>
      <c r="I563" s="241"/>
      <c r="J563" s="241"/>
      <c r="K563" s="241"/>
      <c r="L563" s="241"/>
      <c r="M563" s="241"/>
      <c r="N563" s="241"/>
      <c r="O563" s="241"/>
      <c r="P563" s="241"/>
      <c r="Q563" s="241"/>
      <c r="R563" s="241"/>
      <c r="S563" s="241"/>
      <c r="T563" s="241"/>
      <c r="U563" s="241"/>
      <c r="V563" s="241"/>
      <c r="W563" s="241"/>
      <c r="X563" s="241"/>
      <c r="Y563" s="241"/>
      <c r="Z563" s="241"/>
      <c r="AA563" s="241"/>
      <c r="AB563" s="241"/>
      <c r="AC563" s="241"/>
      <c r="AD563" s="241"/>
      <c r="AE563" s="241"/>
      <c r="AF563" s="241"/>
      <c r="AG563" s="241"/>
      <c r="AH563" s="241"/>
      <c r="AI563" s="241"/>
      <c r="AJ563" s="241"/>
      <c r="AK563" s="241"/>
      <c r="AL563" s="241"/>
      <c r="AM563" s="241"/>
      <c r="AN563" s="241"/>
      <c r="AO563" s="241"/>
      <c r="AP563" s="241"/>
      <c r="AQ563" s="241"/>
      <c r="AR563" s="241"/>
      <c r="AS563" s="241"/>
      <c r="AT563" s="241"/>
      <c r="AU563" s="241"/>
      <c r="AV563" s="241"/>
      <c r="AW563" s="241"/>
      <c r="AX563" s="241"/>
      <c r="AY563" s="241"/>
      <c r="AZ563" s="241"/>
      <c r="BA563" s="241"/>
      <c r="BB563" s="241"/>
      <c r="BC563" s="241"/>
      <c r="BD563" s="241"/>
      <c r="BE563" s="241"/>
      <c r="BF563" s="241"/>
      <c r="BG563" s="241"/>
      <c r="BH563" s="241"/>
      <c r="BI563" s="241"/>
      <c r="BJ563" s="241"/>
      <c r="BK563" s="241"/>
      <c r="BL563" s="241"/>
      <c r="BM563" s="241"/>
    </row>
    <row r="564" spans="1:65" ht="13.5" customHeight="1" x14ac:dyDescent="0.3">
      <c r="A564" s="241"/>
      <c r="B564" s="241"/>
      <c r="C564" s="241"/>
      <c r="D564" s="241"/>
      <c r="E564" s="241"/>
      <c r="F564" s="241"/>
      <c r="G564" s="241"/>
      <c r="H564" s="241"/>
      <c r="I564" s="241"/>
      <c r="J564" s="241"/>
      <c r="K564" s="241"/>
      <c r="L564" s="241"/>
      <c r="M564" s="241"/>
      <c r="N564" s="241"/>
      <c r="O564" s="241"/>
      <c r="P564" s="241"/>
      <c r="Q564" s="241"/>
      <c r="R564" s="241"/>
      <c r="S564" s="241"/>
      <c r="T564" s="241"/>
      <c r="U564" s="241"/>
      <c r="V564" s="241"/>
      <c r="W564" s="241"/>
      <c r="X564" s="241"/>
      <c r="Y564" s="241"/>
      <c r="Z564" s="241"/>
      <c r="AA564" s="241"/>
      <c r="AB564" s="241"/>
      <c r="AC564" s="241"/>
      <c r="AD564" s="241"/>
      <c r="AE564" s="241"/>
      <c r="AF564" s="241"/>
      <c r="AG564" s="241"/>
      <c r="AH564" s="241"/>
      <c r="AI564" s="241"/>
      <c r="AJ564" s="241"/>
      <c r="AK564" s="241"/>
      <c r="AL564" s="241"/>
      <c r="AM564" s="241"/>
      <c r="AN564" s="241"/>
      <c r="AO564" s="241"/>
      <c r="AP564" s="241"/>
      <c r="AQ564" s="241"/>
      <c r="AR564" s="241"/>
      <c r="AS564" s="241"/>
      <c r="AT564" s="241"/>
      <c r="AU564" s="241"/>
      <c r="AV564" s="241"/>
      <c r="AW564" s="241"/>
      <c r="AX564" s="241"/>
      <c r="AY564" s="241"/>
      <c r="AZ564" s="241"/>
      <c r="BA564" s="241"/>
      <c r="BB564" s="241"/>
      <c r="BC564" s="241"/>
      <c r="BD564" s="241"/>
      <c r="BE564" s="241"/>
      <c r="BF564" s="241"/>
      <c r="BG564" s="241"/>
      <c r="BH564" s="241"/>
      <c r="BI564" s="241"/>
      <c r="BJ564" s="241"/>
      <c r="BK564" s="241"/>
      <c r="BL564" s="241"/>
      <c r="BM564" s="241"/>
    </row>
    <row r="565" spans="1:65" ht="13.5" customHeight="1" x14ac:dyDescent="0.3">
      <c r="A565" s="241"/>
      <c r="B565" s="241"/>
      <c r="C565" s="241"/>
      <c r="D565" s="241"/>
      <c r="E565" s="241"/>
      <c r="F565" s="241"/>
      <c r="G565" s="241"/>
      <c r="H565" s="241"/>
      <c r="I565" s="241"/>
      <c r="J565" s="241"/>
      <c r="K565" s="241"/>
      <c r="L565" s="241"/>
      <c r="M565" s="241"/>
      <c r="N565" s="241"/>
      <c r="O565" s="241"/>
      <c r="P565" s="241"/>
      <c r="Q565" s="241"/>
      <c r="R565" s="241"/>
      <c r="S565" s="241"/>
      <c r="T565" s="241"/>
      <c r="U565" s="241"/>
      <c r="V565" s="241"/>
      <c r="W565" s="241"/>
      <c r="X565" s="241"/>
      <c r="Y565" s="241"/>
      <c r="Z565" s="241"/>
      <c r="AA565" s="241"/>
      <c r="AB565" s="241"/>
      <c r="AC565" s="241"/>
      <c r="AD565" s="241"/>
      <c r="AE565" s="241"/>
      <c r="AF565" s="241"/>
      <c r="AG565" s="241"/>
      <c r="AH565" s="241"/>
      <c r="AI565" s="241"/>
      <c r="AJ565" s="241"/>
      <c r="AK565" s="241"/>
      <c r="AL565" s="241"/>
      <c r="AM565" s="241"/>
      <c r="AN565" s="241"/>
      <c r="AO565" s="241"/>
      <c r="AP565" s="241"/>
      <c r="AQ565" s="241"/>
      <c r="AR565" s="241"/>
      <c r="AS565" s="241"/>
      <c r="AT565" s="241"/>
      <c r="AU565" s="241"/>
      <c r="AV565" s="241"/>
      <c r="AW565" s="241"/>
      <c r="AX565" s="241"/>
      <c r="AY565" s="241"/>
      <c r="AZ565" s="241"/>
      <c r="BA565" s="241"/>
      <c r="BB565" s="241"/>
      <c r="BC565" s="241"/>
      <c r="BD565" s="241"/>
      <c r="BE565" s="241"/>
      <c r="BF565" s="241"/>
      <c r="BG565" s="241"/>
      <c r="BH565" s="241"/>
      <c r="BI565" s="241"/>
      <c r="BJ565" s="241"/>
      <c r="BK565" s="241"/>
      <c r="BL565" s="241"/>
      <c r="BM565" s="241"/>
    </row>
    <row r="566" spans="1:65" ht="13.5" customHeight="1" x14ac:dyDescent="0.3">
      <c r="A566" s="241"/>
      <c r="B566" s="241"/>
      <c r="C566" s="241"/>
      <c r="D566" s="241"/>
      <c r="E566" s="241"/>
      <c r="F566" s="241"/>
      <c r="G566" s="241"/>
      <c r="H566" s="241"/>
      <c r="I566" s="241"/>
      <c r="J566" s="241"/>
      <c r="K566" s="241"/>
      <c r="L566" s="241"/>
      <c r="M566" s="241"/>
      <c r="N566" s="241"/>
      <c r="O566" s="241"/>
      <c r="P566" s="241"/>
      <c r="Q566" s="241"/>
      <c r="R566" s="241"/>
      <c r="S566" s="241"/>
      <c r="T566" s="241"/>
      <c r="U566" s="241"/>
      <c r="V566" s="241"/>
      <c r="W566" s="241"/>
      <c r="X566" s="241"/>
      <c r="Y566" s="241"/>
      <c r="Z566" s="241"/>
      <c r="AA566" s="241"/>
      <c r="AB566" s="241"/>
      <c r="AC566" s="241"/>
      <c r="AD566" s="241"/>
      <c r="AE566" s="241"/>
      <c r="AF566" s="241"/>
      <c r="AG566" s="241"/>
      <c r="AH566" s="241"/>
      <c r="AI566" s="241"/>
      <c r="AJ566" s="241"/>
      <c r="AK566" s="241"/>
      <c r="AL566" s="241"/>
      <c r="AM566" s="241"/>
      <c r="AN566" s="241"/>
      <c r="AO566" s="241"/>
      <c r="AP566" s="241"/>
      <c r="AQ566" s="241"/>
      <c r="AR566" s="241"/>
      <c r="AS566" s="241"/>
      <c r="AT566" s="241"/>
      <c r="AU566" s="241"/>
      <c r="AV566" s="241"/>
      <c r="AW566" s="241"/>
      <c r="AX566" s="241"/>
      <c r="AY566" s="241"/>
      <c r="AZ566" s="241"/>
      <c r="BA566" s="241"/>
      <c r="BB566" s="241"/>
      <c r="BC566" s="241"/>
      <c r="BD566" s="241"/>
      <c r="BE566" s="241"/>
      <c r="BF566" s="241"/>
      <c r="BG566" s="241"/>
      <c r="BH566" s="241"/>
      <c r="BI566" s="241"/>
      <c r="BJ566" s="241"/>
      <c r="BK566" s="241"/>
      <c r="BL566" s="241"/>
      <c r="BM566" s="241"/>
    </row>
    <row r="567" spans="1:65" ht="13.5" customHeight="1" x14ac:dyDescent="0.3">
      <c r="A567" s="241"/>
      <c r="B567" s="241"/>
      <c r="C567" s="241"/>
      <c r="D567" s="241"/>
      <c r="E567" s="241"/>
      <c r="F567" s="241"/>
      <c r="G567" s="241"/>
      <c r="H567" s="241"/>
      <c r="I567" s="241"/>
      <c r="J567" s="241"/>
      <c r="K567" s="241"/>
      <c r="L567" s="241"/>
      <c r="M567" s="241"/>
      <c r="N567" s="241"/>
      <c r="O567" s="241"/>
      <c r="P567" s="241"/>
      <c r="Q567" s="241"/>
      <c r="R567" s="241"/>
      <c r="S567" s="241"/>
      <c r="T567" s="241"/>
      <c r="U567" s="241"/>
      <c r="V567" s="241"/>
      <c r="W567" s="241"/>
      <c r="X567" s="241"/>
      <c r="Y567" s="241"/>
      <c r="Z567" s="241"/>
      <c r="AA567" s="241"/>
      <c r="AB567" s="241"/>
      <c r="AC567" s="241"/>
      <c r="AD567" s="241"/>
      <c r="AE567" s="241"/>
      <c r="AF567" s="241"/>
      <c r="AG567" s="241"/>
      <c r="AH567" s="241"/>
      <c r="AI567" s="241"/>
      <c r="AJ567" s="241"/>
      <c r="AK567" s="241"/>
      <c r="AL567" s="241"/>
      <c r="AM567" s="241"/>
      <c r="AN567" s="241"/>
      <c r="AO567" s="241"/>
      <c r="AP567" s="241"/>
      <c r="AQ567" s="241"/>
      <c r="AR567" s="241"/>
      <c r="AS567" s="241"/>
      <c r="AT567" s="241"/>
      <c r="AU567" s="241"/>
      <c r="AV567" s="241"/>
      <c r="AW567" s="241"/>
      <c r="AX567" s="241"/>
      <c r="AY567" s="241"/>
      <c r="AZ567" s="241"/>
      <c r="BA567" s="241"/>
      <c r="BB567" s="241"/>
      <c r="BC567" s="241"/>
      <c r="BD567" s="241"/>
      <c r="BE567" s="241"/>
      <c r="BF567" s="241"/>
      <c r="BG567" s="241"/>
      <c r="BH567" s="241"/>
      <c r="BI567" s="241"/>
      <c r="BJ567" s="241"/>
      <c r="BK567" s="241"/>
      <c r="BL567" s="241"/>
      <c r="BM567" s="241"/>
    </row>
    <row r="568" spans="1:65" ht="13.5" customHeight="1" x14ac:dyDescent="0.3">
      <c r="A568" s="241"/>
      <c r="B568" s="241"/>
      <c r="C568" s="241"/>
      <c r="D568" s="241"/>
      <c r="E568" s="241"/>
      <c r="F568" s="241"/>
      <c r="G568" s="241"/>
      <c r="H568" s="241"/>
      <c r="I568" s="241"/>
      <c r="J568" s="241"/>
      <c r="K568" s="241"/>
      <c r="L568" s="241"/>
      <c r="M568" s="241"/>
      <c r="N568" s="241"/>
      <c r="O568" s="241"/>
      <c r="P568" s="241"/>
      <c r="Q568" s="241"/>
      <c r="R568" s="241"/>
      <c r="S568" s="241"/>
      <c r="T568" s="241"/>
      <c r="U568" s="241"/>
      <c r="V568" s="241"/>
      <c r="W568" s="241"/>
      <c r="X568" s="241"/>
      <c r="Y568" s="241"/>
      <c r="Z568" s="241"/>
      <c r="AA568" s="241"/>
      <c r="AB568" s="241"/>
      <c r="AC568" s="241"/>
      <c r="AD568" s="241"/>
      <c r="AE568" s="241"/>
      <c r="AF568" s="241"/>
      <c r="AG568" s="241"/>
      <c r="AH568" s="241"/>
      <c r="AI568" s="241"/>
      <c r="AJ568" s="241"/>
      <c r="AK568" s="241"/>
      <c r="AL568" s="241"/>
      <c r="AM568" s="241"/>
      <c r="AN568" s="241"/>
      <c r="AO568" s="241"/>
      <c r="AP568" s="241"/>
      <c r="AQ568" s="241"/>
      <c r="AR568" s="241"/>
      <c r="AS568" s="241"/>
      <c r="AT568" s="241"/>
      <c r="AU568" s="241"/>
      <c r="AV568" s="241"/>
      <c r="AW568" s="241"/>
      <c r="AX568" s="241"/>
      <c r="AY568" s="241"/>
      <c r="AZ568" s="241"/>
      <c r="BA568" s="241"/>
      <c r="BB568" s="241"/>
      <c r="BC568" s="241"/>
      <c r="BD568" s="241"/>
      <c r="BE568" s="241"/>
      <c r="BF568" s="241"/>
      <c r="BG568" s="241"/>
      <c r="BH568" s="241"/>
      <c r="BI568" s="241"/>
      <c r="BJ568" s="241"/>
      <c r="BK568" s="241"/>
      <c r="BL568" s="241"/>
      <c r="BM568" s="241"/>
    </row>
    <row r="569" spans="1:65" ht="13.5" customHeight="1" x14ac:dyDescent="0.3">
      <c r="A569" s="241"/>
      <c r="B569" s="241"/>
      <c r="C569" s="241"/>
      <c r="D569" s="241"/>
      <c r="E569" s="241"/>
      <c r="F569" s="241"/>
      <c r="G569" s="241"/>
      <c r="H569" s="241"/>
      <c r="I569" s="241"/>
      <c r="J569" s="241"/>
      <c r="K569" s="241"/>
      <c r="L569" s="241"/>
      <c r="M569" s="241"/>
      <c r="N569" s="241"/>
      <c r="O569" s="241"/>
      <c r="P569" s="241"/>
      <c r="Q569" s="241"/>
      <c r="R569" s="241"/>
      <c r="S569" s="241"/>
      <c r="T569" s="241"/>
      <c r="U569" s="241"/>
      <c r="V569" s="241"/>
      <c r="W569" s="241"/>
      <c r="X569" s="241"/>
      <c r="Y569" s="241"/>
      <c r="Z569" s="241"/>
      <c r="AA569" s="241"/>
      <c r="AB569" s="241"/>
      <c r="AC569" s="241"/>
      <c r="AD569" s="241"/>
      <c r="AE569" s="241"/>
      <c r="AF569" s="241"/>
      <c r="AG569" s="241"/>
      <c r="AH569" s="241"/>
      <c r="AI569" s="241"/>
      <c r="AJ569" s="241"/>
      <c r="AK569" s="241"/>
      <c r="AL569" s="241"/>
      <c r="AM569" s="241"/>
      <c r="AN569" s="241"/>
      <c r="AO569" s="241"/>
      <c r="AP569" s="241"/>
      <c r="AQ569" s="241"/>
      <c r="AR569" s="241"/>
      <c r="AS569" s="241"/>
      <c r="AT569" s="241"/>
      <c r="AU569" s="241"/>
      <c r="AV569" s="241"/>
      <c r="AW569" s="241"/>
      <c r="AX569" s="241"/>
      <c r="AY569" s="241"/>
      <c r="AZ569" s="241"/>
      <c r="BA569" s="241"/>
      <c r="BB569" s="241"/>
      <c r="BC569" s="241"/>
      <c r="BD569" s="241"/>
      <c r="BE569" s="241"/>
      <c r="BF569" s="241"/>
      <c r="BG569" s="241"/>
      <c r="BH569" s="241"/>
      <c r="BI569" s="241"/>
      <c r="BJ569" s="241"/>
      <c r="BK569" s="241"/>
      <c r="BL569" s="241"/>
      <c r="BM569" s="241"/>
    </row>
    <row r="570" spans="1:65" ht="13.5" customHeight="1" x14ac:dyDescent="0.3">
      <c r="A570" s="241"/>
      <c r="B570" s="241"/>
      <c r="C570" s="241"/>
      <c r="D570" s="241"/>
      <c r="E570" s="241"/>
      <c r="F570" s="241"/>
      <c r="G570" s="241"/>
      <c r="H570" s="241"/>
      <c r="I570" s="241"/>
      <c r="J570" s="241"/>
      <c r="K570" s="241"/>
      <c r="L570" s="241"/>
      <c r="M570" s="241"/>
      <c r="N570" s="241"/>
      <c r="O570" s="241"/>
      <c r="P570" s="241"/>
      <c r="Q570" s="241"/>
      <c r="R570" s="241"/>
      <c r="S570" s="241"/>
      <c r="T570" s="241"/>
      <c r="U570" s="241"/>
      <c r="V570" s="241"/>
      <c r="W570" s="241"/>
      <c r="X570" s="241"/>
      <c r="Y570" s="241"/>
      <c r="Z570" s="241"/>
      <c r="AA570" s="241"/>
      <c r="AB570" s="241"/>
      <c r="AC570" s="241"/>
      <c r="AD570" s="241"/>
      <c r="AE570" s="241"/>
      <c r="AF570" s="241"/>
      <c r="AG570" s="241"/>
      <c r="AH570" s="241"/>
      <c r="AI570" s="241"/>
      <c r="AJ570" s="241"/>
      <c r="AK570" s="241"/>
      <c r="AL570" s="241"/>
      <c r="AM570" s="241"/>
      <c r="AN570" s="241"/>
      <c r="AO570" s="241"/>
      <c r="AP570" s="241"/>
      <c r="AQ570" s="241"/>
      <c r="AR570" s="241"/>
      <c r="AS570" s="241"/>
      <c r="AT570" s="241"/>
      <c r="AU570" s="241"/>
      <c r="AV570" s="241"/>
      <c r="AW570" s="241"/>
      <c r="AX570" s="241"/>
      <c r="AY570" s="241"/>
      <c r="AZ570" s="241"/>
      <c r="BA570" s="241"/>
      <c r="BB570" s="241"/>
      <c r="BC570" s="241"/>
      <c r="BD570" s="241"/>
      <c r="BE570" s="241"/>
      <c r="BF570" s="241"/>
      <c r="BG570" s="241"/>
      <c r="BH570" s="241"/>
      <c r="BI570" s="241"/>
      <c r="BJ570" s="241"/>
      <c r="BK570" s="241"/>
      <c r="BL570" s="241"/>
      <c r="BM570" s="241"/>
    </row>
    <row r="571" spans="1:65" ht="13.5" customHeight="1" x14ac:dyDescent="0.3">
      <c r="A571" s="241"/>
      <c r="B571" s="241"/>
      <c r="C571" s="241"/>
      <c r="D571" s="241"/>
      <c r="E571" s="241"/>
      <c r="F571" s="241"/>
      <c r="G571" s="241"/>
      <c r="H571" s="241"/>
      <c r="I571" s="241"/>
      <c r="J571" s="241"/>
      <c r="K571" s="241"/>
      <c r="L571" s="241"/>
      <c r="M571" s="241"/>
      <c r="N571" s="241"/>
      <c r="O571" s="241"/>
      <c r="P571" s="241"/>
      <c r="Q571" s="241"/>
      <c r="R571" s="241"/>
      <c r="S571" s="241"/>
      <c r="T571" s="241"/>
      <c r="U571" s="241"/>
      <c r="V571" s="241"/>
      <c r="W571" s="241"/>
      <c r="X571" s="241"/>
      <c r="Y571" s="241"/>
      <c r="Z571" s="241"/>
      <c r="AA571" s="241"/>
      <c r="AB571" s="241"/>
      <c r="AC571" s="241"/>
      <c r="AD571" s="241"/>
      <c r="AE571" s="241"/>
      <c r="AF571" s="241"/>
      <c r="AG571" s="241"/>
      <c r="AH571" s="241"/>
      <c r="AI571" s="241"/>
      <c r="AJ571" s="241"/>
      <c r="AK571" s="241"/>
      <c r="AL571" s="241"/>
      <c r="AM571" s="241"/>
      <c r="AN571" s="241"/>
      <c r="AO571" s="241"/>
      <c r="AP571" s="241"/>
      <c r="AQ571" s="241"/>
      <c r="AR571" s="241"/>
      <c r="AS571" s="241"/>
      <c r="AT571" s="241"/>
      <c r="AU571" s="241"/>
      <c r="AV571" s="241"/>
      <c r="AW571" s="241"/>
      <c r="AX571" s="241"/>
      <c r="AY571" s="241"/>
      <c r="AZ571" s="241"/>
      <c r="BA571" s="241"/>
      <c r="BB571" s="241"/>
      <c r="BC571" s="241"/>
      <c r="BD571" s="241"/>
      <c r="BE571" s="241"/>
      <c r="BF571" s="241"/>
      <c r="BG571" s="241"/>
      <c r="BH571" s="241"/>
      <c r="BI571" s="241"/>
      <c r="BJ571" s="241"/>
      <c r="BK571" s="241"/>
      <c r="BL571" s="241"/>
      <c r="BM571" s="241"/>
    </row>
    <row r="572" spans="1:65" ht="13.5" customHeight="1" x14ac:dyDescent="0.3">
      <c r="A572" s="241"/>
      <c r="B572" s="241"/>
      <c r="C572" s="241"/>
      <c r="D572" s="241"/>
      <c r="E572" s="241"/>
      <c r="F572" s="241"/>
      <c r="G572" s="241"/>
      <c r="H572" s="241"/>
      <c r="I572" s="241"/>
      <c r="J572" s="241"/>
      <c r="K572" s="241"/>
      <c r="L572" s="241"/>
      <c r="M572" s="241"/>
      <c r="N572" s="241"/>
      <c r="O572" s="241"/>
      <c r="P572" s="241"/>
      <c r="Q572" s="241"/>
      <c r="R572" s="241"/>
      <c r="S572" s="241"/>
      <c r="T572" s="241"/>
      <c r="U572" s="241"/>
      <c r="V572" s="241"/>
      <c r="W572" s="241"/>
      <c r="X572" s="241"/>
      <c r="Y572" s="241"/>
      <c r="Z572" s="241"/>
      <c r="AA572" s="241"/>
      <c r="AB572" s="241"/>
      <c r="AC572" s="241"/>
      <c r="AD572" s="241"/>
      <c r="AE572" s="241"/>
      <c r="AF572" s="241"/>
      <c r="AG572" s="241"/>
      <c r="AH572" s="241"/>
      <c r="AI572" s="241"/>
      <c r="AJ572" s="241"/>
      <c r="AK572" s="241"/>
      <c r="AL572" s="241"/>
      <c r="AM572" s="241"/>
      <c r="AN572" s="241"/>
      <c r="AO572" s="241"/>
      <c r="AP572" s="241"/>
      <c r="AQ572" s="241"/>
      <c r="AR572" s="241"/>
      <c r="AS572" s="241"/>
      <c r="AT572" s="241"/>
      <c r="AU572" s="241"/>
      <c r="AV572" s="241"/>
      <c r="AW572" s="241"/>
      <c r="AX572" s="241"/>
      <c r="AY572" s="241"/>
      <c r="AZ572" s="241"/>
      <c r="BA572" s="241"/>
      <c r="BB572" s="241"/>
      <c r="BC572" s="241"/>
      <c r="BD572" s="241"/>
      <c r="BE572" s="241"/>
      <c r="BF572" s="241"/>
      <c r="BG572" s="241"/>
      <c r="BH572" s="241"/>
      <c r="BI572" s="241"/>
      <c r="BJ572" s="241"/>
      <c r="BK572" s="241"/>
      <c r="BL572" s="241"/>
      <c r="BM572" s="241"/>
    </row>
    <row r="573" spans="1:65" ht="13.5" customHeight="1" x14ac:dyDescent="0.3">
      <c r="A573" s="241"/>
      <c r="B573" s="241"/>
      <c r="C573" s="241"/>
      <c r="D573" s="241"/>
      <c r="E573" s="241"/>
      <c r="F573" s="241"/>
      <c r="G573" s="241"/>
      <c r="H573" s="241"/>
      <c r="I573" s="241"/>
      <c r="J573" s="241"/>
      <c r="K573" s="241"/>
      <c r="L573" s="241"/>
      <c r="M573" s="241"/>
      <c r="N573" s="241"/>
      <c r="O573" s="241"/>
      <c r="P573" s="241"/>
      <c r="Q573" s="241"/>
      <c r="R573" s="241"/>
      <c r="S573" s="241"/>
      <c r="T573" s="241"/>
      <c r="U573" s="241"/>
      <c r="V573" s="241"/>
      <c r="W573" s="241"/>
      <c r="X573" s="241"/>
      <c r="Y573" s="241"/>
      <c r="Z573" s="241"/>
      <c r="AA573" s="241"/>
      <c r="AB573" s="241"/>
      <c r="AC573" s="241"/>
      <c r="AD573" s="241"/>
      <c r="AE573" s="241"/>
      <c r="AF573" s="241"/>
      <c r="AG573" s="241"/>
      <c r="AH573" s="241"/>
      <c r="AI573" s="241"/>
      <c r="AJ573" s="241"/>
      <c r="AK573" s="241"/>
      <c r="AL573" s="241"/>
      <c r="AM573" s="241"/>
      <c r="AN573" s="241"/>
      <c r="AO573" s="241"/>
      <c r="AP573" s="241"/>
      <c r="AQ573" s="241"/>
      <c r="AR573" s="241"/>
      <c r="AS573" s="241"/>
      <c r="AT573" s="241"/>
      <c r="AU573" s="241"/>
      <c r="AV573" s="241"/>
      <c r="AW573" s="241"/>
      <c r="AX573" s="241"/>
      <c r="AY573" s="241"/>
      <c r="AZ573" s="241"/>
      <c r="BA573" s="241"/>
      <c r="BB573" s="241"/>
      <c r="BC573" s="241"/>
      <c r="BD573" s="241"/>
      <c r="BE573" s="241"/>
      <c r="BF573" s="241"/>
      <c r="BG573" s="241"/>
      <c r="BH573" s="241"/>
      <c r="BI573" s="241"/>
      <c r="BJ573" s="241"/>
      <c r="BK573" s="241"/>
      <c r="BL573" s="241"/>
      <c r="BM573" s="241"/>
    </row>
    <row r="574" spans="1:65" ht="13.5" customHeight="1" x14ac:dyDescent="0.3">
      <c r="A574" s="241"/>
      <c r="B574" s="241"/>
      <c r="C574" s="241"/>
      <c r="D574" s="241"/>
      <c r="E574" s="241"/>
      <c r="F574" s="241"/>
      <c r="G574" s="241"/>
      <c r="H574" s="241"/>
      <c r="I574" s="241"/>
      <c r="J574" s="241"/>
      <c r="K574" s="241"/>
      <c r="L574" s="241"/>
      <c r="M574" s="241"/>
      <c r="N574" s="241"/>
      <c r="O574" s="241"/>
      <c r="P574" s="241"/>
      <c r="Q574" s="241"/>
      <c r="R574" s="241"/>
      <c r="S574" s="241"/>
      <c r="T574" s="241"/>
      <c r="U574" s="241"/>
      <c r="V574" s="241"/>
      <c r="W574" s="241"/>
      <c r="X574" s="241"/>
      <c r="Y574" s="241"/>
      <c r="Z574" s="241"/>
      <c r="AA574" s="241"/>
      <c r="AB574" s="241"/>
      <c r="AC574" s="241"/>
      <c r="AD574" s="241"/>
      <c r="AE574" s="241"/>
      <c r="AF574" s="241"/>
      <c r="AG574" s="241"/>
      <c r="AH574" s="241"/>
      <c r="AI574" s="241"/>
      <c r="AJ574" s="241"/>
      <c r="AK574" s="241"/>
      <c r="AL574" s="241"/>
      <c r="AM574" s="241"/>
      <c r="AN574" s="241"/>
      <c r="AO574" s="241"/>
      <c r="AP574" s="241"/>
      <c r="AQ574" s="241"/>
      <c r="AR574" s="241"/>
      <c r="AS574" s="241"/>
      <c r="AT574" s="241"/>
      <c r="AU574" s="241"/>
      <c r="AV574" s="241"/>
      <c r="AW574" s="241"/>
      <c r="AX574" s="241"/>
      <c r="AY574" s="241"/>
      <c r="AZ574" s="241"/>
      <c r="BA574" s="241"/>
      <c r="BB574" s="241"/>
      <c r="BC574" s="241"/>
      <c r="BD574" s="241"/>
      <c r="BE574" s="241"/>
      <c r="BF574" s="241"/>
      <c r="BG574" s="241"/>
      <c r="BH574" s="241"/>
      <c r="BI574" s="241"/>
      <c r="BJ574" s="241"/>
      <c r="BK574" s="241"/>
      <c r="BL574" s="241"/>
      <c r="BM574" s="241"/>
    </row>
    <row r="575" spans="1:65" ht="13.5" customHeight="1" x14ac:dyDescent="0.3">
      <c r="A575" s="241"/>
      <c r="B575" s="241"/>
      <c r="C575" s="241"/>
      <c r="D575" s="241"/>
      <c r="E575" s="241"/>
      <c r="F575" s="241"/>
      <c r="G575" s="241"/>
      <c r="H575" s="241"/>
      <c r="I575" s="241"/>
      <c r="J575" s="241"/>
      <c r="K575" s="241"/>
      <c r="L575" s="241"/>
      <c r="M575" s="241"/>
      <c r="N575" s="241"/>
      <c r="O575" s="241"/>
      <c r="P575" s="241"/>
      <c r="Q575" s="241"/>
      <c r="R575" s="241"/>
      <c r="S575" s="241"/>
      <c r="T575" s="241"/>
      <c r="U575" s="241"/>
      <c r="V575" s="241"/>
      <c r="W575" s="241"/>
      <c r="X575" s="241"/>
      <c r="Y575" s="241"/>
      <c r="Z575" s="241"/>
      <c r="AA575" s="241"/>
      <c r="AB575" s="241"/>
      <c r="AC575" s="241"/>
      <c r="AD575" s="241"/>
      <c r="AE575" s="241"/>
      <c r="AF575" s="241"/>
      <c r="AG575" s="241"/>
      <c r="AH575" s="241"/>
      <c r="AI575" s="241"/>
      <c r="AJ575" s="241"/>
      <c r="AK575" s="241"/>
      <c r="AL575" s="241"/>
      <c r="AM575" s="241"/>
      <c r="AN575" s="241"/>
      <c r="AO575" s="241"/>
      <c r="AP575" s="241"/>
      <c r="AQ575" s="241"/>
      <c r="AR575" s="241"/>
      <c r="AS575" s="241"/>
      <c r="AT575" s="241"/>
      <c r="AU575" s="241"/>
      <c r="AV575" s="241"/>
      <c r="AW575" s="241"/>
      <c r="AX575" s="241"/>
      <c r="AY575" s="241"/>
      <c r="AZ575" s="241"/>
      <c r="BA575" s="241"/>
      <c r="BB575" s="241"/>
      <c r="BC575" s="241"/>
      <c r="BD575" s="241"/>
      <c r="BE575" s="241"/>
      <c r="BF575" s="241"/>
      <c r="BG575" s="241"/>
      <c r="BH575" s="241"/>
      <c r="BI575" s="241"/>
      <c r="BJ575" s="241"/>
      <c r="BK575" s="241"/>
      <c r="BL575" s="241"/>
      <c r="BM575" s="241"/>
    </row>
    <row r="576" spans="1:65" ht="13.5" customHeight="1" x14ac:dyDescent="0.3">
      <c r="A576" s="241"/>
      <c r="B576" s="241"/>
      <c r="C576" s="241"/>
      <c r="D576" s="241"/>
      <c r="E576" s="241"/>
      <c r="F576" s="241"/>
      <c r="G576" s="241"/>
      <c r="H576" s="241"/>
      <c r="I576" s="241"/>
      <c r="J576" s="241"/>
      <c r="K576" s="241"/>
      <c r="L576" s="241"/>
      <c r="M576" s="241"/>
      <c r="N576" s="241"/>
      <c r="O576" s="241"/>
      <c r="P576" s="241"/>
      <c r="Q576" s="241"/>
      <c r="R576" s="241"/>
      <c r="S576" s="241"/>
      <c r="T576" s="241"/>
      <c r="U576" s="241"/>
      <c r="V576" s="241"/>
      <c r="W576" s="241"/>
      <c r="X576" s="241"/>
      <c r="Y576" s="241"/>
      <c r="Z576" s="241"/>
      <c r="AA576" s="241"/>
      <c r="AB576" s="241"/>
      <c r="AC576" s="241"/>
      <c r="AD576" s="241"/>
      <c r="AE576" s="241"/>
      <c r="AF576" s="241"/>
      <c r="AG576" s="241"/>
      <c r="AH576" s="241"/>
      <c r="AI576" s="241"/>
      <c r="AJ576" s="241"/>
      <c r="AK576" s="241"/>
      <c r="AL576" s="241"/>
      <c r="AM576" s="241"/>
      <c r="AN576" s="241"/>
      <c r="AO576" s="241"/>
      <c r="AP576" s="241"/>
      <c r="AQ576" s="241"/>
      <c r="AR576" s="241"/>
      <c r="AS576" s="241"/>
      <c r="AT576" s="241"/>
      <c r="AU576" s="241"/>
      <c r="AV576" s="241"/>
      <c r="AW576" s="241"/>
      <c r="AX576" s="241"/>
      <c r="AY576" s="241"/>
      <c r="AZ576" s="241"/>
      <c r="BA576" s="241"/>
      <c r="BB576" s="241"/>
      <c r="BC576" s="241"/>
      <c r="BD576" s="241"/>
      <c r="BE576" s="241"/>
      <c r="BF576" s="241"/>
      <c r="BG576" s="241"/>
      <c r="BH576" s="241"/>
      <c r="BI576" s="241"/>
      <c r="BJ576" s="241"/>
      <c r="BK576" s="241"/>
      <c r="BL576" s="241"/>
      <c r="BM576" s="241"/>
    </row>
    <row r="577" spans="1:65" ht="13.5" customHeight="1" x14ac:dyDescent="0.3">
      <c r="A577" s="241"/>
      <c r="B577" s="241"/>
      <c r="C577" s="241"/>
      <c r="D577" s="241"/>
      <c r="E577" s="241"/>
      <c r="F577" s="241"/>
      <c r="G577" s="241"/>
      <c r="H577" s="241"/>
      <c r="I577" s="241"/>
      <c r="J577" s="241"/>
      <c r="K577" s="241"/>
      <c r="L577" s="241"/>
      <c r="M577" s="241"/>
      <c r="N577" s="241"/>
      <c r="O577" s="241"/>
      <c r="P577" s="241"/>
      <c r="Q577" s="241"/>
      <c r="R577" s="241"/>
      <c r="S577" s="241"/>
      <c r="T577" s="241"/>
      <c r="U577" s="241"/>
      <c r="V577" s="241"/>
      <c r="W577" s="241"/>
      <c r="X577" s="241"/>
      <c r="Y577" s="241"/>
      <c r="Z577" s="241"/>
      <c r="AA577" s="241"/>
      <c r="AB577" s="241"/>
      <c r="AC577" s="241"/>
      <c r="AD577" s="241"/>
      <c r="AE577" s="241"/>
      <c r="AF577" s="241"/>
      <c r="AG577" s="241"/>
      <c r="AH577" s="241"/>
      <c r="AI577" s="241"/>
      <c r="AJ577" s="241"/>
      <c r="AK577" s="241"/>
      <c r="AL577" s="241"/>
      <c r="AM577" s="241"/>
      <c r="AN577" s="241"/>
      <c r="AO577" s="241"/>
      <c r="AP577" s="241"/>
      <c r="AQ577" s="241"/>
      <c r="AR577" s="241"/>
      <c r="AS577" s="241"/>
      <c r="AT577" s="241"/>
      <c r="AU577" s="241"/>
      <c r="AV577" s="241"/>
      <c r="AW577" s="241"/>
      <c r="AX577" s="241"/>
      <c r="AY577" s="241"/>
      <c r="AZ577" s="241"/>
      <c r="BA577" s="241"/>
      <c r="BB577" s="241"/>
      <c r="BC577" s="241"/>
      <c r="BD577" s="241"/>
      <c r="BE577" s="241"/>
      <c r="BF577" s="241"/>
      <c r="BG577" s="241"/>
      <c r="BH577" s="241"/>
      <c r="BI577" s="241"/>
      <c r="BJ577" s="241"/>
      <c r="BK577" s="241"/>
      <c r="BL577" s="241"/>
      <c r="BM577" s="241"/>
    </row>
    <row r="578" spans="1:65" ht="13.5" customHeight="1" x14ac:dyDescent="0.3">
      <c r="A578" s="241"/>
      <c r="B578" s="241"/>
      <c r="C578" s="241"/>
      <c r="D578" s="241"/>
      <c r="E578" s="241"/>
      <c r="F578" s="241"/>
      <c r="G578" s="241"/>
      <c r="H578" s="241"/>
      <c r="I578" s="241"/>
      <c r="J578" s="241"/>
      <c r="K578" s="241"/>
      <c r="L578" s="241"/>
      <c r="M578" s="241"/>
      <c r="N578" s="241"/>
      <c r="O578" s="241"/>
      <c r="P578" s="241"/>
      <c r="Q578" s="241"/>
      <c r="R578" s="241"/>
      <c r="S578" s="241"/>
      <c r="T578" s="241"/>
      <c r="U578" s="241"/>
      <c r="V578" s="241"/>
      <c r="W578" s="241"/>
      <c r="X578" s="241"/>
      <c r="Y578" s="241"/>
      <c r="Z578" s="241"/>
      <c r="AA578" s="241"/>
      <c r="AB578" s="241"/>
      <c r="AC578" s="241"/>
      <c r="AD578" s="241"/>
      <c r="AE578" s="241"/>
      <c r="AF578" s="241"/>
      <c r="AG578" s="241"/>
      <c r="AH578" s="241"/>
      <c r="AI578" s="241"/>
      <c r="AJ578" s="241"/>
      <c r="AK578" s="241"/>
      <c r="AL578" s="241"/>
      <c r="AM578" s="241"/>
      <c r="AN578" s="241"/>
      <c r="AO578" s="241"/>
      <c r="AP578" s="241"/>
      <c r="AQ578" s="241"/>
      <c r="AR578" s="241"/>
      <c r="AS578" s="241"/>
      <c r="AT578" s="241"/>
      <c r="AU578" s="241"/>
      <c r="AV578" s="241"/>
      <c r="AW578" s="241"/>
      <c r="AX578" s="241"/>
      <c r="AY578" s="241"/>
      <c r="AZ578" s="241"/>
      <c r="BA578" s="241"/>
      <c r="BB578" s="241"/>
      <c r="BC578" s="241"/>
      <c r="BD578" s="241"/>
      <c r="BE578" s="241"/>
      <c r="BF578" s="241"/>
      <c r="BG578" s="241"/>
      <c r="BH578" s="241"/>
      <c r="BI578" s="241"/>
      <c r="BJ578" s="241"/>
      <c r="BK578" s="241"/>
      <c r="BL578" s="241"/>
      <c r="BM578" s="241"/>
    </row>
    <row r="579" spans="1:65" ht="13.5" customHeight="1" x14ac:dyDescent="0.3">
      <c r="A579" s="241"/>
      <c r="B579" s="241"/>
      <c r="C579" s="241"/>
      <c r="D579" s="241"/>
      <c r="E579" s="241"/>
      <c r="F579" s="241"/>
      <c r="G579" s="241"/>
      <c r="H579" s="241"/>
      <c r="I579" s="241"/>
      <c r="J579" s="241"/>
      <c r="K579" s="241"/>
      <c r="L579" s="241"/>
      <c r="M579" s="241"/>
      <c r="N579" s="241"/>
      <c r="O579" s="241"/>
      <c r="P579" s="241"/>
      <c r="Q579" s="241"/>
      <c r="R579" s="241"/>
      <c r="S579" s="241"/>
      <c r="T579" s="241"/>
      <c r="U579" s="241"/>
      <c r="V579" s="241"/>
      <c r="W579" s="241"/>
      <c r="X579" s="241"/>
      <c r="Y579" s="241"/>
      <c r="Z579" s="241"/>
      <c r="AA579" s="241"/>
      <c r="AB579" s="241"/>
      <c r="AC579" s="241"/>
      <c r="AD579" s="241"/>
      <c r="AE579" s="241"/>
      <c r="AF579" s="241"/>
      <c r="AG579" s="241"/>
      <c r="AH579" s="241"/>
      <c r="AI579" s="241"/>
      <c r="AJ579" s="241"/>
      <c r="AK579" s="241"/>
      <c r="AL579" s="241"/>
      <c r="AM579" s="241"/>
      <c r="AN579" s="241"/>
      <c r="AO579" s="241"/>
      <c r="AP579" s="241"/>
      <c r="AQ579" s="241"/>
      <c r="AR579" s="241"/>
      <c r="AS579" s="241"/>
      <c r="AT579" s="241"/>
      <c r="AU579" s="241"/>
      <c r="AV579" s="241"/>
      <c r="AW579" s="241"/>
      <c r="AX579" s="241"/>
      <c r="AY579" s="241"/>
      <c r="AZ579" s="241"/>
      <c r="BA579" s="241"/>
      <c r="BB579" s="241"/>
      <c r="BC579" s="241"/>
      <c r="BD579" s="241"/>
      <c r="BE579" s="241"/>
      <c r="BF579" s="241"/>
      <c r="BG579" s="241"/>
      <c r="BH579" s="241"/>
      <c r="BI579" s="241"/>
      <c r="BJ579" s="241"/>
      <c r="BK579" s="241"/>
      <c r="BL579" s="241"/>
      <c r="BM579" s="241"/>
    </row>
    <row r="580" spans="1:65" ht="13.5" customHeight="1" x14ac:dyDescent="0.3">
      <c r="A580" s="241"/>
      <c r="B580" s="241"/>
      <c r="C580" s="241"/>
      <c r="D580" s="241"/>
      <c r="E580" s="241"/>
      <c r="F580" s="241"/>
      <c r="G580" s="241"/>
      <c r="H580" s="241"/>
      <c r="I580" s="241"/>
      <c r="J580" s="241"/>
      <c r="K580" s="241"/>
      <c r="L580" s="241"/>
      <c r="M580" s="241"/>
      <c r="N580" s="241"/>
      <c r="O580" s="241"/>
      <c r="P580" s="241"/>
      <c r="Q580" s="241"/>
      <c r="R580" s="241"/>
      <c r="S580" s="241"/>
      <c r="T580" s="241"/>
      <c r="U580" s="241"/>
      <c r="V580" s="241"/>
      <c r="W580" s="241"/>
      <c r="X580" s="241"/>
      <c r="Y580" s="241"/>
      <c r="Z580" s="241"/>
      <c r="AA580" s="241"/>
      <c r="AB580" s="241"/>
      <c r="AC580" s="241"/>
      <c r="AD580" s="241"/>
      <c r="AE580" s="241"/>
      <c r="AF580" s="241"/>
      <c r="AG580" s="241"/>
      <c r="AH580" s="241"/>
      <c r="AI580" s="241"/>
      <c r="AJ580" s="241"/>
      <c r="AK580" s="241"/>
      <c r="AL580" s="241"/>
      <c r="AM580" s="241"/>
      <c r="AN580" s="241"/>
      <c r="AO580" s="241"/>
      <c r="AP580" s="241"/>
      <c r="AQ580" s="241"/>
      <c r="AR580" s="241"/>
      <c r="AS580" s="241"/>
      <c r="AT580" s="241"/>
      <c r="AU580" s="241"/>
      <c r="AV580" s="241"/>
      <c r="AW580" s="241"/>
      <c r="AX580" s="241"/>
      <c r="AY580" s="241"/>
      <c r="AZ580" s="241"/>
      <c r="BA580" s="241"/>
      <c r="BB580" s="241"/>
      <c r="BC580" s="241"/>
      <c r="BD580" s="241"/>
      <c r="BE580" s="241"/>
      <c r="BF580" s="241"/>
      <c r="BG580" s="241"/>
      <c r="BH580" s="241"/>
      <c r="BI580" s="241"/>
      <c r="BJ580" s="241"/>
      <c r="BK580" s="241"/>
      <c r="BL580" s="241"/>
      <c r="BM580" s="241"/>
    </row>
    <row r="581" spans="1:65" ht="13.5" customHeight="1" x14ac:dyDescent="0.3">
      <c r="A581" s="241"/>
      <c r="B581" s="241"/>
      <c r="C581" s="241"/>
      <c r="D581" s="241"/>
      <c r="E581" s="241"/>
      <c r="F581" s="241"/>
      <c r="G581" s="241"/>
      <c r="H581" s="241"/>
      <c r="I581" s="241"/>
      <c r="J581" s="241"/>
      <c r="K581" s="241"/>
      <c r="L581" s="241"/>
      <c r="M581" s="241"/>
      <c r="N581" s="241"/>
      <c r="O581" s="241"/>
      <c r="P581" s="241"/>
      <c r="Q581" s="241"/>
      <c r="R581" s="241"/>
      <c r="S581" s="241"/>
      <c r="T581" s="241"/>
      <c r="U581" s="241"/>
      <c r="V581" s="241"/>
      <c r="W581" s="241"/>
      <c r="X581" s="241"/>
      <c r="Y581" s="241"/>
      <c r="Z581" s="241"/>
      <c r="AA581" s="241"/>
      <c r="AB581" s="241"/>
      <c r="AC581" s="241"/>
      <c r="AD581" s="241"/>
      <c r="AE581" s="241"/>
      <c r="AF581" s="241"/>
      <c r="AG581" s="241"/>
      <c r="AH581" s="241"/>
      <c r="AI581" s="241"/>
      <c r="AJ581" s="241"/>
      <c r="AK581" s="241"/>
      <c r="AL581" s="241"/>
      <c r="AM581" s="241"/>
      <c r="AN581" s="241"/>
      <c r="AO581" s="241"/>
      <c r="AP581" s="241"/>
      <c r="AQ581" s="241"/>
      <c r="AR581" s="241"/>
      <c r="AS581" s="241"/>
      <c r="AT581" s="241"/>
      <c r="AU581" s="241"/>
      <c r="AV581" s="241"/>
      <c r="AW581" s="241"/>
      <c r="AX581" s="241"/>
      <c r="AY581" s="241"/>
      <c r="AZ581" s="241"/>
      <c r="BA581" s="241"/>
      <c r="BB581" s="241"/>
      <c r="BC581" s="241"/>
      <c r="BD581" s="241"/>
      <c r="BE581" s="241"/>
      <c r="BF581" s="241"/>
      <c r="BG581" s="241"/>
      <c r="BH581" s="241"/>
      <c r="BI581" s="241"/>
      <c r="BJ581" s="241"/>
      <c r="BK581" s="241"/>
      <c r="BL581" s="241"/>
      <c r="BM581" s="241"/>
    </row>
    <row r="582" spans="1:65" ht="13.5" customHeight="1" x14ac:dyDescent="0.3">
      <c r="A582" s="241"/>
      <c r="B582" s="241"/>
      <c r="C582" s="241"/>
      <c r="D582" s="241"/>
      <c r="E582" s="241"/>
      <c r="F582" s="241"/>
      <c r="G582" s="241"/>
      <c r="H582" s="241"/>
      <c r="I582" s="241"/>
      <c r="J582" s="241"/>
      <c r="K582" s="241"/>
      <c r="L582" s="241"/>
      <c r="M582" s="241"/>
      <c r="N582" s="241"/>
      <c r="O582" s="241"/>
      <c r="P582" s="241"/>
      <c r="Q582" s="241"/>
      <c r="R582" s="241"/>
      <c r="S582" s="241"/>
      <c r="T582" s="241"/>
      <c r="U582" s="241"/>
      <c r="V582" s="241"/>
      <c r="W582" s="241"/>
      <c r="X582" s="241"/>
      <c r="Y582" s="241"/>
      <c r="Z582" s="241"/>
      <c r="AA582" s="241"/>
      <c r="AB582" s="241"/>
      <c r="AC582" s="241"/>
      <c r="AD582" s="241"/>
      <c r="AE582" s="241"/>
      <c r="AF582" s="241"/>
      <c r="AG582" s="241"/>
      <c r="AH582" s="241"/>
      <c r="AI582" s="241"/>
      <c r="AJ582" s="241"/>
      <c r="AK582" s="241"/>
      <c r="AL582" s="241"/>
      <c r="AM582" s="241"/>
      <c r="AN582" s="241"/>
      <c r="AO582" s="241"/>
      <c r="AP582" s="241"/>
      <c r="AQ582" s="241"/>
      <c r="AR582" s="241"/>
      <c r="AS582" s="241"/>
      <c r="AT582" s="241"/>
      <c r="AU582" s="241"/>
      <c r="AV582" s="241"/>
      <c r="AW582" s="241"/>
      <c r="AX582" s="241"/>
      <c r="AY582" s="241"/>
      <c r="AZ582" s="241"/>
      <c r="BA582" s="241"/>
      <c r="BB582" s="241"/>
      <c r="BC582" s="241"/>
      <c r="BD582" s="241"/>
      <c r="BE582" s="241"/>
      <c r="BF582" s="241"/>
      <c r="BG582" s="241"/>
      <c r="BH582" s="241"/>
      <c r="BI582" s="241"/>
      <c r="BJ582" s="241"/>
      <c r="BK582" s="241"/>
      <c r="BL582" s="241"/>
      <c r="BM582" s="241"/>
    </row>
    <row r="583" spans="1:65" ht="13.5" customHeight="1" x14ac:dyDescent="0.3">
      <c r="A583" s="241"/>
      <c r="B583" s="241"/>
      <c r="C583" s="241"/>
      <c r="D583" s="241"/>
      <c r="E583" s="241"/>
      <c r="F583" s="241"/>
      <c r="G583" s="241"/>
      <c r="H583" s="241"/>
      <c r="I583" s="241"/>
      <c r="J583" s="241"/>
      <c r="K583" s="241"/>
      <c r="L583" s="241"/>
      <c r="M583" s="241"/>
      <c r="N583" s="241"/>
      <c r="O583" s="241"/>
      <c r="P583" s="241"/>
      <c r="Q583" s="241"/>
      <c r="R583" s="241"/>
      <c r="S583" s="241"/>
      <c r="T583" s="241"/>
      <c r="U583" s="241"/>
      <c r="V583" s="241"/>
      <c r="W583" s="241"/>
      <c r="X583" s="241"/>
      <c r="Y583" s="241"/>
      <c r="Z583" s="241"/>
      <c r="AA583" s="241"/>
      <c r="AB583" s="241"/>
      <c r="AC583" s="241"/>
      <c r="AD583" s="241"/>
      <c r="AE583" s="241"/>
      <c r="AF583" s="241"/>
      <c r="AG583" s="241"/>
      <c r="AH583" s="241"/>
      <c r="AI583" s="241"/>
      <c r="AJ583" s="241"/>
      <c r="AK583" s="241"/>
      <c r="AL583" s="241"/>
      <c r="AM583" s="241"/>
      <c r="AN583" s="241"/>
      <c r="AO583" s="241"/>
      <c r="AP583" s="241"/>
      <c r="AQ583" s="241"/>
      <c r="AR583" s="241"/>
      <c r="AS583" s="241"/>
      <c r="AT583" s="241"/>
      <c r="AU583" s="241"/>
      <c r="AV583" s="241"/>
      <c r="AW583" s="241"/>
      <c r="AX583" s="241"/>
      <c r="AY583" s="241"/>
      <c r="AZ583" s="241"/>
      <c r="BA583" s="241"/>
      <c r="BB583" s="241"/>
      <c r="BC583" s="241"/>
      <c r="BD583" s="241"/>
      <c r="BE583" s="241"/>
      <c r="BF583" s="241"/>
      <c r="BG583" s="241"/>
      <c r="BH583" s="241"/>
      <c r="BI583" s="241"/>
      <c r="BJ583" s="241"/>
      <c r="BK583" s="241"/>
      <c r="BL583" s="241"/>
      <c r="BM583" s="241"/>
    </row>
    <row r="584" spans="1:65" ht="13.5" customHeight="1" x14ac:dyDescent="0.3">
      <c r="A584" s="241"/>
      <c r="B584" s="241"/>
      <c r="C584" s="241"/>
      <c r="D584" s="241"/>
      <c r="E584" s="241"/>
      <c r="F584" s="241"/>
      <c r="G584" s="241"/>
      <c r="H584" s="241"/>
      <c r="I584" s="241"/>
      <c r="J584" s="241"/>
      <c r="K584" s="241"/>
      <c r="L584" s="241"/>
      <c r="M584" s="241"/>
      <c r="N584" s="241"/>
      <c r="O584" s="241"/>
      <c r="P584" s="241"/>
      <c r="Q584" s="241"/>
      <c r="R584" s="241"/>
      <c r="S584" s="241"/>
      <c r="T584" s="241"/>
      <c r="U584" s="241"/>
      <c r="V584" s="241"/>
      <c r="W584" s="241"/>
      <c r="X584" s="241"/>
      <c r="Y584" s="241"/>
      <c r="Z584" s="241"/>
      <c r="AA584" s="241"/>
      <c r="AB584" s="241"/>
      <c r="AC584" s="241"/>
      <c r="AD584" s="241"/>
      <c r="AE584" s="241"/>
      <c r="AF584" s="241"/>
      <c r="AG584" s="241"/>
      <c r="AH584" s="241"/>
      <c r="AI584" s="241"/>
      <c r="AJ584" s="241"/>
      <c r="AK584" s="241"/>
      <c r="AL584" s="241"/>
      <c r="AM584" s="241"/>
      <c r="AN584" s="241"/>
      <c r="AO584" s="241"/>
      <c r="AP584" s="241"/>
      <c r="AQ584" s="241"/>
      <c r="AR584" s="241"/>
      <c r="AS584" s="241"/>
      <c r="AT584" s="241"/>
      <c r="AU584" s="241"/>
      <c r="AV584" s="241"/>
      <c r="AW584" s="241"/>
      <c r="AX584" s="241"/>
      <c r="AY584" s="241"/>
      <c r="AZ584" s="241"/>
      <c r="BA584" s="241"/>
      <c r="BB584" s="241"/>
      <c r="BC584" s="241"/>
      <c r="BD584" s="241"/>
      <c r="BE584" s="241"/>
      <c r="BF584" s="241"/>
      <c r="BG584" s="241"/>
      <c r="BH584" s="241"/>
      <c r="BI584" s="241"/>
      <c r="BJ584" s="241"/>
      <c r="BK584" s="241"/>
      <c r="BL584" s="241"/>
      <c r="BM584" s="241"/>
    </row>
    <row r="585" spans="1:65" ht="13.5" customHeight="1" x14ac:dyDescent="0.3">
      <c r="A585" s="241"/>
      <c r="B585" s="241"/>
      <c r="C585" s="241"/>
      <c r="D585" s="241"/>
      <c r="E585" s="241"/>
      <c r="F585" s="241"/>
      <c r="G585" s="241"/>
      <c r="H585" s="241"/>
      <c r="I585" s="241"/>
      <c r="J585" s="241"/>
      <c r="K585" s="241"/>
      <c r="L585" s="241"/>
      <c r="M585" s="241"/>
      <c r="N585" s="241"/>
      <c r="O585" s="241"/>
      <c r="P585" s="241"/>
      <c r="Q585" s="241"/>
      <c r="R585" s="241"/>
      <c r="S585" s="241"/>
      <c r="T585" s="241"/>
      <c r="U585" s="241"/>
      <c r="V585" s="241"/>
      <c r="W585" s="241"/>
      <c r="X585" s="241"/>
      <c r="Y585" s="241"/>
      <c r="Z585" s="241"/>
      <c r="AA585" s="241"/>
      <c r="AB585" s="241"/>
      <c r="AC585" s="241"/>
      <c r="AD585" s="241"/>
      <c r="AE585" s="241"/>
      <c r="AF585" s="241"/>
      <c r="AG585" s="241"/>
      <c r="AH585" s="241"/>
      <c r="AI585" s="241"/>
      <c r="AJ585" s="241"/>
      <c r="AK585" s="241"/>
      <c r="AL585" s="241"/>
      <c r="AM585" s="241"/>
      <c r="AN585" s="241"/>
      <c r="AO585" s="241"/>
      <c r="AP585" s="241"/>
      <c r="AQ585" s="241"/>
      <c r="AR585" s="241"/>
      <c r="AS585" s="241"/>
      <c r="AT585" s="241"/>
      <c r="AU585" s="241"/>
      <c r="AV585" s="241"/>
      <c r="AW585" s="241"/>
      <c r="AX585" s="241"/>
      <c r="AY585" s="241"/>
      <c r="AZ585" s="241"/>
      <c r="BA585" s="241"/>
      <c r="BB585" s="241"/>
      <c r="BC585" s="241"/>
      <c r="BD585" s="241"/>
      <c r="BE585" s="241"/>
      <c r="BF585" s="241"/>
      <c r="BG585" s="241"/>
      <c r="BH585" s="241"/>
      <c r="BI585" s="241"/>
      <c r="BJ585" s="241"/>
      <c r="BK585" s="241"/>
      <c r="BL585" s="241"/>
      <c r="BM585" s="241"/>
    </row>
    <row r="586" spans="1:65" ht="13.5" customHeight="1" x14ac:dyDescent="0.3">
      <c r="A586" s="241"/>
      <c r="B586" s="241"/>
      <c r="C586" s="241"/>
      <c r="D586" s="241"/>
      <c r="E586" s="241"/>
      <c r="F586" s="241"/>
      <c r="G586" s="241"/>
      <c r="H586" s="241"/>
      <c r="I586" s="241"/>
      <c r="J586" s="241"/>
      <c r="K586" s="241"/>
      <c r="L586" s="241"/>
      <c r="M586" s="241"/>
      <c r="N586" s="241"/>
      <c r="O586" s="241"/>
      <c r="P586" s="241"/>
      <c r="Q586" s="241"/>
      <c r="R586" s="241"/>
      <c r="S586" s="241"/>
      <c r="T586" s="241"/>
      <c r="U586" s="241"/>
      <c r="V586" s="241"/>
      <c r="W586" s="241"/>
      <c r="X586" s="241"/>
      <c r="Y586" s="241"/>
      <c r="Z586" s="241"/>
      <c r="AA586" s="241"/>
      <c r="AB586" s="241"/>
      <c r="AC586" s="241"/>
      <c r="AD586" s="241"/>
      <c r="AE586" s="241"/>
      <c r="AF586" s="241"/>
      <c r="AG586" s="241"/>
      <c r="AH586" s="241"/>
      <c r="AI586" s="241"/>
      <c r="AJ586" s="241"/>
      <c r="AK586" s="241"/>
      <c r="AL586" s="241"/>
      <c r="AM586" s="241"/>
      <c r="AN586" s="241"/>
      <c r="AO586" s="241"/>
      <c r="AP586" s="241"/>
      <c r="AQ586" s="241"/>
      <c r="AR586" s="241"/>
      <c r="AS586" s="241"/>
      <c r="AT586" s="241"/>
      <c r="AU586" s="241"/>
      <c r="AV586" s="241"/>
      <c r="AW586" s="241"/>
      <c r="AX586" s="241"/>
      <c r="AY586" s="241"/>
      <c r="AZ586" s="241"/>
      <c r="BA586" s="241"/>
      <c r="BB586" s="241"/>
      <c r="BC586" s="241"/>
      <c r="BD586" s="241"/>
      <c r="BE586" s="241"/>
      <c r="BF586" s="241"/>
      <c r="BG586" s="241"/>
      <c r="BH586" s="241"/>
      <c r="BI586" s="241"/>
      <c r="BJ586" s="241"/>
      <c r="BK586" s="241"/>
      <c r="BL586" s="241"/>
      <c r="BM586" s="241"/>
    </row>
    <row r="587" spans="1:65" ht="13.5" customHeight="1" x14ac:dyDescent="0.3">
      <c r="A587" s="241"/>
      <c r="B587" s="241"/>
      <c r="C587" s="241"/>
      <c r="D587" s="241"/>
      <c r="E587" s="241"/>
      <c r="F587" s="241"/>
      <c r="G587" s="241"/>
      <c r="H587" s="241"/>
      <c r="I587" s="241"/>
      <c r="J587" s="241"/>
      <c r="K587" s="241"/>
      <c r="L587" s="241"/>
      <c r="M587" s="241"/>
      <c r="N587" s="241"/>
      <c r="O587" s="241"/>
      <c r="P587" s="241"/>
      <c r="Q587" s="241"/>
      <c r="R587" s="241"/>
      <c r="S587" s="241"/>
      <c r="T587" s="241"/>
      <c r="U587" s="241"/>
      <c r="V587" s="241"/>
      <c r="W587" s="241"/>
      <c r="X587" s="241"/>
      <c r="Y587" s="241"/>
      <c r="Z587" s="241"/>
      <c r="AA587" s="241"/>
      <c r="AB587" s="241"/>
      <c r="AC587" s="241"/>
      <c r="AD587" s="241"/>
      <c r="AE587" s="241"/>
      <c r="AF587" s="241"/>
      <c r="AG587" s="241"/>
      <c r="AH587" s="241"/>
      <c r="AI587" s="241"/>
      <c r="AJ587" s="241"/>
      <c r="AK587" s="241"/>
      <c r="AL587" s="241"/>
      <c r="AM587" s="241"/>
      <c r="AN587" s="241"/>
      <c r="AO587" s="241"/>
      <c r="AP587" s="241"/>
      <c r="AQ587" s="241"/>
      <c r="AR587" s="241"/>
      <c r="AS587" s="241"/>
      <c r="AT587" s="241"/>
      <c r="AU587" s="241"/>
      <c r="AV587" s="241"/>
      <c r="AW587" s="241"/>
      <c r="AX587" s="241"/>
      <c r="AY587" s="241"/>
      <c r="AZ587" s="241"/>
      <c r="BA587" s="241"/>
      <c r="BB587" s="241"/>
      <c r="BC587" s="241"/>
      <c r="BD587" s="241"/>
      <c r="BE587" s="241"/>
      <c r="BF587" s="241"/>
      <c r="BG587" s="241"/>
      <c r="BH587" s="241"/>
      <c r="BI587" s="241"/>
      <c r="BJ587" s="241"/>
      <c r="BK587" s="241"/>
      <c r="BL587" s="241"/>
      <c r="BM587" s="241"/>
    </row>
    <row r="588" spans="1:65" ht="13.5" customHeight="1" x14ac:dyDescent="0.3">
      <c r="A588" s="241"/>
      <c r="B588" s="241"/>
      <c r="C588" s="241"/>
      <c r="D588" s="241"/>
      <c r="E588" s="241"/>
      <c r="F588" s="241"/>
      <c r="G588" s="241"/>
      <c r="H588" s="241"/>
      <c r="I588" s="241"/>
      <c r="J588" s="241"/>
      <c r="K588" s="241"/>
      <c r="L588" s="241"/>
      <c r="M588" s="241"/>
      <c r="N588" s="241"/>
      <c r="O588" s="241"/>
      <c r="P588" s="241"/>
      <c r="Q588" s="241"/>
      <c r="R588" s="241"/>
      <c r="S588" s="241"/>
      <c r="T588" s="241"/>
      <c r="U588" s="241"/>
      <c r="V588" s="241"/>
      <c r="W588" s="241"/>
      <c r="X588" s="241"/>
      <c r="Y588" s="241"/>
      <c r="Z588" s="241"/>
      <c r="AA588" s="241"/>
      <c r="AB588" s="241"/>
      <c r="AC588" s="241"/>
      <c r="AD588" s="241"/>
      <c r="AE588" s="241"/>
      <c r="AF588" s="241"/>
      <c r="AG588" s="241"/>
      <c r="AH588" s="241"/>
      <c r="AI588" s="241"/>
      <c r="AJ588" s="241"/>
      <c r="AK588" s="241"/>
      <c r="AL588" s="241"/>
      <c r="AM588" s="241"/>
      <c r="AN588" s="241"/>
      <c r="AO588" s="241"/>
      <c r="AP588" s="241"/>
      <c r="AQ588" s="241"/>
      <c r="AR588" s="241"/>
      <c r="AS588" s="241"/>
      <c r="AT588" s="241"/>
      <c r="AU588" s="241"/>
      <c r="AV588" s="241"/>
      <c r="AW588" s="241"/>
      <c r="AX588" s="241"/>
      <c r="AY588" s="241"/>
      <c r="AZ588" s="241"/>
      <c r="BA588" s="241"/>
      <c r="BB588" s="241"/>
      <c r="BC588" s="241"/>
      <c r="BD588" s="241"/>
      <c r="BE588" s="241"/>
      <c r="BF588" s="241"/>
      <c r="BG588" s="241"/>
      <c r="BH588" s="241"/>
      <c r="BI588" s="241"/>
      <c r="BJ588" s="241"/>
      <c r="BK588" s="241"/>
      <c r="BL588" s="241"/>
      <c r="BM588" s="241"/>
    </row>
    <row r="589" spans="1:65" ht="13.5" customHeight="1" x14ac:dyDescent="0.3">
      <c r="A589" s="241"/>
      <c r="B589" s="241"/>
      <c r="C589" s="241"/>
      <c r="D589" s="241"/>
      <c r="E589" s="241"/>
      <c r="F589" s="241"/>
      <c r="G589" s="241"/>
      <c r="H589" s="241"/>
      <c r="I589" s="241"/>
      <c r="J589" s="241"/>
      <c r="K589" s="241"/>
      <c r="L589" s="241"/>
      <c r="M589" s="241"/>
      <c r="N589" s="241"/>
      <c r="O589" s="241"/>
      <c r="P589" s="241"/>
      <c r="Q589" s="241"/>
      <c r="R589" s="241"/>
      <c r="S589" s="241"/>
      <c r="T589" s="241"/>
      <c r="U589" s="241"/>
      <c r="V589" s="241"/>
      <c r="W589" s="241"/>
      <c r="X589" s="241"/>
      <c r="Y589" s="241"/>
      <c r="Z589" s="241"/>
      <c r="AA589" s="241"/>
      <c r="AB589" s="241"/>
      <c r="AC589" s="241"/>
      <c r="AD589" s="241"/>
      <c r="AE589" s="241"/>
      <c r="AF589" s="241"/>
      <c r="AG589" s="241"/>
      <c r="AH589" s="241"/>
      <c r="AI589" s="241"/>
      <c r="AJ589" s="241"/>
      <c r="AK589" s="241"/>
      <c r="AL589" s="241"/>
      <c r="AM589" s="241"/>
      <c r="AN589" s="241"/>
      <c r="AO589" s="241"/>
      <c r="AP589" s="241"/>
      <c r="AQ589" s="241"/>
      <c r="AR589" s="241"/>
      <c r="AS589" s="241"/>
      <c r="AT589" s="241"/>
      <c r="AU589" s="241"/>
      <c r="AV589" s="241"/>
      <c r="AW589" s="241"/>
      <c r="AX589" s="241"/>
      <c r="AY589" s="241"/>
      <c r="AZ589" s="241"/>
      <c r="BA589" s="241"/>
      <c r="BB589" s="241"/>
      <c r="BC589" s="241"/>
      <c r="BD589" s="241"/>
      <c r="BE589" s="241"/>
      <c r="BF589" s="241"/>
      <c r="BG589" s="241"/>
      <c r="BH589" s="241"/>
      <c r="BI589" s="241"/>
      <c r="BJ589" s="241"/>
      <c r="BK589" s="241"/>
      <c r="BL589" s="241"/>
      <c r="BM589" s="241"/>
    </row>
    <row r="590" spans="1:65" ht="13.5" customHeight="1" x14ac:dyDescent="0.3">
      <c r="A590" s="241"/>
      <c r="B590" s="241"/>
      <c r="C590" s="241"/>
      <c r="D590" s="241"/>
      <c r="E590" s="241"/>
      <c r="F590" s="241"/>
      <c r="G590" s="241"/>
      <c r="H590" s="241"/>
      <c r="I590" s="241"/>
      <c r="J590" s="241"/>
      <c r="K590" s="241"/>
      <c r="L590" s="241"/>
      <c r="M590" s="241"/>
      <c r="N590" s="241"/>
      <c r="O590" s="241"/>
      <c r="P590" s="241"/>
      <c r="Q590" s="241"/>
      <c r="R590" s="241"/>
      <c r="S590" s="241"/>
      <c r="T590" s="241"/>
      <c r="U590" s="241"/>
      <c r="V590" s="241"/>
      <c r="W590" s="241"/>
      <c r="X590" s="241"/>
      <c r="Y590" s="241"/>
      <c r="Z590" s="241"/>
      <c r="AA590" s="241"/>
      <c r="AB590" s="241"/>
      <c r="AC590" s="241"/>
      <c r="AD590" s="241"/>
      <c r="AE590" s="241"/>
      <c r="AF590" s="241"/>
      <c r="AG590" s="241"/>
      <c r="AH590" s="241"/>
      <c r="AI590" s="241"/>
      <c r="AJ590" s="241"/>
      <c r="AK590" s="241"/>
      <c r="AL590" s="241"/>
      <c r="AM590" s="241"/>
      <c r="AN590" s="241"/>
      <c r="AO590" s="241"/>
      <c r="AP590" s="241"/>
      <c r="AQ590" s="241"/>
      <c r="AR590" s="241"/>
      <c r="AS590" s="241"/>
      <c r="AT590" s="241"/>
      <c r="AU590" s="241"/>
      <c r="AV590" s="241"/>
      <c r="AW590" s="241"/>
      <c r="AX590" s="241"/>
      <c r="AY590" s="241"/>
      <c r="AZ590" s="241"/>
      <c r="BA590" s="241"/>
      <c r="BB590" s="241"/>
      <c r="BC590" s="241"/>
      <c r="BD590" s="241"/>
      <c r="BE590" s="241"/>
      <c r="BF590" s="241"/>
      <c r="BG590" s="241"/>
      <c r="BH590" s="241"/>
      <c r="BI590" s="241"/>
      <c r="BJ590" s="241"/>
      <c r="BK590" s="241"/>
      <c r="BL590" s="241"/>
      <c r="BM590" s="241"/>
    </row>
    <row r="591" spans="1:65" ht="13.5" customHeight="1" x14ac:dyDescent="0.3">
      <c r="A591" s="241"/>
      <c r="B591" s="241"/>
      <c r="C591" s="241"/>
      <c r="D591" s="241"/>
      <c r="E591" s="241"/>
      <c r="F591" s="241"/>
      <c r="G591" s="241"/>
      <c r="H591" s="241"/>
      <c r="I591" s="241"/>
      <c r="J591" s="241"/>
      <c r="K591" s="241"/>
      <c r="L591" s="241"/>
      <c r="M591" s="241"/>
      <c r="N591" s="241"/>
      <c r="O591" s="241"/>
      <c r="P591" s="241"/>
      <c r="Q591" s="241"/>
      <c r="R591" s="241"/>
      <c r="S591" s="241"/>
      <c r="T591" s="241"/>
      <c r="U591" s="241"/>
      <c r="V591" s="241"/>
      <c r="W591" s="241"/>
      <c r="X591" s="241"/>
      <c r="Y591" s="241"/>
      <c r="Z591" s="241"/>
      <c r="AA591" s="241"/>
      <c r="AB591" s="241"/>
      <c r="AC591" s="241"/>
      <c r="AD591" s="241"/>
      <c r="AE591" s="241"/>
      <c r="AF591" s="241"/>
      <c r="AG591" s="241"/>
      <c r="AH591" s="241"/>
      <c r="AI591" s="241"/>
      <c r="AJ591" s="241"/>
      <c r="AK591" s="241"/>
      <c r="AL591" s="241"/>
      <c r="AM591" s="241"/>
      <c r="AN591" s="241"/>
      <c r="AO591" s="241"/>
      <c r="AP591" s="241"/>
      <c r="AQ591" s="241"/>
      <c r="AR591" s="241"/>
      <c r="AS591" s="241"/>
      <c r="AT591" s="241"/>
      <c r="AU591" s="241"/>
      <c r="AV591" s="241"/>
      <c r="AW591" s="241"/>
      <c r="AX591" s="241"/>
      <c r="AY591" s="241"/>
      <c r="AZ591" s="241"/>
      <c r="BA591" s="241"/>
      <c r="BB591" s="241"/>
      <c r="BC591" s="241"/>
      <c r="BD591" s="241"/>
      <c r="BE591" s="241"/>
      <c r="BF591" s="241"/>
      <c r="BG591" s="241"/>
      <c r="BH591" s="241"/>
      <c r="BI591" s="241"/>
      <c r="BJ591" s="241"/>
      <c r="BK591" s="241"/>
      <c r="BL591" s="241"/>
      <c r="BM591" s="241"/>
    </row>
    <row r="592" spans="1:65" ht="13.5" customHeight="1" x14ac:dyDescent="0.3">
      <c r="A592" s="241"/>
      <c r="B592" s="241"/>
      <c r="C592" s="241"/>
      <c r="D592" s="241"/>
      <c r="E592" s="241"/>
      <c r="F592" s="241"/>
      <c r="G592" s="241"/>
      <c r="H592" s="241"/>
      <c r="I592" s="241"/>
      <c r="J592" s="241"/>
      <c r="K592" s="241"/>
      <c r="L592" s="241"/>
      <c r="M592" s="241"/>
      <c r="N592" s="241"/>
      <c r="O592" s="241"/>
      <c r="P592" s="241"/>
      <c r="Q592" s="241"/>
      <c r="R592" s="241"/>
      <c r="S592" s="241"/>
      <c r="T592" s="241"/>
      <c r="U592" s="241"/>
      <c r="V592" s="241"/>
      <c r="W592" s="241"/>
      <c r="X592" s="241"/>
      <c r="Y592" s="241"/>
      <c r="Z592" s="241"/>
      <c r="AA592" s="241"/>
      <c r="AB592" s="241"/>
      <c r="AC592" s="241"/>
      <c r="AD592" s="241"/>
      <c r="AE592" s="241"/>
      <c r="AF592" s="241"/>
      <c r="AG592" s="241"/>
      <c r="AH592" s="241"/>
      <c r="AI592" s="241"/>
      <c r="AJ592" s="241"/>
      <c r="AK592" s="241"/>
      <c r="AL592" s="241"/>
      <c r="AM592" s="241"/>
      <c r="AN592" s="241"/>
      <c r="AO592" s="241"/>
      <c r="AP592" s="241"/>
      <c r="AQ592" s="241"/>
      <c r="AR592" s="241"/>
      <c r="AS592" s="241"/>
      <c r="AT592" s="241"/>
      <c r="AU592" s="241"/>
      <c r="AV592" s="241"/>
      <c r="AW592" s="241"/>
      <c r="AX592" s="241"/>
      <c r="AY592" s="241"/>
      <c r="AZ592" s="241"/>
      <c r="BA592" s="241"/>
      <c r="BB592" s="241"/>
      <c r="BC592" s="241"/>
      <c r="BD592" s="241"/>
      <c r="BE592" s="241"/>
      <c r="BF592" s="241"/>
      <c r="BG592" s="241"/>
      <c r="BH592" s="241"/>
      <c r="BI592" s="241"/>
      <c r="BJ592" s="241"/>
      <c r="BK592" s="241"/>
      <c r="BL592" s="241"/>
      <c r="BM592" s="241"/>
    </row>
    <row r="593" spans="1:65" ht="13.5" customHeight="1" x14ac:dyDescent="0.3">
      <c r="A593" s="241"/>
      <c r="B593" s="241"/>
      <c r="C593" s="241"/>
      <c r="D593" s="241"/>
      <c r="E593" s="241"/>
      <c r="F593" s="241"/>
      <c r="G593" s="241"/>
      <c r="H593" s="241"/>
      <c r="I593" s="241"/>
      <c r="J593" s="241"/>
      <c r="K593" s="241"/>
      <c r="L593" s="241"/>
      <c r="M593" s="241"/>
      <c r="N593" s="241"/>
      <c r="O593" s="241"/>
      <c r="P593" s="241"/>
      <c r="Q593" s="241"/>
      <c r="R593" s="241"/>
      <c r="S593" s="241"/>
      <c r="T593" s="241"/>
      <c r="U593" s="241"/>
      <c r="V593" s="241"/>
      <c r="W593" s="241"/>
      <c r="X593" s="241"/>
      <c r="Y593" s="241"/>
      <c r="Z593" s="241"/>
      <c r="AA593" s="241"/>
      <c r="AB593" s="241"/>
      <c r="AC593" s="241"/>
      <c r="AD593" s="241"/>
      <c r="AE593" s="241"/>
      <c r="AF593" s="241"/>
      <c r="AG593" s="241"/>
      <c r="AH593" s="241"/>
      <c r="AI593" s="241"/>
      <c r="AJ593" s="241"/>
      <c r="AK593" s="241"/>
      <c r="AL593" s="241"/>
      <c r="AM593" s="241"/>
      <c r="AN593" s="241"/>
      <c r="AO593" s="241"/>
      <c r="AP593" s="241"/>
      <c r="AQ593" s="241"/>
      <c r="AR593" s="241"/>
      <c r="AS593" s="241"/>
      <c r="AT593" s="241"/>
      <c r="AU593" s="241"/>
      <c r="AV593" s="241"/>
      <c r="AW593" s="241"/>
      <c r="AX593" s="241"/>
      <c r="AY593" s="241"/>
      <c r="AZ593" s="241"/>
      <c r="BA593" s="241"/>
      <c r="BB593" s="241"/>
      <c r="BC593" s="241"/>
      <c r="BD593" s="241"/>
      <c r="BE593" s="241"/>
      <c r="BF593" s="241"/>
      <c r="BG593" s="241"/>
      <c r="BH593" s="241"/>
      <c r="BI593" s="241"/>
      <c r="BJ593" s="241"/>
      <c r="BK593" s="241"/>
      <c r="BL593" s="241"/>
      <c r="BM593" s="241"/>
    </row>
    <row r="594" spans="1:65" ht="13.5" customHeight="1" x14ac:dyDescent="0.3">
      <c r="A594" s="241"/>
      <c r="B594" s="241"/>
      <c r="C594" s="241"/>
      <c r="D594" s="241"/>
      <c r="E594" s="241"/>
      <c r="F594" s="241"/>
      <c r="G594" s="241"/>
      <c r="H594" s="241"/>
      <c r="I594" s="241"/>
      <c r="J594" s="241"/>
      <c r="K594" s="241"/>
      <c r="L594" s="241"/>
      <c r="M594" s="241"/>
      <c r="N594" s="241"/>
      <c r="O594" s="241"/>
      <c r="P594" s="241"/>
      <c r="Q594" s="241"/>
      <c r="R594" s="241"/>
      <c r="S594" s="241"/>
      <c r="T594" s="241"/>
      <c r="U594" s="241"/>
      <c r="V594" s="241"/>
      <c r="W594" s="241"/>
      <c r="X594" s="241"/>
      <c r="Y594" s="241"/>
      <c r="Z594" s="241"/>
      <c r="AA594" s="241"/>
      <c r="AB594" s="241"/>
      <c r="AC594" s="241"/>
      <c r="AD594" s="241"/>
      <c r="AE594" s="241"/>
      <c r="AF594" s="241"/>
      <c r="AG594" s="241"/>
      <c r="AH594" s="241"/>
      <c r="AI594" s="241"/>
      <c r="AJ594" s="241"/>
      <c r="AK594" s="241"/>
      <c r="AL594" s="241"/>
      <c r="AM594" s="241"/>
      <c r="AN594" s="241"/>
      <c r="AO594" s="241"/>
      <c r="AP594" s="241"/>
      <c r="AQ594" s="241"/>
      <c r="AR594" s="241"/>
      <c r="AS594" s="241"/>
      <c r="AT594" s="241"/>
      <c r="AU594" s="241"/>
      <c r="AV594" s="241"/>
      <c r="AW594" s="241"/>
      <c r="AX594" s="241"/>
      <c r="AY594" s="241"/>
      <c r="AZ594" s="241"/>
      <c r="BA594" s="241"/>
      <c r="BB594" s="241"/>
      <c r="BC594" s="241"/>
      <c r="BD594" s="241"/>
      <c r="BE594" s="241"/>
      <c r="BF594" s="241"/>
      <c r="BG594" s="241"/>
      <c r="BH594" s="241"/>
      <c r="BI594" s="241"/>
      <c r="BJ594" s="241"/>
      <c r="BK594" s="241"/>
      <c r="BL594" s="241"/>
      <c r="BM594" s="241"/>
    </row>
    <row r="595" spans="1:65" ht="13.5" customHeight="1" x14ac:dyDescent="0.3">
      <c r="A595" s="241"/>
      <c r="B595" s="241"/>
      <c r="C595" s="241"/>
      <c r="D595" s="241"/>
      <c r="E595" s="241"/>
      <c r="F595" s="241"/>
      <c r="G595" s="241"/>
      <c r="H595" s="241"/>
      <c r="I595" s="241"/>
      <c r="J595" s="241"/>
      <c r="K595" s="241"/>
      <c r="L595" s="241"/>
      <c r="M595" s="241"/>
      <c r="N595" s="241"/>
      <c r="O595" s="241"/>
      <c r="P595" s="241"/>
      <c r="Q595" s="241"/>
      <c r="R595" s="241"/>
      <c r="S595" s="241"/>
      <c r="T595" s="241"/>
      <c r="U595" s="241"/>
      <c r="V595" s="241"/>
      <c r="W595" s="241"/>
      <c r="X595" s="241"/>
      <c r="Y595" s="241"/>
      <c r="Z595" s="241"/>
      <c r="AA595" s="241"/>
      <c r="AB595" s="241"/>
      <c r="AC595" s="241"/>
      <c r="AD595" s="241"/>
      <c r="AE595" s="241"/>
      <c r="AF595" s="241"/>
      <c r="AG595" s="241"/>
      <c r="AH595" s="241"/>
      <c r="AI595" s="241"/>
      <c r="AJ595" s="241"/>
      <c r="AK595" s="241"/>
      <c r="AL595" s="241"/>
      <c r="AM595" s="241"/>
      <c r="AN595" s="241"/>
      <c r="AO595" s="241"/>
      <c r="AP595" s="241"/>
      <c r="AQ595" s="241"/>
      <c r="AR595" s="241"/>
      <c r="AS595" s="241"/>
      <c r="AT595" s="241"/>
      <c r="AU595" s="241"/>
      <c r="AV595" s="241"/>
      <c r="AW595" s="241"/>
      <c r="AX595" s="241"/>
      <c r="AY595" s="241"/>
      <c r="AZ595" s="241"/>
      <c r="BA595" s="241"/>
      <c r="BB595" s="241"/>
      <c r="BC595" s="241"/>
      <c r="BD595" s="241"/>
      <c r="BE595" s="241"/>
      <c r="BF595" s="241"/>
      <c r="BG595" s="241"/>
      <c r="BH595" s="241"/>
      <c r="BI595" s="241"/>
      <c r="BJ595" s="241"/>
      <c r="BK595" s="241"/>
      <c r="BL595" s="241"/>
      <c r="BM595" s="241"/>
    </row>
    <row r="596" spans="1:65" ht="13.5" customHeight="1" x14ac:dyDescent="0.3">
      <c r="A596" s="241"/>
      <c r="B596" s="241"/>
      <c r="C596" s="241"/>
      <c r="D596" s="241"/>
      <c r="E596" s="241"/>
      <c r="F596" s="241"/>
      <c r="G596" s="241"/>
      <c r="H596" s="241"/>
      <c r="I596" s="241"/>
      <c r="J596" s="241"/>
      <c r="K596" s="241"/>
      <c r="L596" s="241"/>
      <c r="M596" s="241"/>
      <c r="N596" s="241"/>
      <c r="O596" s="241"/>
      <c r="P596" s="241"/>
      <c r="Q596" s="241"/>
      <c r="R596" s="241"/>
      <c r="S596" s="241"/>
      <c r="T596" s="241"/>
      <c r="U596" s="241"/>
      <c r="V596" s="241"/>
      <c r="W596" s="241"/>
      <c r="X596" s="241"/>
      <c r="Y596" s="241"/>
      <c r="Z596" s="241"/>
      <c r="AA596" s="241"/>
      <c r="AB596" s="241"/>
      <c r="AC596" s="241"/>
      <c r="AD596" s="241"/>
      <c r="AE596" s="241"/>
      <c r="AF596" s="241"/>
      <c r="AG596" s="241"/>
      <c r="AH596" s="241"/>
      <c r="AI596" s="241"/>
      <c r="AJ596" s="241"/>
      <c r="AK596" s="241"/>
      <c r="AL596" s="241"/>
      <c r="AM596" s="241"/>
      <c r="AN596" s="241"/>
      <c r="AO596" s="241"/>
      <c r="AP596" s="241"/>
      <c r="AQ596" s="241"/>
      <c r="AR596" s="241"/>
      <c r="AS596" s="241"/>
      <c r="AT596" s="241"/>
      <c r="AU596" s="241"/>
      <c r="AV596" s="241"/>
      <c r="AW596" s="241"/>
      <c r="AX596" s="241"/>
      <c r="AY596" s="241"/>
      <c r="AZ596" s="241"/>
      <c r="BA596" s="241"/>
      <c r="BB596" s="241"/>
      <c r="BC596" s="241"/>
      <c r="BD596" s="241"/>
      <c r="BE596" s="241"/>
      <c r="BF596" s="241"/>
      <c r="BG596" s="241"/>
      <c r="BH596" s="241"/>
      <c r="BI596" s="241"/>
      <c r="BJ596" s="241"/>
      <c r="BK596" s="241"/>
      <c r="BL596" s="241"/>
      <c r="BM596" s="241"/>
    </row>
    <row r="597" spans="1:65" ht="13.5" customHeight="1" x14ac:dyDescent="0.3">
      <c r="A597" s="241"/>
      <c r="B597" s="241"/>
      <c r="C597" s="241"/>
      <c r="D597" s="241"/>
      <c r="E597" s="241"/>
      <c r="F597" s="241"/>
      <c r="G597" s="241"/>
      <c r="H597" s="241"/>
      <c r="I597" s="241"/>
      <c r="J597" s="241"/>
      <c r="K597" s="241"/>
      <c r="L597" s="241"/>
      <c r="M597" s="241"/>
      <c r="N597" s="241"/>
      <c r="O597" s="241"/>
      <c r="P597" s="241"/>
      <c r="Q597" s="241"/>
      <c r="R597" s="241"/>
      <c r="S597" s="241"/>
      <c r="T597" s="241"/>
      <c r="U597" s="241"/>
      <c r="V597" s="241"/>
      <c r="W597" s="241"/>
      <c r="X597" s="241"/>
      <c r="Y597" s="241"/>
      <c r="Z597" s="241"/>
      <c r="AA597" s="241"/>
      <c r="AB597" s="241"/>
      <c r="AC597" s="241"/>
      <c r="AD597" s="241"/>
      <c r="AE597" s="241"/>
      <c r="AF597" s="241"/>
      <c r="AG597" s="241"/>
      <c r="AH597" s="241"/>
      <c r="AI597" s="241"/>
      <c r="AJ597" s="241"/>
      <c r="AK597" s="241"/>
      <c r="AL597" s="241"/>
      <c r="AM597" s="241"/>
      <c r="AN597" s="241"/>
      <c r="AO597" s="241"/>
      <c r="AP597" s="241"/>
      <c r="AQ597" s="241"/>
      <c r="AR597" s="241"/>
      <c r="AS597" s="241"/>
      <c r="AT597" s="241"/>
      <c r="AU597" s="241"/>
      <c r="AV597" s="241"/>
      <c r="AW597" s="241"/>
      <c r="AX597" s="241"/>
      <c r="AY597" s="241"/>
      <c r="AZ597" s="241"/>
      <c r="BA597" s="241"/>
      <c r="BB597" s="241"/>
      <c r="BC597" s="241"/>
      <c r="BD597" s="241"/>
      <c r="BE597" s="241"/>
      <c r="BF597" s="241"/>
      <c r="BG597" s="241"/>
      <c r="BH597" s="241"/>
      <c r="BI597" s="241"/>
      <c r="BJ597" s="241"/>
      <c r="BK597" s="241"/>
      <c r="BL597" s="241"/>
      <c r="BM597" s="241"/>
    </row>
    <row r="598" spans="1:65" ht="13.5" customHeight="1" x14ac:dyDescent="0.3">
      <c r="A598" s="241"/>
      <c r="B598" s="241"/>
      <c r="C598" s="241"/>
      <c r="D598" s="241"/>
      <c r="E598" s="241"/>
      <c r="F598" s="241"/>
      <c r="G598" s="241"/>
      <c r="H598" s="241"/>
      <c r="I598" s="241"/>
      <c r="J598" s="241"/>
      <c r="K598" s="241"/>
      <c r="L598" s="241"/>
      <c r="M598" s="241"/>
      <c r="N598" s="241"/>
      <c r="O598" s="241"/>
      <c r="P598" s="241"/>
      <c r="Q598" s="241"/>
      <c r="R598" s="241"/>
      <c r="S598" s="241"/>
      <c r="T598" s="241"/>
      <c r="U598" s="241"/>
      <c r="V598" s="241"/>
      <c r="W598" s="241"/>
      <c r="X598" s="241"/>
      <c r="Y598" s="241"/>
      <c r="Z598" s="241"/>
      <c r="AA598" s="241"/>
      <c r="AB598" s="241"/>
      <c r="AC598" s="241"/>
      <c r="AD598" s="241"/>
      <c r="AE598" s="241"/>
      <c r="AF598" s="241"/>
      <c r="AG598" s="241"/>
      <c r="AH598" s="241"/>
      <c r="AI598" s="241"/>
      <c r="AJ598" s="241"/>
      <c r="AK598" s="241"/>
      <c r="AL598" s="241"/>
      <c r="AM598" s="241"/>
      <c r="AN598" s="241"/>
      <c r="AO598" s="241"/>
      <c r="AP598" s="241"/>
      <c r="AQ598" s="241"/>
      <c r="AR598" s="241"/>
      <c r="AS598" s="241"/>
      <c r="AT598" s="241"/>
      <c r="AU598" s="241"/>
      <c r="AV598" s="241"/>
      <c r="AW598" s="241"/>
      <c r="AX598" s="241"/>
      <c r="AY598" s="241"/>
      <c r="AZ598" s="241"/>
      <c r="BA598" s="241"/>
      <c r="BB598" s="241"/>
      <c r="BC598" s="241"/>
      <c r="BD598" s="241"/>
      <c r="BE598" s="241"/>
      <c r="BF598" s="241"/>
      <c r="BG598" s="241"/>
      <c r="BH598" s="241"/>
      <c r="BI598" s="241"/>
      <c r="BJ598" s="241"/>
      <c r="BK598" s="241"/>
      <c r="BL598" s="241"/>
      <c r="BM598" s="241"/>
    </row>
    <row r="599" spans="1:65" ht="13.5" customHeight="1" x14ac:dyDescent="0.3">
      <c r="A599" s="241"/>
      <c r="B599" s="241"/>
      <c r="C599" s="241"/>
      <c r="D599" s="241"/>
      <c r="E599" s="241"/>
      <c r="F599" s="241"/>
      <c r="G599" s="241"/>
      <c r="H599" s="241"/>
      <c r="I599" s="241"/>
      <c r="J599" s="241"/>
      <c r="K599" s="241"/>
      <c r="L599" s="241"/>
      <c r="M599" s="241"/>
      <c r="N599" s="241"/>
      <c r="O599" s="241"/>
      <c r="P599" s="241"/>
      <c r="Q599" s="241"/>
      <c r="R599" s="241"/>
      <c r="S599" s="241"/>
      <c r="T599" s="241"/>
      <c r="U599" s="241"/>
      <c r="V599" s="241"/>
      <c r="W599" s="241"/>
      <c r="X599" s="241"/>
      <c r="Y599" s="241"/>
      <c r="Z599" s="241"/>
      <c r="AA599" s="241"/>
      <c r="AB599" s="241"/>
      <c r="AC599" s="241"/>
      <c r="AD599" s="241"/>
      <c r="AE599" s="241"/>
      <c r="AF599" s="241"/>
      <c r="AG599" s="241"/>
      <c r="AH599" s="241"/>
      <c r="AI599" s="241"/>
      <c r="AJ599" s="241"/>
      <c r="AK599" s="241"/>
      <c r="AL599" s="241"/>
      <c r="AM599" s="241"/>
      <c r="AN599" s="241"/>
      <c r="AO599" s="241"/>
      <c r="AP599" s="241"/>
      <c r="AQ599" s="241"/>
      <c r="AR599" s="241"/>
      <c r="AS599" s="241"/>
      <c r="AT599" s="241"/>
      <c r="AU599" s="241"/>
      <c r="AV599" s="241"/>
      <c r="AW599" s="241"/>
      <c r="AX599" s="241"/>
      <c r="AY599" s="241"/>
      <c r="AZ599" s="241"/>
      <c r="BA599" s="241"/>
      <c r="BB599" s="241"/>
      <c r="BC599" s="241"/>
      <c r="BD599" s="241"/>
      <c r="BE599" s="241"/>
      <c r="BF599" s="241"/>
      <c r="BG599" s="241"/>
      <c r="BH599" s="241"/>
      <c r="BI599" s="241"/>
      <c r="BJ599" s="241"/>
      <c r="BK599" s="241"/>
      <c r="BL599" s="241"/>
      <c r="BM599" s="241"/>
    </row>
    <row r="600" spans="1:65" ht="13.5" customHeight="1" x14ac:dyDescent="0.3">
      <c r="A600" s="241"/>
      <c r="B600" s="241"/>
      <c r="C600" s="241"/>
      <c r="D600" s="241"/>
      <c r="E600" s="241"/>
      <c r="F600" s="241"/>
      <c r="G600" s="241"/>
      <c r="H600" s="241"/>
      <c r="I600" s="241"/>
      <c r="J600" s="241"/>
      <c r="K600" s="241"/>
      <c r="L600" s="241"/>
      <c r="M600" s="241"/>
      <c r="N600" s="241"/>
      <c r="O600" s="241"/>
      <c r="P600" s="241"/>
      <c r="Q600" s="241"/>
      <c r="R600" s="241"/>
      <c r="S600" s="241"/>
      <c r="T600" s="241"/>
      <c r="U600" s="241"/>
      <c r="V600" s="241"/>
      <c r="W600" s="241"/>
      <c r="X600" s="241"/>
      <c r="Y600" s="241"/>
      <c r="Z600" s="241"/>
      <c r="AA600" s="241"/>
      <c r="AB600" s="241"/>
      <c r="AC600" s="241"/>
      <c r="AD600" s="241"/>
      <c r="AE600" s="241"/>
      <c r="AF600" s="241"/>
      <c r="AG600" s="241"/>
      <c r="AH600" s="241"/>
      <c r="AI600" s="241"/>
      <c r="AJ600" s="241"/>
      <c r="AK600" s="241"/>
      <c r="AL600" s="241"/>
      <c r="AM600" s="241"/>
      <c r="AN600" s="241"/>
      <c r="AO600" s="241"/>
      <c r="AP600" s="241"/>
      <c r="AQ600" s="241"/>
      <c r="AR600" s="241"/>
      <c r="AS600" s="241"/>
      <c r="AT600" s="241"/>
      <c r="AU600" s="241"/>
      <c r="AV600" s="241"/>
      <c r="AW600" s="241"/>
      <c r="AX600" s="241"/>
      <c r="AY600" s="241"/>
      <c r="AZ600" s="241"/>
      <c r="BA600" s="241"/>
      <c r="BB600" s="241"/>
      <c r="BC600" s="241"/>
      <c r="BD600" s="241"/>
      <c r="BE600" s="241"/>
      <c r="BF600" s="241"/>
      <c r="BG600" s="241"/>
      <c r="BH600" s="241"/>
      <c r="BI600" s="241"/>
      <c r="BJ600" s="241"/>
      <c r="BK600" s="241"/>
      <c r="BL600" s="241"/>
      <c r="BM600" s="241"/>
    </row>
    <row r="601" spans="1:65" ht="13.5" customHeight="1" x14ac:dyDescent="0.3">
      <c r="A601" s="241"/>
      <c r="B601" s="241"/>
      <c r="C601" s="241"/>
      <c r="D601" s="241"/>
      <c r="E601" s="241"/>
      <c r="F601" s="241"/>
      <c r="G601" s="241"/>
      <c r="H601" s="241"/>
      <c r="I601" s="241"/>
      <c r="J601" s="241"/>
      <c r="K601" s="241"/>
      <c r="L601" s="241"/>
      <c r="M601" s="241"/>
      <c r="N601" s="241"/>
      <c r="O601" s="241"/>
      <c r="P601" s="241"/>
      <c r="Q601" s="241"/>
      <c r="R601" s="241"/>
      <c r="S601" s="241"/>
      <c r="T601" s="241"/>
      <c r="U601" s="241"/>
      <c r="V601" s="241"/>
      <c r="W601" s="241"/>
      <c r="X601" s="241"/>
      <c r="Y601" s="241"/>
      <c r="Z601" s="241"/>
      <c r="AA601" s="241"/>
      <c r="AB601" s="241"/>
      <c r="AC601" s="241"/>
      <c r="AD601" s="241"/>
      <c r="AE601" s="241"/>
      <c r="AF601" s="241"/>
      <c r="AG601" s="241"/>
      <c r="AH601" s="241"/>
      <c r="AI601" s="241"/>
      <c r="AJ601" s="241"/>
      <c r="AK601" s="241"/>
      <c r="AL601" s="241"/>
      <c r="AM601" s="241"/>
      <c r="AN601" s="241"/>
      <c r="AO601" s="241"/>
      <c r="AP601" s="241"/>
      <c r="AQ601" s="241"/>
      <c r="AR601" s="241"/>
      <c r="AS601" s="241"/>
      <c r="AT601" s="241"/>
      <c r="AU601" s="241"/>
      <c r="AV601" s="241"/>
      <c r="AW601" s="241"/>
      <c r="AX601" s="241"/>
      <c r="AY601" s="241"/>
      <c r="AZ601" s="241"/>
      <c r="BA601" s="241"/>
      <c r="BB601" s="241"/>
      <c r="BC601" s="241"/>
      <c r="BD601" s="241"/>
      <c r="BE601" s="241"/>
      <c r="BF601" s="241"/>
      <c r="BG601" s="241"/>
      <c r="BH601" s="241"/>
      <c r="BI601" s="241"/>
      <c r="BJ601" s="241"/>
      <c r="BK601" s="241"/>
      <c r="BL601" s="241"/>
      <c r="BM601" s="241"/>
    </row>
    <row r="602" spans="1:65" ht="13.5" customHeight="1" x14ac:dyDescent="0.3">
      <c r="A602" s="241"/>
      <c r="B602" s="241"/>
      <c r="C602" s="241"/>
      <c r="D602" s="241"/>
      <c r="E602" s="241"/>
      <c r="F602" s="241"/>
      <c r="G602" s="241"/>
      <c r="H602" s="241"/>
      <c r="I602" s="241"/>
      <c r="J602" s="241"/>
      <c r="K602" s="241"/>
      <c r="L602" s="241"/>
      <c r="M602" s="241"/>
      <c r="N602" s="241"/>
      <c r="O602" s="241"/>
      <c r="P602" s="241"/>
      <c r="Q602" s="241"/>
      <c r="R602" s="241"/>
      <c r="S602" s="241"/>
      <c r="T602" s="241"/>
      <c r="U602" s="241"/>
      <c r="V602" s="241"/>
      <c r="W602" s="241"/>
      <c r="X602" s="241"/>
      <c r="Y602" s="241"/>
      <c r="Z602" s="241"/>
      <c r="AA602" s="241"/>
      <c r="AB602" s="241"/>
      <c r="AC602" s="241"/>
      <c r="AD602" s="241"/>
      <c r="AE602" s="241"/>
      <c r="AF602" s="241"/>
      <c r="AG602" s="241"/>
      <c r="AH602" s="241"/>
      <c r="AI602" s="241"/>
      <c r="AJ602" s="241"/>
      <c r="AK602" s="241"/>
      <c r="AL602" s="241"/>
      <c r="AM602" s="241"/>
      <c r="AN602" s="241"/>
      <c r="AO602" s="241"/>
      <c r="AP602" s="241"/>
      <c r="AQ602" s="241"/>
      <c r="AR602" s="241"/>
      <c r="AS602" s="241"/>
      <c r="AT602" s="241"/>
      <c r="AU602" s="241"/>
      <c r="AV602" s="241"/>
      <c r="AW602" s="241"/>
      <c r="AX602" s="241"/>
      <c r="AY602" s="241"/>
      <c r="AZ602" s="241"/>
      <c r="BA602" s="241"/>
      <c r="BB602" s="241"/>
      <c r="BC602" s="241"/>
      <c r="BD602" s="241"/>
      <c r="BE602" s="241"/>
      <c r="BF602" s="241"/>
      <c r="BG602" s="241"/>
      <c r="BH602" s="241"/>
      <c r="BI602" s="241"/>
      <c r="BJ602" s="241"/>
      <c r="BK602" s="241"/>
      <c r="BL602" s="241"/>
      <c r="BM602" s="241"/>
    </row>
    <row r="603" spans="1:65" ht="13.5" customHeight="1" x14ac:dyDescent="0.3">
      <c r="A603" s="241"/>
      <c r="B603" s="241"/>
      <c r="C603" s="241"/>
      <c r="D603" s="241"/>
      <c r="E603" s="241"/>
      <c r="F603" s="241"/>
      <c r="G603" s="241"/>
      <c r="H603" s="241"/>
      <c r="I603" s="241"/>
      <c r="J603" s="241"/>
      <c r="K603" s="241"/>
      <c r="L603" s="241"/>
      <c r="M603" s="241"/>
      <c r="N603" s="241"/>
      <c r="O603" s="241"/>
      <c r="P603" s="241"/>
      <c r="Q603" s="241"/>
      <c r="R603" s="241"/>
      <c r="S603" s="241"/>
      <c r="T603" s="241"/>
      <c r="U603" s="241"/>
      <c r="V603" s="241"/>
      <c r="W603" s="241"/>
      <c r="X603" s="241"/>
      <c r="Y603" s="241"/>
      <c r="Z603" s="241"/>
      <c r="AA603" s="241"/>
      <c r="AB603" s="241"/>
      <c r="AC603" s="241"/>
      <c r="AD603" s="241"/>
      <c r="AE603" s="241"/>
      <c r="AF603" s="241"/>
      <c r="AG603" s="241"/>
      <c r="AH603" s="241"/>
      <c r="AI603" s="241"/>
      <c r="AJ603" s="241"/>
      <c r="AK603" s="241"/>
      <c r="AL603" s="241"/>
      <c r="AM603" s="241"/>
      <c r="AN603" s="241"/>
      <c r="AO603" s="241"/>
      <c r="AP603" s="241"/>
      <c r="AQ603" s="241"/>
      <c r="AR603" s="241"/>
      <c r="AS603" s="241"/>
      <c r="AT603" s="241"/>
      <c r="AU603" s="241"/>
      <c r="AV603" s="241"/>
      <c r="AW603" s="241"/>
      <c r="AX603" s="241"/>
      <c r="AY603" s="241"/>
      <c r="AZ603" s="241"/>
      <c r="BA603" s="241"/>
      <c r="BB603" s="241"/>
      <c r="BC603" s="241"/>
      <c r="BD603" s="241"/>
      <c r="BE603" s="241"/>
      <c r="BF603" s="241"/>
      <c r="BG603" s="241"/>
      <c r="BH603" s="241"/>
      <c r="BI603" s="241"/>
      <c r="BJ603" s="241"/>
      <c r="BK603" s="241"/>
      <c r="BL603" s="241"/>
      <c r="BM603" s="241"/>
    </row>
    <row r="604" spans="1:65" ht="13.5" customHeight="1" x14ac:dyDescent="0.3">
      <c r="A604" s="241"/>
      <c r="B604" s="241"/>
      <c r="C604" s="241"/>
      <c r="D604" s="241"/>
      <c r="E604" s="241"/>
      <c r="F604" s="241"/>
      <c r="G604" s="241"/>
      <c r="H604" s="241"/>
      <c r="I604" s="241"/>
      <c r="J604" s="241"/>
      <c r="K604" s="241"/>
      <c r="L604" s="241"/>
      <c r="M604" s="241"/>
      <c r="N604" s="241"/>
      <c r="O604" s="241"/>
      <c r="P604" s="241"/>
      <c r="Q604" s="241"/>
      <c r="R604" s="241"/>
      <c r="S604" s="241"/>
      <c r="T604" s="241"/>
      <c r="U604" s="241"/>
      <c r="V604" s="241"/>
      <c r="W604" s="241"/>
      <c r="X604" s="241"/>
      <c r="Y604" s="241"/>
      <c r="Z604" s="241"/>
      <c r="AA604" s="241"/>
      <c r="AB604" s="241"/>
      <c r="AC604" s="241"/>
      <c r="AD604" s="241"/>
      <c r="AE604" s="241"/>
      <c r="AF604" s="241"/>
      <c r="AG604" s="241"/>
      <c r="AH604" s="241"/>
      <c r="AI604" s="241"/>
      <c r="AJ604" s="241"/>
      <c r="AK604" s="241"/>
      <c r="AL604" s="241"/>
      <c r="AM604" s="241"/>
      <c r="AN604" s="241"/>
      <c r="AO604" s="241"/>
      <c r="AP604" s="241"/>
      <c r="AQ604" s="241"/>
      <c r="AR604" s="241"/>
      <c r="AS604" s="241"/>
      <c r="AT604" s="241"/>
      <c r="AU604" s="241"/>
      <c r="AV604" s="241"/>
      <c r="AW604" s="241"/>
      <c r="AX604" s="241"/>
      <c r="AY604" s="241"/>
      <c r="AZ604" s="241"/>
      <c r="BA604" s="241"/>
      <c r="BB604" s="241"/>
      <c r="BC604" s="241"/>
      <c r="BD604" s="241"/>
      <c r="BE604" s="241"/>
      <c r="BF604" s="241"/>
      <c r="BG604" s="241"/>
      <c r="BH604" s="241"/>
      <c r="BI604" s="241"/>
      <c r="BJ604" s="241"/>
      <c r="BK604" s="241"/>
      <c r="BL604" s="241"/>
      <c r="BM604" s="241"/>
    </row>
    <row r="605" spans="1:65" ht="13.5" customHeight="1" x14ac:dyDescent="0.3">
      <c r="A605" s="241"/>
      <c r="B605" s="241"/>
      <c r="C605" s="241"/>
      <c r="D605" s="241"/>
      <c r="E605" s="241"/>
      <c r="F605" s="241"/>
      <c r="G605" s="241"/>
      <c r="H605" s="241"/>
      <c r="I605" s="241"/>
      <c r="J605" s="241"/>
      <c r="K605" s="241"/>
      <c r="L605" s="241"/>
      <c r="M605" s="241"/>
      <c r="N605" s="241"/>
      <c r="O605" s="241"/>
      <c r="P605" s="241"/>
      <c r="Q605" s="241"/>
      <c r="R605" s="241"/>
      <c r="S605" s="241"/>
      <c r="T605" s="241"/>
      <c r="U605" s="241"/>
      <c r="V605" s="241"/>
      <c r="W605" s="241"/>
      <c r="X605" s="241"/>
      <c r="Y605" s="241"/>
      <c r="Z605" s="241"/>
      <c r="AA605" s="241"/>
      <c r="AB605" s="241"/>
      <c r="AC605" s="241"/>
      <c r="AD605" s="241"/>
      <c r="AE605" s="241"/>
      <c r="AF605" s="241"/>
      <c r="AG605" s="241"/>
      <c r="AH605" s="241"/>
      <c r="AI605" s="241"/>
      <c r="AJ605" s="241"/>
      <c r="AK605" s="241"/>
      <c r="AL605" s="241"/>
      <c r="AM605" s="241"/>
      <c r="AN605" s="241"/>
      <c r="AO605" s="241"/>
      <c r="AP605" s="241"/>
      <c r="AQ605" s="241"/>
      <c r="AR605" s="241"/>
      <c r="AS605" s="241"/>
      <c r="AT605" s="241"/>
      <c r="AU605" s="241"/>
      <c r="AV605" s="241"/>
      <c r="AW605" s="241"/>
      <c r="AX605" s="241"/>
      <c r="AY605" s="241"/>
      <c r="AZ605" s="241"/>
      <c r="BA605" s="241"/>
      <c r="BB605" s="241"/>
      <c r="BC605" s="241"/>
      <c r="BD605" s="241"/>
      <c r="BE605" s="241"/>
      <c r="BF605" s="241"/>
      <c r="BG605" s="241"/>
      <c r="BH605" s="241"/>
      <c r="BI605" s="241"/>
      <c r="BJ605" s="241"/>
      <c r="BK605" s="241"/>
      <c r="BL605" s="241"/>
      <c r="BM605" s="241"/>
    </row>
    <row r="606" spans="1:65" ht="13.5" customHeight="1" x14ac:dyDescent="0.3">
      <c r="A606" s="241"/>
      <c r="B606" s="241"/>
      <c r="C606" s="241"/>
      <c r="D606" s="241"/>
      <c r="E606" s="241"/>
      <c r="F606" s="241"/>
      <c r="G606" s="241"/>
      <c r="H606" s="241"/>
      <c r="I606" s="241"/>
      <c r="J606" s="241"/>
      <c r="K606" s="241"/>
      <c r="L606" s="241"/>
      <c r="M606" s="241"/>
      <c r="N606" s="241"/>
      <c r="O606" s="241"/>
      <c r="P606" s="241"/>
      <c r="Q606" s="241"/>
      <c r="R606" s="241"/>
      <c r="S606" s="241"/>
      <c r="T606" s="241"/>
      <c r="U606" s="241"/>
      <c r="V606" s="241"/>
      <c r="W606" s="241"/>
      <c r="X606" s="241"/>
      <c r="Y606" s="241"/>
      <c r="Z606" s="241"/>
      <c r="AA606" s="241"/>
      <c r="AB606" s="241"/>
      <c r="AC606" s="241"/>
      <c r="AD606" s="241"/>
      <c r="AE606" s="241"/>
      <c r="AF606" s="241"/>
      <c r="AG606" s="241"/>
      <c r="AH606" s="241"/>
      <c r="AI606" s="241"/>
      <c r="AJ606" s="241"/>
      <c r="AK606" s="241"/>
      <c r="AL606" s="241"/>
      <c r="AM606" s="241"/>
      <c r="AN606" s="241"/>
      <c r="AO606" s="241"/>
      <c r="AP606" s="241"/>
      <c r="AQ606" s="241"/>
      <c r="AR606" s="241"/>
      <c r="AS606" s="241"/>
      <c r="AT606" s="241"/>
      <c r="AU606" s="241"/>
      <c r="AV606" s="241"/>
      <c r="AW606" s="241"/>
      <c r="AX606" s="241"/>
      <c r="AY606" s="241"/>
      <c r="AZ606" s="241"/>
      <c r="BA606" s="241"/>
      <c r="BB606" s="241"/>
      <c r="BC606" s="241"/>
      <c r="BD606" s="241"/>
      <c r="BE606" s="241"/>
      <c r="BF606" s="241"/>
      <c r="BG606" s="241"/>
      <c r="BH606" s="241"/>
      <c r="BI606" s="241"/>
      <c r="BJ606" s="241"/>
      <c r="BK606" s="241"/>
      <c r="BL606" s="241"/>
      <c r="BM606" s="241"/>
    </row>
    <row r="607" spans="1:65" ht="13.5" customHeight="1" x14ac:dyDescent="0.3">
      <c r="A607" s="241"/>
      <c r="B607" s="241"/>
      <c r="C607" s="241"/>
      <c r="D607" s="241"/>
      <c r="E607" s="241"/>
      <c r="F607" s="241"/>
      <c r="G607" s="241"/>
      <c r="H607" s="241"/>
      <c r="I607" s="241"/>
      <c r="J607" s="241"/>
      <c r="K607" s="241"/>
      <c r="L607" s="241"/>
      <c r="M607" s="241"/>
      <c r="N607" s="241"/>
      <c r="O607" s="241"/>
      <c r="P607" s="241"/>
      <c r="Q607" s="241"/>
      <c r="R607" s="241"/>
      <c r="S607" s="241"/>
      <c r="T607" s="241"/>
      <c r="U607" s="241"/>
      <c r="V607" s="241"/>
      <c r="W607" s="241"/>
      <c r="X607" s="241"/>
      <c r="Y607" s="241"/>
      <c r="Z607" s="241"/>
      <c r="AA607" s="241"/>
      <c r="AB607" s="241"/>
      <c r="AC607" s="241"/>
      <c r="AD607" s="241"/>
      <c r="AE607" s="241"/>
      <c r="AF607" s="241"/>
      <c r="AG607" s="241"/>
      <c r="AH607" s="241"/>
      <c r="AI607" s="241"/>
      <c r="AJ607" s="241"/>
      <c r="AK607" s="241"/>
      <c r="AL607" s="241"/>
      <c r="AM607" s="241"/>
      <c r="AN607" s="241"/>
      <c r="AO607" s="241"/>
      <c r="AP607" s="241"/>
      <c r="AQ607" s="241"/>
      <c r="AR607" s="241"/>
      <c r="AS607" s="241"/>
      <c r="AT607" s="241"/>
      <c r="AU607" s="241"/>
      <c r="AV607" s="241"/>
      <c r="AW607" s="241"/>
      <c r="AX607" s="241"/>
      <c r="AY607" s="241"/>
      <c r="AZ607" s="241"/>
      <c r="BA607" s="241"/>
      <c r="BB607" s="241"/>
      <c r="BC607" s="241"/>
      <c r="BD607" s="241"/>
      <c r="BE607" s="241"/>
      <c r="BF607" s="241"/>
      <c r="BG607" s="241"/>
      <c r="BH607" s="241"/>
      <c r="BI607" s="241"/>
      <c r="BJ607" s="241"/>
      <c r="BK607" s="241"/>
      <c r="BL607" s="241"/>
      <c r="BM607" s="241"/>
    </row>
    <row r="608" spans="1:65" ht="13.5" customHeight="1" x14ac:dyDescent="0.3">
      <c r="A608" s="241"/>
      <c r="B608" s="241"/>
      <c r="C608" s="241"/>
      <c r="D608" s="241"/>
      <c r="E608" s="241"/>
      <c r="F608" s="241"/>
      <c r="G608" s="241"/>
      <c r="H608" s="241"/>
      <c r="I608" s="241"/>
      <c r="J608" s="241"/>
      <c r="K608" s="241"/>
      <c r="L608" s="241"/>
      <c r="M608" s="241"/>
      <c r="N608" s="241"/>
      <c r="O608" s="241"/>
      <c r="P608" s="241"/>
      <c r="Q608" s="241"/>
      <c r="R608" s="241"/>
      <c r="S608" s="241"/>
      <c r="T608" s="241"/>
      <c r="U608" s="241"/>
      <c r="V608" s="241"/>
      <c r="W608" s="241"/>
      <c r="X608" s="241"/>
      <c r="Y608" s="241"/>
      <c r="Z608" s="241"/>
      <c r="AA608" s="241"/>
      <c r="AB608" s="241"/>
      <c r="AC608" s="241"/>
      <c r="AD608" s="241"/>
      <c r="AE608" s="241"/>
      <c r="AF608" s="241"/>
      <c r="AG608" s="241"/>
      <c r="AH608" s="241"/>
      <c r="AI608" s="241"/>
      <c r="AJ608" s="241"/>
      <c r="AK608" s="241"/>
      <c r="AL608" s="241"/>
      <c r="AM608" s="241"/>
      <c r="AN608" s="241"/>
      <c r="AO608" s="241"/>
      <c r="AP608" s="241"/>
      <c r="AQ608" s="241"/>
      <c r="AR608" s="241"/>
      <c r="AS608" s="241"/>
      <c r="AT608" s="241"/>
      <c r="AU608" s="241"/>
      <c r="AV608" s="241"/>
      <c r="AW608" s="241"/>
      <c r="AX608" s="241"/>
      <c r="AY608" s="241"/>
      <c r="AZ608" s="241"/>
      <c r="BA608" s="241"/>
      <c r="BB608" s="241"/>
      <c r="BC608" s="241"/>
      <c r="BD608" s="241"/>
      <c r="BE608" s="241"/>
      <c r="BF608" s="241"/>
      <c r="BG608" s="241"/>
      <c r="BH608" s="241"/>
      <c r="BI608" s="241"/>
      <c r="BJ608" s="241"/>
      <c r="BK608" s="241"/>
      <c r="BL608" s="241"/>
      <c r="BM608" s="241"/>
    </row>
    <row r="609" spans="1:65" ht="13.5" customHeight="1" x14ac:dyDescent="0.3">
      <c r="A609" s="241"/>
      <c r="B609" s="241"/>
      <c r="C609" s="241"/>
      <c r="D609" s="241"/>
      <c r="E609" s="241"/>
      <c r="F609" s="241"/>
      <c r="G609" s="241"/>
      <c r="H609" s="241"/>
      <c r="I609" s="241"/>
      <c r="J609" s="241"/>
      <c r="K609" s="241"/>
      <c r="L609" s="241"/>
      <c r="M609" s="241"/>
      <c r="N609" s="241"/>
      <c r="O609" s="241"/>
      <c r="P609" s="241"/>
      <c r="Q609" s="241"/>
      <c r="R609" s="241"/>
      <c r="S609" s="241"/>
      <c r="T609" s="241"/>
      <c r="U609" s="241"/>
      <c r="V609" s="241"/>
      <c r="W609" s="241"/>
      <c r="X609" s="241"/>
      <c r="Y609" s="241"/>
      <c r="Z609" s="241"/>
      <c r="AA609" s="241"/>
      <c r="AB609" s="241"/>
      <c r="AC609" s="241"/>
      <c r="AD609" s="241"/>
      <c r="AE609" s="241"/>
      <c r="AF609" s="241"/>
      <c r="AG609" s="241"/>
      <c r="AH609" s="241"/>
      <c r="AI609" s="241"/>
      <c r="AJ609" s="241"/>
      <c r="AK609" s="241"/>
      <c r="AL609" s="241"/>
      <c r="AM609" s="241"/>
      <c r="AN609" s="241"/>
      <c r="AO609" s="241"/>
      <c r="AP609" s="241"/>
      <c r="AQ609" s="241"/>
      <c r="AR609" s="241"/>
      <c r="AS609" s="241"/>
      <c r="AT609" s="241"/>
      <c r="AU609" s="241"/>
      <c r="AV609" s="241"/>
      <c r="AW609" s="241"/>
      <c r="AX609" s="241"/>
      <c r="AY609" s="241"/>
      <c r="AZ609" s="241"/>
      <c r="BA609" s="241"/>
      <c r="BB609" s="241"/>
      <c r="BC609" s="241"/>
      <c r="BD609" s="241"/>
      <c r="BE609" s="241"/>
      <c r="BF609" s="241"/>
      <c r="BG609" s="241"/>
      <c r="BH609" s="241"/>
      <c r="BI609" s="241"/>
      <c r="BJ609" s="241"/>
      <c r="BK609" s="241"/>
      <c r="BL609" s="241"/>
      <c r="BM609" s="241"/>
    </row>
    <row r="610" spans="1:65" ht="13.5" customHeight="1" x14ac:dyDescent="0.3">
      <c r="A610" s="241"/>
      <c r="B610" s="241"/>
      <c r="C610" s="241"/>
      <c r="D610" s="241"/>
      <c r="E610" s="241"/>
      <c r="F610" s="241"/>
      <c r="G610" s="241"/>
      <c r="H610" s="241"/>
      <c r="I610" s="241"/>
      <c r="J610" s="241"/>
      <c r="K610" s="241"/>
      <c r="L610" s="241"/>
      <c r="M610" s="241"/>
      <c r="N610" s="241"/>
      <c r="O610" s="241"/>
      <c r="P610" s="241"/>
      <c r="Q610" s="241"/>
      <c r="R610" s="241"/>
      <c r="S610" s="241"/>
      <c r="T610" s="241"/>
      <c r="U610" s="241"/>
      <c r="V610" s="241"/>
      <c r="W610" s="241"/>
      <c r="X610" s="241"/>
      <c r="Y610" s="241"/>
      <c r="Z610" s="241"/>
      <c r="AA610" s="241"/>
      <c r="AB610" s="241"/>
      <c r="AC610" s="241"/>
      <c r="AD610" s="241"/>
      <c r="AE610" s="241"/>
      <c r="AF610" s="241"/>
      <c r="AG610" s="241"/>
      <c r="AH610" s="241"/>
      <c r="AI610" s="241"/>
      <c r="AJ610" s="241"/>
      <c r="AK610" s="241"/>
      <c r="AL610" s="241"/>
      <c r="AM610" s="241"/>
      <c r="AN610" s="241"/>
      <c r="AO610" s="241"/>
      <c r="AP610" s="241"/>
      <c r="AQ610" s="241"/>
      <c r="AR610" s="241"/>
      <c r="AS610" s="241"/>
      <c r="AT610" s="241"/>
      <c r="AU610" s="241"/>
      <c r="AV610" s="241"/>
      <c r="AW610" s="241"/>
      <c r="AX610" s="241"/>
      <c r="AY610" s="241"/>
      <c r="AZ610" s="241"/>
      <c r="BA610" s="241"/>
      <c r="BB610" s="241"/>
      <c r="BC610" s="241"/>
      <c r="BD610" s="241"/>
      <c r="BE610" s="241"/>
      <c r="BF610" s="241"/>
      <c r="BG610" s="241"/>
      <c r="BH610" s="241"/>
      <c r="BI610" s="241"/>
      <c r="BJ610" s="241"/>
      <c r="BK610" s="241"/>
      <c r="BL610" s="241"/>
      <c r="BM610" s="241"/>
    </row>
    <row r="611" spans="1:65" ht="13.5" customHeight="1" x14ac:dyDescent="0.3">
      <c r="A611" s="241"/>
      <c r="B611" s="241"/>
      <c r="C611" s="241"/>
      <c r="D611" s="241"/>
      <c r="E611" s="241"/>
      <c r="F611" s="241"/>
      <c r="G611" s="241"/>
      <c r="H611" s="241"/>
      <c r="I611" s="241"/>
      <c r="J611" s="241"/>
      <c r="K611" s="241"/>
      <c r="L611" s="241"/>
      <c r="M611" s="241"/>
      <c r="N611" s="241"/>
      <c r="O611" s="241"/>
      <c r="P611" s="241"/>
      <c r="Q611" s="241"/>
      <c r="R611" s="241"/>
      <c r="S611" s="241"/>
      <c r="T611" s="241"/>
      <c r="U611" s="241"/>
      <c r="V611" s="241"/>
      <c r="W611" s="241"/>
      <c r="X611" s="241"/>
      <c r="Y611" s="241"/>
      <c r="Z611" s="241"/>
      <c r="AA611" s="241"/>
      <c r="AB611" s="241"/>
      <c r="AC611" s="241"/>
      <c r="AD611" s="241"/>
      <c r="AE611" s="241"/>
      <c r="AF611" s="241"/>
      <c r="AG611" s="241"/>
      <c r="AH611" s="241"/>
      <c r="AI611" s="241"/>
      <c r="AJ611" s="241"/>
      <c r="AK611" s="241"/>
      <c r="AL611" s="241"/>
      <c r="AM611" s="241"/>
      <c r="AN611" s="241"/>
      <c r="AO611" s="241"/>
      <c r="AP611" s="241"/>
      <c r="AQ611" s="241"/>
      <c r="AR611" s="241"/>
      <c r="AS611" s="241"/>
      <c r="AT611" s="241"/>
      <c r="AU611" s="241"/>
      <c r="AV611" s="241"/>
      <c r="AW611" s="241"/>
      <c r="AX611" s="241"/>
      <c r="AY611" s="241"/>
      <c r="AZ611" s="241"/>
      <c r="BA611" s="241"/>
      <c r="BB611" s="241"/>
      <c r="BC611" s="241"/>
      <c r="BD611" s="241"/>
      <c r="BE611" s="241"/>
      <c r="BF611" s="241"/>
      <c r="BG611" s="241"/>
      <c r="BH611" s="241"/>
      <c r="BI611" s="241"/>
      <c r="BJ611" s="241"/>
      <c r="BK611" s="241"/>
      <c r="BL611" s="241"/>
      <c r="BM611" s="241"/>
    </row>
    <row r="612" spans="1:65" ht="13.5" customHeight="1" x14ac:dyDescent="0.3">
      <c r="A612" s="241"/>
      <c r="B612" s="241"/>
      <c r="C612" s="241"/>
      <c r="D612" s="241"/>
      <c r="E612" s="241"/>
      <c r="F612" s="241"/>
      <c r="G612" s="241"/>
      <c r="H612" s="241"/>
      <c r="I612" s="241"/>
      <c r="J612" s="241"/>
      <c r="K612" s="241"/>
      <c r="L612" s="241"/>
      <c r="M612" s="241"/>
      <c r="N612" s="241"/>
      <c r="O612" s="241"/>
      <c r="P612" s="241"/>
      <c r="Q612" s="241"/>
      <c r="R612" s="241"/>
      <c r="S612" s="241"/>
      <c r="T612" s="241"/>
      <c r="U612" s="241"/>
      <c r="V612" s="241"/>
      <c r="W612" s="241"/>
      <c r="X612" s="241"/>
      <c r="Y612" s="241"/>
      <c r="Z612" s="241"/>
      <c r="AA612" s="241"/>
      <c r="AB612" s="241"/>
      <c r="AC612" s="241"/>
      <c r="AD612" s="241"/>
      <c r="AE612" s="241"/>
      <c r="AF612" s="241"/>
      <c r="AG612" s="241"/>
      <c r="AH612" s="241"/>
      <c r="AI612" s="241"/>
      <c r="AJ612" s="241"/>
      <c r="AK612" s="241"/>
      <c r="AL612" s="241"/>
      <c r="AM612" s="241"/>
      <c r="AN612" s="241"/>
      <c r="AO612" s="241"/>
      <c r="AP612" s="241"/>
      <c r="AQ612" s="241"/>
      <c r="AR612" s="241"/>
      <c r="AS612" s="241"/>
      <c r="AT612" s="241"/>
      <c r="AU612" s="241"/>
      <c r="AV612" s="241"/>
      <c r="AW612" s="241"/>
      <c r="AX612" s="241"/>
      <c r="AY612" s="241"/>
      <c r="AZ612" s="241"/>
      <c r="BA612" s="241"/>
      <c r="BB612" s="241"/>
      <c r="BC612" s="241"/>
      <c r="BD612" s="241"/>
      <c r="BE612" s="241"/>
      <c r="BF612" s="241"/>
      <c r="BG612" s="241"/>
      <c r="BH612" s="241"/>
      <c r="BI612" s="241"/>
      <c r="BJ612" s="241"/>
      <c r="BK612" s="241"/>
      <c r="BL612" s="241"/>
      <c r="BM612" s="241"/>
    </row>
    <row r="613" spans="1:65" ht="13.5" customHeight="1" x14ac:dyDescent="0.3">
      <c r="A613" s="241"/>
      <c r="B613" s="241"/>
      <c r="C613" s="241"/>
      <c r="D613" s="241"/>
      <c r="E613" s="241"/>
      <c r="F613" s="241"/>
      <c r="G613" s="241"/>
      <c r="H613" s="241"/>
      <c r="I613" s="241"/>
      <c r="J613" s="241"/>
      <c r="K613" s="241"/>
      <c r="L613" s="241"/>
      <c r="M613" s="241"/>
      <c r="N613" s="241"/>
      <c r="O613" s="241"/>
      <c r="P613" s="241"/>
      <c r="Q613" s="241"/>
      <c r="R613" s="241"/>
      <c r="S613" s="241"/>
      <c r="T613" s="241"/>
      <c r="U613" s="241"/>
      <c r="V613" s="241"/>
      <c r="W613" s="241"/>
      <c r="X613" s="241"/>
      <c r="Y613" s="241"/>
      <c r="Z613" s="241"/>
      <c r="AA613" s="241"/>
      <c r="AB613" s="241"/>
      <c r="AC613" s="241"/>
      <c r="AD613" s="241"/>
      <c r="AE613" s="241"/>
      <c r="AF613" s="241"/>
      <c r="AG613" s="241"/>
      <c r="AH613" s="241"/>
      <c r="AI613" s="241"/>
      <c r="AJ613" s="241"/>
      <c r="AK613" s="241"/>
      <c r="AL613" s="241"/>
      <c r="AM613" s="241"/>
      <c r="AN613" s="241"/>
      <c r="AO613" s="241"/>
      <c r="AP613" s="241"/>
      <c r="AQ613" s="241"/>
      <c r="AR613" s="241"/>
      <c r="AS613" s="241"/>
      <c r="AT613" s="241"/>
      <c r="AU613" s="241"/>
      <c r="AV613" s="241"/>
      <c r="AW613" s="241"/>
      <c r="AX613" s="241"/>
      <c r="AY613" s="241"/>
      <c r="AZ613" s="241"/>
      <c r="BA613" s="241"/>
      <c r="BB613" s="241"/>
      <c r="BC613" s="241"/>
      <c r="BD613" s="241"/>
      <c r="BE613" s="241"/>
      <c r="BF613" s="241"/>
      <c r="BG613" s="241"/>
      <c r="BH613" s="241"/>
      <c r="BI613" s="241"/>
      <c r="BJ613" s="241"/>
      <c r="BK613" s="241"/>
      <c r="BL613" s="241"/>
      <c r="BM613" s="241"/>
    </row>
    <row r="614" spans="1:65" ht="13.5" customHeight="1" x14ac:dyDescent="0.3">
      <c r="A614" s="241"/>
      <c r="B614" s="241"/>
      <c r="C614" s="241"/>
      <c r="D614" s="241"/>
      <c r="E614" s="241"/>
      <c r="F614" s="241"/>
      <c r="G614" s="241"/>
      <c r="H614" s="241"/>
      <c r="I614" s="241"/>
      <c r="J614" s="241"/>
      <c r="K614" s="241"/>
      <c r="L614" s="241"/>
      <c r="M614" s="241"/>
      <c r="N614" s="241"/>
      <c r="O614" s="241"/>
      <c r="P614" s="241"/>
      <c r="Q614" s="241"/>
      <c r="R614" s="241"/>
      <c r="S614" s="241"/>
      <c r="T614" s="241"/>
      <c r="U614" s="241"/>
      <c r="V614" s="241"/>
      <c r="W614" s="241"/>
      <c r="X614" s="241"/>
      <c r="Y614" s="241"/>
      <c r="Z614" s="241"/>
      <c r="AA614" s="241"/>
      <c r="AB614" s="241"/>
      <c r="AC614" s="241"/>
      <c r="AD614" s="241"/>
      <c r="AE614" s="241"/>
      <c r="AF614" s="241"/>
      <c r="AG614" s="241"/>
      <c r="AH614" s="241"/>
      <c r="AI614" s="241"/>
      <c r="AJ614" s="241"/>
      <c r="AK614" s="241"/>
      <c r="AL614" s="241"/>
      <c r="AM614" s="241"/>
      <c r="AN614" s="241"/>
      <c r="AO614" s="241"/>
      <c r="AP614" s="241"/>
      <c r="AQ614" s="241"/>
      <c r="AR614" s="241"/>
      <c r="AS614" s="241"/>
      <c r="AT614" s="241"/>
      <c r="AU614" s="241"/>
      <c r="AV614" s="241"/>
      <c r="AW614" s="241"/>
      <c r="AX614" s="241"/>
      <c r="AY614" s="241"/>
      <c r="AZ614" s="241"/>
      <c r="BA614" s="241"/>
      <c r="BB614" s="241"/>
      <c r="BC614" s="241"/>
      <c r="BD614" s="241"/>
      <c r="BE614" s="241"/>
      <c r="BF614" s="241"/>
      <c r="BG614" s="241"/>
      <c r="BH614" s="241"/>
      <c r="BI614" s="241"/>
      <c r="BJ614" s="241"/>
      <c r="BK614" s="241"/>
      <c r="BL614" s="241"/>
      <c r="BM614" s="241"/>
    </row>
    <row r="615" spans="1:65" ht="13.5" customHeight="1" x14ac:dyDescent="0.3">
      <c r="A615" s="241"/>
      <c r="B615" s="241"/>
      <c r="C615" s="241"/>
      <c r="D615" s="241"/>
      <c r="E615" s="241"/>
      <c r="F615" s="241"/>
      <c r="G615" s="241"/>
      <c r="H615" s="241"/>
      <c r="I615" s="241"/>
      <c r="J615" s="241"/>
      <c r="K615" s="241"/>
      <c r="L615" s="241"/>
      <c r="M615" s="241"/>
      <c r="N615" s="241"/>
      <c r="O615" s="241"/>
      <c r="P615" s="241"/>
      <c r="Q615" s="241"/>
      <c r="R615" s="241"/>
      <c r="S615" s="241"/>
      <c r="T615" s="241"/>
      <c r="U615" s="241"/>
      <c r="V615" s="241"/>
      <c r="W615" s="241"/>
      <c r="X615" s="241"/>
      <c r="Y615" s="241"/>
      <c r="Z615" s="241"/>
      <c r="AA615" s="241"/>
      <c r="AB615" s="241"/>
      <c r="AC615" s="241"/>
      <c r="AD615" s="241"/>
      <c r="AE615" s="241"/>
      <c r="AF615" s="241"/>
      <c r="AG615" s="241"/>
      <c r="AH615" s="241"/>
      <c r="AI615" s="241"/>
      <c r="AJ615" s="241"/>
      <c r="AK615" s="241"/>
      <c r="AL615" s="241"/>
      <c r="AM615" s="241"/>
      <c r="AN615" s="241"/>
      <c r="AO615" s="241"/>
      <c r="AP615" s="241"/>
      <c r="AQ615" s="241"/>
      <c r="AR615" s="241"/>
      <c r="AS615" s="241"/>
      <c r="AT615" s="241"/>
      <c r="AU615" s="241"/>
      <c r="AV615" s="241"/>
      <c r="AW615" s="241"/>
      <c r="AX615" s="241"/>
      <c r="AY615" s="241"/>
      <c r="AZ615" s="241"/>
      <c r="BA615" s="241"/>
      <c r="BB615" s="241"/>
      <c r="BC615" s="241"/>
      <c r="BD615" s="241"/>
      <c r="BE615" s="241"/>
      <c r="BF615" s="241"/>
      <c r="BG615" s="241"/>
      <c r="BH615" s="241"/>
      <c r="BI615" s="241"/>
      <c r="BJ615" s="241"/>
      <c r="BK615" s="241"/>
      <c r="BL615" s="241"/>
      <c r="BM615" s="241"/>
    </row>
    <row r="616" spans="1:65" ht="13.5" customHeight="1" x14ac:dyDescent="0.3">
      <c r="A616" s="241"/>
      <c r="B616" s="241"/>
      <c r="C616" s="241"/>
      <c r="D616" s="241"/>
      <c r="E616" s="241"/>
      <c r="F616" s="241"/>
      <c r="G616" s="241"/>
      <c r="H616" s="241"/>
      <c r="I616" s="241"/>
      <c r="J616" s="241"/>
      <c r="K616" s="241"/>
      <c r="L616" s="241"/>
      <c r="M616" s="241"/>
      <c r="N616" s="241"/>
      <c r="O616" s="241"/>
      <c r="P616" s="241"/>
      <c r="Q616" s="241"/>
      <c r="R616" s="241"/>
      <c r="S616" s="241"/>
      <c r="T616" s="241"/>
      <c r="U616" s="241"/>
      <c r="V616" s="241"/>
      <c r="W616" s="241"/>
      <c r="X616" s="241"/>
      <c r="Y616" s="241"/>
      <c r="Z616" s="241"/>
      <c r="AA616" s="241"/>
      <c r="AB616" s="241"/>
      <c r="AC616" s="241"/>
      <c r="AD616" s="241"/>
      <c r="AE616" s="241"/>
      <c r="AF616" s="241"/>
      <c r="AG616" s="241"/>
      <c r="AH616" s="241"/>
      <c r="AI616" s="241"/>
      <c r="AJ616" s="241"/>
      <c r="AK616" s="241"/>
      <c r="AL616" s="241"/>
      <c r="AM616" s="241"/>
      <c r="AN616" s="241"/>
      <c r="AO616" s="241"/>
      <c r="AP616" s="241"/>
      <c r="AQ616" s="241"/>
      <c r="AR616" s="241"/>
      <c r="AS616" s="241"/>
      <c r="AT616" s="241"/>
      <c r="AU616" s="241"/>
      <c r="AV616" s="241"/>
      <c r="AW616" s="241"/>
      <c r="AX616" s="241"/>
      <c r="AY616" s="241"/>
      <c r="AZ616" s="241"/>
      <c r="BA616" s="241"/>
      <c r="BB616" s="241"/>
      <c r="BC616" s="241"/>
      <c r="BD616" s="241"/>
      <c r="BE616" s="241"/>
      <c r="BF616" s="241"/>
      <c r="BG616" s="241"/>
      <c r="BH616" s="241"/>
      <c r="BI616" s="241"/>
      <c r="BJ616" s="241"/>
      <c r="BK616" s="241"/>
      <c r="BL616" s="241"/>
      <c r="BM616" s="241"/>
    </row>
    <row r="617" spans="1:65" ht="13.5" customHeight="1" x14ac:dyDescent="0.3">
      <c r="A617" s="241"/>
      <c r="B617" s="241"/>
      <c r="C617" s="241"/>
      <c r="D617" s="241"/>
      <c r="E617" s="241"/>
      <c r="F617" s="241"/>
      <c r="G617" s="241"/>
      <c r="H617" s="241"/>
      <c r="I617" s="241"/>
      <c r="J617" s="241"/>
      <c r="K617" s="241"/>
      <c r="L617" s="241"/>
      <c r="M617" s="241"/>
      <c r="N617" s="241"/>
      <c r="O617" s="241"/>
      <c r="P617" s="241"/>
      <c r="Q617" s="241"/>
      <c r="R617" s="241"/>
      <c r="S617" s="241"/>
      <c r="T617" s="241"/>
      <c r="U617" s="241"/>
      <c r="V617" s="241"/>
      <c r="W617" s="241"/>
      <c r="X617" s="241"/>
      <c r="Y617" s="241"/>
      <c r="Z617" s="241"/>
      <c r="AA617" s="241"/>
      <c r="AB617" s="241"/>
      <c r="AC617" s="241"/>
      <c r="AD617" s="241"/>
      <c r="AE617" s="241"/>
      <c r="AF617" s="241"/>
      <c r="AG617" s="241"/>
      <c r="AH617" s="241"/>
      <c r="AI617" s="241"/>
      <c r="AJ617" s="241"/>
      <c r="AK617" s="241"/>
      <c r="AL617" s="241"/>
      <c r="AM617" s="241"/>
      <c r="AN617" s="241"/>
      <c r="AO617" s="241"/>
      <c r="AP617" s="241"/>
      <c r="AQ617" s="241"/>
      <c r="AR617" s="241"/>
      <c r="AS617" s="241"/>
      <c r="AT617" s="241"/>
      <c r="AU617" s="241"/>
      <c r="AV617" s="241"/>
      <c r="AW617" s="241"/>
      <c r="AX617" s="241"/>
      <c r="AY617" s="241"/>
      <c r="AZ617" s="241"/>
      <c r="BA617" s="241"/>
      <c r="BB617" s="241"/>
      <c r="BC617" s="241"/>
      <c r="BD617" s="241"/>
      <c r="BE617" s="241"/>
      <c r="BF617" s="241"/>
      <c r="BG617" s="241"/>
      <c r="BH617" s="241"/>
      <c r="BI617" s="241"/>
      <c r="BJ617" s="241"/>
      <c r="BK617" s="241"/>
      <c r="BL617" s="241"/>
      <c r="BM617" s="241"/>
    </row>
    <row r="618" spans="1:65" ht="13.5" customHeight="1" x14ac:dyDescent="0.3">
      <c r="A618" s="241"/>
      <c r="B618" s="241"/>
      <c r="C618" s="241"/>
      <c r="D618" s="241"/>
      <c r="E618" s="241"/>
      <c r="F618" s="241"/>
      <c r="G618" s="241"/>
      <c r="H618" s="241"/>
      <c r="I618" s="241"/>
      <c r="J618" s="241"/>
      <c r="K618" s="241"/>
      <c r="L618" s="241"/>
      <c r="M618" s="241"/>
      <c r="N618" s="241"/>
      <c r="O618" s="241"/>
      <c r="P618" s="241"/>
      <c r="Q618" s="241"/>
      <c r="R618" s="241"/>
      <c r="S618" s="241"/>
      <c r="T618" s="241"/>
      <c r="U618" s="241"/>
      <c r="V618" s="241"/>
      <c r="W618" s="241"/>
      <c r="X618" s="241"/>
      <c r="Y618" s="241"/>
      <c r="Z618" s="241"/>
      <c r="AA618" s="241"/>
      <c r="AB618" s="241"/>
      <c r="AC618" s="241"/>
      <c r="AD618" s="241"/>
      <c r="AE618" s="241"/>
      <c r="AF618" s="241"/>
      <c r="AG618" s="241"/>
      <c r="AH618" s="241"/>
      <c r="AI618" s="241"/>
      <c r="AJ618" s="241"/>
      <c r="AK618" s="241"/>
      <c r="AL618" s="241"/>
      <c r="AM618" s="241"/>
      <c r="AN618" s="241"/>
      <c r="AO618" s="241"/>
      <c r="AP618" s="241"/>
      <c r="AQ618" s="241"/>
      <c r="AR618" s="241"/>
      <c r="AS618" s="241"/>
      <c r="AT618" s="241"/>
      <c r="AU618" s="241"/>
      <c r="AV618" s="241"/>
      <c r="AW618" s="241"/>
      <c r="AX618" s="241"/>
      <c r="AY618" s="241"/>
      <c r="AZ618" s="241"/>
      <c r="BA618" s="241"/>
      <c r="BB618" s="241"/>
      <c r="BC618" s="241"/>
      <c r="BD618" s="241"/>
      <c r="BE618" s="241"/>
      <c r="BF618" s="241"/>
      <c r="BG618" s="241"/>
      <c r="BH618" s="241"/>
      <c r="BI618" s="241"/>
      <c r="BJ618" s="241"/>
      <c r="BK618" s="241"/>
      <c r="BL618" s="241"/>
      <c r="BM618" s="241"/>
    </row>
    <row r="619" spans="1:65" ht="13.5" customHeight="1" x14ac:dyDescent="0.3">
      <c r="A619" s="241"/>
      <c r="B619" s="241"/>
      <c r="C619" s="241"/>
      <c r="D619" s="241"/>
      <c r="E619" s="241"/>
      <c r="F619" s="241"/>
      <c r="G619" s="241"/>
      <c r="H619" s="241"/>
      <c r="I619" s="241"/>
      <c r="J619" s="241"/>
      <c r="K619" s="241"/>
      <c r="L619" s="241"/>
      <c r="M619" s="241"/>
      <c r="N619" s="241"/>
      <c r="O619" s="241"/>
      <c r="P619" s="241"/>
      <c r="Q619" s="241"/>
      <c r="R619" s="241"/>
      <c r="S619" s="241"/>
      <c r="T619" s="241"/>
      <c r="U619" s="241"/>
      <c r="V619" s="241"/>
      <c r="W619" s="241"/>
      <c r="X619" s="241"/>
      <c r="Y619" s="241"/>
      <c r="Z619" s="241"/>
      <c r="AA619" s="241"/>
      <c r="AB619" s="241"/>
      <c r="AC619" s="241"/>
      <c r="AD619" s="241"/>
      <c r="AE619" s="241"/>
      <c r="AF619" s="241"/>
      <c r="AG619" s="241"/>
      <c r="AH619" s="241"/>
      <c r="AI619" s="241"/>
      <c r="AJ619" s="241"/>
      <c r="AK619" s="241"/>
      <c r="AL619" s="241"/>
      <c r="AM619" s="241"/>
      <c r="AN619" s="241"/>
      <c r="AO619" s="241"/>
      <c r="AP619" s="241"/>
      <c r="AQ619" s="241"/>
      <c r="AR619" s="241"/>
      <c r="AS619" s="241"/>
      <c r="AT619" s="241"/>
      <c r="AU619" s="241"/>
      <c r="AV619" s="241"/>
      <c r="AW619" s="241"/>
      <c r="AX619" s="241"/>
      <c r="AY619" s="241"/>
      <c r="AZ619" s="241"/>
      <c r="BA619" s="241"/>
      <c r="BB619" s="241"/>
      <c r="BC619" s="241"/>
      <c r="BD619" s="241"/>
      <c r="BE619" s="241"/>
      <c r="BF619" s="241"/>
      <c r="BG619" s="241"/>
      <c r="BH619" s="241"/>
      <c r="BI619" s="241"/>
      <c r="BJ619" s="241"/>
      <c r="BK619" s="241"/>
      <c r="BL619" s="241"/>
      <c r="BM619" s="241"/>
    </row>
    <row r="620" spans="1:65" ht="13.5" customHeight="1" x14ac:dyDescent="0.3">
      <c r="A620" s="241"/>
      <c r="B620" s="241"/>
      <c r="C620" s="241"/>
      <c r="D620" s="241"/>
      <c r="E620" s="241"/>
      <c r="F620" s="241"/>
      <c r="G620" s="241"/>
      <c r="H620" s="241"/>
      <c r="I620" s="241"/>
      <c r="J620" s="241"/>
      <c r="K620" s="241"/>
      <c r="L620" s="241"/>
      <c r="M620" s="241"/>
      <c r="N620" s="241"/>
      <c r="O620" s="241"/>
      <c r="P620" s="241"/>
      <c r="Q620" s="241"/>
      <c r="R620" s="241"/>
      <c r="S620" s="241"/>
      <c r="T620" s="241"/>
      <c r="U620" s="241"/>
      <c r="V620" s="241"/>
      <c r="W620" s="241"/>
      <c r="X620" s="241"/>
      <c r="Y620" s="241"/>
      <c r="Z620" s="241"/>
      <c r="AA620" s="241"/>
      <c r="AB620" s="241"/>
      <c r="AC620" s="241"/>
      <c r="AD620" s="241"/>
      <c r="AE620" s="241"/>
      <c r="AF620" s="241"/>
      <c r="AG620" s="241"/>
      <c r="AH620" s="241"/>
      <c r="AI620" s="241"/>
      <c r="AJ620" s="241"/>
      <c r="AK620" s="241"/>
      <c r="AL620" s="241"/>
      <c r="AM620" s="241"/>
      <c r="AN620" s="241"/>
      <c r="AO620" s="241"/>
      <c r="AP620" s="241"/>
      <c r="AQ620" s="241"/>
      <c r="AR620" s="241"/>
      <c r="AS620" s="241"/>
      <c r="AT620" s="241"/>
      <c r="AU620" s="241"/>
      <c r="AV620" s="241"/>
      <c r="AW620" s="241"/>
      <c r="AX620" s="241"/>
      <c r="AY620" s="241"/>
      <c r="AZ620" s="241"/>
      <c r="BA620" s="241"/>
      <c r="BB620" s="241"/>
      <c r="BC620" s="241"/>
      <c r="BD620" s="241"/>
      <c r="BE620" s="241"/>
      <c r="BF620" s="241"/>
      <c r="BG620" s="241"/>
      <c r="BH620" s="241"/>
      <c r="BI620" s="241"/>
      <c r="BJ620" s="241"/>
      <c r="BK620" s="241"/>
      <c r="BL620" s="241"/>
      <c r="BM620" s="241"/>
    </row>
    <row r="621" spans="1:65" ht="13.5" customHeight="1" x14ac:dyDescent="0.3">
      <c r="A621" s="241"/>
      <c r="B621" s="241"/>
      <c r="C621" s="241"/>
      <c r="D621" s="241"/>
      <c r="E621" s="241"/>
      <c r="F621" s="241"/>
      <c r="G621" s="241"/>
      <c r="H621" s="241"/>
      <c r="I621" s="241"/>
      <c r="J621" s="241"/>
      <c r="K621" s="241"/>
      <c r="L621" s="241"/>
      <c r="M621" s="241"/>
      <c r="N621" s="241"/>
      <c r="O621" s="241"/>
      <c r="P621" s="241"/>
      <c r="Q621" s="241"/>
      <c r="R621" s="241"/>
      <c r="S621" s="241"/>
      <c r="T621" s="241"/>
      <c r="U621" s="241"/>
      <c r="V621" s="241"/>
      <c r="W621" s="241"/>
      <c r="X621" s="241"/>
      <c r="Y621" s="241"/>
      <c r="Z621" s="241"/>
      <c r="AA621" s="241"/>
      <c r="AB621" s="241"/>
      <c r="AC621" s="241"/>
      <c r="AD621" s="241"/>
      <c r="AE621" s="241"/>
      <c r="AF621" s="241"/>
      <c r="AG621" s="241"/>
      <c r="AH621" s="241"/>
      <c r="AI621" s="241"/>
      <c r="AJ621" s="241"/>
      <c r="AK621" s="241"/>
      <c r="AL621" s="241"/>
      <c r="AM621" s="241"/>
      <c r="AN621" s="241"/>
      <c r="AO621" s="241"/>
      <c r="AP621" s="241"/>
      <c r="AQ621" s="241"/>
      <c r="AR621" s="241"/>
      <c r="AS621" s="241"/>
      <c r="AT621" s="241"/>
      <c r="AU621" s="241"/>
      <c r="AV621" s="241"/>
      <c r="AW621" s="241"/>
      <c r="AX621" s="241"/>
      <c r="AY621" s="241"/>
      <c r="AZ621" s="241"/>
      <c r="BA621" s="241"/>
      <c r="BB621" s="241"/>
      <c r="BC621" s="241"/>
      <c r="BD621" s="241"/>
      <c r="BE621" s="241"/>
      <c r="BF621" s="241"/>
      <c r="BG621" s="241"/>
      <c r="BH621" s="241"/>
      <c r="BI621" s="241"/>
      <c r="BJ621" s="241"/>
      <c r="BK621" s="241"/>
      <c r="BL621" s="241"/>
      <c r="BM621" s="241"/>
    </row>
    <row r="622" spans="1:65" ht="13.5" customHeight="1" x14ac:dyDescent="0.3">
      <c r="A622" s="241"/>
      <c r="B622" s="241"/>
      <c r="C622" s="241"/>
      <c r="D622" s="241"/>
      <c r="E622" s="241"/>
      <c r="F622" s="241"/>
      <c r="G622" s="241"/>
      <c r="H622" s="241"/>
      <c r="I622" s="241"/>
      <c r="J622" s="241"/>
      <c r="K622" s="241"/>
      <c r="L622" s="241"/>
      <c r="M622" s="241"/>
      <c r="N622" s="241"/>
      <c r="O622" s="241"/>
      <c r="P622" s="241"/>
      <c r="Q622" s="241"/>
      <c r="R622" s="241"/>
      <c r="S622" s="241"/>
      <c r="T622" s="241"/>
      <c r="U622" s="241"/>
      <c r="V622" s="241"/>
      <c r="W622" s="241"/>
      <c r="X622" s="241"/>
      <c r="Y622" s="241"/>
      <c r="Z622" s="241"/>
      <c r="AA622" s="241"/>
      <c r="AB622" s="241"/>
      <c r="AC622" s="241"/>
      <c r="AD622" s="241"/>
      <c r="AE622" s="241"/>
      <c r="AF622" s="241"/>
      <c r="AG622" s="241"/>
      <c r="AH622" s="241"/>
      <c r="AI622" s="241"/>
      <c r="AJ622" s="241"/>
      <c r="AK622" s="241"/>
      <c r="AL622" s="241"/>
      <c r="AM622" s="241"/>
      <c r="AN622" s="241"/>
      <c r="AO622" s="241"/>
      <c r="AP622" s="241"/>
      <c r="AQ622" s="241"/>
      <c r="AR622" s="241"/>
      <c r="AS622" s="241"/>
      <c r="AT622" s="241"/>
      <c r="AU622" s="241"/>
      <c r="AV622" s="241"/>
      <c r="AW622" s="241"/>
      <c r="AX622" s="241"/>
      <c r="AY622" s="241"/>
      <c r="AZ622" s="241"/>
      <c r="BA622" s="241"/>
      <c r="BB622" s="241"/>
      <c r="BC622" s="241"/>
      <c r="BD622" s="241"/>
      <c r="BE622" s="241"/>
      <c r="BF622" s="241"/>
      <c r="BG622" s="241"/>
      <c r="BH622" s="241"/>
      <c r="BI622" s="241"/>
      <c r="BJ622" s="241"/>
      <c r="BK622" s="241"/>
      <c r="BL622" s="241"/>
      <c r="BM622" s="241"/>
    </row>
    <row r="623" spans="1:65" ht="13.5" customHeight="1" x14ac:dyDescent="0.3">
      <c r="A623" s="241"/>
      <c r="B623" s="241"/>
      <c r="C623" s="241"/>
      <c r="D623" s="241"/>
      <c r="E623" s="241"/>
      <c r="F623" s="241"/>
      <c r="G623" s="241"/>
      <c r="H623" s="241"/>
      <c r="I623" s="241"/>
      <c r="J623" s="241"/>
      <c r="K623" s="241"/>
      <c r="L623" s="241"/>
      <c r="M623" s="241"/>
      <c r="N623" s="241"/>
      <c r="O623" s="241"/>
      <c r="P623" s="241"/>
      <c r="Q623" s="241"/>
      <c r="R623" s="241"/>
      <c r="S623" s="241"/>
      <c r="T623" s="241"/>
      <c r="U623" s="241"/>
      <c r="V623" s="241"/>
      <c r="W623" s="241"/>
      <c r="X623" s="241"/>
      <c r="Y623" s="241"/>
      <c r="Z623" s="241"/>
      <c r="AA623" s="241"/>
      <c r="AB623" s="241"/>
      <c r="AC623" s="241"/>
      <c r="AD623" s="241"/>
      <c r="AE623" s="241"/>
      <c r="AF623" s="241"/>
      <c r="AG623" s="241"/>
      <c r="AH623" s="241"/>
      <c r="AI623" s="241"/>
      <c r="AJ623" s="241"/>
      <c r="AK623" s="241"/>
      <c r="AL623" s="241"/>
      <c r="AM623" s="241"/>
      <c r="AN623" s="241"/>
      <c r="AO623" s="241"/>
      <c r="AP623" s="241"/>
      <c r="AQ623" s="241"/>
      <c r="AR623" s="241"/>
      <c r="AS623" s="241"/>
      <c r="AT623" s="241"/>
      <c r="AU623" s="241"/>
      <c r="AV623" s="241"/>
      <c r="AW623" s="241"/>
      <c r="AX623" s="241"/>
      <c r="AY623" s="241"/>
      <c r="AZ623" s="241"/>
      <c r="BA623" s="241"/>
      <c r="BB623" s="241"/>
      <c r="BC623" s="241"/>
      <c r="BD623" s="241"/>
      <c r="BE623" s="241"/>
      <c r="BF623" s="241"/>
      <c r="BG623" s="241"/>
      <c r="BH623" s="241"/>
      <c r="BI623" s="241"/>
      <c r="BJ623" s="241"/>
      <c r="BK623" s="241"/>
      <c r="BL623" s="241"/>
      <c r="BM623" s="241"/>
    </row>
    <row r="624" spans="1:65" ht="13.5" customHeight="1" x14ac:dyDescent="0.3">
      <c r="A624" s="241"/>
      <c r="B624" s="241"/>
      <c r="C624" s="241"/>
      <c r="D624" s="241"/>
      <c r="E624" s="241"/>
      <c r="F624" s="241"/>
      <c r="G624" s="241"/>
      <c r="H624" s="241"/>
      <c r="I624" s="241"/>
      <c r="J624" s="241"/>
      <c r="K624" s="241"/>
      <c r="L624" s="241"/>
      <c r="M624" s="241"/>
      <c r="N624" s="241"/>
      <c r="O624" s="241"/>
      <c r="P624" s="241"/>
      <c r="Q624" s="241"/>
      <c r="R624" s="241"/>
      <c r="S624" s="241"/>
      <c r="T624" s="241"/>
      <c r="U624" s="241"/>
      <c r="V624" s="241"/>
      <c r="W624" s="241"/>
      <c r="X624" s="241"/>
      <c r="Y624" s="241"/>
      <c r="Z624" s="241"/>
      <c r="AA624" s="241"/>
      <c r="AB624" s="241"/>
      <c r="AC624" s="241"/>
      <c r="AD624" s="241"/>
      <c r="AE624" s="241"/>
      <c r="AF624" s="241"/>
      <c r="AG624" s="241"/>
      <c r="AH624" s="241"/>
      <c r="AI624" s="241"/>
      <c r="AJ624" s="241"/>
      <c r="AK624" s="241"/>
      <c r="AL624" s="241"/>
      <c r="AM624" s="241"/>
      <c r="AN624" s="241"/>
      <c r="AO624" s="241"/>
      <c r="AP624" s="241"/>
      <c r="AQ624" s="241"/>
      <c r="AR624" s="241"/>
      <c r="AS624" s="241"/>
      <c r="AT624" s="241"/>
      <c r="AU624" s="241"/>
      <c r="AV624" s="241"/>
      <c r="AW624" s="241"/>
      <c r="AX624" s="241"/>
      <c r="AY624" s="241"/>
      <c r="AZ624" s="241"/>
      <c r="BA624" s="241"/>
      <c r="BB624" s="241"/>
      <c r="BC624" s="241"/>
      <c r="BD624" s="241"/>
      <c r="BE624" s="241"/>
      <c r="BF624" s="241"/>
      <c r="BG624" s="241"/>
      <c r="BH624" s="241"/>
      <c r="BI624" s="241"/>
      <c r="BJ624" s="241"/>
      <c r="BK624" s="241"/>
      <c r="BL624" s="241"/>
      <c r="BM624" s="241"/>
    </row>
    <row r="625" spans="1:65" ht="13.5" customHeight="1" x14ac:dyDescent="0.3">
      <c r="A625" s="241"/>
      <c r="B625" s="241"/>
      <c r="C625" s="241"/>
      <c r="D625" s="241"/>
      <c r="E625" s="241"/>
      <c r="F625" s="241"/>
      <c r="G625" s="241"/>
      <c r="H625" s="241"/>
      <c r="I625" s="241"/>
      <c r="J625" s="241"/>
      <c r="K625" s="241"/>
      <c r="L625" s="241"/>
      <c r="M625" s="241"/>
      <c r="N625" s="241"/>
      <c r="O625" s="241"/>
      <c r="P625" s="241"/>
      <c r="Q625" s="241"/>
      <c r="R625" s="241"/>
      <c r="S625" s="241"/>
      <c r="T625" s="241"/>
      <c r="U625" s="241"/>
      <c r="V625" s="241"/>
      <c r="W625" s="241"/>
      <c r="X625" s="241"/>
      <c r="Y625" s="241"/>
      <c r="Z625" s="241"/>
      <c r="AA625" s="241"/>
      <c r="AB625" s="241"/>
      <c r="AC625" s="241"/>
      <c r="AD625" s="241"/>
      <c r="AE625" s="241"/>
      <c r="AF625" s="241"/>
      <c r="AG625" s="241"/>
      <c r="AH625" s="241"/>
      <c r="AI625" s="241"/>
      <c r="AJ625" s="241"/>
      <c r="AK625" s="241"/>
      <c r="AL625" s="241"/>
      <c r="AM625" s="241"/>
      <c r="AN625" s="241"/>
      <c r="AO625" s="241"/>
      <c r="AP625" s="241"/>
      <c r="AQ625" s="241"/>
      <c r="AR625" s="241"/>
      <c r="AS625" s="241"/>
      <c r="AT625" s="241"/>
      <c r="AU625" s="241"/>
      <c r="AV625" s="241"/>
      <c r="AW625" s="241"/>
      <c r="AX625" s="241"/>
      <c r="AY625" s="241"/>
      <c r="AZ625" s="241"/>
      <c r="BA625" s="241"/>
      <c r="BB625" s="241"/>
      <c r="BC625" s="241"/>
      <c r="BD625" s="241"/>
      <c r="BE625" s="241"/>
      <c r="BF625" s="241"/>
      <c r="BG625" s="241"/>
      <c r="BH625" s="241"/>
      <c r="BI625" s="241"/>
      <c r="BJ625" s="241"/>
      <c r="BK625" s="241"/>
      <c r="BL625" s="241"/>
      <c r="BM625" s="241"/>
    </row>
    <row r="626" spans="1:65" ht="13.5" customHeight="1" x14ac:dyDescent="0.3">
      <c r="A626" s="241"/>
      <c r="B626" s="241"/>
      <c r="C626" s="241"/>
      <c r="D626" s="241"/>
      <c r="E626" s="241"/>
      <c r="F626" s="241"/>
      <c r="G626" s="241"/>
      <c r="H626" s="241"/>
      <c r="I626" s="241"/>
      <c r="J626" s="241"/>
      <c r="K626" s="241"/>
      <c r="L626" s="241"/>
      <c r="M626" s="241"/>
      <c r="N626" s="241"/>
      <c r="O626" s="241"/>
      <c r="P626" s="241"/>
      <c r="Q626" s="241"/>
      <c r="R626" s="241"/>
      <c r="S626" s="241"/>
      <c r="T626" s="241"/>
      <c r="U626" s="241"/>
      <c r="V626" s="241"/>
      <c r="W626" s="241"/>
      <c r="X626" s="241"/>
      <c r="Y626" s="241"/>
      <c r="Z626" s="241"/>
      <c r="AA626" s="241"/>
      <c r="AB626" s="241"/>
      <c r="AC626" s="241"/>
      <c r="AD626" s="241"/>
      <c r="AE626" s="241"/>
      <c r="AF626" s="241"/>
      <c r="AG626" s="241"/>
      <c r="AH626" s="241"/>
      <c r="AI626" s="241"/>
      <c r="AJ626" s="241"/>
      <c r="AK626" s="241"/>
      <c r="AL626" s="241"/>
      <c r="AM626" s="241"/>
      <c r="AN626" s="241"/>
      <c r="AO626" s="241"/>
      <c r="AP626" s="241"/>
      <c r="AQ626" s="241"/>
      <c r="AR626" s="241"/>
      <c r="AS626" s="241"/>
      <c r="AT626" s="241"/>
      <c r="AU626" s="241"/>
      <c r="AV626" s="241"/>
      <c r="AW626" s="241"/>
      <c r="AX626" s="241"/>
      <c r="AY626" s="241"/>
      <c r="AZ626" s="241"/>
      <c r="BA626" s="241"/>
      <c r="BB626" s="241"/>
      <c r="BC626" s="241"/>
      <c r="BD626" s="241"/>
      <c r="BE626" s="241"/>
      <c r="BF626" s="241"/>
      <c r="BG626" s="241"/>
      <c r="BH626" s="241"/>
      <c r="BI626" s="241"/>
      <c r="BJ626" s="241"/>
      <c r="BK626" s="241"/>
      <c r="BL626" s="241"/>
      <c r="BM626" s="241"/>
    </row>
    <row r="627" spans="1:65" ht="13.5" customHeight="1" x14ac:dyDescent="0.3">
      <c r="A627" s="241"/>
      <c r="B627" s="241"/>
      <c r="C627" s="241"/>
      <c r="D627" s="241"/>
      <c r="E627" s="241"/>
      <c r="F627" s="241"/>
      <c r="G627" s="241"/>
      <c r="H627" s="241"/>
      <c r="I627" s="241"/>
      <c r="J627" s="241"/>
      <c r="K627" s="241"/>
      <c r="L627" s="241"/>
      <c r="M627" s="241"/>
      <c r="N627" s="241"/>
      <c r="O627" s="241"/>
      <c r="P627" s="241"/>
      <c r="Q627" s="241"/>
      <c r="R627" s="241"/>
      <c r="S627" s="241"/>
      <c r="T627" s="241"/>
      <c r="U627" s="241"/>
      <c r="V627" s="241"/>
      <c r="W627" s="241"/>
      <c r="X627" s="241"/>
      <c r="Y627" s="241"/>
      <c r="Z627" s="241"/>
      <c r="AA627" s="241"/>
      <c r="AB627" s="241"/>
      <c r="AC627" s="241"/>
      <c r="AD627" s="241"/>
      <c r="AE627" s="241"/>
      <c r="AF627" s="241"/>
      <c r="AG627" s="241"/>
      <c r="AH627" s="241"/>
      <c r="AI627" s="241"/>
      <c r="AJ627" s="241"/>
      <c r="AK627" s="241"/>
      <c r="AL627" s="241"/>
      <c r="AM627" s="241"/>
      <c r="AN627" s="241"/>
      <c r="AO627" s="241"/>
      <c r="AP627" s="241"/>
      <c r="AQ627" s="241"/>
      <c r="AR627" s="241"/>
      <c r="AS627" s="241"/>
      <c r="AT627" s="241"/>
      <c r="AU627" s="241"/>
      <c r="AV627" s="241"/>
      <c r="AW627" s="241"/>
      <c r="AX627" s="241"/>
      <c r="AY627" s="241"/>
      <c r="AZ627" s="241"/>
      <c r="BA627" s="241"/>
      <c r="BB627" s="241"/>
      <c r="BC627" s="241"/>
      <c r="BD627" s="241"/>
      <c r="BE627" s="241"/>
      <c r="BF627" s="241"/>
      <c r="BG627" s="241"/>
      <c r="BH627" s="241"/>
      <c r="BI627" s="241"/>
      <c r="BJ627" s="241"/>
      <c r="BK627" s="241"/>
      <c r="BL627" s="241"/>
      <c r="BM627" s="241"/>
    </row>
    <row r="628" spans="1:65" ht="13.5" customHeight="1" x14ac:dyDescent="0.3">
      <c r="A628" s="241"/>
      <c r="B628" s="241"/>
      <c r="C628" s="241"/>
      <c r="D628" s="241"/>
      <c r="E628" s="241"/>
      <c r="F628" s="241"/>
      <c r="G628" s="241"/>
      <c r="H628" s="241"/>
      <c r="I628" s="241"/>
      <c r="J628" s="241"/>
      <c r="K628" s="241"/>
      <c r="L628" s="241"/>
      <c r="M628" s="241"/>
      <c r="N628" s="241"/>
      <c r="O628" s="241"/>
      <c r="P628" s="241"/>
      <c r="Q628" s="241"/>
      <c r="R628" s="241"/>
      <c r="S628" s="241"/>
      <c r="T628" s="241"/>
      <c r="U628" s="241"/>
      <c r="V628" s="241"/>
      <c r="W628" s="241"/>
      <c r="X628" s="241"/>
      <c r="Y628" s="241"/>
      <c r="Z628" s="241"/>
      <c r="AA628" s="241"/>
      <c r="AB628" s="241"/>
      <c r="AC628" s="241"/>
      <c r="AD628" s="241"/>
      <c r="AE628" s="241"/>
      <c r="AF628" s="241"/>
      <c r="AG628" s="241"/>
      <c r="AH628" s="241"/>
      <c r="AI628" s="241"/>
      <c r="AJ628" s="241"/>
      <c r="AK628" s="241"/>
      <c r="AL628" s="241"/>
      <c r="AM628" s="241"/>
      <c r="AN628" s="241"/>
      <c r="AO628" s="241"/>
      <c r="AP628" s="241"/>
      <c r="AQ628" s="241"/>
      <c r="AR628" s="241"/>
      <c r="AS628" s="241"/>
      <c r="AT628" s="241"/>
      <c r="AU628" s="241"/>
      <c r="AV628" s="241"/>
      <c r="AW628" s="241"/>
      <c r="AX628" s="241"/>
      <c r="AY628" s="241"/>
      <c r="AZ628" s="241"/>
      <c r="BA628" s="241"/>
      <c r="BB628" s="241"/>
      <c r="BC628" s="241"/>
      <c r="BD628" s="241"/>
      <c r="BE628" s="241"/>
      <c r="BF628" s="241"/>
      <c r="BG628" s="241"/>
      <c r="BH628" s="241"/>
      <c r="BI628" s="241"/>
      <c r="BJ628" s="241"/>
      <c r="BK628" s="241"/>
      <c r="BL628" s="241"/>
      <c r="BM628" s="241"/>
    </row>
    <row r="629" spans="1:65" ht="13.5" customHeight="1" x14ac:dyDescent="0.3">
      <c r="A629" s="241"/>
      <c r="B629" s="241"/>
      <c r="C629" s="241"/>
      <c r="D629" s="241"/>
      <c r="E629" s="241"/>
      <c r="F629" s="241"/>
      <c r="G629" s="241"/>
      <c r="H629" s="241"/>
      <c r="I629" s="241"/>
      <c r="J629" s="241"/>
      <c r="K629" s="241"/>
      <c r="L629" s="241"/>
      <c r="M629" s="241"/>
      <c r="N629" s="241"/>
      <c r="O629" s="241"/>
      <c r="P629" s="241"/>
      <c r="Q629" s="241"/>
      <c r="R629" s="241"/>
      <c r="S629" s="241"/>
      <c r="T629" s="241"/>
      <c r="U629" s="241"/>
      <c r="V629" s="241"/>
      <c r="W629" s="241"/>
      <c r="X629" s="241"/>
      <c r="Y629" s="241"/>
      <c r="Z629" s="241"/>
      <c r="AA629" s="241"/>
      <c r="AB629" s="241"/>
      <c r="AC629" s="241"/>
      <c r="AD629" s="241"/>
      <c r="AE629" s="241"/>
      <c r="AF629" s="241"/>
      <c r="AG629" s="241"/>
      <c r="AH629" s="241"/>
      <c r="AI629" s="241"/>
      <c r="AJ629" s="241"/>
      <c r="AK629" s="241"/>
      <c r="AL629" s="241"/>
      <c r="AM629" s="241"/>
      <c r="AN629" s="241"/>
      <c r="AO629" s="241"/>
      <c r="AP629" s="241"/>
      <c r="AQ629" s="241"/>
      <c r="AR629" s="241"/>
      <c r="AS629" s="241"/>
      <c r="AT629" s="241"/>
      <c r="AU629" s="241"/>
      <c r="AV629" s="241"/>
      <c r="AW629" s="241"/>
      <c r="AX629" s="241"/>
      <c r="AY629" s="241"/>
      <c r="AZ629" s="241"/>
      <c r="BA629" s="241"/>
      <c r="BB629" s="241"/>
      <c r="BC629" s="241"/>
      <c r="BD629" s="241"/>
      <c r="BE629" s="241"/>
      <c r="BF629" s="241"/>
      <c r="BG629" s="241"/>
      <c r="BH629" s="241"/>
      <c r="BI629" s="241"/>
      <c r="BJ629" s="241"/>
      <c r="BK629" s="241"/>
      <c r="BL629" s="241"/>
      <c r="BM629" s="241"/>
    </row>
    <row r="630" spans="1:65" ht="13.5" customHeight="1" x14ac:dyDescent="0.3">
      <c r="A630" s="241"/>
      <c r="B630" s="241"/>
      <c r="C630" s="241"/>
      <c r="D630" s="241"/>
      <c r="E630" s="241"/>
      <c r="F630" s="241"/>
      <c r="G630" s="241"/>
      <c r="H630" s="241"/>
      <c r="I630" s="241"/>
      <c r="J630" s="241"/>
      <c r="K630" s="241"/>
      <c r="L630" s="241"/>
      <c r="M630" s="241"/>
      <c r="N630" s="241"/>
      <c r="O630" s="241"/>
      <c r="P630" s="241"/>
      <c r="Q630" s="241"/>
      <c r="R630" s="241"/>
      <c r="S630" s="241"/>
      <c r="T630" s="241"/>
      <c r="U630" s="241"/>
      <c r="V630" s="241"/>
      <c r="W630" s="241"/>
      <c r="X630" s="241"/>
      <c r="Y630" s="241"/>
      <c r="Z630" s="241"/>
      <c r="AA630" s="241"/>
      <c r="AB630" s="241"/>
      <c r="AC630" s="241"/>
      <c r="AD630" s="241"/>
      <c r="AE630" s="241"/>
      <c r="AF630" s="241"/>
      <c r="AG630" s="241"/>
      <c r="AH630" s="241"/>
      <c r="AI630" s="241"/>
      <c r="AJ630" s="241"/>
      <c r="AK630" s="241"/>
      <c r="AL630" s="241"/>
      <c r="AM630" s="241"/>
      <c r="AN630" s="241"/>
      <c r="AO630" s="241"/>
      <c r="AP630" s="241"/>
      <c r="AQ630" s="241"/>
      <c r="AR630" s="241"/>
      <c r="AS630" s="241"/>
      <c r="AT630" s="241"/>
      <c r="AU630" s="241"/>
      <c r="AV630" s="241"/>
      <c r="AW630" s="241"/>
      <c r="AX630" s="241"/>
      <c r="AY630" s="241"/>
      <c r="AZ630" s="241"/>
      <c r="BA630" s="241"/>
      <c r="BB630" s="241"/>
      <c r="BC630" s="241"/>
      <c r="BD630" s="241"/>
      <c r="BE630" s="241"/>
      <c r="BF630" s="241"/>
      <c r="BG630" s="241"/>
      <c r="BH630" s="241"/>
      <c r="BI630" s="241"/>
      <c r="BJ630" s="241"/>
      <c r="BK630" s="241"/>
      <c r="BL630" s="241"/>
      <c r="BM630" s="241"/>
    </row>
    <row r="631" spans="1:65" ht="13.5" customHeight="1" x14ac:dyDescent="0.3">
      <c r="A631" s="241"/>
      <c r="B631" s="241"/>
      <c r="C631" s="241"/>
      <c r="D631" s="241"/>
      <c r="E631" s="241"/>
      <c r="F631" s="241"/>
      <c r="G631" s="241"/>
      <c r="H631" s="241"/>
      <c r="I631" s="241"/>
      <c r="J631" s="241"/>
      <c r="K631" s="241"/>
      <c r="L631" s="241"/>
      <c r="M631" s="241"/>
      <c r="N631" s="241"/>
      <c r="O631" s="241"/>
      <c r="P631" s="241"/>
      <c r="Q631" s="241"/>
      <c r="R631" s="241"/>
      <c r="S631" s="241"/>
      <c r="T631" s="241"/>
      <c r="U631" s="241"/>
      <c r="V631" s="241"/>
      <c r="W631" s="241"/>
      <c r="X631" s="241"/>
      <c r="Y631" s="241"/>
      <c r="Z631" s="241"/>
      <c r="AA631" s="241"/>
      <c r="AB631" s="241"/>
      <c r="AC631" s="241"/>
      <c r="AD631" s="241"/>
      <c r="AE631" s="241"/>
      <c r="AF631" s="241"/>
      <c r="AG631" s="241"/>
      <c r="AH631" s="241"/>
      <c r="AI631" s="241"/>
      <c r="AJ631" s="241"/>
      <c r="AK631" s="241"/>
      <c r="AL631" s="241"/>
      <c r="AM631" s="241"/>
      <c r="AN631" s="241"/>
      <c r="AO631" s="241"/>
      <c r="AP631" s="241"/>
      <c r="AQ631" s="241"/>
      <c r="AR631" s="241"/>
      <c r="AS631" s="241"/>
      <c r="AT631" s="241"/>
      <c r="AU631" s="241"/>
      <c r="AV631" s="241"/>
      <c r="AW631" s="241"/>
      <c r="AX631" s="241"/>
      <c r="AY631" s="241"/>
      <c r="AZ631" s="241"/>
      <c r="BA631" s="241"/>
      <c r="BB631" s="241"/>
      <c r="BC631" s="241"/>
      <c r="BD631" s="241"/>
      <c r="BE631" s="241"/>
      <c r="BF631" s="241"/>
      <c r="BG631" s="241"/>
      <c r="BH631" s="241"/>
      <c r="BI631" s="241"/>
      <c r="BJ631" s="241"/>
      <c r="BK631" s="241"/>
      <c r="BL631" s="241"/>
      <c r="BM631" s="241"/>
    </row>
    <row r="632" spans="1:65" ht="13.5" customHeight="1" x14ac:dyDescent="0.3">
      <c r="A632" s="241"/>
      <c r="B632" s="241"/>
      <c r="C632" s="241"/>
      <c r="D632" s="241"/>
      <c r="E632" s="241"/>
      <c r="F632" s="241"/>
      <c r="G632" s="241"/>
      <c r="H632" s="241"/>
      <c r="I632" s="241"/>
      <c r="J632" s="241"/>
      <c r="K632" s="241"/>
      <c r="L632" s="241"/>
      <c r="M632" s="241"/>
      <c r="N632" s="241"/>
      <c r="O632" s="241"/>
      <c r="P632" s="241"/>
      <c r="Q632" s="241"/>
      <c r="R632" s="241"/>
      <c r="S632" s="241"/>
      <c r="T632" s="241"/>
      <c r="U632" s="241"/>
      <c r="V632" s="241"/>
      <c r="W632" s="241"/>
      <c r="X632" s="241"/>
      <c r="Y632" s="241"/>
      <c r="Z632" s="241"/>
      <c r="AA632" s="241"/>
      <c r="AB632" s="241"/>
      <c r="AC632" s="241"/>
      <c r="AD632" s="241"/>
      <c r="AE632" s="241"/>
      <c r="AF632" s="241"/>
      <c r="AG632" s="241"/>
      <c r="AH632" s="241"/>
      <c r="AI632" s="241"/>
      <c r="AJ632" s="241"/>
      <c r="AK632" s="241"/>
      <c r="AL632" s="241"/>
      <c r="AM632" s="241"/>
      <c r="AN632" s="241"/>
      <c r="AO632" s="241"/>
      <c r="AP632" s="241"/>
      <c r="AQ632" s="241"/>
      <c r="AR632" s="241"/>
      <c r="AS632" s="241"/>
      <c r="AT632" s="241"/>
      <c r="AU632" s="241"/>
      <c r="AV632" s="241"/>
      <c r="AW632" s="241"/>
      <c r="AX632" s="241"/>
      <c r="AY632" s="241"/>
      <c r="AZ632" s="241"/>
      <c r="BA632" s="241"/>
      <c r="BB632" s="241"/>
      <c r="BC632" s="241"/>
      <c r="BD632" s="241"/>
      <c r="BE632" s="241"/>
      <c r="BF632" s="241"/>
      <c r="BG632" s="241"/>
      <c r="BH632" s="241"/>
      <c r="BI632" s="241"/>
      <c r="BJ632" s="241"/>
      <c r="BK632" s="241"/>
      <c r="BL632" s="241"/>
      <c r="BM632" s="241"/>
    </row>
    <row r="633" spans="1:65" ht="13.5" customHeight="1" x14ac:dyDescent="0.3">
      <c r="A633" s="241"/>
      <c r="B633" s="241"/>
      <c r="C633" s="241"/>
      <c r="D633" s="241"/>
      <c r="E633" s="241"/>
      <c r="F633" s="241"/>
      <c r="G633" s="241"/>
      <c r="H633" s="241"/>
      <c r="I633" s="241"/>
      <c r="J633" s="241"/>
      <c r="K633" s="241"/>
      <c r="L633" s="241"/>
      <c r="M633" s="241"/>
      <c r="N633" s="241"/>
      <c r="O633" s="241"/>
      <c r="P633" s="241"/>
      <c r="Q633" s="241"/>
      <c r="R633" s="241"/>
      <c r="S633" s="241"/>
      <c r="T633" s="241"/>
      <c r="U633" s="241"/>
      <c r="V633" s="241"/>
      <c r="W633" s="241"/>
      <c r="X633" s="241"/>
      <c r="Y633" s="241"/>
      <c r="Z633" s="241"/>
      <c r="AA633" s="241"/>
      <c r="AB633" s="241"/>
      <c r="AC633" s="241"/>
      <c r="AD633" s="241"/>
      <c r="AE633" s="241"/>
      <c r="AF633" s="241"/>
      <c r="AG633" s="241"/>
      <c r="AH633" s="241"/>
      <c r="AI633" s="241"/>
      <c r="AJ633" s="241"/>
      <c r="AK633" s="241"/>
      <c r="AL633" s="241"/>
      <c r="AM633" s="241"/>
      <c r="AN633" s="241"/>
      <c r="AO633" s="241"/>
      <c r="AP633" s="241"/>
      <c r="AQ633" s="241"/>
      <c r="AR633" s="241"/>
      <c r="AS633" s="241"/>
      <c r="AT633" s="241"/>
      <c r="AU633" s="241"/>
      <c r="AV633" s="241"/>
      <c r="AW633" s="241"/>
      <c r="AX633" s="241"/>
      <c r="AY633" s="241"/>
      <c r="AZ633" s="241"/>
      <c r="BA633" s="241"/>
      <c r="BB633" s="241"/>
      <c r="BC633" s="241"/>
      <c r="BD633" s="241"/>
      <c r="BE633" s="241"/>
      <c r="BF633" s="241"/>
      <c r="BG633" s="241"/>
      <c r="BH633" s="241"/>
      <c r="BI633" s="241"/>
      <c r="BJ633" s="241"/>
      <c r="BK633" s="241"/>
      <c r="BL633" s="241"/>
      <c r="BM633" s="241"/>
    </row>
    <row r="634" spans="1:65" ht="13.5" customHeight="1" x14ac:dyDescent="0.3">
      <c r="A634" s="241"/>
      <c r="B634" s="241"/>
      <c r="C634" s="241"/>
      <c r="D634" s="241"/>
      <c r="E634" s="241"/>
      <c r="F634" s="241"/>
      <c r="G634" s="241"/>
      <c r="H634" s="241"/>
      <c r="I634" s="241"/>
      <c r="J634" s="241"/>
      <c r="K634" s="241"/>
      <c r="L634" s="241"/>
      <c r="M634" s="241"/>
      <c r="N634" s="241"/>
      <c r="O634" s="241"/>
      <c r="P634" s="241"/>
      <c r="Q634" s="241"/>
      <c r="R634" s="241"/>
      <c r="S634" s="241"/>
      <c r="T634" s="241"/>
      <c r="U634" s="241"/>
      <c r="V634" s="241"/>
      <c r="W634" s="241"/>
      <c r="X634" s="241"/>
      <c r="Y634" s="241"/>
      <c r="Z634" s="241"/>
      <c r="AA634" s="241"/>
      <c r="AB634" s="241"/>
      <c r="AC634" s="241"/>
      <c r="AD634" s="241"/>
      <c r="AE634" s="241"/>
      <c r="AF634" s="241"/>
      <c r="AG634" s="241"/>
      <c r="AH634" s="241"/>
      <c r="AI634" s="241"/>
      <c r="AJ634" s="241"/>
      <c r="AK634" s="241"/>
      <c r="AL634" s="241"/>
      <c r="AM634" s="241"/>
      <c r="AN634" s="241"/>
      <c r="AO634" s="241"/>
      <c r="AP634" s="241"/>
      <c r="AQ634" s="241"/>
      <c r="AR634" s="241"/>
      <c r="AS634" s="241"/>
      <c r="AT634" s="241"/>
      <c r="AU634" s="241"/>
      <c r="AV634" s="241"/>
      <c r="AW634" s="241"/>
      <c r="AX634" s="241"/>
      <c r="AY634" s="241"/>
      <c r="AZ634" s="241"/>
      <c r="BA634" s="241"/>
      <c r="BB634" s="241"/>
      <c r="BC634" s="241"/>
      <c r="BD634" s="241"/>
      <c r="BE634" s="241"/>
      <c r="BF634" s="241"/>
      <c r="BG634" s="241"/>
      <c r="BH634" s="241"/>
      <c r="BI634" s="241"/>
      <c r="BJ634" s="241"/>
      <c r="BK634" s="241"/>
      <c r="BL634" s="241"/>
      <c r="BM634" s="241"/>
    </row>
    <row r="635" spans="1:65" ht="13.5" customHeight="1" x14ac:dyDescent="0.3">
      <c r="A635" s="241"/>
      <c r="B635" s="241"/>
      <c r="C635" s="241"/>
      <c r="D635" s="241"/>
      <c r="E635" s="241"/>
      <c r="F635" s="241"/>
      <c r="G635" s="241"/>
      <c r="H635" s="241"/>
      <c r="I635" s="241"/>
      <c r="J635" s="241"/>
      <c r="K635" s="241"/>
      <c r="L635" s="241"/>
      <c r="M635" s="241"/>
      <c r="N635" s="241"/>
      <c r="O635" s="241"/>
      <c r="P635" s="241"/>
      <c r="Q635" s="241"/>
      <c r="R635" s="241"/>
      <c r="S635" s="241"/>
      <c r="T635" s="241"/>
      <c r="U635" s="241"/>
      <c r="V635" s="241"/>
      <c r="W635" s="241"/>
      <c r="X635" s="241"/>
      <c r="Y635" s="241"/>
      <c r="Z635" s="241"/>
      <c r="AA635" s="241"/>
      <c r="AB635" s="241"/>
      <c r="AC635" s="241"/>
      <c r="AD635" s="241"/>
      <c r="AE635" s="241"/>
      <c r="AF635" s="241"/>
      <c r="AG635" s="241"/>
      <c r="AH635" s="241"/>
      <c r="AI635" s="241"/>
      <c r="AJ635" s="241"/>
      <c r="AK635" s="241"/>
      <c r="AL635" s="241"/>
      <c r="AM635" s="241"/>
      <c r="AN635" s="241"/>
      <c r="AO635" s="241"/>
      <c r="AP635" s="241"/>
      <c r="AQ635" s="241"/>
      <c r="AR635" s="241"/>
      <c r="AS635" s="241"/>
      <c r="AT635" s="241"/>
      <c r="AU635" s="241"/>
      <c r="AV635" s="241"/>
      <c r="AW635" s="241"/>
      <c r="AX635" s="241"/>
      <c r="AY635" s="241"/>
      <c r="AZ635" s="241"/>
      <c r="BA635" s="241"/>
      <c r="BB635" s="241"/>
      <c r="BC635" s="241"/>
      <c r="BD635" s="241"/>
      <c r="BE635" s="241"/>
      <c r="BF635" s="241"/>
      <c r="BG635" s="241"/>
      <c r="BH635" s="241"/>
      <c r="BI635" s="241"/>
      <c r="BJ635" s="241"/>
      <c r="BK635" s="241"/>
      <c r="BL635" s="241"/>
      <c r="BM635" s="241"/>
    </row>
    <row r="636" spans="1:65" ht="13.5" customHeight="1" x14ac:dyDescent="0.3">
      <c r="A636" s="241"/>
      <c r="B636" s="241"/>
      <c r="C636" s="241"/>
      <c r="D636" s="241"/>
      <c r="E636" s="241"/>
      <c r="F636" s="241"/>
      <c r="G636" s="241"/>
      <c r="H636" s="241"/>
      <c r="I636" s="241"/>
      <c r="J636" s="241"/>
      <c r="K636" s="241"/>
      <c r="L636" s="241"/>
      <c r="M636" s="241"/>
      <c r="N636" s="241"/>
      <c r="O636" s="241"/>
      <c r="P636" s="241"/>
      <c r="Q636" s="241"/>
      <c r="R636" s="241"/>
      <c r="S636" s="241"/>
      <c r="T636" s="241"/>
      <c r="U636" s="241"/>
      <c r="V636" s="241"/>
      <c r="W636" s="241"/>
      <c r="X636" s="241"/>
      <c r="Y636" s="241"/>
      <c r="Z636" s="241"/>
      <c r="AA636" s="241"/>
      <c r="AB636" s="241"/>
      <c r="AC636" s="241"/>
      <c r="AD636" s="241"/>
      <c r="AE636" s="241"/>
      <c r="AF636" s="241"/>
      <c r="AG636" s="241"/>
      <c r="AH636" s="241"/>
      <c r="AI636" s="241"/>
      <c r="AJ636" s="241"/>
      <c r="AK636" s="241"/>
      <c r="AL636" s="241"/>
      <c r="AM636" s="241"/>
      <c r="AN636" s="241"/>
      <c r="AO636" s="241"/>
      <c r="AP636" s="241"/>
      <c r="AQ636" s="241"/>
      <c r="AR636" s="241"/>
      <c r="AS636" s="241"/>
      <c r="AT636" s="241"/>
      <c r="AU636" s="241"/>
      <c r="AV636" s="241"/>
      <c r="AW636" s="241"/>
      <c r="AX636" s="241"/>
      <c r="AY636" s="241"/>
      <c r="AZ636" s="241"/>
      <c r="BA636" s="241"/>
      <c r="BB636" s="241"/>
      <c r="BC636" s="241"/>
      <c r="BD636" s="241"/>
      <c r="BE636" s="241"/>
      <c r="BF636" s="241"/>
      <c r="BG636" s="241"/>
      <c r="BH636" s="241"/>
      <c r="BI636" s="241"/>
      <c r="BJ636" s="241"/>
      <c r="BK636" s="241"/>
      <c r="BL636" s="241"/>
      <c r="BM636" s="241"/>
    </row>
    <row r="637" spans="1:65" ht="13.5" customHeight="1" x14ac:dyDescent="0.3">
      <c r="A637" s="241"/>
      <c r="B637" s="241"/>
      <c r="C637" s="241"/>
      <c r="D637" s="241"/>
      <c r="E637" s="241"/>
      <c r="F637" s="241"/>
      <c r="G637" s="241"/>
      <c r="H637" s="241"/>
      <c r="I637" s="241"/>
      <c r="J637" s="241"/>
      <c r="K637" s="241"/>
      <c r="L637" s="241"/>
      <c r="M637" s="241"/>
      <c r="N637" s="241"/>
      <c r="O637" s="241"/>
      <c r="P637" s="241"/>
      <c r="Q637" s="241"/>
      <c r="R637" s="241"/>
      <c r="S637" s="241"/>
      <c r="T637" s="241"/>
      <c r="U637" s="241"/>
      <c r="V637" s="241"/>
      <c r="W637" s="241"/>
      <c r="X637" s="241"/>
      <c r="Y637" s="241"/>
      <c r="Z637" s="241"/>
      <c r="AA637" s="241"/>
      <c r="AB637" s="241"/>
      <c r="AC637" s="241"/>
      <c r="AD637" s="241"/>
      <c r="AE637" s="241"/>
      <c r="AF637" s="241"/>
      <c r="AG637" s="241"/>
      <c r="AH637" s="241"/>
      <c r="AI637" s="241"/>
      <c r="AJ637" s="241"/>
      <c r="AK637" s="241"/>
      <c r="AL637" s="241"/>
      <c r="AM637" s="241"/>
      <c r="AN637" s="241"/>
      <c r="AO637" s="241"/>
      <c r="AP637" s="241"/>
      <c r="AQ637" s="241"/>
      <c r="AR637" s="241"/>
      <c r="AS637" s="241"/>
      <c r="AT637" s="241"/>
      <c r="AU637" s="241"/>
      <c r="AV637" s="241"/>
      <c r="AW637" s="241"/>
      <c r="AX637" s="241"/>
      <c r="AY637" s="241"/>
      <c r="AZ637" s="241"/>
      <c r="BA637" s="241"/>
      <c r="BB637" s="241"/>
      <c r="BC637" s="241"/>
      <c r="BD637" s="241"/>
      <c r="BE637" s="241"/>
      <c r="BF637" s="241"/>
      <c r="BG637" s="241"/>
      <c r="BH637" s="241"/>
      <c r="BI637" s="241"/>
      <c r="BJ637" s="241"/>
      <c r="BK637" s="241"/>
      <c r="BL637" s="241"/>
      <c r="BM637" s="241"/>
    </row>
    <row r="638" spans="1:65" ht="13.5" customHeight="1" x14ac:dyDescent="0.3">
      <c r="A638" s="241"/>
      <c r="B638" s="241"/>
      <c r="C638" s="241"/>
      <c r="D638" s="241"/>
      <c r="E638" s="241"/>
      <c r="F638" s="241"/>
      <c r="G638" s="241"/>
      <c r="H638" s="241"/>
      <c r="I638" s="241"/>
      <c r="J638" s="241"/>
      <c r="K638" s="241"/>
      <c r="L638" s="241"/>
      <c r="M638" s="241"/>
      <c r="N638" s="241"/>
      <c r="O638" s="241"/>
      <c r="P638" s="241"/>
      <c r="Q638" s="241"/>
      <c r="R638" s="241"/>
      <c r="S638" s="241"/>
      <c r="T638" s="241"/>
      <c r="U638" s="241"/>
      <c r="V638" s="241"/>
      <c r="W638" s="241"/>
      <c r="X638" s="241"/>
      <c r="Y638" s="241"/>
      <c r="Z638" s="241"/>
      <c r="AA638" s="241"/>
      <c r="AB638" s="241"/>
      <c r="AC638" s="241"/>
      <c r="AD638" s="241"/>
      <c r="AE638" s="241"/>
      <c r="AF638" s="241"/>
      <c r="AG638" s="241"/>
      <c r="AH638" s="241"/>
      <c r="AI638" s="241"/>
      <c r="AJ638" s="241"/>
      <c r="AK638" s="241"/>
      <c r="AL638" s="241"/>
      <c r="AM638" s="241"/>
      <c r="AN638" s="241"/>
      <c r="AO638" s="241"/>
      <c r="AP638" s="241"/>
      <c r="AQ638" s="241"/>
      <c r="AR638" s="241"/>
      <c r="AS638" s="241"/>
      <c r="AT638" s="241"/>
      <c r="AU638" s="241"/>
      <c r="AV638" s="241"/>
      <c r="AW638" s="241"/>
      <c r="AX638" s="241"/>
      <c r="AY638" s="241"/>
      <c r="AZ638" s="241"/>
      <c r="BA638" s="241"/>
      <c r="BB638" s="241"/>
      <c r="BC638" s="241"/>
      <c r="BD638" s="241"/>
      <c r="BE638" s="241"/>
      <c r="BF638" s="241"/>
      <c r="BG638" s="241"/>
      <c r="BH638" s="241"/>
      <c r="BI638" s="241"/>
      <c r="BJ638" s="241"/>
      <c r="BK638" s="241"/>
      <c r="BL638" s="241"/>
      <c r="BM638" s="241"/>
    </row>
    <row r="639" spans="1:65" ht="13.5" customHeight="1" x14ac:dyDescent="0.3">
      <c r="A639" s="241"/>
      <c r="B639" s="241"/>
      <c r="C639" s="241"/>
      <c r="D639" s="241"/>
      <c r="E639" s="241"/>
      <c r="F639" s="241"/>
      <c r="G639" s="241"/>
      <c r="H639" s="241"/>
      <c r="I639" s="241"/>
      <c r="J639" s="241"/>
      <c r="K639" s="241"/>
      <c r="L639" s="241"/>
      <c r="M639" s="241"/>
      <c r="N639" s="241"/>
      <c r="O639" s="241"/>
      <c r="P639" s="241"/>
      <c r="Q639" s="241"/>
      <c r="R639" s="241"/>
      <c r="S639" s="241"/>
      <c r="T639" s="241"/>
      <c r="U639" s="241"/>
      <c r="V639" s="241"/>
      <c r="W639" s="241"/>
      <c r="X639" s="241"/>
      <c r="Y639" s="241"/>
      <c r="Z639" s="241"/>
      <c r="AA639" s="241"/>
      <c r="AB639" s="241"/>
      <c r="AC639" s="241"/>
      <c r="AD639" s="241"/>
      <c r="AE639" s="241"/>
      <c r="AF639" s="241"/>
      <c r="AG639" s="241"/>
      <c r="AH639" s="241"/>
      <c r="AI639" s="241"/>
      <c r="AJ639" s="241"/>
      <c r="AK639" s="241"/>
      <c r="AL639" s="241"/>
      <c r="AM639" s="241"/>
      <c r="AN639" s="241"/>
      <c r="AO639" s="241"/>
      <c r="AP639" s="241"/>
      <c r="AQ639" s="241"/>
      <c r="AR639" s="241"/>
      <c r="AS639" s="241"/>
      <c r="AT639" s="241"/>
      <c r="AU639" s="241"/>
      <c r="AV639" s="241"/>
      <c r="AW639" s="241"/>
      <c r="AX639" s="241"/>
      <c r="AY639" s="241"/>
      <c r="AZ639" s="241"/>
      <c r="BA639" s="241"/>
      <c r="BB639" s="241"/>
      <c r="BC639" s="241"/>
      <c r="BD639" s="241"/>
      <c r="BE639" s="241"/>
      <c r="BF639" s="241"/>
      <c r="BG639" s="241"/>
      <c r="BH639" s="241"/>
      <c r="BI639" s="241"/>
      <c r="BJ639" s="241"/>
      <c r="BK639" s="241"/>
      <c r="BL639" s="241"/>
      <c r="BM639" s="241"/>
    </row>
    <row r="640" spans="1:65" ht="13.5" customHeight="1" x14ac:dyDescent="0.3">
      <c r="A640" s="241"/>
      <c r="B640" s="241"/>
      <c r="C640" s="241"/>
      <c r="D640" s="241"/>
      <c r="E640" s="241"/>
      <c r="F640" s="241"/>
      <c r="G640" s="241"/>
      <c r="H640" s="241"/>
      <c r="I640" s="241"/>
      <c r="J640" s="241"/>
      <c r="K640" s="241"/>
      <c r="L640" s="241"/>
      <c r="M640" s="241"/>
      <c r="N640" s="241"/>
      <c r="O640" s="241"/>
      <c r="P640" s="241"/>
      <c r="Q640" s="241"/>
      <c r="R640" s="241"/>
      <c r="S640" s="241"/>
      <c r="T640" s="241"/>
      <c r="U640" s="241"/>
      <c r="V640" s="241"/>
      <c r="W640" s="241"/>
      <c r="X640" s="241"/>
      <c r="Y640" s="241"/>
      <c r="Z640" s="241"/>
      <c r="AA640" s="241"/>
      <c r="AB640" s="241"/>
      <c r="AC640" s="241"/>
      <c r="AD640" s="241"/>
      <c r="AE640" s="241"/>
      <c r="AF640" s="241"/>
      <c r="AG640" s="241"/>
      <c r="AH640" s="241"/>
      <c r="AI640" s="241"/>
      <c r="AJ640" s="241"/>
      <c r="AK640" s="241"/>
      <c r="AL640" s="241"/>
      <c r="AM640" s="241"/>
      <c r="AN640" s="241"/>
      <c r="AO640" s="241"/>
      <c r="AP640" s="241"/>
      <c r="AQ640" s="241"/>
      <c r="AR640" s="241"/>
      <c r="AS640" s="241"/>
      <c r="AT640" s="241"/>
      <c r="AU640" s="241"/>
      <c r="AV640" s="241"/>
      <c r="AW640" s="241"/>
      <c r="AX640" s="241"/>
      <c r="AY640" s="241"/>
      <c r="AZ640" s="241"/>
      <c r="BA640" s="241"/>
      <c r="BB640" s="241"/>
      <c r="BC640" s="241"/>
      <c r="BD640" s="241"/>
      <c r="BE640" s="241"/>
      <c r="BF640" s="241"/>
      <c r="BG640" s="241"/>
      <c r="BH640" s="241"/>
      <c r="BI640" s="241"/>
      <c r="BJ640" s="241"/>
      <c r="BK640" s="241"/>
      <c r="BL640" s="241"/>
      <c r="BM640" s="241"/>
    </row>
    <row r="641" spans="1:65" ht="13.5" customHeight="1" x14ac:dyDescent="0.3">
      <c r="A641" s="241"/>
      <c r="B641" s="241"/>
      <c r="C641" s="241"/>
      <c r="D641" s="241"/>
      <c r="E641" s="241"/>
      <c r="F641" s="241"/>
      <c r="G641" s="241"/>
      <c r="H641" s="241"/>
      <c r="I641" s="241"/>
      <c r="J641" s="241"/>
      <c r="K641" s="241"/>
      <c r="L641" s="241"/>
      <c r="M641" s="241"/>
      <c r="N641" s="241"/>
      <c r="O641" s="241"/>
      <c r="P641" s="241"/>
      <c r="Q641" s="241"/>
      <c r="R641" s="241"/>
      <c r="S641" s="241"/>
      <c r="T641" s="241"/>
      <c r="U641" s="241"/>
      <c r="V641" s="241"/>
      <c r="W641" s="241"/>
      <c r="X641" s="241"/>
      <c r="Y641" s="241"/>
      <c r="Z641" s="241"/>
      <c r="AA641" s="241"/>
      <c r="AB641" s="241"/>
      <c r="AC641" s="241"/>
      <c r="AD641" s="241"/>
      <c r="AE641" s="241"/>
      <c r="AF641" s="241"/>
      <c r="AG641" s="241"/>
      <c r="AH641" s="241"/>
      <c r="AI641" s="241"/>
      <c r="AJ641" s="241"/>
      <c r="AK641" s="241"/>
      <c r="AL641" s="241"/>
      <c r="AM641" s="241"/>
      <c r="AN641" s="241"/>
      <c r="AO641" s="241"/>
      <c r="AP641" s="241"/>
      <c r="AQ641" s="241"/>
      <c r="AR641" s="241"/>
      <c r="AS641" s="241"/>
      <c r="AT641" s="241"/>
      <c r="AU641" s="241"/>
      <c r="AV641" s="241"/>
      <c r="AW641" s="241"/>
      <c r="AX641" s="241"/>
      <c r="AY641" s="241"/>
      <c r="AZ641" s="241"/>
      <c r="BA641" s="241"/>
      <c r="BB641" s="241"/>
      <c r="BC641" s="241"/>
      <c r="BD641" s="241"/>
      <c r="BE641" s="241"/>
      <c r="BF641" s="241"/>
      <c r="BG641" s="241"/>
      <c r="BH641" s="241"/>
      <c r="BI641" s="241"/>
      <c r="BJ641" s="241"/>
      <c r="BK641" s="241"/>
      <c r="BL641" s="241"/>
      <c r="BM641" s="241"/>
    </row>
    <row r="642" spans="1:65" ht="13.5" customHeight="1" x14ac:dyDescent="0.3">
      <c r="A642" s="241"/>
      <c r="B642" s="241"/>
      <c r="C642" s="241"/>
      <c r="D642" s="241"/>
      <c r="E642" s="241"/>
      <c r="F642" s="241"/>
      <c r="G642" s="241"/>
      <c r="H642" s="241"/>
      <c r="I642" s="241"/>
      <c r="J642" s="241"/>
      <c r="K642" s="241"/>
      <c r="L642" s="241"/>
      <c r="M642" s="241"/>
      <c r="N642" s="241"/>
      <c r="O642" s="241"/>
      <c r="P642" s="241"/>
      <c r="Q642" s="241"/>
      <c r="R642" s="241"/>
      <c r="S642" s="241"/>
      <c r="T642" s="241"/>
      <c r="U642" s="241"/>
      <c r="V642" s="241"/>
      <c r="W642" s="241"/>
      <c r="X642" s="241"/>
      <c r="Y642" s="241"/>
      <c r="Z642" s="241"/>
      <c r="AA642" s="241"/>
      <c r="AB642" s="241"/>
      <c r="AC642" s="241"/>
      <c r="AD642" s="241"/>
      <c r="AE642" s="241"/>
      <c r="AF642" s="241"/>
      <c r="AG642" s="241"/>
      <c r="AH642" s="241"/>
      <c r="AI642" s="241"/>
      <c r="AJ642" s="241"/>
      <c r="AK642" s="241"/>
      <c r="AL642" s="241"/>
      <c r="AM642" s="241"/>
      <c r="AN642" s="241"/>
      <c r="AO642" s="241"/>
      <c r="AP642" s="241"/>
      <c r="AQ642" s="241"/>
      <c r="AR642" s="241"/>
      <c r="AS642" s="241"/>
      <c r="AT642" s="241"/>
      <c r="AU642" s="241"/>
      <c r="AV642" s="241"/>
      <c r="AW642" s="241"/>
      <c r="AX642" s="241"/>
      <c r="AY642" s="241"/>
      <c r="AZ642" s="241"/>
      <c r="BA642" s="241"/>
      <c r="BB642" s="241"/>
      <c r="BC642" s="241"/>
      <c r="BD642" s="241"/>
      <c r="BE642" s="241"/>
      <c r="BF642" s="241"/>
      <c r="BG642" s="241"/>
      <c r="BH642" s="241"/>
      <c r="BI642" s="241"/>
      <c r="BJ642" s="241"/>
      <c r="BK642" s="241"/>
      <c r="BL642" s="241"/>
      <c r="BM642" s="241"/>
    </row>
    <row r="643" spans="1:65" ht="13.5" customHeight="1" x14ac:dyDescent="0.3">
      <c r="A643" s="241"/>
      <c r="B643" s="241"/>
      <c r="C643" s="241"/>
      <c r="D643" s="241"/>
      <c r="E643" s="241"/>
      <c r="F643" s="241"/>
      <c r="G643" s="241"/>
      <c r="H643" s="241"/>
      <c r="I643" s="241"/>
      <c r="J643" s="241"/>
      <c r="K643" s="241"/>
      <c r="L643" s="241"/>
      <c r="M643" s="241"/>
      <c r="N643" s="241"/>
      <c r="O643" s="241"/>
      <c r="P643" s="241"/>
      <c r="Q643" s="241"/>
      <c r="R643" s="241"/>
      <c r="S643" s="241"/>
      <c r="T643" s="241"/>
      <c r="U643" s="241"/>
      <c r="V643" s="241"/>
      <c r="W643" s="241"/>
      <c r="X643" s="241"/>
      <c r="Y643" s="241"/>
      <c r="Z643" s="241"/>
      <c r="AA643" s="241"/>
      <c r="AB643" s="241"/>
      <c r="AC643" s="241"/>
      <c r="AD643" s="241"/>
      <c r="AE643" s="241"/>
      <c r="AF643" s="241"/>
      <c r="AG643" s="241"/>
      <c r="AH643" s="241"/>
      <c r="AI643" s="241"/>
      <c r="AJ643" s="241"/>
      <c r="AK643" s="241"/>
      <c r="AL643" s="241"/>
      <c r="AM643" s="241"/>
      <c r="AN643" s="241"/>
      <c r="AO643" s="241"/>
      <c r="AP643" s="241"/>
      <c r="AQ643" s="241"/>
      <c r="AR643" s="241"/>
      <c r="AS643" s="241"/>
      <c r="AT643" s="241"/>
      <c r="AU643" s="241"/>
      <c r="AV643" s="241"/>
      <c r="AW643" s="241"/>
      <c r="AX643" s="241"/>
      <c r="AY643" s="241"/>
      <c r="AZ643" s="241"/>
      <c r="BA643" s="241"/>
      <c r="BB643" s="241"/>
      <c r="BC643" s="241"/>
      <c r="BD643" s="241"/>
      <c r="BE643" s="241"/>
      <c r="BF643" s="241"/>
      <c r="BG643" s="241"/>
      <c r="BH643" s="241"/>
      <c r="BI643" s="241"/>
      <c r="BJ643" s="241"/>
      <c r="BK643" s="241"/>
      <c r="BL643" s="241"/>
      <c r="BM643" s="241"/>
    </row>
    <row r="644" spans="1:65" ht="13.5" customHeight="1" x14ac:dyDescent="0.3">
      <c r="A644" s="241"/>
      <c r="B644" s="241"/>
      <c r="C644" s="241"/>
      <c r="D644" s="241"/>
      <c r="E644" s="241"/>
      <c r="F644" s="241"/>
      <c r="G644" s="241"/>
      <c r="H644" s="241"/>
      <c r="I644" s="241"/>
      <c r="J644" s="241"/>
      <c r="K644" s="241"/>
      <c r="L644" s="241"/>
      <c r="M644" s="241"/>
      <c r="N644" s="241"/>
      <c r="O644" s="241"/>
      <c r="P644" s="241"/>
      <c r="Q644" s="241"/>
      <c r="R644" s="241"/>
      <c r="S644" s="241"/>
      <c r="T644" s="241"/>
      <c r="U644" s="241"/>
      <c r="V644" s="241"/>
      <c r="W644" s="241"/>
      <c r="X644" s="241"/>
      <c r="Y644" s="241"/>
      <c r="Z644" s="241"/>
      <c r="AA644" s="241"/>
      <c r="AB644" s="241"/>
      <c r="AC644" s="241"/>
      <c r="AD644" s="241"/>
      <c r="AE644" s="241"/>
      <c r="AF644" s="241"/>
      <c r="AG644" s="241"/>
      <c r="AH644" s="241"/>
      <c r="AI644" s="241"/>
      <c r="AJ644" s="241"/>
      <c r="AK644" s="241"/>
      <c r="AL644" s="241"/>
      <c r="AM644" s="241"/>
      <c r="AN644" s="241"/>
      <c r="AO644" s="241"/>
      <c r="AP644" s="241"/>
      <c r="AQ644" s="241"/>
      <c r="AR644" s="241"/>
      <c r="AS644" s="241"/>
      <c r="AT644" s="241"/>
      <c r="AU644" s="241"/>
      <c r="AV644" s="241"/>
      <c r="AW644" s="241"/>
      <c r="AX644" s="241"/>
      <c r="AY644" s="241"/>
      <c r="AZ644" s="241"/>
      <c r="BA644" s="241"/>
      <c r="BB644" s="241"/>
      <c r="BC644" s="241"/>
      <c r="BD644" s="241"/>
      <c r="BE644" s="241"/>
      <c r="BF644" s="241"/>
      <c r="BG644" s="241"/>
      <c r="BH644" s="241"/>
      <c r="BI644" s="241"/>
      <c r="BJ644" s="241"/>
      <c r="BK644" s="241"/>
      <c r="BL644" s="241"/>
      <c r="BM644" s="241"/>
    </row>
    <row r="645" spans="1:65" ht="13.5" customHeight="1" x14ac:dyDescent="0.3">
      <c r="A645" s="241"/>
      <c r="B645" s="241"/>
      <c r="C645" s="241"/>
      <c r="D645" s="241"/>
      <c r="E645" s="241"/>
      <c r="F645" s="241"/>
      <c r="G645" s="241"/>
      <c r="H645" s="241"/>
      <c r="I645" s="241"/>
      <c r="J645" s="241"/>
      <c r="K645" s="241"/>
      <c r="L645" s="241"/>
      <c r="M645" s="241"/>
      <c r="N645" s="241"/>
      <c r="O645" s="241"/>
      <c r="P645" s="241"/>
      <c r="Q645" s="241"/>
      <c r="R645" s="241"/>
      <c r="S645" s="241"/>
      <c r="T645" s="241"/>
      <c r="U645" s="241"/>
      <c r="V645" s="241"/>
      <c r="W645" s="241"/>
      <c r="X645" s="241"/>
      <c r="Y645" s="241"/>
      <c r="Z645" s="241"/>
      <c r="AA645" s="241"/>
      <c r="AB645" s="241"/>
      <c r="AC645" s="241"/>
      <c r="AD645" s="241"/>
      <c r="AE645" s="241"/>
      <c r="AF645" s="241"/>
      <c r="AG645" s="241"/>
      <c r="AH645" s="241"/>
      <c r="AI645" s="241"/>
      <c r="AJ645" s="241"/>
      <c r="AK645" s="241"/>
      <c r="AL645" s="241"/>
      <c r="AM645" s="241"/>
      <c r="AN645" s="241"/>
      <c r="AO645" s="241"/>
      <c r="AP645" s="241"/>
      <c r="AQ645" s="241"/>
      <c r="AR645" s="241"/>
      <c r="AS645" s="241"/>
      <c r="AT645" s="241"/>
      <c r="AU645" s="241"/>
      <c r="AV645" s="241"/>
      <c r="AW645" s="241"/>
      <c r="AX645" s="241"/>
      <c r="AY645" s="241"/>
      <c r="AZ645" s="241"/>
      <c r="BA645" s="241"/>
      <c r="BB645" s="241"/>
      <c r="BC645" s="241"/>
      <c r="BD645" s="241"/>
      <c r="BE645" s="241"/>
      <c r="BF645" s="241"/>
      <c r="BG645" s="241"/>
      <c r="BH645" s="241"/>
      <c r="BI645" s="241"/>
      <c r="BJ645" s="241"/>
      <c r="BK645" s="241"/>
      <c r="BL645" s="241"/>
      <c r="BM645" s="241"/>
    </row>
    <row r="646" spans="1:65" ht="13.5" customHeight="1" x14ac:dyDescent="0.3">
      <c r="A646" s="241"/>
      <c r="B646" s="241"/>
      <c r="C646" s="241"/>
      <c r="D646" s="241"/>
      <c r="E646" s="241"/>
      <c r="F646" s="241"/>
      <c r="G646" s="241"/>
      <c r="H646" s="241"/>
      <c r="I646" s="241"/>
      <c r="J646" s="241"/>
      <c r="K646" s="241"/>
      <c r="L646" s="241"/>
      <c r="M646" s="241"/>
      <c r="N646" s="241"/>
      <c r="O646" s="241"/>
      <c r="P646" s="241"/>
      <c r="Q646" s="241"/>
      <c r="R646" s="241"/>
      <c r="S646" s="241"/>
      <c r="T646" s="241"/>
      <c r="U646" s="241"/>
      <c r="V646" s="241"/>
      <c r="W646" s="241"/>
      <c r="X646" s="241"/>
      <c r="Y646" s="241"/>
      <c r="Z646" s="241"/>
      <c r="AA646" s="241"/>
      <c r="AB646" s="241"/>
      <c r="AC646" s="241"/>
      <c r="AD646" s="241"/>
      <c r="AE646" s="241"/>
      <c r="AF646" s="241"/>
      <c r="AG646" s="241"/>
      <c r="AH646" s="241"/>
      <c r="AI646" s="241"/>
      <c r="AJ646" s="241"/>
      <c r="AK646" s="241"/>
      <c r="AL646" s="241"/>
      <c r="AM646" s="241"/>
      <c r="AN646" s="241"/>
      <c r="AO646" s="241"/>
      <c r="AP646" s="241"/>
      <c r="AQ646" s="241"/>
      <c r="AR646" s="241"/>
      <c r="AS646" s="241"/>
      <c r="AT646" s="241"/>
      <c r="AU646" s="241"/>
      <c r="AV646" s="241"/>
      <c r="AW646" s="241"/>
      <c r="AX646" s="241"/>
      <c r="AY646" s="241"/>
      <c r="AZ646" s="241"/>
      <c r="BA646" s="241"/>
      <c r="BB646" s="241"/>
      <c r="BC646" s="241"/>
      <c r="BD646" s="241"/>
      <c r="BE646" s="241"/>
      <c r="BF646" s="241"/>
      <c r="BG646" s="241"/>
      <c r="BH646" s="241"/>
      <c r="BI646" s="241"/>
      <c r="BJ646" s="241"/>
      <c r="BK646" s="241"/>
      <c r="BL646" s="241"/>
      <c r="BM646" s="241"/>
    </row>
    <row r="647" spans="1:65" ht="13.5" customHeight="1" x14ac:dyDescent="0.3">
      <c r="A647" s="241"/>
      <c r="B647" s="241"/>
      <c r="C647" s="241"/>
      <c r="D647" s="241"/>
      <c r="E647" s="241"/>
      <c r="F647" s="241"/>
      <c r="G647" s="241"/>
      <c r="H647" s="241"/>
      <c r="I647" s="241"/>
      <c r="J647" s="241"/>
      <c r="K647" s="241"/>
      <c r="L647" s="241"/>
      <c r="M647" s="241"/>
      <c r="N647" s="241"/>
      <c r="O647" s="241"/>
      <c r="P647" s="241"/>
      <c r="Q647" s="241"/>
      <c r="R647" s="241"/>
      <c r="S647" s="241"/>
      <c r="T647" s="241"/>
      <c r="U647" s="241"/>
      <c r="V647" s="241"/>
      <c r="W647" s="241"/>
      <c r="X647" s="241"/>
      <c r="Y647" s="241"/>
      <c r="Z647" s="241"/>
      <c r="AA647" s="241"/>
      <c r="AB647" s="241"/>
      <c r="AC647" s="241"/>
      <c r="AD647" s="241"/>
      <c r="AE647" s="241"/>
      <c r="AF647" s="241"/>
      <c r="AG647" s="241"/>
      <c r="AH647" s="241"/>
      <c r="AI647" s="241"/>
      <c r="AJ647" s="241"/>
      <c r="AK647" s="241"/>
      <c r="AL647" s="241"/>
      <c r="AM647" s="241"/>
      <c r="AN647" s="241"/>
      <c r="AO647" s="241"/>
      <c r="AP647" s="241"/>
      <c r="AQ647" s="241"/>
      <c r="AR647" s="241"/>
      <c r="AS647" s="241"/>
      <c r="AT647" s="241"/>
      <c r="AU647" s="241"/>
      <c r="AV647" s="241"/>
      <c r="AW647" s="241"/>
      <c r="AX647" s="241"/>
      <c r="AY647" s="241"/>
      <c r="AZ647" s="241"/>
      <c r="BA647" s="241"/>
      <c r="BB647" s="241"/>
      <c r="BC647" s="241"/>
      <c r="BD647" s="241"/>
      <c r="BE647" s="241"/>
      <c r="BF647" s="241"/>
      <c r="BG647" s="241"/>
      <c r="BH647" s="241"/>
      <c r="BI647" s="241"/>
      <c r="BJ647" s="241"/>
      <c r="BK647" s="241"/>
      <c r="BL647" s="241"/>
      <c r="BM647" s="241"/>
    </row>
    <row r="648" spans="1:65" ht="13.5" customHeight="1" x14ac:dyDescent="0.3">
      <c r="A648" s="241"/>
      <c r="B648" s="241"/>
      <c r="C648" s="241"/>
      <c r="D648" s="241"/>
      <c r="E648" s="241"/>
      <c r="F648" s="241"/>
      <c r="G648" s="241"/>
      <c r="H648" s="241"/>
      <c r="I648" s="241"/>
      <c r="J648" s="241"/>
      <c r="K648" s="241"/>
      <c r="L648" s="241"/>
      <c r="M648" s="241"/>
      <c r="N648" s="241"/>
      <c r="O648" s="241"/>
      <c r="P648" s="241"/>
      <c r="Q648" s="241"/>
      <c r="R648" s="241"/>
      <c r="S648" s="241"/>
      <c r="T648" s="241"/>
      <c r="U648" s="241"/>
      <c r="V648" s="241"/>
      <c r="W648" s="241"/>
      <c r="X648" s="241"/>
      <c r="Y648" s="241"/>
      <c r="Z648" s="241"/>
      <c r="AA648" s="241"/>
      <c r="AB648" s="241"/>
      <c r="AC648" s="241"/>
      <c r="AD648" s="241"/>
      <c r="AE648" s="241"/>
      <c r="AF648" s="241"/>
      <c r="AG648" s="241"/>
      <c r="AH648" s="241"/>
      <c r="AI648" s="241"/>
      <c r="AJ648" s="241"/>
      <c r="AK648" s="241"/>
      <c r="AL648" s="241"/>
      <c r="AM648" s="241"/>
      <c r="AN648" s="241"/>
      <c r="AO648" s="241"/>
      <c r="AP648" s="241"/>
      <c r="AQ648" s="241"/>
      <c r="AR648" s="241"/>
      <c r="AS648" s="241"/>
      <c r="AT648" s="241"/>
      <c r="AU648" s="241"/>
      <c r="AV648" s="241"/>
      <c r="AW648" s="241"/>
      <c r="AX648" s="241"/>
      <c r="AY648" s="241"/>
      <c r="AZ648" s="241"/>
      <c r="BA648" s="241"/>
      <c r="BB648" s="241"/>
      <c r="BC648" s="241"/>
      <c r="BD648" s="241"/>
      <c r="BE648" s="241"/>
      <c r="BF648" s="241"/>
      <c r="BG648" s="241"/>
      <c r="BH648" s="241"/>
      <c r="BI648" s="241"/>
      <c r="BJ648" s="241"/>
      <c r="BK648" s="241"/>
      <c r="BL648" s="241"/>
      <c r="BM648" s="241"/>
    </row>
    <row r="649" spans="1:65" ht="13.5" customHeight="1" x14ac:dyDescent="0.3">
      <c r="A649" s="241"/>
      <c r="B649" s="241"/>
      <c r="C649" s="241"/>
      <c r="D649" s="241"/>
      <c r="E649" s="241"/>
      <c r="F649" s="241"/>
      <c r="G649" s="241"/>
      <c r="H649" s="241"/>
      <c r="I649" s="241"/>
      <c r="J649" s="241"/>
      <c r="K649" s="241"/>
      <c r="L649" s="241"/>
      <c r="M649" s="241"/>
      <c r="N649" s="241"/>
      <c r="O649" s="241"/>
      <c r="P649" s="241"/>
      <c r="Q649" s="241"/>
      <c r="R649" s="241"/>
      <c r="S649" s="241"/>
      <c r="T649" s="241"/>
      <c r="U649" s="241"/>
      <c r="V649" s="241"/>
      <c r="W649" s="241"/>
      <c r="X649" s="241"/>
      <c r="Y649" s="241"/>
      <c r="Z649" s="241"/>
      <c r="AA649" s="241"/>
      <c r="AB649" s="241"/>
      <c r="AC649" s="241"/>
      <c r="AD649" s="241"/>
      <c r="AE649" s="241"/>
      <c r="AF649" s="241"/>
      <c r="AG649" s="241"/>
      <c r="AH649" s="241"/>
      <c r="AI649" s="241"/>
      <c r="AJ649" s="241"/>
      <c r="AK649" s="241"/>
      <c r="AL649" s="241"/>
      <c r="AM649" s="241"/>
      <c r="AN649" s="241"/>
      <c r="AO649" s="241"/>
      <c r="AP649" s="241"/>
      <c r="AQ649" s="241"/>
      <c r="AR649" s="241"/>
      <c r="AS649" s="241"/>
      <c r="AT649" s="241"/>
      <c r="AU649" s="241"/>
      <c r="AV649" s="241"/>
      <c r="AW649" s="241"/>
      <c r="AX649" s="241"/>
      <c r="AY649" s="241"/>
      <c r="AZ649" s="241"/>
      <c r="BA649" s="241"/>
      <c r="BB649" s="241"/>
      <c r="BC649" s="241"/>
      <c r="BD649" s="241"/>
      <c r="BE649" s="241"/>
      <c r="BF649" s="241"/>
      <c r="BG649" s="241"/>
      <c r="BH649" s="241"/>
      <c r="BI649" s="241"/>
      <c r="BJ649" s="241"/>
      <c r="BK649" s="241"/>
      <c r="BL649" s="241"/>
      <c r="BM649" s="241"/>
    </row>
    <row r="650" spans="1:65" ht="13.5" customHeight="1" x14ac:dyDescent="0.3">
      <c r="A650" s="241"/>
      <c r="B650" s="241"/>
      <c r="C650" s="241"/>
      <c r="D650" s="241"/>
      <c r="E650" s="241"/>
      <c r="F650" s="241"/>
      <c r="G650" s="241"/>
      <c r="H650" s="241"/>
      <c r="I650" s="241"/>
      <c r="J650" s="241"/>
      <c r="K650" s="241"/>
      <c r="L650" s="241"/>
      <c r="M650" s="241"/>
      <c r="N650" s="241"/>
      <c r="O650" s="241"/>
      <c r="P650" s="241"/>
      <c r="Q650" s="241"/>
      <c r="R650" s="241"/>
      <c r="S650" s="241"/>
      <c r="T650" s="241"/>
      <c r="U650" s="241"/>
      <c r="V650" s="241"/>
      <c r="W650" s="241"/>
      <c r="X650" s="241"/>
      <c r="Y650" s="241"/>
      <c r="Z650" s="241"/>
      <c r="AA650" s="241"/>
      <c r="AB650" s="241"/>
      <c r="AC650" s="241"/>
      <c r="AD650" s="241"/>
      <c r="AE650" s="241"/>
      <c r="AF650" s="241"/>
      <c r="AG650" s="241"/>
      <c r="AH650" s="241"/>
      <c r="AI650" s="241"/>
      <c r="AJ650" s="241"/>
      <c r="AK650" s="241"/>
      <c r="AL650" s="241"/>
      <c r="AM650" s="241"/>
      <c r="AN650" s="241"/>
      <c r="AO650" s="241"/>
      <c r="AP650" s="241"/>
      <c r="AQ650" s="241"/>
      <c r="AR650" s="241"/>
      <c r="AS650" s="241"/>
      <c r="AT650" s="241"/>
      <c r="AU650" s="241"/>
      <c r="AV650" s="241"/>
      <c r="AW650" s="241"/>
      <c r="AX650" s="241"/>
      <c r="AY650" s="241"/>
      <c r="AZ650" s="241"/>
      <c r="BA650" s="241"/>
      <c r="BB650" s="241"/>
      <c r="BC650" s="241"/>
      <c r="BD650" s="241"/>
      <c r="BE650" s="241"/>
      <c r="BF650" s="241"/>
      <c r="BG650" s="241"/>
      <c r="BH650" s="241"/>
      <c r="BI650" s="241"/>
      <c r="BJ650" s="241"/>
      <c r="BK650" s="241"/>
      <c r="BL650" s="241"/>
      <c r="BM650" s="241"/>
    </row>
    <row r="651" spans="1:65" ht="13.5" customHeight="1" x14ac:dyDescent="0.3">
      <c r="A651" s="241"/>
      <c r="B651" s="241"/>
      <c r="C651" s="241"/>
      <c r="D651" s="241"/>
      <c r="E651" s="241"/>
      <c r="F651" s="241"/>
      <c r="G651" s="241"/>
      <c r="H651" s="241"/>
      <c r="I651" s="241"/>
      <c r="J651" s="241"/>
      <c r="K651" s="241"/>
      <c r="L651" s="241"/>
      <c r="M651" s="241"/>
      <c r="N651" s="241"/>
      <c r="O651" s="241"/>
      <c r="P651" s="241"/>
      <c r="Q651" s="241"/>
      <c r="R651" s="241"/>
      <c r="S651" s="241"/>
      <c r="T651" s="241"/>
      <c r="U651" s="241"/>
      <c r="V651" s="241"/>
      <c r="W651" s="241"/>
      <c r="X651" s="241"/>
      <c r="Y651" s="241"/>
      <c r="Z651" s="241"/>
      <c r="AA651" s="241"/>
      <c r="AB651" s="241"/>
      <c r="AC651" s="241"/>
      <c r="AD651" s="241"/>
      <c r="AE651" s="241"/>
      <c r="AF651" s="241"/>
      <c r="AG651" s="241"/>
      <c r="AH651" s="241"/>
      <c r="AI651" s="241"/>
      <c r="AJ651" s="241"/>
      <c r="AK651" s="241"/>
      <c r="AL651" s="241"/>
      <c r="AM651" s="241"/>
      <c r="AN651" s="241"/>
      <c r="AO651" s="241"/>
      <c r="AP651" s="241"/>
      <c r="AQ651" s="241"/>
      <c r="AR651" s="241"/>
      <c r="AS651" s="241"/>
      <c r="AT651" s="241"/>
      <c r="AU651" s="241"/>
      <c r="AV651" s="241"/>
      <c r="AW651" s="241"/>
      <c r="AX651" s="241"/>
      <c r="AY651" s="241"/>
      <c r="AZ651" s="241"/>
      <c r="BA651" s="241"/>
      <c r="BB651" s="241"/>
      <c r="BC651" s="241"/>
      <c r="BD651" s="241"/>
      <c r="BE651" s="241"/>
      <c r="BF651" s="241"/>
      <c r="BG651" s="241"/>
      <c r="BH651" s="241"/>
      <c r="BI651" s="241"/>
      <c r="BJ651" s="241"/>
      <c r="BK651" s="241"/>
      <c r="BL651" s="241"/>
      <c r="BM651" s="241"/>
    </row>
    <row r="652" spans="1:65" ht="13.5" customHeight="1" x14ac:dyDescent="0.3">
      <c r="A652" s="241"/>
      <c r="B652" s="241"/>
      <c r="C652" s="241"/>
      <c r="D652" s="241"/>
      <c r="E652" s="241"/>
      <c r="F652" s="241"/>
      <c r="G652" s="241"/>
      <c r="H652" s="241"/>
      <c r="I652" s="241"/>
      <c r="J652" s="241"/>
      <c r="K652" s="241"/>
      <c r="L652" s="241"/>
      <c r="M652" s="241"/>
      <c r="N652" s="241"/>
      <c r="O652" s="241"/>
      <c r="P652" s="241"/>
      <c r="Q652" s="241"/>
      <c r="R652" s="241"/>
      <c r="S652" s="241"/>
      <c r="T652" s="241"/>
      <c r="U652" s="241"/>
      <c r="V652" s="241"/>
      <c r="W652" s="241"/>
      <c r="X652" s="241"/>
      <c r="Y652" s="241"/>
      <c r="Z652" s="241"/>
      <c r="AA652" s="241"/>
      <c r="AB652" s="241"/>
      <c r="AC652" s="241"/>
      <c r="AD652" s="241"/>
      <c r="AE652" s="241"/>
      <c r="AF652" s="241"/>
      <c r="AG652" s="241"/>
      <c r="AH652" s="241"/>
      <c r="AI652" s="241"/>
      <c r="AJ652" s="241"/>
      <c r="AK652" s="241"/>
      <c r="AL652" s="241"/>
      <c r="AM652" s="241"/>
      <c r="AN652" s="241"/>
      <c r="AO652" s="241"/>
      <c r="AP652" s="241"/>
      <c r="AQ652" s="241"/>
      <c r="AR652" s="241"/>
      <c r="AS652" s="241"/>
      <c r="AT652" s="241"/>
      <c r="AU652" s="241"/>
      <c r="AV652" s="241"/>
      <c r="AW652" s="241"/>
      <c r="AX652" s="241"/>
      <c r="AY652" s="241"/>
      <c r="AZ652" s="241"/>
      <c r="BA652" s="241"/>
      <c r="BB652" s="241"/>
      <c r="BC652" s="241"/>
      <c r="BD652" s="241"/>
      <c r="BE652" s="241"/>
      <c r="BF652" s="241"/>
      <c r="BG652" s="241"/>
      <c r="BH652" s="241"/>
      <c r="BI652" s="241"/>
      <c r="BJ652" s="241"/>
      <c r="BK652" s="241"/>
      <c r="BL652" s="241"/>
      <c r="BM652" s="241"/>
    </row>
    <row r="653" spans="1:65" ht="13.5" customHeight="1" x14ac:dyDescent="0.3">
      <c r="A653" s="241"/>
      <c r="B653" s="241"/>
      <c r="C653" s="241"/>
      <c r="D653" s="241"/>
      <c r="E653" s="241"/>
      <c r="F653" s="241"/>
      <c r="G653" s="241"/>
      <c r="H653" s="241"/>
      <c r="I653" s="241"/>
      <c r="J653" s="241"/>
      <c r="K653" s="241"/>
      <c r="L653" s="241"/>
      <c r="M653" s="241"/>
      <c r="N653" s="241"/>
      <c r="O653" s="241"/>
      <c r="P653" s="241"/>
      <c r="Q653" s="241"/>
      <c r="R653" s="241"/>
      <c r="S653" s="241"/>
      <c r="T653" s="241"/>
      <c r="U653" s="241"/>
      <c r="V653" s="241"/>
      <c r="W653" s="241"/>
      <c r="X653" s="241"/>
      <c r="Y653" s="241"/>
      <c r="Z653" s="241"/>
      <c r="AA653" s="241"/>
      <c r="AB653" s="241"/>
      <c r="AC653" s="241"/>
      <c r="AD653" s="241"/>
      <c r="AE653" s="241"/>
      <c r="AF653" s="241"/>
      <c r="AG653" s="241"/>
      <c r="AH653" s="241"/>
      <c r="AI653" s="241"/>
      <c r="AJ653" s="241"/>
      <c r="AK653" s="241"/>
      <c r="AL653" s="241"/>
      <c r="AM653" s="241"/>
      <c r="AN653" s="241"/>
      <c r="AO653" s="241"/>
      <c r="AP653" s="241"/>
      <c r="AQ653" s="241"/>
      <c r="AR653" s="241"/>
      <c r="AS653" s="241"/>
      <c r="AT653" s="241"/>
      <c r="AU653" s="241"/>
      <c r="AV653" s="241"/>
      <c r="AW653" s="241"/>
      <c r="AX653" s="241"/>
      <c r="AY653" s="241"/>
      <c r="AZ653" s="241"/>
      <c r="BA653" s="241"/>
      <c r="BB653" s="241"/>
      <c r="BC653" s="241"/>
      <c r="BD653" s="241"/>
      <c r="BE653" s="241"/>
      <c r="BF653" s="241"/>
      <c r="BG653" s="241"/>
      <c r="BH653" s="241"/>
      <c r="BI653" s="241"/>
      <c r="BJ653" s="241"/>
      <c r="BK653" s="241"/>
      <c r="BL653" s="241"/>
      <c r="BM653" s="241"/>
    </row>
    <row r="654" spans="1:65" ht="13.5" customHeight="1" x14ac:dyDescent="0.3">
      <c r="A654" s="241"/>
      <c r="B654" s="241"/>
      <c r="C654" s="241"/>
      <c r="D654" s="241"/>
      <c r="E654" s="241"/>
      <c r="F654" s="241"/>
      <c r="G654" s="241"/>
      <c r="H654" s="241"/>
      <c r="I654" s="241"/>
      <c r="J654" s="241"/>
      <c r="K654" s="241"/>
      <c r="L654" s="241"/>
      <c r="M654" s="241"/>
      <c r="N654" s="241"/>
      <c r="O654" s="241"/>
      <c r="P654" s="241"/>
      <c r="Q654" s="241"/>
      <c r="R654" s="241"/>
      <c r="S654" s="241"/>
      <c r="T654" s="241"/>
      <c r="U654" s="241"/>
      <c r="V654" s="241"/>
      <c r="W654" s="241"/>
      <c r="X654" s="241"/>
      <c r="Y654" s="241"/>
      <c r="Z654" s="241"/>
      <c r="AA654" s="241"/>
      <c r="AB654" s="241"/>
      <c r="AC654" s="241"/>
      <c r="AD654" s="241"/>
      <c r="AE654" s="241"/>
      <c r="AF654" s="241"/>
      <c r="AG654" s="241"/>
      <c r="AH654" s="241"/>
      <c r="AI654" s="241"/>
      <c r="AJ654" s="241"/>
      <c r="AK654" s="241"/>
      <c r="AL654" s="241"/>
      <c r="AM654" s="241"/>
      <c r="AN654" s="241"/>
      <c r="AO654" s="241"/>
      <c r="AP654" s="241"/>
      <c r="AQ654" s="241"/>
      <c r="AR654" s="241"/>
      <c r="AS654" s="241"/>
      <c r="AT654" s="241"/>
      <c r="AU654" s="241"/>
      <c r="AV654" s="241"/>
      <c r="AW654" s="241"/>
      <c r="AX654" s="241"/>
      <c r="AY654" s="241"/>
      <c r="AZ654" s="241"/>
      <c r="BA654" s="241"/>
      <c r="BB654" s="241"/>
      <c r="BC654" s="241"/>
      <c r="BD654" s="241"/>
      <c r="BE654" s="241"/>
      <c r="BF654" s="241"/>
      <c r="BG654" s="241"/>
      <c r="BH654" s="241"/>
      <c r="BI654" s="241"/>
      <c r="BJ654" s="241"/>
      <c r="BK654" s="241"/>
      <c r="BL654" s="241"/>
      <c r="BM654" s="241"/>
    </row>
    <row r="655" spans="1:65" ht="13.5" customHeight="1" x14ac:dyDescent="0.3">
      <c r="A655" s="241"/>
      <c r="B655" s="241"/>
      <c r="C655" s="241"/>
      <c r="D655" s="241"/>
      <c r="E655" s="241"/>
      <c r="F655" s="241"/>
      <c r="G655" s="241"/>
      <c r="H655" s="241"/>
      <c r="I655" s="241"/>
      <c r="J655" s="241"/>
      <c r="K655" s="241"/>
      <c r="L655" s="241"/>
      <c r="M655" s="241"/>
      <c r="N655" s="241"/>
      <c r="O655" s="241"/>
      <c r="P655" s="241"/>
      <c r="Q655" s="241"/>
      <c r="R655" s="241"/>
      <c r="S655" s="241"/>
      <c r="T655" s="241"/>
      <c r="U655" s="241"/>
      <c r="V655" s="241"/>
      <c r="W655" s="241"/>
      <c r="X655" s="241"/>
      <c r="Y655" s="241"/>
      <c r="Z655" s="241"/>
      <c r="AA655" s="241"/>
      <c r="AB655" s="241"/>
      <c r="AC655" s="241"/>
      <c r="AD655" s="241"/>
      <c r="AE655" s="241"/>
      <c r="AF655" s="241"/>
      <c r="AG655" s="241"/>
      <c r="AH655" s="241"/>
      <c r="AI655" s="241"/>
      <c r="AJ655" s="241"/>
      <c r="AK655" s="241"/>
      <c r="AL655" s="241"/>
      <c r="AM655" s="241"/>
      <c r="AN655" s="241"/>
      <c r="AO655" s="241"/>
      <c r="AP655" s="241"/>
      <c r="AQ655" s="241"/>
      <c r="AR655" s="241"/>
      <c r="AS655" s="241"/>
      <c r="AT655" s="241"/>
      <c r="AU655" s="241"/>
      <c r="AV655" s="241"/>
      <c r="AW655" s="241"/>
      <c r="AX655" s="241"/>
      <c r="AY655" s="241"/>
      <c r="AZ655" s="241"/>
      <c r="BA655" s="241"/>
      <c r="BB655" s="241"/>
      <c r="BC655" s="241"/>
      <c r="BD655" s="241"/>
      <c r="BE655" s="241"/>
      <c r="BF655" s="241"/>
      <c r="BG655" s="241"/>
      <c r="BH655" s="241"/>
      <c r="BI655" s="241"/>
      <c r="BJ655" s="241"/>
      <c r="BK655" s="241"/>
      <c r="BL655" s="241"/>
      <c r="BM655" s="241"/>
    </row>
    <row r="656" spans="1:65" ht="13.5" customHeight="1" x14ac:dyDescent="0.3">
      <c r="A656" s="241"/>
      <c r="B656" s="241"/>
      <c r="C656" s="241"/>
      <c r="D656" s="241"/>
      <c r="E656" s="241"/>
      <c r="F656" s="241"/>
      <c r="G656" s="241"/>
      <c r="H656" s="241"/>
      <c r="I656" s="241"/>
      <c r="J656" s="241"/>
      <c r="K656" s="241"/>
      <c r="L656" s="241"/>
      <c r="M656" s="241"/>
      <c r="N656" s="241"/>
      <c r="O656" s="241"/>
      <c r="P656" s="241"/>
      <c r="Q656" s="241"/>
      <c r="R656" s="241"/>
      <c r="S656" s="241"/>
      <c r="T656" s="241"/>
      <c r="U656" s="241"/>
      <c r="V656" s="241"/>
      <c r="W656" s="241"/>
      <c r="X656" s="241"/>
      <c r="Y656" s="241"/>
      <c r="Z656" s="241"/>
      <c r="AA656" s="241"/>
      <c r="AB656" s="241"/>
      <c r="AC656" s="241"/>
      <c r="AD656" s="241"/>
      <c r="AE656" s="241"/>
      <c r="AF656" s="241"/>
      <c r="AG656" s="241"/>
      <c r="AH656" s="241"/>
      <c r="AI656" s="241"/>
      <c r="AJ656" s="241"/>
      <c r="AK656" s="241"/>
      <c r="AL656" s="241"/>
      <c r="AM656" s="241"/>
      <c r="AN656" s="241"/>
      <c r="AO656" s="241"/>
      <c r="AP656" s="241"/>
      <c r="AQ656" s="241"/>
      <c r="AR656" s="241"/>
      <c r="AS656" s="241"/>
      <c r="AT656" s="241"/>
      <c r="AU656" s="241"/>
      <c r="AV656" s="241"/>
      <c r="AW656" s="241"/>
      <c r="AX656" s="241"/>
      <c r="AY656" s="241"/>
      <c r="AZ656" s="241"/>
      <c r="BA656" s="241"/>
      <c r="BB656" s="241"/>
      <c r="BC656" s="241"/>
      <c r="BD656" s="241"/>
      <c r="BE656" s="241"/>
      <c r="BF656" s="241"/>
      <c r="BG656" s="241"/>
      <c r="BH656" s="241"/>
      <c r="BI656" s="241"/>
      <c r="BJ656" s="241"/>
      <c r="BK656" s="241"/>
      <c r="BL656" s="241"/>
      <c r="BM656" s="241"/>
    </row>
    <row r="657" spans="1:65" ht="13.5" customHeight="1" x14ac:dyDescent="0.3">
      <c r="A657" s="241"/>
      <c r="B657" s="241"/>
      <c r="C657" s="241"/>
      <c r="D657" s="241"/>
      <c r="E657" s="241"/>
      <c r="F657" s="241"/>
      <c r="G657" s="241"/>
      <c r="H657" s="241"/>
      <c r="I657" s="241"/>
      <c r="J657" s="241"/>
      <c r="K657" s="241"/>
      <c r="L657" s="241"/>
      <c r="M657" s="241"/>
      <c r="N657" s="241"/>
      <c r="O657" s="241"/>
      <c r="P657" s="241"/>
      <c r="Q657" s="241"/>
      <c r="R657" s="241"/>
      <c r="S657" s="241"/>
      <c r="T657" s="241"/>
      <c r="U657" s="241"/>
      <c r="V657" s="241"/>
      <c r="W657" s="241"/>
      <c r="X657" s="241"/>
      <c r="Y657" s="241"/>
      <c r="Z657" s="241"/>
      <c r="AA657" s="241"/>
      <c r="AB657" s="241"/>
      <c r="AC657" s="241"/>
      <c r="AD657" s="241"/>
      <c r="AE657" s="241"/>
      <c r="AF657" s="241"/>
      <c r="AG657" s="241"/>
      <c r="AH657" s="241"/>
      <c r="AI657" s="241"/>
      <c r="AJ657" s="241"/>
      <c r="AK657" s="241"/>
      <c r="AL657" s="241"/>
      <c r="AM657" s="241"/>
      <c r="AN657" s="241"/>
      <c r="AO657" s="241"/>
      <c r="AP657" s="241"/>
      <c r="AQ657" s="241"/>
      <c r="AR657" s="241"/>
      <c r="AS657" s="241"/>
      <c r="AT657" s="241"/>
      <c r="AU657" s="241"/>
      <c r="AV657" s="241"/>
      <c r="AW657" s="241"/>
      <c r="AX657" s="241"/>
      <c r="AY657" s="241"/>
      <c r="AZ657" s="241"/>
      <c r="BA657" s="241"/>
      <c r="BB657" s="241"/>
      <c r="BC657" s="241"/>
      <c r="BD657" s="241"/>
      <c r="BE657" s="241"/>
      <c r="BF657" s="241"/>
      <c r="BG657" s="241"/>
      <c r="BH657" s="241"/>
      <c r="BI657" s="241"/>
      <c r="BJ657" s="241"/>
      <c r="BK657" s="241"/>
      <c r="BL657" s="241"/>
      <c r="BM657" s="241"/>
    </row>
    <row r="658" spans="1:65" ht="13.5" customHeight="1" x14ac:dyDescent="0.3">
      <c r="A658" s="241"/>
      <c r="B658" s="241"/>
      <c r="C658" s="241"/>
      <c r="D658" s="241"/>
      <c r="E658" s="241"/>
      <c r="F658" s="241"/>
      <c r="G658" s="241"/>
      <c r="H658" s="241"/>
      <c r="I658" s="241"/>
      <c r="J658" s="241"/>
      <c r="K658" s="241"/>
      <c r="L658" s="241"/>
      <c r="M658" s="241"/>
      <c r="N658" s="241"/>
      <c r="O658" s="241"/>
      <c r="P658" s="241"/>
      <c r="Q658" s="241"/>
      <c r="R658" s="241"/>
      <c r="S658" s="241"/>
      <c r="T658" s="241"/>
      <c r="U658" s="241"/>
      <c r="V658" s="241"/>
      <c r="W658" s="241"/>
      <c r="X658" s="241"/>
      <c r="Y658" s="241"/>
      <c r="Z658" s="241"/>
      <c r="AA658" s="241"/>
      <c r="AB658" s="241"/>
      <c r="AC658" s="241"/>
      <c r="AD658" s="241"/>
      <c r="AE658" s="241"/>
      <c r="AF658" s="241"/>
      <c r="AG658" s="241"/>
      <c r="AH658" s="241"/>
      <c r="AI658" s="241"/>
      <c r="AJ658" s="241"/>
      <c r="AK658" s="241"/>
      <c r="AL658" s="241"/>
      <c r="AM658" s="241"/>
      <c r="AN658" s="241"/>
      <c r="AO658" s="241"/>
      <c r="AP658" s="241"/>
      <c r="AQ658" s="241"/>
      <c r="AR658" s="241"/>
      <c r="AS658" s="241"/>
      <c r="AT658" s="241"/>
      <c r="AU658" s="241"/>
      <c r="AV658" s="241"/>
      <c r="AW658" s="241"/>
      <c r="AX658" s="241"/>
      <c r="AY658" s="241"/>
      <c r="AZ658" s="241"/>
      <c r="BA658" s="241"/>
      <c r="BB658" s="241"/>
      <c r="BC658" s="241"/>
      <c r="BD658" s="241"/>
      <c r="BE658" s="241"/>
      <c r="BF658" s="241"/>
      <c r="BG658" s="241"/>
      <c r="BH658" s="241"/>
      <c r="BI658" s="241"/>
      <c r="BJ658" s="241"/>
      <c r="BK658" s="241"/>
      <c r="BL658" s="241"/>
      <c r="BM658" s="241"/>
    </row>
    <row r="659" spans="1:65" ht="13.5" customHeight="1" x14ac:dyDescent="0.3">
      <c r="A659" s="241"/>
      <c r="B659" s="241"/>
      <c r="C659" s="241"/>
      <c r="D659" s="241"/>
      <c r="E659" s="241"/>
      <c r="F659" s="241"/>
      <c r="G659" s="241"/>
      <c r="H659" s="241"/>
      <c r="I659" s="241"/>
      <c r="J659" s="241"/>
      <c r="K659" s="241"/>
      <c r="L659" s="241"/>
      <c r="M659" s="241"/>
      <c r="N659" s="241"/>
      <c r="O659" s="241"/>
      <c r="P659" s="241"/>
      <c r="Q659" s="241"/>
      <c r="R659" s="241"/>
      <c r="S659" s="241"/>
      <c r="T659" s="241"/>
      <c r="U659" s="241"/>
      <c r="V659" s="241"/>
      <c r="W659" s="241"/>
      <c r="X659" s="241"/>
      <c r="Y659" s="241"/>
      <c r="Z659" s="241"/>
      <c r="AA659" s="241"/>
      <c r="AB659" s="241"/>
      <c r="AC659" s="241"/>
      <c r="AD659" s="241"/>
      <c r="AE659" s="241"/>
      <c r="AF659" s="241"/>
      <c r="AG659" s="241"/>
      <c r="AH659" s="241"/>
      <c r="AI659" s="241"/>
      <c r="AJ659" s="241"/>
      <c r="AK659" s="241"/>
      <c r="AL659" s="241"/>
      <c r="AM659" s="241"/>
      <c r="AN659" s="241"/>
      <c r="AO659" s="241"/>
      <c r="AP659" s="241"/>
      <c r="AQ659" s="241"/>
      <c r="AR659" s="241"/>
      <c r="AS659" s="241"/>
      <c r="AT659" s="241"/>
      <c r="AU659" s="241"/>
      <c r="AV659" s="241"/>
      <c r="AW659" s="241"/>
      <c r="AX659" s="241"/>
      <c r="AY659" s="241"/>
      <c r="AZ659" s="241"/>
      <c r="BA659" s="241"/>
      <c r="BB659" s="241"/>
      <c r="BC659" s="241"/>
      <c r="BD659" s="241"/>
      <c r="BE659" s="241"/>
      <c r="BF659" s="241"/>
      <c r="BG659" s="241"/>
      <c r="BH659" s="241"/>
      <c r="BI659" s="241"/>
      <c r="BJ659" s="241"/>
      <c r="BK659" s="241"/>
      <c r="BL659" s="241"/>
      <c r="BM659" s="241"/>
    </row>
    <row r="660" spans="1:65" ht="13.5" customHeight="1" x14ac:dyDescent="0.3">
      <c r="A660" s="241"/>
      <c r="B660" s="241"/>
      <c r="C660" s="241"/>
      <c r="D660" s="241"/>
      <c r="E660" s="241"/>
      <c r="F660" s="241"/>
      <c r="G660" s="241"/>
      <c r="H660" s="241"/>
      <c r="I660" s="241"/>
      <c r="J660" s="241"/>
      <c r="K660" s="241"/>
      <c r="L660" s="241"/>
      <c r="M660" s="241"/>
      <c r="N660" s="241"/>
      <c r="O660" s="241"/>
      <c r="P660" s="241"/>
      <c r="Q660" s="241"/>
      <c r="R660" s="241"/>
      <c r="S660" s="241"/>
      <c r="T660" s="241"/>
      <c r="U660" s="241"/>
      <c r="V660" s="241"/>
      <c r="W660" s="241"/>
      <c r="X660" s="241"/>
      <c r="Y660" s="241"/>
      <c r="Z660" s="241"/>
      <c r="AA660" s="241"/>
      <c r="AB660" s="241"/>
      <c r="AC660" s="241"/>
      <c r="AD660" s="241"/>
      <c r="AE660" s="241"/>
      <c r="AF660" s="241"/>
      <c r="AG660" s="241"/>
      <c r="AH660" s="241"/>
      <c r="AI660" s="241"/>
      <c r="AJ660" s="241"/>
      <c r="AK660" s="241"/>
      <c r="AL660" s="241"/>
      <c r="AM660" s="241"/>
      <c r="AN660" s="241"/>
      <c r="AO660" s="241"/>
      <c r="AP660" s="241"/>
      <c r="AQ660" s="241"/>
      <c r="AR660" s="241"/>
      <c r="AS660" s="241"/>
      <c r="AT660" s="241"/>
      <c r="AU660" s="241"/>
      <c r="AV660" s="241"/>
      <c r="AW660" s="241"/>
      <c r="AX660" s="241"/>
      <c r="AY660" s="241"/>
      <c r="AZ660" s="241"/>
      <c r="BA660" s="241"/>
      <c r="BB660" s="241"/>
      <c r="BC660" s="241"/>
      <c r="BD660" s="241"/>
      <c r="BE660" s="241"/>
      <c r="BF660" s="241"/>
      <c r="BG660" s="241"/>
      <c r="BH660" s="241"/>
      <c r="BI660" s="241"/>
      <c r="BJ660" s="241"/>
      <c r="BK660" s="241"/>
      <c r="BL660" s="241"/>
      <c r="BM660" s="241"/>
    </row>
    <row r="661" spans="1:65" ht="13.5" customHeight="1" x14ac:dyDescent="0.3">
      <c r="A661" s="241"/>
      <c r="B661" s="241"/>
      <c r="C661" s="241"/>
      <c r="D661" s="241"/>
      <c r="E661" s="241"/>
      <c r="F661" s="241"/>
      <c r="G661" s="241"/>
      <c r="H661" s="241"/>
      <c r="I661" s="241"/>
      <c r="J661" s="241"/>
      <c r="K661" s="241"/>
      <c r="L661" s="241"/>
      <c r="M661" s="241"/>
      <c r="N661" s="241"/>
      <c r="O661" s="241"/>
      <c r="P661" s="241"/>
      <c r="Q661" s="241"/>
      <c r="R661" s="241"/>
      <c r="S661" s="241"/>
      <c r="T661" s="241"/>
      <c r="U661" s="241"/>
      <c r="V661" s="241"/>
      <c r="W661" s="241"/>
      <c r="X661" s="241"/>
      <c r="Y661" s="241"/>
      <c r="Z661" s="241"/>
      <c r="AA661" s="241"/>
      <c r="AB661" s="241"/>
      <c r="AC661" s="241"/>
      <c r="AD661" s="241"/>
      <c r="AE661" s="241"/>
      <c r="AF661" s="241"/>
      <c r="AG661" s="241"/>
      <c r="AH661" s="241"/>
      <c r="AI661" s="241"/>
      <c r="AJ661" s="241"/>
      <c r="AK661" s="241"/>
      <c r="AL661" s="241"/>
      <c r="AM661" s="241"/>
      <c r="AN661" s="241"/>
      <c r="AO661" s="241"/>
      <c r="AP661" s="241"/>
      <c r="AQ661" s="241"/>
      <c r="AR661" s="241"/>
      <c r="AS661" s="241"/>
      <c r="AT661" s="241"/>
      <c r="AU661" s="241"/>
      <c r="AV661" s="241"/>
      <c r="AW661" s="241"/>
      <c r="AX661" s="241"/>
      <c r="AY661" s="241"/>
      <c r="AZ661" s="241"/>
      <c r="BA661" s="241"/>
      <c r="BB661" s="241"/>
      <c r="BC661" s="241"/>
      <c r="BD661" s="241"/>
      <c r="BE661" s="241"/>
      <c r="BF661" s="241"/>
      <c r="BG661" s="241"/>
      <c r="BH661" s="241"/>
      <c r="BI661" s="241"/>
      <c r="BJ661" s="241"/>
      <c r="BK661" s="241"/>
      <c r="BL661" s="241"/>
      <c r="BM661" s="241"/>
    </row>
    <row r="662" spans="1:65" ht="13.5" customHeight="1" x14ac:dyDescent="0.3">
      <c r="A662" s="241"/>
      <c r="B662" s="241"/>
      <c r="C662" s="241"/>
      <c r="D662" s="241"/>
      <c r="E662" s="241"/>
      <c r="F662" s="241"/>
      <c r="G662" s="241"/>
      <c r="H662" s="241"/>
      <c r="I662" s="241"/>
      <c r="J662" s="241"/>
      <c r="K662" s="241"/>
      <c r="L662" s="241"/>
      <c r="M662" s="241"/>
      <c r="N662" s="241"/>
      <c r="O662" s="241"/>
      <c r="P662" s="241"/>
      <c r="Q662" s="241"/>
      <c r="R662" s="241"/>
      <c r="S662" s="241"/>
      <c r="T662" s="241"/>
      <c r="U662" s="241"/>
      <c r="V662" s="241"/>
      <c r="W662" s="241"/>
      <c r="X662" s="241"/>
      <c r="Y662" s="241"/>
      <c r="Z662" s="241"/>
      <c r="AA662" s="241"/>
      <c r="AB662" s="241"/>
      <c r="AC662" s="241"/>
      <c r="AD662" s="241"/>
      <c r="AE662" s="241"/>
      <c r="AF662" s="241"/>
      <c r="AG662" s="241"/>
      <c r="AH662" s="241"/>
      <c r="AI662" s="241"/>
      <c r="AJ662" s="241"/>
      <c r="AK662" s="241"/>
      <c r="AL662" s="241"/>
      <c r="AM662" s="241"/>
      <c r="AN662" s="241"/>
      <c r="AO662" s="241"/>
      <c r="AP662" s="241"/>
      <c r="AQ662" s="241"/>
      <c r="AR662" s="241"/>
      <c r="AS662" s="241"/>
      <c r="AT662" s="241"/>
      <c r="AU662" s="241"/>
      <c r="AV662" s="241"/>
      <c r="AW662" s="241"/>
      <c r="AX662" s="241"/>
      <c r="AY662" s="241"/>
      <c r="AZ662" s="241"/>
      <c r="BA662" s="241"/>
      <c r="BB662" s="241"/>
      <c r="BC662" s="241"/>
      <c r="BD662" s="241"/>
      <c r="BE662" s="241"/>
      <c r="BF662" s="241"/>
      <c r="BG662" s="241"/>
      <c r="BH662" s="241"/>
      <c r="BI662" s="241"/>
      <c r="BJ662" s="241"/>
      <c r="BK662" s="241"/>
      <c r="BL662" s="241"/>
      <c r="BM662" s="241"/>
    </row>
    <row r="663" spans="1:65" ht="13.5" customHeight="1" x14ac:dyDescent="0.3">
      <c r="A663" s="241"/>
      <c r="B663" s="241"/>
      <c r="C663" s="241"/>
      <c r="D663" s="241"/>
      <c r="E663" s="241"/>
      <c r="F663" s="241"/>
      <c r="G663" s="241"/>
      <c r="H663" s="241"/>
      <c r="I663" s="241"/>
      <c r="J663" s="241"/>
      <c r="K663" s="241"/>
      <c r="L663" s="241"/>
      <c r="M663" s="241"/>
      <c r="N663" s="241"/>
      <c r="O663" s="241"/>
      <c r="P663" s="241"/>
      <c r="Q663" s="241"/>
      <c r="R663" s="241"/>
      <c r="S663" s="241"/>
      <c r="T663" s="241"/>
      <c r="U663" s="241"/>
      <c r="V663" s="241"/>
      <c r="W663" s="241"/>
      <c r="X663" s="241"/>
      <c r="Y663" s="241"/>
      <c r="Z663" s="241"/>
      <c r="AA663" s="241"/>
      <c r="AB663" s="241"/>
      <c r="AC663" s="241"/>
      <c r="AD663" s="241"/>
      <c r="AE663" s="241"/>
      <c r="AF663" s="241"/>
      <c r="AG663" s="241"/>
      <c r="AH663" s="241"/>
      <c r="AI663" s="241"/>
      <c r="AJ663" s="241"/>
      <c r="AK663" s="241"/>
      <c r="AL663" s="241"/>
      <c r="AM663" s="241"/>
      <c r="AN663" s="241"/>
      <c r="AO663" s="241"/>
      <c r="AP663" s="241"/>
      <c r="AQ663" s="241"/>
      <c r="AR663" s="241"/>
      <c r="AS663" s="241"/>
      <c r="AT663" s="241"/>
      <c r="AU663" s="241"/>
      <c r="AV663" s="241"/>
      <c r="AW663" s="241"/>
      <c r="AX663" s="241"/>
      <c r="AY663" s="241"/>
      <c r="AZ663" s="241"/>
      <c r="BA663" s="241"/>
      <c r="BB663" s="241"/>
      <c r="BC663" s="241"/>
      <c r="BD663" s="241"/>
      <c r="BE663" s="241"/>
      <c r="BF663" s="241"/>
      <c r="BG663" s="241"/>
      <c r="BH663" s="241"/>
      <c r="BI663" s="241"/>
      <c r="BJ663" s="241"/>
      <c r="BK663" s="241"/>
      <c r="BL663" s="241"/>
      <c r="BM663" s="241"/>
    </row>
    <row r="664" spans="1:65" ht="13.5" customHeight="1" x14ac:dyDescent="0.3">
      <c r="A664" s="241"/>
      <c r="B664" s="241"/>
      <c r="C664" s="241"/>
      <c r="D664" s="241"/>
      <c r="E664" s="241"/>
      <c r="F664" s="241"/>
      <c r="G664" s="241"/>
      <c r="H664" s="241"/>
      <c r="I664" s="241"/>
      <c r="J664" s="241"/>
      <c r="K664" s="241"/>
      <c r="L664" s="241"/>
      <c r="M664" s="241"/>
      <c r="N664" s="241"/>
      <c r="O664" s="241"/>
      <c r="P664" s="241"/>
      <c r="Q664" s="241"/>
      <c r="R664" s="241"/>
      <c r="S664" s="241"/>
      <c r="T664" s="241"/>
      <c r="U664" s="241"/>
      <c r="V664" s="241"/>
      <c r="W664" s="241"/>
      <c r="X664" s="241"/>
      <c r="Y664" s="241"/>
      <c r="Z664" s="241"/>
      <c r="AA664" s="241"/>
      <c r="AB664" s="241"/>
      <c r="AC664" s="241"/>
      <c r="AD664" s="241"/>
      <c r="AE664" s="241"/>
      <c r="AF664" s="241"/>
      <c r="AG664" s="241"/>
      <c r="AH664" s="241"/>
      <c r="AI664" s="241"/>
      <c r="AJ664" s="241"/>
      <c r="AK664" s="241"/>
      <c r="AL664" s="241"/>
      <c r="AM664" s="241"/>
      <c r="AN664" s="241"/>
      <c r="AO664" s="241"/>
      <c r="AP664" s="241"/>
      <c r="AQ664" s="241"/>
      <c r="AR664" s="241"/>
      <c r="AS664" s="241"/>
      <c r="AT664" s="241"/>
      <c r="AU664" s="241"/>
      <c r="AV664" s="241"/>
      <c r="AW664" s="241"/>
      <c r="AX664" s="241"/>
      <c r="AY664" s="241"/>
      <c r="AZ664" s="241"/>
      <c r="BA664" s="241"/>
      <c r="BB664" s="241"/>
      <c r="BC664" s="241"/>
      <c r="BD664" s="241"/>
      <c r="BE664" s="241"/>
      <c r="BF664" s="241"/>
      <c r="BG664" s="241"/>
      <c r="BH664" s="241"/>
      <c r="BI664" s="241"/>
      <c r="BJ664" s="241"/>
      <c r="BK664" s="241"/>
      <c r="BL664" s="241"/>
      <c r="BM664" s="241"/>
    </row>
    <row r="665" spans="1:65" ht="13.5" customHeight="1" x14ac:dyDescent="0.3">
      <c r="A665" s="241"/>
      <c r="B665" s="241"/>
      <c r="C665" s="241"/>
      <c r="D665" s="241"/>
      <c r="E665" s="241"/>
      <c r="F665" s="241"/>
      <c r="G665" s="241"/>
      <c r="H665" s="241"/>
      <c r="I665" s="241"/>
      <c r="J665" s="241"/>
      <c r="K665" s="241"/>
      <c r="L665" s="241"/>
      <c r="M665" s="241"/>
      <c r="N665" s="241"/>
      <c r="O665" s="241"/>
      <c r="P665" s="241"/>
      <c r="Q665" s="241"/>
      <c r="R665" s="241"/>
      <c r="S665" s="241"/>
      <c r="T665" s="241"/>
      <c r="U665" s="241"/>
      <c r="V665" s="241"/>
      <c r="W665" s="241"/>
      <c r="X665" s="241"/>
      <c r="Y665" s="241"/>
      <c r="Z665" s="241"/>
      <c r="AA665" s="241"/>
      <c r="AB665" s="241"/>
      <c r="AC665" s="241"/>
      <c r="AD665" s="241"/>
      <c r="AE665" s="241"/>
      <c r="AF665" s="241"/>
      <c r="AG665" s="241"/>
      <c r="AH665" s="241"/>
      <c r="AI665" s="241"/>
      <c r="AJ665" s="241"/>
      <c r="AK665" s="241"/>
      <c r="AL665" s="241"/>
      <c r="AM665" s="241"/>
      <c r="AN665" s="241"/>
      <c r="AO665" s="241"/>
      <c r="AP665" s="241"/>
      <c r="AQ665" s="241"/>
      <c r="AR665" s="241"/>
      <c r="AS665" s="241"/>
      <c r="AT665" s="241"/>
      <c r="AU665" s="241"/>
      <c r="AV665" s="241"/>
      <c r="AW665" s="241"/>
      <c r="AX665" s="241"/>
      <c r="AY665" s="241"/>
      <c r="AZ665" s="241"/>
      <c r="BA665" s="241"/>
      <c r="BB665" s="241"/>
      <c r="BC665" s="241"/>
      <c r="BD665" s="241"/>
      <c r="BE665" s="241"/>
      <c r="BF665" s="241"/>
      <c r="BG665" s="241"/>
      <c r="BH665" s="241"/>
      <c r="BI665" s="241"/>
      <c r="BJ665" s="241"/>
      <c r="BK665" s="241"/>
      <c r="BL665" s="241"/>
      <c r="BM665" s="241"/>
    </row>
    <row r="666" spans="1:65" ht="13.5" customHeight="1" x14ac:dyDescent="0.3">
      <c r="A666" s="241"/>
      <c r="B666" s="241"/>
      <c r="C666" s="241"/>
      <c r="D666" s="241"/>
      <c r="E666" s="241"/>
      <c r="F666" s="241"/>
      <c r="G666" s="241"/>
      <c r="H666" s="241"/>
      <c r="I666" s="241"/>
      <c r="J666" s="241"/>
      <c r="K666" s="241"/>
      <c r="L666" s="241"/>
      <c r="M666" s="241"/>
      <c r="N666" s="241"/>
      <c r="O666" s="241"/>
      <c r="P666" s="241"/>
      <c r="Q666" s="241"/>
      <c r="R666" s="241"/>
      <c r="S666" s="241"/>
      <c r="T666" s="241"/>
      <c r="U666" s="241"/>
      <c r="V666" s="241"/>
      <c r="W666" s="241"/>
      <c r="X666" s="241"/>
      <c r="Y666" s="241"/>
      <c r="Z666" s="241"/>
      <c r="AA666" s="241"/>
      <c r="AB666" s="241"/>
      <c r="AC666" s="241"/>
      <c r="AD666" s="241"/>
      <c r="AE666" s="241"/>
      <c r="AF666" s="241"/>
      <c r="AG666" s="241"/>
      <c r="AH666" s="241"/>
      <c r="AI666" s="241"/>
      <c r="AJ666" s="241"/>
      <c r="AK666" s="241"/>
      <c r="AL666" s="241"/>
      <c r="AM666" s="241"/>
      <c r="AN666" s="241"/>
      <c r="AO666" s="241"/>
      <c r="AP666" s="241"/>
      <c r="AQ666" s="241"/>
      <c r="AR666" s="241"/>
      <c r="AS666" s="241"/>
      <c r="AT666" s="241"/>
      <c r="AU666" s="241"/>
      <c r="AV666" s="241"/>
      <c r="AW666" s="241"/>
      <c r="AX666" s="241"/>
      <c r="AY666" s="241"/>
      <c r="AZ666" s="241"/>
      <c r="BA666" s="241"/>
      <c r="BB666" s="241"/>
      <c r="BC666" s="241"/>
      <c r="BD666" s="241"/>
      <c r="BE666" s="241"/>
      <c r="BF666" s="241"/>
      <c r="BG666" s="241"/>
      <c r="BH666" s="241"/>
      <c r="BI666" s="241"/>
      <c r="BJ666" s="241"/>
      <c r="BK666" s="241"/>
      <c r="BL666" s="241"/>
      <c r="BM666" s="241"/>
    </row>
    <row r="667" spans="1:65" ht="13.5" customHeight="1" x14ac:dyDescent="0.3">
      <c r="A667" s="241"/>
      <c r="B667" s="241"/>
      <c r="C667" s="241"/>
      <c r="D667" s="241"/>
      <c r="E667" s="241"/>
      <c r="F667" s="241"/>
      <c r="G667" s="241"/>
      <c r="H667" s="241"/>
      <c r="I667" s="241"/>
      <c r="J667" s="241"/>
      <c r="K667" s="241"/>
      <c r="L667" s="241"/>
      <c r="M667" s="241"/>
      <c r="N667" s="241"/>
      <c r="O667" s="241"/>
      <c r="P667" s="241"/>
      <c r="Q667" s="241"/>
      <c r="R667" s="241"/>
      <c r="S667" s="241"/>
      <c r="T667" s="241"/>
      <c r="U667" s="241"/>
      <c r="V667" s="241"/>
      <c r="W667" s="241"/>
      <c r="X667" s="241"/>
      <c r="Y667" s="241"/>
      <c r="Z667" s="241"/>
      <c r="AA667" s="241"/>
      <c r="AB667" s="241"/>
      <c r="AC667" s="241"/>
      <c r="AD667" s="241"/>
      <c r="AE667" s="241"/>
      <c r="AF667" s="241"/>
      <c r="AG667" s="241"/>
      <c r="AH667" s="241"/>
      <c r="AI667" s="241"/>
      <c r="AJ667" s="241"/>
      <c r="AK667" s="241"/>
      <c r="AL667" s="241"/>
      <c r="AM667" s="241"/>
      <c r="AN667" s="241"/>
      <c r="AO667" s="241"/>
      <c r="AP667" s="241"/>
      <c r="AQ667" s="241"/>
      <c r="AR667" s="241"/>
      <c r="AS667" s="241"/>
      <c r="AT667" s="241"/>
      <c r="AU667" s="241"/>
      <c r="AV667" s="241"/>
      <c r="AW667" s="241"/>
      <c r="AX667" s="241"/>
      <c r="AY667" s="241"/>
      <c r="AZ667" s="241"/>
      <c r="BA667" s="241"/>
      <c r="BB667" s="241"/>
      <c r="BC667" s="241"/>
      <c r="BD667" s="241"/>
      <c r="BE667" s="241"/>
      <c r="BF667" s="241"/>
      <c r="BG667" s="241"/>
      <c r="BH667" s="241"/>
      <c r="BI667" s="241"/>
      <c r="BJ667" s="241"/>
      <c r="BK667" s="241"/>
      <c r="BL667" s="241"/>
      <c r="BM667" s="241"/>
    </row>
    <row r="668" spans="1:65" ht="13.5" customHeight="1" x14ac:dyDescent="0.3">
      <c r="A668" s="241"/>
      <c r="B668" s="241"/>
      <c r="C668" s="241"/>
      <c r="D668" s="241"/>
      <c r="E668" s="241"/>
      <c r="F668" s="241"/>
      <c r="G668" s="241"/>
      <c r="H668" s="241"/>
      <c r="I668" s="241"/>
      <c r="J668" s="241"/>
      <c r="K668" s="241"/>
      <c r="L668" s="241"/>
      <c r="M668" s="241"/>
      <c r="N668" s="241"/>
      <c r="O668" s="241"/>
      <c r="P668" s="241"/>
      <c r="Q668" s="241"/>
      <c r="R668" s="241"/>
      <c r="S668" s="241"/>
      <c r="T668" s="241"/>
      <c r="U668" s="241"/>
      <c r="V668" s="241"/>
      <c r="W668" s="241"/>
      <c r="X668" s="241"/>
      <c r="Y668" s="241"/>
      <c r="Z668" s="241"/>
      <c r="AA668" s="241"/>
      <c r="AB668" s="241"/>
      <c r="AC668" s="241"/>
      <c r="AD668" s="241"/>
      <c r="AE668" s="241"/>
      <c r="AF668" s="241"/>
      <c r="AG668" s="241"/>
      <c r="AH668" s="241"/>
      <c r="AI668" s="241"/>
      <c r="AJ668" s="241"/>
      <c r="AK668" s="241"/>
      <c r="AL668" s="241"/>
      <c r="AM668" s="241"/>
      <c r="AN668" s="241"/>
      <c r="AO668" s="241"/>
      <c r="AP668" s="241"/>
      <c r="AQ668" s="241"/>
      <c r="AR668" s="241"/>
      <c r="AS668" s="241"/>
      <c r="AT668" s="241"/>
      <c r="AU668" s="241"/>
      <c r="AV668" s="241"/>
      <c r="AW668" s="241"/>
      <c r="AX668" s="241"/>
      <c r="AY668" s="241"/>
      <c r="AZ668" s="241"/>
      <c r="BA668" s="241"/>
      <c r="BB668" s="241"/>
      <c r="BC668" s="241"/>
      <c r="BD668" s="241"/>
      <c r="BE668" s="241"/>
      <c r="BF668" s="241"/>
      <c r="BG668" s="241"/>
      <c r="BH668" s="241"/>
      <c r="BI668" s="241"/>
      <c r="BJ668" s="241"/>
      <c r="BK668" s="241"/>
      <c r="BL668" s="241"/>
      <c r="BM668" s="241"/>
    </row>
    <row r="669" spans="1:65" ht="13.5" customHeight="1" x14ac:dyDescent="0.3">
      <c r="A669" s="241"/>
      <c r="B669" s="241"/>
      <c r="C669" s="241"/>
      <c r="D669" s="241"/>
      <c r="E669" s="241"/>
      <c r="F669" s="241"/>
      <c r="G669" s="241"/>
      <c r="H669" s="241"/>
      <c r="I669" s="241"/>
      <c r="J669" s="241"/>
      <c r="K669" s="241"/>
      <c r="L669" s="241"/>
      <c r="M669" s="241"/>
      <c r="N669" s="241"/>
      <c r="O669" s="241"/>
      <c r="P669" s="241"/>
      <c r="Q669" s="241"/>
      <c r="R669" s="241"/>
      <c r="S669" s="241"/>
      <c r="T669" s="241"/>
      <c r="U669" s="241"/>
      <c r="V669" s="241"/>
      <c r="W669" s="241"/>
      <c r="X669" s="241"/>
      <c r="Y669" s="241"/>
      <c r="Z669" s="241"/>
      <c r="AA669" s="241"/>
      <c r="AB669" s="241"/>
      <c r="AC669" s="241"/>
      <c r="AD669" s="241"/>
      <c r="AE669" s="241"/>
      <c r="AF669" s="241"/>
      <c r="AG669" s="241"/>
      <c r="AH669" s="241"/>
      <c r="AI669" s="241"/>
      <c r="AJ669" s="241"/>
      <c r="AK669" s="241"/>
      <c r="AL669" s="241"/>
      <c r="AM669" s="241"/>
      <c r="AN669" s="241"/>
      <c r="AO669" s="241"/>
      <c r="AP669" s="241"/>
      <c r="AQ669" s="241"/>
      <c r="AR669" s="241"/>
      <c r="AS669" s="241"/>
      <c r="AT669" s="241"/>
      <c r="AU669" s="241"/>
      <c r="AV669" s="241"/>
      <c r="AW669" s="241"/>
      <c r="AX669" s="241"/>
      <c r="AY669" s="241"/>
      <c r="AZ669" s="241"/>
      <c r="BA669" s="241"/>
      <c r="BB669" s="241"/>
      <c r="BC669" s="241"/>
      <c r="BD669" s="241"/>
      <c r="BE669" s="241"/>
      <c r="BF669" s="241"/>
      <c r="BG669" s="241"/>
      <c r="BH669" s="241"/>
      <c r="BI669" s="241"/>
      <c r="BJ669" s="241"/>
      <c r="BK669" s="241"/>
      <c r="BL669" s="241"/>
      <c r="BM669" s="241"/>
    </row>
    <row r="670" spans="1:65" ht="13.5" customHeight="1" x14ac:dyDescent="0.3">
      <c r="A670" s="241"/>
      <c r="B670" s="241"/>
      <c r="C670" s="241"/>
      <c r="D670" s="241"/>
      <c r="E670" s="241"/>
      <c r="F670" s="241"/>
      <c r="G670" s="241"/>
      <c r="H670" s="241"/>
      <c r="I670" s="241"/>
      <c r="J670" s="241"/>
      <c r="K670" s="241"/>
      <c r="L670" s="241"/>
      <c r="M670" s="241"/>
      <c r="N670" s="241"/>
      <c r="O670" s="241"/>
      <c r="P670" s="241"/>
      <c r="Q670" s="241"/>
      <c r="R670" s="241"/>
      <c r="S670" s="241"/>
      <c r="T670" s="241"/>
      <c r="U670" s="241"/>
      <c r="V670" s="241"/>
      <c r="W670" s="241"/>
      <c r="X670" s="241"/>
      <c r="Y670" s="241"/>
      <c r="Z670" s="241"/>
      <c r="AA670" s="241"/>
      <c r="AB670" s="241"/>
      <c r="AC670" s="241"/>
      <c r="AD670" s="241"/>
      <c r="AE670" s="241"/>
      <c r="AF670" s="241"/>
      <c r="AG670" s="241"/>
      <c r="AH670" s="241"/>
      <c r="AI670" s="241"/>
      <c r="AJ670" s="241"/>
      <c r="AK670" s="241"/>
      <c r="AL670" s="241"/>
      <c r="AM670" s="241"/>
      <c r="AN670" s="241"/>
      <c r="AO670" s="241"/>
      <c r="AP670" s="241"/>
      <c r="AQ670" s="241"/>
      <c r="AR670" s="241"/>
      <c r="AS670" s="241"/>
      <c r="AT670" s="241"/>
      <c r="AU670" s="241"/>
      <c r="AV670" s="241"/>
      <c r="AW670" s="241"/>
      <c r="AX670" s="241"/>
      <c r="AY670" s="241"/>
      <c r="AZ670" s="241"/>
      <c r="BA670" s="241"/>
      <c r="BB670" s="241"/>
      <c r="BC670" s="241"/>
      <c r="BD670" s="241"/>
      <c r="BE670" s="241"/>
      <c r="BF670" s="241"/>
      <c r="BG670" s="241"/>
      <c r="BH670" s="241"/>
      <c r="BI670" s="241"/>
      <c r="BJ670" s="241"/>
      <c r="BK670" s="241"/>
      <c r="BL670" s="241"/>
      <c r="BM670" s="241"/>
    </row>
    <row r="671" spans="1:65" ht="13.5" customHeight="1" x14ac:dyDescent="0.3">
      <c r="A671" s="241"/>
      <c r="B671" s="241"/>
      <c r="C671" s="241"/>
      <c r="D671" s="241"/>
      <c r="E671" s="241"/>
      <c r="F671" s="241"/>
      <c r="G671" s="241"/>
      <c r="H671" s="241"/>
      <c r="I671" s="241"/>
      <c r="J671" s="241"/>
      <c r="K671" s="241"/>
      <c r="L671" s="241"/>
      <c r="M671" s="241"/>
      <c r="N671" s="241"/>
      <c r="O671" s="241"/>
      <c r="P671" s="241"/>
      <c r="Q671" s="241"/>
      <c r="R671" s="241"/>
      <c r="S671" s="241"/>
      <c r="T671" s="241"/>
      <c r="U671" s="241"/>
      <c r="V671" s="241"/>
      <c r="W671" s="241"/>
      <c r="X671" s="241"/>
      <c r="Y671" s="241"/>
      <c r="Z671" s="241"/>
      <c r="AA671" s="241"/>
      <c r="AB671" s="241"/>
      <c r="AC671" s="241"/>
      <c r="AD671" s="241"/>
      <c r="AE671" s="241"/>
      <c r="AF671" s="241"/>
      <c r="AG671" s="241"/>
      <c r="AH671" s="241"/>
      <c r="AI671" s="241"/>
      <c r="AJ671" s="241"/>
      <c r="AK671" s="241"/>
      <c r="AL671" s="241"/>
      <c r="AM671" s="241"/>
      <c r="AN671" s="241"/>
      <c r="AO671" s="241"/>
      <c r="AP671" s="241"/>
      <c r="AQ671" s="241"/>
      <c r="AR671" s="241"/>
      <c r="AS671" s="241"/>
      <c r="AT671" s="241"/>
      <c r="AU671" s="241"/>
      <c r="AV671" s="241"/>
      <c r="AW671" s="241"/>
      <c r="AX671" s="241"/>
      <c r="AY671" s="241"/>
      <c r="AZ671" s="241"/>
      <c r="BA671" s="241"/>
      <c r="BB671" s="241"/>
      <c r="BC671" s="241"/>
      <c r="BD671" s="241"/>
      <c r="BE671" s="241"/>
      <c r="BF671" s="241"/>
      <c r="BG671" s="241"/>
      <c r="BH671" s="241"/>
      <c r="BI671" s="241"/>
      <c r="BJ671" s="241"/>
      <c r="BK671" s="241"/>
      <c r="BL671" s="241"/>
      <c r="BM671" s="241"/>
    </row>
    <row r="672" spans="1:65" ht="13.5" customHeight="1" x14ac:dyDescent="0.3">
      <c r="A672" s="241"/>
      <c r="B672" s="241"/>
      <c r="C672" s="241"/>
      <c r="D672" s="241"/>
      <c r="E672" s="241"/>
      <c r="F672" s="241"/>
      <c r="G672" s="241"/>
      <c r="H672" s="241"/>
      <c r="I672" s="241"/>
      <c r="J672" s="241"/>
      <c r="K672" s="241"/>
      <c r="L672" s="241"/>
      <c r="M672" s="241"/>
      <c r="N672" s="241"/>
      <c r="O672" s="241"/>
      <c r="P672" s="241"/>
      <c r="Q672" s="241"/>
      <c r="R672" s="241"/>
      <c r="S672" s="241"/>
      <c r="T672" s="241"/>
      <c r="U672" s="241"/>
      <c r="V672" s="241"/>
      <c r="W672" s="241"/>
      <c r="X672" s="241"/>
      <c r="Y672" s="241"/>
      <c r="Z672" s="241"/>
      <c r="AA672" s="241"/>
      <c r="AB672" s="241"/>
      <c r="AC672" s="241"/>
      <c r="AD672" s="241"/>
      <c r="AE672" s="241"/>
      <c r="AF672" s="241"/>
      <c r="AG672" s="241"/>
      <c r="AH672" s="241"/>
      <c r="AI672" s="241"/>
      <c r="AJ672" s="241"/>
      <c r="AK672" s="241"/>
      <c r="AL672" s="241"/>
      <c r="AM672" s="241"/>
      <c r="AN672" s="241"/>
      <c r="AO672" s="241"/>
      <c r="AP672" s="241"/>
      <c r="AQ672" s="241"/>
      <c r="AR672" s="241"/>
      <c r="AS672" s="241"/>
      <c r="AT672" s="241"/>
      <c r="AU672" s="241"/>
      <c r="AV672" s="241"/>
      <c r="AW672" s="241"/>
      <c r="AX672" s="241"/>
      <c r="AY672" s="241"/>
      <c r="AZ672" s="241"/>
      <c r="BA672" s="241"/>
      <c r="BB672" s="241"/>
      <c r="BC672" s="241"/>
      <c r="BD672" s="241"/>
      <c r="BE672" s="241"/>
      <c r="BF672" s="241"/>
      <c r="BG672" s="241"/>
      <c r="BH672" s="241"/>
      <c r="BI672" s="241"/>
      <c r="BJ672" s="241"/>
      <c r="BK672" s="241"/>
      <c r="BL672" s="241"/>
      <c r="BM672" s="241"/>
    </row>
    <row r="673" spans="1:65" ht="13.5" customHeight="1" x14ac:dyDescent="0.3">
      <c r="A673" s="241"/>
      <c r="B673" s="241"/>
      <c r="C673" s="241"/>
      <c r="D673" s="241"/>
      <c r="E673" s="241"/>
      <c r="F673" s="241"/>
      <c r="G673" s="241"/>
      <c r="H673" s="241"/>
      <c r="I673" s="241"/>
      <c r="J673" s="241"/>
      <c r="K673" s="241"/>
      <c r="L673" s="241"/>
      <c r="M673" s="241"/>
      <c r="N673" s="241"/>
      <c r="O673" s="241"/>
      <c r="P673" s="241"/>
      <c r="Q673" s="241"/>
      <c r="R673" s="241"/>
      <c r="S673" s="241"/>
      <c r="T673" s="241"/>
      <c r="U673" s="241"/>
      <c r="V673" s="241"/>
      <c r="W673" s="241"/>
      <c r="X673" s="241"/>
      <c r="Y673" s="241"/>
      <c r="Z673" s="241"/>
      <c r="AA673" s="241"/>
      <c r="AB673" s="241"/>
      <c r="AC673" s="241"/>
      <c r="AD673" s="241"/>
      <c r="AE673" s="241"/>
      <c r="AF673" s="241"/>
      <c r="AG673" s="241"/>
      <c r="AH673" s="241"/>
      <c r="AI673" s="241"/>
      <c r="AJ673" s="241"/>
      <c r="AK673" s="241"/>
      <c r="AL673" s="241"/>
      <c r="AM673" s="241"/>
      <c r="AN673" s="241"/>
      <c r="AO673" s="241"/>
      <c r="AP673" s="241"/>
      <c r="AQ673" s="241"/>
      <c r="AR673" s="241"/>
      <c r="AS673" s="241"/>
      <c r="AT673" s="241"/>
      <c r="AU673" s="241"/>
      <c r="AV673" s="241"/>
      <c r="AW673" s="241"/>
      <c r="AX673" s="241"/>
      <c r="AY673" s="241"/>
      <c r="AZ673" s="241"/>
      <c r="BA673" s="241"/>
      <c r="BB673" s="241"/>
      <c r="BC673" s="241"/>
      <c r="BD673" s="241"/>
      <c r="BE673" s="241"/>
      <c r="BF673" s="241"/>
      <c r="BG673" s="241"/>
      <c r="BH673" s="241"/>
      <c r="BI673" s="241"/>
      <c r="BJ673" s="241"/>
      <c r="BK673" s="241"/>
      <c r="BL673" s="241"/>
      <c r="BM673" s="241"/>
    </row>
    <row r="674" spans="1:65" ht="13.5" customHeight="1" x14ac:dyDescent="0.3">
      <c r="A674" s="241"/>
      <c r="B674" s="241"/>
      <c r="C674" s="241"/>
      <c r="D674" s="241"/>
      <c r="E674" s="241"/>
      <c r="F674" s="241"/>
      <c r="G674" s="241"/>
      <c r="H674" s="241"/>
      <c r="I674" s="241"/>
      <c r="J674" s="241"/>
      <c r="K674" s="241"/>
      <c r="L674" s="241"/>
      <c r="M674" s="241"/>
      <c r="N674" s="241"/>
      <c r="O674" s="241"/>
      <c r="P674" s="241"/>
      <c r="Q674" s="241"/>
      <c r="R674" s="241"/>
      <c r="S674" s="241"/>
      <c r="T674" s="241"/>
      <c r="U674" s="241"/>
      <c r="V674" s="241"/>
      <c r="W674" s="241"/>
      <c r="X674" s="241"/>
      <c r="Y674" s="241"/>
      <c r="Z674" s="241"/>
      <c r="AA674" s="241"/>
      <c r="AB674" s="241"/>
      <c r="AC674" s="241"/>
      <c r="AD674" s="241"/>
      <c r="AE674" s="241"/>
      <c r="AF674" s="241"/>
      <c r="AG674" s="241"/>
      <c r="AH674" s="241"/>
      <c r="AI674" s="241"/>
      <c r="AJ674" s="241"/>
      <c r="AK674" s="241"/>
      <c r="AL674" s="241"/>
      <c r="AM674" s="241"/>
      <c r="AN674" s="241"/>
      <c r="AO674" s="241"/>
      <c r="AP674" s="241"/>
      <c r="AQ674" s="241"/>
      <c r="AR674" s="241"/>
      <c r="AS674" s="241"/>
      <c r="AT674" s="241"/>
      <c r="AU674" s="241"/>
      <c r="AV674" s="241"/>
      <c r="AW674" s="241"/>
      <c r="AX674" s="241"/>
      <c r="AY674" s="241"/>
      <c r="AZ674" s="241"/>
      <c r="BA674" s="241"/>
      <c r="BB674" s="241"/>
      <c r="BC674" s="241"/>
      <c r="BD674" s="241"/>
      <c r="BE674" s="241"/>
      <c r="BF674" s="241"/>
      <c r="BG674" s="241"/>
      <c r="BH674" s="241"/>
      <c r="BI674" s="241"/>
      <c r="BJ674" s="241"/>
      <c r="BK674" s="241"/>
      <c r="BL674" s="241"/>
      <c r="BM674" s="241"/>
    </row>
    <row r="675" spans="1:65" ht="13.5" customHeight="1" x14ac:dyDescent="0.3">
      <c r="A675" s="241"/>
      <c r="B675" s="241"/>
      <c r="C675" s="241"/>
      <c r="D675" s="241"/>
      <c r="E675" s="241"/>
      <c r="F675" s="241"/>
      <c r="G675" s="241"/>
      <c r="H675" s="241"/>
      <c r="I675" s="241"/>
      <c r="J675" s="241"/>
      <c r="K675" s="241"/>
      <c r="L675" s="241"/>
      <c r="M675" s="241"/>
      <c r="N675" s="241"/>
      <c r="O675" s="241"/>
      <c r="P675" s="241"/>
      <c r="Q675" s="241"/>
      <c r="R675" s="241"/>
      <c r="S675" s="241"/>
      <c r="T675" s="241"/>
      <c r="U675" s="241"/>
      <c r="V675" s="241"/>
      <c r="W675" s="241"/>
      <c r="X675" s="241"/>
      <c r="Y675" s="241"/>
      <c r="Z675" s="241"/>
      <c r="AA675" s="241"/>
      <c r="AB675" s="241"/>
      <c r="AC675" s="241"/>
      <c r="AD675" s="241"/>
      <c r="AE675" s="241"/>
      <c r="AF675" s="241"/>
      <c r="AG675" s="241"/>
      <c r="AH675" s="241"/>
      <c r="AI675" s="241"/>
      <c r="AJ675" s="241"/>
      <c r="AK675" s="241"/>
      <c r="AL675" s="241"/>
      <c r="AM675" s="241"/>
      <c r="AN675" s="241"/>
      <c r="AO675" s="241"/>
      <c r="AP675" s="241"/>
      <c r="AQ675" s="241"/>
      <c r="AR675" s="241"/>
      <c r="AS675" s="241"/>
      <c r="AT675" s="241"/>
      <c r="AU675" s="241"/>
      <c r="AV675" s="241"/>
      <c r="AW675" s="241"/>
      <c r="AX675" s="241"/>
      <c r="AY675" s="241"/>
      <c r="AZ675" s="241"/>
      <c r="BA675" s="241"/>
      <c r="BB675" s="241"/>
      <c r="BC675" s="241"/>
      <c r="BD675" s="241"/>
      <c r="BE675" s="241"/>
      <c r="BF675" s="241"/>
      <c r="BG675" s="241"/>
      <c r="BH675" s="241"/>
      <c r="BI675" s="241"/>
      <c r="BJ675" s="241"/>
      <c r="BK675" s="241"/>
      <c r="BL675" s="241"/>
      <c r="BM675" s="241"/>
    </row>
    <row r="676" spans="1:65" ht="13.5" customHeight="1" x14ac:dyDescent="0.3">
      <c r="A676" s="241"/>
      <c r="B676" s="241"/>
      <c r="C676" s="241"/>
      <c r="D676" s="241"/>
      <c r="E676" s="241"/>
      <c r="F676" s="241"/>
      <c r="G676" s="241"/>
      <c r="H676" s="241"/>
      <c r="I676" s="241"/>
      <c r="J676" s="241"/>
      <c r="K676" s="241"/>
      <c r="L676" s="241"/>
      <c r="M676" s="241"/>
      <c r="N676" s="241"/>
      <c r="O676" s="241"/>
      <c r="P676" s="241"/>
      <c r="Q676" s="241"/>
      <c r="R676" s="241"/>
      <c r="S676" s="241"/>
      <c r="T676" s="241"/>
      <c r="U676" s="241"/>
      <c r="V676" s="241"/>
      <c r="W676" s="241"/>
      <c r="X676" s="241"/>
      <c r="Y676" s="241"/>
      <c r="Z676" s="241"/>
      <c r="AA676" s="241"/>
      <c r="AB676" s="241"/>
      <c r="AC676" s="241"/>
      <c r="AD676" s="241"/>
      <c r="AE676" s="241"/>
      <c r="AF676" s="241"/>
      <c r="AG676" s="241"/>
      <c r="AH676" s="241"/>
      <c r="AI676" s="241"/>
      <c r="AJ676" s="241"/>
      <c r="AK676" s="241"/>
      <c r="AL676" s="241"/>
      <c r="AM676" s="241"/>
      <c r="AN676" s="241"/>
      <c r="AO676" s="241"/>
      <c r="AP676" s="241"/>
      <c r="AQ676" s="241"/>
      <c r="AR676" s="241"/>
      <c r="AS676" s="241"/>
      <c r="AT676" s="241"/>
      <c r="AU676" s="241"/>
      <c r="AV676" s="241"/>
      <c r="AW676" s="241"/>
      <c r="AX676" s="241"/>
      <c r="AY676" s="241"/>
      <c r="AZ676" s="241"/>
      <c r="BA676" s="241"/>
      <c r="BB676" s="241"/>
      <c r="BC676" s="241"/>
      <c r="BD676" s="241"/>
      <c r="BE676" s="241"/>
      <c r="BF676" s="241"/>
      <c r="BG676" s="241"/>
      <c r="BH676" s="241"/>
      <c r="BI676" s="241"/>
      <c r="BJ676" s="241"/>
      <c r="BK676" s="241"/>
      <c r="BL676" s="241"/>
      <c r="BM676" s="241"/>
    </row>
    <row r="677" spans="1:65" ht="13.5" customHeight="1" x14ac:dyDescent="0.3">
      <c r="A677" s="241"/>
      <c r="B677" s="241"/>
      <c r="C677" s="241"/>
      <c r="D677" s="241"/>
      <c r="E677" s="241"/>
      <c r="F677" s="241"/>
      <c r="G677" s="241"/>
      <c r="H677" s="241"/>
      <c r="I677" s="241"/>
      <c r="J677" s="241"/>
      <c r="K677" s="241"/>
      <c r="L677" s="241"/>
      <c r="M677" s="241"/>
      <c r="N677" s="241"/>
      <c r="O677" s="241"/>
      <c r="P677" s="241"/>
      <c r="Q677" s="241"/>
      <c r="R677" s="241"/>
      <c r="S677" s="241"/>
      <c r="T677" s="241"/>
      <c r="U677" s="241"/>
      <c r="V677" s="241"/>
      <c r="W677" s="241"/>
      <c r="X677" s="241"/>
      <c r="Y677" s="241"/>
      <c r="Z677" s="241"/>
      <c r="AA677" s="241"/>
      <c r="AB677" s="241"/>
      <c r="AC677" s="241"/>
      <c r="AD677" s="241"/>
      <c r="AE677" s="241"/>
      <c r="AF677" s="241"/>
      <c r="AG677" s="241"/>
      <c r="AH677" s="241"/>
      <c r="AI677" s="241"/>
      <c r="AJ677" s="241"/>
      <c r="AK677" s="241"/>
      <c r="AL677" s="241"/>
      <c r="AM677" s="241"/>
      <c r="AN677" s="241"/>
      <c r="AO677" s="241"/>
      <c r="AP677" s="241"/>
      <c r="AQ677" s="241"/>
      <c r="AR677" s="241"/>
      <c r="AS677" s="241"/>
      <c r="AT677" s="241"/>
      <c r="AU677" s="241"/>
      <c r="AV677" s="241"/>
      <c r="AW677" s="241"/>
      <c r="AX677" s="241"/>
      <c r="AY677" s="241"/>
      <c r="AZ677" s="241"/>
      <c r="BA677" s="241"/>
      <c r="BB677" s="241"/>
      <c r="BC677" s="241"/>
      <c r="BD677" s="241"/>
      <c r="BE677" s="241"/>
      <c r="BF677" s="241"/>
      <c r="BG677" s="241"/>
      <c r="BH677" s="241"/>
      <c r="BI677" s="241"/>
      <c r="BJ677" s="241"/>
      <c r="BK677" s="241"/>
      <c r="BL677" s="241"/>
      <c r="BM677" s="241"/>
    </row>
    <row r="678" spans="1:65" ht="13.5" customHeight="1" x14ac:dyDescent="0.3">
      <c r="A678" s="241"/>
      <c r="B678" s="241"/>
      <c r="C678" s="241"/>
      <c r="D678" s="241"/>
      <c r="E678" s="241"/>
      <c r="F678" s="241"/>
      <c r="G678" s="241"/>
      <c r="H678" s="241"/>
      <c r="I678" s="241"/>
      <c r="J678" s="241"/>
      <c r="K678" s="241"/>
      <c r="L678" s="241"/>
      <c r="M678" s="241"/>
      <c r="N678" s="241"/>
      <c r="O678" s="241"/>
      <c r="P678" s="241"/>
      <c r="Q678" s="241"/>
      <c r="R678" s="241"/>
      <c r="S678" s="241"/>
      <c r="T678" s="241"/>
      <c r="U678" s="241"/>
      <c r="V678" s="241"/>
      <c r="W678" s="241"/>
      <c r="X678" s="241"/>
      <c r="Y678" s="241"/>
      <c r="Z678" s="241"/>
      <c r="AA678" s="241"/>
      <c r="AB678" s="241"/>
      <c r="AC678" s="241"/>
      <c r="AD678" s="241"/>
      <c r="AE678" s="241"/>
      <c r="AF678" s="241"/>
      <c r="AG678" s="241"/>
      <c r="AH678" s="241"/>
      <c r="AI678" s="241"/>
      <c r="AJ678" s="241"/>
      <c r="AK678" s="241"/>
      <c r="AL678" s="241"/>
      <c r="AM678" s="241"/>
      <c r="AN678" s="241"/>
      <c r="AO678" s="241"/>
      <c r="AP678" s="241"/>
      <c r="AQ678" s="241"/>
      <c r="AR678" s="241"/>
      <c r="AS678" s="241"/>
      <c r="AT678" s="241"/>
      <c r="AU678" s="241"/>
      <c r="AV678" s="241"/>
      <c r="AW678" s="241"/>
      <c r="AX678" s="241"/>
      <c r="AY678" s="241"/>
      <c r="AZ678" s="241"/>
      <c r="BA678" s="241"/>
      <c r="BB678" s="241"/>
      <c r="BC678" s="241"/>
      <c r="BD678" s="241"/>
      <c r="BE678" s="241"/>
      <c r="BF678" s="241"/>
      <c r="BG678" s="241"/>
      <c r="BH678" s="241"/>
      <c r="BI678" s="241"/>
      <c r="BJ678" s="241"/>
      <c r="BK678" s="241"/>
      <c r="BL678" s="241"/>
      <c r="BM678" s="241"/>
    </row>
    <row r="679" spans="1:65" ht="13.5" customHeight="1" x14ac:dyDescent="0.3">
      <c r="A679" s="241"/>
      <c r="B679" s="241"/>
      <c r="C679" s="241"/>
      <c r="D679" s="241"/>
      <c r="E679" s="241"/>
      <c r="F679" s="241"/>
      <c r="G679" s="241"/>
      <c r="H679" s="241"/>
      <c r="I679" s="241"/>
      <c r="J679" s="241"/>
      <c r="K679" s="241"/>
      <c r="L679" s="241"/>
      <c r="M679" s="241"/>
      <c r="N679" s="241"/>
      <c r="O679" s="241"/>
      <c r="P679" s="241"/>
      <c r="Q679" s="241"/>
      <c r="R679" s="241"/>
      <c r="S679" s="241"/>
      <c r="T679" s="241"/>
      <c r="U679" s="241"/>
      <c r="V679" s="241"/>
      <c r="W679" s="241"/>
      <c r="X679" s="241"/>
      <c r="Y679" s="241"/>
      <c r="Z679" s="241"/>
      <c r="AA679" s="241"/>
      <c r="AB679" s="241"/>
      <c r="AC679" s="241"/>
      <c r="AD679" s="241"/>
      <c r="AE679" s="241"/>
      <c r="AF679" s="241"/>
      <c r="AG679" s="241"/>
      <c r="AH679" s="241"/>
      <c r="AI679" s="241"/>
      <c r="AJ679" s="241"/>
      <c r="AK679" s="241"/>
      <c r="AL679" s="241"/>
      <c r="AM679" s="241"/>
      <c r="AN679" s="241"/>
      <c r="AO679" s="241"/>
      <c r="AP679" s="241"/>
      <c r="AQ679" s="241"/>
      <c r="AR679" s="241"/>
      <c r="AS679" s="241"/>
      <c r="AT679" s="241"/>
      <c r="AU679" s="241"/>
      <c r="AV679" s="241"/>
      <c r="AW679" s="241"/>
      <c r="AX679" s="241"/>
      <c r="AY679" s="241"/>
      <c r="AZ679" s="241"/>
      <c r="BA679" s="241"/>
      <c r="BB679" s="241"/>
      <c r="BC679" s="241"/>
      <c r="BD679" s="241"/>
      <c r="BE679" s="241"/>
      <c r="BF679" s="241"/>
      <c r="BG679" s="241"/>
      <c r="BH679" s="241"/>
      <c r="BI679" s="241"/>
      <c r="BJ679" s="241"/>
      <c r="BK679" s="241"/>
      <c r="BL679" s="241"/>
      <c r="BM679" s="241"/>
    </row>
    <row r="680" spans="1:65" ht="13.5" customHeight="1" x14ac:dyDescent="0.3">
      <c r="A680" s="241"/>
      <c r="B680" s="241"/>
      <c r="C680" s="241"/>
      <c r="D680" s="241"/>
      <c r="E680" s="241"/>
      <c r="F680" s="241"/>
      <c r="G680" s="241"/>
      <c r="H680" s="241"/>
      <c r="I680" s="241"/>
      <c r="J680" s="241"/>
      <c r="K680" s="241"/>
      <c r="L680" s="241"/>
      <c r="M680" s="241"/>
      <c r="N680" s="241"/>
      <c r="O680" s="241"/>
      <c r="P680" s="241"/>
      <c r="Q680" s="241"/>
      <c r="R680" s="241"/>
      <c r="S680" s="241"/>
      <c r="T680" s="241"/>
      <c r="U680" s="241"/>
      <c r="V680" s="241"/>
      <c r="W680" s="241"/>
      <c r="X680" s="241"/>
      <c r="Y680" s="241"/>
      <c r="Z680" s="241"/>
      <c r="AA680" s="241"/>
      <c r="AB680" s="241"/>
      <c r="AC680" s="241"/>
      <c r="AD680" s="241"/>
      <c r="AE680" s="241"/>
      <c r="AF680" s="241"/>
      <c r="AG680" s="241"/>
      <c r="AH680" s="241"/>
      <c r="AI680" s="241"/>
      <c r="AJ680" s="241"/>
      <c r="AK680" s="241"/>
      <c r="AL680" s="241"/>
      <c r="AM680" s="241"/>
      <c r="AN680" s="241"/>
      <c r="AO680" s="241"/>
      <c r="AP680" s="241"/>
      <c r="AQ680" s="241"/>
      <c r="AR680" s="241"/>
      <c r="AS680" s="241"/>
      <c r="AT680" s="241"/>
      <c r="AU680" s="241"/>
      <c r="AV680" s="241"/>
      <c r="AW680" s="241"/>
      <c r="AX680" s="241"/>
      <c r="AY680" s="241"/>
      <c r="AZ680" s="241"/>
      <c r="BA680" s="241"/>
      <c r="BB680" s="241"/>
      <c r="BC680" s="241"/>
      <c r="BD680" s="241"/>
      <c r="BE680" s="241"/>
      <c r="BF680" s="241"/>
      <c r="BG680" s="241"/>
      <c r="BH680" s="241"/>
      <c r="BI680" s="241"/>
      <c r="BJ680" s="241"/>
      <c r="BK680" s="241"/>
      <c r="BL680" s="241"/>
      <c r="BM680" s="241"/>
    </row>
    <row r="681" spans="1:65" ht="13.5" customHeight="1" x14ac:dyDescent="0.3">
      <c r="A681" s="241"/>
      <c r="B681" s="241"/>
      <c r="C681" s="241"/>
      <c r="D681" s="241"/>
      <c r="E681" s="241"/>
      <c r="F681" s="241"/>
      <c r="G681" s="241"/>
      <c r="H681" s="241"/>
      <c r="I681" s="241"/>
      <c r="J681" s="241"/>
      <c r="K681" s="241"/>
      <c r="L681" s="241"/>
      <c r="M681" s="241"/>
      <c r="N681" s="241"/>
      <c r="O681" s="241"/>
      <c r="P681" s="241"/>
      <c r="Q681" s="241"/>
      <c r="R681" s="241"/>
      <c r="S681" s="241"/>
      <c r="T681" s="241"/>
      <c r="U681" s="241"/>
      <c r="V681" s="241"/>
      <c r="W681" s="241"/>
      <c r="X681" s="241"/>
      <c r="Y681" s="241"/>
      <c r="Z681" s="241"/>
      <c r="AA681" s="241"/>
      <c r="AB681" s="241"/>
      <c r="AC681" s="241"/>
      <c r="AD681" s="241"/>
      <c r="AE681" s="241"/>
      <c r="AF681" s="241"/>
      <c r="AG681" s="241"/>
      <c r="AH681" s="241"/>
      <c r="AI681" s="241"/>
      <c r="AJ681" s="241"/>
      <c r="AK681" s="241"/>
      <c r="AL681" s="241"/>
      <c r="AM681" s="241"/>
      <c r="AN681" s="241"/>
      <c r="AO681" s="241"/>
      <c r="AP681" s="241"/>
      <c r="AQ681" s="241"/>
      <c r="AR681" s="241"/>
      <c r="AS681" s="241"/>
      <c r="AT681" s="241"/>
      <c r="AU681" s="241"/>
      <c r="AV681" s="241"/>
      <c r="AW681" s="241"/>
      <c r="AX681" s="241"/>
      <c r="AY681" s="241"/>
      <c r="AZ681" s="241"/>
      <c r="BA681" s="241"/>
      <c r="BB681" s="241"/>
      <c r="BC681" s="241"/>
      <c r="BD681" s="241"/>
      <c r="BE681" s="241"/>
      <c r="BF681" s="241"/>
      <c r="BG681" s="241"/>
      <c r="BH681" s="241"/>
      <c r="BI681" s="241"/>
      <c r="BJ681" s="241"/>
      <c r="BK681" s="241"/>
      <c r="BL681" s="241"/>
      <c r="BM681" s="241"/>
    </row>
    <row r="682" spans="1:65" ht="13.5" customHeight="1" x14ac:dyDescent="0.3">
      <c r="A682" s="241"/>
      <c r="B682" s="241"/>
      <c r="C682" s="241"/>
      <c r="D682" s="241"/>
      <c r="E682" s="241"/>
      <c r="F682" s="241"/>
      <c r="G682" s="241"/>
      <c r="H682" s="241"/>
      <c r="I682" s="241"/>
      <c r="J682" s="241"/>
      <c r="K682" s="241"/>
      <c r="L682" s="241"/>
      <c r="M682" s="241"/>
      <c r="N682" s="241"/>
      <c r="O682" s="241"/>
      <c r="P682" s="241"/>
      <c r="Q682" s="241"/>
      <c r="R682" s="241"/>
      <c r="S682" s="241"/>
      <c r="T682" s="241"/>
      <c r="U682" s="241"/>
      <c r="V682" s="241"/>
      <c r="W682" s="241"/>
      <c r="X682" s="241"/>
      <c r="Y682" s="241"/>
      <c r="Z682" s="241"/>
      <c r="AA682" s="241"/>
      <c r="AB682" s="241"/>
      <c r="AC682" s="241"/>
      <c r="AD682" s="241"/>
      <c r="AE682" s="241"/>
      <c r="AF682" s="241"/>
      <c r="AG682" s="241"/>
      <c r="AH682" s="241"/>
      <c r="AI682" s="241"/>
      <c r="AJ682" s="241"/>
      <c r="AK682" s="241"/>
      <c r="AL682" s="241"/>
      <c r="AM682" s="241"/>
      <c r="AN682" s="241"/>
      <c r="AO682" s="241"/>
      <c r="AP682" s="241"/>
      <c r="AQ682" s="241"/>
      <c r="AR682" s="241"/>
      <c r="AS682" s="241"/>
      <c r="AT682" s="241"/>
      <c r="AU682" s="241"/>
      <c r="AV682" s="241"/>
      <c r="AW682" s="241"/>
      <c r="AX682" s="241"/>
      <c r="AY682" s="241"/>
      <c r="AZ682" s="241"/>
      <c r="BA682" s="241"/>
      <c r="BB682" s="241"/>
      <c r="BC682" s="241"/>
      <c r="BD682" s="241"/>
      <c r="BE682" s="241"/>
      <c r="BF682" s="241"/>
      <c r="BG682" s="241"/>
      <c r="BH682" s="241"/>
      <c r="BI682" s="241"/>
      <c r="BJ682" s="241"/>
      <c r="BK682" s="241"/>
      <c r="BL682" s="241"/>
      <c r="BM682" s="241"/>
    </row>
    <row r="683" spans="1:65" ht="13.5" customHeight="1" x14ac:dyDescent="0.3">
      <c r="A683" s="241"/>
      <c r="B683" s="241"/>
      <c r="C683" s="241"/>
      <c r="D683" s="241"/>
      <c r="E683" s="241"/>
      <c r="F683" s="241"/>
      <c r="G683" s="241"/>
      <c r="H683" s="241"/>
      <c r="I683" s="241"/>
      <c r="J683" s="241"/>
      <c r="K683" s="241"/>
      <c r="L683" s="241"/>
      <c r="M683" s="241"/>
      <c r="N683" s="241"/>
      <c r="O683" s="241"/>
      <c r="P683" s="241"/>
      <c r="Q683" s="241"/>
      <c r="R683" s="241"/>
      <c r="S683" s="241"/>
      <c r="T683" s="241"/>
      <c r="U683" s="241"/>
      <c r="V683" s="241"/>
      <c r="W683" s="241"/>
      <c r="X683" s="241"/>
      <c r="Y683" s="241"/>
      <c r="Z683" s="241"/>
      <c r="AA683" s="241"/>
      <c r="AB683" s="241"/>
      <c r="AC683" s="241"/>
      <c r="AD683" s="241"/>
      <c r="AE683" s="241"/>
      <c r="AF683" s="241"/>
      <c r="AG683" s="241"/>
      <c r="AH683" s="241"/>
      <c r="AI683" s="241"/>
      <c r="AJ683" s="241"/>
      <c r="AK683" s="241"/>
      <c r="AL683" s="241"/>
      <c r="AM683" s="241"/>
      <c r="AN683" s="241"/>
      <c r="AO683" s="241"/>
      <c r="AP683" s="241"/>
      <c r="AQ683" s="241"/>
      <c r="AR683" s="241"/>
      <c r="AS683" s="241"/>
      <c r="AT683" s="241"/>
      <c r="AU683" s="241"/>
      <c r="AV683" s="241"/>
      <c r="AW683" s="241"/>
      <c r="AX683" s="241"/>
      <c r="AY683" s="241"/>
      <c r="AZ683" s="241"/>
      <c r="BA683" s="241"/>
      <c r="BB683" s="241"/>
      <c r="BC683" s="241"/>
      <c r="BD683" s="241"/>
      <c r="BE683" s="241"/>
      <c r="BF683" s="241"/>
      <c r="BG683" s="241"/>
      <c r="BH683" s="241"/>
      <c r="BI683" s="241"/>
      <c r="BJ683" s="241"/>
      <c r="BK683" s="241"/>
      <c r="BL683" s="241"/>
      <c r="BM683" s="241"/>
    </row>
    <row r="684" spans="1:65" ht="13.5" customHeight="1" x14ac:dyDescent="0.3">
      <c r="A684" s="241"/>
      <c r="B684" s="241"/>
      <c r="C684" s="241"/>
      <c r="D684" s="241"/>
      <c r="E684" s="241"/>
      <c r="F684" s="241"/>
      <c r="G684" s="241"/>
      <c r="H684" s="241"/>
      <c r="I684" s="241"/>
      <c r="J684" s="241"/>
      <c r="K684" s="241"/>
      <c r="L684" s="241"/>
      <c r="M684" s="241"/>
      <c r="N684" s="241"/>
      <c r="O684" s="241"/>
      <c r="P684" s="241"/>
      <c r="Q684" s="241"/>
      <c r="R684" s="241"/>
      <c r="S684" s="241"/>
      <c r="T684" s="241"/>
      <c r="U684" s="241"/>
      <c r="V684" s="241"/>
      <c r="W684" s="241"/>
      <c r="X684" s="241"/>
      <c r="Y684" s="241"/>
      <c r="Z684" s="241"/>
      <c r="AA684" s="241"/>
      <c r="AB684" s="241"/>
      <c r="AC684" s="241"/>
      <c r="AD684" s="241"/>
      <c r="AE684" s="241"/>
      <c r="AF684" s="241"/>
      <c r="AG684" s="241"/>
      <c r="AH684" s="241"/>
      <c r="AI684" s="241"/>
      <c r="AJ684" s="241"/>
      <c r="AK684" s="241"/>
      <c r="AL684" s="241"/>
      <c r="AM684" s="241"/>
      <c r="AN684" s="241"/>
      <c r="AO684" s="241"/>
      <c r="AP684" s="241"/>
      <c r="AQ684" s="241"/>
      <c r="AR684" s="241"/>
      <c r="AS684" s="241"/>
      <c r="AT684" s="241"/>
      <c r="AU684" s="241"/>
      <c r="AV684" s="241"/>
      <c r="AW684" s="241"/>
      <c r="AX684" s="241"/>
      <c r="AY684" s="241"/>
      <c r="AZ684" s="241"/>
      <c r="BA684" s="241"/>
      <c r="BB684" s="241"/>
      <c r="BC684" s="241"/>
      <c r="BD684" s="241"/>
      <c r="BE684" s="241"/>
      <c r="BF684" s="241"/>
      <c r="BG684" s="241"/>
      <c r="BH684" s="241"/>
      <c r="BI684" s="241"/>
      <c r="BJ684" s="241"/>
      <c r="BK684" s="241"/>
      <c r="BL684" s="241"/>
      <c r="BM684" s="241"/>
    </row>
    <row r="685" spans="1:65" ht="13.5" customHeight="1" x14ac:dyDescent="0.3">
      <c r="A685" s="241"/>
      <c r="B685" s="241"/>
      <c r="C685" s="241"/>
      <c r="D685" s="241"/>
      <c r="E685" s="241"/>
      <c r="F685" s="241"/>
      <c r="G685" s="241"/>
      <c r="H685" s="241"/>
      <c r="I685" s="241"/>
      <c r="J685" s="241"/>
      <c r="K685" s="241"/>
      <c r="L685" s="241"/>
      <c r="M685" s="241"/>
      <c r="N685" s="241"/>
      <c r="O685" s="241"/>
      <c r="P685" s="241"/>
      <c r="Q685" s="241"/>
      <c r="R685" s="241"/>
      <c r="S685" s="241"/>
      <c r="T685" s="241"/>
      <c r="U685" s="241"/>
      <c r="V685" s="241"/>
      <c r="W685" s="241"/>
      <c r="X685" s="241"/>
      <c r="Y685" s="241"/>
      <c r="Z685" s="241"/>
      <c r="AA685" s="241"/>
      <c r="AB685" s="241"/>
      <c r="AC685" s="241"/>
      <c r="AD685" s="241"/>
      <c r="AE685" s="241"/>
      <c r="AF685" s="241"/>
      <c r="AG685" s="241"/>
      <c r="AH685" s="241"/>
      <c r="AI685" s="241"/>
      <c r="AJ685" s="241"/>
      <c r="AK685" s="241"/>
      <c r="AL685" s="241"/>
      <c r="AM685" s="241"/>
      <c r="AN685" s="241"/>
      <c r="AO685" s="241"/>
      <c r="AP685" s="241"/>
      <c r="AQ685" s="241"/>
      <c r="AR685" s="241"/>
      <c r="AS685" s="241"/>
      <c r="AT685" s="241"/>
      <c r="AU685" s="241"/>
      <c r="AV685" s="241"/>
      <c r="AW685" s="241"/>
      <c r="AX685" s="241"/>
      <c r="AY685" s="241"/>
      <c r="AZ685" s="241"/>
      <c r="BA685" s="241"/>
      <c r="BB685" s="241"/>
      <c r="BC685" s="241"/>
      <c r="BD685" s="241"/>
      <c r="BE685" s="241"/>
      <c r="BF685" s="241"/>
      <c r="BG685" s="241"/>
      <c r="BH685" s="241"/>
      <c r="BI685" s="241"/>
      <c r="BJ685" s="241"/>
      <c r="BK685" s="241"/>
      <c r="BL685" s="241"/>
      <c r="BM685" s="241"/>
    </row>
    <row r="686" spans="1:65" ht="13.5" customHeight="1" x14ac:dyDescent="0.3">
      <c r="A686" s="241"/>
      <c r="B686" s="241"/>
      <c r="C686" s="241"/>
      <c r="D686" s="241"/>
      <c r="E686" s="241"/>
      <c r="F686" s="241"/>
      <c r="G686" s="241"/>
      <c r="H686" s="241"/>
      <c r="I686" s="241"/>
      <c r="J686" s="241"/>
      <c r="K686" s="241"/>
      <c r="L686" s="241"/>
      <c r="M686" s="241"/>
      <c r="N686" s="241"/>
      <c r="O686" s="241"/>
      <c r="P686" s="241"/>
      <c r="Q686" s="241"/>
      <c r="R686" s="241"/>
      <c r="S686" s="241"/>
      <c r="T686" s="241"/>
      <c r="U686" s="241"/>
      <c r="V686" s="241"/>
      <c r="W686" s="241"/>
      <c r="X686" s="241"/>
      <c r="Y686" s="241"/>
      <c r="Z686" s="241"/>
      <c r="AA686" s="241"/>
      <c r="AB686" s="241"/>
      <c r="AC686" s="241"/>
      <c r="AD686" s="241"/>
      <c r="AE686" s="241"/>
      <c r="AF686" s="241"/>
      <c r="AG686" s="241"/>
      <c r="AH686" s="241"/>
      <c r="AI686" s="241"/>
      <c r="AJ686" s="241"/>
      <c r="AK686" s="241"/>
      <c r="AL686" s="241"/>
      <c r="AM686" s="241"/>
      <c r="AN686" s="241"/>
      <c r="AO686" s="241"/>
      <c r="AP686" s="241"/>
      <c r="AQ686" s="241"/>
      <c r="AR686" s="241"/>
      <c r="AS686" s="241"/>
      <c r="AT686" s="241"/>
      <c r="AU686" s="241"/>
      <c r="AV686" s="241"/>
      <c r="AW686" s="241"/>
      <c r="AX686" s="241"/>
      <c r="AY686" s="241"/>
      <c r="AZ686" s="241"/>
      <c r="BA686" s="241"/>
      <c r="BB686" s="241"/>
      <c r="BC686" s="241"/>
      <c r="BD686" s="241"/>
      <c r="BE686" s="241"/>
      <c r="BF686" s="241"/>
      <c r="BG686" s="241"/>
      <c r="BH686" s="241"/>
      <c r="BI686" s="241"/>
      <c r="BJ686" s="241"/>
      <c r="BK686" s="241"/>
      <c r="BL686" s="241"/>
      <c r="BM686" s="241"/>
    </row>
    <row r="687" spans="1:65" ht="13.5" customHeight="1" x14ac:dyDescent="0.3">
      <c r="A687" s="241"/>
      <c r="B687" s="241"/>
      <c r="C687" s="241"/>
      <c r="D687" s="241"/>
      <c r="E687" s="241"/>
      <c r="F687" s="241"/>
      <c r="G687" s="241"/>
      <c r="H687" s="241"/>
      <c r="I687" s="241"/>
      <c r="J687" s="241"/>
      <c r="K687" s="241"/>
      <c r="L687" s="241"/>
      <c r="M687" s="241"/>
      <c r="N687" s="241"/>
      <c r="O687" s="241"/>
      <c r="P687" s="241"/>
      <c r="Q687" s="241"/>
      <c r="R687" s="241"/>
      <c r="S687" s="241"/>
      <c r="T687" s="241"/>
      <c r="U687" s="241"/>
      <c r="V687" s="241"/>
      <c r="W687" s="241"/>
      <c r="X687" s="241"/>
      <c r="Y687" s="241"/>
      <c r="Z687" s="241"/>
      <c r="AA687" s="241"/>
      <c r="AB687" s="241"/>
      <c r="AC687" s="241"/>
      <c r="AD687" s="241"/>
      <c r="AE687" s="241"/>
      <c r="AF687" s="241"/>
      <c r="AG687" s="241"/>
      <c r="AH687" s="241"/>
      <c r="AI687" s="241"/>
      <c r="AJ687" s="241"/>
      <c r="AK687" s="241"/>
      <c r="AL687" s="241"/>
      <c r="AM687" s="241"/>
      <c r="AN687" s="241"/>
      <c r="AO687" s="241"/>
      <c r="AP687" s="241"/>
      <c r="AQ687" s="241"/>
      <c r="AR687" s="241"/>
      <c r="AS687" s="241"/>
      <c r="AT687" s="241"/>
      <c r="AU687" s="241"/>
      <c r="AV687" s="241"/>
      <c r="AW687" s="241"/>
      <c r="AX687" s="241"/>
      <c r="AY687" s="241"/>
      <c r="AZ687" s="241"/>
      <c r="BA687" s="241"/>
      <c r="BB687" s="241"/>
      <c r="BC687" s="241"/>
      <c r="BD687" s="241"/>
      <c r="BE687" s="241"/>
      <c r="BF687" s="241"/>
      <c r="BG687" s="241"/>
      <c r="BH687" s="241"/>
      <c r="BI687" s="241"/>
      <c r="BJ687" s="241"/>
      <c r="BK687" s="241"/>
      <c r="BL687" s="241"/>
      <c r="BM687" s="241"/>
    </row>
    <row r="688" spans="1:65" ht="13.5" customHeight="1" x14ac:dyDescent="0.3">
      <c r="A688" s="241"/>
      <c r="B688" s="241"/>
      <c r="C688" s="241"/>
      <c r="D688" s="241"/>
      <c r="E688" s="241"/>
      <c r="F688" s="241"/>
      <c r="G688" s="241"/>
      <c r="H688" s="241"/>
      <c r="I688" s="241"/>
      <c r="J688" s="241"/>
      <c r="K688" s="241"/>
      <c r="L688" s="241"/>
      <c r="M688" s="241"/>
      <c r="N688" s="241"/>
      <c r="O688" s="241"/>
      <c r="P688" s="241"/>
      <c r="Q688" s="241"/>
      <c r="R688" s="241"/>
      <c r="S688" s="241"/>
      <c r="T688" s="241"/>
      <c r="U688" s="241"/>
      <c r="V688" s="241"/>
      <c r="W688" s="241"/>
      <c r="X688" s="241"/>
      <c r="Y688" s="241"/>
      <c r="Z688" s="241"/>
      <c r="AA688" s="241"/>
      <c r="AB688" s="241"/>
      <c r="AC688" s="241"/>
      <c r="AD688" s="241"/>
      <c r="AE688" s="241"/>
      <c r="AF688" s="241"/>
      <c r="AG688" s="241"/>
      <c r="AH688" s="241"/>
      <c r="AI688" s="241"/>
      <c r="AJ688" s="241"/>
      <c r="AK688" s="241"/>
      <c r="AL688" s="241"/>
      <c r="AM688" s="241"/>
      <c r="AN688" s="241"/>
      <c r="AO688" s="241"/>
      <c r="AP688" s="241"/>
      <c r="AQ688" s="241"/>
      <c r="AR688" s="241"/>
      <c r="AS688" s="241"/>
      <c r="AT688" s="241"/>
      <c r="AU688" s="241"/>
      <c r="AV688" s="241"/>
      <c r="AW688" s="241"/>
      <c r="AX688" s="241"/>
      <c r="AY688" s="241"/>
      <c r="AZ688" s="241"/>
      <c r="BA688" s="241"/>
      <c r="BB688" s="241"/>
      <c r="BC688" s="241"/>
      <c r="BD688" s="241"/>
      <c r="BE688" s="241"/>
      <c r="BF688" s="241"/>
      <c r="BG688" s="241"/>
      <c r="BH688" s="241"/>
      <c r="BI688" s="241"/>
      <c r="BJ688" s="241"/>
      <c r="BK688" s="241"/>
      <c r="BL688" s="241"/>
      <c r="BM688" s="241"/>
    </row>
    <row r="689" spans="1:65" ht="13.5" customHeight="1" x14ac:dyDescent="0.3">
      <c r="A689" s="241"/>
      <c r="B689" s="241"/>
      <c r="C689" s="241"/>
      <c r="D689" s="241"/>
      <c r="E689" s="241"/>
      <c r="F689" s="241"/>
      <c r="G689" s="241"/>
      <c r="H689" s="241"/>
      <c r="I689" s="241"/>
      <c r="J689" s="241"/>
      <c r="K689" s="241"/>
      <c r="L689" s="241"/>
      <c r="M689" s="241"/>
      <c r="N689" s="241"/>
      <c r="O689" s="241"/>
      <c r="P689" s="241"/>
      <c r="Q689" s="241"/>
      <c r="R689" s="241"/>
      <c r="S689" s="241"/>
      <c r="T689" s="241"/>
      <c r="U689" s="241"/>
      <c r="V689" s="241"/>
      <c r="W689" s="241"/>
      <c r="X689" s="241"/>
      <c r="Y689" s="241"/>
      <c r="Z689" s="241"/>
      <c r="AA689" s="241"/>
      <c r="AB689" s="241"/>
      <c r="AC689" s="241"/>
      <c r="AD689" s="241"/>
      <c r="AE689" s="241"/>
      <c r="AF689" s="241"/>
      <c r="AG689" s="241"/>
      <c r="AH689" s="241"/>
      <c r="AI689" s="241"/>
      <c r="AJ689" s="241"/>
      <c r="AK689" s="241"/>
      <c r="AL689" s="241"/>
      <c r="AM689" s="241"/>
      <c r="AN689" s="241"/>
      <c r="AO689" s="241"/>
      <c r="AP689" s="241"/>
      <c r="AQ689" s="241"/>
      <c r="AR689" s="241"/>
      <c r="AS689" s="241"/>
      <c r="AT689" s="241"/>
      <c r="AU689" s="241"/>
      <c r="AV689" s="241"/>
      <c r="AW689" s="241"/>
      <c r="AX689" s="241"/>
      <c r="AY689" s="241"/>
      <c r="AZ689" s="241"/>
      <c r="BA689" s="241"/>
      <c r="BB689" s="241"/>
      <c r="BC689" s="241"/>
      <c r="BD689" s="241"/>
      <c r="BE689" s="241"/>
      <c r="BF689" s="241"/>
      <c r="BG689" s="241"/>
      <c r="BH689" s="241"/>
      <c r="BI689" s="241"/>
      <c r="BJ689" s="241"/>
      <c r="BK689" s="241"/>
      <c r="BL689" s="241"/>
      <c r="BM689" s="241"/>
    </row>
    <row r="690" spans="1:65" ht="13.5" customHeight="1" x14ac:dyDescent="0.3">
      <c r="A690" s="241"/>
      <c r="B690" s="241"/>
      <c r="C690" s="241"/>
      <c r="D690" s="241"/>
      <c r="E690" s="241"/>
      <c r="F690" s="241"/>
      <c r="G690" s="241"/>
      <c r="H690" s="241"/>
      <c r="I690" s="241"/>
      <c r="J690" s="241"/>
      <c r="K690" s="241"/>
      <c r="L690" s="241"/>
      <c r="M690" s="241"/>
      <c r="N690" s="241"/>
      <c r="O690" s="241"/>
      <c r="P690" s="241"/>
      <c r="Q690" s="241"/>
      <c r="R690" s="241"/>
      <c r="S690" s="241"/>
      <c r="T690" s="241"/>
      <c r="U690" s="241"/>
      <c r="V690" s="241"/>
      <c r="W690" s="241"/>
      <c r="X690" s="241"/>
      <c r="Y690" s="241"/>
      <c r="Z690" s="241"/>
      <c r="AA690" s="241"/>
      <c r="AB690" s="241"/>
      <c r="AC690" s="241"/>
      <c r="AD690" s="241"/>
      <c r="AE690" s="241"/>
      <c r="AF690" s="241"/>
      <c r="AG690" s="241"/>
      <c r="AH690" s="241"/>
      <c r="AI690" s="241"/>
      <c r="AJ690" s="241"/>
      <c r="AK690" s="241"/>
      <c r="AL690" s="241"/>
      <c r="AM690" s="241"/>
      <c r="AN690" s="241"/>
      <c r="AO690" s="241"/>
      <c r="AP690" s="241"/>
      <c r="AQ690" s="241"/>
      <c r="AR690" s="241"/>
      <c r="AS690" s="241"/>
      <c r="AT690" s="241"/>
      <c r="AU690" s="241"/>
      <c r="AV690" s="241"/>
      <c r="AW690" s="241"/>
      <c r="AX690" s="241"/>
      <c r="AY690" s="241"/>
      <c r="AZ690" s="241"/>
      <c r="BA690" s="241"/>
      <c r="BB690" s="241"/>
      <c r="BC690" s="241"/>
      <c r="BD690" s="241"/>
      <c r="BE690" s="241"/>
      <c r="BF690" s="241"/>
      <c r="BG690" s="241"/>
      <c r="BH690" s="241"/>
      <c r="BI690" s="241"/>
      <c r="BJ690" s="241"/>
      <c r="BK690" s="241"/>
      <c r="BL690" s="241"/>
      <c r="BM690" s="241"/>
    </row>
    <row r="691" spans="1:65" ht="13.5" customHeight="1" x14ac:dyDescent="0.3">
      <c r="A691" s="241"/>
      <c r="B691" s="241"/>
      <c r="C691" s="241"/>
      <c r="D691" s="241"/>
      <c r="E691" s="241"/>
      <c r="F691" s="241"/>
      <c r="G691" s="241"/>
      <c r="H691" s="241"/>
      <c r="I691" s="241"/>
      <c r="J691" s="241"/>
      <c r="K691" s="241"/>
      <c r="L691" s="241"/>
      <c r="M691" s="241"/>
      <c r="N691" s="241"/>
      <c r="O691" s="241"/>
      <c r="P691" s="241"/>
      <c r="Q691" s="241"/>
      <c r="R691" s="241"/>
      <c r="S691" s="241"/>
      <c r="T691" s="241"/>
      <c r="U691" s="241"/>
      <c r="V691" s="241"/>
      <c r="W691" s="241"/>
      <c r="X691" s="241"/>
      <c r="Y691" s="241"/>
      <c r="Z691" s="241"/>
      <c r="AA691" s="241"/>
      <c r="AB691" s="241"/>
      <c r="AC691" s="241"/>
      <c r="AD691" s="241"/>
      <c r="AE691" s="241"/>
      <c r="AF691" s="241"/>
      <c r="AG691" s="241"/>
      <c r="AH691" s="241"/>
      <c r="AI691" s="241"/>
      <c r="AJ691" s="241"/>
      <c r="AK691" s="241"/>
      <c r="AL691" s="241"/>
      <c r="AM691" s="241"/>
      <c r="AN691" s="241"/>
      <c r="AO691" s="241"/>
      <c r="AP691" s="241"/>
      <c r="AQ691" s="241"/>
      <c r="AR691" s="241"/>
      <c r="AS691" s="241"/>
      <c r="AT691" s="241"/>
      <c r="AU691" s="241"/>
      <c r="AV691" s="241"/>
      <c r="AW691" s="241"/>
      <c r="AX691" s="241"/>
      <c r="AY691" s="241"/>
      <c r="AZ691" s="241"/>
      <c r="BA691" s="241"/>
      <c r="BB691" s="241"/>
      <c r="BC691" s="241"/>
      <c r="BD691" s="241"/>
      <c r="BE691" s="241"/>
      <c r="BF691" s="241"/>
      <c r="BG691" s="241"/>
      <c r="BH691" s="241"/>
      <c r="BI691" s="241"/>
      <c r="BJ691" s="241"/>
      <c r="BK691" s="241"/>
      <c r="BL691" s="241"/>
      <c r="BM691" s="241"/>
    </row>
    <row r="692" spans="1:65" ht="13.5" customHeight="1" x14ac:dyDescent="0.3">
      <c r="A692" s="241"/>
      <c r="B692" s="241"/>
      <c r="C692" s="241"/>
      <c r="D692" s="241"/>
      <c r="E692" s="241"/>
      <c r="F692" s="241"/>
      <c r="G692" s="241"/>
      <c r="H692" s="241"/>
      <c r="I692" s="241"/>
      <c r="J692" s="241"/>
      <c r="K692" s="241"/>
      <c r="L692" s="241"/>
      <c r="M692" s="241"/>
      <c r="N692" s="241"/>
      <c r="O692" s="241"/>
      <c r="P692" s="241"/>
      <c r="Q692" s="241"/>
      <c r="R692" s="241"/>
      <c r="S692" s="241"/>
      <c r="T692" s="241"/>
      <c r="U692" s="241"/>
      <c r="V692" s="241"/>
      <c r="W692" s="241"/>
      <c r="X692" s="241"/>
      <c r="Y692" s="241"/>
      <c r="Z692" s="241"/>
      <c r="AA692" s="241"/>
      <c r="AB692" s="241"/>
      <c r="AC692" s="241"/>
      <c r="AD692" s="241"/>
      <c r="AE692" s="241"/>
      <c r="AF692" s="241"/>
      <c r="AG692" s="241"/>
      <c r="AH692" s="241"/>
      <c r="AI692" s="241"/>
      <c r="AJ692" s="241"/>
      <c r="AK692" s="241"/>
      <c r="AL692" s="241"/>
      <c r="AM692" s="241"/>
      <c r="AN692" s="241"/>
      <c r="AO692" s="241"/>
      <c r="AP692" s="241"/>
      <c r="AQ692" s="241"/>
      <c r="AR692" s="241"/>
      <c r="AS692" s="241"/>
      <c r="AT692" s="241"/>
      <c r="AU692" s="241"/>
      <c r="AV692" s="241"/>
      <c r="AW692" s="241"/>
      <c r="AX692" s="241"/>
      <c r="AY692" s="241"/>
      <c r="AZ692" s="241"/>
      <c r="BA692" s="241"/>
      <c r="BB692" s="241"/>
      <c r="BC692" s="241"/>
      <c r="BD692" s="241"/>
      <c r="BE692" s="241"/>
      <c r="BF692" s="241"/>
      <c r="BG692" s="241"/>
      <c r="BH692" s="241"/>
      <c r="BI692" s="241"/>
      <c r="BJ692" s="241"/>
      <c r="BK692" s="241"/>
      <c r="BL692" s="241"/>
      <c r="BM692" s="241"/>
    </row>
    <row r="693" spans="1:65" ht="13.5" customHeight="1" x14ac:dyDescent="0.3">
      <c r="A693" s="241"/>
      <c r="B693" s="241"/>
      <c r="C693" s="241"/>
      <c r="D693" s="241"/>
      <c r="E693" s="241"/>
      <c r="F693" s="241"/>
      <c r="G693" s="241"/>
      <c r="H693" s="241"/>
      <c r="I693" s="241"/>
      <c r="J693" s="241"/>
      <c r="K693" s="241"/>
      <c r="L693" s="241"/>
      <c r="M693" s="241"/>
      <c r="N693" s="241"/>
      <c r="O693" s="241"/>
      <c r="P693" s="241"/>
      <c r="Q693" s="241"/>
      <c r="R693" s="241"/>
      <c r="S693" s="241"/>
      <c r="T693" s="241"/>
      <c r="U693" s="241"/>
      <c r="V693" s="241"/>
      <c r="W693" s="241"/>
      <c r="X693" s="241"/>
      <c r="Y693" s="241"/>
      <c r="Z693" s="241"/>
      <c r="AA693" s="241"/>
      <c r="AB693" s="241"/>
      <c r="AC693" s="241"/>
      <c r="AD693" s="241"/>
      <c r="AE693" s="241"/>
      <c r="AF693" s="241"/>
      <c r="AG693" s="241"/>
      <c r="AH693" s="241"/>
      <c r="AI693" s="241"/>
      <c r="AJ693" s="241"/>
      <c r="AK693" s="241"/>
      <c r="AL693" s="241"/>
      <c r="AM693" s="241"/>
      <c r="AN693" s="241"/>
      <c r="AO693" s="241"/>
      <c r="AP693" s="241"/>
      <c r="AQ693" s="241"/>
      <c r="AR693" s="241"/>
      <c r="AS693" s="241"/>
      <c r="AT693" s="241"/>
      <c r="AU693" s="241"/>
      <c r="AV693" s="241"/>
      <c r="AW693" s="241"/>
      <c r="AX693" s="241"/>
      <c r="AY693" s="241"/>
      <c r="AZ693" s="241"/>
      <c r="BA693" s="241"/>
      <c r="BB693" s="241"/>
      <c r="BC693" s="241"/>
      <c r="BD693" s="241"/>
      <c r="BE693" s="241"/>
      <c r="BF693" s="241"/>
      <c r="BG693" s="241"/>
      <c r="BH693" s="241"/>
      <c r="BI693" s="241"/>
      <c r="BJ693" s="241"/>
      <c r="BK693" s="241"/>
      <c r="BL693" s="241"/>
      <c r="BM693" s="241"/>
    </row>
    <row r="694" spans="1:65" ht="13.5" customHeight="1" x14ac:dyDescent="0.3">
      <c r="A694" s="241"/>
      <c r="B694" s="241"/>
      <c r="C694" s="241"/>
      <c r="D694" s="241"/>
      <c r="E694" s="241"/>
      <c r="F694" s="241"/>
      <c r="G694" s="241"/>
      <c r="H694" s="241"/>
      <c r="I694" s="241"/>
      <c r="J694" s="241"/>
      <c r="K694" s="241"/>
      <c r="L694" s="241"/>
      <c r="M694" s="241"/>
      <c r="N694" s="241"/>
      <c r="O694" s="241"/>
      <c r="P694" s="241"/>
      <c r="Q694" s="241"/>
      <c r="R694" s="241"/>
      <c r="S694" s="241"/>
      <c r="T694" s="241"/>
      <c r="U694" s="241"/>
      <c r="V694" s="241"/>
      <c r="W694" s="241"/>
      <c r="X694" s="241"/>
      <c r="Y694" s="241"/>
      <c r="Z694" s="241"/>
      <c r="AA694" s="241"/>
      <c r="AB694" s="241"/>
      <c r="AC694" s="241"/>
      <c r="AD694" s="241"/>
      <c r="AE694" s="241"/>
      <c r="AF694" s="241"/>
      <c r="AG694" s="241"/>
      <c r="AH694" s="241"/>
      <c r="AI694" s="241"/>
      <c r="AJ694" s="241"/>
      <c r="AK694" s="241"/>
      <c r="AL694" s="241"/>
      <c r="AM694" s="241"/>
      <c r="AN694" s="241"/>
      <c r="AO694" s="241"/>
      <c r="AP694" s="241"/>
      <c r="AQ694" s="241"/>
      <c r="AR694" s="241"/>
      <c r="AS694" s="241"/>
      <c r="AT694" s="241"/>
      <c r="AU694" s="241"/>
      <c r="AV694" s="241"/>
      <c r="AW694" s="241"/>
      <c r="AX694" s="241"/>
      <c r="AY694" s="241"/>
      <c r="AZ694" s="241"/>
      <c r="BA694" s="241"/>
      <c r="BB694" s="241"/>
      <c r="BC694" s="241"/>
      <c r="BD694" s="241"/>
      <c r="BE694" s="241"/>
      <c r="BF694" s="241"/>
      <c r="BG694" s="241"/>
      <c r="BH694" s="241"/>
      <c r="BI694" s="241"/>
      <c r="BJ694" s="241"/>
      <c r="BK694" s="241"/>
      <c r="BL694" s="241"/>
      <c r="BM694" s="241"/>
    </row>
    <row r="695" spans="1:65" ht="13.5" customHeight="1" x14ac:dyDescent="0.3">
      <c r="A695" s="241"/>
      <c r="B695" s="241"/>
      <c r="C695" s="241"/>
      <c r="D695" s="241"/>
      <c r="E695" s="241"/>
      <c r="F695" s="241"/>
      <c r="G695" s="241"/>
      <c r="H695" s="241"/>
      <c r="I695" s="241"/>
      <c r="J695" s="241"/>
      <c r="K695" s="241"/>
      <c r="L695" s="241"/>
      <c r="M695" s="241"/>
      <c r="N695" s="241"/>
      <c r="O695" s="241"/>
      <c r="P695" s="241"/>
      <c r="Q695" s="241"/>
      <c r="R695" s="241"/>
      <c r="S695" s="241"/>
      <c r="T695" s="241"/>
      <c r="U695" s="241"/>
      <c r="V695" s="241"/>
      <c r="W695" s="241"/>
      <c r="X695" s="241"/>
      <c r="Y695" s="241"/>
      <c r="Z695" s="241"/>
      <c r="AA695" s="241"/>
      <c r="AB695" s="241"/>
      <c r="AC695" s="241"/>
      <c r="AD695" s="241"/>
      <c r="AE695" s="241"/>
      <c r="AF695" s="241"/>
      <c r="AG695" s="241"/>
      <c r="AH695" s="241"/>
      <c r="AI695" s="241"/>
      <c r="AJ695" s="241"/>
      <c r="AK695" s="241"/>
      <c r="AL695" s="241"/>
      <c r="AM695" s="241"/>
      <c r="AN695" s="241"/>
      <c r="AO695" s="241"/>
      <c r="AP695" s="241"/>
      <c r="AQ695" s="241"/>
      <c r="AR695" s="241"/>
      <c r="AS695" s="241"/>
      <c r="AT695" s="241"/>
      <c r="AU695" s="241"/>
      <c r="AV695" s="241"/>
      <c r="AW695" s="241"/>
      <c r="AX695" s="241"/>
      <c r="AY695" s="241"/>
      <c r="AZ695" s="241"/>
      <c r="BA695" s="241"/>
      <c r="BB695" s="241"/>
      <c r="BC695" s="241"/>
      <c r="BD695" s="241"/>
      <c r="BE695" s="241"/>
      <c r="BF695" s="241"/>
      <c r="BG695" s="241"/>
      <c r="BH695" s="241"/>
      <c r="BI695" s="241"/>
      <c r="BJ695" s="241"/>
      <c r="BK695" s="241"/>
      <c r="BL695" s="241"/>
      <c r="BM695" s="241"/>
    </row>
    <row r="696" spans="1:65" ht="13.5" customHeight="1" x14ac:dyDescent="0.3">
      <c r="A696" s="241"/>
      <c r="B696" s="241"/>
      <c r="C696" s="241"/>
      <c r="D696" s="241"/>
      <c r="E696" s="241"/>
      <c r="F696" s="241"/>
      <c r="G696" s="241"/>
      <c r="H696" s="241"/>
      <c r="I696" s="241"/>
      <c r="J696" s="241"/>
      <c r="K696" s="241"/>
      <c r="L696" s="241"/>
      <c r="M696" s="241"/>
      <c r="N696" s="241"/>
      <c r="O696" s="241"/>
      <c r="P696" s="241"/>
      <c r="Q696" s="241"/>
      <c r="R696" s="241"/>
      <c r="S696" s="241"/>
      <c r="T696" s="241"/>
      <c r="U696" s="241"/>
      <c r="V696" s="241"/>
      <c r="W696" s="241"/>
      <c r="X696" s="241"/>
      <c r="Y696" s="241"/>
      <c r="Z696" s="241"/>
      <c r="AA696" s="241"/>
      <c r="AB696" s="241"/>
      <c r="AC696" s="241"/>
      <c r="AD696" s="241"/>
      <c r="AE696" s="241"/>
      <c r="AF696" s="241"/>
      <c r="AG696" s="241"/>
      <c r="AH696" s="241"/>
      <c r="AI696" s="241"/>
      <c r="AJ696" s="241"/>
      <c r="AK696" s="241"/>
      <c r="AL696" s="241"/>
      <c r="AM696" s="241"/>
      <c r="AN696" s="241"/>
      <c r="AO696" s="241"/>
      <c r="AP696" s="241"/>
      <c r="AQ696" s="241"/>
      <c r="AR696" s="241"/>
      <c r="AS696" s="241"/>
      <c r="AT696" s="241"/>
      <c r="AU696" s="241"/>
      <c r="AV696" s="241"/>
      <c r="AW696" s="241"/>
      <c r="AX696" s="241"/>
      <c r="AY696" s="241"/>
      <c r="AZ696" s="241"/>
      <c r="BA696" s="241"/>
      <c r="BB696" s="241"/>
      <c r="BC696" s="241"/>
      <c r="BD696" s="241"/>
      <c r="BE696" s="241"/>
      <c r="BF696" s="241"/>
      <c r="BG696" s="241"/>
      <c r="BH696" s="241"/>
      <c r="BI696" s="241"/>
      <c r="BJ696" s="241"/>
      <c r="BK696" s="241"/>
      <c r="BL696" s="241"/>
      <c r="BM696" s="241"/>
    </row>
    <row r="697" spans="1:65" ht="13.5" customHeight="1" x14ac:dyDescent="0.3">
      <c r="A697" s="241"/>
      <c r="B697" s="241"/>
      <c r="C697" s="241"/>
      <c r="D697" s="241"/>
      <c r="E697" s="241"/>
      <c r="F697" s="241"/>
      <c r="G697" s="241"/>
      <c r="H697" s="241"/>
      <c r="I697" s="241"/>
      <c r="J697" s="241"/>
      <c r="K697" s="241"/>
      <c r="L697" s="241"/>
      <c r="M697" s="241"/>
      <c r="N697" s="241"/>
      <c r="O697" s="241"/>
      <c r="P697" s="241"/>
      <c r="Q697" s="241"/>
      <c r="R697" s="241"/>
      <c r="S697" s="241"/>
      <c r="T697" s="241"/>
      <c r="U697" s="241"/>
      <c r="V697" s="241"/>
      <c r="W697" s="241"/>
      <c r="X697" s="241"/>
      <c r="Y697" s="241"/>
      <c r="Z697" s="241"/>
      <c r="AA697" s="241"/>
      <c r="AB697" s="241"/>
      <c r="AC697" s="241"/>
      <c r="AD697" s="241"/>
      <c r="AE697" s="241"/>
      <c r="AF697" s="241"/>
      <c r="AG697" s="241"/>
      <c r="AH697" s="241"/>
      <c r="AI697" s="241"/>
      <c r="AJ697" s="241"/>
      <c r="AK697" s="241"/>
      <c r="AL697" s="241"/>
      <c r="AM697" s="241"/>
      <c r="AN697" s="241"/>
      <c r="AO697" s="241"/>
      <c r="AP697" s="241"/>
      <c r="AQ697" s="241"/>
      <c r="AR697" s="241"/>
      <c r="AS697" s="241"/>
      <c r="AT697" s="241"/>
      <c r="AU697" s="241"/>
      <c r="AV697" s="241"/>
      <c r="AW697" s="241"/>
      <c r="AX697" s="241"/>
      <c r="AY697" s="241"/>
      <c r="AZ697" s="241"/>
      <c r="BA697" s="241"/>
      <c r="BB697" s="241"/>
      <c r="BC697" s="241"/>
      <c r="BD697" s="241"/>
      <c r="BE697" s="241"/>
      <c r="BF697" s="241"/>
      <c r="BG697" s="241"/>
      <c r="BH697" s="241"/>
      <c r="BI697" s="241"/>
      <c r="BJ697" s="241"/>
      <c r="BK697" s="241"/>
      <c r="BL697" s="241"/>
      <c r="BM697" s="241"/>
    </row>
    <row r="698" spans="1:65" ht="13.5" customHeight="1" x14ac:dyDescent="0.3">
      <c r="A698" s="241"/>
      <c r="B698" s="241"/>
      <c r="C698" s="241"/>
      <c r="D698" s="241"/>
      <c r="E698" s="241"/>
      <c r="F698" s="241"/>
      <c r="G698" s="241"/>
      <c r="H698" s="241"/>
      <c r="I698" s="241"/>
      <c r="J698" s="241"/>
      <c r="K698" s="241"/>
      <c r="L698" s="241"/>
      <c r="M698" s="241"/>
      <c r="N698" s="241"/>
      <c r="O698" s="241"/>
      <c r="P698" s="241"/>
      <c r="Q698" s="241"/>
      <c r="R698" s="241"/>
      <c r="S698" s="241"/>
      <c r="T698" s="241"/>
      <c r="U698" s="241"/>
      <c r="V698" s="241"/>
      <c r="W698" s="241"/>
      <c r="X698" s="241"/>
      <c r="Y698" s="241"/>
      <c r="Z698" s="241"/>
      <c r="AA698" s="241"/>
      <c r="AB698" s="241"/>
      <c r="AC698" s="241"/>
      <c r="AD698" s="241"/>
      <c r="AE698" s="241"/>
      <c r="AF698" s="241"/>
      <c r="AG698" s="241"/>
      <c r="AH698" s="241"/>
      <c r="AI698" s="241"/>
      <c r="AJ698" s="241"/>
      <c r="AK698" s="241"/>
      <c r="AL698" s="241"/>
      <c r="AM698" s="241"/>
      <c r="AN698" s="241"/>
      <c r="AO698" s="241"/>
      <c r="AP698" s="241"/>
      <c r="AQ698" s="241"/>
      <c r="AR698" s="241"/>
      <c r="AS698" s="241"/>
      <c r="AT698" s="241"/>
      <c r="AU698" s="241"/>
      <c r="AV698" s="241"/>
      <c r="AW698" s="241"/>
      <c r="AX698" s="241"/>
      <c r="AY698" s="241"/>
      <c r="AZ698" s="241"/>
      <c r="BA698" s="241"/>
      <c r="BB698" s="241"/>
      <c r="BC698" s="241"/>
      <c r="BD698" s="241"/>
      <c r="BE698" s="241"/>
      <c r="BF698" s="241"/>
      <c r="BG698" s="241"/>
      <c r="BH698" s="241"/>
      <c r="BI698" s="241"/>
      <c r="BJ698" s="241"/>
      <c r="BK698" s="241"/>
      <c r="BL698" s="241"/>
      <c r="BM698" s="241"/>
    </row>
    <row r="699" spans="1:65" ht="13.5" customHeight="1" x14ac:dyDescent="0.3">
      <c r="A699" s="241"/>
      <c r="B699" s="241"/>
      <c r="C699" s="241"/>
      <c r="D699" s="241"/>
      <c r="E699" s="241"/>
      <c r="F699" s="241"/>
      <c r="G699" s="241"/>
      <c r="H699" s="241"/>
      <c r="I699" s="241"/>
      <c r="J699" s="241"/>
      <c r="K699" s="241"/>
      <c r="L699" s="241"/>
      <c r="M699" s="241"/>
      <c r="N699" s="241"/>
      <c r="O699" s="241"/>
      <c r="P699" s="241"/>
      <c r="Q699" s="241"/>
      <c r="R699" s="241"/>
      <c r="S699" s="241"/>
      <c r="T699" s="241"/>
      <c r="U699" s="241"/>
      <c r="V699" s="241"/>
      <c r="W699" s="241"/>
      <c r="X699" s="241"/>
      <c r="Y699" s="241"/>
      <c r="Z699" s="241"/>
      <c r="AA699" s="241"/>
      <c r="AB699" s="241"/>
      <c r="AC699" s="241"/>
      <c r="AD699" s="241"/>
      <c r="AE699" s="241"/>
      <c r="AF699" s="241"/>
      <c r="AG699" s="241"/>
      <c r="AH699" s="241"/>
      <c r="AI699" s="241"/>
      <c r="AJ699" s="241"/>
      <c r="AK699" s="241"/>
      <c r="AL699" s="241"/>
      <c r="AM699" s="241"/>
      <c r="AN699" s="241"/>
      <c r="AO699" s="241"/>
      <c r="AP699" s="241"/>
      <c r="AQ699" s="241"/>
      <c r="AR699" s="241"/>
      <c r="AS699" s="241"/>
      <c r="AT699" s="241"/>
      <c r="AU699" s="241"/>
      <c r="AV699" s="241"/>
      <c r="AW699" s="241"/>
      <c r="AX699" s="241"/>
      <c r="AY699" s="241"/>
      <c r="AZ699" s="241"/>
      <c r="BA699" s="241"/>
      <c r="BB699" s="241"/>
      <c r="BC699" s="241"/>
      <c r="BD699" s="241"/>
      <c r="BE699" s="241"/>
      <c r="BF699" s="241"/>
      <c r="BG699" s="241"/>
      <c r="BH699" s="241"/>
      <c r="BI699" s="241"/>
      <c r="BJ699" s="241"/>
      <c r="BK699" s="241"/>
      <c r="BL699" s="241"/>
      <c r="BM699" s="241"/>
    </row>
    <row r="700" spans="1:65" ht="13.5" customHeight="1" x14ac:dyDescent="0.3">
      <c r="A700" s="241"/>
      <c r="B700" s="241"/>
      <c r="C700" s="241"/>
      <c r="D700" s="241"/>
      <c r="E700" s="241"/>
      <c r="F700" s="241"/>
      <c r="G700" s="241"/>
      <c r="H700" s="241"/>
      <c r="I700" s="241"/>
      <c r="J700" s="241"/>
      <c r="K700" s="241"/>
      <c r="L700" s="241"/>
      <c r="M700" s="241"/>
      <c r="N700" s="241"/>
      <c r="O700" s="241"/>
      <c r="P700" s="241"/>
      <c r="Q700" s="241"/>
      <c r="R700" s="241"/>
      <c r="S700" s="241"/>
      <c r="T700" s="241"/>
      <c r="U700" s="241"/>
      <c r="V700" s="241"/>
      <c r="W700" s="241"/>
      <c r="X700" s="241"/>
      <c r="Y700" s="241"/>
      <c r="Z700" s="241"/>
      <c r="AA700" s="241"/>
      <c r="AB700" s="241"/>
      <c r="AC700" s="241"/>
      <c r="AD700" s="241"/>
      <c r="AE700" s="241"/>
      <c r="AF700" s="241"/>
      <c r="AG700" s="241"/>
      <c r="AH700" s="241"/>
      <c r="AI700" s="241"/>
      <c r="AJ700" s="241"/>
      <c r="AK700" s="241"/>
      <c r="AL700" s="241"/>
      <c r="AM700" s="241"/>
      <c r="AN700" s="241"/>
      <c r="AO700" s="241"/>
      <c r="AP700" s="241"/>
      <c r="AQ700" s="241"/>
      <c r="AR700" s="241"/>
      <c r="AS700" s="241"/>
      <c r="AT700" s="241"/>
      <c r="AU700" s="241"/>
      <c r="AV700" s="241"/>
      <c r="AW700" s="241"/>
      <c r="AX700" s="241"/>
      <c r="AY700" s="241"/>
      <c r="AZ700" s="241"/>
      <c r="BA700" s="241"/>
      <c r="BB700" s="241"/>
      <c r="BC700" s="241"/>
      <c r="BD700" s="241"/>
      <c r="BE700" s="241"/>
      <c r="BF700" s="241"/>
      <c r="BG700" s="241"/>
      <c r="BH700" s="241"/>
      <c r="BI700" s="241"/>
      <c r="BJ700" s="241"/>
      <c r="BK700" s="241"/>
      <c r="BL700" s="241"/>
      <c r="BM700" s="241"/>
    </row>
    <row r="701" spans="1:65" ht="13.5" customHeight="1" x14ac:dyDescent="0.3">
      <c r="A701" s="241"/>
      <c r="B701" s="241"/>
      <c r="C701" s="241"/>
      <c r="D701" s="241"/>
      <c r="E701" s="241"/>
      <c r="F701" s="241"/>
      <c r="G701" s="241"/>
      <c r="H701" s="241"/>
      <c r="I701" s="241"/>
      <c r="J701" s="241"/>
      <c r="K701" s="241"/>
      <c r="L701" s="241"/>
      <c r="M701" s="241"/>
      <c r="N701" s="241"/>
      <c r="O701" s="241"/>
      <c r="P701" s="241"/>
      <c r="Q701" s="241"/>
      <c r="R701" s="241"/>
      <c r="S701" s="241"/>
      <c r="T701" s="241"/>
      <c r="U701" s="241"/>
      <c r="V701" s="241"/>
      <c r="W701" s="241"/>
      <c r="X701" s="241"/>
      <c r="Y701" s="241"/>
      <c r="Z701" s="241"/>
      <c r="AA701" s="241"/>
      <c r="AB701" s="241"/>
      <c r="AC701" s="241"/>
      <c r="AD701" s="241"/>
      <c r="AE701" s="241"/>
      <c r="AF701" s="241"/>
      <c r="AG701" s="241"/>
      <c r="AH701" s="241"/>
      <c r="AI701" s="241"/>
      <c r="AJ701" s="241"/>
      <c r="AK701" s="241"/>
      <c r="AL701" s="241"/>
      <c r="AM701" s="241"/>
      <c r="AN701" s="241"/>
      <c r="AO701" s="241"/>
      <c r="AP701" s="241"/>
      <c r="AQ701" s="241"/>
      <c r="AR701" s="241"/>
      <c r="AS701" s="241"/>
      <c r="AT701" s="241"/>
      <c r="AU701" s="241"/>
      <c r="AV701" s="241"/>
      <c r="AW701" s="241"/>
      <c r="AX701" s="241"/>
      <c r="AY701" s="241"/>
      <c r="AZ701" s="241"/>
      <c r="BA701" s="241"/>
      <c r="BB701" s="241"/>
      <c r="BC701" s="241"/>
      <c r="BD701" s="241"/>
      <c r="BE701" s="241"/>
      <c r="BF701" s="241"/>
      <c r="BG701" s="241"/>
      <c r="BH701" s="241"/>
      <c r="BI701" s="241"/>
      <c r="BJ701" s="241"/>
      <c r="BK701" s="241"/>
      <c r="BL701" s="241"/>
      <c r="BM701" s="241"/>
    </row>
    <row r="702" spans="1:65" ht="13.5" customHeight="1" x14ac:dyDescent="0.3">
      <c r="A702" s="241"/>
      <c r="B702" s="241"/>
      <c r="C702" s="241"/>
      <c r="D702" s="241"/>
      <c r="E702" s="241"/>
      <c r="F702" s="241"/>
      <c r="G702" s="241"/>
      <c r="H702" s="241"/>
      <c r="I702" s="241"/>
      <c r="J702" s="241"/>
      <c r="K702" s="241"/>
      <c r="L702" s="241"/>
      <c r="M702" s="241"/>
      <c r="N702" s="241"/>
      <c r="O702" s="241"/>
      <c r="P702" s="241"/>
      <c r="Q702" s="241"/>
      <c r="R702" s="241"/>
      <c r="S702" s="241"/>
      <c r="T702" s="241"/>
      <c r="U702" s="241"/>
      <c r="V702" s="241"/>
      <c r="W702" s="241"/>
      <c r="X702" s="241"/>
      <c r="Y702" s="241"/>
      <c r="Z702" s="241"/>
      <c r="AA702" s="241"/>
      <c r="AB702" s="241"/>
      <c r="AC702" s="241"/>
      <c r="AD702" s="241"/>
      <c r="AE702" s="241"/>
      <c r="AF702" s="241"/>
      <c r="AG702" s="241"/>
      <c r="AH702" s="241"/>
      <c r="AI702" s="241"/>
      <c r="AJ702" s="241"/>
      <c r="AK702" s="241"/>
      <c r="AL702" s="241"/>
      <c r="AM702" s="241"/>
      <c r="AN702" s="241"/>
      <c r="AO702" s="241"/>
      <c r="AP702" s="241"/>
      <c r="AQ702" s="241"/>
      <c r="AR702" s="241"/>
      <c r="AS702" s="241"/>
      <c r="AT702" s="241"/>
      <c r="AU702" s="241"/>
      <c r="AV702" s="241"/>
      <c r="AW702" s="241"/>
      <c r="AX702" s="241"/>
      <c r="AY702" s="241"/>
      <c r="AZ702" s="241"/>
      <c r="BA702" s="241"/>
      <c r="BB702" s="241"/>
      <c r="BC702" s="241"/>
      <c r="BD702" s="241"/>
      <c r="BE702" s="241"/>
      <c r="BF702" s="241"/>
      <c r="BG702" s="241"/>
      <c r="BH702" s="241"/>
      <c r="BI702" s="241"/>
      <c r="BJ702" s="241"/>
      <c r="BK702" s="241"/>
      <c r="BL702" s="241"/>
      <c r="BM702" s="241"/>
    </row>
    <row r="703" spans="1:65" ht="13.5" customHeight="1" x14ac:dyDescent="0.3">
      <c r="A703" s="241"/>
      <c r="B703" s="241"/>
      <c r="C703" s="241"/>
      <c r="D703" s="241"/>
      <c r="E703" s="241"/>
      <c r="F703" s="241"/>
      <c r="G703" s="241"/>
      <c r="H703" s="241"/>
      <c r="I703" s="241"/>
      <c r="J703" s="241"/>
      <c r="K703" s="241"/>
      <c r="L703" s="241"/>
      <c r="M703" s="241"/>
      <c r="N703" s="241"/>
      <c r="O703" s="241"/>
      <c r="P703" s="241"/>
      <c r="Q703" s="241"/>
      <c r="R703" s="241"/>
      <c r="S703" s="241"/>
      <c r="T703" s="241"/>
      <c r="U703" s="241"/>
      <c r="V703" s="241"/>
      <c r="W703" s="241"/>
      <c r="X703" s="241"/>
      <c r="Y703" s="241"/>
      <c r="Z703" s="241"/>
      <c r="AA703" s="241"/>
      <c r="AB703" s="241"/>
      <c r="AC703" s="241"/>
      <c r="AD703" s="241"/>
      <c r="AE703" s="241"/>
      <c r="AF703" s="241"/>
      <c r="AG703" s="241"/>
      <c r="AH703" s="241"/>
      <c r="AI703" s="241"/>
      <c r="AJ703" s="241"/>
      <c r="AK703" s="241"/>
      <c r="AL703" s="241"/>
      <c r="AM703" s="241"/>
      <c r="AN703" s="241"/>
      <c r="AO703" s="241"/>
      <c r="AP703" s="241"/>
      <c r="AQ703" s="241"/>
      <c r="AR703" s="241"/>
      <c r="AS703" s="241"/>
      <c r="AT703" s="241"/>
      <c r="AU703" s="241"/>
      <c r="AV703" s="241"/>
      <c r="AW703" s="241"/>
      <c r="AX703" s="241"/>
      <c r="AY703" s="241"/>
      <c r="AZ703" s="241"/>
      <c r="BA703" s="241"/>
      <c r="BB703" s="241"/>
      <c r="BC703" s="241"/>
      <c r="BD703" s="241"/>
      <c r="BE703" s="241"/>
      <c r="BF703" s="241"/>
      <c r="BG703" s="241"/>
      <c r="BH703" s="241"/>
      <c r="BI703" s="241"/>
      <c r="BJ703" s="241"/>
      <c r="BK703" s="241"/>
      <c r="BL703" s="241"/>
      <c r="BM703" s="241"/>
    </row>
    <row r="704" spans="1:65" ht="13.5" customHeight="1" x14ac:dyDescent="0.3">
      <c r="A704" s="241"/>
      <c r="B704" s="241"/>
      <c r="C704" s="241"/>
      <c r="D704" s="241"/>
      <c r="E704" s="241"/>
      <c r="F704" s="241"/>
      <c r="G704" s="241"/>
      <c r="H704" s="241"/>
      <c r="I704" s="241"/>
      <c r="J704" s="241"/>
      <c r="K704" s="241"/>
      <c r="L704" s="241"/>
      <c r="M704" s="241"/>
      <c r="N704" s="241"/>
      <c r="O704" s="241"/>
      <c r="P704" s="241"/>
      <c r="Q704" s="241"/>
      <c r="R704" s="241"/>
      <c r="S704" s="241"/>
      <c r="T704" s="241"/>
      <c r="U704" s="241"/>
      <c r="V704" s="241"/>
      <c r="W704" s="241"/>
      <c r="X704" s="241"/>
      <c r="Y704" s="241"/>
      <c r="Z704" s="241"/>
      <c r="AA704" s="241"/>
      <c r="AB704" s="241"/>
      <c r="AC704" s="241"/>
      <c r="AD704" s="241"/>
      <c r="AE704" s="241"/>
      <c r="AF704" s="241"/>
      <c r="AG704" s="241"/>
      <c r="AH704" s="241"/>
      <c r="AI704" s="241"/>
      <c r="AJ704" s="241"/>
      <c r="AK704" s="241"/>
      <c r="AL704" s="241"/>
      <c r="AM704" s="241"/>
      <c r="AN704" s="241"/>
      <c r="AO704" s="241"/>
      <c r="AP704" s="241"/>
      <c r="AQ704" s="241"/>
      <c r="AR704" s="241"/>
      <c r="AS704" s="241"/>
      <c r="AT704" s="241"/>
      <c r="AU704" s="241"/>
      <c r="AV704" s="241"/>
      <c r="AW704" s="241"/>
      <c r="AX704" s="241"/>
      <c r="AY704" s="241"/>
      <c r="AZ704" s="241"/>
      <c r="BA704" s="241"/>
      <c r="BB704" s="241"/>
      <c r="BC704" s="241"/>
      <c r="BD704" s="241"/>
      <c r="BE704" s="241"/>
      <c r="BF704" s="241"/>
      <c r="BG704" s="241"/>
      <c r="BH704" s="241"/>
      <c r="BI704" s="241"/>
      <c r="BJ704" s="241"/>
      <c r="BK704" s="241"/>
      <c r="BL704" s="241"/>
      <c r="BM704" s="241"/>
    </row>
    <row r="705" spans="1:65" ht="13.5" customHeight="1" x14ac:dyDescent="0.3">
      <c r="A705" s="241"/>
      <c r="B705" s="241"/>
      <c r="C705" s="241"/>
      <c r="D705" s="241"/>
      <c r="E705" s="241"/>
      <c r="F705" s="241"/>
      <c r="G705" s="241"/>
      <c r="H705" s="241"/>
      <c r="I705" s="241"/>
      <c r="J705" s="241"/>
      <c r="K705" s="241"/>
      <c r="L705" s="241"/>
      <c r="M705" s="241"/>
      <c r="N705" s="241"/>
      <c r="O705" s="241"/>
      <c r="P705" s="241"/>
      <c r="Q705" s="241"/>
      <c r="R705" s="241"/>
      <c r="S705" s="241"/>
      <c r="T705" s="241"/>
      <c r="U705" s="241"/>
      <c r="V705" s="241"/>
      <c r="W705" s="241"/>
      <c r="X705" s="241"/>
      <c r="Y705" s="241"/>
      <c r="Z705" s="241"/>
      <c r="AA705" s="241"/>
      <c r="AB705" s="241"/>
      <c r="AC705" s="241"/>
      <c r="AD705" s="241"/>
      <c r="AE705" s="241"/>
      <c r="AF705" s="241"/>
      <c r="AG705" s="241"/>
      <c r="AH705" s="241"/>
      <c r="AI705" s="241"/>
      <c r="AJ705" s="241"/>
      <c r="AK705" s="241"/>
      <c r="AL705" s="241"/>
      <c r="AM705" s="241"/>
      <c r="AN705" s="241"/>
      <c r="AO705" s="241"/>
      <c r="AP705" s="241"/>
      <c r="AQ705" s="241"/>
      <c r="AR705" s="241"/>
      <c r="AS705" s="241"/>
      <c r="AT705" s="241"/>
      <c r="AU705" s="241"/>
      <c r="AV705" s="241"/>
      <c r="AW705" s="241"/>
      <c r="AX705" s="241"/>
      <c r="AY705" s="241"/>
      <c r="AZ705" s="241"/>
      <c r="BA705" s="241"/>
      <c r="BB705" s="241"/>
      <c r="BC705" s="241"/>
      <c r="BD705" s="241"/>
      <c r="BE705" s="241"/>
      <c r="BF705" s="241"/>
      <c r="BG705" s="241"/>
      <c r="BH705" s="241"/>
      <c r="BI705" s="241"/>
      <c r="BJ705" s="241"/>
      <c r="BK705" s="241"/>
      <c r="BL705" s="241"/>
      <c r="BM705" s="241"/>
    </row>
    <row r="706" spans="1:65" ht="13.5" customHeight="1" x14ac:dyDescent="0.3">
      <c r="A706" s="241"/>
      <c r="B706" s="241"/>
      <c r="C706" s="241"/>
      <c r="D706" s="241"/>
      <c r="E706" s="241"/>
      <c r="F706" s="241"/>
      <c r="G706" s="241"/>
      <c r="H706" s="241"/>
      <c r="I706" s="241"/>
      <c r="J706" s="241"/>
      <c r="K706" s="241"/>
      <c r="L706" s="241"/>
      <c r="M706" s="241"/>
      <c r="N706" s="241"/>
      <c r="O706" s="241"/>
      <c r="P706" s="241"/>
      <c r="Q706" s="241"/>
      <c r="R706" s="241"/>
      <c r="S706" s="241"/>
      <c r="T706" s="241"/>
      <c r="U706" s="241"/>
      <c r="V706" s="241"/>
      <c r="W706" s="241"/>
      <c r="X706" s="241"/>
      <c r="Y706" s="241"/>
      <c r="Z706" s="241"/>
      <c r="AA706" s="241"/>
      <c r="AB706" s="241"/>
      <c r="AC706" s="241"/>
      <c r="AD706" s="241"/>
      <c r="AE706" s="241"/>
      <c r="AF706" s="241"/>
      <c r="AG706" s="241"/>
      <c r="AH706" s="241"/>
      <c r="AI706" s="241"/>
      <c r="AJ706" s="241"/>
      <c r="AK706" s="241"/>
      <c r="AL706" s="241"/>
      <c r="AM706" s="241"/>
      <c r="AN706" s="241"/>
      <c r="AO706" s="241"/>
      <c r="AP706" s="241"/>
      <c r="AQ706" s="241"/>
      <c r="AR706" s="241"/>
      <c r="AS706" s="241"/>
      <c r="AT706" s="241"/>
      <c r="AU706" s="241"/>
      <c r="AV706" s="241"/>
      <c r="AW706" s="241"/>
      <c r="AX706" s="241"/>
      <c r="AY706" s="241"/>
      <c r="AZ706" s="241"/>
      <c r="BA706" s="241"/>
      <c r="BB706" s="241"/>
      <c r="BC706" s="241"/>
      <c r="BD706" s="241"/>
      <c r="BE706" s="241"/>
      <c r="BF706" s="241"/>
      <c r="BG706" s="241"/>
      <c r="BH706" s="241"/>
      <c r="BI706" s="241"/>
      <c r="BJ706" s="241"/>
      <c r="BK706" s="241"/>
      <c r="BL706" s="241"/>
      <c r="BM706" s="241"/>
    </row>
    <row r="707" spans="1:65" ht="13.5" customHeight="1" x14ac:dyDescent="0.3">
      <c r="A707" s="241"/>
      <c r="B707" s="241"/>
      <c r="C707" s="241"/>
      <c r="D707" s="241"/>
      <c r="E707" s="241"/>
      <c r="F707" s="241"/>
      <c r="G707" s="241"/>
      <c r="H707" s="241"/>
      <c r="I707" s="241"/>
      <c r="J707" s="241"/>
      <c r="K707" s="241"/>
      <c r="L707" s="241"/>
      <c r="M707" s="241"/>
      <c r="N707" s="241"/>
      <c r="O707" s="241"/>
      <c r="P707" s="241"/>
      <c r="Q707" s="241"/>
      <c r="R707" s="241"/>
      <c r="S707" s="241"/>
      <c r="T707" s="241"/>
      <c r="U707" s="241"/>
      <c r="V707" s="241"/>
      <c r="W707" s="241"/>
      <c r="X707" s="241"/>
      <c r="Y707" s="241"/>
      <c r="Z707" s="241"/>
      <c r="AA707" s="241"/>
      <c r="AB707" s="241"/>
      <c r="AC707" s="241"/>
      <c r="AD707" s="241"/>
      <c r="AE707" s="241"/>
      <c r="AF707" s="241"/>
      <c r="AG707" s="241"/>
      <c r="AH707" s="241"/>
      <c r="AI707" s="241"/>
      <c r="AJ707" s="241"/>
      <c r="AK707" s="241"/>
      <c r="AL707" s="241"/>
      <c r="AM707" s="241"/>
      <c r="AN707" s="241"/>
      <c r="AO707" s="241"/>
      <c r="AP707" s="241"/>
      <c r="AQ707" s="241"/>
      <c r="AR707" s="241"/>
      <c r="AS707" s="241"/>
      <c r="AT707" s="241"/>
      <c r="AU707" s="241"/>
      <c r="AV707" s="241"/>
      <c r="AW707" s="241"/>
      <c r="AX707" s="241"/>
      <c r="AY707" s="241"/>
      <c r="AZ707" s="241"/>
      <c r="BA707" s="241"/>
      <c r="BB707" s="241"/>
      <c r="BC707" s="241"/>
      <c r="BD707" s="241"/>
      <c r="BE707" s="241"/>
      <c r="BF707" s="241"/>
      <c r="BG707" s="241"/>
      <c r="BH707" s="241"/>
      <c r="BI707" s="241"/>
      <c r="BJ707" s="241"/>
      <c r="BK707" s="241"/>
      <c r="BL707" s="241"/>
      <c r="BM707" s="241"/>
    </row>
    <row r="708" spans="1:65" ht="13.5" customHeight="1" x14ac:dyDescent="0.3">
      <c r="A708" s="241"/>
      <c r="B708" s="241"/>
      <c r="C708" s="241"/>
      <c r="D708" s="241"/>
      <c r="E708" s="241"/>
      <c r="F708" s="241"/>
      <c r="G708" s="241"/>
      <c r="H708" s="241"/>
      <c r="I708" s="241"/>
      <c r="J708" s="241"/>
      <c r="K708" s="241"/>
      <c r="L708" s="241"/>
      <c r="M708" s="241"/>
      <c r="N708" s="241"/>
      <c r="O708" s="241"/>
      <c r="P708" s="241"/>
      <c r="Q708" s="241"/>
      <c r="R708" s="241"/>
      <c r="S708" s="241"/>
      <c r="T708" s="241"/>
      <c r="U708" s="241"/>
      <c r="V708" s="241"/>
      <c r="W708" s="241"/>
      <c r="X708" s="241"/>
      <c r="Y708" s="241"/>
      <c r="Z708" s="241"/>
      <c r="AA708" s="241"/>
      <c r="AB708" s="241"/>
      <c r="AC708" s="241"/>
      <c r="AD708" s="241"/>
      <c r="AE708" s="241"/>
      <c r="AF708" s="241"/>
      <c r="AG708" s="241"/>
      <c r="AH708" s="241"/>
      <c r="AI708" s="241"/>
      <c r="AJ708" s="241"/>
      <c r="AK708" s="241"/>
      <c r="AL708" s="241"/>
      <c r="AM708" s="241"/>
      <c r="AN708" s="241"/>
      <c r="AO708" s="241"/>
      <c r="AP708" s="241"/>
      <c r="AQ708" s="241"/>
      <c r="AR708" s="241"/>
      <c r="AS708" s="241"/>
      <c r="AT708" s="241"/>
      <c r="AU708" s="241"/>
      <c r="AV708" s="241"/>
      <c r="AW708" s="241"/>
      <c r="AX708" s="241"/>
      <c r="AY708" s="241"/>
      <c r="AZ708" s="241"/>
      <c r="BA708" s="241"/>
      <c r="BB708" s="241"/>
      <c r="BC708" s="241"/>
      <c r="BD708" s="241"/>
      <c r="BE708" s="241"/>
      <c r="BF708" s="241"/>
      <c r="BG708" s="241"/>
      <c r="BH708" s="241"/>
      <c r="BI708" s="241"/>
      <c r="BJ708" s="241"/>
      <c r="BK708" s="241"/>
      <c r="BL708" s="241"/>
      <c r="BM708" s="241"/>
    </row>
    <row r="709" spans="1:65" ht="13.5" customHeight="1" x14ac:dyDescent="0.3">
      <c r="A709" s="241"/>
      <c r="B709" s="241"/>
      <c r="C709" s="241"/>
      <c r="D709" s="241"/>
      <c r="E709" s="241"/>
      <c r="F709" s="241"/>
      <c r="G709" s="241"/>
      <c r="H709" s="241"/>
      <c r="I709" s="241"/>
      <c r="J709" s="241"/>
      <c r="K709" s="241"/>
      <c r="L709" s="241"/>
      <c r="M709" s="241"/>
      <c r="N709" s="241"/>
      <c r="O709" s="241"/>
      <c r="P709" s="241"/>
      <c r="Q709" s="241"/>
      <c r="R709" s="241"/>
      <c r="S709" s="241"/>
      <c r="T709" s="241"/>
      <c r="U709" s="241"/>
      <c r="V709" s="241"/>
      <c r="W709" s="241"/>
      <c r="X709" s="241"/>
      <c r="Y709" s="241"/>
      <c r="Z709" s="241"/>
      <c r="AA709" s="241"/>
      <c r="AB709" s="241"/>
      <c r="AC709" s="241"/>
      <c r="AD709" s="241"/>
      <c r="AE709" s="241"/>
      <c r="AF709" s="241"/>
      <c r="AG709" s="241"/>
      <c r="AH709" s="241"/>
      <c r="AI709" s="241"/>
      <c r="AJ709" s="241"/>
      <c r="AK709" s="241"/>
      <c r="AL709" s="241"/>
      <c r="AM709" s="241"/>
      <c r="AN709" s="241"/>
      <c r="AO709" s="241"/>
      <c r="AP709" s="241"/>
      <c r="AQ709" s="241"/>
      <c r="AR709" s="241"/>
      <c r="AS709" s="241"/>
      <c r="AT709" s="241"/>
      <c r="AU709" s="241"/>
      <c r="AV709" s="241"/>
      <c r="AW709" s="241"/>
      <c r="AX709" s="241"/>
      <c r="AY709" s="241"/>
      <c r="AZ709" s="241"/>
      <c r="BA709" s="241"/>
      <c r="BB709" s="241"/>
      <c r="BC709" s="241"/>
      <c r="BD709" s="241"/>
      <c r="BE709" s="241"/>
      <c r="BF709" s="241"/>
      <c r="BG709" s="241"/>
      <c r="BH709" s="241"/>
      <c r="BI709" s="241"/>
      <c r="BJ709" s="241"/>
      <c r="BK709" s="241"/>
      <c r="BL709" s="241"/>
      <c r="BM709" s="241"/>
    </row>
    <row r="710" spans="1:65" ht="13.5" customHeight="1" x14ac:dyDescent="0.3">
      <c r="A710" s="241"/>
      <c r="B710" s="241"/>
      <c r="C710" s="241"/>
      <c r="D710" s="241"/>
      <c r="E710" s="241"/>
      <c r="F710" s="241"/>
      <c r="G710" s="241"/>
      <c r="H710" s="241"/>
      <c r="I710" s="241"/>
      <c r="J710" s="241"/>
      <c r="K710" s="241"/>
      <c r="L710" s="241"/>
      <c r="M710" s="241"/>
      <c r="N710" s="241"/>
      <c r="O710" s="241"/>
      <c r="P710" s="241"/>
      <c r="Q710" s="241"/>
      <c r="R710" s="241"/>
      <c r="S710" s="241"/>
      <c r="T710" s="241"/>
      <c r="U710" s="241"/>
      <c r="V710" s="241"/>
      <c r="W710" s="241"/>
      <c r="X710" s="241"/>
      <c r="Y710" s="241"/>
      <c r="Z710" s="241"/>
      <c r="AA710" s="241"/>
      <c r="AB710" s="241"/>
      <c r="AC710" s="241"/>
      <c r="AD710" s="241"/>
      <c r="AE710" s="241"/>
      <c r="AF710" s="241"/>
      <c r="AG710" s="241"/>
      <c r="AH710" s="241"/>
      <c r="AI710" s="241"/>
      <c r="AJ710" s="241"/>
      <c r="AK710" s="241"/>
      <c r="AL710" s="241"/>
      <c r="AM710" s="241"/>
      <c r="AN710" s="241"/>
      <c r="AO710" s="241"/>
      <c r="AP710" s="241"/>
      <c r="AQ710" s="241"/>
      <c r="AR710" s="241"/>
      <c r="AS710" s="241"/>
      <c r="AT710" s="241"/>
      <c r="AU710" s="241"/>
      <c r="AV710" s="241"/>
      <c r="AW710" s="241"/>
      <c r="AX710" s="241"/>
      <c r="AY710" s="241"/>
      <c r="AZ710" s="241"/>
      <c r="BA710" s="241"/>
      <c r="BB710" s="241"/>
      <c r="BC710" s="241"/>
      <c r="BD710" s="241"/>
      <c r="BE710" s="241"/>
      <c r="BF710" s="241"/>
      <c r="BG710" s="241"/>
      <c r="BH710" s="241"/>
      <c r="BI710" s="241"/>
      <c r="BJ710" s="241"/>
      <c r="BK710" s="241"/>
      <c r="BL710" s="241"/>
      <c r="BM710" s="241"/>
    </row>
    <row r="711" spans="1:65" ht="13.5" customHeight="1" x14ac:dyDescent="0.3">
      <c r="A711" s="241"/>
      <c r="B711" s="241"/>
      <c r="C711" s="241"/>
      <c r="D711" s="241"/>
      <c r="E711" s="241"/>
      <c r="F711" s="241"/>
      <c r="G711" s="241"/>
      <c r="H711" s="241"/>
      <c r="I711" s="241"/>
      <c r="J711" s="241"/>
      <c r="K711" s="241"/>
      <c r="L711" s="241"/>
      <c r="M711" s="241"/>
      <c r="N711" s="241"/>
      <c r="O711" s="241"/>
      <c r="P711" s="241"/>
      <c r="Q711" s="241"/>
      <c r="R711" s="241"/>
      <c r="S711" s="241"/>
      <c r="T711" s="241"/>
      <c r="U711" s="241"/>
      <c r="V711" s="241"/>
      <c r="W711" s="241"/>
      <c r="X711" s="241"/>
      <c r="Y711" s="241"/>
      <c r="Z711" s="241"/>
      <c r="AA711" s="241"/>
      <c r="AB711" s="241"/>
      <c r="AC711" s="241"/>
      <c r="AD711" s="241"/>
      <c r="AE711" s="241"/>
      <c r="AF711" s="241"/>
      <c r="AG711" s="241"/>
      <c r="AH711" s="241"/>
      <c r="AI711" s="241"/>
      <c r="AJ711" s="241"/>
      <c r="AK711" s="241"/>
      <c r="AL711" s="241"/>
      <c r="AM711" s="241"/>
      <c r="AN711" s="241"/>
      <c r="AO711" s="241"/>
      <c r="AP711" s="241"/>
      <c r="AQ711" s="241"/>
      <c r="AR711" s="241"/>
      <c r="AS711" s="241"/>
      <c r="AT711" s="241"/>
      <c r="AU711" s="241"/>
      <c r="AV711" s="241"/>
      <c r="AW711" s="241"/>
      <c r="AX711" s="241"/>
      <c r="AY711" s="241"/>
      <c r="AZ711" s="241"/>
      <c r="BA711" s="241"/>
      <c r="BB711" s="241"/>
      <c r="BC711" s="241"/>
      <c r="BD711" s="241"/>
      <c r="BE711" s="241"/>
      <c r="BF711" s="241"/>
      <c r="BG711" s="241"/>
      <c r="BH711" s="241"/>
      <c r="BI711" s="241"/>
      <c r="BJ711" s="241"/>
      <c r="BK711" s="241"/>
      <c r="BL711" s="241"/>
      <c r="BM711" s="241"/>
    </row>
    <row r="712" spans="1:65" ht="13.5" customHeight="1" x14ac:dyDescent="0.3">
      <c r="A712" s="241"/>
      <c r="B712" s="241"/>
      <c r="C712" s="241"/>
      <c r="D712" s="241"/>
      <c r="E712" s="241"/>
      <c r="F712" s="241"/>
      <c r="G712" s="241"/>
      <c r="H712" s="241"/>
      <c r="I712" s="241"/>
      <c r="J712" s="241"/>
      <c r="K712" s="241"/>
      <c r="L712" s="241"/>
      <c r="M712" s="241"/>
      <c r="N712" s="241"/>
      <c r="O712" s="241"/>
      <c r="P712" s="241"/>
      <c r="Q712" s="241"/>
      <c r="R712" s="241"/>
      <c r="S712" s="241"/>
      <c r="T712" s="241"/>
      <c r="U712" s="241"/>
      <c r="V712" s="241"/>
      <c r="W712" s="241"/>
      <c r="X712" s="241"/>
      <c r="Y712" s="241"/>
      <c r="Z712" s="241"/>
      <c r="AA712" s="241"/>
      <c r="AB712" s="241"/>
      <c r="AC712" s="241"/>
      <c r="AD712" s="241"/>
      <c r="AE712" s="241"/>
      <c r="AF712" s="241"/>
      <c r="AG712" s="241"/>
      <c r="AH712" s="241"/>
      <c r="AI712" s="241"/>
      <c r="AJ712" s="241"/>
      <c r="AK712" s="241"/>
      <c r="AL712" s="241"/>
      <c r="AM712" s="241"/>
      <c r="AN712" s="241"/>
      <c r="AO712" s="241"/>
      <c r="AP712" s="241"/>
      <c r="AQ712" s="241"/>
      <c r="AR712" s="241"/>
      <c r="AS712" s="241"/>
      <c r="AT712" s="241"/>
      <c r="AU712" s="241"/>
      <c r="AV712" s="241"/>
      <c r="AW712" s="241"/>
      <c r="AX712" s="241"/>
      <c r="AY712" s="241"/>
      <c r="AZ712" s="241"/>
      <c r="BA712" s="241"/>
      <c r="BB712" s="241"/>
      <c r="BC712" s="241"/>
      <c r="BD712" s="241"/>
      <c r="BE712" s="241"/>
      <c r="BF712" s="241"/>
      <c r="BG712" s="241"/>
      <c r="BH712" s="241"/>
      <c r="BI712" s="241"/>
      <c r="BJ712" s="241"/>
      <c r="BK712" s="241"/>
      <c r="BL712" s="241"/>
      <c r="BM712" s="241"/>
    </row>
    <row r="713" spans="1:65" ht="13.5" customHeight="1" x14ac:dyDescent="0.3">
      <c r="A713" s="241"/>
      <c r="B713" s="241"/>
      <c r="C713" s="241"/>
      <c r="D713" s="241"/>
      <c r="E713" s="241"/>
      <c r="F713" s="241"/>
      <c r="G713" s="241"/>
      <c r="H713" s="241"/>
      <c r="I713" s="241"/>
      <c r="J713" s="241"/>
      <c r="K713" s="241"/>
      <c r="L713" s="241"/>
      <c r="M713" s="241"/>
      <c r="N713" s="241"/>
      <c r="O713" s="241"/>
      <c r="P713" s="241"/>
      <c r="Q713" s="241"/>
      <c r="R713" s="241"/>
      <c r="S713" s="241"/>
      <c r="T713" s="241"/>
      <c r="U713" s="241"/>
      <c r="V713" s="241"/>
      <c r="W713" s="241"/>
      <c r="X713" s="241"/>
      <c r="Y713" s="241"/>
      <c r="Z713" s="241"/>
      <c r="AA713" s="241"/>
      <c r="AB713" s="241"/>
      <c r="AC713" s="241"/>
      <c r="AD713" s="241"/>
      <c r="AE713" s="241"/>
      <c r="AF713" s="241"/>
      <c r="AG713" s="241"/>
      <c r="AH713" s="241"/>
      <c r="AI713" s="241"/>
      <c r="AJ713" s="241"/>
      <c r="AK713" s="241"/>
      <c r="AL713" s="241"/>
      <c r="AM713" s="241"/>
      <c r="AN713" s="241"/>
      <c r="AO713" s="241"/>
      <c r="AP713" s="241"/>
      <c r="AQ713" s="241"/>
      <c r="AR713" s="241"/>
      <c r="AS713" s="241"/>
      <c r="AT713" s="241"/>
      <c r="AU713" s="241"/>
      <c r="AV713" s="241"/>
      <c r="AW713" s="241"/>
      <c r="AX713" s="241"/>
      <c r="AY713" s="241"/>
      <c r="AZ713" s="241"/>
      <c r="BA713" s="241"/>
      <c r="BB713" s="241"/>
      <c r="BC713" s="241"/>
      <c r="BD713" s="241"/>
      <c r="BE713" s="241"/>
      <c r="BF713" s="241"/>
      <c r="BG713" s="241"/>
      <c r="BH713" s="241"/>
      <c r="BI713" s="241"/>
      <c r="BJ713" s="241"/>
      <c r="BK713" s="241"/>
      <c r="BL713" s="241"/>
      <c r="BM713" s="241"/>
    </row>
    <row r="714" spans="1:65" ht="13.5" customHeight="1" x14ac:dyDescent="0.3">
      <c r="A714" s="241"/>
      <c r="B714" s="241"/>
      <c r="C714" s="241"/>
      <c r="D714" s="241"/>
      <c r="E714" s="241"/>
      <c r="F714" s="241"/>
      <c r="G714" s="241"/>
      <c r="H714" s="241"/>
      <c r="I714" s="241"/>
      <c r="J714" s="241"/>
      <c r="K714" s="241"/>
      <c r="L714" s="241"/>
      <c r="M714" s="241"/>
      <c r="N714" s="241"/>
      <c r="O714" s="241"/>
      <c r="P714" s="241"/>
      <c r="Q714" s="241"/>
      <c r="R714" s="241"/>
      <c r="S714" s="241"/>
      <c r="T714" s="241"/>
      <c r="U714" s="241"/>
      <c r="V714" s="241"/>
      <c r="W714" s="241"/>
      <c r="X714" s="241"/>
      <c r="Y714" s="241"/>
      <c r="Z714" s="241"/>
      <c r="AA714" s="241"/>
      <c r="AB714" s="241"/>
      <c r="AC714" s="241"/>
      <c r="AD714" s="241"/>
      <c r="AE714" s="241"/>
      <c r="AF714" s="241"/>
      <c r="AG714" s="241"/>
      <c r="AH714" s="241"/>
      <c r="AI714" s="241"/>
      <c r="AJ714" s="241"/>
      <c r="AK714" s="241"/>
      <c r="AL714" s="241"/>
      <c r="AM714" s="241"/>
      <c r="AN714" s="241"/>
      <c r="AO714" s="241"/>
      <c r="AP714" s="241"/>
      <c r="AQ714" s="241"/>
      <c r="AR714" s="241"/>
      <c r="AS714" s="241"/>
      <c r="AT714" s="241"/>
      <c r="AU714" s="241"/>
      <c r="AV714" s="241"/>
      <c r="AW714" s="241"/>
      <c r="AX714" s="241"/>
      <c r="AY714" s="241"/>
      <c r="AZ714" s="241"/>
      <c r="BA714" s="241"/>
      <c r="BB714" s="241"/>
      <c r="BC714" s="241"/>
      <c r="BD714" s="241"/>
      <c r="BE714" s="241"/>
      <c r="BF714" s="241"/>
      <c r="BG714" s="241"/>
      <c r="BH714" s="241"/>
      <c r="BI714" s="241"/>
      <c r="BJ714" s="241"/>
      <c r="BK714" s="241"/>
      <c r="BL714" s="241"/>
      <c r="BM714" s="241"/>
    </row>
    <row r="715" spans="1:65" ht="13.5" customHeight="1" x14ac:dyDescent="0.3">
      <c r="A715" s="241"/>
      <c r="B715" s="241"/>
      <c r="C715" s="241"/>
      <c r="D715" s="241"/>
      <c r="E715" s="241"/>
      <c r="F715" s="241"/>
      <c r="G715" s="241"/>
      <c r="H715" s="241"/>
      <c r="I715" s="241"/>
      <c r="J715" s="241"/>
      <c r="K715" s="241"/>
      <c r="L715" s="241"/>
      <c r="M715" s="241"/>
      <c r="N715" s="241"/>
      <c r="O715" s="241"/>
      <c r="P715" s="241"/>
      <c r="Q715" s="241"/>
      <c r="R715" s="241"/>
      <c r="S715" s="241"/>
      <c r="T715" s="241"/>
      <c r="U715" s="241"/>
      <c r="V715" s="241"/>
      <c r="W715" s="241"/>
      <c r="X715" s="241"/>
      <c r="Y715" s="241"/>
      <c r="Z715" s="241"/>
      <c r="AA715" s="241"/>
      <c r="AB715" s="241"/>
      <c r="AC715" s="241"/>
      <c r="AD715" s="241"/>
      <c r="AE715" s="241"/>
      <c r="AF715" s="241"/>
      <c r="AG715" s="241"/>
      <c r="AH715" s="241"/>
      <c r="AI715" s="241"/>
      <c r="AJ715" s="241"/>
      <c r="AK715" s="241"/>
      <c r="AL715" s="241"/>
      <c r="AM715" s="241"/>
      <c r="AN715" s="241"/>
      <c r="AO715" s="241"/>
      <c r="AP715" s="241"/>
      <c r="AQ715" s="241"/>
      <c r="AR715" s="241"/>
      <c r="AS715" s="241"/>
      <c r="AT715" s="241"/>
      <c r="AU715" s="241"/>
      <c r="AV715" s="241"/>
      <c r="AW715" s="241"/>
      <c r="AX715" s="241"/>
      <c r="AY715" s="241"/>
      <c r="AZ715" s="241"/>
      <c r="BA715" s="241"/>
      <c r="BB715" s="241"/>
      <c r="BC715" s="241"/>
      <c r="BD715" s="241"/>
      <c r="BE715" s="241"/>
      <c r="BF715" s="241"/>
      <c r="BG715" s="241"/>
      <c r="BH715" s="241"/>
      <c r="BI715" s="241"/>
      <c r="BJ715" s="241"/>
      <c r="BK715" s="241"/>
      <c r="BL715" s="241"/>
      <c r="BM715" s="241"/>
    </row>
    <row r="716" spans="1:65" ht="13.5" customHeight="1" x14ac:dyDescent="0.3">
      <c r="A716" s="241"/>
      <c r="B716" s="241"/>
      <c r="C716" s="241"/>
      <c r="D716" s="241"/>
      <c r="E716" s="241"/>
      <c r="F716" s="241"/>
      <c r="G716" s="241"/>
      <c r="H716" s="241"/>
      <c r="I716" s="241"/>
      <c r="J716" s="241"/>
      <c r="K716" s="241"/>
      <c r="L716" s="241"/>
      <c r="M716" s="241"/>
      <c r="N716" s="241"/>
      <c r="O716" s="241"/>
      <c r="P716" s="241"/>
      <c r="Q716" s="241"/>
      <c r="R716" s="241"/>
      <c r="S716" s="241"/>
      <c r="T716" s="241"/>
      <c r="U716" s="241"/>
      <c r="V716" s="241"/>
      <c r="W716" s="241"/>
      <c r="X716" s="241"/>
      <c r="Y716" s="241"/>
      <c r="Z716" s="241"/>
      <c r="AA716" s="241"/>
      <c r="AB716" s="241"/>
      <c r="AC716" s="241"/>
      <c r="AD716" s="241"/>
      <c r="AE716" s="241"/>
      <c r="AF716" s="241"/>
      <c r="AG716" s="241"/>
      <c r="AH716" s="241"/>
      <c r="AI716" s="241"/>
      <c r="AJ716" s="241"/>
      <c r="AK716" s="241"/>
      <c r="AL716" s="241"/>
      <c r="AM716" s="241"/>
      <c r="AN716" s="241"/>
      <c r="AO716" s="241"/>
      <c r="AP716" s="241"/>
      <c r="AQ716" s="241"/>
      <c r="AR716" s="241"/>
      <c r="AS716" s="241"/>
      <c r="AT716" s="241"/>
      <c r="AU716" s="241"/>
      <c r="AV716" s="241"/>
      <c r="AW716" s="241"/>
      <c r="AX716" s="241"/>
      <c r="AY716" s="241"/>
      <c r="AZ716" s="241"/>
      <c r="BA716" s="241"/>
      <c r="BB716" s="241"/>
      <c r="BC716" s="241"/>
      <c r="BD716" s="241"/>
      <c r="BE716" s="241"/>
      <c r="BF716" s="241"/>
      <c r="BG716" s="241"/>
      <c r="BH716" s="241"/>
      <c r="BI716" s="241"/>
      <c r="BJ716" s="241"/>
      <c r="BK716" s="241"/>
      <c r="BL716" s="241"/>
      <c r="BM716" s="241"/>
    </row>
    <row r="717" spans="1:65" ht="13.5" customHeight="1" x14ac:dyDescent="0.3">
      <c r="A717" s="241"/>
      <c r="B717" s="241"/>
      <c r="C717" s="241"/>
      <c r="D717" s="241"/>
      <c r="E717" s="241"/>
      <c r="F717" s="241"/>
      <c r="G717" s="241"/>
      <c r="H717" s="241"/>
      <c r="I717" s="241"/>
      <c r="J717" s="241"/>
      <c r="K717" s="241"/>
      <c r="L717" s="241"/>
      <c r="M717" s="241"/>
      <c r="N717" s="241"/>
      <c r="O717" s="241"/>
      <c r="P717" s="241"/>
      <c r="Q717" s="241"/>
      <c r="R717" s="241"/>
      <c r="S717" s="241"/>
      <c r="T717" s="241"/>
      <c r="U717" s="241"/>
      <c r="V717" s="241"/>
      <c r="W717" s="241"/>
      <c r="X717" s="241"/>
      <c r="Y717" s="241"/>
      <c r="Z717" s="241"/>
      <c r="AA717" s="241"/>
      <c r="AB717" s="241"/>
      <c r="AC717" s="241"/>
      <c r="AD717" s="241"/>
      <c r="AE717" s="241"/>
      <c r="AF717" s="241"/>
      <c r="AG717" s="241"/>
      <c r="AH717" s="241"/>
      <c r="AI717" s="241"/>
      <c r="AJ717" s="241"/>
      <c r="AK717" s="241"/>
      <c r="AL717" s="241"/>
      <c r="AM717" s="241"/>
      <c r="AN717" s="241"/>
      <c r="AO717" s="241"/>
      <c r="AP717" s="241"/>
      <c r="AQ717" s="241"/>
      <c r="AR717" s="241"/>
      <c r="AS717" s="241"/>
      <c r="AT717" s="241"/>
      <c r="AU717" s="241"/>
      <c r="AV717" s="241"/>
      <c r="AW717" s="241"/>
      <c r="AX717" s="241"/>
      <c r="AY717" s="241"/>
      <c r="AZ717" s="241"/>
      <c r="BA717" s="241"/>
      <c r="BB717" s="241"/>
      <c r="BC717" s="241"/>
      <c r="BD717" s="241"/>
      <c r="BE717" s="241"/>
      <c r="BF717" s="241"/>
      <c r="BG717" s="241"/>
      <c r="BH717" s="241"/>
      <c r="BI717" s="241"/>
      <c r="BJ717" s="241"/>
      <c r="BK717" s="241"/>
      <c r="BL717" s="241"/>
      <c r="BM717" s="241"/>
    </row>
    <row r="718" spans="1:65" ht="13.5" customHeight="1" x14ac:dyDescent="0.3">
      <c r="A718" s="241"/>
      <c r="B718" s="241"/>
      <c r="C718" s="241"/>
      <c r="D718" s="241"/>
      <c r="E718" s="241"/>
      <c r="F718" s="241"/>
      <c r="G718" s="241"/>
      <c r="H718" s="241"/>
      <c r="I718" s="241"/>
      <c r="J718" s="241"/>
      <c r="K718" s="241"/>
      <c r="L718" s="241"/>
      <c r="M718" s="241"/>
      <c r="N718" s="241"/>
      <c r="O718" s="241"/>
      <c r="P718" s="241"/>
      <c r="Q718" s="241"/>
      <c r="R718" s="241"/>
      <c r="S718" s="241"/>
      <c r="T718" s="241"/>
      <c r="U718" s="241"/>
      <c r="V718" s="241"/>
      <c r="W718" s="241"/>
      <c r="X718" s="241"/>
      <c r="Y718" s="241"/>
      <c r="Z718" s="241"/>
      <c r="AA718" s="241"/>
      <c r="AB718" s="241"/>
      <c r="AC718" s="241"/>
      <c r="AD718" s="241"/>
      <c r="AE718" s="241"/>
      <c r="AF718" s="241"/>
      <c r="AG718" s="241"/>
      <c r="AH718" s="241"/>
      <c r="AI718" s="241"/>
      <c r="AJ718" s="241"/>
      <c r="AK718" s="241"/>
      <c r="AL718" s="241"/>
      <c r="AM718" s="241"/>
      <c r="AN718" s="241"/>
      <c r="AO718" s="241"/>
      <c r="AP718" s="241"/>
      <c r="AQ718" s="241"/>
      <c r="AR718" s="241"/>
      <c r="AS718" s="241"/>
      <c r="AT718" s="241"/>
      <c r="AU718" s="241"/>
      <c r="AV718" s="241"/>
      <c r="AW718" s="241"/>
      <c r="AX718" s="241"/>
      <c r="AY718" s="241"/>
      <c r="AZ718" s="241"/>
      <c r="BA718" s="241"/>
      <c r="BB718" s="241"/>
      <c r="BC718" s="241"/>
      <c r="BD718" s="241"/>
      <c r="BE718" s="241"/>
      <c r="BF718" s="241"/>
      <c r="BG718" s="241"/>
      <c r="BH718" s="241"/>
      <c r="BI718" s="241"/>
      <c r="BJ718" s="241"/>
      <c r="BK718" s="241"/>
      <c r="BL718" s="241"/>
      <c r="BM718" s="241"/>
    </row>
    <row r="719" spans="1:65" ht="13.5" customHeight="1" x14ac:dyDescent="0.3">
      <c r="A719" s="241"/>
      <c r="B719" s="241"/>
      <c r="C719" s="241"/>
      <c r="D719" s="241"/>
      <c r="E719" s="241"/>
      <c r="F719" s="241"/>
      <c r="G719" s="241"/>
      <c r="H719" s="241"/>
      <c r="I719" s="241"/>
      <c r="J719" s="241"/>
      <c r="K719" s="241"/>
      <c r="L719" s="241"/>
      <c r="M719" s="241"/>
      <c r="N719" s="241"/>
      <c r="O719" s="241"/>
      <c r="P719" s="241"/>
      <c r="Q719" s="241"/>
      <c r="R719" s="241"/>
      <c r="S719" s="241"/>
      <c r="T719" s="241"/>
      <c r="U719" s="241"/>
      <c r="V719" s="241"/>
      <c r="W719" s="241"/>
      <c r="X719" s="241"/>
      <c r="Y719" s="241"/>
      <c r="Z719" s="241"/>
      <c r="AA719" s="241"/>
      <c r="AB719" s="241"/>
      <c r="AC719" s="241"/>
      <c r="AD719" s="241"/>
      <c r="AE719" s="241"/>
      <c r="AF719" s="241"/>
      <c r="AG719" s="241"/>
      <c r="AH719" s="241"/>
      <c r="AI719" s="241"/>
      <c r="AJ719" s="241"/>
      <c r="AK719" s="241"/>
      <c r="AL719" s="241"/>
      <c r="AM719" s="241"/>
      <c r="AN719" s="241"/>
      <c r="AO719" s="241"/>
      <c r="AP719" s="241"/>
      <c r="AQ719" s="241"/>
      <c r="AR719" s="241"/>
      <c r="AS719" s="241"/>
      <c r="AT719" s="241"/>
      <c r="AU719" s="241"/>
      <c r="AV719" s="241"/>
      <c r="AW719" s="241"/>
      <c r="AX719" s="241"/>
      <c r="AY719" s="241"/>
      <c r="AZ719" s="241"/>
      <c r="BA719" s="241"/>
      <c r="BB719" s="241"/>
      <c r="BC719" s="241"/>
      <c r="BD719" s="241"/>
      <c r="BE719" s="241"/>
      <c r="BF719" s="241"/>
      <c r="BG719" s="241"/>
      <c r="BH719" s="241"/>
      <c r="BI719" s="241"/>
      <c r="BJ719" s="241"/>
      <c r="BK719" s="241"/>
      <c r="BL719" s="241"/>
      <c r="BM719" s="241"/>
    </row>
    <row r="720" spans="1:65" ht="13.5" customHeight="1" x14ac:dyDescent="0.3">
      <c r="A720" s="241"/>
      <c r="B720" s="241"/>
      <c r="C720" s="241"/>
      <c r="D720" s="241"/>
      <c r="E720" s="241"/>
      <c r="F720" s="241"/>
      <c r="G720" s="241"/>
      <c r="H720" s="241"/>
      <c r="I720" s="241"/>
      <c r="J720" s="241"/>
      <c r="K720" s="241"/>
      <c r="L720" s="241"/>
      <c r="M720" s="241"/>
      <c r="N720" s="241"/>
      <c r="O720" s="241"/>
      <c r="P720" s="241"/>
      <c r="Q720" s="241"/>
      <c r="R720" s="241"/>
      <c r="S720" s="241"/>
      <c r="T720" s="241"/>
      <c r="U720" s="241"/>
      <c r="V720" s="241"/>
      <c r="W720" s="241"/>
      <c r="X720" s="241"/>
      <c r="Y720" s="241"/>
      <c r="Z720" s="241"/>
      <c r="AA720" s="241"/>
      <c r="AB720" s="241"/>
      <c r="AC720" s="241"/>
      <c r="AD720" s="241"/>
      <c r="AE720" s="241"/>
      <c r="AF720" s="241"/>
      <c r="AG720" s="241"/>
      <c r="AH720" s="241"/>
      <c r="AI720" s="241"/>
      <c r="AJ720" s="241"/>
      <c r="AK720" s="241"/>
      <c r="AL720" s="241"/>
      <c r="AM720" s="241"/>
      <c r="AN720" s="241"/>
      <c r="AO720" s="241"/>
      <c r="AP720" s="241"/>
      <c r="AQ720" s="241"/>
      <c r="AR720" s="241"/>
      <c r="AS720" s="241"/>
      <c r="AT720" s="241"/>
      <c r="AU720" s="241"/>
      <c r="AV720" s="241"/>
      <c r="AW720" s="241"/>
      <c r="AX720" s="241"/>
      <c r="AY720" s="241"/>
      <c r="AZ720" s="241"/>
      <c r="BA720" s="241"/>
      <c r="BB720" s="241"/>
      <c r="BC720" s="241"/>
      <c r="BD720" s="241"/>
      <c r="BE720" s="241"/>
      <c r="BF720" s="241"/>
      <c r="BG720" s="241"/>
      <c r="BH720" s="241"/>
      <c r="BI720" s="241"/>
      <c r="BJ720" s="241"/>
      <c r="BK720" s="241"/>
      <c r="BL720" s="241"/>
      <c r="BM720" s="241"/>
    </row>
    <row r="721" spans="1:65" ht="13.5" customHeight="1" x14ac:dyDescent="0.3">
      <c r="A721" s="241"/>
      <c r="B721" s="241"/>
      <c r="C721" s="241"/>
      <c r="D721" s="241"/>
      <c r="E721" s="241"/>
      <c r="F721" s="241"/>
      <c r="G721" s="241"/>
      <c r="H721" s="241"/>
      <c r="I721" s="241"/>
      <c r="J721" s="241"/>
      <c r="K721" s="241"/>
      <c r="L721" s="241"/>
      <c r="M721" s="241"/>
      <c r="N721" s="241"/>
      <c r="O721" s="241"/>
      <c r="P721" s="241"/>
      <c r="Q721" s="241"/>
      <c r="R721" s="241"/>
      <c r="S721" s="241"/>
      <c r="T721" s="241"/>
      <c r="U721" s="241"/>
      <c r="V721" s="241"/>
      <c r="W721" s="241"/>
      <c r="X721" s="241"/>
      <c r="Y721" s="241"/>
      <c r="Z721" s="241"/>
      <c r="AA721" s="241"/>
      <c r="AB721" s="241"/>
      <c r="AC721" s="241"/>
      <c r="AD721" s="241"/>
      <c r="AE721" s="241"/>
      <c r="AF721" s="241"/>
      <c r="AG721" s="241"/>
      <c r="AH721" s="241"/>
      <c r="AI721" s="241"/>
      <c r="AJ721" s="241"/>
      <c r="AK721" s="241"/>
      <c r="AL721" s="241"/>
      <c r="AM721" s="241"/>
      <c r="AN721" s="241"/>
      <c r="AO721" s="241"/>
      <c r="AP721" s="241"/>
      <c r="AQ721" s="241"/>
      <c r="AR721" s="241"/>
      <c r="AS721" s="241"/>
      <c r="AT721" s="241"/>
      <c r="AU721" s="241"/>
      <c r="AV721" s="241"/>
      <c r="AW721" s="241"/>
      <c r="AX721" s="241"/>
      <c r="AY721" s="241"/>
      <c r="AZ721" s="241"/>
      <c r="BA721" s="241"/>
      <c r="BB721" s="241"/>
      <c r="BC721" s="241"/>
      <c r="BD721" s="241"/>
      <c r="BE721" s="241"/>
      <c r="BF721" s="241"/>
      <c r="BG721" s="241"/>
      <c r="BH721" s="241"/>
      <c r="BI721" s="241"/>
      <c r="BJ721" s="241"/>
      <c r="BK721" s="241"/>
      <c r="BL721" s="241"/>
      <c r="BM721" s="241"/>
    </row>
    <row r="722" spans="1:65" ht="13.5" customHeight="1" x14ac:dyDescent="0.3">
      <c r="A722" s="241"/>
      <c r="B722" s="241"/>
      <c r="C722" s="241"/>
      <c r="D722" s="241"/>
      <c r="E722" s="241"/>
      <c r="F722" s="241"/>
      <c r="G722" s="241"/>
      <c r="H722" s="241"/>
      <c r="I722" s="241"/>
      <c r="J722" s="241"/>
      <c r="K722" s="241"/>
      <c r="L722" s="241"/>
      <c r="M722" s="241"/>
      <c r="N722" s="241"/>
      <c r="O722" s="241"/>
      <c r="P722" s="241"/>
      <c r="Q722" s="241"/>
      <c r="R722" s="241"/>
      <c r="S722" s="241"/>
      <c r="T722" s="241"/>
      <c r="U722" s="241"/>
      <c r="V722" s="241"/>
      <c r="W722" s="241"/>
      <c r="X722" s="241"/>
      <c r="Y722" s="241"/>
      <c r="Z722" s="241"/>
      <c r="AA722" s="241"/>
      <c r="AB722" s="241"/>
      <c r="AC722" s="241"/>
      <c r="AD722" s="241"/>
      <c r="AE722" s="241"/>
      <c r="AF722" s="241"/>
      <c r="AG722" s="241"/>
      <c r="AH722" s="241"/>
      <c r="AI722" s="241"/>
      <c r="AJ722" s="241"/>
      <c r="AK722" s="241"/>
      <c r="AL722" s="241"/>
      <c r="AM722" s="241"/>
      <c r="AN722" s="241"/>
      <c r="AO722" s="241"/>
      <c r="AP722" s="241"/>
      <c r="AQ722" s="241"/>
      <c r="AR722" s="241"/>
      <c r="AS722" s="241"/>
      <c r="AT722" s="241"/>
      <c r="AU722" s="241"/>
      <c r="AV722" s="241"/>
      <c r="AW722" s="241"/>
      <c r="AX722" s="241"/>
      <c r="AY722" s="241"/>
      <c r="AZ722" s="241"/>
      <c r="BA722" s="241"/>
      <c r="BB722" s="241"/>
      <c r="BC722" s="241"/>
      <c r="BD722" s="241"/>
      <c r="BE722" s="241"/>
      <c r="BF722" s="241"/>
      <c r="BG722" s="241"/>
      <c r="BH722" s="241"/>
      <c r="BI722" s="241"/>
      <c r="BJ722" s="241"/>
      <c r="BK722" s="241"/>
      <c r="BL722" s="241"/>
      <c r="BM722" s="241"/>
    </row>
    <row r="723" spans="1:65" ht="13.5" customHeight="1" x14ac:dyDescent="0.3">
      <c r="A723" s="241"/>
      <c r="B723" s="241"/>
      <c r="C723" s="241"/>
      <c r="D723" s="241"/>
      <c r="E723" s="241"/>
      <c r="F723" s="241"/>
      <c r="G723" s="241"/>
      <c r="H723" s="241"/>
      <c r="I723" s="241"/>
      <c r="J723" s="241"/>
      <c r="K723" s="241"/>
      <c r="L723" s="241"/>
      <c r="M723" s="241"/>
      <c r="N723" s="241"/>
      <c r="O723" s="241"/>
      <c r="P723" s="241"/>
      <c r="Q723" s="241"/>
      <c r="R723" s="241"/>
      <c r="S723" s="241"/>
      <c r="T723" s="241"/>
      <c r="U723" s="241"/>
      <c r="V723" s="241"/>
      <c r="W723" s="241"/>
      <c r="X723" s="241"/>
      <c r="Y723" s="241"/>
      <c r="Z723" s="241"/>
      <c r="AA723" s="241"/>
      <c r="AB723" s="241"/>
      <c r="AC723" s="241"/>
      <c r="AD723" s="241"/>
      <c r="AE723" s="241"/>
      <c r="AF723" s="241"/>
      <c r="AG723" s="241"/>
      <c r="AH723" s="241"/>
      <c r="AI723" s="241"/>
      <c r="AJ723" s="241"/>
      <c r="AK723" s="241"/>
      <c r="AL723" s="241"/>
      <c r="AM723" s="241"/>
      <c r="AN723" s="241"/>
      <c r="AO723" s="241"/>
      <c r="AP723" s="241"/>
      <c r="AQ723" s="241"/>
      <c r="AR723" s="241"/>
      <c r="AS723" s="241"/>
      <c r="AT723" s="241"/>
      <c r="AU723" s="241"/>
      <c r="AV723" s="241"/>
      <c r="AW723" s="241"/>
      <c r="AX723" s="241"/>
      <c r="AY723" s="241"/>
      <c r="AZ723" s="241"/>
      <c r="BA723" s="241"/>
      <c r="BB723" s="241"/>
      <c r="BC723" s="241"/>
      <c r="BD723" s="241"/>
      <c r="BE723" s="241"/>
      <c r="BF723" s="241"/>
      <c r="BG723" s="241"/>
      <c r="BH723" s="241"/>
      <c r="BI723" s="241"/>
      <c r="BJ723" s="241"/>
      <c r="BK723" s="241"/>
      <c r="BL723" s="241"/>
      <c r="BM723" s="241"/>
    </row>
    <row r="724" spans="1:65" ht="13.5" customHeight="1" x14ac:dyDescent="0.3">
      <c r="A724" s="241"/>
      <c r="B724" s="241"/>
      <c r="C724" s="241"/>
      <c r="D724" s="241"/>
      <c r="E724" s="241"/>
      <c r="F724" s="241"/>
      <c r="G724" s="241"/>
      <c r="H724" s="241"/>
      <c r="I724" s="241"/>
      <c r="J724" s="241"/>
      <c r="K724" s="241"/>
      <c r="L724" s="241"/>
      <c r="M724" s="241"/>
      <c r="N724" s="241"/>
      <c r="O724" s="241"/>
      <c r="P724" s="241"/>
      <c r="Q724" s="241"/>
      <c r="R724" s="241"/>
      <c r="S724" s="241"/>
      <c r="T724" s="241"/>
      <c r="U724" s="241"/>
      <c r="V724" s="241"/>
      <c r="W724" s="241"/>
      <c r="X724" s="241"/>
      <c r="Y724" s="241"/>
      <c r="Z724" s="241"/>
      <c r="AA724" s="241"/>
      <c r="AB724" s="241"/>
      <c r="AC724" s="241"/>
      <c r="AD724" s="241"/>
      <c r="AE724" s="241"/>
      <c r="AF724" s="241"/>
      <c r="AG724" s="241"/>
      <c r="AH724" s="241"/>
      <c r="AI724" s="241"/>
      <c r="AJ724" s="241"/>
      <c r="AK724" s="241"/>
      <c r="AL724" s="241"/>
      <c r="AM724" s="241"/>
      <c r="AN724" s="241"/>
      <c r="AO724" s="241"/>
      <c r="AP724" s="241"/>
      <c r="AQ724" s="241"/>
      <c r="AR724" s="241"/>
      <c r="AS724" s="241"/>
      <c r="AT724" s="241"/>
      <c r="AU724" s="241"/>
      <c r="AV724" s="241"/>
      <c r="AW724" s="241"/>
      <c r="AX724" s="241"/>
      <c r="AY724" s="241"/>
      <c r="AZ724" s="241"/>
      <c r="BA724" s="241"/>
      <c r="BB724" s="241"/>
      <c r="BC724" s="241"/>
      <c r="BD724" s="241"/>
      <c r="BE724" s="241"/>
      <c r="BF724" s="241"/>
      <c r="BG724" s="241"/>
      <c r="BH724" s="241"/>
      <c r="BI724" s="241"/>
      <c r="BJ724" s="241"/>
      <c r="BK724" s="241"/>
      <c r="BL724" s="241"/>
      <c r="BM724" s="241"/>
    </row>
    <row r="725" spans="1:65" ht="13.5" customHeight="1" x14ac:dyDescent="0.3">
      <c r="A725" s="241"/>
      <c r="B725" s="241"/>
      <c r="C725" s="241"/>
      <c r="D725" s="241"/>
      <c r="E725" s="241"/>
      <c r="F725" s="241"/>
      <c r="G725" s="241"/>
      <c r="H725" s="241"/>
      <c r="I725" s="241"/>
      <c r="J725" s="241"/>
      <c r="K725" s="241"/>
      <c r="L725" s="241"/>
      <c r="M725" s="241"/>
      <c r="N725" s="241"/>
      <c r="O725" s="241"/>
      <c r="P725" s="241"/>
      <c r="Q725" s="241"/>
      <c r="R725" s="241"/>
      <c r="S725" s="241"/>
      <c r="T725" s="241"/>
      <c r="U725" s="241"/>
      <c r="V725" s="241"/>
      <c r="W725" s="241"/>
      <c r="X725" s="241"/>
      <c r="Y725" s="241"/>
      <c r="Z725" s="241"/>
      <c r="AA725" s="241"/>
      <c r="AB725" s="241"/>
      <c r="AC725" s="241"/>
      <c r="AD725" s="241"/>
      <c r="AE725" s="241"/>
      <c r="AF725" s="241"/>
      <c r="AG725" s="241"/>
      <c r="AH725" s="241"/>
      <c r="AI725" s="241"/>
      <c r="AJ725" s="241"/>
      <c r="AK725" s="241"/>
      <c r="AL725" s="241"/>
      <c r="AM725" s="241"/>
      <c r="AN725" s="241"/>
      <c r="AO725" s="241"/>
      <c r="AP725" s="241"/>
      <c r="AQ725" s="241"/>
      <c r="AR725" s="241"/>
      <c r="AS725" s="241"/>
      <c r="AT725" s="241"/>
      <c r="AU725" s="241"/>
      <c r="AV725" s="241"/>
      <c r="AW725" s="241"/>
      <c r="AX725" s="241"/>
      <c r="AY725" s="241"/>
      <c r="AZ725" s="241"/>
      <c r="BA725" s="241"/>
      <c r="BB725" s="241"/>
      <c r="BC725" s="241"/>
      <c r="BD725" s="241"/>
      <c r="BE725" s="241"/>
      <c r="BF725" s="241"/>
      <c r="BG725" s="241"/>
      <c r="BH725" s="241"/>
      <c r="BI725" s="241"/>
      <c r="BJ725" s="241"/>
      <c r="BK725" s="241"/>
      <c r="BL725" s="241"/>
      <c r="BM725" s="241"/>
    </row>
    <row r="726" spans="1:65" ht="13.5" customHeight="1" x14ac:dyDescent="0.3">
      <c r="A726" s="241"/>
      <c r="B726" s="241"/>
      <c r="C726" s="241"/>
      <c r="D726" s="241"/>
      <c r="E726" s="241"/>
      <c r="F726" s="241"/>
      <c r="G726" s="241"/>
      <c r="H726" s="241"/>
      <c r="I726" s="241"/>
      <c r="J726" s="241"/>
      <c r="K726" s="241"/>
      <c r="L726" s="241"/>
      <c r="M726" s="241"/>
      <c r="N726" s="241"/>
      <c r="O726" s="241"/>
      <c r="P726" s="241"/>
      <c r="Q726" s="241"/>
      <c r="R726" s="241"/>
      <c r="S726" s="241"/>
      <c r="T726" s="241"/>
      <c r="U726" s="241"/>
      <c r="V726" s="241"/>
      <c r="W726" s="241"/>
      <c r="X726" s="241"/>
      <c r="Y726" s="241"/>
      <c r="Z726" s="241"/>
      <c r="AA726" s="241"/>
      <c r="AB726" s="241"/>
      <c r="AC726" s="241"/>
      <c r="AD726" s="241"/>
      <c r="AE726" s="241"/>
      <c r="AF726" s="241"/>
      <c r="AG726" s="241"/>
      <c r="AH726" s="241"/>
      <c r="AI726" s="241"/>
      <c r="AJ726" s="241"/>
      <c r="AK726" s="241"/>
      <c r="AL726" s="241"/>
      <c r="AM726" s="241"/>
      <c r="AN726" s="241"/>
      <c r="AO726" s="241"/>
      <c r="AP726" s="241"/>
      <c r="AQ726" s="241"/>
      <c r="AR726" s="241"/>
      <c r="AS726" s="241"/>
      <c r="AT726" s="241"/>
      <c r="AU726" s="241"/>
      <c r="AV726" s="241"/>
      <c r="AW726" s="241"/>
      <c r="AX726" s="241"/>
      <c r="AY726" s="241"/>
      <c r="AZ726" s="241"/>
      <c r="BA726" s="241"/>
      <c r="BB726" s="241"/>
      <c r="BC726" s="241"/>
      <c r="BD726" s="241"/>
      <c r="BE726" s="241"/>
      <c r="BF726" s="241"/>
      <c r="BG726" s="241"/>
      <c r="BH726" s="241"/>
      <c r="BI726" s="241"/>
      <c r="BJ726" s="241"/>
      <c r="BK726" s="241"/>
      <c r="BL726" s="241"/>
      <c r="BM726" s="241"/>
    </row>
    <row r="727" spans="1:65" ht="13.5" customHeight="1" x14ac:dyDescent="0.3">
      <c r="A727" s="241"/>
      <c r="B727" s="241"/>
      <c r="C727" s="241"/>
      <c r="D727" s="241"/>
      <c r="E727" s="241"/>
      <c r="F727" s="241"/>
      <c r="G727" s="241"/>
      <c r="H727" s="241"/>
      <c r="I727" s="241"/>
      <c r="J727" s="241"/>
      <c r="K727" s="241"/>
      <c r="L727" s="241"/>
      <c r="M727" s="241"/>
      <c r="N727" s="241"/>
      <c r="O727" s="241"/>
      <c r="P727" s="241"/>
      <c r="Q727" s="241"/>
      <c r="R727" s="241"/>
      <c r="S727" s="241"/>
      <c r="T727" s="241"/>
      <c r="U727" s="241"/>
      <c r="V727" s="241"/>
      <c r="W727" s="241"/>
      <c r="X727" s="241"/>
      <c r="Y727" s="241"/>
      <c r="Z727" s="241"/>
      <c r="AA727" s="241"/>
      <c r="AB727" s="241"/>
      <c r="AC727" s="241"/>
      <c r="AD727" s="241"/>
      <c r="AE727" s="241"/>
      <c r="AF727" s="241"/>
      <c r="AG727" s="241"/>
      <c r="AH727" s="241"/>
      <c r="AI727" s="241"/>
      <c r="AJ727" s="241"/>
      <c r="AK727" s="241"/>
      <c r="AL727" s="241"/>
      <c r="AM727" s="241"/>
      <c r="AN727" s="241"/>
      <c r="AO727" s="241"/>
      <c r="AP727" s="241"/>
      <c r="AQ727" s="241"/>
      <c r="AR727" s="241"/>
      <c r="AS727" s="241"/>
      <c r="AT727" s="241"/>
      <c r="AU727" s="241"/>
      <c r="AV727" s="241"/>
      <c r="AW727" s="241"/>
      <c r="AX727" s="241"/>
      <c r="AY727" s="241"/>
      <c r="AZ727" s="241"/>
      <c r="BA727" s="241"/>
      <c r="BB727" s="241"/>
      <c r="BC727" s="241"/>
      <c r="BD727" s="241"/>
      <c r="BE727" s="241"/>
      <c r="BF727" s="241"/>
      <c r="BG727" s="241"/>
      <c r="BH727" s="241"/>
      <c r="BI727" s="241"/>
      <c r="BJ727" s="241"/>
      <c r="BK727" s="241"/>
      <c r="BL727" s="241"/>
      <c r="BM727" s="241"/>
    </row>
    <row r="728" spans="1:65" ht="13.5" customHeight="1" x14ac:dyDescent="0.3">
      <c r="A728" s="241"/>
      <c r="B728" s="241"/>
      <c r="C728" s="241"/>
      <c r="D728" s="241"/>
      <c r="E728" s="241"/>
      <c r="F728" s="241"/>
      <c r="G728" s="241"/>
      <c r="H728" s="241"/>
      <c r="I728" s="241"/>
      <c r="J728" s="241"/>
      <c r="K728" s="241"/>
      <c r="L728" s="241"/>
      <c r="M728" s="241"/>
      <c r="N728" s="241"/>
      <c r="O728" s="241"/>
      <c r="P728" s="241"/>
      <c r="Q728" s="241"/>
      <c r="R728" s="241"/>
      <c r="S728" s="241"/>
      <c r="T728" s="241"/>
      <c r="U728" s="241"/>
      <c r="V728" s="241"/>
      <c r="W728" s="241"/>
      <c r="X728" s="241"/>
      <c r="Y728" s="241"/>
      <c r="Z728" s="241"/>
      <c r="AA728" s="241"/>
      <c r="AB728" s="241"/>
      <c r="AC728" s="241"/>
      <c r="AD728" s="241"/>
      <c r="AE728" s="241"/>
      <c r="AF728" s="241"/>
      <c r="AG728" s="241"/>
      <c r="AH728" s="241"/>
      <c r="AI728" s="241"/>
      <c r="AJ728" s="241"/>
      <c r="AK728" s="241"/>
      <c r="AL728" s="241"/>
      <c r="AM728" s="241"/>
      <c r="AN728" s="241"/>
      <c r="AO728" s="241"/>
      <c r="AP728" s="241"/>
      <c r="AQ728" s="241"/>
      <c r="AR728" s="241"/>
      <c r="AS728" s="241"/>
      <c r="AT728" s="241"/>
      <c r="AU728" s="241"/>
      <c r="AV728" s="241"/>
      <c r="AW728" s="241"/>
      <c r="AX728" s="241"/>
      <c r="AY728" s="241"/>
      <c r="AZ728" s="241"/>
      <c r="BA728" s="241"/>
      <c r="BB728" s="241"/>
      <c r="BC728" s="241"/>
      <c r="BD728" s="241"/>
      <c r="BE728" s="241"/>
      <c r="BF728" s="241"/>
      <c r="BG728" s="241"/>
      <c r="BH728" s="241"/>
      <c r="BI728" s="241"/>
      <c r="BJ728" s="241"/>
      <c r="BK728" s="241"/>
      <c r="BL728" s="241"/>
      <c r="BM728" s="241"/>
    </row>
    <row r="729" spans="1:65" ht="13.5" customHeight="1" x14ac:dyDescent="0.3">
      <c r="A729" s="241"/>
      <c r="B729" s="241"/>
      <c r="C729" s="241"/>
      <c r="D729" s="241"/>
      <c r="E729" s="241"/>
      <c r="F729" s="241"/>
      <c r="G729" s="241"/>
      <c r="H729" s="241"/>
      <c r="I729" s="241"/>
      <c r="J729" s="241"/>
      <c r="K729" s="241"/>
      <c r="L729" s="241"/>
      <c r="M729" s="241"/>
      <c r="N729" s="241"/>
      <c r="O729" s="241"/>
      <c r="P729" s="241"/>
      <c r="Q729" s="241"/>
      <c r="R729" s="241"/>
      <c r="S729" s="241"/>
      <c r="T729" s="241"/>
      <c r="U729" s="241"/>
      <c r="V729" s="241"/>
      <c r="W729" s="241"/>
      <c r="X729" s="241"/>
      <c r="Y729" s="241"/>
      <c r="Z729" s="241"/>
      <c r="AA729" s="241"/>
      <c r="AB729" s="241"/>
      <c r="AC729" s="241"/>
      <c r="AD729" s="241"/>
      <c r="AE729" s="241"/>
      <c r="AF729" s="241"/>
      <c r="AG729" s="241"/>
      <c r="AH729" s="241"/>
      <c r="AI729" s="241"/>
      <c r="AJ729" s="241"/>
      <c r="AK729" s="241"/>
      <c r="AL729" s="241"/>
      <c r="AM729" s="241"/>
      <c r="AN729" s="241"/>
      <c r="AO729" s="241"/>
      <c r="AP729" s="241"/>
      <c r="AQ729" s="241"/>
      <c r="AR729" s="241"/>
      <c r="AS729" s="241"/>
      <c r="AT729" s="241"/>
      <c r="AU729" s="241"/>
      <c r="AV729" s="241"/>
      <c r="AW729" s="241"/>
      <c r="AX729" s="241"/>
      <c r="AY729" s="241"/>
      <c r="AZ729" s="241"/>
      <c r="BA729" s="241"/>
      <c r="BB729" s="241"/>
      <c r="BC729" s="241"/>
      <c r="BD729" s="241"/>
      <c r="BE729" s="241"/>
      <c r="BF729" s="241"/>
      <c r="BG729" s="241"/>
      <c r="BH729" s="241"/>
      <c r="BI729" s="241"/>
      <c r="BJ729" s="241"/>
      <c r="BK729" s="241"/>
      <c r="BL729" s="241"/>
      <c r="BM729" s="241"/>
    </row>
    <row r="730" spans="1:65" ht="13.5" customHeight="1" x14ac:dyDescent="0.3">
      <c r="A730" s="241"/>
      <c r="B730" s="241"/>
      <c r="C730" s="241"/>
      <c r="D730" s="241"/>
      <c r="E730" s="241"/>
      <c r="F730" s="241"/>
      <c r="G730" s="241"/>
      <c r="H730" s="241"/>
      <c r="I730" s="241"/>
      <c r="J730" s="241"/>
      <c r="K730" s="241"/>
      <c r="L730" s="241"/>
      <c r="M730" s="241"/>
      <c r="N730" s="241"/>
      <c r="O730" s="241"/>
      <c r="P730" s="241"/>
      <c r="Q730" s="241"/>
      <c r="R730" s="241"/>
      <c r="S730" s="241"/>
      <c r="T730" s="241"/>
      <c r="U730" s="241"/>
      <c r="V730" s="241"/>
      <c r="W730" s="241"/>
      <c r="X730" s="241"/>
      <c r="Y730" s="241"/>
      <c r="Z730" s="241"/>
      <c r="AA730" s="241"/>
      <c r="AB730" s="241"/>
      <c r="AC730" s="241"/>
      <c r="AD730" s="241"/>
      <c r="AE730" s="241"/>
      <c r="AF730" s="241"/>
      <c r="AG730" s="241"/>
      <c r="AH730" s="241"/>
      <c r="AI730" s="241"/>
      <c r="AJ730" s="241"/>
      <c r="AK730" s="241"/>
      <c r="AL730" s="241"/>
      <c r="AM730" s="241"/>
      <c r="AN730" s="241"/>
      <c r="AO730" s="241"/>
      <c r="AP730" s="241"/>
      <c r="AQ730" s="241"/>
      <c r="AR730" s="241"/>
      <c r="AS730" s="241"/>
      <c r="AT730" s="241"/>
      <c r="AU730" s="241"/>
      <c r="AV730" s="241"/>
      <c r="AW730" s="241"/>
      <c r="AX730" s="241"/>
      <c r="AY730" s="241"/>
      <c r="AZ730" s="241"/>
      <c r="BA730" s="241"/>
      <c r="BB730" s="241"/>
      <c r="BC730" s="241"/>
      <c r="BD730" s="241"/>
      <c r="BE730" s="241"/>
      <c r="BF730" s="241"/>
      <c r="BG730" s="241"/>
      <c r="BH730" s="241"/>
      <c r="BI730" s="241"/>
      <c r="BJ730" s="241"/>
      <c r="BK730" s="241"/>
      <c r="BL730" s="241"/>
      <c r="BM730" s="241"/>
    </row>
    <row r="731" spans="1:65" ht="13.5" customHeight="1" x14ac:dyDescent="0.3">
      <c r="A731" s="241"/>
      <c r="B731" s="241"/>
      <c r="C731" s="241"/>
      <c r="D731" s="241"/>
      <c r="E731" s="241"/>
      <c r="F731" s="241"/>
      <c r="G731" s="241"/>
      <c r="H731" s="241"/>
      <c r="I731" s="241"/>
      <c r="J731" s="241"/>
      <c r="K731" s="241"/>
      <c r="L731" s="241"/>
      <c r="M731" s="241"/>
      <c r="N731" s="241"/>
      <c r="O731" s="241"/>
      <c r="P731" s="241"/>
      <c r="Q731" s="241"/>
      <c r="R731" s="241"/>
      <c r="S731" s="241"/>
      <c r="T731" s="241"/>
      <c r="U731" s="241"/>
      <c r="V731" s="241"/>
      <c r="W731" s="241"/>
      <c r="X731" s="241"/>
      <c r="Y731" s="241"/>
      <c r="Z731" s="241"/>
      <c r="AA731" s="241"/>
      <c r="AB731" s="241"/>
      <c r="AC731" s="241"/>
      <c r="AD731" s="241"/>
      <c r="AE731" s="241"/>
      <c r="AF731" s="241"/>
      <c r="AG731" s="241"/>
      <c r="AH731" s="241"/>
      <c r="AI731" s="241"/>
      <c r="AJ731" s="241"/>
      <c r="AK731" s="241"/>
      <c r="AL731" s="241"/>
      <c r="AM731" s="241"/>
      <c r="AN731" s="241"/>
      <c r="AO731" s="241"/>
      <c r="AP731" s="241"/>
      <c r="AQ731" s="241"/>
      <c r="AR731" s="241"/>
      <c r="AS731" s="241"/>
      <c r="AT731" s="241"/>
      <c r="AU731" s="241"/>
      <c r="AV731" s="241"/>
      <c r="AW731" s="241"/>
      <c r="AX731" s="241"/>
      <c r="AY731" s="241"/>
      <c r="AZ731" s="241"/>
      <c r="BA731" s="241"/>
      <c r="BB731" s="241"/>
      <c r="BC731" s="241"/>
      <c r="BD731" s="241"/>
      <c r="BE731" s="241"/>
      <c r="BF731" s="241"/>
      <c r="BG731" s="241"/>
      <c r="BH731" s="241"/>
      <c r="BI731" s="241"/>
      <c r="BJ731" s="241"/>
      <c r="BK731" s="241"/>
      <c r="BL731" s="241"/>
      <c r="BM731" s="241"/>
    </row>
    <row r="732" spans="1:65" ht="13.5" customHeight="1" x14ac:dyDescent="0.3">
      <c r="A732" s="241"/>
      <c r="B732" s="241"/>
      <c r="C732" s="241"/>
      <c r="D732" s="241"/>
      <c r="E732" s="241"/>
      <c r="F732" s="241"/>
      <c r="G732" s="241"/>
      <c r="H732" s="241"/>
      <c r="I732" s="241"/>
      <c r="J732" s="241"/>
      <c r="K732" s="241"/>
      <c r="L732" s="241"/>
      <c r="M732" s="241"/>
      <c r="N732" s="241"/>
      <c r="O732" s="241"/>
      <c r="P732" s="241"/>
      <c r="Q732" s="241"/>
      <c r="R732" s="241"/>
      <c r="S732" s="241"/>
      <c r="T732" s="241"/>
      <c r="U732" s="241"/>
      <c r="V732" s="241"/>
      <c r="W732" s="241"/>
      <c r="X732" s="241"/>
      <c r="Y732" s="241"/>
      <c r="Z732" s="241"/>
      <c r="AA732" s="241"/>
      <c r="AB732" s="241"/>
      <c r="AC732" s="241"/>
      <c r="AD732" s="241"/>
      <c r="AE732" s="241"/>
      <c r="AF732" s="241"/>
      <c r="AG732" s="241"/>
      <c r="AH732" s="241"/>
      <c r="AI732" s="241"/>
      <c r="AJ732" s="241"/>
      <c r="AK732" s="241"/>
      <c r="AL732" s="241"/>
      <c r="AM732" s="241"/>
      <c r="AN732" s="241"/>
      <c r="AO732" s="241"/>
      <c r="AP732" s="241"/>
      <c r="AQ732" s="241"/>
      <c r="AR732" s="241"/>
      <c r="AS732" s="241"/>
      <c r="AT732" s="241"/>
      <c r="AU732" s="241"/>
      <c r="AV732" s="241"/>
      <c r="AW732" s="241"/>
      <c r="AX732" s="241"/>
      <c r="AY732" s="241"/>
      <c r="AZ732" s="241"/>
      <c r="BA732" s="241"/>
      <c r="BB732" s="241"/>
      <c r="BC732" s="241"/>
      <c r="BD732" s="241"/>
      <c r="BE732" s="241"/>
      <c r="BF732" s="241"/>
      <c r="BG732" s="241"/>
      <c r="BH732" s="241"/>
      <c r="BI732" s="241"/>
      <c r="BJ732" s="241"/>
      <c r="BK732" s="241"/>
      <c r="BL732" s="241"/>
      <c r="BM732" s="241"/>
    </row>
    <row r="733" spans="1:65" ht="13.5" customHeight="1" x14ac:dyDescent="0.3">
      <c r="A733" s="241"/>
      <c r="B733" s="241"/>
      <c r="C733" s="241"/>
      <c r="D733" s="241"/>
      <c r="E733" s="241"/>
      <c r="F733" s="241"/>
      <c r="G733" s="241"/>
      <c r="H733" s="241"/>
      <c r="I733" s="241"/>
      <c r="J733" s="241"/>
      <c r="K733" s="241"/>
      <c r="L733" s="241"/>
      <c r="M733" s="241"/>
      <c r="N733" s="241"/>
      <c r="O733" s="241"/>
      <c r="P733" s="241"/>
      <c r="Q733" s="241"/>
      <c r="R733" s="241"/>
      <c r="S733" s="241"/>
      <c r="T733" s="241"/>
      <c r="U733" s="241"/>
      <c r="V733" s="241"/>
      <c r="W733" s="241"/>
      <c r="X733" s="241"/>
      <c r="Y733" s="241"/>
      <c r="Z733" s="241"/>
      <c r="AA733" s="241"/>
      <c r="AB733" s="241"/>
      <c r="AC733" s="241"/>
      <c r="AD733" s="241"/>
      <c r="AE733" s="241"/>
      <c r="AF733" s="241"/>
      <c r="AG733" s="241"/>
      <c r="AH733" s="241"/>
      <c r="AI733" s="241"/>
      <c r="AJ733" s="241"/>
      <c r="AK733" s="241"/>
      <c r="AL733" s="241"/>
      <c r="AM733" s="241"/>
      <c r="AN733" s="241"/>
      <c r="AO733" s="241"/>
      <c r="AP733" s="241"/>
      <c r="AQ733" s="241"/>
      <c r="AR733" s="241"/>
      <c r="AS733" s="241"/>
      <c r="AT733" s="241"/>
      <c r="AU733" s="241"/>
      <c r="AV733" s="241"/>
      <c r="AW733" s="241"/>
      <c r="AX733" s="241"/>
      <c r="AY733" s="241"/>
      <c r="AZ733" s="241"/>
      <c r="BA733" s="241"/>
      <c r="BB733" s="241"/>
      <c r="BC733" s="241"/>
      <c r="BD733" s="241"/>
      <c r="BE733" s="241"/>
      <c r="BF733" s="241"/>
      <c r="BG733" s="241"/>
      <c r="BH733" s="241"/>
      <c r="BI733" s="241"/>
      <c r="BJ733" s="241"/>
      <c r="BK733" s="241"/>
      <c r="BL733" s="241"/>
      <c r="BM733" s="241"/>
    </row>
    <row r="734" spans="1:65" ht="13.5" customHeight="1" x14ac:dyDescent="0.3">
      <c r="A734" s="241"/>
      <c r="B734" s="241"/>
      <c r="C734" s="241"/>
      <c r="D734" s="241"/>
      <c r="E734" s="241"/>
      <c r="F734" s="241"/>
      <c r="G734" s="241"/>
      <c r="H734" s="241"/>
      <c r="I734" s="241"/>
      <c r="J734" s="241"/>
      <c r="K734" s="241"/>
      <c r="L734" s="241"/>
      <c r="M734" s="241"/>
      <c r="N734" s="241"/>
      <c r="O734" s="241"/>
      <c r="P734" s="241"/>
      <c r="Q734" s="241"/>
      <c r="R734" s="241"/>
      <c r="S734" s="241"/>
      <c r="T734" s="241"/>
      <c r="U734" s="241"/>
      <c r="V734" s="241"/>
      <c r="W734" s="241"/>
      <c r="X734" s="241"/>
      <c r="Y734" s="241"/>
      <c r="Z734" s="241"/>
      <c r="AA734" s="241"/>
      <c r="AB734" s="241"/>
      <c r="AC734" s="241"/>
      <c r="AD734" s="241"/>
      <c r="AE734" s="241"/>
      <c r="AF734" s="241"/>
      <c r="AG734" s="241"/>
      <c r="AH734" s="241"/>
      <c r="AI734" s="241"/>
      <c r="AJ734" s="241"/>
      <c r="AK734" s="241"/>
      <c r="AL734" s="241"/>
      <c r="AM734" s="241"/>
      <c r="AN734" s="241"/>
      <c r="AO734" s="241"/>
      <c r="AP734" s="241"/>
      <c r="AQ734" s="241"/>
      <c r="AR734" s="241"/>
      <c r="AS734" s="241"/>
      <c r="AT734" s="241"/>
      <c r="AU734" s="241"/>
      <c r="AV734" s="241"/>
      <c r="AW734" s="241"/>
      <c r="AX734" s="241"/>
      <c r="AY734" s="241"/>
      <c r="AZ734" s="241"/>
      <c r="BA734" s="241"/>
      <c r="BB734" s="241"/>
      <c r="BC734" s="241"/>
      <c r="BD734" s="241"/>
      <c r="BE734" s="241"/>
      <c r="BF734" s="241"/>
      <c r="BG734" s="241"/>
      <c r="BH734" s="241"/>
      <c r="BI734" s="241"/>
      <c r="BJ734" s="241"/>
      <c r="BK734" s="241"/>
      <c r="BL734" s="241"/>
      <c r="BM734" s="241"/>
    </row>
    <row r="735" spans="1:65" ht="13.5" customHeight="1" x14ac:dyDescent="0.3">
      <c r="A735" s="241"/>
      <c r="B735" s="241"/>
      <c r="C735" s="241"/>
      <c r="D735" s="241"/>
      <c r="E735" s="241"/>
      <c r="F735" s="241"/>
      <c r="G735" s="241"/>
      <c r="H735" s="241"/>
      <c r="I735" s="241"/>
      <c r="J735" s="241"/>
      <c r="K735" s="241"/>
      <c r="L735" s="241"/>
      <c r="M735" s="241"/>
      <c r="N735" s="241"/>
      <c r="O735" s="241"/>
      <c r="P735" s="241"/>
      <c r="Q735" s="241"/>
      <c r="R735" s="241"/>
      <c r="S735" s="241"/>
      <c r="T735" s="241"/>
      <c r="U735" s="241"/>
      <c r="V735" s="241"/>
      <c r="W735" s="241"/>
      <c r="X735" s="241"/>
      <c r="Y735" s="241"/>
      <c r="Z735" s="241"/>
      <c r="AA735" s="241"/>
      <c r="AB735" s="241"/>
      <c r="AC735" s="241"/>
      <c r="AD735" s="241"/>
      <c r="AE735" s="241"/>
      <c r="AF735" s="241"/>
      <c r="AG735" s="241"/>
      <c r="AH735" s="241"/>
      <c r="AI735" s="241"/>
      <c r="AJ735" s="241"/>
      <c r="AK735" s="241"/>
      <c r="AL735" s="241"/>
      <c r="AM735" s="241"/>
      <c r="AN735" s="241"/>
      <c r="AO735" s="241"/>
      <c r="AP735" s="241"/>
      <c r="AQ735" s="241"/>
      <c r="AR735" s="241"/>
      <c r="AS735" s="241"/>
      <c r="AT735" s="241"/>
      <c r="AU735" s="241"/>
      <c r="AV735" s="241"/>
      <c r="AW735" s="241"/>
      <c r="AX735" s="241"/>
      <c r="AY735" s="241"/>
      <c r="AZ735" s="241"/>
      <c r="BA735" s="241"/>
      <c r="BB735" s="241"/>
      <c r="BC735" s="241"/>
      <c r="BD735" s="241"/>
      <c r="BE735" s="241"/>
      <c r="BF735" s="241"/>
      <c r="BG735" s="241"/>
      <c r="BH735" s="241"/>
      <c r="BI735" s="241"/>
      <c r="BJ735" s="241"/>
      <c r="BK735" s="241"/>
      <c r="BL735" s="241"/>
      <c r="BM735" s="241"/>
    </row>
    <row r="736" spans="1:65" ht="13.5" customHeight="1" x14ac:dyDescent="0.3">
      <c r="A736" s="241"/>
      <c r="B736" s="241"/>
      <c r="C736" s="241"/>
      <c r="D736" s="241"/>
      <c r="E736" s="241"/>
      <c r="F736" s="241"/>
      <c r="G736" s="241"/>
      <c r="H736" s="241"/>
      <c r="I736" s="241"/>
      <c r="J736" s="241"/>
      <c r="K736" s="241"/>
      <c r="L736" s="241"/>
      <c r="M736" s="241"/>
      <c r="N736" s="241"/>
      <c r="O736" s="241"/>
      <c r="P736" s="241"/>
      <c r="Q736" s="241"/>
      <c r="R736" s="241"/>
      <c r="S736" s="241"/>
      <c r="T736" s="241"/>
      <c r="U736" s="241"/>
      <c r="V736" s="241"/>
      <c r="W736" s="241"/>
      <c r="X736" s="241"/>
      <c r="Y736" s="241"/>
      <c r="Z736" s="241"/>
      <c r="AA736" s="241"/>
      <c r="AB736" s="241"/>
      <c r="AC736" s="241"/>
      <c r="AD736" s="241"/>
      <c r="AE736" s="241"/>
      <c r="AF736" s="241"/>
      <c r="AG736" s="241"/>
      <c r="AH736" s="241"/>
      <c r="AI736" s="241"/>
      <c r="AJ736" s="241"/>
      <c r="AK736" s="241"/>
      <c r="AL736" s="241"/>
      <c r="AM736" s="241"/>
      <c r="AN736" s="241"/>
      <c r="AO736" s="241"/>
      <c r="AP736" s="241"/>
      <c r="AQ736" s="241"/>
      <c r="AR736" s="241"/>
      <c r="AS736" s="241"/>
      <c r="AT736" s="241"/>
      <c r="AU736" s="241"/>
      <c r="AV736" s="241"/>
      <c r="AW736" s="241"/>
      <c r="AX736" s="241"/>
      <c r="AY736" s="241"/>
      <c r="AZ736" s="241"/>
      <c r="BA736" s="241"/>
      <c r="BB736" s="241"/>
      <c r="BC736" s="241"/>
      <c r="BD736" s="241"/>
      <c r="BE736" s="241"/>
      <c r="BF736" s="241"/>
      <c r="BG736" s="241"/>
      <c r="BH736" s="241"/>
      <c r="BI736" s="241"/>
      <c r="BJ736" s="241"/>
      <c r="BK736" s="241"/>
      <c r="BL736" s="241"/>
      <c r="BM736" s="241"/>
    </row>
    <row r="737" spans="1:65" ht="13.5" customHeight="1" x14ac:dyDescent="0.3">
      <c r="A737" s="241"/>
      <c r="B737" s="241"/>
      <c r="C737" s="241"/>
      <c r="D737" s="241"/>
      <c r="E737" s="241"/>
      <c r="F737" s="241"/>
      <c r="G737" s="241"/>
      <c r="H737" s="241"/>
      <c r="I737" s="241"/>
      <c r="J737" s="241"/>
      <c r="K737" s="241"/>
      <c r="L737" s="241"/>
      <c r="M737" s="241"/>
      <c r="N737" s="241"/>
      <c r="O737" s="241"/>
      <c r="P737" s="241"/>
      <c r="Q737" s="241"/>
      <c r="R737" s="241"/>
      <c r="S737" s="241"/>
      <c r="T737" s="241"/>
      <c r="U737" s="241"/>
      <c r="V737" s="241"/>
      <c r="W737" s="241"/>
      <c r="X737" s="241"/>
      <c r="Y737" s="241"/>
      <c r="Z737" s="241"/>
      <c r="AA737" s="241"/>
      <c r="AB737" s="241"/>
      <c r="AC737" s="241"/>
      <c r="AD737" s="241"/>
      <c r="AE737" s="241"/>
      <c r="AF737" s="241"/>
      <c r="AG737" s="241"/>
      <c r="AH737" s="241"/>
      <c r="AI737" s="241"/>
      <c r="AJ737" s="241"/>
      <c r="AK737" s="241"/>
      <c r="AL737" s="241"/>
      <c r="AM737" s="241"/>
      <c r="AN737" s="241"/>
      <c r="AO737" s="241"/>
      <c r="AP737" s="241"/>
      <c r="AQ737" s="241"/>
      <c r="AR737" s="241"/>
      <c r="AS737" s="241"/>
      <c r="AT737" s="241"/>
      <c r="AU737" s="241"/>
      <c r="AV737" s="241"/>
      <c r="AW737" s="241"/>
      <c r="AX737" s="241"/>
      <c r="AY737" s="241"/>
      <c r="AZ737" s="241"/>
      <c r="BA737" s="241"/>
      <c r="BB737" s="241"/>
      <c r="BC737" s="241"/>
      <c r="BD737" s="241"/>
      <c r="BE737" s="241"/>
      <c r="BF737" s="241"/>
      <c r="BG737" s="241"/>
      <c r="BH737" s="241"/>
      <c r="BI737" s="241"/>
      <c r="BJ737" s="241"/>
      <c r="BK737" s="241"/>
      <c r="BL737" s="241"/>
      <c r="BM737" s="241"/>
    </row>
    <row r="738" spans="1:65" ht="13.5" customHeight="1" x14ac:dyDescent="0.3">
      <c r="A738" s="241"/>
      <c r="B738" s="241"/>
      <c r="C738" s="241"/>
      <c r="D738" s="241"/>
      <c r="E738" s="241"/>
      <c r="F738" s="241"/>
      <c r="G738" s="241"/>
      <c r="H738" s="241"/>
      <c r="I738" s="241"/>
      <c r="J738" s="241"/>
      <c r="K738" s="241"/>
      <c r="L738" s="241"/>
      <c r="M738" s="241"/>
      <c r="N738" s="241"/>
      <c r="O738" s="241"/>
      <c r="P738" s="241"/>
      <c r="Q738" s="241"/>
      <c r="R738" s="241"/>
      <c r="S738" s="241"/>
      <c r="T738" s="241"/>
      <c r="U738" s="241"/>
      <c r="V738" s="241"/>
      <c r="W738" s="241"/>
      <c r="X738" s="241"/>
      <c r="Y738" s="241"/>
      <c r="Z738" s="241"/>
      <c r="AA738" s="241"/>
      <c r="AB738" s="241"/>
      <c r="AC738" s="241"/>
      <c r="AD738" s="241"/>
      <c r="AE738" s="241"/>
      <c r="AF738" s="241"/>
      <c r="AG738" s="241"/>
      <c r="AH738" s="241"/>
      <c r="AI738" s="241"/>
      <c r="AJ738" s="241"/>
      <c r="AK738" s="241"/>
      <c r="AL738" s="241"/>
      <c r="AM738" s="241"/>
      <c r="AN738" s="241"/>
      <c r="AO738" s="241"/>
      <c r="AP738" s="241"/>
      <c r="AQ738" s="241"/>
      <c r="AR738" s="241"/>
      <c r="AS738" s="241"/>
      <c r="AT738" s="241"/>
      <c r="AU738" s="241"/>
      <c r="AV738" s="241"/>
      <c r="AW738" s="241"/>
      <c r="AX738" s="241"/>
      <c r="AY738" s="241"/>
      <c r="AZ738" s="241"/>
      <c r="BA738" s="241"/>
      <c r="BB738" s="241"/>
      <c r="BC738" s="241"/>
      <c r="BD738" s="241"/>
      <c r="BE738" s="241"/>
      <c r="BF738" s="241"/>
      <c r="BG738" s="241"/>
      <c r="BH738" s="241"/>
      <c r="BI738" s="241"/>
      <c r="BJ738" s="241"/>
      <c r="BK738" s="241"/>
      <c r="BL738" s="241"/>
      <c r="BM738" s="241"/>
    </row>
    <row r="739" spans="1:65" ht="13.5" customHeight="1" x14ac:dyDescent="0.3">
      <c r="A739" s="241"/>
      <c r="B739" s="241"/>
      <c r="C739" s="241"/>
      <c r="D739" s="241"/>
      <c r="E739" s="241"/>
      <c r="F739" s="241"/>
      <c r="G739" s="241"/>
      <c r="H739" s="241"/>
      <c r="I739" s="241"/>
      <c r="J739" s="241"/>
      <c r="K739" s="241"/>
      <c r="L739" s="241"/>
      <c r="M739" s="241"/>
      <c r="N739" s="241"/>
      <c r="O739" s="241"/>
      <c r="P739" s="241"/>
      <c r="Q739" s="241"/>
      <c r="R739" s="241"/>
      <c r="S739" s="241"/>
      <c r="T739" s="241"/>
      <c r="U739" s="241"/>
      <c r="V739" s="241"/>
      <c r="W739" s="241"/>
      <c r="X739" s="241"/>
      <c r="Y739" s="241"/>
      <c r="Z739" s="241"/>
      <c r="AA739" s="241"/>
      <c r="AB739" s="241"/>
      <c r="AC739" s="241"/>
      <c r="AD739" s="241"/>
      <c r="AE739" s="241"/>
      <c r="AF739" s="241"/>
      <c r="AG739" s="241"/>
      <c r="AH739" s="241"/>
      <c r="AI739" s="241"/>
      <c r="AJ739" s="241"/>
      <c r="AK739" s="241"/>
      <c r="AL739" s="241"/>
      <c r="AM739" s="241"/>
      <c r="AN739" s="241"/>
      <c r="AO739" s="241"/>
      <c r="AP739" s="241"/>
      <c r="AQ739" s="241"/>
      <c r="AR739" s="241"/>
      <c r="AS739" s="241"/>
      <c r="AT739" s="241"/>
      <c r="AU739" s="241"/>
      <c r="AV739" s="241"/>
      <c r="AW739" s="241"/>
      <c r="AX739" s="241"/>
      <c r="AY739" s="241"/>
      <c r="AZ739" s="241"/>
      <c r="BA739" s="241"/>
      <c r="BB739" s="241"/>
      <c r="BC739" s="241"/>
      <c r="BD739" s="241"/>
      <c r="BE739" s="241"/>
      <c r="BF739" s="241"/>
      <c r="BG739" s="241"/>
      <c r="BH739" s="241"/>
      <c r="BI739" s="241"/>
      <c r="BJ739" s="241"/>
      <c r="BK739" s="241"/>
      <c r="BL739" s="241"/>
      <c r="BM739" s="241"/>
    </row>
    <row r="740" spans="1:65" ht="13.5" customHeight="1" x14ac:dyDescent="0.3">
      <c r="A740" s="241"/>
      <c r="B740" s="241"/>
      <c r="C740" s="241"/>
      <c r="D740" s="241"/>
      <c r="E740" s="241"/>
      <c r="F740" s="241"/>
      <c r="G740" s="241"/>
      <c r="H740" s="241"/>
      <c r="I740" s="241"/>
      <c r="J740" s="241"/>
      <c r="K740" s="241"/>
      <c r="L740" s="241"/>
      <c r="M740" s="241"/>
      <c r="N740" s="241"/>
      <c r="O740" s="241"/>
      <c r="P740" s="241"/>
      <c r="Q740" s="241"/>
      <c r="R740" s="241"/>
      <c r="S740" s="241"/>
      <c r="T740" s="241"/>
      <c r="U740" s="241"/>
      <c r="V740" s="241"/>
      <c r="W740" s="241"/>
      <c r="X740" s="241"/>
      <c r="Y740" s="241"/>
      <c r="Z740" s="241"/>
      <c r="AA740" s="241"/>
      <c r="AB740" s="241"/>
      <c r="AC740" s="241"/>
      <c r="AD740" s="241"/>
      <c r="AE740" s="241"/>
      <c r="AF740" s="241"/>
      <c r="AG740" s="241"/>
      <c r="AH740" s="241"/>
      <c r="AI740" s="241"/>
      <c r="AJ740" s="241"/>
      <c r="AK740" s="241"/>
      <c r="AL740" s="241"/>
      <c r="AM740" s="241"/>
      <c r="AN740" s="241"/>
      <c r="AO740" s="241"/>
      <c r="AP740" s="241"/>
      <c r="AQ740" s="241"/>
      <c r="AR740" s="241"/>
      <c r="AS740" s="241"/>
      <c r="AT740" s="241"/>
      <c r="AU740" s="241"/>
      <c r="AV740" s="241"/>
      <c r="AW740" s="241"/>
      <c r="AX740" s="241"/>
      <c r="AY740" s="241"/>
      <c r="AZ740" s="241"/>
      <c r="BA740" s="241"/>
      <c r="BB740" s="241"/>
      <c r="BC740" s="241"/>
      <c r="BD740" s="241"/>
      <c r="BE740" s="241"/>
      <c r="BF740" s="241"/>
      <c r="BG740" s="241"/>
      <c r="BH740" s="241"/>
      <c r="BI740" s="241"/>
      <c r="BJ740" s="241"/>
      <c r="BK740" s="241"/>
      <c r="BL740" s="241"/>
      <c r="BM740" s="241"/>
    </row>
    <row r="741" spans="1:65" ht="13.5" customHeight="1" x14ac:dyDescent="0.3">
      <c r="A741" s="241"/>
      <c r="B741" s="241"/>
      <c r="C741" s="241"/>
      <c r="D741" s="241"/>
      <c r="E741" s="241"/>
      <c r="F741" s="241"/>
      <c r="G741" s="241"/>
      <c r="H741" s="241"/>
      <c r="I741" s="241"/>
      <c r="J741" s="241"/>
      <c r="K741" s="241"/>
      <c r="L741" s="241"/>
      <c r="M741" s="241"/>
      <c r="N741" s="241"/>
      <c r="O741" s="241"/>
      <c r="P741" s="241"/>
      <c r="Q741" s="241"/>
      <c r="R741" s="241"/>
      <c r="S741" s="241"/>
      <c r="T741" s="241"/>
      <c r="U741" s="241"/>
      <c r="V741" s="241"/>
      <c r="W741" s="241"/>
      <c r="X741" s="241"/>
      <c r="Y741" s="241"/>
      <c r="Z741" s="241"/>
      <c r="AA741" s="241"/>
      <c r="AB741" s="241"/>
      <c r="AC741" s="241"/>
      <c r="AD741" s="241"/>
      <c r="AE741" s="241"/>
      <c r="AF741" s="241"/>
      <c r="AG741" s="241"/>
      <c r="AH741" s="241"/>
      <c r="AI741" s="241"/>
      <c r="AJ741" s="241"/>
      <c r="AK741" s="241"/>
      <c r="AL741" s="241"/>
      <c r="AM741" s="241"/>
      <c r="AN741" s="241"/>
      <c r="AO741" s="241"/>
      <c r="AP741" s="241"/>
      <c r="AQ741" s="241"/>
      <c r="AR741" s="241"/>
      <c r="AS741" s="241"/>
      <c r="AT741" s="241"/>
      <c r="AU741" s="241"/>
      <c r="AV741" s="241"/>
      <c r="AW741" s="241"/>
      <c r="AX741" s="241"/>
      <c r="AY741" s="241"/>
      <c r="AZ741" s="241"/>
      <c r="BA741" s="241"/>
      <c r="BB741" s="241"/>
      <c r="BC741" s="241"/>
      <c r="BD741" s="241"/>
      <c r="BE741" s="241"/>
      <c r="BF741" s="241"/>
      <c r="BG741" s="241"/>
      <c r="BH741" s="241"/>
      <c r="BI741" s="241"/>
      <c r="BJ741" s="241"/>
      <c r="BK741" s="241"/>
      <c r="BL741" s="241"/>
      <c r="BM741" s="241"/>
    </row>
    <row r="742" spans="1:65" ht="13.5" customHeight="1" x14ac:dyDescent="0.3">
      <c r="A742" s="241"/>
      <c r="B742" s="241"/>
      <c r="C742" s="241"/>
      <c r="D742" s="241"/>
      <c r="E742" s="241"/>
      <c r="F742" s="241"/>
      <c r="G742" s="241"/>
      <c r="H742" s="241"/>
      <c r="I742" s="241"/>
      <c r="J742" s="241"/>
      <c r="K742" s="241"/>
      <c r="L742" s="241"/>
      <c r="M742" s="241"/>
      <c r="N742" s="241"/>
      <c r="O742" s="241"/>
      <c r="P742" s="241"/>
      <c r="Q742" s="241"/>
      <c r="R742" s="241"/>
      <c r="S742" s="241"/>
      <c r="T742" s="241"/>
      <c r="U742" s="241"/>
      <c r="V742" s="241"/>
      <c r="W742" s="241"/>
      <c r="X742" s="241"/>
      <c r="Y742" s="241"/>
      <c r="Z742" s="241"/>
      <c r="AA742" s="241"/>
      <c r="AB742" s="241"/>
      <c r="AC742" s="241"/>
      <c r="AD742" s="241"/>
      <c r="AE742" s="241"/>
      <c r="AF742" s="241"/>
      <c r="AG742" s="241"/>
      <c r="AH742" s="241"/>
      <c r="AI742" s="241"/>
      <c r="AJ742" s="241"/>
      <c r="AK742" s="241"/>
      <c r="AL742" s="241"/>
      <c r="AM742" s="241"/>
      <c r="AN742" s="241"/>
      <c r="AO742" s="241"/>
      <c r="AP742" s="241"/>
      <c r="AQ742" s="241"/>
      <c r="AR742" s="241"/>
      <c r="AS742" s="241"/>
      <c r="AT742" s="241"/>
      <c r="AU742" s="241"/>
      <c r="AV742" s="241"/>
      <c r="AW742" s="241"/>
      <c r="AX742" s="241"/>
      <c r="AY742" s="241"/>
      <c r="AZ742" s="241"/>
      <c r="BA742" s="241"/>
      <c r="BB742" s="241"/>
      <c r="BC742" s="241"/>
      <c r="BD742" s="241"/>
      <c r="BE742" s="241"/>
      <c r="BF742" s="241"/>
      <c r="BG742" s="241"/>
      <c r="BH742" s="241"/>
      <c r="BI742" s="241"/>
      <c r="BJ742" s="241"/>
      <c r="BK742" s="241"/>
      <c r="BL742" s="241"/>
      <c r="BM742" s="241"/>
    </row>
    <row r="743" spans="1:65" ht="13.5" customHeight="1" x14ac:dyDescent="0.3">
      <c r="A743" s="241"/>
      <c r="B743" s="241"/>
      <c r="C743" s="241"/>
      <c r="D743" s="241"/>
      <c r="E743" s="241"/>
      <c r="F743" s="241"/>
      <c r="G743" s="241"/>
      <c r="H743" s="241"/>
      <c r="I743" s="241"/>
      <c r="J743" s="241"/>
      <c r="K743" s="241"/>
      <c r="L743" s="241"/>
      <c r="M743" s="241"/>
      <c r="N743" s="241"/>
      <c r="O743" s="241"/>
      <c r="P743" s="241"/>
      <c r="Q743" s="241"/>
      <c r="R743" s="241"/>
      <c r="S743" s="241"/>
      <c r="T743" s="241"/>
      <c r="U743" s="241"/>
      <c r="V743" s="241"/>
      <c r="W743" s="241"/>
      <c r="X743" s="241"/>
      <c r="Y743" s="241"/>
      <c r="Z743" s="241"/>
      <c r="AA743" s="241"/>
      <c r="AB743" s="241"/>
      <c r="AC743" s="241"/>
      <c r="AD743" s="241"/>
      <c r="AE743" s="241"/>
      <c r="AF743" s="241"/>
      <c r="AG743" s="241"/>
      <c r="AH743" s="241"/>
      <c r="AI743" s="241"/>
      <c r="AJ743" s="241"/>
      <c r="AK743" s="241"/>
      <c r="AL743" s="241"/>
      <c r="AM743" s="241"/>
      <c r="AN743" s="241"/>
      <c r="AO743" s="241"/>
      <c r="AP743" s="241"/>
      <c r="AQ743" s="241"/>
      <c r="AR743" s="241"/>
      <c r="AS743" s="241"/>
      <c r="AT743" s="241"/>
      <c r="AU743" s="241"/>
      <c r="AV743" s="241"/>
      <c r="AW743" s="241"/>
      <c r="AX743" s="241"/>
      <c r="AY743" s="241"/>
      <c r="AZ743" s="241"/>
      <c r="BA743" s="241"/>
      <c r="BB743" s="241"/>
      <c r="BC743" s="241"/>
      <c r="BD743" s="241"/>
      <c r="BE743" s="241"/>
      <c r="BF743" s="241"/>
      <c r="BG743" s="241"/>
      <c r="BH743" s="241"/>
      <c r="BI743" s="241"/>
      <c r="BJ743" s="241"/>
      <c r="BK743" s="241"/>
      <c r="BL743" s="241"/>
      <c r="BM743" s="241"/>
    </row>
    <row r="744" spans="1:65" ht="13.5" customHeight="1" x14ac:dyDescent="0.3">
      <c r="A744" s="241"/>
      <c r="B744" s="241"/>
      <c r="C744" s="241"/>
      <c r="D744" s="241"/>
      <c r="E744" s="241"/>
      <c r="F744" s="241"/>
      <c r="G744" s="241"/>
      <c r="H744" s="241"/>
      <c r="I744" s="241"/>
      <c r="J744" s="241"/>
      <c r="K744" s="241"/>
      <c r="L744" s="241"/>
      <c r="M744" s="241"/>
      <c r="N744" s="241"/>
      <c r="O744" s="241"/>
      <c r="P744" s="241"/>
      <c r="Q744" s="241"/>
      <c r="R744" s="241"/>
      <c r="S744" s="241"/>
      <c r="T744" s="241"/>
      <c r="U744" s="241"/>
      <c r="V744" s="241"/>
      <c r="W744" s="241"/>
      <c r="X744" s="241"/>
      <c r="Y744" s="241"/>
      <c r="Z744" s="241"/>
      <c r="AA744" s="241"/>
      <c r="AB744" s="241"/>
      <c r="AC744" s="241"/>
      <c r="AD744" s="241"/>
      <c r="AE744" s="241"/>
      <c r="AF744" s="241"/>
      <c r="AG744" s="241"/>
      <c r="AH744" s="241"/>
      <c r="AI744" s="241"/>
      <c r="AJ744" s="241"/>
      <c r="AK744" s="241"/>
      <c r="AL744" s="241"/>
      <c r="AM744" s="241"/>
      <c r="AN744" s="241"/>
      <c r="AO744" s="241"/>
      <c r="AP744" s="241"/>
      <c r="AQ744" s="241"/>
      <c r="AR744" s="241"/>
      <c r="AS744" s="241"/>
      <c r="AT744" s="241"/>
      <c r="AU744" s="241"/>
      <c r="AV744" s="241"/>
      <c r="AW744" s="241"/>
      <c r="AX744" s="241"/>
      <c r="AY744" s="241"/>
      <c r="AZ744" s="241"/>
      <c r="BA744" s="241"/>
      <c r="BB744" s="241"/>
      <c r="BC744" s="241"/>
      <c r="BD744" s="241"/>
      <c r="BE744" s="241"/>
      <c r="BF744" s="241"/>
      <c r="BG744" s="241"/>
      <c r="BH744" s="241"/>
      <c r="BI744" s="241"/>
      <c r="BJ744" s="241"/>
      <c r="BK744" s="241"/>
      <c r="BL744" s="241"/>
      <c r="BM744" s="241"/>
    </row>
    <row r="745" spans="1:65" ht="13.5" customHeight="1" x14ac:dyDescent="0.3">
      <c r="A745" s="241"/>
      <c r="B745" s="241"/>
      <c r="C745" s="241"/>
      <c r="D745" s="241"/>
      <c r="E745" s="241"/>
      <c r="F745" s="241"/>
      <c r="G745" s="241"/>
      <c r="H745" s="241"/>
      <c r="I745" s="241"/>
      <c r="J745" s="241"/>
      <c r="K745" s="241"/>
      <c r="L745" s="241"/>
      <c r="M745" s="241"/>
      <c r="N745" s="241"/>
      <c r="O745" s="241"/>
      <c r="P745" s="241"/>
      <c r="Q745" s="241"/>
      <c r="R745" s="241"/>
      <c r="S745" s="241"/>
      <c r="T745" s="241"/>
      <c r="U745" s="241"/>
      <c r="V745" s="241"/>
      <c r="W745" s="241"/>
      <c r="X745" s="241"/>
      <c r="Y745" s="241"/>
      <c r="Z745" s="241"/>
      <c r="AA745" s="241"/>
      <c r="AB745" s="241"/>
      <c r="AC745" s="241"/>
      <c r="AD745" s="241"/>
      <c r="AE745" s="241"/>
      <c r="AF745" s="241"/>
      <c r="AG745" s="241"/>
      <c r="AH745" s="241"/>
      <c r="AI745" s="241"/>
      <c r="AJ745" s="241"/>
      <c r="AK745" s="241"/>
      <c r="AL745" s="241"/>
      <c r="AM745" s="241"/>
      <c r="AN745" s="241"/>
      <c r="AO745" s="241"/>
      <c r="AP745" s="241"/>
      <c r="AQ745" s="241"/>
      <c r="AR745" s="241"/>
      <c r="AS745" s="241"/>
      <c r="AT745" s="241"/>
      <c r="AU745" s="241"/>
      <c r="AV745" s="241"/>
      <c r="AW745" s="241"/>
      <c r="AX745" s="241"/>
      <c r="AY745" s="241"/>
      <c r="AZ745" s="241"/>
      <c r="BA745" s="241"/>
      <c r="BB745" s="241"/>
      <c r="BC745" s="241"/>
      <c r="BD745" s="241"/>
      <c r="BE745" s="241"/>
      <c r="BF745" s="241"/>
      <c r="BG745" s="241"/>
      <c r="BH745" s="241"/>
      <c r="BI745" s="241"/>
      <c r="BJ745" s="241"/>
      <c r="BK745" s="241"/>
      <c r="BL745" s="241"/>
      <c r="BM745" s="241"/>
    </row>
    <row r="746" spans="1:65" ht="13.5" customHeight="1" x14ac:dyDescent="0.3">
      <c r="A746" s="241"/>
      <c r="B746" s="241"/>
      <c r="C746" s="241"/>
      <c r="D746" s="241"/>
      <c r="E746" s="241"/>
      <c r="F746" s="241"/>
      <c r="G746" s="241"/>
      <c r="H746" s="241"/>
      <c r="I746" s="241"/>
      <c r="J746" s="241"/>
      <c r="K746" s="241"/>
      <c r="L746" s="241"/>
      <c r="M746" s="241"/>
      <c r="N746" s="241"/>
      <c r="O746" s="241"/>
      <c r="P746" s="241"/>
      <c r="Q746" s="241"/>
      <c r="R746" s="241"/>
      <c r="S746" s="241"/>
      <c r="T746" s="241"/>
      <c r="U746" s="241"/>
      <c r="V746" s="241"/>
      <c r="W746" s="241"/>
      <c r="X746" s="241"/>
      <c r="Y746" s="241"/>
      <c r="Z746" s="241"/>
      <c r="AA746" s="241"/>
      <c r="AB746" s="241"/>
      <c r="AC746" s="241"/>
      <c r="AD746" s="241"/>
      <c r="AE746" s="241"/>
      <c r="AF746" s="241"/>
      <c r="AG746" s="241"/>
      <c r="AH746" s="241"/>
      <c r="AI746" s="241"/>
      <c r="AJ746" s="241"/>
      <c r="AK746" s="241"/>
      <c r="AL746" s="241"/>
      <c r="AM746" s="241"/>
      <c r="AN746" s="241"/>
      <c r="AO746" s="241"/>
      <c r="AP746" s="241"/>
      <c r="AQ746" s="241"/>
      <c r="AR746" s="241"/>
      <c r="AS746" s="241"/>
      <c r="AT746" s="241"/>
      <c r="AU746" s="241"/>
      <c r="AV746" s="241"/>
      <c r="AW746" s="241"/>
      <c r="AX746" s="241"/>
      <c r="AY746" s="241"/>
      <c r="AZ746" s="241"/>
      <c r="BA746" s="241"/>
      <c r="BB746" s="241"/>
      <c r="BC746" s="241"/>
      <c r="BD746" s="241"/>
      <c r="BE746" s="241"/>
      <c r="BF746" s="241"/>
      <c r="BG746" s="241"/>
      <c r="BH746" s="241"/>
      <c r="BI746" s="241"/>
      <c r="BJ746" s="241"/>
      <c r="BK746" s="241"/>
      <c r="BL746" s="241"/>
      <c r="BM746" s="241"/>
    </row>
    <row r="747" spans="1:65" ht="13.5" customHeight="1" x14ac:dyDescent="0.3">
      <c r="A747" s="241"/>
      <c r="B747" s="241"/>
      <c r="C747" s="241"/>
      <c r="D747" s="241"/>
      <c r="E747" s="241"/>
      <c r="F747" s="241"/>
      <c r="G747" s="241"/>
      <c r="H747" s="241"/>
      <c r="I747" s="241"/>
      <c r="J747" s="241"/>
      <c r="K747" s="241"/>
      <c r="L747" s="241"/>
      <c r="M747" s="241"/>
      <c r="N747" s="241"/>
      <c r="O747" s="241"/>
      <c r="P747" s="241"/>
      <c r="Q747" s="241"/>
      <c r="R747" s="241"/>
      <c r="S747" s="241"/>
      <c r="T747" s="241"/>
      <c r="U747" s="241"/>
      <c r="V747" s="241"/>
      <c r="W747" s="241"/>
      <c r="X747" s="241"/>
      <c r="Y747" s="241"/>
      <c r="Z747" s="241"/>
      <c r="AA747" s="241"/>
      <c r="AB747" s="241"/>
      <c r="AC747" s="241"/>
      <c r="AD747" s="241"/>
      <c r="AE747" s="241"/>
      <c r="AF747" s="241"/>
      <c r="AG747" s="241"/>
      <c r="AH747" s="241"/>
      <c r="AI747" s="241"/>
      <c r="AJ747" s="241"/>
      <c r="AK747" s="241"/>
      <c r="AL747" s="241"/>
      <c r="AM747" s="241"/>
      <c r="AN747" s="241"/>
      <c r="AO747" s="241"/>
      <c r="AP747" s="241"/>
      <c r="AQ747" s="241"/>
      <c r="AR747" s="241"/>
      <c r="AS747" s="241"/>
      <c r="AT747" s="241"/>
      <c r="AU747" s="241"/>
      <c r="AV747" s="241"/>
      <c r="AW747" s="241"/>
      <c r="AX747" s="241"/>
      <c r="AY747" s="241"/>
      <c r="AZ747" s="241"/>
      <c r="BA747" s="241"/>
      <c r="BB747" s="241"/>
      <c r="BC747" s="241"/>
      <c r="BD747" s="241"/>
      <c r="BE747" s="241"/>
      <c r="BF747" s="241"/>
      <c r="BG747" s="241"/>
      <c r="BH747" s="241"/>
      <c r="BI747" s="241"/>
      <c r="BJ747" s="241"/>
      <c r="BK747" s="241"/>
      <c r="BL747" s="241"/>
      <c r="BM747" s="241"/>
    </row>
    <row r="748" spans="1:65" ht="13.5" customHeight="1" x14ac:dyDescent="0.3">
      <c r="A748" s="241"/>
      <c r="B748" s="241"/>
      <c r="C748" s="241"/>
      <c r="D748" s="241"/>
      <c r="E748" s="241"/>
      <c r="F748" s="241"/>
      <c r="G748" s="241"/>
      <c r="H748" s="241"/>
      <c r="I748" s="241"/>
      <c r="J748" s="241"/>
      <c r="K748" s="241"/>
      <c r="L748" s="241"/>
      <c r="M748" s="241"/>
      <c r="N748" s="241"/>
      <c r="O748" s="241"/>
      <c r="P748" s="241"/>
      <c r="Q748" s="241"/>
      <c r="R748" s="241"/>
      <c r="S748" s="241"/>
      <c r="T748" s="241"/>
      <c r="U748" s="241"/>
      <c r="V748" s="241"/>
      <c r="W748" s="241"/>
      <c r="X748" s="241"/>
      <c r="Y748" s="241"/>
      <c r="Z748" s="241"/>
      <c r="AA748" s="241"/>
      <c r="AB748" s="241"/>
      <c r="AC748" s="241"/>
      <c r="AD748" s="241"/>
      <c r="AE748" s="241"/>
      <c r="AF748" s="241"/>
      <c r="AG748" s="241"/>
      <c r="AH748" s="241"/>
      <c r="AI748" s="241"/>
      <c r="AJ748" s="241"/>
      <c r="AK748" s="241"/>
      <c r="AL748" s="241"/>
      <c r="AM748" s="241"/>
      <c r="AN748" s="241"/>
      <c r="AO748" s="241"/>
      <c r="AP748" s="241"/>
      <c r="AQ748" s="241"/>
      <c r="AR748" s="241"/>
      <c r="AS748" s="241"/>
      <c r="AT748" s="241"/>
      <c r="AU748" s="241"/>
      <c r="AV748" s="241"/>
      <c r="AW748" s="241"/>
      <c r="AX748" s="241"/>
      <c r="AY748" s="241"/>
      <c r="AZ748" s="241"/>
      <c r="BA748" s="241"/>
      <c r="BB748" s="241"/>
      <c r="BC748" s="241"/>
      <c r="BD748" s="241"/>
      <c r="BE748" s="241"/>
      <c r="BF748" s="241"/>
      <c r="BG748" s="241"/>
      <c r="BH748" s="241"/>
      <c r="BI748" s="241"/>
      <c r="BJ748" s="241"/>
      <c r="BK748" s="241"/>
      <c r="BL748" s="241"/>
      <c r="BM748" s="241"/>
    </row>
    <row r="749" spans="1:65" ht="13.5" customHeight="1" x14ac:dyDescent="0.3">
      <c r="A749" s="241"/>
      <c r="B749" s="241"/>
      <c r="C749" s="241"/>
      <c r="D749" s="241"/>
      <c r="E749" s="241"/>
      <c r="F749" s="241"/>
      <c r="G749" s="241"/>
      <c r="H749" s="241"/>
      <c r="I749" s="241"/>
      <c r="J749" s="241"/>
      <c r="K749" s="241"/>
      <c r="L749" s="241"/>
      <c r="M749" s="241"/>
      <c r="N749" s="241"/>
      <c r="O749" s="241"/>
      <c r="P749" s="241"/>
      <c r="Q749" s="241"/>
      <c r="R749" s="241"/>
      <c r="S749" s="241"/>
      <c r="T749" s="241"/>
      <c r="U749" s="241"/>
      <c r="V749" s="241"/>
      <c r="W749" s="241"/>
      <c r="X749" s="241"/>
      <c r="Y749" s="241"/>
      <c r="Z749" s="241"/>
      <c r="AA749" s="241"/>
      <c r="AB749" s="241"/>
      <c r="AC749" s="241"/>
      <c r="AD749" s="241"/>
      <c r="AE749" s="241"/>
      <c r="AF749" s="241"/>
      <c r="AG749" s="241"/>
      <c r="AH749" s="241"/>
      <c r="AI749" s="241"/>
      <c r="AJ749" s="241"/>
      <c r="AK749" s="241"/>
      <c r="AL749" s="241"/>
      <c r="AM749" s="241"/>
      <c r="AN749" s="241"/>
      <c r="AO749" s="241"/>
      <c r="AP749" s="241"/>
      <c r="AQ749" s="241"/>
      <c r="AR749" s="241"/>
      <c r="AS749" s="241"/>
      <c r="AT749" s="241"/>
      <c r="AU749" s="241"/>
      <c r="AV749" s="241"/>
      <c r="AW749" s="241"/>
      <c r="AX749" s="241"/>
      <c r="AY749" s="241"/>
      <c r="AZ749" s="241"/>
      <c r="BA749" s="241"/>
      <c r="BB749" s="241"/>
      <c r="BC749" s="241"/>
      <c r="BD749" s="241"/>
      <c r="BE749" s="241"/>
      <c r="BF749" s="241"/>
      <c r="BG749" s="241"/>
      <c r="BH749" s="241"/>
      <c r="BI749" s="241"/>
      <c r="BJ749" s="241"/>
      <c r="BK749" s="241"/>
      <c r="BL749" s="241"/>
      <c r="BM749" s="241"/>
    </row>
    <row r="750" spans="1:65" ht="13.5" customHeight="1" x14ac:dyDescent="0.3">
      <c r="A750" s="241"/>
      <c r="B750" s="241"/>
      <c r="C750" s="241"/>
      <c r="D750" s="241"/>
      <c r="E750" s="241"/>
      <c r="F750" s="241"/>
      <c r="G750" s="241"/>
      <c r="H750" s="241"/>
      <c r="I750" s="241"/>
      <c r="J750" s="241"/>
      <c r="K750" s="241"/>
      <c r="L750" s="241"/>
      <c r="M750" s="241"/>
      <c r="N750" s="241"/>
      <c r="O750" s="241"/>
      <c r="P750" s="241"/>
      <c r="Q750" s="241"/>
      <c r="R750" s="241"/>
      <c r="S750" s="241"/>
      <c r="T750" s="241"/>
      <c r="U750" s="241"/>
      <c r="V750" s="241"/>
      <c r="W750" s="241"/>
      <c r="X750" s="241"/>
      <c r="Y750" s="241"/>
      <c r="Z750" s="241"/>
      <c r="AA750" s="241"/>
      <c r="AB750" s="241"/>
      <c r="AC750" s="241"/>
      <c r="AD750" s="241"/>
      <c r="AE750" s="241"/>
      <c r="AF750" s="241"/>
      <c r="AG750" s="241"/>
      <c r="AH750" s="241"/>
      <c r="AI750" s="241"/>
      <c r="AJ750" s="241"/>
      <c r="AK750" s="241"/>
      <c r="AL750" s="241"/>
      <c r="AM750" s="241"/>
      <c r="AN750" s="241"/>
      <c r="AO750" s="241"/>
      <c r="AP750" s="241"/>
      <c r="AQ750" s="241"/>
      <c r="AR750" s="241"/>
      <c r="AS750" s="241"/>
      <c r="AT750" s="241"/>
      <c r="AU750" s="241"/>
      <c r="AV750" s="241"/>
      <c r="AW750" s="241"/>
      <c r="AX750" s="241"/>
      <c r="AY750" s="241"/>
      <c r="AZ750" s="241"/>
      <c r="BA750" s="241"/>
      <c r="BB750" s="241"/>
      <c r="BC750" s="241"/>
      <c r="BD750" s="241"/>
      <c r="BE750" s="241"/>
      <c r="BF750" s="241"/>
      <c r="BG750" s="241"/>
      <c r="BH750" s="241"/>
      <c r="BI750" s="241"/>
      <c r="BJ750" s="241"/>
      <c r="BK750" s="241"/>
      <c r="BL750" s="241"/>
      <c r="BM750" s="241"/>
    </row>
    <row r="751" spans="1:65" ht="13.5" customHeight="1" x14ac:dyDescent="0.3">
      <c r="A751" s="241"/>
      <c r="B751" s="241"/>
      <c r="C751" s="241"/>
      <c r="D751" s="241"/>
      <c r="E751" s="241"/>
      <c r="F751" s="241"/>
      <c r="G751" s="241"/>
      <c r="H751" s="241"/>
      <c r="I751" s="241"/>
      <c r="J751" s="241"/>
      <c r="K751" s="241"/>
      <c r="L751" s="241"/>
      <c r="M751" s="241"/>
      <c r="N751" s="241"/>
      <c r="O751" s="241"/>
      <c r="P751" s="241"/>
      <c r="Q751" s="241"/>
      <c r="R751" s="241"/>
      <c r="S751" s="241"/>
      <c r="T751" s="241"/>
      <c r="U751" s="241"/>
      <c r="V751" s="241"/>
      <c r="W751" s="241"/>
      <c r="X751" s="241"/>
      <c r="Y751" s="241"/>
      <c r="Z751" s="241"/>
      <c r="AA751" s="241"/>
      <c r="AB751" s="241"/>
      <c r="AC751" s="241"/>
      <c r="AD751" s="241"/>
      <c r="AE751" s="241"/>
      <c r="AF751" s="241"/>
      <c r="AG751" s="241"/>
      <c r="AH751" s="241"/>
      <c r="AI751" s="241"/>
      <c r="AJ751" s="241"/>
      <c r="AK751" s="241"/>
      <c r="AL751" s="241"/>
      <c r="AM751" s="241"/>
      <c r="AN751" s="241"/>
      <c r="AO751" s="241"/>
      <c r="AP751" s="241"/>
      <c r="AQ751" s="241"/>
      <c r="AR751" s="241"/>
      <c r="AS751" s="241"/>
      <c r="AT751" s="241"/>
      <c r="AU751" s="241"/>
      <c r="AV751" s="241"/>
      <c r="AW751" s="241"/>
      <c r="AX751" s="241"/>
      <c r="AY751" s="241"/>
      <c r="AZ751" s="241"/>
      <c r="BA751" s="241"/>
      <c r="BB751" s="241"/>
      <c r="BC751" s="241"/>
      <c r="BD751" s="241"/>
      <c r="BE751" s="241"/>
      <c r="BF751" s="241"/>
      <c r="BG751" s="241"/>
      <c r="BH751" s="241"/>
      <c r="BI751" s="241"/>
      <c r="BJ751" s="241"/>
      <c r="BK751" s="241"/>
      <c r="BL751" s="241"/>
      <c r="BM751" s="241"/>
    </row>
    <row r="752" spans="1:65" ht="13.5" customHeight="1" x14ac:dyDescent="0.3">
      <c r="A752" s="241"/>
      <c r="B752" s="241"/>
      <c r="C752" s="241"/>
      <c r="D752" s="241"/>
      <c r="E752" s="241"/>
      <c r="F752" s="241"/>
      <c r="G752" s="241"/>
      <c r="H752" s="241"/>
      <c r="I752" s="241"/>
      <c r="J752" s="241"/>
      <c r="K752" s="241"/>
      <c r="L752" s="241"/>
      <c r="M752" s="241"/>
      <c r="N752" s="241"/>
      <c r="O752" s="241"/>
      <c r="P752" s="241"/>
      <c r="Q752" s="241"/>
      <c r="R752" s="241"/>
      <c r="S752" s="241"/>
      <c r="T752" s="241"/>
      <c r="U752" s="241"/>
      <c r="V752" s="241"/>
      <c r="W752" s="241"/>
      <c r="X752" s="241"/>
      <c r="Y752" s="241"/>
      <c r="Z752" s="241"/>
      <c r="AA752" s="241"/>
      <c r="AB752" s="241"/>
      <c r="AC752" s="241"/>
      <c r="AD752" s="241"/>
      <c r="AE752" s="241"/>
      <c r="AF752" s="241"/>
      <c r="AG752" s="241"/>
      <c r="AH752" s="241"/>
      <c r="AI752" s="241"/>
      <c r="AJ752" s="241"/>
      <c r="AK752" s="241"/>
      <c r="AL752" s="241"/>
      <c r="AM752" s="241"/>
      <c r="AN752" s="241"/>
      <c r="AO752" s="241"/>
      <c r="AP752" s="241"/>
      <c r="AQ752" s="241"/>
      <c r="AR752" s="241"/>
      <c r="AS752" s="241"/>
      <c r="AT752" s="241"/>
      <c r="AU752" s="241"/>
      <c r="AV752" s="241"/>
      <c r="AW752" s="241"/>
      <c r="AX752" s="241"/>
      <c r="AY752" s="241"/>
      <c r="AZ752" s="241"/>
      <c r="BA752" s="241"/>
      <c r="BB752" s="241"/>
      <c r="BC752" s="241"/>
      <c r="BD752" s="241"/>
      <c r="BE752" s="241"/>
      <c r="BF752" s="241"/>
      <c r="BG752" s="241"/>
      <c r="BH752" s="241"/>
      <c r="BI752" s="241"/>
      <c r="BJ752" s="241"/>
      <c r="BK752" s="241"/>
      <c r="BL752" s="241"/>
      <c r="BM752" s="241"/>
    </row>
    <row r="753" spans="1:65" ht="13.5" customHeight="1" x14ac:dyDescent="0.3">
      <c r="A753" s="241"/>
      <c r="B753" s="241"/>
      <c r="C753" s="241"/>
      <c r="D753" s="241"/>
      <c r="E753" s="241"/>
      <c r="F753" s="241"/>
      <c r="G753" s="241"/>
      <c r="H753" s="241"/>
      <c r="I753" s="241"/>
      <c r="J753" s="241"/>
      <c r="K753" s="241"/>
      <c r="L753" s="241"/>
      <c r="M753" s="241"/>
      <c r="N753" s="241"/>
      <c r="O753" s="241"/>
      <c r="P753" s="241"/>
      <c r="Q753" s="241"/>
      <c r="R753" s="241"/>
      <c r="S753" s="241"/>
      <c r="T753" s="241"/>
      <c r="U753" s="241"/>
      <c r="V753" s="241"/>
      <c r="W753" s="241"/>
      <c r="X753" s="241"/>
      <c r="Y753" s="241"/>
      <c r="Z753" s="241"/>
      <c r="AA753" s="241"/>
      <c r="AB753" s="241"/>
      <c r="AC753" s="241"/>
      <c r="AD753" s="241"/>
      <c r="AE753" s="241"/>
      <c r="AF753" s="241"/>
      <c r="AG753" s="241"/>
      <c r="AH753" s="241"/>
      <c r="AI753" s="241"/>
      <c r="AJ753" s="241"/>
      <c r="AK753" s="241"/>
      <c r="AL753" s="241"/>
      <c r="AM753" s="241"/>
      <c r="AN753" s="241"/>
      <c r="AO753" s="241"/>
      <c r="AP753" s="241"/>
      <c r="AQ753" s="241"/>
      <c r="AR753" s="241"/>
      <c r="AS753" s="241"/>
      <c r="AT753" s="241"/>
      <c r="AU753" s="241"/>
      <c r="AV753" s="241"/>
      <c r="AW753" s="241"/>
      <c r="AX753" s="241"/>
      <c r="AY753" s="241"/>
      <c r="AZ753" s="241"/>
      <c r="BA753" s="241"/>
      <c r="BB753" s="241"/>
      <c r="BC753" s="241"/>
      <c r="BD753" s="241"/>
      <c r="BE753" s="241"/>
      <c r="BF753" s="241"/>
      <c r="BG753" s="241"/>
      <c r="BH753" s="241"/>
      <c r="BI753" s="241"/>
      <c r="BJ753" s="241"/>
      <c r="BK753" s="241"/>
      <c r="BL753" s="241"/>
      <c r="BM753" s="241"/>
    </row>
    <row r="754" spans="1:65" ht="13.5" customHeight="1" x14ac:dyDescent="0.3">
      <c r="A754" s="241"/>
      <c r="B754" s="241"/>
      <c r="C754" s="241"/>
      <c r="D754" s="241"/>
      <c r="E754" s="241"/>
      <c r="F754" s="241"/>
      <c r="G754" s="241"/>
      <c r="H754" s="241"/>
      <c r="I754" s="241"/>
      <c r="J754" s="241"/>
      <c r="K754" s="241"/>
      <c r="L754" s="241"/>
      <c r="M754" s="241"/>
      <c r="N754" s="241"/>
      <c r="O754" s="241"/>
      <c r="P754" s="241"/>
      <c r="Q754" s="241"/>
      <c r="R754" s="241"/>
      <c r="S754" s="241"/>
      <c r="T754" s="241"/>
      <c r="U754" s="241"/>
      <c r="V754" s="241"/>
      <c r="W754" s="241"/>
      <c r="X754" s="241"/>
      <c r="Y754" s="241"/>
      <c r="Z754" s="241"/>
      <c r="AA754" s="241"/>
      <c r="AB754" s="241"/>
      <c r="AC754" s="241"/>
      <c r="AD754" s="241"/>
      <c r="AE754" s="241"/>
      <c r="AF754" s="241"/>
      <c r="AG754" s="241"/>
      <c r="AH754" s="241"/>
      <c r="AI754" s="241"/>
      <c r="AJ754" s="241"/>
      <c r="AK754" s="241"/>
      <c r="AL754" s="241"/>
      <c r="AM754" s="241"/>
      <c r="AN754" s="241"/>
      <c r="AO754" s="241"/>
      <c r="AP754" s="241"/>
      <c r="AQ754" s="241"/>
      <c r="AR754" s="241"/>
      <c r="AS754" s="241"/>
      <c r="AT754" s="241"/>
      <c r="AU754" s="241"/>
      <c r="AV754" s="241"/>
      <c r="AW754" s="241"/>
      <c r="AX754" s="241"/>
      <c r="AY754" s="241"/>
      <c r="AZ754" s="241"/>
      <c r="BA754" s="241"/>
      <c r="BB754" s="241"/>
      <c r="BC754" s="241"/>
      <c r="BD754" s="241"/>
      <c r="BE754" s="241"/>
      <c r="BF754" s="241"/>
      <c r="BG754" s="241"/>
      <c r="BH754" s="241"/>
      <c r="BI754" s="241"/>
      <c r="BJ754" s="241"/>
      <c r="BK754" s="241"/>
      <c r="BL754" s="241"/>
      <c r="BM754" s="241"/>
    </row>
    <row r="755" spans="1:65" ht="13.5" customHeight="1" x14ac:dyDescent="0.3">
      <c r="A755" s="241"/>
      <c r="B755" s="241"/>
      <c r="C755" s="241"/>
      <c r="D755" s="241"/>
      <c r="E755" s="241"/>
      <c r="F755" s="241"/>
      <c r="G755" s="241"/>
      <c r="H755" s="241"/>
      <c r="I755" s="241"/>
      <c r="J755" s="241"/>
      <c r="K755" s="241"/>
      <c r="L755" s="241"/>
      <c r="M755" s="241"/>
      <c r="N755" s="241"/>
      <c r="O755" s="241"/>
      <c r="P755" s="241"/>
      <c r="Q755" s="241"/>
      <c r="R755" s="241"/>
      <c r="S755" s="241"/>
      <c r="T755" s="241"/>
      <c r="U755" s="241"/>
      <c r="V755" s="241"/>
      <c r="W755" s="241"/>
      <c r="X755" s="241"/>
      <c r="Y755" s="241"/>
      <c r="Z755" s="241"/>
      <c r="AA755" s="241"/>
      <c r="AB755" s="241"/>
      <c r="AC755" s="241"/>
      <c r="AD755" s="241"/>
      <c r="AE755" s="241"/>
      <c r="AF755" s="241"/>
      <c r="AG755" s="241"/>
      <c r="AH755" s="241"/>
      <c r="AI755" s="241"/>
      <c r="AJ755" s="241"/>
      <c r="AK755" s="241"/>
      <c r="AL755" s="241"/>
      <c r="AM755" s="241"/>
      <c r="AN755" s="241"/>
      <c r="AO755" s="241"/>
      <c r="AP755" s="241"/>
      <c r="AQ755" s="241"/>
      <c r="AR755" s="241"/>
      <c r="AS755" s="241"/>
      <c r="AT755" s="241"/>
      <c r="AU755" s="241"/>
      <c r="AV755" s="241"/>
      <c r="AW755" s="241"/>
      <c r="AX755" s="241"/>
      <c r="AY755" s="241"/>
      <c r="AZ755" s="241"/>
      <c r="BA755" s="241"/>
      <c r="BB755" s="241"/>
      <c r="BC755" s="241"/>
      <c r="BD755" s="241"/>
      <c r="BE755" s="241"/>
      <c r="BF755" s="241"/>
      <c r="BG755" s="241"/>
      <c r="BH755" s="241"/>
      <c r="BI755" s="241"/>
      <c r="BJ755" s="241"/>
      <c r="BK755" s="241"/>
      <c r="BL755" s="241"/>
      <c r="BM755" s="241"/>
    </row>
    <row r="756" spans="1:65" ht="13.5" customHeight="1" x14ac:dyDescent="0.3">
      <c r="A756" s="241"/>
      <c r="B756" s="241"/>
      <c r="C756" s="241"/>
      <c r="D756" s="241"/>
      <c r="E756" s="241"/>
      <c r="F756" s="241"/>
      <c r="G756" s="241"/>
      <c r="H756" s="241"/>
      <c r="I756" s="241"/>
      <c r="J756" s="241"/>
      <c r="K756" s="241"/>
      <c r="L756" s="241"/>
      <c r="M756" s="241"/>
      <c r="N756" s="241"/>
      <c r="O756" s="241"/>
      <c r="P756" s="241"/>
      <c r="Q756" s="241"/>
      <c r="R756" s="241"/>
      <c r="S756" s="241"/>
      <c r="T756" s="241"/>
      <c r="U756" s="241"/>
      <c r="V756" s="241"/>
      <c r="W756" s="241"/>
      <c r="X756" s="241"/>
      <c r="Y756" s="241"/>
      <c r="Z756" s="241"/>
      <c r="AA756" s="241"/>
      <c r="AB756" s="241"/>
      <c r="AC756" s="241"/>
      <c r="AD756" s="241"/>
      <c r="AE756" s="241"/>
      <c r="AF756" s="241"/>
      <c r="AG756" s="241"/>
      <c r="AH756" s="241"/>
      <c r="AI756" s="241"/>
      <c r="AJ756" s="241"/>
      <c r="AK756" s="241"/>
      <c r="AL756" s="241"/>
      <c r="AM756" s="241"/>
      <c r="AN756" s="241"/>
      <c r="AO756" s="241"/>
      <c r="AP756" s="241"/>
      <c r="AQ756" s="241"/>
      <c r="AR756" s="241"/>
      <c r="AS756" s="241"/>
      <c r="AT756" s="241"/>
      <c r="AU756" s="241"/>
      <c r="AV756" s="241"/>
      <c r="AW756" s="241"/>
      <c r="AX756" s="241"/>
      <c r="AY756" s="241"/>
      <c r="AZ756" s="241"/>
      <c r="BA756" s="241"/>
      <c r="BB756" s="241"/>
      <c r="BC756" s="241"/>
      <c r="BD756" s="241"/>
      <c r="BE756" s="241"/>
      <c r="BF756" s="241"/>
      <c r="BG756" s="241"/>
      <c r="BH756" s="241"/>
      <c r="BI756" s="241"/>
      <c r="BJ756" s="241"/>
      <c r="BK756" s="241"/>
      <c r="BL756" s="241"/>
      <c r="BM756" s="241"/>
    </row>
    <row r="757" spans="1:65" ht="13.5" customHeight="1" x14ac:dyDescent="0.3">
      <c r="A757" s="241"/>
      <c r="B757" s="241"/>
      <c r="C757" s="241"/>
      <c r="D757" s="241"/>
      <c r="E757" s="241"/>
      <c r="F757" s="241"/>
      <c r="G757" s="241"/>
      <c r="H757" s="241"/>
      <c r="I757" s="241"/>
      <c r="J757" s="241"/>
      <c r="K757" s="241"/>
      <c r="L757" s="241"/>
      <c r="M757" s="241"/>
      <c r="N757" s="241"/>
      <c r="O757" s="241"/>
      <c r="P757" s="241"/>
      <c r="Q757" s="241"/>
      <c r="R757" s="241"/>
      <c r="S757" s="241"/>
      <c r="T757" s="241"/>
      <c r="U757" s="241"/>
      <c r="V757" s="241"/>
      <c r="W757" s="241"/>
      <c r="X757" s="241"/>
      <c r="Y757" s="241"/>
      <c r="Z757" s="241"/>
      <c r="AA757" s="241"/>
      <c r="AB757" s="241"/>
      <c r="AC757" s="241"/>
      <c r="AD757" s="241"/>
      <c r="AE757" s="241"/>
      <c r="AF757" s="241"/>
      <c r="AG757" s="241"/>
      <c r="AH757" s="241"/>
      <c r="AI757" s="241"/>
      <c r="AJ757" s="241"/>
      <c r="AK757" s="241"/>
      <c r="AL757" s="241"/>
      <c r="AM757" s="241"/>
      <c r="AN757" s="241"/>
      <c r="AO757" s="241"/>
      <c r="AP757" s="241"/>
      <c r="AQ757" s="241"/>
      <c r="AR757" s="241"/>
      <c r="AS757" s="241"/>
      <c r="AT757" s="241"/>
      <c r="AU757" s="241"/>
      <c r="AV757" s="241"/>
      <c r="AW757" s="241"/>
      <c r="AX757" s="241"/>
      <c r="AY757" s="241"/>
      <c r="AZ757" s="241"/>
      <c r="BA757" s="241"/>
      <c r="BB757" s="241"/>
      <c r="BC757" s="241"/>
      <c r="BD757" s="241"/>
      <c r="BE757" s="241"/>
      <c r="BF757" s="241"/>
      <c r="BG757" s="241"/>
      <c r="BH757" s="241"/>
      <c r="BI757" s="241"/>
      <c r="BJ757" s="241"/>
      <c r="BK757" s="241"/>
      <c r="BL757" s="241"/>
      <c r="BM757" s="241"/>
    </row>
    <row r="758" spans="1:65" ht="13.5" customHeight="1" x14ac:dyDescent="0.3">
      <c r="A758" s="241"/>
      <c r="B758" s="241"/>
      <c r="C758" s="241"/>
      <c r="D758" s="241"/>
      <c r="E758" s="241"/>
      <c r="F758" s="241"/>
      <c r="G758" s="241"/>
      <c r="H758" s="241"/>
      <c r="I758" s="241"/>
      <c r="J758" s="241"/>
      <c r="K758" s="241"/>
      <c r="L758" s="241"/>
      <c r="M758" s="241"/>
      <c r="N758" s="241"/>
      <c r="O758" s="241"/>
      <c r="P758" s="241"/>
      <c r="Q758" s="241"/>
      <c r="R758" s="241"/>
      <c r="S758" s="241"/>
      <c r="T758" s="241"/>
      <c r="U758" s="241"/>
      <c r="V758" s="241"/>
      <c r="W758" s="241"/>
      <c r="X758" s="241"/>
      <c r="Y758" s="241"/>
      <c r="Z758" s="241"/>
      <c r="AA758" s="241"/>
      <c r="AB758" s="241"/>
      <c r="AC758" s="241"/>
      <c r="AD758" s="241"/>
      <c r="AE758" s="241"/>
      <c r="AF758" s="241"/>
      <c r="AG758" s="241"/>
      <c r="AH758" s="241"/>
      <c r="AI758" s="241"/>
      <c r="AJ758" s="241"/>
      <c r="AK758" s="241"/>
      <c r="AL758" s="241"/>
      <c r="AM758" s="241"/>
      <c r="AN758" s="241"/>
      <c r="AO758" s="241"/>
      <c r="AP758" s="241"/>
      <c r="AQ758" s="241"/>
      <c r="AR758" s="241"/>
      <c r="AS758" s="241"/>
      <c r="AT758" s="241"/>
      <c r="AU758" s="241"/>
      <c r="AV758" s="241"/>
      <c r="AW758" s="241"/>
      <c r="AX758" s="241"/>
      <c r="AY758" s="241"/>
      <c r="AZ758" s="241"/>
      <c r="BA758" s="241"/>
      <c r="BB758" s="241"/>
      <c r="BC758" s="241"/>
      <c r="BD758" s="241"/>
      <c r="BE758" s="241"/>
      <c r="BF758" s="241"/>
      <c r="BG758" s="241"/>
      <c r="BH758" s="241"/>
      <c r="BI758" s="241"/>
      <c r="BJ758" s="241"/>
      <c r="BK758" s="241"/>
      <c r="BL758" s="241"/>
      <c r="BM758" s="241"/>
    </row>
    <row r="759" spans="1:65" ht="13.5" customHeight="1" x14ac:dyDescent="0.3">
      <c r="A759" s="241"/>
      <c r="B759" s="241"/>
      <c r="C759" s="241"/>
      <c r="D759" s="241"/>
      <c r="E759" s="241"/>
      <c r="F759" s="241"/>
      <c r="G759" s="241"/>
      <c r="H759" s="241"/>
      <c r="I759" s="241"/>
      <c r="J759" s="241"/>
      <c r="K759" s="241"/>
      <c r="L759" s="241"/>
      <c r="M759" s="241"/>
      <c r="N759" s="241"/>
      <c r="O759" s="241"/>
      <c r="P759" s="241"/>
      <c r="Q759" s="241"/>
      <c r="R759" s="241"/>
      <c r="S759" s="241"/>
      <c r="T759" s="241"/>
      <c r="U759" s="241"/>
      <c r="V759" s="241"/>
      <c r="W759" s="241"/>
      <c r="X759" s="241"/>
      <c r="Y759" s="241"/>
      <c r="Z759" s="241"/>
      <c r="AA759" s="241"/>
      <c r="AB759" s="241"/>
      <c r="AC759" s="241"/>
      <c r="AD759" s="241"/>
      <c r="AE759" s="241"/>
      <c r="AF759" s="241"/>
      <c r="AG759" s="241"/>
      <c r="AH759" s="241"/>
      <c r="AI759" s="241"/>
      <c r="AJ759" s="241"/>
      <c r="AK759" s="241"/>
      <c r="AL759" s="241"/>
      <c r="AM759" s="241"/>
      <c r="AN759" s="241"/>
      <c r="AO759" s="241"/>
      <c r="AP759" s="241"/>
      <c r="AQ759" s="241"/>
      <c r="AR759" s="241"/>
      <c r="AS759" s="241"/>
      <c r="AT759" s="241"/>
      <c r="AU759" s="241"/>
      <c r="AV759" s="241"/>
      <c r="AW759" s="241"/>
      <c r="AX759" s="241"/>
      <c r="AY759" s="241"/>
      <c r="AZ759" s="241"/>
      <c r="BA759" s="241"/>
      <c r="BB759" s="241"/>
      <c r="BC759" s="241"/>
      <c r="BD759" s="241"/>
      <c r="BE759" s="241"/>
      <c r="BF759" s="241"/>
      <c r="BG759" s="241"/>
      <c r="BH759" s="241"/>
      <c r="BI759" s="241"/>
      <c r="BJ759" s="241"/>
      <c r="BK759" s="241"/>
      <c r="BL759" s="241"/>
      <c r="BM759" s="241"/>
    </row>
    <row r="760" spans="1:65" ht="13.5" customHeight="1" x14ac:dyDescent="0.3">
      <c r="A760" s="241"/>
      <c r="B760" s="241"/>
      <c r="C760" s="241"/>
      <c r="D760" s="241"/>
      <c r="E760" s="241"/>
      <c r="F760" s="241"/>
      <c r="G760" s="241"/>
      <c r="H760" s="241"/>
      <c r="I760" s="241"/>
      <c r="J760" s="241"/>
      <c r="K760" s="241"/>
      <c r="L760" s="241"/>
      <c r="M760" s="241"/>
      <c r="N760" s="241"/>
      <c r="O760" s="241"/>
      <c r="P760" s="241"/>
      <c r="Q760" s="241"/>
      <c r="R760" s="241"/>
      <c r="S760" s="241"/>
      <c r="T760" s="241"/>
      <c r="U760" s="241"/>
      <c r="V760" s="241"/>
      <c r="W760" s="241"/>
      <c r="X760" s="241"/>
      <c r="Y760" s="241"/>
      <c r="Z760" s="241"/>
      <c r="AA760" s="241"/>
      <c r="AB760" s="241"/>
      <c r="AC760" s="241"/>
      <c r="AD760" s="241"/>
      <c r="AE760" s="241"/>
      <c r="AF760" s="241"/>
      <c r="AG760" s="241"/>
      <c r="AH760" s="241"/>
      <c r="AI760" s="241"/>
      <c r="AJ760" s="241"/>
      <c r="AK760" s="241"/>
      <c r="AL760" s="241"/>
      <c r="AM760" s="241"/>
      <c r="AN760" s="241"/>
      <c r="AO760" s="241"/>
      <c r="AP760" s="241"/>
      <c r="AQ760" s="241"/>
      <c r="AR760" s="241"/>
      <c r="AS760" s="241"/>
      <c r="AT760" s="241"/>
      <c r="AU760" s="241"/>
      <c r="AV760" s="241"/>
      <c r="AW760" s="241"/>
      <c r="AX760" s="241"/>
      <c r="AY760" s="241"/>
      <c r="AZ760" s="241"/>
      <c r="BA760" s="241"/>
      <c r="BB760" s="241"/>
      <c r="BC760" s="241"/>
      <c r="BD760" s="241"/>
      <c r="BE760" s="241"/>
      <c r="BF760" s="241"/>
      <c r="BG760" s="241"/>
      <c r="BH760" s="241"/>
      <c r="BI760" s="241"/>
      <c r="BJ760" s="241"/>
      <c r="BK760" s="241"/>
      <c r="BL760" s="241"/>
      <c r="BM760" s="241"/>
    </row>
    <row r="761" spans="1:65" ht="13.5" customHeight="1" x14ac:dyDescent="0.3">
      <c r="A761" s="241"/>
      <c r="B761" s="241"/>
      <c r="C761" s="241"/>
      <c r="D761" s="241"/>
      <c r="E761" s="241"/>
      <c r="F761" s="241"/>
      <c r="G761" s="241"/>
      <c r="H761" s="241"/>
      <c r="I761" s="241"/>
      <c r="J761" s="241"/>
      <c r="K761" s="241"/>
      <c r="L761" s="241"/>
      <c r="M761" s="241"/>
      <c r="N761" s="241"/>
      <c r="O761" s="241"/>
      <c r="P761" s="241"/>
      <c r="Q761" s="241"/>
      <c r="R761" s="241"/>
      <c r="S761" s="241"/>
      <c r="T761" s="241"/>
      <c r="U761" s="241"/>
      <c r="V761" s="241"/>
      <c r="W761" s="241"/>
      <c r="X761" s="241"/>
      <c r="Y761" s="241"/>
      <c r="Z761" s="241"/>
      <c r="AA761" s="241"/>
      <c r="AB761" s="241"/>
      <c r="AC761" s="241"/>
      <c r="AD761" s="241"/>
      <c r="AE761" s="241"/>
      <c r="AF761" s="241"/>
      <c r="AG761" s="241"/>
      <c r="AH761" s="241"/>
      <c r="AI761" s="241"/>
      <c r="AJ761" s="241"/>
      <c r="AK761" s="241"/>
      <c r="AL761" s="241"/>
      <c r="AM761" s="241"/>
      <c r="AN761" s="241"/>
      <c r="AO761" s="241"/>
      <c r="AP761" s="241"/>
      <c r="AQ761" s="241"/>
      <c r="AR761" s="241"/>
      <c r="AS761" s="241"/>
      <c r="AT761" s="241"/>
      <c r="AU761" s="241"/>
      <c r="AV761" s="241"/>
      <c r="AW761" s="241"/>
      <c r="AX761" s="241"/>
      <c r="AY761" s="241"/>
      <c r="AZ761" s="241"/>
      <c r="BA761" s="241"/>
      <c r="BB761" s="241"/>
      <c r="BC761" s="241"/>
      <c r="BD761" s="241"/>
      <c r="BE761" s="241"/>
      <c r="BF761" s="241"/>
      <c r="BG761" s="241"/>
      <c r="BH761" s="241"/>
      <c r="BI761" s="241"/>
      <c r="BJ761" s="241"/>
      <c r="BK761" s="241"/>
      <c r="BL761" s="241"/>
      <c r="BM761" s="241"/>
    </row>
    <row r="762" spans="1:65" ht="13.5" customHeight="1" x14ac:dyDescent="0.3">
      <c r="A762" s="241"/>
      <c r="B762" s="241"/>
      <c r="C762" s="241"/>
      <c r="D762" s="241"/>
      <c r="E762" s="241"/>
      <c r="F762" s="241"/>
      <c r="G762" s="241"/>
      <c r="H762" s="241"/>
      <c r="I762" s="241"/>
      <c r="J762" s="241"/>
      <c r="K762" s="241"/>
      <c r="L762" s="241"/>
      <c r="M762" s="241"/>
      <c r="N762" s="241"/>
      <c r="O762" s="241"/>
      <c r="P762" s="241"/>
      <c r="Q762" s="241"/>
      <c r="R762" s="241"/>
      <c r="S762" s="241"/>
      <c r="T762" s="241"/>
      <c r="U762" s="241"/>
      <c r="V762" s="241"/>
      <c r="W762" s="241"/>
      <c r="X762" s="241"/>
      <c r="Y762" s="241"/>
      <c r="Z762" s="241"/>
      <c r="AA762" s="241"/>
      <c r="AB762" s="241"/>
      <c r="AC762" s="241"/>
      <c r="AD762" s="241"/>
      <c r="AE762" s="241"/>
      <c r="AF762" s="241"/>
      <c r="AG762" s="241"/>
      <c r="AH762" s="241"/>
      <c r="AI762" s="241"/>
      <c r="AJ762" s="241"/>
      <c r="AK762" s="241"/>
      <c r="AL762" s="241"/>
      <c r="AM762" s="241"/>
      <c r="AN762" s="241"/>
      <c r="AO762" s="241"/>
      <c r="AP762" s="241"/>
      <c r="AQ762" s="241"/>
      <c r="AR762" s="241"/>
      <c r="AS762" s="241"/>
      <c r="AT762" s="241"/>
      <c r="AU762" s="241"/>
      <c r="AV762" s="241"/>
      <c r="AW762" s="241"/>
      <c r="AX762" s="241"/>
      <c r="AY762" s="241"/>
      <c r="AZ762" s="241"/>
      <c r="BA762" s="241"/>
      <c r="BB762" s="241"/>
      <c r="BC762" s="241"/>
      <c r="BD762" s="241"/>
      <c r="BE762" s="241"/>
      <c r="BF762" s="241"/>
      <c r="BG762" s="241"/>
      <c r="BH762" s="241"/>
      <c r="BI762" s="241"/>
      <c r="BJ762" s="241"/>
      <c r="BK762" s="241"/>
      <c r="BL762" s="241"/>
      <c r="BM762" s="241"/>
    </row>
    <row r="763" spans="1:65" ht="13.5" customHeight="1" x14ac:dyDescent="0.3">
      <c r="A763" s="241"/>
      <c r="B763" s="241"/>
      <c r="C763" s="241"/>
      <c r="D763" s="241"/>
      <c r="E763" s="241"/>
      <c r="F763" s="241"/>
      <c r="G763" s="241"/>
      <c r="H763" s="241"/>
      <c r="I763" s="241"/>
      <c r="J763" s="241"/>
      <c r="K763" s="241"/>
      <c r="L763" s="241"/>
      <c r="M763" s="241"/>
      <c r="N763" s="241"/>
      <c r="O763" s="241"/>
      <c r="P763" s="241"/>
      <c r="Q763" s="241"/>
      <c r="R763" s="241"/>
      <c r="S763" s="241"/>
      <c r="T763" s="241"/>
      <c r="U763" s="241"/>
      <c r="V763" s="241"/>
      <c r="W763" s="241"/>
      <c r="X763" s="241"/>
      <c r="Y763" s="241"/>
      <c r="Z763" s="241"/>
      <c r="AA763" s="241"/>
      <c r="AB763" s="241"/>
      <c r="AC763" s="241"/>
      <c r="AD763" s="241"/>
      <c r="AE763" s="241"/>
      <c r="AF763" s="241"/>
      <c r="AG763" s="241"/>
      <c r="AH763" s="241"/>
      <c r="AI763" s="241"/>
      <c r="AJ763" s="241"/>
      <c r="AK763" s="241"/>
      <c r="AL763" s="241"/>
      <c r="AM763" s="241"/>
      <c r="AN763" s="241"/>
      <c r="AO763" s="241"/>
      <c r="AP763" s="241"/>
      <c r="AQ763" s="241"/>
      <c r="AR763" s="241"/>
      <c r="AS763" s="241"/>
      <c r="AT763" s="241"/>
      <c r="AU763" s="241"/>
      <c r="AV763" s="241"/>
      <c r="AW763" s="241"/>
      <c r="AX763" s="241"/>
      <c r="AY763" s="241"/>
      <c r="AZ763" s="241"/>
      <c r="BA763" s="241"/>
      <c r="BB763" s="241"/>
      <c r="BC763" s="241"/>
      <c r="BD763" s="241"/>
      <c r="BE763" s="241"/>
      <c r="BF763" s="241"/>
      <c r="BG763" s="241"/>
      <c r="BH763" s="241"/>
      <c r="BI763" s="241"/>
      <c r="BJ763" s="241"/>
      <c r="BK763" s="241"/>
      <c r="BL763" s="241"/>
      <c r="BM763" s="241"/>
    </row>
    <row r="764" spans="1:65" ht="13.5" customHeight="1" x14ac:dyDescent="0.3">
      <c r="A764" s="241"/>
      <c r="B764" s="241"/>
      <c r="C764" s="241"/>
      <c r="D764" s="241"/>
      <c r="E764" s="241"/>
      <c r="F764" s="241"/>
      <c r="G764" s="241"/>
      <c r="H764" s="241"/>
      <c r="I764" s="241"/>
      <c r="J764" s="241"/>
      <c r="K764" s="241"/>
      <c r="L764" s="241"/>
      <c r="M764" s="241"/>
      <c r="N764" s="241"/>
      <c r="O764" s="241"/>
      <c r="P764" s="241"/>
      <c r="Q764" s="241"/>
      <c r="R764" s="241"/>
      <c r="S764" s="241"/>
      <c r="T764" s="241"/>
      <c r="U764" s="241"/>
      <c r="V764" s="241"/>
      <c r="W764" s="241"/>
      <c r="X764" s="241"/>
      <c r="Y764" s="241"/>
      <c r="Z764" s="241"/>
      <c r="AA764" s="241"/>
      <c r="AB764" s="241"/>
      <c r="AC764" s="241"/>
      <c r="AD764" s="241"/>
      <c r="AE764" s="241"/>
      <c r="AF764" s="241"/>
      <c r="AG764" s="241"/>
      <c r="AH764" s="241"/>
      <c r="AI764" s="241"/>
      <c r="AJ764" s="241"/>
      <c r="AK764" s="241"/>
      <c r="AL764" s="241"/>
      <c r="AM764" s="241"/>
      <c r="AN764" s="241"/>
      <c r="AO764" s="241"/>
      <c r="AP764" s="241"/>
      <c r="AQ764" s="241"/>
      <c r="AR764" s="241"/>
      <c r="AS764" s="241"/>
      <c r="AT764" s="241"/>
      <c r="AU764" s="241"/>
      <c r="AV764" s="241"/>
      <c r="AW764" s="241"/>
      <c r="AX764" s="241"/>
      <c r="AY764" s="241"/>
      <c r="AZ764" s="241"/>
      <c r="BA764" s="241"/>
      <c r="BB764" s="241"/>
      <c r="BC764" s="241"/>
      <c r="BD764" s="241"/>
      <c r="BE764" s="241"/>
      <c r="BF764" s="241"/>
      <c r="BG764" s="241"/>
      <c r="BH764" s="241"/>
      <c r="BI764" s="241"/>
      <c r="BJ764" s="241"/>
      <c r="BK764" s="241"/>
      <c r="BL764" s="241"/>
      <c r="BM764" s="241"/>
    </row>
    <row r="765" spans="1:65" ht="13.5" customHeight="1" x14ac:dyDescent="0.3">
      <c r="A765" s="241"/>
      <c r="B765" s="241"/>
      <c r="C765" s="241"/>
      <c r="D765" s="241"/>
      <c r="E765" s="241"/>
      <c r="F765" s="241"/>
      <c r="G765" s="241"/>
      <c r="H765" s="241"/>
      <c r="I765" s="241"/>
      <c r="J765" s="241"/>
      <c r="K765" s="241"/>
      <c r="L765" s="241"/>
      <c r="M765" s="241"/>
      <c r="N765" s="241"/>
      <c r="O765" s="241"/>
      <c r="P765" s="241"/>
      <c r="Q765" s="241"/>
      <c r="R765" s="241"/>
      <c r="S765" s="241"/>
      <c r="T765" s="241"/>
      <c r="U765" s="241"/>
      <c r="V765" s="241"/>
      <c r="W765" s="241"/>
      <c r="X765" s="241"/>
      <c r="Y765" s="241"/>
      <c r="Z765" s="241"/>
      <c r="AA765" s="241"/>
      <c r="AB765" s="241"/>
      <c r="AC765" s="241"/>
      <c r="AD765" s="241"/>
      <c r="AE765" s="241"/>
      <c r="AF765" s="241"/>
      <c r="AG765" s="241"/>
      <c r="AH765" s="241"/>
      <c r="AI765" s="241"/>
      <c r="AJ765" s="241"/>
      <c r="AK765" s="241"/>
      <c r="AL765" s="241"/>
      <c r="AM765" s="241"/>
      <c r="AN765" s="241"/>
      <c r="AO765" s="241"/>
      <c r="AP765" s="241"/>
      <c r="AQ765" s="241"/>
      <c r="AR765" s="241"/>
      <c r="AS765" s="241"/>
      <c r="AT765" s="241"/>
      <c r="AU765" s="241"/>
      <c r="AV765" s="241"/>
      <c r="AW765" s="241"/>
      <c r="AX765" s="241"/>
      <c r="AY765" s="241"/>
      <c r="AZ765" s="241"/>
      <c r="BA765" s="241"/>
      <c r="BB765" s="241"/>
      <c r="BC765" s="241"/>
      <c r="BD765" s="241"/>
      <c r="BE765" s="241"/>
      <c r="BF765" s="241"/>
      <c r="BG765" s="241"/>
      <c r="BH765" s="241"/>
      <c r="BI765" s="241"/>
      <c r="BJ765" s="241"/>
      <c r="BK765" s="241"/>
      <c r="BL765" s="241"/>
      <c r="BM765" s="241"/>
    </row>
    <row r="766" spans="1:65" ht="13.5" customHeight="1" x14ac:dyDescent="0.3">
      <c r="A766" s="241"/>
      <c r="B766" s="241"/>
      <c r="C766" s="241"/>
      <c r="D766" s="241"/>
      <c r="E766" s="241"/>
      <c r="F766" s="241"/>
      <c r="G766" s="241"/>
      <c r="H766" s="241"/>
      <c r="I766" s="241"/>
      <c r="J766" s="241"/>
      <c r="K766" s="241"/>
      <c r="L766" s="241"/>
      <c r="M766" s="241"/>
      <c r="N766" s="241"/>
      <c r="O766" s="241"/>
      <c r="P766" s="241"/>
      <c r="Q766" s="241"/>
      <c r="R766" s="241"/>
      <c r="S766" s="241"/>
      <c r="T766" s="241"/>
      <c r="U766" s="241"/>
      <c r="V766" s="241"/>
      <c r="W766" s="241"/>
      <c r="X766" s="241"/>
      <c r="Y766" s="241"/>
      <c r="Z766" s="241"/>
      <c r="AA766" s="241"/>
      <c r="AB766" s="241"/>
      <c r="AC766" s="241"/>
      <c r="AD766" s="241"/>
      <c r="AE766" s="241"/>
      <c r="AF766" s="241"/>
      <c r="AG766" s="241"/>
      <c r="AH766" s="241"/>
      <c r="AI766" s="241"/>
      <c r="AJ766" s="241"/>
      <c r="AK766" s="241"/>
      <c r="AL766" s="241"/>
      <c r="AM766" s="241"/>
      <c r="AN766" s="241"/>
      <c r="AO766" s="241"/>
      <c r="AP766" s="241"/>
      <c r="AQ766" s="241"/>
      <c r="AR766" s="241"/>
      <c r="AS766" s="241"/>
      <c r="AT766" s="241"/>
      <c r="AU766" s="241"/>
      <c r="AV766" s="241"/>
      <c r="AW766" s="241"/>
      <c r="AX766" s="241"/>
      <c r="AY766" s="241"/>
      <c r="AZ766" s="241"/>
      <c r="BA766" s="241"/>
      <c r="BB766" s="241"/>
      <c r="BC766" s="241"/>
      <c r="BD766" s="241"/>
      <c r="BE766" s="241"/>
      <c r="BF766" s="241"/>
      <c r="BG766" s="241"/>
      <c r="BH766" s="241"/>
      <c r="BI766" s="241"/>
      <c r="BJ766" s="241"/>
      <c r="BK766" s="241"/>
      <c r="BL766" s="241"/>
      <c r="BM766" s="241"/>
    </row>
    <row r="767" spans="1:65" ht="13.5" customHeight="1" x14ac:dyDescent="0.3">
      <c r="A767" s="241"/>
      <c r="B767" s="241"/>
      <c r="C767" s="241"/>
      <c r="D767" s="241"/>
      <c r="E767" s="241"/>
      <c r="F767" s="241"/>
      <c r="G767" s="241"/>
      <c r="H767" s="241"/>
      <c r="I767" s="241"/>
      <c r="J767" s="241"/>
      <c r="K767" s="241"/>
      <c r="L767" s="241"/>
      <c r="M767" s="241"/>
      <c r="N767" s="241"/>
      <c r="O767" s="241"/>
      <c r="P767" s="241"/>
      <c r="Q767" s="241"/>
      <c r="R767" s="241"/>
      <c r="S767" s="241"/>
      <c r="T767" s="241"/>
      <c r="U767" s="241"/>
      <c r="V767" s="241"/>
      <c r="W767" s="241"/>
      <c r="X767" s="241"/>
      <c r="Y767" s="241"/>
      <c r="Z767" s="241"/>
      <c r="AA767" s="241"/>
      <c r="AB767" s="241"/>
      <c r="AC767" s="241"/>
      <c r="AD767" s="241"/>
      <c r="AE767" s="241"/>
      <c r="AF767" s="241"/>
      <c r="AG767" s="241"/>
      <c r="AH767" s="241"/>
      <c r="AI767" s="241"/>
      <c r="AJ767" s="241"/>
      <c r="AK767" s="241"/>
      <c r="AL767" s="241"/>
      <c r="AM767" s="241"/>
      <c r="AN767" s="241"/>
      <c r="AO767" s="241"/>
      <c r="AP767" s="241"/>
      <c r="AQ767" s="241"/>
      <c r="AR767" s="241"/>
      <c r="AS767" s="241"/>
      <c r="AT767" s="241"/>
      <c r="AU767" s="241"/>
      <c r="AV767" s="241"/>
      <c r="AW767" s="241"/>
      <c r="AX767" s="241"/>
      <c r="AY767" s="241"/>
      <c r="AZ767" s="241"/>
      <c r="BA767" s="241"/>
      <c r="BB767" s="241"/>
      <c r="BC767" s="241"/>
      <c r="BD767" s="241"/>
      <c r="BE767" s="241"/>
      <c r="BF767" s="241"/>
      <c r="BG767" s="241"/>
      <c r="BH767" s="241"/>
      <c r="BI767" s="241"/>
      <c r="BJ767" s="241"/>
      <c r="BK767" s="241"/>
      <c r="BL767" s="241"/>
      <c r="BM767" s="241"/>
    </row>
    <row r="768" spans="1:65" ht="13.5" customHeight="1" x14ac:dyDescent="0.3">
      <c r="A768" s="241"/>
      <c r="B768" s="241"/>
      <c r="C768" s="241"/>
      <c r="D768" s="241"/>
      <c r="E768" s="241"/>
      <c r="F768" s="241"/>
      <c r="G768" s="241"/>
      <c r="H768" s="241"/>
      <c r="I768" s="241"/>
      <c r="J768" s="241"/>
      <c r="K768" s="241"/>
      <c r="L768" s="241"/>
      <c r="M768" s="241"/>
      <c r="N768" s="241"/>
      <c r="O768" s="241"/>
      <c r="P768" s="241"/>
      <c r="Q768" s="241"/>
      <c r="R768" s="241"/>
      <c r="S768" s="241"/>
      <c r="T768" s="241"/>
      <c r="U768" s="241"/>
      <c r="V768" s="241"/>
      <c r="W768" s="241"/>
      <c r="X768" s="241"/>
      <c r="Y768" s="241"/>
      <c r="Z768" s="241"/>
      <c r="AA768" s="241"/>
      <c r="AB768" s="241"/>
      <c r="AC768" s="241"/>
      <c r="AD768" s="241"/>
      <c r="AE768" s="241"/>
      <c r="AF768" s="241"/>
      <c r="AG768" s="241"/>
      <c r="AH768" s="241"/>
      <c r="AI768" s="241"/>
      <c r="AJ768" s="241"/>
      <c r="AK768" s="241"/>
      <c r="AL768" s="241"/>
      <c r="AM768" s="241"/>
      <c r="AN768" s="241"/>
      <c r="AO768" s="241"/>
      <c r="AP768" s="241"/>
      <c r="AQ768" s="241"/>
      <c r="AR768" s="241"/>
      <c r="AS768" s="241"/>
      <c r="AT768" s="241"/>
      <c r="AU768" s="241"/>
      <c r="AV768" s="241"/>
      <c r="AW768" s="241"/>
      <c r="AX768" s="241"/>
      <c r="AY768" s="241"/>
      <c r="AZ768" s="241"/>
      <c r="BA768" s="241"/>
      <c r="BB768" s="241"/>
      <c r="BC768" s="241"/>
      <c r="BD768" s="241"/>
      <c r="BE768" s="241"/>
      <c r="BF768" s="241"/>
      <c r="BG768" s="241"/>
      <c r="BH768" s="241"/>
      <c r="BI768" s="241"/>
      <c r="BJ768" s="241"/>
      <c r="BK768" s="241"/>
      <c r="BL768" s="241"/>
      <c r="BM768" s="241"/>
    </row>
    <row r="769" spans="1:65" ht="13.5" customHeight="1" x14ac:dyDescent="0.3">
      <c r="A769" s="241"/>
      <c r="B769" s="241"/>
      <c r="C769" s="241"/>
      <c r="D769" s="241"/>
      <c r="E769" s="241"/>
      <c r="F769" s="241"/>
      <c r="G769" s="241"/>
      <c r="H769" s="241"/>
      <c r="I769" s="241"/>
      <c r="J769" s="241"/>
      <c r="K769" s="241"/>
      <c r="L769" s="241"/>
      <c r="M769" s="241"/>
      <c r="N769" s="241"/>
      <c r="O769" s="241"/>
      <c r="P769" s="241"/>
      <c r="Q769" s="241"/>
      <c r="R769" s="241"/>
      <c r="S769" s="241"/>
      <c r="T769" s="241"/>
      <c r="U769" s="241"/>
      <c r="V769" s="241"/>
      <c r="W769" s="241"/>
      <c r="X769" s="241"/>
      <c r="Y769" s="241"/>
      <c r="Z769" s="241"/>
      <c r="AA769" s="241"/>
      <c r="AB769" s="241"/>
      <c r="AC769" s="241"/>
      <c r="AD769" s="241"/>
      <c r="AE769" s="241"/>
      <c r="AF769" s="241"/>
      <c r="AG769" s="241"/>
      <c r="AH769" s="241"/>
      <c r="AI769" s="241"/>
      <c r="AJ769" s="241"/>
      <c r="AK769" s="241"/>
      <c r="AL769" s="241"/>
      <c r="AM769" s="241"/>
      <c r="AN769" s="241"/>
      <c r="AO769" s="241"/>
      <c r="AP769" s="241"/>
      <c r="AQ769" s="241"/>
      <c r="AR769" s="241"/>
      <c r="AS769" s="241"/>
      <c r="AT769" s="241"/>
      <c r="AU769" s="241"/>
      <c r="AV769" s="241"/>
      <c r="AW769" s="241"/>
      <c r="AX769" s="241"/>
      <c r="AY769" s="241"/>
      <c r="AZ769" s="241"/>
      <c r="BA769" s="241"/>
      <c r="BB769" s="241"/>
      <c r="BC769" s="241"/>
      <c r="BD769" s="241"/>
      <c r="BE769" s="241"/>
      <c r="BF769" s="241"/>
      <c r="BG769" s="241"/>
      <c r="BH769" s="241"/>
      <c r="BI769" s="241"/>
      <c r="BJ769" s="241"/>
      <c r="BK769" s="241"/>
      <c r="BL769" s="241"/>
      <c r="BM769" s="241"/>
    </row>
    <row r="770" spans="1:65" ht="13.5" customHeight="1" x14ac:dyDescent="0.3">
      <c r="A770" s="241"/>
      <c r="B770" s="241"/>
      <c r="C770" s="241"/>
      <c r="D770" s="241"/>
      <c r="E770" s="241"/>
      <c r="F770" s="241"/>
      <c r="G770" s="241"/>
      <c r="H770" s="241"/>
      <c r="I770" s="241"/>
      <c r="J770" s="241"/>
      <c r="K770" s="241"/>
      <c r="L770" s="241"/>
      <c r="M770" s="241"/>
      <c r="N770" s="241"/>
      <c r="O770" s="241"/>
      <c r="P770" s="241"/>
      <c r="Q770" s="241"/>
      <c r="R770" s="241"/>
      <c r="S770" s="241"/>
      <c r="T770" s="241"/>
      <c r="U770" s="241"/>
      <c r="V770" s="241"/>
      <c r="W770" s="241"/>
      <c r="X770" s="241"/>
      <c r="Y770" s="241"/>
      <c r="Z770" s="241"/>
      <c r="AA770" s="241"/>
      <c r="AB770" s="241"/>
      <c r="AC770" s="241"/>
      <c r="AD770" s="241"/>
      <c r="AE770" s="241"/>
      <c r="AF770" s="241"/>
      <c r="AG770" s="241"/>
      <c r="AH770" s="241"/>
      <c r="AI770" s="241"/>
      <c r="AJ770" s="241"/>
      <c r="AK770" s="241"/>
      <c r="AL770" s="241"/>
      <c r="AM770" s="241"/>
      <c r="AN770" s="241"/>
      <c r="AO770" s="241"/>
      <c r="AP770" s="241"/>
      <c r="AQ770" s="241"/>
      <c r="AR770" s="241"/>
      <c r="AS770" s="241"/>
      <c r="AT770" s="241"/>
      <c r="AU770" s="241"/>
      <c r="AV770" s="241"/>
      <c r="AW770" s="241"/>
      <c r="AX770" s="241"/>
      <c r="AY770" s="241"/>
      <c r="AZ770" s="241"/>
      <c r="BA770" s="241"/>
      <c r="BB770" s="241"/>
      <c r="BC770" s="241"/>
      <c r="BD770" s="241"/>
      <c r="BE770" s="241"/>
      <c r="BF770" s="241"/>
      <c r="BG770" s="241"/>
      <c r="BH770" s="241"/>
      <c r="BI770" s="241"/>
      <c r="BJ770" s="241"/>
      <c r="BK770" s="241"/>
      <c r="BL770" s="241"/>
      <c r="BM770" s="241"/>
    </row>
    <row r="771" spans="1:65" ht="13.5" customHeight="1" x14ac:dyDescent="0.3">
      <c r="A771" s="241"/>
      <c r="B771" s="241"/>
      <c r="C771" s="241"/>
      <c r="D771" s="241"/>
      <c r="E771" s="241"/>
      <c r="F771" s="241"/>
      <c r="G771" s="241"/>
      <c r="H771" s="241"/>
      <c r="I771" s="241"/>
      <c r="J771" s="241"/>
      <c r="K771" s="241"/>
      <c r="L771" s="241"/>
      <c r="M771" s="241"/>
      <c r="N771" s="241"/>
      <c r="O771" s="241"/>
      <c r="P771" s="241"/>
      <c r="Q771" s="241"/>
      <c r="R771" s="241"/>
      <c r="S771" s="241"/>
      <c r="T771" s="241"/>
      <c r="U771" s="241"/>
      <c r="V771" s="241"/>
      <c r="W771" s="241"/>
      <c r="X771" s="241"/>
      <c r="Y771" s="241"/>
      <c r="Z771" s="241"/>
      <c r="AA771" s="241"/>
      <c r="AB771" s="241"/>
      <c r="AC771" s="241"/>
      <c r="AD771" s="241"/>
      <c r="AE771" s="241"/>
      <c r="AF771" s="241"/>
      <c r="AG771" s="241"/>
      <c r="AH771" s="241"/>
      <c r="AI771" s="241"/>
      <c r="AJ771" s="241"/>
      <c r="AK771" s="241"/>
      <c r="AL771" s="241"/>
      <c r="AM771" s="241"/>
      <c r="AN771" s="241"/>
      <c r="AO771" s="241"/>
      <c r="AP771" s="241"/>
      <c r="AQ771" s="241"/>
      <c r="AR771" s="241"/>
      <c r="AS771" s="241"/>
      <c r="AT771" s="241"/>
      <c r="AU771" s="241"/>
      <c r="AV771" s="241"/>
      <c r="AW771" s="241"/>
      <c r="AX771" s="241"/>
      <c r="AY771" s="241"/>
      <c r="AZ771" s="241"/>
      <c r="BA771" s="241"/>
      <c r="BB771" s="241"/>
      <c r="BC771" s="241"/>
      <c r="BD771" s="241"/>
      <c r="BE771" s="241"/>
      <c r="BF771" s="241"/>
      <c r="BG771" s="241"/>
      <c r="BH771" s="241"/>
      <c r="BI771" s="241"/>
      <c r="BJ771" s="241"/>
      <c r="BK771" s="241"/>
      <c r="BL771" s="241"/>
      <c r="BM771" s="241"/>
    </row>
    <row r="772" spans="1:65" ht="13.5" customHeight="1" x14ac:dyDescent="0.3">
      <c r="A772" s="241"/>
      <c r="B772" s="241"/>
      <c r="C772" s="241"/>
      <c r="D772" s="241"/>
      <c r="E772" s="241"/>
      <c r="F772" s="241"/>
      <c r="G772" s="241"/>
      <c r="H772" s="241"/>
      <c r="I772" s="241"/>
      <c r="J772" s="241"/>
      <c r="K772" s="241"/>
      <c r="L772" s="241"/>
      <c r="M772" s="241"/>
      <c r="N772" s="241"/>
      <c r="O772" s="241"/>
      <c r="P772" s="241"/>
      <c r="Q772" s="241"/>
      <c r="R772" s="241"/>
      <c r="S772" s="241"/>
      <c r="T772" s="241"/>
      <c r="U772" s="241"/>
      <c r="V772" s="241"/>
      <c r="W772" s="241"/>
      <c r="X772" s="241"/>
      <c r="Y772" s="241"/>
      <c r="Z772" s="241"/>
      <c r="AA772" s="241"/>
      <c r="AB772" s="241"/>
      <c r="AC772" s="241"/>
      <c r="AD772" s="241"/>
      <c r="AE772" s="241"/>
      <c r="AF772" s="241"/>
      <c r="AG772" s="241"/>
      <c r="AH772" s="241"/>
      <c r="AI772" s="241"/>
      <c r="AJ772" s="241"/>
      <c r="AK772" s="241"/>
      <c r="AL772" s="241"/>
      <c r="AM772" s="241"/>
      <c r="AN772" s="241"/>
      <c r="AO772" s="241"/>
      <c r="AP772" s="241"/>
      <c r="AQ772" s="241"/>
      <c r="AR772" s="241"/>
      <c r="AS772" s="241"/>
      <c r="AT772" s="241"/>
      <c r="AU772" s="241"/>
      <c r="AV772" s="241"/>
      <c r="AW772" s="241"/>
      <c r="AX772" s="241"/>
      <c r="AY772" s="241"/>
      <c r="AZ772" s="241"/>
      <c r="BA772" s="241"/>
      <c r="BB772" s="241"/>
      <c r="BC772" s="241"/>
      <c r="BD772" s="241"/>
      <c r="BE772" s="241"/>
      <c r="BF772" s="241"/>
      <c r="BG772" s="241"/>
      <c r="BH772" s="241"/>
      <c r="BI772" s="241"/>
      <c r="BJ772" s="241"/>
      <c r="BK772" s="241"/>
      <c r="BL772" s="241"/>
      <c r="BM772" s="241"/>
    </row>
    <row r="773" spans="1:65" ht="13.5" customHeight="1" x14ac:dyDescent="0.3">
      <c r="A773" s="241"/>
      <c r="B773" s="241"/>
      <c r="C773" s="241"/>
      <c r="D773" s="241"/>
      <c r="E773" s="241"/>
      <c r="F773" s="241"/>
      <c r="G773" s="241"/>
      <c r="H773" s="241"/>
      <c r="I773" s="241"/>
      <c r="J773" s="241"/>
      <c r="K773" s="241"/>
      <c r="L773" s="241"/>
      <c r="M773" s="241"/>
      <c r="N773" s="241"/>
      <c r="O773" s="241"/>
      <c r="P773" s="241"/>
      <c r="Q773" s="241"/>
      <c r="R773" s="241"/>
      <c r="S773" s="241"/>
      <c r="T773" s="241"/>
      <c r="U773" s="241"/>
      <c r="V773" s="241"/>
      <c r="W773" s="241"/>
      <c r="X773" s="241"/>
      <c r="Y773" s="241"/>
      <c r="Z773" s="241"/>
      <c r="AA773" s="241"/>
      <c r="AB773" s="241"/>
      <c r="AC773" s="241"/>
      <c r="AD773" s="241"/>
      <c r="AE773" s="241"/>
      <c r="AF773" s="241"/>
      <c r="AG773" s="241"/>
      <c r="AH773" s="241"/>
      <c r="AI773" s="241"/>
      <c r="AJ773" s="241"/>
      <c r="AK773" s="241"/>
      <c r="AL773" s="241"/>
      <c r="AM773" s="241"/>
      <c r="AN773" s="241"/>
      <c r="AO773" s="241"/>
      <c r="AP773" s="241"/>
      <c r="AQ773" s="241"/>
      <c r="AR773" s="241"/>
      <c r="AS773" s="241"/>
      <c r="AT773" s="241"/>
      <c r="AU773" s="241"/>
      <c r="AV773" s="241"/>
      <c r="AW773" s="241"/>
      <c r="AX773" s="241"/>
      <c r="AY773" s="241"/>
      <c r="AZ773" s="241"/>
      <c r="BA773" s="241"/>
      <c r="BB773" s="241"/>
      <c r="BC773" s="241"/>
      <c r="BD773" s="241"/>
      <c r="BE773" s="241"/>
      <c r="BF773" s="241"/>
      <c r="BG773" s="241"/>
      <c r="BH773" s="241"/>
      <c r="BI773" s="241"/>
      <c r="BJ773" s="241"/>
      <c r="BK773" s="241"/>
      <c r="BL773" s="241"/>
      <c r="BM773" s="241"/>
    </row>
    <row r="774" spans="1:65" ht="13.5" customHeight="1" x14ac:dyDescent="0.3">
      <c r="A774" s="241"/>
      <c r="B774" s="241"/>
      <c r="C774" s="241"/>
      <c r="D774" s="241"/>
      <c r="E774" s="241"/>
      <c r="F774" s="241"/>
      <c r="G774" s="241"/>
      <c r="H774" s="241"/>
      <c r="I774" s="241"/>
      <c r="J774" s="241"/>
      <c r="K774" s="241"/>
      <c r="L774" s="241"/>
      <c r="M774" s="241"/>
      <c r="N774" s="241"/>
      <c r="O774" s="241"/>
      <c r="P774" s="241"/>
      <c r="Q774" s="241"/>
      <c r="R774" s="241"/>
      <c r="S774" s="241"/>
      <c r="T774" s="241"/>
      <c r="U774" s="241"/>
      <c r="V774" s="241"/>
      <c r="W774" s="241"/>
      <c r="X774" s="241"/>
      <c r="Y774" s="241"/>
      <c r="Z774" s="241"/>
      <c r="AA774" s="241"/>
      <c r="AB774" s="241"/>
      <c r="AC774" s="241"/>
      <c r="AD774" s="241"/>
      <c r="AE774" s="241"/>
      <c r="AF774" s="241"/>
      <c r="AG774" s="241"/>
      <c r="AH774" s="241"/>
      <c r="AI774" s="241"/>
      <c r="AJ774" s="241"/>
      <c r="AK774" s="241"/>
      <c r="AL774" s="241"/>
      <c r="AM774" s="241"/>
      <c r="AN774" s="241"/>
      <c r="AO774" s="241"/>
      <c r="AP774" s="241"/>
      <c r="AQ774" s="241"/>
      <c r="AR774" s="241"/>
      <c r="AS774" s="241"/>
      <c r="AT774" s="241"/>
      <c r="AU774" s="241"/>
      <c r="AV774" s="241"/>
      <c r="AW774" s="241"/>
      <c r="AX774" s="241"/>
      <c r="AY774" s="241"/>
      <c r="AZ774" s="241"/>
      <c r="BA774" s="241"/>
      <c r="BB774" s="241"/>
      <c r="BC774" s="241"/>
      <c r="BD774" s="241"/>
      <c r="BE774" s="241"/>
      <c r="BF774" s="241"/>
      <c r="BG774" s="241"/>
      <c r="BH774" s="241"/>
      <c r="BI774" s="241"/>
      <c r="BJ774" s="241"/>
      <c r="BK774" s="241"/>
      <c r="BL774" s="241"/>
      <c r="BM774" s="241"/>
    </row>
    <row r="775" spans="1:65" ht="13.5" customHeight="1" x14ac:dyDescent="0.3">
      <c r="A775" s="241"/>
      <c r="B775" s="241"/>
      <c r="C775" s="241"/>
      <c r="D775" s="241"/>
      <c r="E775" s="241"/>
      <c r="F775" s="241"/>
      <c r="G775" s="241"/>
      <c r="H775" s="241"/>
      <c r="I775" s="241"/>
      <c r="J775" s="241"/>
      <c r="K775" s="241"/>
      <c r="L775" s="241"/>
      <c r="M775" s="241"/>
      <c r="N775" s="241"/>
      <c r="O775" s="241"/>
      <c r="P775" s="241"/>
      <c r="Q775" s="241"/>
      <c r="R775" s="241"/>
      <c r="S775" s="241"/>
      <c r="T775" s="241"/>
      <c r="U775" s="241"/>
      <c r="V775" s="241"/>
      <c r="W775" s="241"/>
      <c r="X775" s="241"/>
      <c r="Y775" s="241"/>
      <c r="Z775" s="241"/>
      <c r="AA775" s="241"/>
      <c r="AB775" s="241"/>
      <c r="AC775" s="241"/>
      <c r="AD775" s="241"/>
      <c r="AE775" s="241"/>
      <c r="AF775" s="241"/>
      <c r="AG775" s="241"/>
      <c r="AH775" s="241"/>
      <c r="AI775" s="241"/>
      <c r="AJ775" s="241"/>
      <c r="AK775" s="241"/>
      <c r="AL775" s="241"/>
      <c r="AM775" s="241"/>
      <c r="AN775" s="241"/>
      <c r="AO775" s="241"/>
      <c r="AP775" s="241"/>
      <c r="AQ775" s="241"/>
      <c r="AR775" s="241"/>
      <c r="AS775" s="241"/>
      <c r="AT775" s="241"/>
      <c r="AU775" s="241"/>
      <c r="AV775" s="241"/>
      <c r="AW775" s="241"/>
      <c r="AX775" s="241"/>
      <c r="AY775" s="241"/>
      <c r="AZ775" s="241"/>
      <c r="BA775" s="241"/>
      <c r="BB775" s="241"/>
      <c r="BC775" s="241"/>
      <c r="BD775" s="241"/>
      <c r="BE775" s="241"/>
      <c r="BF775" s="241"/>
      <c r="BG775" s="241"/>
      <c r="BH775" s="241"/>
      <c r="BI775" s="241"/>
      <c r="BJ775" s="241"/>
      <c r="BK775" s="241"/>
      <c r="BL775" s="241"/>
      <c r="BM775" s="241"/>
    </row>
    <row r="776" spans="1:65" ht="13.5" customHeight="1" x14ac:dyDescent="0.3">
      <c r="A776" s="241"/>
      <c r="B776" s="241"/>
      <c r="C776" s="241"/>
      <c r="D776" s="241"/>
      <c r="E776" s="241"/>
      <c r="F776" s="241"/>
      <c r="G776" s="241"/>
      <c r="H776" s="241"/>
      <c r="I776" s="241"/>
      <c r="J776" s="241"/>
      <c r="K776" s="241"/>
      <c r="L776" s="241"/>
      <c r="M776" s="241"/>
      <c r="N776" s="241"/>
      <c r="O776" s="241"/>
      <c r="P776" s="241"/>
      <c r="Q776" s="241"/>
      <c r="R776" s="241"/>
      <c r="S776" s="241"/>
      <c r="T776" s="241"/>
      <c r="U776" s="241"/>
      <c r="V776" s="241"/>
      <c r="W776" s="241"/>
      <c r="X776" s="241"/>
      <c r="Y776" s="241"/>
      <c r="Z776" s="241"/>
      <c r="AA776" s="241"/>
      <c r="AB776" s="241"/>
      <c r="AC776" s="241"/>
      <c r="AD776" s="241"/>
      <c r="AE776" s="241"/>
      <c r="AF776" s="241"/>
      <c r="AG776" s="241"/>
      <c r="AH776" s="241"/>
      <c r="AI776" s="241"/>
      <c r="AJ776" s="241"/>
      <c r="AK776" s="241"/>
      <c r="AL776" s="241"/>
      <c r="AM776" s="241"/>
      <c r="AN776" s="241"/>
      <c r="AO776" s="241"/>
      <c r="AP776" s="241"/>
      <c r="AQ776" s="241"/>
      <c r="AR776" s="241"/>
      <c r="AS776" s="241"/>
      <c r="AT776" s="241"/>
      <c r="AU776" s="241"/>
      <c r="AV776" s="241"/>
      <c r="AW776" s="241"/>
      <c r="AX776" s="241"/>
      <c r="AY776" s="241"/>
      <c r="AZ776" s="241"/>
      <c r="BA776" s="241"/>
      <c r="BB776" s="241"/>
      <c r="BC776" s="241"/>
      <c r="BD776" s="241"/>
      <c r="BE776" s="241"/>
      <c r="BF776" s="241"/>
      <c r="BG776" s="241"/>
      <c r="BH776" s="241"/>
      <c r="BI776" s="241"/>
      <c r="BJ776" s="241"/>
      <c r="BK776" s="241"/>
      <c r="BL776" s="241"/>
      <c r="BM776" s="241"/>
    </row>
    <row r="777" spans="1:65" ht="13.5" customHeight="1" x14ac:dyDescent="0.3">
      <c r="A777" s="241"/>
      <c r="B777" s="241"/>
      <c r="C777" s="241"/>
      <c r="D777" s="241"/>
      <c r="E777" s="241"/>
      <c r="F777" s="241"/>
      <c r="G777" s="241"/>
      <c r="H777" s="241"/>
      <c r="I777" s="241"/>
      <c r="J777" s="241"/>
      <c r="K777" s="241"/>
      <c r="L777" s="241"/>
      <c r="M777" s="241"/>
      <c r="N777" s="241"/>
      <c r="O777" s="241"/>
      <c r="P777" s="241"/>
      <c r="Q777" s="241"/>
      <c r="R777" s="241"/>
      <c r="S777" s="241"/>
      <c r="T777" s="241"/>
      <c r="U777" s="241"/>
      <c r="V777" s="241"/>
      <c r="W777" s="241"/>
      <c r="X777" s="241"/>
      <c r="Y777" s="241"/>
      <c r="Z777" s="241"/>
      <c r="AA777" s="241"/>
      <c r="AB777" s="241"/>
      <c r="AC777" s="241"/>
      <c r="AD777" s="241"/>
      <c r="AE777" s="241"/>
      <c r="AF777" s="241"/>
      <c r="AG777" s="241"/>
      <c r="AH777" s="241"/>
      <c r="AI777" s="241"/>
      <c r="AJ777" s="241"/>
      <c r="AK777" s="241"/>
      <c r="AL777" s="241"/>
      <c r="AM777" s="241"/>
      <c r="AN777" s="241"/>
      <c r="AO777" s="241"/>
      <c r="AP777" s="241"/>
      <c r="AQ777" s="241"/>
      <c r="AR777" s="241"/>
      <c r="AS777" s="241"/>
      <c r="AT777" s="241"/>
      <c r="AU777" s="241"/>
      <c r="AV777" s="241"/>
      <c r="AW777" s="241"/>
      <c r="AX777" s="241"/>
      <c r="AY777" s="241"/>
      <c r="AZ777" s="241"/>
      <c r="BA777" s="241"/>
      <c r="BB777" s="241"/>
      <c r="BC777" s="241"/>
      <c r="BD777" s="241"/>
      <c r="BE777" s="241"/>
      <c r="BF777" s="241"/>
      <c r="BG777" s="241"/>
      <c r="BH777" s="241"/>
      <c r="BI777" s="241"/>
      <c r="BJ777" s="241"/>
      <c r="BK777" s="241"/>
      <c r="BL777" s="241"/>
      <c r="BM777" s="241"/>
    </row>
    <row r="778" spans="1:65" ht="13.5" customHeight="1" x14ac:dyDescent="0.3">
      <c r="A778" s="241"/>
      <c r="B778" s="241"/>
      <c r="C778" s="241"/>
      <c r="D778" s="241"/>
      <c r="E778" s="241"/>
      <c r="F778" s="241"/>
      <c r="G778" s="241"/>
      <c r="H778" s="241"/>
      <c r="I778" s="241"/>
      <c r="J778" s="241"/>
      <c r="K778" s="241"/>
      <c r="L778" s="241"/>
      <c r="M778" s="241"/>
      <c r="N778" s="241"/>
      <c r="O778" s="241"/>
      <c r="P778" s="241"/>
      <c r="Q778" s="241"/>
      <c r="R778" s="241"/>
      <c r="S778" s="241"/>
      <c r="T778" s="241"/>
      <c r="U778" s="241"/>
      <c r="V778" s="241"/>
      <c r="W778" s="241"/>
      <c r="X778" s="241"/>
      <c r="Y778" s="241"/>
      <c r="Z778" s="241"/>
      <c r="AA778" s="241"/>
      <c r="AB778" s="241"/>
      <c r="AC778" s="241"/>
      <c r="AD778" s="241"/>
      <c r="AE778" s="241"/>
      <c r="AF778" s="241"/>
      <c r="AG778" s="241"/>
      <c r="AH778" s="241"/>
      <c r="AI778" s="241"/>
      <c r="AJ778" s="241"/>
      <c r="AK778" s="241"/>
      <c r="AL778" s="241"/>
      <c r="AM778" s="241"/>
      <c r="AN778" s="241"/>
      <c r="AO778" s="241"/>
      <c r="AP778" s="241"/>
      <c r="AQ778" s="241"/>
      <c r="AR778" s="241"/>
      <c r="AS778" s="241"/>
      <c r="AT778" s="241"/>
      <c r="AU778" s="241"/>
      <c r="AV778" s="241"/>
      <c r="AW778" s="241"/>
      <c r="AX778" s="241"/>
      <c r="AY778" s="241"/>
      <c r="AZ778" s="241"/>
      <c r="BA778" s="241"/>
      <c r="BB778" s="241"/>
      <c r="BC778" s="241"/>
      <c r="BD778" s="241"/>
      <c r="BE778" s="241"/>
      <c r="BF778" s="241"/>
      <c r="BG778" s="241"/>
      <c r="BH778" s="241"/>
      <c r="BI778" s="241"/>
      <c r="BJ778" s="241"/>
      <c r="BK778" s="241"/>
      <c r="BL778" s="241"/>
      <c r="BM778" s="241"/>
    </row>
    <row r="779" spans="1:65" ht="13.5" customHeight="1" x14ac:dyDescent="0.3">
      <c r="A779" s="241"/>
      <c r="B779" s="241"/>
      <c r="C779" s="241"/>
      <c r="D779" s="241"/>
      <c r="E779" s="241"/>
      <c r="F779" s="241"/>
      <c r="G779" s="241"/>
      <c r="H779" s="241"/>
      <c r="I779" s="241"/>
      <c r="J779" s="241"/>
      <c r="K779" s="241"/>
      <c r="L779" s="241"/>
      <c r="M779" s="241"/>
      <c r="N779" s="241"/>
      <c r="O779" s="241"/>
      <c r="P779" s="241"/>
      <c r="Q779" s="241"/>
      <c r="R779" s="241"/>
      <c r="S779" s="241"/>
      <c r="T779" s="241"/>
      <c r="U779" s="241"/>
      <c r="V779" s="241"/>
      <c r="W779" s="241"/>
      <c r="X779" s="241"/>
      <c r="Y779" s="241"/>
      <c r="Z779" s="241"/>
      <c r="AA779" s="241"/>
      <c r="AB779" s="241"/>
      <c r="AC779" s="241"/>
      <c r="AD779" s="241"/>
      <c r="AE779" s="241"/>
      <c r="AF779" s="241"/>
      <c r="AG779" s="241"/>
      <c r="AH779" s="241"/>
      <c r="AI779" s="241"/>
      <c r="AJ779" s="241"/>
      <c r="AK779" s="241"/>
      <c r="AL779" s="241"/>
      <c r="AM779" s="241"/>
      <c r="AN779" s="241"/>
      <c r="AO779" s="241"/>
      <c r="AP779" s="241"/>
      <c r="AQ779" s="241"/>
      <c r="AR779" s="241"/>
      <c r="AS779" s="241"/>
      <c r="AT779" s="241"/>
      <c r="AU779" s="241"/>
      <c r="AV779" s="241"/>
      <c r="AW779" s="241"/>
      <c r="AX779" s="241"/>
      <c r="AY779" s="241"/>
      <c r="AZ779" s="241"/>
      <c r="BA779" s="241"/>
      <c r="BB779" s="241"/>
      <c r="BC779" s="241"/>
      <c r="BD779" s="241"/>
      <c r="BE779" s="241"/>
      <c r="BF779" s="241"/>
      <c r="BG779" s="241"/>
      <c r="BH779" s="241"/>
      <c r="BI779" s="241"/>
      <c r="BJ779" s="241"/>
      <c r="BK779" s="241"/>
      <c r="BL779" s="241"/>
      <c r="BM779" s="241"/>
    </row>
    <row r="780" spans="1:65" ht="13.5" customHeight="1" x14ac:dyDescent="0.3">
      <c r="A780" s="241"/>
      <c r="B780" s="241"/>
      <c r="C780" s="241"/>
      <c r="D780" s="241"/>
      <c r="E780" s="241"/>
      <c r="F780" s="241"/>
      <c r="G780" s="241"/>
      <c r="H780" s="241"/>
      <c r="I780" s="241"/>
      <c r="J780" s="241"/>
      <c r="K780" s="241"/>
      <c r="L780" s="241"/>
      <c r="M780" s="241"/>
      <c r="N780" s="241"/>
      <c r="O780" s="241"/>
      <c r="P780" s="241"/>
      <c r="Q780" s="241"/>
      <c r="R780" s="241"/>
      <c r="S780" s="241"/>
      <c r="T780" s="241"/>
      <c r="U780" s="241"/>
      <c r="V780" s="241"/>
      <c r="W780" s="241"/>
      <c r="X780" s="241"/>
      <c r="Y780" s="241"/>
      <c r="Z780" s="241"/>
      <c r="AA780" s="241"/>
      <c r="AB780" s="241"/>
      <c r="AC780" s="241"/>
      <c r="AD780" s="241"/>
      <c r="AE780" s="241"/>
      <c r="AF780" s="241"/>
      <c r="AG780" s="241"/>
      <c r="AH780" s="241"/>
      <c r="AI780" s="241"/>
      <c r="AJ780" s="241"/>
      <c r="AK780" s="241"/>
      <c r="AL780" s="241"/>
      <c r="AM780" s="241"/>
      <c r="AN780" s="241"/>
      <c r="AO780" s="241"/>
      <c r="AP780" s="241"/>
      <c r="AQ780" s="241"/>
      <c r="AR780" s="241"/>
      <c r="AS780" s="241"/>
      <c r="AT780" s="241"/>
      <c r="AU780" s="241"/>
      <c r="AV780" s="241"/>
      <c r="AW780" s="241"/>
      <c r="AX780" s="241"/>
      <c r="AY780" s="241"/>
      <c r="AZ780" s="241"/>
      <c r="BA780" s="241"/>
      <c r="BB780" s="241"/>
      <c r="BC780" s="241"/>
      <c r="BD780" s="241"/>
      <c r="BE780" s="241"/>
      <c r="BF780" s="241"/>
      <c r="BG780" s="241"/>
      <c r="BH780" s="241"/>
      <c r="BI780" s="241"/>
      <c r="BJ780" s="241"/>
      <c r="BK780" s="241"/>
      <c r="BL780" s="241"/>
      <c r="BM780" s="241"/>
    </row>
    <row r="781" spans="1:65" ht="13.5" customHeight="1" x14ac:dyDescent="0.3">
      <c r="A781" s="241"/>
      <c r="B781" s="241"/>
      <c r="C781" s="241"/>
      <c r="D781" s="241"/>
      <c r="E781" s="241"/>
      <c r="F781" s="241"/>
      <c r="G781" s="241"/>
      <c r="H781" s="241"/>
      <c r="I781" s="241"/>
      <c r="J781" s="241"/>
      <c r="K781" s="241"/>
      <c r="L781" s="241"/>
      <c r="M781" s="241"/>
      <c r="N781" s="241"/>
      <c r="O781" s="241"/>
      <c r="P781" s="241"/>
      <c r="Q781" s="241"/>
      <c r="R781" s="241"/>
      <c r="S781" s="241"/>
      <c r="T781" s="241"/>
      <c r="U781" s="241"/>
      <c r="V781" s="241"/>
      <c r="W781" s="241"/>
      <c r="X781" s="241"/>
      <c r="Y781" s="241"/>
      <c r="Z781" s="241"/>
      <c r="AA781" s="241"/>
      <c r="AB781" s="241"/>
      <c r="AC781" s="241"/>
      <c r="AD781" s="241"/>
      <c r="AE781" s="241"/>
      <c r="AF781" s="241"/>
      <c r="AG781" s="241"/>
      <c r="AH781" s="241"/>
      <c r="AI781" s="241"/>
      <c r="AJ781" s="241"/>
      <c r="AK781" s="241"/>
      <c r="AL781" s="241"/>
      <c r="AM781" s="241"/>
      <c r="AN781" s="241"/>
      <c r="AO781" s="241"/>
      <c r="AP781" s="241"/>
      <c r="AQ781" s="241"/>
      <c r="AR781" s="241"/>
      <c r="AS781" s="241"/>
      <c r="AT781" s="241"/>
      <c r="AU781" s="241"/>
      <c r="AV781" s="241"/>
      <c r="AW781" s="241"/>
      <c r="AX781" s="241"/>
      <c r="AY781" s="241"/>
      <c r="AZ781" s="241"/>
      <c r="BA781" s="241"/>
      <c r="BB781" s="241"/>
      <c r="BC781" s="241"/>
      <c r="BD781" s="241"/>
      <c r="BE781" s="241"/>
      <c r="BF781" s="241"/>
      <c r="BG781" s="241"/>
      <c r="BH781" s="241"/>
      <c r="BI781" s="241"/>
      <c r="BJ781" s="241"/>
      <c r="BK781" s="241"/>
      <c r="BL781" s="241"/>
      <c r="BM781" s="241"/>
    </row>
    <row r="782" spans="1:65" ht="13.5" customHeight="1" x14ac:dyDescent="0.3">
      <c r="A782" s="241"/>
      <c r="B782" s="241"/>
      <c r="C782" s="241"/>
      <c r="D782" s="241"/>
      <c r="E782" s="241"/>
      <c r="F782" s="241"/>
      <c r="G782" s="241"/>
      <c r="H782" s="241"/>
      <c r="I782" s="241"/>
      <c r="J782" s="241"/>
      <c r="K782" s="241"/>
      <c r="L782" s="241"/>
      <c r="M782" s="241"/>
      <c r="N782" s="241"/>
      <c r="O782" s="241"/>
      <c r="P782" s="241"/>
      <c r="Q782" s="241"/>
      <c r="R782" s="241"/>
      <c r="S782" s="241"/>
      <c r="T782" s="241"/>
      <c r="U782" s="241"/>
      <c r="V782" s="241"/>
      <c r="W782" s="241"/>
      <c r="X782" s="241"/>
      <c r="Y782" s="241"/>
      <c r="Z782" s="241"/>
      <c r="AA782" s="241"/>
      <c r="AB782" s="241"/>
      <c r="AC782" s="241"/>
      <c r="AD782" s="241"/>
      <c r="AE782" s="241"/>
      <c r="AF782" s="241"/>
      <c r="AG782" s="241"/>
      <c r="AH782" s="241"/>
      <c r="AI782" s="241"/>
      <c r="AJ782" s="241"/>
      <c r="AK782" s="241"/>
      <c r="AL782" s="241"/>
      <c r="AM782" s="241"/>
      <c r="AN782" s="241"/>
      <c r="AO782" s="241"/>
      <c r="AP782" s="241"/>
      <c r="AQ782" s="241"/>
      <c r="AR782" s="241"/>
      <c r="AS782" s="241"/>
      <c r="AT782" s="241"/>
      <c r="AU782" s="241"/>
      <c r="AV782" s="241"/>
      <c r="AW782" s="241"/>
      <c r="AX782" s="241"/>
      <c r="AY782" s="241"/>
      <c r="AZ782" s="241"/>
      <c r="BA782" s="241"/>
      <c r="BB782" s="241"/>
      <c r="BC782" s="241"/>
      <c r="BD782" s="241"/>
      <c r="BE782" s="241"/>
      <c r="BF782" s="241"/>
      <c r="BG782" s="241"/>
      <c r="BH782" s="241"/>
      <c r="BI782" s="241"/>
      <c r="BJ782" s="241"/>
      <c r="BK782" s="241"/>
      <c r="BL782" s="241"/>
      <c r="BM782" s="241"/>
    </row>
    <row r="783" spans="1:65" ht="13.5" customHeight="1" x14ac:dyDescent="0.3">
      <c r="A783" s="241"/>
      <c r="B783" s="241"/>
      <c r="C783" s="241"/>
      <c r="D783" s="241"/>
      <c r="E783" s="241"/>
      <c r="F783" s="241"/>
      <c r="G783" s="241"/>
      <c r="H783" s="241"/>
      <c r="I783" s="241"/>
      <c r="J783" s="241"/>
      <c r="K783" s="241"/>
      <c r="L783" s="241"/>
      <c r="M783" s="241"/>
      <c r="N783" s="241"/>
      <c r="O783" s="241"/>
      <c r="P783" s="241"/>
      <c r="Q783" s="241"/>
      <c r="R783" s="241"/>
      <c r="S783" s="241"/>
      <c r="T783" s="241"/>
      <c r="U783" s="241"/>
      <c r="V783" s="241"/>
      <c r="W783" s="241"/>
      <c r="X783" s="241"/>
      <c r="Y783" s="241"/>
      <c r="Z783" s="241"/>
      <c r="AA783" s="241"/>
      <c r="AB783" s="241"/>
      <c r="AC783" s="241"/>
      <c r="AD783" s="241"/>
      <c r="AE783" s="241"/>
      <c r="AF783" s="241"/>
      <c r="AG783" s="241"/>
      <c r="AH783" s="241"/>
      <c r="AI783" s="241"/>
      <c r="AJ783" s="241"/>
      <c r="AK783" s="241"/>
      <c r="AL783" s="241"/>
      <c r="AM783" s="241"/>
      <c r="AN783" s="241"/>
      <c r="AO783" s="241"/>
      <c r="AP783" s="241"/>
      <c r="AQ783" s="241"/>
      <c r="AR783" s="241"/>
      <c r="AS783" s="241"/>
      <c r="AT783" s="241"/>
      <c r="AU783" s="241"/>
      <c r="AV783" s="241"/>
      <c r="AW783" s="241"/>
      <c r="AX783" s="241"/>
      <c r="AY783" s="241"/>
      <c r="AZ783" s="241"/>
      <c r="BA783" s="241"/>
      <c r="BB783" s="241"/>
      <c r="BC783" s="241"/>
      <c r="BD783" s="241"/>
      <c r="BE783" s="241"/>
      <c r="BF783" s="241"/>
      <c r="BG783" s="241"/>
      <c r="BH783" s="241"/>
      <c r="BI783" s="241"/>
      <c r="BJ783" s="241"/>
      <c r="BK783" s="241"/>
      <c r="BL783" s="241"/>
      <c r="BM783" s="241"/>
    </row>
    <row r="784" spans="1:65" ht="13.5" customHeight="1" x14ac:dyDescent="0.3">
      <c r="A784" s="241"/>
      <c r="B784" s="241"/>
      <c r="C784" s="241"/>
      <c r="D784" s="241"/>
      <c r="E784" s="241"/>
      <c r="F784" s="241"/>
      <c r="G784" s="241"/>
      <c r="H784" s="241"/>
      <c r="I784" s="241"/>
      <c r="J784" s="241"/>
      <c r="K784" s="241"/>
      <c r="L784" s="241"/>
      <c r="M784" s="241"/>
      <c r="N784" s="241"/>
      <c r="O784" s="241"/>
      <c r="P784" s="241"/>
      <c r="Q784" s="241"/>
      <c r="R784" s="241"/>
      <c r="S784" s="241"/>
      <c r="T784" s="241"/>
      <c r="U784" s="241"/>
      <c r="V784" s="241"/>
      <c r="W784" s="241"/>
      <c r="X784" s="241"/>
      <c r="Y784" s="241"/>
      <c r="Z784" s="241"/>
      <c r="AA784" s="241"/>
      <c r="AB784" s="241"/>
      <c r="AC784" s="241"/>
      <c r="AD784" s="241"/>
      <c r="AE784" s="241"/>
      <c r="AF784" s="241"/>
      <c r="AG784" s="241"/>
      <c r="AH784" s="241"/>
      <c r="AI784" s="241"/>
      <c r="AJ784" s="241"/>
      <c r="AK784" s="241"/>
      <c r="AL784" s="241"/>
      <c r="AM784" s="241"/>
      <c r="AN784" s="241"/>
      <c r="AO784" s="241"/>
      <c r="AP784" s="241"/>
      <c r="AQ784" s="241"/>
      <c r="AR784" s="241"/>
      <c r="AS784" s="241"/>
      <c r="AT784" s="241"/>
      <c r="AU784" s="241"/>
      <c r="AV784" s="241"/>
      <c r="AW784" s="241"/>
      <c r="AX784" s="241"/>
      <c r="AY784" s="241"/>
      <c r="AZ784" s="241"/>
      <c r="BA784" s="241"/>
      <c r="BB784" s="241"/>
      <c r="BC784" s="241"/>
      <c r="BD784" s="241"/>
      <c r="BE784" s="241"/>
      <c r="BF784" s="241"/>
      <c r="BG784" s="241"/>
      <c r="BH784" s="241"/>
      <c r="BI784" s="241"/>
      <c r="BJ784" s="241"/>
      <c r="BK784" s="241"/>
      <c r="BL784" s="241"/>
      <c r="BM784" s="241"/>
    </row>
    <row r="785" spans="1:65" ht="13.5" customHeight="1" x14ac:dyDescent="0.3">
      <c r="A785" s="241"/>
      <c r="B785" s="241"/>
      <c r="C785" s="241"/>
      <c r="D785" s="241"/>
      <c r="E785" s="241"/>
      <c r="F785" s="241"/>
      <c r="G785" s="241"/>
      <c r="H785" s="241"/>
      <c r="I785" s="241"/>
      <c r="J785" s="241"/>
      <c r="K785" s="241"/>
      <c r="L785" s="241"/>
      <c r="M785" s="241"/>
      <c r="N785" s="241"/>
      <c r="O785" s="241"/>
      <c r="P785" s="241"/>
      <c r="Q785" s="241"/>
      <c r="R785" s="241"/>
      <c r="S785" s="241"/>
      <c r="T785" s="241"/>
      <c r="U785" s="241"/>
      <c r="V785" s="241"/>
      <c r="W785" s="241"/>
      <c r="X785" s="241"/>
      <c r="Y785" s="241"/>
      <c r="Z785" s="241"/>
      <c r="AA785" s="241"/>
      <c r="AB785" s="241"/>
      <c r="AC785" s="241"/>
      <c r="AD785" s="241"/>
      <c r="AE785" s="241"/>
      <c r="AF785" s="241"/>
      <c r="AG785" s="241"/>
      <c r="AH785" s="241"/>
      <c r="AI785" s="241"/>
      <c r="AJ785" s="241"/>
      <c r="AK785" s="241"/>
      <c r="AL785" s="241"/>
      <c r="AM785" s="241"/>
      <c r="AN785" s="241"/>
      <c r="AO785" s="241"/>
      <c r="AP785" s="241"/>
      <c r="AQ785" s="241"/>
      <c r="AR785" s="241"/>
      <c r="AS785" s="241"/>
      <c r="AT785" s="241"/>
      <c r="AU785" s="241"/>
      <c r="AV785" s="241"/>
      <c r="AW785" s="241"/>
      <c r="AX785" s="241"/>
      <c r="AY785" s="241"/>
      <c r="AZ785" s="241"/>
      <c r="BA785" s="241"/>
      <c r="BB785" s="241"/>
      <c r="BC785" s="241"/>
      <c r="BD785" s="241"/>
      <c r="BE785" s="241"/>
      <c r="BF785" s="241"/>
      <c r="BG785" s="241"/>
      <c r="BH785" s="241"/>
      <c r="BI785" s="241"/>
      <c r="BJ785" s="241"/>
      <c r="BK785" s="241"/>
      <c r="BL785" s="241"/>
      <c r="BM785" s="241"/>
    </row>
    <row r="786" spans="1:65" ht="13.5" customHeight="1" x14ac:dyDescent="0.3">
      <c r="A786" s="241"/>
      <c r="B786" s="241"/>
      <c r="C786" s="241"/>
      <c r="D786" s="241"/>
      <c r="E786" s="241"/>
      <c r="F786" s="241"/>
      <c r="G786" s="241"/>
      <c r="H786" s="241"/>
      <c r="I786" s="241"/>
      <c r="J786" s="241"/>
      <c r="K786" s="241"/>
      <c r="L786" s="241"/>
      <c r="M786" s="241"/>
      <c r="N786" s="241"/>
      <c r="O786" s="241"/>
      <c r="P786" s="241"/>
      <c r="Q786" s="241"/>
      <c r="R786" s="241"/>
      <c r="S786" s="241"/>
      <c r="T786" s="241"/>
      <c r="U786" s="241"/>
      <c r="V786" s="241"/>
      <c r="W786" s="241"/>
      <c r="X786" s="241"/>
      <c r="Y786" s="241"/>
      <c r="Z786" s="241"/>
      <c r="AA786" s="241"/>
      <c r="AB786" s="241"/>
      <c r="AC786" s="241"/>
      <c r="AD786" s="241"/>
      <c r="AE786" s="241"/>
      <c r="AF786" s="241"/>
      <c r="AG786" s="241"/>
      <c r="AH786" s="241"/>
      <c r="AI786" s="241"/>
      <c r="AJ786" s="241"/>
      <c r="AK786" s="241"/>
      <c r="AL786" s="241"/>
      <c r="AM786" s="241"/>
      <c r="AN786" s="241"/>
      <c r="AO786" s="241"/>
      <c r="AP786" s="241"/>
      <c r="AQ786" s="241"/>
      <c r="AR786" s="241"/>
      <c r="AS786" s="241"/>
      <c r="AT786" s="241"/>
      <c r="AU786" s="241"/>
      <c r="AV786" s="241"/>
      <c r="AW786" s="241"/>
      <c r="AX786" s="241"/>
      <c r="AY786" s="241"/>
      <c r="AZ786" s="241"/>
      <c r="BA786" s="241"/>
      <c r="BB786" s="241"/>
      <c r="BC786" s="241"/>
      <c r="BD786" s="241"/>
      <c r="BE786" s="241"/>
      <c r="BF786" s="241"/>
      <c r="BG786" s="241"/>
      <c r="BH786" s="241"/>
      <c r="BI786" s="241"/>
      <c r="BJ786" s="241"/>
      <c r="BK786" s="241"/>
      <c r="BL786" s="241"/>
      <c r="BM786" s="241"/>
    </row>
    <row r="787" spans="1:65" ht="13.5" customHeight="1" x14ac:dyDescent="0.3">
      <c r="A787" s="241"/>
      <c r="B787" s="241"/>
      <c r="C787" s="241"/>
      <c r="D787" s="241"/>
      <c r="E787" s="241"/>
      <c r="F787" s="241"/>
      <c r="G787" s="241"/>
      <c r="H787" s="241"/>
      <c r="I787" s="241"/>
      <c r="J787" s="241"/>
      <c r="K787" s="241"/>
      <c r="L787" s="241"/>
      <c r="M787" s="241"/>
      <c r="N787" s="241"/>
      <c r="O787" s="241"/>
      <c r="P787" s="241"/>
      <c r="Q787" s="241"/>
      <c r="R787" s="241"/>
      <c r="S787" s="241"/>
      <c r="T787" s="241"/>
      <c r="U787" s="241"/>
      <c r="V787" s="241"/>
      <c r="W787" s="241"/>
      <c r="X787" s="241"/>
      <c r="Y787" s="241"/>
      <c r="Z787" s="241"/>
      <c r="AA787" s="241"/>
      <c r="AB787" s="241"/>
      <c r="AC787" s="241"/>
      <c r="AD787" s="241"/>
      <c r="AE787" s="241"/>
      <c r="AF787" s="241"/>
      <c r="AG787" s="241"/>
      <c r="AH787" s="241"/>
      <c r="AI787" s="241"/>
      <c r="AJ787" s="241"/>
      <c r="AK787" s="241"/>
      <c r="AL787" s="241"/>
      <c r="AM787" s="241"/>
      <c r="AN787" s="241"/>
      <c r="AO787" s="241"/>
      <c r="AP787" s="241"/>
      <c r="AQ787" s="241"/>
      <c r="AR787" s="241"/>
      <c r="AS787" s="241"/>
      <c r="AT787" s="241"/>
      <c r="AU787" s="241"/>
      <c r="AV787" s="241"/>
      <c r="AW787" s="241"/>
      <c r="AX787" s="241"/>
      <c r="AY787" s="241"/>
      <c r="AZ787" s="241"/>
      <c r="BA787" s="241"/>
      <c r="BB787" s="241"/>
      <c r="BC787" s="241"/>
      <c r="BD787" s="241"/>
      <c r="BE787" s="241"/>
      <c r="BF787" s="241"/>
      <c r="BG787" s="241"/>
      <c r="BH787" s="241"/>
      <c r="BI787" s="241"/>
      <c r="BJ787" s="241"/>
      <c r="BK787" s="241"/>
      <c r="BL787" s="241"/>
      <c r="BM787" s="241"/>
    </row>
    <row r="788" spans="1:65" ht="13.5" customHeight="1" x14ac:dyDescent="0.3">
      <c r="A788" s="241"/>
      <c r="B788" s="241"/>
      <c r="C788" s="241"/>
      <c r="D788" s="241"/>
      <c r="E788" s="241"/>
      <c r="F788" s="241"/>
      <c r="G788" s="241"/>
      <c r="H788" s="241"/>
      <c r="I788" s="241"/>
      <c r="J788" s="241"/>
      <c r="K788" s="241"/>
      <c r="L788" s="241"/>
      <c r="M788" s="241"/>
      <c r="N788" s="241"/>
      <c r="O788" s="241"/>
      <c r="P788" s="241"/>
      <c r="Q788" s="241"/>
      <c r="R788" s="241"/>
      <c r="S788" s="241"/>
      <c r="T788" s="241"/>
      <c r="U788" s="241"/>
      <c r="V788" s="241"/>
      <c r="W788" s="241"/>
      <c r="X788" s="241"/>
      <c r="Y788" s="241"/>
      <c r="Z788" s="241"/>
      <c r="AA788" s="241"/>
      <c r="AB788" s="241"/>
      <c r="AC788" s="241"/>
      <c r="AD788" s="241"/>
      <c r="AE788" s="241"/>
      <c r="AF788" s="241"/>
      <c r="AG788" s="241"/>
      <c r="AH788" s="241"/>
      <c r="AI788" s="241"/>
      <c r="AJ788" s="241"/>
      <c r="AK788" s="241"/>
      <c r="AL788" s="241"/>
      <c r="AM788" s="241"/>
      <c r="AN788" s="241"/>
      <c r="AO788" s="241"/>
      <c r="AP788" s="241"/>
      <c r="AQ788" s="241"/>
      <c r="AR788" s="241"/>
      <c r="AS788" s="241"/>
      <c r="AT788" s="241"/>
      <c r="AU788" s="241"/>
      <c r="AV788" s="241"/>
      <c r="AW788" s="241"/>
      <c r="AX788" s="241"/>
      <c r="AY788" s="241"/>
      <c r="AZ788" s="241"/>
      <c r="BA788" s="241"/>
      <c r="BB788" s="241"/>
      <c r="BC788" s="241"/>
      <c r="BD788" s="241"/>
      <c r="BE788" s="241"/>
      <c r="BF788" s="241"/>
      <c r="BG788" s="241"/>
      <c r="BH788" s="241"/>
      <c r="BI788" s="241"/>
      <c r="BJ788" s="241"/>
      <c r="BK788" s="241"/>
      <c r="BL788" s="241"/>
      <c r="BM788" s="241"/>
    </row>
    <row r="789" spans="1:65" ht="13.5" customHeight="1" x14ac:dyDescent="0.3">
      <c r="A789" s="241"/>
      <c r="B789" s="241"/>
      <c r="C789" s="241"/>
      <c r="D789" s="241"/>
      <c r="E789" s="241"/>
      <c r="F789" s="241"/>
      <c r="G789" s="241"/>
      <c r="H789" s="241"/>
      <c r="I789" s="241"/>
      <c r="J789" s="241"/>
      <c r="K789" s="241"/>
      <c r="L789" s="241"/>
      <c r="M789" s="241"/>
      <c r="N789" s="241"/>
      <c r="O789" s="241"/>
      <c r="P789" s="241"/>
      <c r="Q789" s="241"/>
      <c r="R789" s="241"/>
      <c r="S789" s="241"/>
      <c r="T789" s="241"/>
      <c r="U789" s="241"/>
      <c r="V789" s="241"/>
      <c r="W789" s="241"/>
      <c r="X789" s="241"/>
      <c r="Y789" s="241"/>
      <c r="Z789" s="241"/>
      <c r="AA789" s="241"/>
      <c r="AB789" s="241"/>
      <c r="AC789" s="241"/>
      <c r="AD789" s="241"/>
      <c r="AE789" s="241"/>
      <c r="AF789" s="241"/>
      <c r="AG789" s="241"/>
      <c r="AH789" s="241"/>
      <c r="AI789" s="241"/>
      <c r="AJ789" s="241"/>
      <c r="AK789" s="241"/>
      <c r="AL789" s="241"/>
      <c r="AM789" s="241"/>
      <c r="AN789" s="241"/>
      <c r="AO789" s="241"/>
      <c r="AP789" s="241"/>
      <c r="AQ789" s="241"/>
      <c r="AR789" s="241"/>
      <c r="AS789" s="241"/>
      <c r="AT789" s="241"/>
      <c r="AU789" s="241"/>
      <c r="AV789" s="241"/>
      <c r="AW789" s="241"/>
      <c r="AX789" s="241"/>
      <c r="AY789" s="241"/>
      <c r="AZ789" s="241"/>
      <c r="BA789" s="241"/>
      <c r="BB789" s="241"/>
      <c r="BC789" s="241"/>
      <c r="BD789" s="241"/>
      <c r="BE789" s="241"/>
      <c r="BF789" s="241"/>
      <c r="BG789" s="241"/>
      <c r="BH789" s="241"/>
      <c r="BI789" s="241"/>
      <c r="BJ789" s="241"/>
      <c r="BK789" s="241"/>
      <c r="BL789" s="241"/>
      <c r="BM789" s="241"/>
    </row>
    <row r="790" spans="1:65" ht="13.5" customHeight="1" x14ac:dyDescent="0.3">
      <c r="A790" s="241"/>
      <c r="B790" s="241"/>
      <c r="C790" s="241"/>
      <c r="D790" s="241"/>
      <c r="E790" s="241"/>
      <c r="F790" s="241"/>
      <c r="G790" s="241"/>
      <c r="H790" s="241"/>
      <c r="I790" s="241"/>
      <c r="J790" s="241"/>
      <c r="K790" s="241"/>
      <c r="L790" s="241"/>
      <c r="M790" s="241"/>
      <c r="N790" s="241"/>
      <c r="O790" s="241"/>
      <c r="P790" s="241"/>
      <c r="Q790" s="241"/>
      <c r="R790" s="241"/>
      <c r="S790" s="241"/>
      <c r="T790" s="241"/>
      <c r="U790" s="241"/>
      <c r="V790" s="241"/>
      <c r="W790" s="241"/>
      <c r="X790" s="241"/>
      <c r="Y790" s="241"/>
      <c r="Z790" s="241"/>
      <c r="AA790" s="241"/>
      <c r="AB790" s="241"/>
      <c r="AC790" s="241"/>
      <c r="AD790" s="241"/>
      <c r="AE790" s="241"/>
      <c r="AF790" s="241"/>
      <c r="AG790" s="241"/>
      <c r="AH790" s="241"/>
      <c r="AI790" s="241"/>
      <c r="AJ790" s="241"/>
      <c r="AK790" s="241"/>
      <c r="AL790" s="241"/>
      <c r="AM790" s="241"/>
      <c r="AN790" s="241"/>
      <c r="AO790" s="241"/>
      <c r="AP790" s="241"/>
      <c r="AQ790" s="241"/>
      <c r="AR790" s="241"/>
      <c r="AS790" s="241"/>
      <c r="AT790" s="241"/>
      <c r="AU790" s="241"/>
      <c r="AV790" s="241"/>
      <c r="AW790" s="241"/>
      <c r="AX790" s="241"/>
      <c r="AY790" s="241"/>
      <c r="AZ790" s="241"/>
      <c r="BA790" s="241"/>
      <c r="BB790" s="241"/>
      <c r="BC790" s="241"/>
      <c r="BD790" s="241"/>
      <c r="BE790" s="241"/>
      <c r="BF790" s="241"/>
      <c r="BG790" s="241"/>
      <c r="BH790" s="241"/>
      <c r="BI790" s="241"/>
      <c r="BJ790" s="241"/>
      <c r="BK790" s="241"/>
      <c r="BL790" s="241"/>
      <c r="BM790" s="241"/>
    </row>
    <row r="791" spans="1:65" ht="13.5" customHeight="1" x14ac:dyDescent="0.3">
      <c r="A791" s="241"/>
      <c r="B791" s="241"/>
      <c r="C791" s="241"/>
      <c r="D791" s="241"/>
      <c r="E791" s="241"/>
      <c r="F791" s="241"/>
      <c r="G791" s="241"/>
      <c r="H791" s="241"/>
      <c r="I791" s="241"/>
      <c r="J791" s="241"/>
      <c r="K791" s="241"/>
      <c r="L791" s="241"/>
      <c r="M791" s="241"/>
      <c r="N791" s="241"/>
      <c r="O791" s="241"/>
      <c r="P791" s="241"/>
      <c r="Q791" s="241"/>
      <c r="R791" s="241"/>
      <c r="S791" s="241"/>
      <c r="T791" s="241"/>
      <c r="U791" s="241"/>
      <c r="V791" s="241"/>
      <c r="W791" s="241"/>
      <c r="X791" s="241"/>
      <c r="Y791" s="241"/>
      <c r="Z791" s="241"/>
      <c r="AA791" s="241"/>
      <c r="AB791" s="241"/>
      <c r="AC791" s="241"/>
      <c r="AD791" s="241"/>
      <c r="AE791" s="241"/>
      <c r="AF791" s="241"/>
      <c r="AG791" s="241"/>
      <c r="AH791" s="241"/>
      <c r="AI791" s="241"/>
      <c r="AJ791" s="241"/>
      <c r="AK791" s="241"/>
      <c r="AL791" s="241"/>
      <c r="AM791" s="241"/>
      <c r="AN791" s="241"/>
      <c r="AO791" s="241"/>
      <c r="AP791" s="241"/>
      <c r="AQ791" s="241"/>
      <c r="AR791" s="241"/>
      <c r="AS791" s="241"/>
      <c r="AT791" s="241"/>
      <c r="AU791" s="241"/>
      <c r="AV791" s="241"/>
      <c r="AW791" s="241"/>
      <c r="AX791" s="241"/>
      <c r="AY791" s="241"/>
      <c r="AZ791" s="241"/>
      <c r="BA791" s="241"/>
      <c r="BB791" s="241"/>
      <c r="BC791" s="241"/>
      <c r="BD791" s="241"/>
      <c r="BE791" s="241"/>
      <c r="BF791" s="241"/>
      <c r="BG791" s="241"/>
      <c r="BH791" s="241"/>
      <c r="BI791" s="241"/>
      <c r="BJ791" s="241"/>
      <c r="BK791" s="241"/>
      <c r="BL791" s="241"/>
      <c r="BM791" s="241"/>
    </row>
    <row r="792" spans="1:65" ht="13.5" customHeight="1" x14ac:dyDescent="0.3">
      <c r="A792" s="241"/>
      <c r="B792" s="241"/>
      <c r="C792" s="241"/>
      <c r="D792" s="241"/>
      <c r="E792" s="241"/>
      <c r="F792" s="241"/>
      <c r="G792" s="241"/>
      <c r="H792" s="241"/>
      <c r="I792" s="241"/>
      <c r="J792" s="241"/>
      <c r="K792" s="241"/>
      <c r="L792" s="241"/>
      <c r="M792" s="241"/>
      <c r="N792" s="241"/>
      <c r="O792" s="241"/>
      <c r="P792" s="241"/>
      <c r="Q792" s="241"/>
      <c r="R792" s="241"/>
      <c r="S792" s="241"/>
      <c r="T792" s="241"/>
      <c r="U792" s="241"/>
      <c r="V792" s="241"/>
      <c r="W792" s="241"/>
      <c r="X792" s="241"/>
      <c r="Y792" s="241"/>
      <c r="Z792" s="241"/>
      <c r="AA792" s="241"/>
      <c r="AB792" s="241"/>
      <c r="AC792" s="241"/>
      <c r="AD792" s="241"/>
      <c r="AE792" s="241"/>
      <c r="AF792" s="241"/>
      <c r="AG792" s="241"/>
      <c r="AH792" s="241"/>
      <c r="AI792" s="241"/>
      <c r="AJ792" s="241"/>
      <c r="AK792" s="241"/>
      <c r="AL792" s="241"/>
      <c r="AM792" s="241"/>
      <c r="AN792" s="241"/>
      <c r="AO792" s="241"/>
      <c r="AP792" s="241"/>
      <c r="AQ792" s="241"/>
      <c r="AR792" s="241"/>
      <c r="AS792" s="241"/>
      <c r="AT792" s="241"/>
      <c r="AU792" s="241"/>
      <c r="AV792" s="241"/>
      <c r="AW792" s="241"/>
      <c r="AX792" s="241"/>
      <c r="AY792" s="241"/>
      <c r="AZ792" s="241"/>
      <c r="BA792" s="241"/>
      <c r="BB792" s="241"/>
      <c r="BC792" s="241"/>
      <c r="BD792" s="241"/>
      <c r="BE792" s="241"/>
      <c r="BF792" s="241"/>
      <c r="BG792" s="241"/>
      <c r="BH792" s="241"/>
      <c r="BI792" s="241"/>
      <c r="BJ792" s="241"/>
      <c r="BK792" s="241"/>
      <c r="BL792" s="241"/>
      <c r="BM792" s="241"/>
    </row>
    <row r="793" spans="1:65" ht="13.5" customHeight="1" x14ac:dyDescent="0.3">
      <c r="A793" s="241"/>
      <c r="B793" s="241"/>
      <c r="C793" s="241"/>
      <c r="D793" s="241"/>
      <c r="E793" s="241"/>
      <c r="F793" s="241"/>
      <c r="G793" s="241"/>
      <c r="H793" s="241"/>
      <c r="I793" s="241"/>
      <c r="J793" s="241"/>
      <c r="K793" s="241"/>
      <c r="L793" s="241"/>
      <c r="M793" s="241"/>
      <c r="N793" s="241"/>
      <c r="O793" s="241"/>
      <c r="P793" s="241"/>
      <c r="Q793" s="241"/>
      <c r="R793" s="241"/>
      <c r="S793" s="241"/>
      <c r="T793" s="241"/>
      <c r="U793" s="241"/>
      <c r="V793" s="241"/>
      <c r="W793" s="241"/>
      <c r="X793" s="241"/>
      <c r="Y793" s="241"/>
      <c r="Z793" s="241"/>
      <c r="AA793" s="241"/>
      <c r="AB793" s="241"/>
      <c r="AC793" s="241"/>
      <c r="AD793" s="241"/>
      <c r="AE793" s="241"/>
      <c r="AF793" s="241"/>
      <c r="AG793" s="241"/>
      <c r="AH793" s="241"/>
      <c r="AI793" s="241"/>
      <c r="AJ793" s="241"/>
      <c r="AK793" s="241"/>
      <c r="AL793" s="241"/>
      <c r="AM793" s="241"/>
      <c r="AN793" s="241"/>
      <c r="AO793" s="241"/>
      <c r="AP793" s="241"/>
      <c r="AQ793" s="241"/>
      <c r="AR793" s="241"/>
      <c r="AS793" s="241"/>
      <c r="AT793" s="241"/>
      <c r="AU793" s="241"/>
      <c r="AV793" s="241"/>
      <c r="AW793" s="241"/>
      <c r="AX793" s="241"/>
      <c r="AY793" s="241"/>
      <c r="AZ793" s="241"/>
      <c r="BA793" s="241"/>
      <c r="BB793" s="241"/>
      <c r="BC793" s="241"/>
      <c r="BD793" s="241"/>
      <c r="BE793" s="241"/>
      <c r="BF793" s="241"/>
      <c r="BG793" s="241"/>
      <c r="BH793" s="241"/>
      <c r="BI793" s="241"/>
      <c r="BJ793" s="241"/>
      <c r="BK793" s="241"/>
      <c r="BL793" s="241"/>
      <c r="BM793" s="241"/>
    </row>
    <row r="794" spans="1:65" ht="13.5" customHeight="1" x14ac:dyDescent="0.3">
      <c r="A794" s="241"/>
      <c r="B794" s="241"/>
      <c r="C794" s="241"/>
      <c r="D794" s="241"/>
      <c r="E794" s="241"/>
      <c r="F794" s="241"/>
      <c r="G794" s="241"/>
      <c r="H794" s="241"/>
      <c r="I794" s="241"/>
      <c r="J794" s="241"/>
      <c r="K794" s="241"/>
      <c r="L794" s="241"/>
      <c r="M794" s="241"/>
      <c r="N794" s="241"/>
      <c r="O794" s="241"/>
      <c r="P794" s="241"/>
      <c r="Q794" s="241"/>
      <c r="R794" s="241"/>
      <c r="S794" s="241"/>
      <c r="T794" s="241"/>
      <c r="U794" s="241"/>
      <c r="V794" s="241"/>
      <c r="W794" s="241"/>
      <c r="X794" s="241"/>
      <c r="Y794" s="241"/>
      <c r="Z794" s="241"/>
      <c r="AA794" s="241"/>
      <c r="AB794" s="241"/>
      <c r="AC794" s="241"/>
      <c r="AD794" s="241"/>
      <c r="AE794" s="241"/>
      <c r="AF794" s="241"/>
      <c r="AG794" s="241"/>
      <c r="AH794" s="241"/>
      <c r="AI794" s="241"/>
      <c r="AJ794" s="241"/>
      <c r="AK794" s="241"/>
      <c r="AL794" s="241"/>
      <c r="AM794" s="241"/>
      <c r="AN794" s="241"/>
      <c r="AO794" s="241"/>
      <c r="AP794" s="241"/>
      <c r="AQ794" s="241"/>
      <c r="AR794" s="241"/>
      <c r="AS794" s="241"/>
      <c r="AT794" s="241"/>
      <c r="AU794" s="241"/>
      <c r="AV794" s="241"/>
      <c r="AW794" s="241"/>
      <c r="AX794" s="241"/>
      <c r="AY794" s="241"/>
      <c r="AZ794" s="241"/>
      <c r="BA794" s="241"/>
      <c r="BB794" s="241"/>
      <c r="BC794" s="241"/>
      <c r="BD794" s="241"/>
      <c r="BE794" s="241"/>
      <c r="BF794" s="241"/>
      <c r="BG794" s="241"/>
      <c r="BH794" s="241"/>
      <c r="BI794" s="241"/>
      <c r="BJ794" s="241"/>
      <c r="BK794" s="241"/>
      <c r="BL794" s="241"/>
      <c r="BM794" s="241"/>
    </row>
    <row r="795" spans="1:65" ht="13.5" customHeight="1" x14ac:dyDescent="0.3">
      <c r="A795" s="241"/>
      <c r="B795" s="241"/>
      <c r="C795" s="241"/>
      <c r="D795" s="241"/>
      <c r="E795" s="241"/>
      <c r="F795" s="241"/>
      <c r="G795" s="241"/>
      <c r="H795" s="241"/>
      <c r="I795" s="241"/>
      <c r="J795" s="241"/>
      <c r="K795" s="241"/>
      <c r="L795" s="241"/>
      <c r="M795" s="241"/>
      <c r="N795" s="241"/>
      <c r="O795" s="241"/>
      <c r="P795" s="241"/>
      <c r="Q795" s="241"/>
      <c r="R795" s="241"/>
      <c r="S795" s="241"/>
      <c r="T795" s="241"/>
      <c r="U795" s="241"/>
      <c r="V795" s="241"/>
      <c r="W795" s="241"/>
      <c r="X795" s="241"/>
      <c r="Y795" s="241"/>
      <c r="Z795" s="241"/>
      <c r="AA795" s="241"/>
      <c r="AB795" s="241"/>
      <c r="AC795" s="241"/>
      <c r="AD795" s="241"/>
      <c r="AE795" s="241"/>
      <c r="AF795" s="241"/>
      <c r="AG795" s="241"/>
      <c r="AH795" s="241"/>
      <c r="AI795" s="241"/>
      <c r="AJ795" s="241"/>
      <c r="AK795" s="241"/>
      <c r="AL795" s="241"/>
      <c r="AM795" s="241"/>
      <c r="AN795" s="241"/>
      <c r="AO795" s="241"/>
      <c r="AP795" s="241"/>
      <c r="AQ795" s="241"/>
      <c r="AR795" s="241"/>
      <c r="AS795" s="241"/>
      <c r="AT795" s="241"/>
      <c r="AU795" s="241"/>
      <c r="AV795" s="241"/>
      <c r="AW795" s="241"/>
      <c r="AX795" s="241"/>
      <c r="AY795" s="241"/>
      <c r="AZ795" s="241"/>
      <c r="BA795" s="241"/>
      <c r="BB795" s="241"/>
      <c r="BC795" s="241"/>
      <c r="BD795" s="241"/>
      <c r="BE795" s="241"/>
      <c r="BF795" s="241"/>
      <c r="BG795" s="241"/>
      <c r="BH795" s="241"/>
      <c r="BI795" s="241"/>
      <c r="BJ795" s="241"/>
      <c r="BK795" s="241"/>
      <c r="BL795" s="241"/>
      <c r="BM795" s="241"/>
    </row>
    <row r="796" spans="1:65" ht="13.5" customHeight="1" x14ac:dyDescent="0.3">
      <c r="A796" s="241"/>
      <c r="B796" s="241"/>
      <c r="C796" s="241"/>
      <c r="D796" s="241"/>
      <c r="E796" s="241"/>
      <c r="F796" s="241"/>
      <c r="G796" s="241"/>
      <c r="H796" s="241"/>
      <c r="I796" s="241"/>
      <c r="J796" s="241"/>
      <c r="K796" s="241"/>
      <c r="L796" s="241"/>
      <c r="M796" s="241"/>
      <c r="N796" s="241"/>
      <c r="O796" s="241"/>
      <c r="P796" s="241"/>
      <c r="Q796" s="241"/>
      <c r="R796" s="241"/>
      <c r="S796" s="241"/>
      <c r="T796" s="241"/>
      <c r="U796" s="241"/>
      <c r="V796" s="241"/>
      <c r="W796" s="241"/>
      <c r="X796" s="241"/>
      <c r="Y796" s="241"/>
      <c r="Z796" s="241"/>
      <c r="AA796" s="241"/>
      <c r="AB796" s="241"/>
      <c r="AC796" s="241"/>
      <c r="AD796" s="241"/>
      <c r="AE796" s="241"/>
      <c r="AF796" s="241"/>
      <c r="AG796" s="241"/>
      <c r="AH796" s="241"/>
      <c r="AI796" s="241"/>
      <c r="AJ796" s="241"/>
      <c r="AK796" s="241"/>
      <c r="AL796" s="241"/>
      <c r="AM796" s="241"/>
      <c r="AN796" s="241"/>
      <c r="AO796" s="241"/>
      <c r="AP796" s="241"/>
      <c r="AQ796" s="241"/>
      <c r="AR796" s="241"/>
      <c r="AS796" s="241"/>
      <c r="AT796" s="241"/>
      <c r="AU796" s="241"/>
      <c r="AV796" s="241"/>
      <c r="AW796" s="241"/>
      <c r="AX796" s="241"/>
      <c r="AY796" s="241"/>
      <c r="AZ796" s="241"/>
      <c r="BA796" s="241"/>
      <c r="BB796" s="241"/>
      <c r="BC796" s="241"/>
      <c r="BD796" s="241"/>
      <c r="BE796" s="241"/>
      <c r="BF796" s="241"/>
      <c r="BG796" s="241"/>
      <c r="BH796" s="241"/>
      <c r="BI796" s="241"/>
      <c r="BJ796" s="241"/>
      <c r="BK796" s="241"/>
      <c r="BL796" s="241"/>
      <c r="BM796" s="241"/>
    </row>
    <row r="797" spans="1:65" ht="13.5" customHeight="1" x14ac:dyDescent="0.3">
      <c r="A797" s="241"/>
      <c r="B797" s="241"/>
      <c r="C797" s="241"/>
      <c r="D797" s="241"/>
      <c r="E797" s="241"/>
      <c r="F797" s="241"/>
      <c r="G797" s="241"/>
      <c r="H797" s="241"/>
      <c r="I797" s="241"/>
      <c r="J797" s="241"/>
      <c r="K797" s="241"/>
      <c r="L797" s="241"/>
      <c r="M797" s="241"/>
      <c r="N797" s="241"/>
      <c r="O797" s="241"/>
      <c r="P797" s="241"/>
      <c r="Q797" s="241"/>
      <c r="R797" s="241"/>
      <c r="S797" s="241"/>
      <c r="T797" s="241"/>
      <c r="U797" s="241"/>
      <c r="V797" s="241"/>
      <c r="W797" s="241"/>
      <c r="X797" s="241"/>
      <c r="Y797" s="241"/>
      <c r="Z797" s="241"/>
      <c r="AA797" s="241"/>
      <c r="AB797" s="241"/>
      <c r="AC797" s="241"/>
      <c r="AD797" s="241"/>
      <c r="AE797" s="241"/>
      <c r="AF797" s="241"/>
      <c r="AG797" s="241"/>
      <c r="AH797" s="241"/>
      <c r="AI797" s="241"/>
      <c r="AJ797" s="241"/>
      <c r="AK797" s="241"/>
      <c r="AL797" s="241"/>
      <c r="AM797" s="241"/>
      <c r="AN797" s="241"/>
      <c r="AO797" s="241"/>
      <c r="AP797" s="241"/>
      <c r="AQ797" s="241"/>
      <c r="AR797" s="241"/>
      <c r="AS797" s="241"/>
      <c r="AT797" s="241"/>
      <c r="AU797" s="241"/>
      <c r="AV797" s="241"/>
      <c r="AW797" s="241"/>
      <c r="AX797" s="241"/>
      <c r="AY797" s="241"/>
      <c r="AZ797" s="241"/>
      <c r="BA797" s="241"/>
      <c r="BB797" s="241"/>
      <c r="BC797" s="241"/>
      <c r="BD797" s="241"/>
      <c r="BE797" s="241"/>
      <c r="BF797" s="241"/>
      <c r="BG797" s="241"/>
      <c r="BH797" s="241"/>
      <c r="BI797" s="241"/>
      <c r="BJ797" s="241"/>
      <c r="BK797" s="241"/>
      <c r="BL797" s="241"/>
      <c r="BM797" s="241"/>
    </row>
    <row r="798" spans="1:65" ht="13.5" customHeight="1" x14ac:dyDescent="0.3">
      <c r="A798" s="241"/>
      <c r="B798" s="241"/>
      <c r="C798" s="241"/>
      <c r="D798" s="241"/>
      <c r="E798" s="241"/>
      <c r="F798" s="241"/>
      <c r="G798" s="241"/>
      <c r="H798" s="241"/>
      <c r="I798" s="241"/>
      <c r="J798" s="241"/>
      <c r="K798" s="241"/>
      <c r="L798" s="241"/>
      <c r="M798" s="241"/>
      <c r="N798" s="241"/>
      <c r="O798" s="241"/>
      <c r="P798" s="241"/>
      <c r="Q798" s="241"/>
      <c r="R798" s="241"/>
      <c r="S798" s="241"/>
      <c r="T798" s="241"/>
      <c r="U798" s="241"/>
      <c r="V798" s="241"/>
      <c r="W798" s="241"/>
      <c r="X798" s="241"/>
      <c r="Y798" s="241"/>
      <c r="Z798" s="241"/>
      <c r="AA798" s="241"/>
      <c r="AB798" s="241"/>
      <c r="AC798" s="241"/>
      <c r="AD798" s="241"/>
      <c r="AE798" s="241"/>
      <c r="AF798" s="241"/>
      <c r="AG798" s="241"/>
      <c r="AH798" s="241"/>
      <c r="AI798" s="241"/>
      <c r="AJ798" s="241"/>
      <c r="AK798" s="241"/>
      <c r="AL798" s="241"/>
      <c r="AM798" s="241"/>
      <c r="AN798" s="241"/>
      <c r="AO798" s="241"/>
      <c r="AP798" s="241"/>
      <c r="AQ798" s="241"/>
      <c r="AR798" s="241"/>
      <c r="AS798" s="241"/>
      <c r="AT798" s="241"/>
      <c r="AU798" s="241"/>
      <c r="AV798" s="241"/>
      <c r="AW798" s="241"/>
      <c r="AX798" s="241"/>
      <c r="AY798" s="241"/>
      <c r="AZ798" s="241"/>
      <c r="BA798" s="241"/>
      <c r="BB798" s="241"/>
      <c r="BC798" s="241"/>
      <c r="BD798" s="241"/>
      <c r="BE798" s="241"/>
      <c r="BF798" s="241"/>
      <c r="BG798" s="241"/>
      <c r="BH798" s="241"/>
      <c r="BI798" s="241"/>
      <c r="BJ798" s="241"/>
      <c r="BK798" s="241"/>
      <c r="BL798" s="241"/>
      <c r="BM798" s="241"/>
    </row>
    <row r="799" spans="1:65" ht="13.5" customHeight="1" x14ac:dyDescent="0.3">
      <c r="A799" s="241"/>
      <c r="B799" s="241"/>
      <c r="C799" s="241"/>
      <c r="D799" s="241"/>
      <c r="E799" s="241"/>
      <c r="F799" s="241"/>
      <c r="G799" s="241"/>
      <c r="H799" s="241"/>
      <c r="I799" s="241"/>
      <c r="J799" s="241"/>
      <c r="K799" s="241"/>
      <c r="L799" s="241"/>
      <c r="M799" s="241"/>
      <c r="N799" s="241"/>
      <c r="O799" s="241"/>
      <c r="P799" s="241"/>
      <c r="Q799" s="241"/>
      <c r="R799" s="241"/>
      <c r="S799" s="241"/>
      <c r="T799" s="241"/>
      <c r="U799" s="241"/>
      <c r="V799" s="241"/>
      <c r="W799" s="241"/>
      <c r="X799" s="241"/>
      <c r="Y799" s="241"/>
      <c r="Z799" s="241"/>
      <c r="AA799" s="241"/>
      <c r="AB799" s="241"/>
      <c r="AC799" s="241"/>
      <c r="AD799" s="241"/>
      <c r="AE799" s="241"/>
      <c r="AF799" s="241"/>
      <c r="AG799" s="241"/>
      <c r="AH799" s="241"/>
      <c r="AI799" s="241"/>
      <c r="AJ799" s="241"/>
      <c r="AK799" s="241"/>
      <c r="AL799" s="241"/>
      <c r="AM799" s="241"/>
      <c r="AN799" s="241"/>
      <c r="AO799" s="241"/>
      <c r="AP799" s="241"/>
      <c r="AQ799" s="241"/>
      <c r="AR799" s="241"/>
      <c r="AS799" s="241"/>
      <c r="AT799" s="241"/>
      <c r="AU799" s="241"/>
      <c r="AV799" s="241"/>
      <c r="AW799" s="241"/>
      <c r="AX799" s="241"/>
      <c r="AY799" s="241"/>
      <c r="AZ799" s="241"/>
      <c r="BA799" s="241"/>
      <c r="BB799" s="241"/>
      <c r="BC799" s="241"/>
      <c r="BD799" s="241"/>
      <c r="BE799" s="241"/>
      <c r="BF799" s="241"/>
      <c r="BG799" s="241"/>
      <c r="BH799" s="241"/>
      <c r="BI799" s="241"/>
      <c r="BJ799" s="241"/>
      <c r="BK799" s="241"/>
      <c r="BL799" s="241"/>
      <c r="BM799" s="241"/>
    </row>
    <row r="800" spans="1:65" ht="13.5" customHeight="1" x14ac:dyDescent="0.3">
      <c r="A800" s="241"/>
      <c r="B800" s="241"/>
      <c r="C800" s="241"/>
      <c r="D800" s="241"/>
      <c r="E800" s="241"/>
      <c r="F800" s="241"/>
      <c r="G800" s="241"/>
      <c r="H800" s="241"/>
      <c r="I800" s="241"/>
      <c r="J800" s="241"/>
      <c r="K800" s="241"/>
      <c r="L800" s="241"/>
      <c r="M800" s="241"/>
      <c r="N800" s="241"/>
      <c r="O800" s="241"/>
      <c r="P800" s="241"/>
      <c r="Q800" s="241"/>
      <c r="R800" s="241"/>
      <c r="S800" s="241"/>
      <c r="T800" s="241"/>
      <c r="U800" s="241"/>
      <c r="V800" s="241"/>
      <c r="W800" s="241"/>
      <c r="X800" s="241"/>
      <c r="Y800" s="241"/>
      <c r="Z800" s="241"/>
      <c r="AA800" s="241"/>
      <c r="AB800" s="241"/>
      <c r="AC800" s="241"/>
      <c r="AD800" s="241"/>
      <c r="AE800" s="241"/>
      <c r="AF800" s="241"/>
      <c r="AG800" s="241"/>
      <c r="AH800" s="241"/>
      <c r="AI800" s="241"/>
      <c r="AJ800" s="241"/>
      <c r="AK800" s="241"/>
      <c r="AL800" s="241"/>
      <c r="AM800" s="241"/>
      <c r="AN800" s="241"/>
      <c r="AO800" s="241"/>
      <c r="AP800" s="241"/>
      <c r="AQ800" s="241"/>
      <c r="AR800" s="241"/>
      <c r="AS800" s="241"/>
      <c r="AT800" s="241"/>
      <c r="AU800" s="241"/>
      <c r="AV800" s="241"/>
      <c r="AW800" s="241"/>
      <c r="AX800" s="241"/>
      <c r="AY800" s="241"/>
      <c r="AZ800" s="241"/>
      <c r="BA800" s="241"/>
      <c r="BB800" s="241"/>
      <c r="BC800" s="241"/>
      <c r="BD800" s="241"/>
      <c r="BE800" s="241"/>
      <c r="BF800" s="241"/>
      <c r="BG800" s="241"/>
      <c r="BH800" s="241"/>
      <c r="BI800" s="241"/>
      <c r="BJ800" s="241"/>
      <c r="BK800" s="241"/>
      <c r="BL800" s="241"/>
      <c r="BM800" s="241"/>
    </row>
    <row r="801" spans="1:65" ht="13.5" customHeight="1" x14ac:dyDescent="0.3">
      <c r="A801" s="241"/>
      <c r="B801" s="241"/>
      <c r="C801" s="241"/>
      <c r="D801" s="241"/>
      <c r="E801" s="241"/>
      <c r="F801" s="241"/>
      <c r="G801" s="241"/>
      <c r="H801" s="241"/>
      <c r="I801" s="241"/>
      <c r="J801" s="241"/>
      <c r="K801" s="241"/>
      <c r="L801" s="241"/>
      <c r="M801" s="241"/>
      <c r="N801" s="241"/>
      <c r="O801" s="241"/>
      <c r="P801" s="241"/>
      <c r="Q801" s="241"/>
      <c r="R801" s="241"/>
      <c r="S801" s="241"/>
      <c r="T801" s="241"/>
      <c r="U801" s="241"/>
      <c r="V801" s="241"/>
      <c r="W801" s="241"/>
      <c r="X801" s="241"/>
      <c r="Y801" s="241"/>
      <c r="Z801" s="241"/>
      <c r="AA801" s="241"/>
      <c r="AB801" s="241"/>
      <c r="AC801" s="241"/>
      <c r="AD801" s="241"/>
      <c r="AE801" s="241"/>
      <c r="AF801" s="241"/>
      <c r="AG801" s="241"/>
      <c r="AH801" s="241"/>
      <c r="AI801" s="241"/>
      <c r="AJ801" s="241"/>
      <c r="AK801" s="241"/>
      <c r="AL801" s="241"/>
      <c r="AM801" s="241"/>
      <c r="AN801" s="241"/>
      <c r="AO801" s="241"/>
      <c r="AP801" s="241"/>
      <c r="AQ801" s="241"/>
      <c r="AR801" s="241"/>
      <c r="AS801" s="241"/>
      <c r="AT801" s="241"/>
      <c r="AU801" s="241"/>
      <c r="AV801" s="241"/>
      <c r="AW801" s="241"/>
      <c r="AX801" s="241"/>
      <c r="AY801" s="241"/>
      <c r="AZ801" s="241"/>
      <c r="BA801" s="241"/>
      <c r="BB801" s="241"/>
      <c r="BC801" s="241"/>
      <c r="BD801" s="241"/>
      <c r="BE801" s="241"/>
      <c r="BF801" s="241"/>
      <c r="BG801" s="241"/>
      <c r="BH801" s="241"/>
      <c r="BI801" s="241"/>
      <c r="BJ801" s="241"/>
      <c r="BK801" s="241"/>
      <c r="BL801" s="241"/>
      <c r="BM801" s="241"/>
    </row>
    <row r="802" spans="1:65" ht="13.5" customHeight="1" x14ac:dyDescent="0.3">
      <c r="A802" s="241"/>
      <c r="B802" s="241"/>
      <c r="C802" s="241"/>
      <c r="D802" s="241"/>
      <c r="E802" s="241"/>
      <c r="F802" s="241"/>
      <c r="G802" s="241"/>
      <c r="H802" s="241"/>
      <c r="I802" s="241"/>
      <c r="J802" s="241"/>
      <c r="K802" s="241"/>
      <c r="L802" s="241"/>
      <c r="M802" s="241"/>
      <c r="N802" s="241"/>
      <c r="O802" s="241"/>
      <c r="P802" s="241"/>
      <c r="Q802" s="241"/>
      <c r="R802" s="241"/>
      <c r="S802" s="241"/>
      <c r="T802" s="241"/>
      <c r="U802" s="241"/>
      <c r="V802" s="241"/>
      <c r="W802" s="241"/>
      <c r="X802" s="241"/>
      <c r="Y802" s="241"/>
      <c r="Z802" s="241"/>
      <c r="AA802" s="241"/>
      <c r="AB802" s="241"/>
      <c r="AC802" s="241"/>
      <c r="AD802" s="241"/>
      <c r="AE802" s="241"/>
      <c r="AF802" s="241"/>
      <c r="AG802" s="241"/>
      <c r="AH802" s="241"/>
      <c r="AI802" s="241"/>
      <c r="AJ802" s="241"/>
      <c r="AK802" s="241"/>
      <c r="AL802" s="241"/>
      <c r="AM802" s="241"/>
      <c r="AN802" s="241"/>
      <c r="AO802" s="241"/>
      <c r="AP802" s="241"/>
      <c r="AQ802" s="241"/>
      <c r="AR802" s="241"/>
      <c r="AS802" s="241"/>
      <c r="AT802" s="241"/>
      <c r="AU802" s="241"/>
      <c r="AV802" s="241"/>
      <c r="AW802" s="241"/>
      <c r="AX802" s="241"/>
      <c r="AY802" s="241"/>
      <c r="AZ802" s="241"/>
      <c r="BA802" s="241"/>
      <c r="BB802" s="241"/>
      <c r="BC802" s="241"/>
      <c r="BD802" s="241"/>
      <c r="BE802" s="241"/>
      <c r="BF802" s="241"/>
      <c r="BG802" s="241"/>
      <c r="BH802" s="241"/>
      <c r="BI802" s="241"/>
      <c r="BJ802" s="241"/>
      <c r="BK802" s="241"/>
      <c r="BL802" s="241"/>
      <c r="BM802" s="241"/>
    </row>
    <row r="803" spans="1:65" ht="13.5" customHeight="1" x14ac:dyDescent="0.3">
      <c r="A803" s="241"/>
      <c r="B803" s="241"/>
      <c r="C803" s="241"/>
      <c r="D803" s="241"/>
      <c r="E803" s="241"/>
      <c r="F803" s="241"/>
      <c r="G803" s="241"/>
      <c r="H803" s="241"/>
      <c r="I803" s="241"/>
      <c r="J803" s="241"/>
      <c r="K803" s="241"/>
      <c r="L803" s="241"/>
      <c r="M803" s="241"/>
      <c r="N803" s="241"/>
      <c r="O803" s="241"/>
      <c r="P803" s="241"/>
      <c r="Q803" s="241"/>
      <c r="R803" s="241"/>
      <c r="S803" s="241"/>
      <c r="T803" s="241"/>
      <c r="U803" s="241"/>
      <c r="V803" s="241"/>
      <c r="W803" s="241"/>
      <c r="X803" s="241"/>
      <c r="Y803" s="241"/>
      <c r="Z803" s="241"/>
      <c r="AA803" s="241"/>
      <c r="AB803" s="241"/>
      <c r="AC803" s="241"/>
      <c r="AD803" s="241"/>
      <c r="AE803" s="241"/>
      <c r="AF803" s="241"/>
      <c r="AG803" s="241"/>
      <c r="AH803" s="241"/>
      <c r="AI803" s="241"/>
      <c r="AJ803" s="241"/>
      <c r="AK803" s="241"/>
      <c r="AL803" s="241"/>
      <c r="AM803" s="241"/>
      <c r="AN803" s="241"/>
      <c r="AO803" s="241"/>
      <c r="AP803" s="241"/>
      <c r="AQ803" s="241"/>
      <c r="AR803" s="241"/>
      <c r="AS803" s="241"/>
      <c r="AT803" s="241"/>
      <c r="AU803" s="241"/>
      <c r="AV803" s="241"/>
      <c r="AW803" s="241"/>
      <c r="AX803" s="241"/>
      <c r="AY803" s="241"/>
      <c r="AZ803" s="241"/>
      <c r="BA803" s="241"/>
      <c r="BB803" s="241"/>
      <c r="BC803" s="241"/>
      <c r="BD803" s="241"/>
      <c r="BE803" s="241"/>
      <c r="BF803" s="241"/>
      <c r="BG803" s="241"/>
      <c r="BH803" s="241"/>
      <c r="BI803" s="241"/>
      <c r="BJ803" s="241"/>
      <c r="BK803" s="241"/>
      <c r="BL803" s="241"/>
      <c r="BM803" s="241"/>
    </row>
    <row r="804" spans="1:65" ht="13.5" customHeight="1" x14ac:dyDescent="0.3">
      <c r="A804" s="241"/>
      <c r="B804" s="241"/>
      <c r="C804" s="241"/>
      <c r="D804" s="241"/>
      <c r="E804" s="241"/>
      <c r="F804" s="241"/>
      <c r="G804" s="241"/>
      <c r="H804" s="241"/>
      <c r="I804" s="241"/>
      <c r="J804" s="241"/>
      <c r="K804" s="241"/>
      <c r="L804" s="241"/>
      <c r="M804" s="241"/>
      <c r="N804" s="241"/>
      <c r="O804" s="241"/>
      <c r="P804" s="241"/>
      <c r="Q804" s="241"/>
      <c r="R804" s="241"/>
      <c r="S804" s="241"/>
      <c r="T804" s="241"/>
      <c r="U804" s="241"/>
      <c r="V804" s="241"/>
      <c r="W804" s="241"/>
      <c r="X804" s="241"/>
      <c r="Y804" s="241"/>
      <c r="Z804" s="241"/>
      <c r="AA804" s="241"/>
      <c r="AB804" s="241"/>
      <c r="AC804" s="241"/>
      <c r="AD804" s="241"/>
      <c r="AE804" s="241"/>
      <c r="AF804" s="241"/>
      <c r="AG804" s="241"/>
      <c r="AH804" s="241"/>
      <c r="AI804" s="241"/>
      <c r="AJ804" s="241"/>
      <c r="AK804" s="241"/>
      <c r="AL804" s="241"/>
      <c r="AM804" s="241"/>
      <c r="AN804" s="241"/>
      <c r="AO804" s="241"/>
      <c r="AP804" s="241"/>
      <c r="AQ804" s="241"/>
      <c r="AR804" s="241"/>
      <c r="AS804" s="241"/>
      <c r="AT804" s="241"/>
      <c r="AU804" s="241"/>
      <c r="AV804" s="241"/>
      <c r="AW804" s="241"/>
      <c r="AX804" s="241"/>
      <c r="AY804" s="241"/>
      <c r="AZ804" s="241"/>
      <c r="BA804" s="241"/>
      <c r="BB804" s="241"/>
      <c r="BC804" s="241"/>
      <c r="BD804" s="241"/>
      <c r="BE804" s="241"/>
      <c r="BF804" s="241"/>
      <c r="BG804" s="241"/>
      <c r="BH804" s="241"/>
      <c r="BI804" s="241"/>
      <c r="BJ804" s="241"/>
      <c r="BK804" s="241"/>
      <c r="BL804" s="241"/>
      <c r="BM804" s="241"/>
    </row>
    <row r="805" spans="1:65" ht="13.5" customHeight="1" x14ac:dyDescent="0.3">
      <c r="A805" s="241"/>
      <c r="B805" s="241"/>
      <c r="C805" s="241"/>
      <c r="D805" s="241"/>
      <c r="E805" s="241"/>
      <c r="F805" s="241"/>
      <c r="G805" s="241"/>
      <c r="H805" s="241"/>
      <c r="I805" s="241"/>
      <c r="J805" s="241"/>
      <c r="K805" s="241"/>
      <c r="L805" s="241"/>
      <c r="M805" s="241"/>
      <c r="N805" s="241"/>
      <c r="O805" s="241"/>
      <c r="P805" s="241"/>
      <c r="Q805" s="241"/>
      <c r="R805" s="241"/>
      <c r="S805" s="241"/>
      <c r="T805" s="241"/>
      <c r="U805" s="241"/>
      <c r="V805" s="241"/>
      <c r="W805" s="241"/>
      <c r="X805" s="241"/>
      <c r="Y805" s="241"/>
      <c r="Z805" s="241"/>
      <c r="AA805" s="241"/>
      <c r="AB805" s="241"/>
      <c r="AC805" s="241"/>
      <c r="AD805" s="241"/>
      <c r="AE805" s="241"/>
      <c r="AF805" s="241"/>
      <c r="AG805" s="241"/>
      <c r="AH805" s="241"/>
      <c r="AI805" s="241"/>
      <c r="AJ805" s="241"/>
      <c r="AK805" s="241"/>
      <c r="AL805" s="241"/>
      <c r="AM805" s="241"/>
      <c r="AN805" s="241"/>
      <c r="AO805" s="241"/>
      <c r="AP805" s="241"/>
      <c r="AQ805" s="241"/>
      <c r="AR805" s="241"/>
      <c r="AS805" s="241"/>
      <c r="AT805" s="241"/>
      <c r="AU805" s="241"/>
      <c r="AV805" s="241"/>
      <c r="AW805" s="241"/>
      <c r="AX805" s="241"/>
      <c r="AY805" s="241"/>
      <c r="AZ805" s="241"/>
      <c r="BA805" s="241"/>
      <c r="BB805" s="241"/>
      <c r="BC805" s="241"/>
      <c r="BD805" s="241"/>
      <c r="BE805" s="241"/>
      <c r="BF805" s="241"/>
      <c r="BG805" s="241"/>
      <c r="BH805" s="241"/>
      <c r="BI805" s="241"/>
      <c r="BJ805" s="241"/>
      <c r="BK805" s="241"/>
      <c r="BL805" s="241"/>
      <c r="BM805" s="241"/>
    </row>
    <row r="806" spans="1:65" ht="13.5" customHeight="1" x14ac:dyDescent="0.3">
      <c r="A806" s="241"/>
      <c r="B806" s="241"/>
      <c r="C806" s="241"/>
      <c r="D806" s="241"/>
      <c r="E806" s="241"/>
      <c r="F806" s="241"/>
      <c r="G806" s="241"/>
      <c r="H806" s="241"/>
      <c r="I806" s="241"/>
      <c r="J806" s="241"/>
      <c r="K806" s="241"/>
      <c r="L806" s="241"/>
      <c r="M806" s="241"/>
      <c r="N806" s="241"/>
      <c r="O806" s="241"/>
      <c r="P806" s="241"/>
      <c r="Q806" s="241"/>
      <c r="R806" s="241"/>
      <c r="S806" s="241"/>
      <c r="T806" s="241"/>
      <c r="U806" s="241"/>
      <c r="V806" s="241"/>
      <c r="W806" s="241"/>
      <c r="X806" s="241"/>
      <c r="Y806" s="241"/>
      <c r="Z806" s="241"/>
      <c r="AA806" s="241"/>
      <c r="AB806" s="241"/>
      <c r="AC806" s="241"/>
      <c r="AD806" s="241"/>
      <c r="AE806" s="241"/>
      <c r="AF806" s="241"/>
      <c r="AG806" s="241"/>
      <c r="AH806" s="241"/>
      <c r="AI806" s="241"/>
      <c r="AJ806" s="241"/>
      <c r="AK806" s="241"/>
      <c r="AL806" s="241"/>
      <c r="AM806" s="241"/>
      <c r="AN806" s="241"/>
      <c r="AO806" s="241"/>
      <c r="AP806" s="241"/>
      <c r="AQ806" s="241"/>
      <c r="AR806" s="241"/>
      <c r="AS806" s="241"/>
      <c r="AT806" s="241"/>
      <c r="AU806" s="241"/>
      <c r="AV806" s="241"/>
      <c r="AW806" s="241"/>
      <c r="AX806" s="241"/>
      <c r="AY806" s="241"/>
      <c r="AZ806" s="241"/>
      <c r="BA806" s="241"/>
      <c r="BB806" s="241"/>
      <c r="BC806" s="241"/>
      <c r="BD806" s="241"/>
      <c r="BE806" s="241"/>
      <c r="BF806" s="241"/>
      <c r="BG806" s="241"/>
      <c r="BH806" s="241"/>
      <c r="BI806" s="241"/>
      <c r="BJ806" s="241"/>
      <c r="BK806" s="241"/>
      <c r="BL806" s="241"/>
      <c r="BM806" s="241"/>
    </row>
    <row r="807" spans="1:65" ht="13.5" customHeight="1" x14ac:dyDescent="0.3">
      <c r="A807" s="241"/>
      <c r="B807" s="241"/>
      <c r="C807" s="241"/>
      <c r="D807" s="241"/>
      <c r="E807" s="241"/>
      <c r="F807" s="241"/>
      <c r="G807" s="241"/>
      <c r="H807" s="241"/>
      <c r="I807" s="241"/>
      <c r="J807" s="241"/>
      <c r="K807" s="241"/>
      <c r="L807" s="241"/>
      <c r="M807" s="241"/>
      <c r="N807" s="241"/>
      <c r="O807" s="241"/>
      <c r="P807" s="241"/>
      <c r="Q807" s="241"/>
      <c r="R807" s="241"/>
      <c r="S807" s="241"/>
      <c r="T807" s="241"/>
      <c r="U807" s="241"/>
      <c r="V807" s="241"/>
      <c r="W807" s="241"/>
      <c r="X807" s="241"/>
      <c r="Y807" s="241"/>
      <c r="Z807" s="241"/>
      <c r="AA807" s="241"/>
      <c r="AB807" s="241"/>
      <c r="AC807" s="241"/>
      <c r="AD807" s="241"/>
      <c r="AE807" s="241"/>
      <c r="AF807" s="241"/>
      <c r="AG807" s="241"/>
      <c r="AH807" s="241"/>
      <c r="AI807" s="241"/>
      <c r="AJ807" s="241"/>
      <c r="AK807" s="241"/>
      <c r="AL807" s="241"/>
      <c r="AM807" s="241"/>
      <c r="AN807" s="241"/>
      <c r="AO807" s="241"/>
      <c r="AP807" s="241"/>
      <c r="AQ807" s="241"/>
      <c r="AR807" s="241"/>
      <c r="AS807" s="241"/>
      <c r="AT807" s="241"/>
      <c r="AU807" s="241"/>
      <c r="AV807" s="241"/>
      <c r="AW807" s="241"/>
      <c r="AX807" s="241"/>
      <c r="AY807" s="241"/>
      <c r="AZ807" s="241"/>
      <c r="BA807" s="241"/>
      <c r="BB807" s="241"/>
      <c r="BC807" s="241"/>
      <c r="BD807" s="241"/>
      <c r="BE807" s="241"/>
      <c r="BF807" s="241"/>
      <c r="BG807" s="241"/>
      <c r="BH807" s="241"/>
      <c r="BI807" s="241"/>
      <c r="BJ807" s="241"/>
      <c r="BK807" s="241"/>
      <c r="BL807" s="241"/>
      <c r="BM807" s="241"/>
    </row>
    <row r="808" spans="1:65" ht="13.5" customHeight="1" x14ac:dyDescent="0.3">
      <c r="A808" s="241"/>
      <c r="B808" s="241"/>
      <c r="C808" s="241"/>
      <c r="D808" s="241"/>
      <c r="E808" s="241"/>
      <c r="F808" s="241"/>
      <c r="G808" s="241"/>
      <c r="H808" s="241"/>
      <c r="I808" s="241"/>
      <c r="J808" s="241"/>
      <c r="K808" s="241"/>
      <c r="L808" s="241"/>
      <c r="M808" s="241"/>
      <c r="N808" s="241"/>
      <c r="O808" s="241"/>
      <c r="P808" s="241"/>
      <c r="Q808" s="241"/>
      <c r="R808" s="241"/>
      <c r="S808" s="241"/>
      <c r="T808" s="241"/>
      <c r="U808" s="241"/>
      <c r="V808" s="241"/>
      <c r="W808" s="241"/>
      <c r="X808" s="241"/>
      <c r="Y808" s="241"/>
      <c r="Z808" s="241"/>
      <c r="AA808" s="241"/>
      <c r="AB808" s="241"/>
      <c r="AC808" s="241"/>
      <c r="AD808" s="241"/>
      <c r="AE808" s="241"/>
      <c r="AF808" s="241"/>
      <c r="AG808" s="241"/>
      <c r="AH808" s="241"/>
      <c r="AI808" s="241"/>
      <c r="AJ808" s="241"/>
      <c r="AK808" s="241"/>
      <c r="AL808" s="241"/>
      <c r="AM808" s="241"/>
      <c r="AN808" s="241"/>
      <c r="AO808" s="241"/>
      <c r="AP808" s="241"/>
      <c r="AQ808" s="241"/>
      <c r="AR808" s="241"/>
      <c r="AS808" s="241"/>
      <c r="AT808" s="241"/>
      <c r="AU808" s="241"/>
      <c r="AV808" s="241"/>
      <c r="AW808" s="241"/>
      <c r="AX808" s="241"/>
      <c r="AY808" s="241"/>
      <c r="AZ808" s="241"/>
      <c r="BA808" s="241"/>
      <c r="BB808" s="241"/>
      <c r="BC808" s="241"/>
      <c r="BD808" s="241"/>
      <c r="BE808" s="241"/>
      <c r="BF808" s="241"/>
      <c r="BG808" s="241"/>
      <c r="BH808" s="241"/>
      <c r="BI808" s="241"/>
      <c r="BJ808" s="241"/>
      <c r="BK808" s="241"/>
      <c r="BL808" s="241"/>
      <c r="BM808" s="241"/>
    </row>
    <row r="809" spans="1:65" ht="13.5" customHeight="1" x14ac:dyDescent="0.3">
      <c r="A809" s="241"/>
      <c r="B809" s="241"/>
      <c r="C809" s="241"/>
      <c r="D809" s="241"/>
      <c r="E809" s="241"/>
      <c r="F809" s="241"/>
      <c r="G809" s="241"/>
      <c r="H809" s="241"/>
      <c r="I809" s="241"/>
      <c r="J809" s="241"/>
      <c r="K809" s="241"/>
      <c r="L809" s="241"/>
      <c r="M809" s="241"/>
      <c r="N809" s="241"/>
      <c r="O809" s="241"/>
      <c r="P809" s="241"/>
      <c r="Q809" s="241"/>
      <c r="R809" s="241"/>
      <c r="S809" s="241"/>
      <c r="T809" s="241"/>
      <c r="U809" s="241"/>
      <c r="V809" s="241"/>
      <c r="W809" s="241"/>
      <c r="X809" s="241"/>
      <c r="Y809" s="241"/>
      <c r="Z809" s="241"/>
      <c r="AA809" s="241"/>
      <c r="AB809" s="241"/>
      <c r="AC809" s="241"/>
      <c r="AD809" s="241"/>
      <c r="AE809" s="241"/>
      <c r="AF809" s="241"/>
      <c r="AG809" s="241"/>
      <c r="AH809" s="241"/>
      <c r="AI809" s="241"/>
      <c r="AJ809" s="241"/>
      <c r="AK809" s="241"/>
      <c r="AL809" s="241"/>
      <c r="AM809" s="241"/>
      <c r="AN809" s="241"/>
      <c r="AO809" s="241"/>
      <c r="AP809" s="241"/>
      <c r="AQ809" s="241"/>
      <c r="AR809" s="241"/>
      <c r="AS809" s="241"/>
      <c r="AT809" s="241"/>
      <c r="AU809" s="241"/>
      <c r="AV809" s="241"/>
      <c r="AW809" s="241"/>
      <c r="AX809" s="241"/>
      <c r="AY809" s="241"/>
      <c r="AZ809" s="241"/>
      <c r="BA809" s="241"/>
      <c r="BB809" s="241"/>
      <c r="BC809" s="241"/>
      <c r="BD809" s="241"/>
      <c r="BE809" s="241"/>
      <c r="BF809" s="241"/>
      <c r="BG809" s="241"/>
      <c r="BH809" s="241"/>
      <c r="BI809" s="241"/>
      <c r="BJ809" s="241"/>
      <c r="BK809" s="241"/>
      <c r="BL809" s="241"/>
      <c r="BM809" s="241"/>
    </row>
    <row r="810" spans="1:65" ht="13.5" customHeight="1" x14ac:dyDescent="0.3">
      <c r="A810" s="241"/>
      <c r="B810" s="241"/>
      <c r="C810" s="241"/>
      <c r="D810" s="241"/>
      <c r="E810" s="241"/>
      <c r="F810" s="241"/>
      <c r="G810" s="241"/>
      <c r="H810" s="241"/>
      <c r="I810" s="241"/>
      <c r="J810" s="241"/>
      <c r="K810" s="241"/>
      <c r="L810" s="241"/>
      <c r="M810" s="241"/>
      <c r="N810" s="241"/>
      <c r="O810" s="241"/>
      <c r="P810" s="241"/>
      <c r="Q810" s="241"/>
      <c r="R810" s="241"/>
      <c r="S810" s="241"/>
      <c r="T810" s="241"/>
      <c r="U810" s="241"/>
      <c r="V810" s="241"/>
      <c r="W810" s="241"/>
      <c r="X810" s="241"/>
      <c r="Y810" s="241"/>
      <c r="Z810" s="241"/>
      <c r="AA810" s="241"/>
      <c r="AB810" s="241"/>
      <c r="AC810" s="241"/>
      <c r="AD810" s="241"/>
      <c r="AE810" s="241"/>
      <c r="AF810" s="241"/>
      <c r="AG810" s="241"/>
      <c r="AH810" s="241"/>
      <c r="AI810" s="241"/>
      <c r="AJ810" s="241"/>
      <c r="AK810" s="241"/>
      <c r="AL810" s="241"/>
      <c r="AM810" s="241"/>
      <c r="AN810" s="241"/>
      <c r="AO810" s="241"/>
      <c r="AP810" s="241"/>
      <c r="AQ810" s="241"/>
      <c r="AR810" s="241"/>
      <c r="AS810" s="241"/>
      <c r="AT810" s="241"/>
      <c r="AU810" s="241"/>
      <c r="AV810" s="241"/>
      <c r="AW810" s="241"/>
      <c r="AX810" s="241"/>
      <c r="AY810" s="241"/>
      <c r="AZ810" s="241"/>
      <c r="BA810" s="241"/>
      <c r="BB810" s="241"/>
      <c r="BC810" s="241"/>
      <c r="BD810" s="241"/>
      <c r="BE810" s="241"/>
      <c r="BF810" s="241"/>
      <c r="BG810" s="241"/>
      <c r="BH810" s="241"/>
      <c r="BI810" s="241"/>
      <c r="BJ810" s="241"/>
      <c r="BK810" s="241"/>
      <c r="BL810" s="241"/>
      <c r="BM810" s="241"/>
    </row>
    <row r="811" spans="1:65" ht="13.5" customHeight="1" x14ac:dyDescent="0.3">
      <c r="A811" s="241"/>
      <c r="B811" s="241"/>
      <c r="C811" s="241"/>
      <c r="D811" s="241"/>
      <c r="E811" s="241"/>
      <c r="F811" s="241"/>
      <c r="G811" s="241"/>
      <c r="H811" s="241"/>
      <c r="I811" s="241"/>
      <c r="J811" s="241"/>
      <c r="K811" s="241"/>
      <c r="L811" s="241"/>
      <c r="M811" s="241"/>
      <c r="N811" s="241"/>
      <c r="O811" s="241"/>
      <c r="P811" s="241"/>
      <c r="Q811" s="241"/>
      <c r="R811" s="241"/>
      <c r="S811" s="241"/>
      <c r="T811" s="241"/>
      <c r="U811" s="241"/>
      <c r="V811" s="241"/>
      <c r="W811" s="241"/>
      <c r="X811" s="241"/>
      <c r="Y811" s="241"/>
      <c r="Z811" s="241"/>
      <c r="AA811" s="241"/>
      <c r="AB811" s="241"/>
      <c r="AC811" s="241"/>
      <c r="AD811" s="241"/>
      <c r="AE811" s="241"/>
      <c r="AF811" s="241"/>
      <c r="AG811" s="241"/>
      <c r="AH811" s="241"/>
      <c r="AI811" s="241"/>
      <c r="AJ811" s="241"/>
      <c r="AK811" s="241"/>
      <c r="AL811" s="241"/>
      <c r="AM811" s="241"/>
      <c r="AN811" s="241"/>
      <c r="AO811" s="241"/>
      <c r="AP811" s="241"/>
      <c r="AQ811" s="241"/>
      <c r="AR811" s="241"/>
      <c r="AS811" s="241"/>
      <c r="AT811" s="241"/>
      <c r="AU811" s="241"/>
      <c r="AV811" s="241"/>
      <c r="AW811" s="241"/>
      <c r="AX811" s="241"/>
      <c r="AY811" s="241"/>
      <c r="AZ811" s="241"/>
      <c r="BA811" s="241"/>
      <c r="BB811" s="241"/>
      <c r="BC811" s="241"/>
      <c r="BD811" s="241"/>
      <c r="BE811" s="241"/>
      <c r="BF811" s="241"/>
      <c r="BG811" s="241"/>
      <c r="BH811" s="241"/>
      <c r="BI811" s="241"/>
      <c r="BJ811" s="241"/>
      <c r="BK811" s="241"/>
      <c r="BL811" s="241"/>
      <c r="BM811" s="241"/>
    </row>
    <row r="812" spans="1:65" ht="13.5" customHeight="1" x14ac:dyDescent="0.3">
      <c r="A812" s="241"/>
      <c r="B812" s="241"/>
      <c r="C812" s="241"/>
      <c r="D812" s="241"/>
      <c r="E812" s="241"/>
      <c r="F812" s="241"/>
      <c r="G812" s="241"/>
      <c r="H812" s="241"/>
      <c r="I812" s="241"/>
      <c r="J812" s="241"/>
      <c r="K812" s="241"/>
      <c r="L812" s="241"/>
      <c r="M812" s="241"/>
      <c r="N812" s="241"/>
      <c r="O812" s="241"/>
      <c r="P812" s="241"/>
      <c r="Q812" s="241"/>
      <c r="R812" s="241"/>
      <c r="S812" s="241"/>
      <c r="T812" s="241"/>
      <c r="U812" s="241"/>
      <c r="V812" s="241"/>
      <c r="W812" s="241"/>
      <c r="X812" s="241"/>
      <c r="Y812" s="241"/>
      <c r="Z812" s="241"/>
      <c r="AA812" s="241"/>
      <c r="AB812" s="241"/>
      <c r="AC812" s="241"/>
      <c r="AD812" s="241"/>
      <c r="AE812" s="241"/>
      <c r="AF812" s="241"/>
      <c r="AG812" s="241"/>
      <c r="AH812" s="241"/>
      <c r="AI812" s="241"/>
      <c r="AJ812" s="241"/>
      <c r="AK812" s="241"/>
      <c r="AL812" s="241"/>
      <c r="AM812" s="241"/>
      <c r="AN812" s="241"/>
      <c r="AO812" s="241"/>
      <c r="AP812" s="241"/>
      <c r="AQ812" s="241"/>
      <c r="AR812" s="241"/>
      <c r="AS812" s="241"/>
      <c r="AT812" s="241"/>
      <c r="AU812" s="241"/>
      <c r="AV812" s="241"/>
      <c r="AW812" s="241"/>
      <c r="AX812" s="241"/>
      <c r="AY812" s="241"/>
      <c r="AZ812" s="241"/>
      <c r="BA812" s="241"/>
      <c r="BB812" s="241"/>
      <c r="BC812" s="241"/>
      <c r="BD812" s="241"/>
      <c r="BE812" s="241"/>
      <c r="BF812" s="241"/>
      <c r="BG812" s="241"/>
      <c r="BH812" s="241"/>
      <c r="BI812" s="241"/>
      <c r="BJ812" s="241"/>
      <c r="BK812" s="241"/>
      <c r="BL812" s="241"/>
      <c r="BM812" s="241"/>
    </row>
    <row r="813" spans="1:65" ht="13.5" customHeight="1" x14ac:dyDescent="0.3">
      <c r="A813" s="241"/>
      <c r="B813" s="241"/>
      <c r="C813" s="241"/>
      <c r="D813" s="241"/>
      <c r="E813" s="241"/>
      <c r="F813" s="241"/>
      <c r="G813" s="241"/>
      <c r="H813" s="241"/>
      <c r="I813" s="241"/>
      <c r="J813" s="241"/>
      <c r="K813" s="241"/>
      <c r="L813" s="241"/>
      <c r="M813" s="241"/>
      <c r="N813" s="241"/>
      <c r="O813" s="241"/>
      <c r="P813" s="241"/>
      <c r="Q813" s="241"/>
      <c r="R813" s="241"/>
      <c r="S813" s="241"/>
      <c r="T813" s="241"/>
      <c r="U813" s="241"/>
      <c r="V813" s="241"/>
      <c r="W813" s="241"/>
      <c r="X813" s="241"/>
      <c r="Y813" s="241"/>
      <c r="Z813" s="241"/>
      <c r="AA813" s="241"/>
      <c r="AB813" s="241"/>
      <c r="AC813" s="241"/>
      <c r="AD813" s="241"/>
      <c r="AE813" s="241"/>
      <c r="AF813" s="241"/>
      <c r="AG813" s="241"/>
      <c r="AH813" s="241"/>
      <c r="AI813" s="241"/>
      <c r="AJ813" s="241"/>
      <c r="AK813" s="241"/>
      <c r="AL813" s="241"/>
      <c r="AM813" s="241"/>
      <c r="AN813" s="241"/>
      <c r="AO813" s="241"/>
      <c r="AP813" s="241"/>
      <c r="AQ813" s="241"/>
      <c r="AR813" s="241"/>
      <c r="AS813" s="241"/>
      <c r="AT813" s="241"/>
      <c r="AU813" s="241"/>
      <c r="AV813" s="241"/>
      <c r="AW813" s="241"/>
      <c r="AX813" s="241"/>
      <c r="AY813" s="241"/>
      <c r="AZ813" s="241"/>
      <c r="BA813" s="241"/>
      <c r="BB813" s="241"/>
      <c r="BC813" s="241"/>
      <c r="BD813" s="241"/>
      <c r="BE813" s="241"/>
      <c r="BF813" s="241"/>
      <c r="BG813" s="241"/>
      <c r="BH813" s="241"/>
      <c r="BI813" s="241"/>
      <c r="BJ813" s="241"/>
      <c r="BK813" s="241"/>
      <c r="BL813" s="241"/>
      <c r="BM813" s="241"/>
    </row>
    <row r="814" spans="1:65" ht="13.5" customHeight="1" x14ac:dyDescent="0.3">
      <c r="A814" s="241"/>
      <c r="B814" s="241"/>
      <c r="C814" s="241"/>
      <c r="D814" s="241"/>
      <c r="E814" s="241"/>
      <c r="F814" s="241"/>
      <c r="G814" s="241"/>
      <c r="H814" s="241"/>
      <c r="I814" s="241"/>
      <c r="J814" s="241"/>
      <c r="K814" s="241"/>
      <c r="L814" s="241"/>
      <c r="M814" s="241"/>
      <c r="N814" s="241"/>
      <c r="O814" s="241"/>
      <c r="P814" s="241"/>
      <c r="Q814" s="241"/>
      <c r="R814" s="241"/>
      <c r="S814" s="241"/>
      <c r="T814" s="241"/>
      <c r="U814" s="241"/>
      <c r="V814" s="241"/>
      <c r="W814" s="241"/>
      <c r="X814" s="241"/>
      <c r="Y814" s="241"/>
      <c r="Z814" s="241"/>
      <c r="AA814" s="241"/>
      <c r="AB814" s="241"/>
      <c r="AC814" s="241"/>
      <c r="AD814" s="241"/>
      <c r="AE814" s="241"/>
      <c r="AF814" s="241"/>
      <c r="AG814" s="241"/>
      <c r="AH814" s="241"/>
      <c r="AI814" s="241"/>
      <c r="AJ814" s="241"/>
      <c r="AK814" s="241"/>
      <c r="AL814" s="241"/>
      <c r="AM814" s="241"/>
      <c r="AN814" s="241"/>
      <c r="AO814" s="241"/>
      <c r="AP814" s="241"/>
      <c r="AQ814" s="241"/>
      <c r="AR814" s="241"/>
      <c r="AS814" s="241"/>
      <c r="AT814" s="241"/>
      <c r="AU814" s="241"/>
      <c r="AV814" s="241"/>
      <c r="AW814" s="241"/>
      <c r="AX814" s="241"/>
      <c r="AY814" s="241"/>
      <c r="AZ814" s="241"/>
      <c r="BA814" s="241"/>
      <c r="BB814" s="241"/>
      <c r="BC814" s="241"/>
      <c r="BD814" s="241"/>
      <c r="BE814" s="241"/>
      <c r="BF814" s="241"/>
      <c r="BG814" s="241"/>
      <c r="BH814" s="241"/>
      <c r="BI814" s="241"/>
      <c r="BJ814" s="241"/>
      <c r="BK814" s="241"/>
      <c r="BL814" s="241"/>
      <c r="BM814" s="241"/>
    </row>
    <row r="815" spans="1:65" ht="13.5" customHeight="1" x14ac:dyDescent="0.3">
      <c r="A815" s="241"/>
      <c r="B815" s="241"/>
      <c r="C815" s="241"/>
      <c r="D815" s="241"/>
      <c r="E815" s="241"/>
      <c r="F815" s="241"/>
      <c r="G815" s="241"/>
      <c r="H815" s="241"/>
      <c r="I815" s="241"/>
      <c r="J815" s="241"/>
      <c r="K815" s="241"/>
      <c r="L815" s="241"/>
      <c r="M815" s="241"/>
      <c r="N815" s="241"/>
      <c r="O815" s="241"/>
      <c r="P815" s="241"/>
      <c r="Q815" s="241"/>
      <c r="R815" s="241"/>
      <c r="S815" s="241"/>
      <c r="T815" s="241"/>
      <c r="U815" s="241"/>
      <c r="V815" s="241"/>
      <c r="W815" s="241"/>
      <c r="X815" s="241"/>
      <c r="Y815" s="241"/>
      <c r="Z815" s="241"/>
      <c r="AA815" s="241"/>
      <c r="AB815" s="241"/>
      <c r="AC815" s="241"/>
      <c r="AD815" s="241"/>
      <c r="AE815" s="241"/>
      <c r="AF815" s="241"/>
      <c r="AG815" s="241"/>
      <c r="AH815" s="241"/>
      <c r="AI815" s="241"/>
      <c r="AJ815" s="241"/>
      <c r="AK815" s="241"/>
      <c r="AL815" s="241"/>
      <c r="AM815" s="241"/>
      <c r="AN815" s="241"/>
      <c r="AO815" s="241"/>
      <c r="AP815" s="241"/>
      <c r="AQ815" s="241"/>
      <c r="AR815" s="241"/>
      <c r="AS815" s="241"/>
      <c r="AT815" s="241"/>
      <c r="AU815" s="241"/>
      <c r="AV815" s="241"/>
      <c r="AW815" s="241"/>
      <c r="AX815" s="241"/>
      <c r="AY815" s="241"/>
      <c r="AZ815" s="241"/>
      <c r="BA815" s="241"/>
      <c r="BB815" s="241"/>
      <c r="BC815" s="241"/>
      <c r="BD815" s="241"/>
      <c r="BE815" s="241"/>
      <c r="BF815" s="241"/>
      <c r="BG815" s="241"/>
      <c r="BH815" s="241"/>
      <c r="BI815" s="241"/>
      <c r="BJ815" s="241"/>
      <c r="BK815" s="241"/>
      <c r="BL815" s="241"/>
      <c r="BM815" s="241"/>
    </row>
    <row r="816" spans="1:65" ht="13.5" customHeight="1" x14ac:dyDescent="0.3">
      <c r="A816" s="241"/>
      <c r="B816" s="241"/>
      <c r="C816" s="241"/>
      <c r="D816" s="241"/>
      <c r="E816" s="241"/>
      <c r="F816" s="241"/>
      <c r="G816" s="241"/>
      <c r="H816" s="241"/>
      <c r="I816" s="241"/>
      <c r="J816" s="241"/>
      <c r="K816" s="241"/>
      <c r="L816" s="241"/>
      <c r="M816" s="241"/>
      <c r="N816" s="241"/>
      <c r="O816" s="241"/>
      <c r="P816" s="241"/>
      <c r="Q816" s="241"/>
      <c r="R816" s="241"/>
      <c r="S816" s="241"/>
      <c r="T816" s="241"/>
      <c r="U816" s="241"/>
      <c r="V816" s="241"/>
      <c r="W816" s="241"/>
      <c r="X816" s="241"/>
      <c r="Y816" s="241"/>
      <c r="Z816" s="241"/>
      <c r="AA816" s="241"/>
      <c r="AB816" s="241"/>
      <c r="AC816" s="241"/>
      <c r="AD816" s="241"/>
      <c r="AE816" s="241"/>
      <c r="AF816" s="241"/>
      <c r="AG816" s="241"/>
      <c r="AH816" s="241"/>
      <c r="AI816" s="241"/>
      <c r="AJ816" s="241"/>
      <c r="AK816" s="241"/>
      <c r="AL816" s="241"/>
      <c r="AM816" s="241"/>
      <c r="AN816" s="241"/>
      <c r="AO816" s="241"/>
      <c r="AP816" s="241"/>
      <c r="AQ816" s="241"/>
      <c r="AR816" s="241"/>
      <c r="AS816" s="241"/>
      <c r="AT816" s="241"/>
      <c r="AU816" s="241"/>
      <c r="AV816" s="241"/>
      <c r="AW816" s="241"/>
      <c r="AX816" s="241"/>
      <c r="AY816" s="241"/>
      <c r="AZ816" s="241"/>
      <c r="BA816" s="241"/>
      <c r="BB816" s="241"/>
      <c r="BC816" s="241"/>
      <c r="BD816" s="241"/>
      <c r="BE816" s="241"/>
      <c r="BF816" s="241"/>
      <c r="BG816" s="241"/>
      <c r="BH816" s="241"/>
      <c r="BI816" s="241"/>
      <c r="BJ816" s="241"/>
      <c r="BK816" s="241"/>
      <c r="BL816" s="241"/>
      <c r="BM816" s="241"/>
    </row>
    <row r="817" spans="1:65" ht="13.5" customHeight="1" x14ac:dyDescent="0.3">
      <c r="A817" s="241"/>
      <c r="B817" s="241"/>
      <c r="C817" s="241"/>
      <c r="D817" s="241"/>
      <c r="E817" s="241"/>
      <c r="F817" s="241"/>
      <c r="G817" s="241"/>
      <c r="H817" s="241"/>
      <c r="I817" s="241"/>
      <c r="J817" s="241"/>
      <c r="K817" s="241"/>
      <c r="L817" s="241"/>
      <c r="M817" s="241"/>
      <c r="N817" s="241"/>
      <c r="O817" s="241"/>
      <c r="P817" s="241"/>
      <c r="Q817" s="241"/>
      <c r="R817" s="241"/>
      <c r="S817" s="241"/>
      <c r="T817" s="241"/>
      <c r="U817" s="241"/>
      <c r="V817" s="241"/>
      <c r="W817" s="241"/>
      <c r="X817" s="241"/>
      <c r="Y817" s="241"/>
      <c r="Z817" s="241"/>
      <c r="AA817" s="241"/>
      <c r="AB817" s="241"/>
      <c r="AC817" s="241"/>
      <c r="AD817" s="241"/>
      <c r="AE817" s="241"/>
      <c r="AF817" s="241"/>
      <c r="AG817" s="241"/>
      <c r="AH817" s="241"/>
      <c r="AI817" s="241"/>
      <c r="AJ817" s="241"/>
      <c r="AK817" s="241"/>
      <c r="AL817" s="241"/>
      <c r="AM817" s="241"/>
      <c r="AN817" s="241"/>
      <c r="AO817" s="241"/>
      <c r="AP817" s="241"/>
      <c r="AQ817" s="241"/>
      <c r="AR817" s="241"/>
      <c r="AS817" s="241"/>
      <c r="AT817" s="241"/>
      <c r="AU817" s="241"/>
      <c r="AV817" s="241"/>
      <c r="AW817" s="241"/>
      <c r="AX817" s="241"/>
      <c r="AY817" s="241"/>
      <c r="AZ817" s="241"/>
      <c r="BA817" s="241"/>
      <c r="BB817" s="241"/>
      <c r="BC817" s="241"/>
      <c r="BD817" s="241"/>
      <c r="BE817" s="241"/>
      <c r="BF817" s="241"/>
      <c r="BG817" s="241"/>
      <c r="BH817" s="241"/>
      <c r="BI817" s="241"/>
      <c r="BJ817" s="241"/>
      <c r="BK817" s="241"/>
      <c r="BL817" s="241"/>
      <c r="BM817" s="241"/>
    </row>
    <row r="818" spans="1:65" ht="13.5" customHeight="1" x14ac:dyDescent="0.3">
      <c r="A818" s="241"/>
      <c r="B818" s="241"/>
      <c r="C818" s="241"/>
      <c r="D818" s="241"/>
      <c r="E818" s="241"/>
      <c r="F818" s="241"/>
      <c r="G818" s="241"/>
      <c r="H818" s="241"/>
      <c r="I818" s="241"/>
      <c r="J818" s="241"/>
      <c r="K818" s="241"/>
      <c r="L818" s="241"/>
      <c r="M818" s="241"/>
      <c r="N818" s="241"/>
      <c r="O818" s="241"/>
      <c r="P818" s="241"/>
      <c r="Q818" s="241"/>
      <c r="R818" s="241"/>
      <c r="S818" s="241"/>
      <c r="T818" s="241"/>
      <c r="U818" s="241"/>
      <c r="V818" s="241"/>
      <c r="W818" s="241"/>
      <c r="X818" s="241"/>
      <c r="Y818" s="241"/>
      <c r="Z818" s="241"/>
      <c r="AA818" s="241"/>
      <c r="AB818" s="241"/>
      <c r="AC818" s="241"/>
      <c r="AD818" s="241"/>
      <c r="AE818" s="241"/>
      <c r="AF818" s="241"/>
      <c r="AG818" s="241"/>
      <c r="AH818" s="241"/>
      <c r="AI818" s="241"/>
      <c r="AJ818" s="241"/>
      <c r="AK818" s="241"/>
      <c r="AL818" s="241"/>
      <c r="AM818" s="241"/>
      <c r="AN818" s="241"/>
      <c r="AO818" s="241"/>
      <c r="AP818" s="241"/>
      <c r="AQ818" s="241"/>
      <c r="AR818" s="241"/>
      <c r="AS818" s="241"/>
      <c r="AT818" s="241"/>
      <c r="AU818" s="241"/>
      <c r="AV818" s="241"/>
      <c r="AW818" s="241"/>
      <c r="AX818" s="241"/>
      <c r="AY818" s="241"/>
      <c r="AZ818" s="241"/>
      <c r="BA818" s="241"/>
      <c r="BB818" s="241"/>
      <c r="BC818" s="241"/>
      <c r="BD818" s="241"/>
      <c r="BE818" s="241"/>
      <c r="BF818" s="241"/>
      <c r="BG818" s="241"/>
      <c r="BH818" s="241"/>
      <c r="BI818" s="241"/>
      <c r="BJ818" s="241"/>
      <c r="BK818" s="241"/>
      <c r="BL818" s="241"/>
      <c r="BM818" s="241"/>
    </row>
    <row r="819" spans="1:65" ht="13.5" customHeight="1" x14ac:dyDescent="0.3">
      <c r="A819" s="241"/>
      <c r="B819" s="241"/>
      <c r="C819" s="241"/>
      <c r="D819" s="241"/>
      <c r="E819" s="241"/>
      <c r="F819" s="241"/>
      <c r="G819" s="241"/>
      <c r="H819" s="241"/>
      <c r="I819" s="241"/>
      <c r="J819" s="241"/>
      <c r="K819" s="241"/>
      <c r="L819" s="241"/>
      <c r="M819" s="241"/>
      <c r="N819" s="241"/>
      <c r="O819" s="241"/>
      <c r="P819" s="241"/>
      <c r="Q819" s="241"/>
      <c r="R819" s="241"/>
      <c r="S819" s="241"/>
      <c r="T819" s="241"/>
      <c r="U819" s="241"/>
      <c r="V819" s="241"/>
      <c r="W819" s="241"/>
      <c r="X819" s="241"/>
      <c r="Y819" s="241"/>
      <c r="Z819" s="241"/>
      <c r="AA819" s="241"/>
      <c r="AB819" s="241"/>
      <c r="AC819" s="241"/>
      <c r="AD819" s="241"/>
      <c r="AE819" s="241"/>
      <c r="AF819" s="241"/>
      <c r="AG819" s="241"/>
      <c r="AH819" s="241"/>
      <c r="AI819" s="241"/>
      <c r="AJ819" s="241"/>
      <c r="AK819" s="241"/>
      <c r="AL819" s="241"/>
      <c r="AM819" s="241"/>
      <c r="AN819" s="241"/>
      <c r="AO819" s="241"/>
      <c r="AP819" s="241"/>
      <c r="AQ819" s="241"/>
      <c r="AR819" s="241"/>
      <c r="AS819" s="241"/>
      <c r="AT819" s="241"/>
      <c r="AU819" s="241"/>
      <c r="AV819" s="241"/>
      <c r="AW819" s="241"/>
      <c r="AX819" s="241"/>
      <c r="AY819" s="241"/>
      <c r="AZ819" s="241"/>
      <c r="BA819" s="241"/>
      <c r="BB819" s="241"/>
      <c r="BC819" s="241"/>
      <c r="BD819" s="241"/>
      <c r="BE819" s="241"/>
      <c r="BF819" s="241"/>
      <c r="BG819" s="241"/>
      <c r="BH819" s="241"/>
      <c r="BI819" s="241"/>
      <c r="BJ819" s="241"/>
      <c r="BK819" s="241"/>
      <c r="BL819" s="241"/>
      <c r="BM819" s="241"/>
    </row>
    <row r="820" spans="1:65" ht="13.5" customHeight="1" x14ac:dyDescent="0.3">
      <c r="A820" s="241"/>
      <c r="B820" s="241"/>
      <c r="C820" s="241"/>
      <c r="D820" s="241"/>
      <c r="E820" s="241"/>
      <c r="F820" s="241"/>
      <c r="G820" s="241"/>
      <c r="H820" s="241"/>
      <c r="I820" s="241"/>
      <c r="J820" s="241"/>
      <c r="K820" s="241"/>
      <c r="L820" s="241"/>
      <c r="M820" s="241"/>
      <c r="N820" s="241"/>
      <c r="O820" s="241"/>
      <c r="P820" s="241"/>
      <c r="Q820" s="241"/>
      <c r="R820" s="241"/>
      <c r="S820" s="241"/>
      <c r="T820" s="241"/>
      <c r="U820" s="241"/>
      <c r="V820" s="241"/>
      <c r="W820" s="241"/>
      <c r="X820" s="241"/>
      <c r="Y820" s="241"/>
      <c r="Z820" s="241"/>
      <c r="AA820" s="241"/>
      <c r="AB820" s="241"/>
      <c r="AC820" s="241"/>
      <c r="AD820" s="241"/>
      <c r="AE820" s="241"/>
      <c r="AF820" s="241"/>
      <c r="AG820" s="241"/>
      <c r="AH820" s="241"/>
      <c r="AI820" s="241"/>
      <c r="AJ820" s="241"/>
      <c r="AK820" s="241"/>
      <c r="AL820" s="241"/>
      <c r="AM820" s="241"/>
      <c r="AN820" s="241"/>
      <c r="AO820" s="241"/>
      <c r="AP820" s="241"/>
      <c r="AQ820" s="241"/>
      <c r="AR820" s="241"/>
      <c r="AS820" s="241"/>
      <c r="AT820" s="241"/>
      <c r="AU820" s="241"/>
      <c r="AV820" s="241"/>
      <c r="AW820" s="241"/>
      <c r="AX820" s="241"/>
      <c r="AY820" s="241"/>
      <c r="AZ820" s="241"/>
      <c r="BA820" s="241"/>
      <c r="BB820" s="241"/>
      <c r="BC820" s="241"/>
      <c r="BD820" s="241"/>
      <c r="BE820" s="241"/>
      <c r="BF820" s="241"/>
      <c r="BG820" s="241"/>
      <c r="BH820" s="241"/>
      <c r="BI820" s="241"/>
      <c r="BJ820" s="241"/>
      <c r="BK820" s="241"/>
      <c r="BL820" s="241"/>
      <c r="BM820" s="241"/>
    </row>
    <row r="821" spans="1:65" ht="13.5" customHeight="1" x14ac:dyDescent="0.3">
      <c r="A821" s="241"/>
      <c r="B821" s="241"/>
      <c r="C821" s="241"/>
      <c r="D821" s="241"/>
      <c r="E821" s="241"/>
      <c r="F821" s="241"/>
      <c r="G821" s="241"/>
      <c r="H821" s="241"/>
      <c r="I821" s="241"/>
      <c r="J821" s="241"/>
      <c r="K821" s="241"/>
      <c r="L821" s="241"/>
      <c r="M821" s="241"/>
      <c r="N821" s="241"/>
      <c r="O821" s="241"/>
      <c r="P821" s="241"/>
      <c r="Q821" s="241"/>
      <c r="R821" s="241"/>
      <c r="S821" s="241"/>
      <c r="T821" s="241"/>
      <c r="U821" s="241"/>
      <c r="V821" s="241"/>
      <c r="W821" s="241"/>
      <c r="X821" s="241"/>
      <c r="Y821" s="241"/>
      <c r="Z821" s="241"/>
      <c r="AA821" s="241"/>
      <c r="AB821" s="241"/>
      <c r="AC821" s="241"/>
      <c r="AD821" s="241"/>
      <c r="AE821" s="241"/>
      <c r="AF821" s="241"/>
      <c r="AG821" s="241"/>
      <c r="AH821" s="241"/>
      <c r="AI821" s="241"/>
      <c r="AJ821" s="241"/>
      <c r="AK821" s="241"/>
      <c r="AL821" s="241"/>
      <c r="AM821" s="241"/>
      <c r="AN821" s="241"/>
      <c r="AO821" s="241"/>
      <c r="AP821" s="241"/>
      <c r="AQ821" s="241"/>
      <c r="AR821" s="241"/>
      <c r="AS821" s="241"/>
      <c r="AT821" s="241"/>
      <c r="AU821" s="241"/>
      <c r="AV821" s="241"/>
      <c r="AW821" s="241"/>
      <c r="AX821" s="241"/>
      <c r="AY821" s="241"/>
      <c r="AZ821" s="241"/>
      <c r="BA821" s="241"/>
      <c r="BB821" s="241"/>
      <c r="BC821" s="241"/>
      <c r="BD821" s="241"/>
      <c r="BE821" s="241"/>
      <c r="BF821" s="241"/>
      <c r="BG821" s="241"/>
      <c r="BH821" s="241"/>
      <c r="BI821" s="241"/>
      <c r="BJ821" s="241"/>
      <c r="BK821" s="241"/>
      <c r="BL821" s="241"/>
      <c r="BM821" s="241"/>
    </row>
    <row r="822" spans="1:65" ht="13.5" customHeight="1" x14ac:dyDescent="0.3">
      <c r="A822" s="241"/>
      <c r="B822" s="241"/>
      <c r="C822" s="241"/>
      <c r="D822" s="241"/>
      <c r="E822" s="241"/>
      <c r="F822" s="241"/>
      <c r="G822" s="241"/>
      <c r="H822" s="241"/>
      <c r="I822" s="241"/>
      <c r="J822" s="241"/>
      <c r="K822" s="241"/>
      <c r="L822" s="241"/>
      <c r="M822" s="241"/>
      <c r="N822" s="241"/>
      <c r="O822" s="241"/>
      <c r="P822" s="241"/>
      <c r="Q822" s="241"/>
      <c r="R822" s="241"/>
      <c r="S822" s="241"/>
      <c r="T822" s="241"/>
      <c r="U822" s="241"/>
      <c r="V822" s="241"/>
      <c r="W822" s="241"/>
      <c r="X822" s="241"/>
      <c r="Y822" s="241"/>
      <c r="Z822" s="241"/>
      <c r="AA822" s="241"/>
      <c r="AB822" s="241"/>
      <c r="AC822" s="241"/>
      <c r="AD822" s="241"/>
      <c r="AE822" s="241"/>
      <c r="AF822" s="241"/>
      <c r="AG822" s="241"/>
      <c r="AH822" s="241"/>
      <c r="AI822" s="241"/>
      <c r="AJ822" s="241"/>
      <c r="AK822" s="241"/>
      <c r="AL822" s="241"/>
      <c r="AM822" s="241"/>
      <c r="AN822" s="241"/>
      <c r="AO822" s="241"/>
      <c r="AP822" s="241"/>
      <c r="AQ822" s="241"/>
      <c r="AR822" s="241"/>
      <c r="AS822" s="241"/>
      <c r="AT822" s="241"/>
      <c r="AU822" s="241"/>
      <c r="AV822" s="241"/>
      <c r="AW822" s="241"/>
      <c r="AX822" s="241"/>
      <c r="AY822" s="241"/>
      <c r="AZ822" s="241"/>
      <c r="BA822" s="241"/>
      <c r="BB822" s="241"/>
      <c r="BC822" s="241"/>
      <c r="BD822" s="241"/>
      <c r="BE822" s="241"/>
      <c r="BF822" s="241"/>
      <c r="BG822" s="241"/>
      <c r="BH822" s="241"/>
      <c r="BI822" s="241"/>
      <c r="BJ822" s="241"/>
      <c r="BK822" s="241"/>
      <c r="BL822" s="241"/>
      <c r="BM822" s="241"/>
    </row>
    <row r="823" spans="1:65" ht="13.5" customHeight="1" x14ac:dyDescent="0.3">
      <c r="A823" s="241"/>
      <c r="B823" s="241"/>
      <c r="C823" s="241"/>
      <c r="D823" s="241"/>
      <c r="E823" s="241"/>
      <c r="F823" s="241"/>
      <c r="G823" s="241"/>
      <c r="H823" s="241"/>
      <c r="I823" s="241"/>
      <c r="J823" s="241"/>
      <c r="K823" s="241"/>
      <c r="L823" s="241"/>
      <c r="M823" s="241"/>
      <c r="N823" s="241"/>
      <c r="O823" s="241"/>
      <c r="P823" s="241"/>
      <c r="Q823" s="241"/>
      <c r="R823" s="241"/>
      <c r="S823" s="241"/>
      <c r="T823" s="241"/>
      <c r="U823" s="241"/>
      <c r="V823" s="241"/>
      <c r="W823" s="241"/>
      <c r="X823" s="241"/>
      <c r="Y823" s="241"/>
      <c r="Z823" s="241"/>
      <c r="AA823" s="241"/>
      <c r="AB823" s="241"/>
      <c r="AC823" s="241"/>
      <c r="AD823" s="241"/>
      <c r="AE823" s="241"/>
      <c r="AF823" s="241"/>
      <c r="AG823" s="241"/>
      <c r="AH823" s="241"/>
      <c r="AI823" s="241"/>
      <c r="AJ823" s="241"/>
      <c r="AK823" s="241"/>
      <c r="AL823" s="241"/>
      <c r="AM823" s="241"/>
      <c r="AN823" s="241"/>
      <c r="AO823" s="241"/>
      <c r="AP823" s="241"/>
      <c r="AQ823" s="241"/>
      <c r="AR823" s="241"/>
      <c r="AS823" s="241"/>
      <c r="AT823" s="241"/>
      <c r="AU823" s="241"/>
      <c r="AV823" s="241"/>
      <c r="AW823" s="241"/>
      <c r="AX823" s="241"/>
      <c r="AY823" s="241"/>
      <c r="AZ823" s="241"/>
      <c r="BA823" s="241"/>
      <c r="BB823" s="241"/>
      <c r="BC823" s="241"/>
      <c r="BD823" s="241"/>
      <c r="BE823" s="241"/>
      <c r="BF823" s="241"/>
      <c r="BG823" s="241"/>
      <c r="BH823" s="241"/>
      <c r="BI823" s="241"/>
      <c r="BJ823" s="241"/>
      <c r="BK823" s="241"/>
      <c r="BL823" s="241"/>
      <c r="BM823" s="241"/>
    </row>
    <row r="824" spans="1:65" ht="13.5" customHeight="1" x14ac:dyDescent="0.3">
      <c r="A824" s="241"/>
      <c r="B824" s="241"/>
      <c r="C824" s="241"/>
      <c r="D824" s="241"/>
      <c r="E824" s="241"/>
      <c r="F824" s="241"/>
      <c r="G824" s="241"/>
      <c r="H824" s="241"/>
      <c r="I824" s="241"/>
      <c r="J824" s="241"/>
      <c r="K824" s="241"/>
      <c r="L824" s="241"/>
      <c r="M824" s="241"/>
      <c r="N824" s="241"/>
      <c r="O824" s="241"/>
      <c r="P824" s="241"/>
      <c r="Q824" s="241"/>
      <c r="R824" s="241"/>
      <c r="S824" s="241"/>
      <c r="T824" s="241"/>
      <c r="U824" s="241"/>
      <c r="V824" s="241"/>
      <c r="W824" s="241"/>
      <c r="X824" s="241"/>
      <c r="Y824" s="241"/>
      <c r="Z824" s="241"/>
      <c r="AA824" s="241"/>
      <c r="AB824" s="241"/>
      <c r="AC824" s="241"/>
      <c r="AD824" s="241"/>
      <c r="AE824" s="241"/>
      <c r="AF824" s="241"/>
      <c r="AG824" s="241"/>
      <c r="AH824" s="241"/>
      <c r="AI824" s="241"/>
      <c r="AJ824" s="241"/>
      <c r="AK824" s="241"/>
      <c r="AL824" s="241"/>
      <c r="AM824" s="241"/>
      <c r="AN824" s="241"/>
      <c r="AO824" s="241"/>
      <c r="AP824" s="241"/>
      <c r="AQ824" s="241"/>
      <c r="AR824" s="241"/>
      <c r="AS824" s="241"/>
      <c r="AT824" s="241"/>
      <c r="AU824" s="241"/>
      <c r="AV824" s="241"/>
      <c r="AW824" s="241"/>
      <c r="AX824" s="241"/>
      <c r="AY824" s="241"/>
      <c r="AZ824" s="241"/>
      <c r="BA824" s="241"/>
      <c r="BB824" s="241"/>
      <c r="BC824" s="241"/>
      <c r="BD824" s="241"/>
      <c r="BE824" s="241"/>
      <c r="BF824" s="241"/>
      <c r="BG824" s="241"/>
      <c r="BH824" s="241"/>
      <c r="BI824" s="241"/>
      <c r="BJ824" s="241"/>
      <c r="BK824" s="241"/>
      <c r="BL824" s="241"/>
      <c r="BM824" s="241"/>
    </row>
    <row r="825" spans="1:65" ht="13.5" customHeight="1" x14ac:dyDescent="0.3">
      <c r="A825" s="241"/>
      <c r="B825" s="241"/>
      <c r="C825" s="241"/>
      <c r="D825" s="241"/>
      <c r="E825" s="241"/>
      <c r="F825" s="241"/>
      <c r="G825" s="241"/>
      <c r="H825" s="241"/>
      <c r="I825" s="241"/>
      <c r="J825" s="241"/>
      <c r="K825" s="241"/>
      <c r="L825" s="241"/>
      <c r="M825" s="241"/>
      <c r="N825" s="241"/>
      <c r="O825" s="241"/>
      <c r="P825" s="241"/>
      <c r="Q825" s="241"/>
      <c r="R825" s="241"/>
      <c r="S825" s="241"/>
      <c r="T825" s="241"/>
      <c r="U825" s="241"/>
      <c r="V825" s="241"/>
      <c r="W825" s="241"/>
      <c r="X825" s="241"/>
      <c r="Y825" s="241"/>
      <c r="Z825" s="241"/>
      <c r="AA825" s="241"/>
      <c r="AB825" s="241"/>
      <c r="AC825" s="241"/>
      <c r="AD825" s="241"/>
      <c r="AE825" s="241"/>
      <c r="AF825" s="241"/>
      <c r="AG825" s="241"/>
      <c r="AH825" s="241"/>
      <c r="AI825" s="241"/>
      <c r="AJ825" s="241"/>
      <c r="AK825" s="241"/>
      <c r="AL825" s="241"/>
      <c r="AM825" s="241"/>
      <c r="AN825" s="241"/>
      <c r="AO825" s="241"/>
      <c r="AP825" s="241"/>
      <c r="AQ825" s="241"/>
      <c r="AR825" s="241"/>
      <c r="AS825" s="241"/>
      <c r="AT825" s="241"/>
      <c r="AU825" s="241"/>
      <c r="AV825" s="241"/>
      <c r="AW825" s="241"/>
      <c r="AX825" s="241"/>
      <c r="AY825" s="241"/>
      <c r="AZ825" s="241"/>
      <c r="BA825" s="241"/>
      <c r="BB825" s="241"/>
      <c r="BC825" s="241"/>
      <c r="BD825" s="241"/>
      <c r="BE825" s="241"/>
      <c r="BF825" s="241"/>
      <c r="BG825" s="241"/>
      <c r="BH825" s="241"/>
      <c r="BI825" s="241"/>
      <c r="BJ825" s="241"/>
      <c r="BK825" s="241"/>
      <c r="BL825" s="241"/>
      <c r="BM825" s="241"/>
    </row>
    <row r="826" spans="1:65" ht="13.5" customHeight="1" x14ac:dyDescent="0.3">
      <c r="A826" s="241"/>
      <c r="B826" s="241"/>
      <c r="C826" s="241"/>
      <c r="D826" s="241"/>
      <c r="E826" s="241"/>
      <c r="F826" s="241"/>
      <c r="G826" s="241"/>
      <c r="H826" s="241"/>
      <c r="I826" s="241"/>
      <c r="J826" s="241"/>
      <c r="K826" s="241"/>
      <c r="L826" s="241"/>
      <c r="M826" s="241"/>
      <c r="N826" s="241"/>
      <c r="O826" s="241"/>
      <c r="P826" s="241"/>
      <c r="Q826" s="241"/>
      <c r="R826" s="241"/>
      <c r="S826" s="241"/>
      <c r="T826" s="241"/>
      <c r="U826" s="241"/>
      <c r="V826" s="241"/>
      <c r="W826" s="241"/>
      <c r="X826" s="241"/>
      <c r="Y826" s="241"/>
      <c r="Z826" s="241"/>
      <c r="AA826" s="241"/>
      <c r="AB826" s="241"/>
      <c r="AC826" s="241"/>
      <c r="AD826" s="241"/>
      <c r="AE826" s="241"/>
      <c r="AF826" s="241"/>
      <c r="AG826" s="241"/>
      <c r="AH826" s="241"/>
      <c r="AI826" s="241"/>
      <c r="AJ826" s="241"/>
      <c r="AK826" s="241"/>
      <c r="AL826" s="241"/>
      <c r="AM826" s="241"/>
      <c r="AN826" s="241"/>
      <c r="AO826" s="241"/>
      <c r="AP826" s="241"/>
      <c r="AQ826" s="241"/>
      <c r="AR826" s="241"/>
      <c r="AS826" s="241"/>
      <c r="AT826" s="241"/>
      <c r="AU826" s="241"/>
      <c r="AV826" s="241"/>
      <c r="AW826" s="241"/>
      <c r="AX826" s="241"/>
      <c r="AY826" s="241"/>
      <c r="AZ826" s="241"/>
      <c r="BA826" s="241"/>
      <c r="BB826" s="241"/>
      <c r="BC826" s="241"/>
      <c r="BD826" s="241"/>
      <c r="BE826" s="241"/>
      <c r="BF826" s="241"/>
      <c r="BG826" s="241"/>
      <c r="BH826" s="241"/>
      <c r="BI826" s="241"/>
      <c r="BJ826" s="241"/>
      <c r="BK826" s="241"/>
      <c r="BL826" s="241"/>
      <c r="BM826" s="241"/>
    </row>
    <row r="827" spans="1:65" ht="13.5" customHeight="1" x14ac:dyDescent="0.3">
      <c r="A827" s="241"/>
      <c r="B827" s="241"/>
      <c r="C827" s="241"/>
      <c r="D827" s="241"/>
      <c r="E827" s="241"/>
      <c r="F827" s="241"/>
      <c r="G827" s="241"/>
      <c r="H827" s="241"/>
      <c r="I827" s="241"/>
      <c r="J827" s="241"/>
      <c r="K827" s="241"/>
      <c r="L827" s="241"/>
      <c r="M827" s="241"/>
      <c r="N827" s="241"/>
      <c r="O827" s="241"/>
      <c r="P827" s="241"/>
      <c r="Q827" s="241"/>
      <c r="R827" s="241"/>
      <c r="S827" s="241"/>
      <c r="T827" s="241"/>
      <c r="U827" s="241"/>
      <c r="V827" s="241"/>
      <c r="W827" s="241"/>
      <c r="X827" s="241"/>
      <c r="Y827" s="241"/>
      <c r="Z827" s="241"/>
      <c r="AA827" s="241"/>
      <c r="AB827" s="241"/>
      <c r="AC827" s="241"/>
      <c r="AD827" s="241"/>
      <c r="AE827" s="241"/>
      <c r="AF827" s="241"/>
      <c r="AG827" s="241"/>
      <c r="AH827" s="241"/>
      <c r="AI827" s="241"/>
      <c r="AJ827" s="241"/>
      <c r="AK827" s="241"/>
      <c r="AL827" s="241"/>
      <c r="AM827" s="241"/>
      <c r="AN827" s="241"/>
      <c r="AO827" s="241"/>
      <c r="AP827" s="241"/>
      <c r="AQ827" s="241"/>
      <c r="AR827" s="241"/>
      <c r="AS827" s="241"/>
      <c r="AT827" s="241"/>
      <c r="AU827" s="241"/>
      <c r="AV827" s="241"/>
      <c r="AW827" s="241"/>
      <c r="AX827" s="241"/>
      <c r="AY827" s="241"/>
      <c r="AZ827" s="241"/>
      <c r="BA827" s="241"/>
      <c r="BB827" s="241"/>
      <c r="BC827" s="241"/>
      <c r="BD827" s="241"/>
      <c r="BE827" s="241"/>
      <c r="BF827" s="241"/>
      <c r="BG827" s="241"/>
      <c r="BH827" s="241"/>
      <c r="BI827" s="241"/>
      <c r="BJ827" s="241"/>
      <c r="BK827" s="241"/>
      <c r="BL827" s="241"/>
      <c r="BM827" s="241"/>
    </row>
    <row r="828" spans="1:65" ht="13.5" customHeight="1" x14ac:dyDescent="0.3">
      <c r="A828" s="241"/>
      <c r="B828" s="241"/>
      <c r="C828" s="241"/>
      <c r="D828" s="241"/>
      <c r="E828" s="241"/>
      <c r="F828" s="241"/>
      <c r="G828" s="241"/>
      <c r="H828" s="241"/>
      <c r="I828" s="241"/>
      <c r="J828" s="241"/>
      <c r="K828" s="241"/>
      <c r="L828" s="241"/>
      <c r="M828" s="241"/>
      <c r="N828" s="241"/>
      <c r="O828" s="241"/>
      <c r="P828" s="241"/>
      <c r="Q828" s="241"/>
      <c r="R828" s="241"/>
      <c r="S828" s="241"/>
      <c r="T828" s="241"/>
      <c r="U828" s="241"/>
      <c r="V828" s="241"/>
      <c r="W828" s="241"/>
      <c r="X828" s="241"/>
      <c r="Y828" s="241"/>
      <c r="Z828" s="241"/>
      <c r="AA828" s="241"/>
      <c r="AB828" s="241"/>
      <c r="AC828" s="241"/>
      <c r="AD828" s="241"/>
      <c r="AE828" s="241"/>
      <c r="AF828" s="241"/>
      <c r="AG828" s="241"/>
      <c r="AH828" s="241"/>
      <c r="AI828" s="241"/>
      <c r="AJ828" s="241"/>
      <c r="AK828" s="241"/>
      <c r="AL828" s="241"/>
      <c r="AM828" s="241"/>
      <c r="AN828" s="241"/>
      <c r="AO828" s="241"/>
      <c r="AP828" s="241"/>
      <c r="AQ828" s="241"/>
      <c r="AR828" s="241"/>
      <c r="AS828" s="241"/>
      <c r="AT828" s="241"/>
      <c r="AU828" s="241"/>
      <c r="AV828" s="241"/>
      <c r="AW828" s="241"/>
      <c r="AX828" s="241"/>
      <c r="AY828" s="241"/>
      <c r="AZ828" s="241"/>
      <c r="BA828" s="241"/>
      <c r="BB828" s="241"/>
      <c r="BC828" s="241"/>
      <c r="BD828" s="241"/>
      <c r="BE828" s="241"/>
      <c r="BF828" s="241"/>
      <c r="BG828" s="241"/>
      <c r="BH828" s="241"/>
      <c r="BI828" s="241"/>
      <c r="BJ828" s="241"/>
      <c r="BK828" s="241"/>
      <c r="BL828" s="241"/>
      <c r="BM828" s="241"/>
    </row>
    <row r="829" spans="1:65" ht="13.5" customHeight="1" x14ac:dyDescent="0.3">
      <c r="A829" s="241"/>
      <c r="B829" s="241"/>
      <c r="C829" s="241"/>
      <c r="D829" s="241"/>
      <c r="E829" s="241"/>
      <c r="F829" s="241"/>
      <c r="G829" s="241"/>
      <c r="H829" s="241"/>
      <c r="I829" s="241"/>
      <c r="J829" s="241"/>
      <c r="K829" s="241"/>
      <c r="L829" s="241"/>
      <c r="M829" s="241"/>
      <c r="N829" s="241"/>
      <c r="O829" s="241"/>
      <c r="P829" s="241"/>
      <c r="Q829" s="241"/>
      <c r="R829" s="241"/>
      <c r="S829" s="241"/>
      <c r="T829" s="241"/>
      <c r="U829" s="241"/>
      <c r="V829" s="241"/>
      <c r="W829" s="241"/>
      <c r="X829" s="241"/>
      <c r="Y829" s="241"/>
      <c r="Z829" s="241"/>
      <c r="AA829" s="241"/>
      <c r="AB829" s="241"/>
      <c r="AC829" s="241"/>
      <c r="AD829" s="241"/>
      <c r="AE829" s="241"/>
      <c r="AF829" s="241"/>
      <c r="AG829" s="241"/>
      <c r="AH829" s="241"/>
      <c r="AI829" s="241"/>
      <c r="AJ829" s="241"/>
      <c r="AK829" s="241"/>
      <c r="AL829" s="241"/>
      <c r="AM829" s="241"/>
      <c r="AN829" s="241"/>
      <c r="AO829" s="241"/>
      <c r="AP829" s="241"/>
      <c r="AQ829" s="241"/>
      <c r="AR829" s="241"/>
      <c r="AS829" s="241"/>
      <c r="AT829" s="241"/>
      <c r="AU829" s="241"/>
      <c r="AV829" s="241"/>
      <c r="AW829" s="241"/>
      <c r="AX829" s="241"/>
      <c r="AY829" s="241"/>
      <c r="AZ829" s="241"/>
      <c r="BA829" s="241"/>
      <c r="BB829" s="241"/>
      <c r="BC829" s="241"/>
      <c r="BD829" s="241"/>
      <c r="BE829" s="241"/>
      <c r="BF829" s="241"/>
      <c r="BG829" s="241"/>
      <c r="BH829" s="241"/>
      <c r="BI829" s="241"/>
      <c r="BJ829" s="241"/>
      <c r="BK829" s="241"/>
      <c r="BL829" s="241"/>
      <c r="BM829" s="241"/>
    </row>
    <row r="830" spans="1:65" ht="13.5" customHeight="1" x14ac:dyDescent="0.3">
      <c r="A830" s="241"/>
      <c r="B830" s="241"/>
      <c r="C830" s="241"/>
      <c r="D830" s="241"/>
      <c r="E830" s="241"/>
      <c r="F830" s="241"/>
      <c r="G830" s="241"/>
      <c r="H830" s="241"/>
      <c r="I830" s="241"/>
      <c r="J830" s="241"/>
      <c r="K830" s="241"/>
      <c r="L830" s="241"/>
      <c r="M830" s="241"/>
      <c r="N830" s="241"/>
      <c r="O830" s="241"/>
      <c r="P830" s="241"/>
      <c r="Q830" s="241"/>
      <c r="R830" s="241"/>
      <c r="S830" s="241"/>
      <c r="T830" s="241"/>
      <c r="U830" s="241"/>
      <c r="V830" s="241"/>
      <c r="W830" s="241"/>
      <c r="X830" s="241"/>
      <c r="Y830" s="241"/>
      <c r="Z830" s="241"/>
      <c r="AA830" s="241"/>
      <c r="AB830" s="241"/>
      <c r="AC830" s="241"/>
      <c r="AD830" s="241"/>
      <c r="AE830" s="241"/>
      <c r="AF830" s="241"/>
      <c r="AG830" s="241"/>
      <c r="AH830" s="241"/>
      <c r="AI830" s="241"/>
      <c r="AJ830" s="241"/>
      <c r="AK830" s="241"/>
      <c r="AL830" s="241"/>
      <c r="AM830" s="241"/>
      <c r="AN830" s="241"/>
      <c r="AO830" s="241"/>
      <c r="AP830" s="241"/>
      <c r="AQ830" s="241"/>
      <c r="AR830" s="241"/>
      <c r="AS830" s="241"/>
      <c r="AT830" s="241"/>
      <c r="AU830" s="241"/>
      <c r="AV830" s="241"/>
      <c r="AW830" s="241"/>
      <c r="AX830" s="241"/>
      <c r="AY830" s="241"/>
      <c r="AZ830" s="241"/>
      <c r="BA830" s="241"/>
      <c r="BB830" s="241"/>
      <c r="BC830" s="241"/>
      <c r="BD830" s="241"/>
      <c r="BE830" s="241"/>
      <c r="BF830" s="241"/>
      <c r="BG830" s="241"/>
      <c r="BH830" s="241"/>
      <c r="BI830" s="241"/>
      <c r="BJ830" s="241"/>
      <c r="BK830" s="241"/>
      <c r="BL830" s="241"/>
      <c r="BM830" s="241"/>
    </row>
    <row r="831" spans="1:65" ht="13.5" customHeight="1" x14ac:dyDescent="0.3">
      <c r="A831" s="241"/>
      <c r="B831" s="241"/>
      <c r="C831" s="241"/>
      <c r="D831" s="241"/>
      <c r="E831" s="241"/>
      <c r="F831" s="241"/>
      <c r="G831" s="241"/>
      <c r="H831" s="241"/>
      <c r="I831" s="241"/>
      <c r="J831" s="241"/>
      <c r="K831" s="241"/>
      <c r="L831" s="241"/>
      <c r="M831" s="241"/>
      <c r="N831" s="241"/>
      <c r="O831" s="241"/>
      <c r="P831" s="241"/>
      <c r="Q831" s="241"/>
      <c r="R831" s="241"/>
      <c r="S831" s="241"/>
      <c r="T831" s="241"/>
      <c r="U831" s="241"/>
      <c r="V831" s="241"/>
      <c r="W831" s="241"/>
      <c r="X831" s="241"/>
      <c r="Y831" s="241"/>
      <c r="Z831" s="241"/>
      <c r="AA831" s="241"/>
      <c r="AB831" s="241"/>
      <c r="AC831" s="241"/>
      <c r="AD831" s="241"/>
      <c r="AE831" s="241"/>
      <c r="AF831" s="241"/>
      <c r="AG831" s="241"/>
      <c r="AH831" s="241"/>
      <c r="AI831" s="241"/>
      <c r="AJ831" s="241"/>
      <c r="AK831" s="241"/>
      <c r="AL831" s="241"/>
      <c r="AM831" s="241"/>
      <c r="AN831" s="241"/>
      <c r="AO831" s="241"/>
      <c r="AP831" s="241"/>
      <c r="AQ831" s="241"/>
      <c r="AR831" s="241"/>
      <c r="AS831" s="241"/>
      <c r="AT831" s="241"/>
      <c r="AU831" s="241"/>
      <c r="AV831" s="241"/>
      <c r="AW831" s="241"/>
      <c r="AX831" s="241"/>
      <c r="AY831" s="241"/>
      <c r="AZ831" s="241"/>
      <c r="BA831" s="241"/>
      <c r="BB831" s="241"/>
      <c r="BC831" s="241"/>
      <c r="BD831" s="241"/>
      <c r="BE831" s="241"/>
      <c r="BF831" s="241"/>
      <c r="BG831" s="241"/>
      <c r="BH831" s="241"/>
      <c r="BI831" s="241"/>
      <c r="BJ831" s="241"/>
      <c r="BK831" s="241"/>
      <c r="BL831" s="241"/>
      <c r="BM831" s="241"/>
    </row>
    <row r="832" spans="1:65" ht="13.5" customHeight="1" x14ac:dyDescent="0.3">
      <c r="A832" s="241"/>
      <c r="B832" s="241"/>
      <c r="C832" s="241"/>
      <c r="D832" s="241"/>
      <c r="E832" s="241"/>
      <c r="F832" s="241"/>
      <c r="G832" s="241"/>
      <c r="H832" s="241"/>
      <c r="I832" s="241"/>
      <c r="J832" s="241"/>
      <c r="K832" s="241"/>
      <c r="L832" s="241"/>
      <c r="M832" s="241"/>
      <c r="N832" s="241"/>
      <c r="O832" s="241"/>
      <c r="P832" s="241"/>
      <c r="Q832" s="241"/>
      <c r="R832" s="241"/>
      <c r="S832" s="241"/>
      <c r="T832" s="241"/>
      <c r="U832" s="241"/>
      <c r="V832" s="241"/>
      <c r="W832" s="241"/>
      <c r="X832" s="241"/>
      <c r="Y832" s="241"/>
      <c r="Z832" s="241"/>
      <c r="AA832" s="241"/>
      <c r="AB832" s="241"/>
      <c r="AC832" s="241"/>
      <c r="AD832" s="241"/>
      <c r="AE832" s="241"/>
      <c r="AF832" s="241"/>
      <c r="AG832" s="241"/>
      <c r="AH832" s="241"/>
      <c r="AI832" s="241"/>
      <c r="AJ832" s="241"/>
      <c r="AK832" s="241"/>
      <c r="AL832" s="241"/>
      <c r="AM832" s="241"/>
      <c r="AN832" s="241"/>
      <c r="AO832" s="241"/>
      <c r="AP832" s="241"/>
      <c r="AQ832" s="241"/>
      <c r="AR832" s="241"/>
      <c r="AS832" s="241"/>
      <c r="AT832" s="241"/>
      <c r="AU832" s="241"/>
      <c r="AV832" s="241"/>
      <c r="AW832" s="241"/>
      <c r="AX832" s="241"/>
      <c r="AY832" s="241"/>
      <c r="AZ832" s="241"/>
      <c r="BA832" s="241"/>
      <c r="BB832" s="241"/>
      <c r="BC832" s="241"/>
      <c r="BD832" s="241"/>
      <c r="BE832" s="241"/>
      <c r="BF832" s="241"/>
      <c r="BG832" s="241"/>
      <c r="BH832" s="241"/>
      <c r="BI832" s="241"/>
      <c r="BJ832" s="241"/>
      <c r="BK832" s="241"/>
      <c r="BL832" s="241"/>
      <c r="BM832" s="241"/>
    </row>
    <row r="833" spans="1:65" ht="13.5" customHeight="1" x14ac:dyDescent="0.3">
      <c r="A833" s="241"/>
      <c r="B833" s="241"/>
      <c r="C833" s="241"/>
      <c r="D833" s="241"/>
      <c r="E833" s="241"/>
      <c r="F833" s="241"/>
      <c r="G833" s="241"/>
      <c r="H833" s="241"/>
      <c r="I833" s="241"/>
      <c r="J833" s="241"/>
      <c r="K833" s="241"/>
      <c r="L833" s="241"/>
      <c r="M833" s="241"/>
      <c r="N833" s="241"/>
      <c r="O833" s="241"/>
      <c r="P833" s="241"/>
      <c r="Q833" s="241"/>
      <c r="R833" s="241"/>
      <c r="S833" s="241"/>
      <c r="T833" s="241"/>
      <c r="U833" s="241"/>
      <c r="V833" s="241"/>
      <c r="W833" s="241"/>
      <c r="X833" s="241"/>
      <c r="Y833" s="241"/>
      <c r="Z833" s="241"/>
      <c r="AA833" s="241"/>
      <c r="AB833" s="241"/>
      <c r="AC833" s="241"/>
      <c r="AD833" s="241"/>
      <c r="AE833" s="241"/>
      <c r="AF833" s="241"/>
      <c r="AG833" s="241"/>
      <c r="AH833" s="241"/>
      <c r="AI833" s="241"/>
      <c r="AJ833" s="241"/>
      <c r="AK833" s="241"/>
      <c r="AL833" s="241"/>
      <c r="AM833" s="241"/>
      <c r="AN833" s="241"/>
      <c r="AO833" s="241"/>
      <c r="AP833" s="241"/>
      <c r="AQ833" s="241"/>
      <c r="AR833" s="241"/>
      <c r="AS833" s="241"/>
      <c r="AT833" s="241"/>
      <c r="AU833" s="241"/>
      <c r="AV833" s="241"/>
      <c r="AW833" s="241"/>
      <c r="AX833" s="241"/>
      <c r="AY833" s="241"/>
      <c r="AZ833" s="241"/>
      <c r="BA833" s="241"/>
      <c r="BB833" s="241"/>
      <c r="BC833" s="241"/>
      <c r="BD833" s="241"/>
      <c r="BE833" s="241"/>
      <c r="BF833" s="241"/>
      <c r="BG833" s="241"/>
      <c r="BH833" s="241"/>
      <c r="BI833" s="241"/>
      <c r="BJ833" s="241"/>
      <c r="BK833" s="241"/>
      <c r="BL833" s="241"/>
      <c r="BM833" s="241"/>
    </row>
    <row r="834" spans="1:65" ht="13.5" customHeight="1" x14ac:dyDescent="0.3">
      <c r="A834" s="241"/>
      <c r="B834" s="241"/>
      <c r="C834" s="241"/>
      <c r="D834" s="241"/>
      <c r="E834" s="241"/>
      <c r="F834" s="241"/>
      <c r="G834" s="241"/>
      <c r="H834" s="241"/>
      <c r="I834" s="241"/>
      <c r="J834" s="241"/>
      <c r="K834" s="241"/>
      <c r="L834" s="241"/>
      <c r="M834" s="241"/>
      <c r="N834" s="241"/>
      <c r="O834" s="241"/>
      <c r="P834" s="241"/>
      <c r="Q834" s="241"/>
      <c r="R834" s="241"/>
      <c r="S834" s="241"/>
      <c r="T834" s="241"/>
      <c r="U834" s="241"/>
      <c r="V834" s="241"/>
      <c r="W834" s="241"/>
      <c r="X834" s="241"/>
      <c r="Y834" s="241"/>
      <c r="Z834" s="241"/>
      <c r="AA834" s="241"/>
      <c r="AB834" s="241"/>
      <c r="AC834" s="241"/>
      <c r="AD834" s="241"/>
      <c r="AE834" s="241"/>
      <c r="AF834" s="241"/>
      <c r="AG834" s="241"/>
      <c r="AH834" s="241"/>
      <c r="AI834" s="241"/>
      <c r="AJ834" s="241"/>
      <c r="AK834" s="241"/>
      <c r="AL834" s="241"/>
      <c r="AM834" s="241"/>
      <c r="AN834" s="241"/>
      <c r="AO834" s="241"/>
      <c r="AP834" s="241"/>
      <c r="AQ834" s="241"/>
      <c r="AR834" s="241"/>
      <c r="AS834" s="241"/>
      <c r="AT834" s="241"/>
      <c r="AU834" s="241"/>
      <c r="AV834" s="241"/>
      <c r="AW834" s="241"/>
      <c r="AX834" s="241"/>
      <c r="AY834" s="241"/>
      <c r="AZ834" s="241"/>
      <c r="BA834" s="241"/>
      <c r="BB834" s="241"/>
      <c r="BC834" s="241"/>
      <c r="BD834" s="241"/>
      <c r="BE834" s="241"/>
      <c r="BF834" s="241"/>
      <c r="BG834" s="241"/>
      <c r="BH834" s="241"/>
      <c r="BI834" s="241"/>
      <c r="BJ834" s="241"/>
      <c r="BK834" s="241"/>
      <c r="BL834" s="241"/>
      <c r="BM834" s="241"/>
    </row>
    <row r="835" spans="1:65" ht="13.5" customHeight="1" x14ac:dyDescent="0.3">
      <c r="A835" s="241"/>
      <c r="B835" s="241"/>
      <c r="C835" s="241"/>
      <c r="D835" s="241"/>
      <c r="E835" s="241"/>
      <c r="F835" s="241"/>
      <c r="G835" s="241"/>
      <c r="H835" s="241"/>
      <c r="I835" s="241"/>
      <c r="J835" s="241"/>
      <c r="K835" s="241"/>
      <c r="L835" s="241"/>
      <c r="M835" s="241"/>
      <c r="N835" s="241"/>
      <c r="O835" s="241"/>
      <c r="P835" s="241"/>
      <c r="Q835" s="241"/>
      <c r="R835" s="241"/>
      <c r="S835" s="241"/>
      <c r="T835" s="241"/>
      <c r="U835" s="241"/>
      <c r="V835" s="241"/>
      <c r="W835" s="241"/>
      <c r="X835" s="241"/>
      <c r="Y835" s="241"/>
      <c r="Z835" s="241"/>
      <c r="AA835" s="241"/>
      <c r="AB835" s="241"/>
      <c r="AC835" s="241"/>
      <c r="AD835" s="241"/>
      <c r="AE835" s="241"/>
      <c r="AF835" s="241"/>
      <c r="AG835" s="241"/>
      <c r="AH835" s="241"/>
      <c r="AI835" s="241"/>
      <c r="AJ835" s="241"/>
      <c r="AK835" s="241"/>
      <c r="AL835" s="241"/>
      <c r="AM835" s="241"/>
      <c r="AN835" s="241"/>
      <c r="AO835" s="241"/>
      <c r="AP835" s="241"/>
      <c r="AQ835" s="241"/>
      <c r="AR835" s="241"/>
      <c r="AS835" s="241"/>
      <c r="AT835" s="241"/>
      <c r="AU835" s="241"/>
      <c r="AV835" s="241"/>
      <c r="AW835" s="241"/>
      <c r="AX835" s="241"/>
      <c r="AY835" s="241"/>
      <c r="AZ835" s="241"/>
      <c r="BA835" s="241"/>
      <c r="BB835" s="241"/>
      <c r="BC835" s="241"/>
      <c r="BD835" s="241"/>
      <c r="BE835" s="241"/>
      <c r="BF835" s="241"/>
      <c r="BG835" s="241"/>
      <c r="BH835" s="241"/>
      <c r="BI835" s="241"/>
      <c r="BJ835" s="241"/>
      <c r="BK835" s="241"/>
      <c r="BL835" s="241"/>
      <c r="BM835" s="241"/>
    </row>
    <row r="836" spans="1:65" ht="13.5" customHeight="1" x14ac:dyDescent="0.3">
      <c r="A836" s="241"/>
      <c r="B836" s="241"/>
      <c r="C836" s="241"/>
      <c r="D836" s="241"/>
      <c r="E836" s="241"/>
      <c r="F836" s="241"/>
      <c r="G836" s="241"/>
      <c r="H836" s="241"/>
      <c r="I836" s="241"/>
      <c r="J836" s="241"/>
      <c r="K836" s="241"/>
      <c r="L836" s="241"/>
      <c r="M836" s="241"/>
      <c r="N836" s="241"/>
      <c r="O836" s="241"/>
      <c r="P836" s="241"/>
      <c r="Q836" s="241"/>
      <c r="R836" s="241"/>
      <c r="S836" s="241"/>
      <c r="T836" s="241"/>
      <c r="U836" s="241"/>
      <c r="V836" s="241"/>
      <c r="W836" s="241"/>
      <c r="X836" s="241"/>
      <c r="Y836" s="241"/>
      <c r="Z836" s="241"/>
      <c r="AA836" s="241"/>
      <c r="AB836" s="241"/>
      <c r="AC836" s="241"/>
      <c r="AD836" s="241"/>
      <c r="AE836" s="241"/>
      <c r="AF836" s="241"/>
      <c r="AG836" s="241"/>
      <c r="AH836" s="241"/>
      <c r="AI836" s="241"/>
      <c r="AJ836" s="241"/>
      <c r="AK836" s="241"/>
      <c r="AL836" s="241"/>
      <c r="AM836" s="241"/>
      <c r="AN836" s="241"/>
      <c r="AO836" s="241"/>
      <c r="AP836" s="241"/>
      <c r="AQ836" s="241"/>
      <c r="AR836" s="241"/>
      <c r="AS836" s="241"/>
      <c r="AT836" s="241"/>
      <c r="AU836" s="241"/>
      <c r="AV836" s="241"/>
      <c r="AW836" s="241"/>
      <c r="AX836" s="241"/>
      <c r="AY836" s="241"/>
      <c r="AZ836" s="241"/>
      <c r="BA836" s="241"/>
      <c r="BB836" s="241"/>
      <c r="BC836" s="241"/>
      <c r="BD836" s="241"/>
      <c r="BE836" s="241"/>
      <c r="BF836" s="241"/>
      <c r="BG836" s="241"/>
      <c r="BH836" s="241"/>
      <c r="BI836" s="241"/>
      <c r="BJ836" s="241"/>
      <c r="BK836" s="241"/>
      <c r="BL836" s="241"/>
      <c r="BM836" s="241"/>
    </row>
    <row r="837" spans="1:65" ht="13.5" customHeight="1" x14ac:dyDescent="0.3">
      <c r="A837" s="241"/>
      <c r="B837" s="241"/>
      <c r="C837" s="241"/>
      <c r="D837" s="241"/>
      <c r="E837" s="241"/>
      <c r="F837" s="241"/>
      <c r="G837" s="241"/>
      <c r="H837" s="241"/>
      <c r="I837" s="241"/>
      <c r="J837" s="241"/>
      <c r="K837" s="241"/>
      <c r="L837" s="241"/>
      <c r="M837" s="241"/>
      <c r="N837" s="241"/>
      <c r="O837" s="241"/>
      <c r="P837" s="241"/>
      <c r="Q837" s="241"/>
      <c r="R837" s="241"/>
      <c r="S837" s="241"/>
      <c r="T837" s="241"/>
      <c r="U837" s="241"/>
      <c r="V837" s="241"/>
      <c r="W837" s="241"/>
      <c r="X837" s="241"/>
      <c r="Y837" s="241"/>
      <c r="Z837" s="241"/>
      <c r="AA837" s="241"/>
      <c r="AB837" s="241"/>
      <c r="AC837" s="241"/>
      <c r="AD837" s="241"/>
      <c r="AE837" s="241"/>
      <c r="AF837" s="241"/>
      <c r="AG837" s="241"/>
      <c r="AH837" s="241"/>
      <c r="AI837" s="241"/>
      <c r="AJ837" s="241"/>
      <c r="AK837" s="241"/>
      <c r="AL837" s="241"/>
      <c r="AM837" s="241"/>
      <c r="AN837" s="241"/>
      <c r="AO837" s="241"/>
      <c r="AP837" s="241"/>
      <c r="AQ837" s="241"/>
      <c r="AR837" s="241"/>
      <c r="AS837" s="241"/>
      <c r="AT837" s="241"/>
      <c r="AU837" s="241"/>
      <c r="AV837" s="241"/>
      <c r="AW837" s="241"/>
      <c r="AX837" s="241"/>
      <c r="AY837" s="241"/>
      <c r="AZ837" s="241"/>
      <c r="BA837" s="241"/>
      <c r="BB837" s="241"/>
      <c r="BC837" s="241"/>
      <c r="BD837" s="241"/>
      <c r="BE837" s="241"/>
      <c r="BF837" s="241"/>
      <c r="BG837" s="241"/>
      <c r="BH837" s="241"/>
      <c r="BI837" s="241"/>
      <c r="BJ837" s="241"/>
      <c r="BK837" s="241"/>
      <c r="BL837" s="241"/>
      <c r="BM837" s="241"/>
    </row>
    <row r="838" spans="1:65" ht="13.5" customHeight="1" x14ac:dyDescent="0.3">
      <c r="A838" s="241"/>
      <c r="B838" s="241"/>
      <c r="C838" s="241"/>
      <c r="D838" s="241"/>
      <c r="E838" s="241"/>
      <c r="F838" s="241"/>
      <c r="G838" s="241"/>
      <c r="H838" s="241"/>
      <c r="I838" s="241"/>
      <c r="J838" s="241"/>
      <c r="K838" s="241"/>
      <c r="L838" s="241"/>
      <c r="M838" s="241"/>
      <c r="N838" s="241"/>
      <c r="O838" s="241"/>
      <c r="P838" s="241"/>
      <c r="Q838" s="241"/>
      <c r="R838" s="241"/>
      <c r="S838" s="241"/>
      <c r="T838" s="241"/>
      <c r="U838" s="241"/>
      <c r="V838" s="241"/>
      <c r="W838" s="241"/>
      <c r="X838" s="241"/>
      <c r="Y838" s="241"/>
      <c r="Z838" s="241"/>
      <c r="AA838" s="241"/>
      <c r="AB838" s="241"/>
      <c r="AC838" s="241"/>
      <c r="AD838" s="241"/>
      <c r="AE838" s="241"/>
      <c r="AF838" s="241"/>
      <c r="AG838" s="241"/>
      <c r="AH838" s="241"/>
      <c r="AI838" s="241"/>
      <c r="AJ838" s="241"/>
      <c r="AK838" s="241"/>
      <c r="AL838" s="241"/>
      <c r="AM838" s="241"/>
      <c r="AN838" s="241"/>
      <c r="AO838" s="241"/>
      <c r="AP838" s="241"/>
      <c r="AQ838" s="241"/>
      <c r="AR838" s="241"/>
      <c r="AS838" s="241"/>
      <c r="AT838" s="241"/>
      <c r="AU838" s="241"/>
      <c r="AV838" s="241"/>
      <c r="AW838" s="241"/>
      <c r="AX838" s="241"/>
      <c r="AY838" s="241"/>
      <c r="AZ838" s="241"/>
      <c r="BA838" s="241"/>
      <c r="BB838" s="241"/>
      <c r="BC838" s="241"/>
      <c r="BD838" s="241"/>
      <c r="BE838" s="241"/>
      <c r="BF838" s="241"/>
      <c r="BG838" s="241"/>
      <c r="BH838" s="241"/>
      <c r="BI838" s="241"/>
      <c r="BJ838" s="241"/>
      <c r="BK838" s="241"/>
      <c r="BL838" s="241"/>
      <c r="BM838" s="241"/>
    </row>
    <row r="839" spans="1:65" ht="13.5" customHeight="1" x14ac:dyDescent="0.3">
      <c r="A839" s="241"/>
      <c r="B839" s="241"/>
      <c r="C839" s="241"/>
      <c r="D839" s="241"/>
      <c r="E839" s="241"/>
      <c r="F839" s="241"/>
      <c r="G839" s="241"/>
      <c r="H839" s="241"/>
      <c r="I839" s="241"/>
      <c r="J839" s="241"/>
      <c r="K839" s="241"/>
      <c r="L839" s="241"/>
      <c r="M839" s="241"/>
      <c r="N839" s="241"/>
      <c r="O839" s="241"/>
      <c r="P839" s="241"/>
      <c r="Q839" s="241"/>
      <c r="R839" s="241"/>
      <c r="S839" s="241"/>
      <c r="T839" s="241"/>
      <c r="U839" s="241"/>
      <c r="V839" s="241"/>
      <c r="W839" s="241"/>
      <c r="X839" s="241"/>
      <c r="Y839" s="241"/>
      <c r="Z839" s="241"/>
      <c r="AA839" s="241"/>
      <c r="AB839" s="241"/>
      <c r="AC839" s="241"/>
      <c r="AD839" s="241"/>
      <c r="AE839" s="241"/>
      <c r="AF839" s="241"/>
      <c r="AG839" s="241"/>
      <c r="AH839" s="241"/>
      <c r="AI839" s="241"/>
      <c r="AJ839" s="241"/>
      <c r="AK839" s="241"/>
      <c r="AL839" s="241"/>
      <c r="AM839" s="241"/>
      <c r="AN839" s="241"/>
      <c r="AO839" s="241"/>
      <c r="AP839" s="241"/>
      <c r="AQ839" s="241"/>
      <c r="AR839" s="241"/>
      <c r="AS839" s="241"/>
      <c r="AT839" s="241"/>
      <c r="AU839" s="241"/>
      <c r="AV839" s="241"/>
      <c r="AW839" s="241"/>
      <c r="AX839" s="241"/>
      <c r="AY839" s="241"/>
      <c r="AZ839" s="241"/>
      <c r="BA839" s="241"/>
      <c r="BB839" s="241"/>
      <c r="BC839" s="241"/>
      <c r="BD839" s="241"/>
      <c r="BE839" s="241"/>
      <c r="BF839" s="241"/>
      <c r="BG839" s="241"/>
      <c r="BH839" s="241"/>
      <c r="BI839" s="241"/>
      <c r="BJ839" s="241"/>
      <c r="BK839" s="241"/>
      <c r="BL839" s="241"/>
      <c r="BM839" s="241"/>
    </row>
    <row r="840" spans="1:65" ht="13.5" customHeight="1" x14ac:dyDescent="0.3">
      <c r="A840" s="241"/>
      <c r="B840" s="241"/>
      <c r="C840" s="241"/>
      <c r="D840" s="241"/>
      <c r="E840" s="241"/>
      <c r="F840" s="241"/>
      <c r="G840" s="241"/>
      <c r="H840" s="241"/>
      <c r="I840" s="241"/>
      <c r="J840" s="241"/>
      <c r="K840" s="241"/>
      <c r="L840" s="241"/>
      <c r="M840" s="241"/>
      <c r="N840" s="241"/>
      <c r="O840" s="241"/>
      <c r="P840" s="241"/>
      <c r="Q840" s="241"/>
      <c r="R840" s="241"/>
      <c r="S840" s="241"/>
      <c r="T840" s="241"/>
      <c r="U840" s="241"/>
      <c r="V840" s="241"/>
      <c r="W840" s="241"/>
      <c r="X840" s="241"/>
      <c r="Y840" s="241"/>
      <c r="Z840" s="241"/>
      <c r="AA840" s="241"/>
      <c r="AB840" s="241"/>
      <c r="AC840" s="241"/>
      <c r="AD840" s="241"/>
      <c r="AE840" s="241"/>
      <c r="AF840" s="241"/>
      <c r="AG840" s="241"/>
      <c r="AH840" s="241"/>
      <c r="AI840" s="241"/>
      <c r="AJ840" s="241"/>
      <c r="AK840" s="241"/>
      <c r="AL840" s="241"/>
      <c r="AM840" s="241"/>
      <c r="AN840" s="241"/>
      <c r="AO840" s="241"/>
      <c r="AP840" s="241"/>
      <c r="AQ840" s="241"/>
      <c r="AR840" s="241"/>
      <c r="AS840" s="241"/>
      <c r="AT840" s="241"/>
      <c r="AU840" s="241"/>
      <c r="AV840" s="241"/>
      <c r="AW840" s="241"/>
      <c r="AX840" s="241"/>
      <c r="AY840" s="241"/>
      <c r="AZ840" s="241"/>
      <c r="BA840" s="241"/>
      <c r="BB840" s="241"/>
      <c r="BC840" s="241"/>
      <c r="BD840" s="241"/>
      <c r="BE840" s="241"/>
      <c r="BF840" s="241"/>
      <c r="BG840" s="241"/>
      <c r="BH840" s="241"/>
      <c r="BI840" s="241"/>
      <c r="BJ840" s="241"/>
      <c r="BK840" s="241"/>
      <c r="BL840" s="241"/>
      <c r="BM840" s="241"/>
    </row>
    <row r="841" spans="1:65" ht="13.5" customHeight="1" x14ac:dyDescent="0.3">
      <c r="A841" s="241"/>
      <c r="B841" s="241"/>
      <c r="C841" s="241"/>
      <c r="D841" s="241"/>
      <c r="E841" s="241"/>
      <c r="F841" s="241"/>
      <c r="G841" s="241"/>
      <c r="H841" s="241"/>
      <c r="I841" s="241"/>
      <c r="J841" s="241"/>
      <c r="K841" s="241"/>
      <c r="L841" s="241"/>
      <c r="M841" s="241"/>
      <c r="N841" s="241"/>
      <c r="O841" s="241"/>
      <c r="P841" s="241"/>
      <c r="Q841" s="241"/>
      <c r="R841" s="241"/>
      <c r="S841" s="241"/>
      <c r="T841" s="241"/>
      <c r="U841" s="241"/>
      <c r="V841" s="241"/>
      <c r="W841" s="241"/>
      <c r="X841" s="241"/>
      <c r="Y841" s="241"/>
      <c r="Z841" s="241"/>
      <c r="AA841" s="241"/>
      <c r="AB841" s="241"/>
      <c r="AC841" s="241"/>
      <c r="AD841" s="241"/>
      <c r="AE841" s="241"/>
      <c r="AF841" s="241"/>
      <c r="AG841" s="241"/>
      <c r="AH841" s="241"/>
      <c r="AI841" s="241"/>
      <c r="AJ841" s="241"/>
      <c r="AK841" s="241"/>
      <c r="AL841" s="241"/>
      <c r="AM841" s="241"/>
      <c r="AN841" s="241"/>
      <c r="AO841" s="241"/>
      <c r="AP841" s="241"/>
      <c r="AQ841" s="241"/>
      <c r="AR841" s="241"/>
      <c r="AS841" s="241"/>
      <c r="AT841" s="241"/>
      <c r="AU841" s="241"/>
      <c r="AV841" s="241"/>
      <c r="AW841" s="241"/>
      <c r="AX841" s="241"/>
      <c r="AY841" s="241"/>
      <c r="AZ841" s="241"/>
      <c r="BA841" s="241"/>
      <c r="BB841" s="241"/>
      <c r="BC841" s="241"/>
      <c r="BD841" s="241"/>
      <c r="BE841" s="241"/>
      <c r="BF841" s="241"/>
      <c r="BG841" s="241"/>
      <c r="BH841" s="241"/>
      <c r="BI841" s="241"/>
      <c r="BJ841" s="241"/>
      <c r="BK841" s="241"/>
      <c r="BL841" s="241"/>
      <c r="BM841" s="241"/>
    </row>
    <row r="842" spans="1:65" ht="13.5" customHeight="1" x14ac:dyDescent="0.3">
      <c r="A842" s="241"/>
      <c r="B842" s="241"/>
      <c r="C842" s="241"/>
      <c r="D842" s="241"/>
      <c r="E842" s="241"/>
      <c r="F842" s="241"/>
      <c r="G842" s="241"/>
      <c r="H842" s="241"/>
      <c r="I842" s="241"/>
      <c r="J842" s="241"/>
      <c r="K842" s="241"/>
      <c r="L842" s="241"/>
      <c r="M842" s="241"/>
      <c r="N842" s="241"/>
      <c r="O842" s="241"/>
      <c r="P842" s="241"/>
      <c r="Q842" s="241"/>
      <c r="R842" s="241"/>
      <c r="S842" s="241"/>
      <c r="T842" s="241"/>
      <c r="U842" s="241"/>
      <c r="V842" s="241"/>
      <c r="W842" s="241"/>
      <c r="X842" s="241"/>
      <c r="Y842" s="241"/>
      <c r="Z842" s="241"/>
      <c r="AA842" s="241"/>
      <c r="AB842" s="241"/>
      <c r="AC842" s="241"/>
      <c r="AD842" s="241"/>
      <c r="AE842" s="241"/>
      <c r="AF842" s="241"/>
      <c r="AG842" s="241"/>
      <c r="AH842" s="241"/>
      <c r="AI842" s="241"/>
      <c r="AJ842" s="241"/>
      <c r="AK842" s="241"/>
      <c r="AL842" s="241"/>
      <c r="AM842" s="241"/>
      <c r="AN842" s="241"/>
      <c r="AO842" s="241"/>
      <c r="AP842" s="241"/>
      <c r="AQ842" s="241"/>
      <c r="AR842" s="241"/>
      <c r="AS842" s="241"/>
      <c r="AT842" s="241"/>
      <c r="AU842" s="241"/>
      <c r="AV842" s="241"/>
      <c r="AW842" s="241"/>
      <c r="AX842" s="241"/>
      <c r="AY842" s="241"/>
      <c r="AZ842" s="241"/>
      <c r="BA842" s="241"/>
      <c r="BB842" s="241"/>
      <c r="BC842" s="241"/>
      <c r="BD842" s="241"/>
      <c r="BE842" s="241"/>
      <c r="BF842" s="241"/>
      <c r="BG842" s="241"/>
      <c r="BH842" s="241"/>
      <c r="BI842" s="241"/>
      <c r="BJ842" s="241"/>
      <c r="BK842" s="241"/>
      <c r="BL842" s="241"/>
      <c r="BM842" s="241"/>
    </row>
    <row r="843" spans="1:65" ht="13.5" customHeight="1" x14ac:dyDescent="0.3">
      <c r="A843" s="241"/>
      <c r="B843" s="241"/>
      <c r="C843" s="241"/>
      <c r="D843" s="241"/>
      <c r="E843" s="241"/>
      <c r="F843" s="241"/>
      <c r="G843" s="241"/>
      <c r="H843" s="241"/>
      <c r="I843" s="241"/>
      <c r="J843" s="241"/>
      <c r="K843" s="241"/>
      <c r="L843" s="241"/>
      <c r="M843" s="241"/>
      <c r="N843" s="241"/>
      <c r="O843" s="241"/>
      <c r="P843" s="241"/>
      <c r="Q843" s="241"/>
      <c r="R843" s="241"/>
      <c r="S843" s="241"/>
      <c r="T843" s="241"/>
      <c r="U843" s="241"/>
      <c r="V843" s="241"/>
      <c r="W843" s="241"/>
      <c r="X843" s="241"/>
      <c r="Y843" s="241"/>
      <c r="Z843" s="241"/>
      <c r="AA843" s="241"/>
      <c r="AB843" s="241"/>
      <c r="AC843" s="241"/>
      <c r="AD843" s="241"/>
      <c r="AE843" s="241"/>
      <c r="AF843" s="241"/>
      <c r="AG843" s="241"/>
      <c r="AH843" s="241"/>
      <c r="AI843" s="241"/>
      <c r="AJ843" s="241"/>
      <c r="AK843" s="241"/>
      <c r="AL843" s="241"/>
      <c r="AM843" s="241"/>
      <c r="AN843" s="241"/>
      <c r="AO843" s="241"/>
      <c r="AP843" s="241"/>
      <c r="AQ843" s="241"/>
      <c r="AR843" s="241"/>
      <c r="AS843" s="241"/>
      <c r="AT843" s="241"/>
      <c r="AU843" s="241"/>
      <c r="AV843" s="241"/>
      <c r="AW843" s="241"/>
      <c r="AX843" s="241"/>
      <c r="AY843" s="241"/>
      <c r="AZ843" s="241"/>
      <c r="BA843" s="241"/>
      <c r="BB843" s="241"/>
      <c r="BC843" s="241"/>
      <c r="BD843" s="241"/>
      <c r="BE843" s="241"/>
      <c r="BF843" s="241"/>
      <c r="BG843" s="241"/>
      <c r="BH843" s="241"/>
      <c r="BI843" s="241"/>
      <c r="BJ843" s="241"/>
      <c r="BK843" s="241"/>
      <c r="BL843" s="241"/>
      <c r="BM843" s="241"/>
    </row>
    <row r="844" spans="1:65" ht="13.5" customHeight="1" x14ac:dyDescent="0.3">
      <c r="A844" s="241"/>
      <c r="B844" s="241"/>
      <c r="C844" s="241"/>
      <c r="D844" s="241"/>
      <c r="E844" s="241"/>
      <c r="F844" s="241"/>
      <c r="G844" s="241"/>
      <c r="H844" s="241"/>
      <c r="I844" s="241"/>
      <c r="J844" s="241"/>
      <c r="K844" s="241"/>
      <c r="L844" s="241"/>
      <c r="M844" s="241"/>
      <c r="N844" s="241"/>
      <c r="O844" s="241"/>
      <c r="P844" s="241"/>
      <c r="Q844" s="241"/>
      <c r="R844" s="241"/>
      <c r="S844" s="241"/>
      <c r="T844" s="241"/>
      <c r="U844" s="241"/>
      <c r="V844" s="241"/>
      <c r="W844" s="241"/>
      <c r="X844" s="241"/>
      <c r="Y844" s="241"/>
      <c r="Z844" s="241"/>
      <c r="AA844" s="241"/>
      <c r="AB844" s="241"/>
      <c r="AC844" s="241"/>
      <c r="AD844" s="241"/>
      <c r="AE844" s="241"/>
      <c r="AF844" s="241"/>
      <c r="AG844" s="241"/>
      <c r="AH844" s="241"/>
      <c r="AI844" s="241"/>
      <c r="AJ844" s="241"/>
      <c r="AK844" s="241"/>
      <c r="AL844" s="241"/>
      <c r="AM844" s="241"/>
      <c r="AN844" s="241"/>
      <c r="AO844" s="241"/>
      <c r="AP844" s="241"/>
      <c r="AQ844" s="241"/>
      <c r="AR844" s="241"/>
      <c r="AS844" s="241"/>
      <c r="AT844" s="241"/>
      <c r="AU844" s="241"/>
      <c r="AV844" s="241"/>
      <c r="AW844" s="241"/>
      <c r="AX844" s="241"/>
      <c r="AY844" s="241"/>
      <c r="AZ844" s="241"/>
      <c r="BA844" s="241"/>
      <c r="BB844" s="241"/>
      <c r="BC844" s="241"/>
      <c r="BD844" s="241"/>
      <c r="BE844" s="241"/>
      <c r="BF844" s="241"/>
      <c r="BG844" s="241"/>
      <c r="BH844" s="241"/>
      <c r="BI844" s="241"/>
      <c r="BJ844" s="241"/>
      <c r="BK844" s="241"/>
      <c r="BL844" s="241"/>
      <c r="BM844" s="241"/>
    </row>
    <row r="845" spans="1:65" ht="13.5" customHeight="1" x14ac:dyDescent="0.3">
      <c r="A845" s="241"/>
      <c r="B845" s="241"/>
      <c r="C845" s="241"/>
      <c r="D845" s="241"/>
      <c r="E845" s="241"/>
      <c r="F845" s="241"/>
      <c r="G845" s="241"/>
      <c r="H845" s="241"/>
      <c r="I845" s="241"/>
      <c r="J845" s="241"/>
      <c r="K845" s="241"/>
      <c r="L845" s="241"/>
      <c r="M845" s="241"/>
      <c r="N845" s="241"/>
      <c r="O845" s="241"/>
      <c r="P845" s="241"/>
      <c r="Q845" s="241"/>
      <c r="R845" s="241"/>
      <c r="S845" s="241"/>
      <c r="T845" s="241"/>
      <c r="U845" s="241"/>
      <c r="V845" s="241"/>
      <c r="W845" s="241"/>
      <c r="X845" s="241"/>
      <c r="Y845" s="241"/>
      <c r="Z845" s="241"/>
      <c r="AA845" s="241"/>
      <c r="AB845" s="241"/>
      <c r="AC845" s="241"/>
      <c r="AD845" s="241"/>
      <c r="AE845" s="241"/>
      <c r="AF845" s="241"/>
      <c r="AG845" s="241"/>
      <c r="AH845" s="241"/>
      <c r="AI845" s="241"/>
      <c r="AJ845" s="241"/>
      <c r="AK845" s="241"/>
      <c r="AL845" s="241"/>
      <c r="AM845" s="241"/>
      <c r="AN845" s="241"/>
      <c r="AO845" s="241"/>
      <c r="AP845" s="241"/>
      <c r="AQ845" s="241"/>
      <c r="AR845" s="241"/>
      <c r="AS845" s="241"/>
      <c r="AT845" s="241"/>
      <c r="AU845" s="241"/>
      <c r="AV845" s="241"/>
      <c r="AW845" s="241"/>
      <c r="AX845" s="241"/>
      <c r="AY845" s="241"/>
      <c r="AZ845" s="241"/>
      <c r="BA845" s="241"/>
      <c r="BB845" s="241"/>
      <c r="BC845" s="241"/>
      <c r="BD845" s="241"/>
      <c r="BE845" s="241"/>
      <c r="BF845" s="241"/>
      <c r="BG845" s="241"/>
      <c r="BH845" s="241"/>
      <c r="BI845" s="241"/>
      <c r="BJ845" s="241"/>
      <c r="BK845" s="241"/>
      <c r="BL845" s="241"/>
      <c r="BM845" s="241"/>
    </row>
    <row r="846" spans="1:65" ht="13.5" customHeight="1" x14ac:dyDescent="0.3">
      <c r="A846" s="241"/>
      <c r="B846" s="241"/>
      <c r="C846" s="241"/>
      <c r="D846" s="241"/>
      <c r="E846" s="241"/>
      <c r="F846" s="241"/>
      <c r="G846" s="241"/>
      <c r="H846" s="241"/>
      <c r="I846" s="241"/>
      <c r="J846" s="241"/>
      <c r="K846" s="241"/>
      <c r="L846" s="241"/>
      <c r="M846" s="241"/>
      <c r="N846" s="241"/>
      <c r="O846" s="241"/>
      <c r="P846" s="241"/>
      <c r="Q846" s="241"/>
      <c r="R846" s="241"/>
      <c r="S846" s="241"/>
      <c r="T846" s="241"/>
      <c r="U846" s="241"/>
      <c r="V846" s="241"/>
      <c r="W846" s="241"/>
      <c r="X846" s="241"/>
      <c r="Y846" s="241"/>
      <c r="Z846" s="241"/>
      <c r="AA846" s="241"/>
      <c r="AB846" s="241"/>
      <c r="AC846" s="241"/>
      <c r="AD846" s="241"/>
      <c r="AE846" s="241"/>
      <c r="AF846" s="241"/>
      <c r="AG846" s="241"/>
      <c r="AH846" s="241"/>
      <c r="AI846" s="241"/>
      <c r="AJ846" s="241"/>
      <c r="AK846" s="241"/>
      <c r="AL846" s="241"/>
      <c r="AM846" s="241"/>
      <c r="AN846" s="241"/>
      <c r="AO846" s="241"/>
      <c r="AP846" s="241"/>
      <c r="AQ846" s="241"/>
      <c r="AR846" s="241"/>
      <c r="AS846" s="241"/>
      <c r="AT846" s="241"/>
      <c r="AU846" s="241"/>
      <c r="AV846" s="241"/>
      <c r="AW846" s="241"/>
      <c r="AX846" s="241"/>
      <c r="AY846" s="241"/>
      <c r="AZ846" s="241"/>
      <c r="BA846" s="241"/>
      <c r="BB846" s="241"/>
      <c r="BC846" s="241"/>
      <c r="BD846" s="241"/>
      <c r="BE846" s="241"/>
      <c r="BF846" s="241"/>
      <c r="BG846" s="241"/>
      <c r="BH846" s="241"/>
      <c r="BI846" s="241"/>
      <c r="BJ846" s="241"/>
      <c r="BK846" s="241"/>
      <c r="BL846" s="241"/>
      <c r="BM846" s="241"/>
    </row>
    <row r="847" spans="1:65" ht="13.5" customHeight="1" x14ac:dyDescent="0.3">
      <c r="A847" s="241"/>
      <c r="B847" s="241"/>
      <c r="C847" s="241"/>
      <c r="D847" s="241"/>
      <c r="E847" s="241"/>
      <c r="F847" s="241"/>
      <c r="G847" s="241"/>
      <c r="H847" s="241"/>
      <c r="I847" s="241"/>
      <c r="J847" s="241"/>
      <c r="K847" s="241"/>
      <c r="L847" s="241"/>
      <c r="M847" s="241"/>
      <c r="N847" s="241"/>
      <c r="O847" s="241"/>
      <c r="P847" s="241"/>
      <c r="Q847" s="241"/>
      <c r="R847" s="241"/>
      <c r="S847" s="241"/>
      <c r="T847" s="241"/>
      <c r="U847" s="241"/>
      <c r="V847" s="241"/>
      <c r="W847" s="241"/>
      <c r="X847" s="241"/>
      <c r="Y847" s="241"/>
      <c r="Z847" s="241"/>
      <c r="AA847" s="241"/>
      <c r="AB847" s="241"/>
      <c r="AC847" s="241"/>
      <c r="AD847" s="241"/>
      <c r="AE847" s="241"/>
      <c r="AF847" s="241"/>
      <c r="AG847" s="241"/>
      <c r="AH847" s="241"/>
      <c r="AI847" s="241"/>
      <c r="AJ847" s="241"/>
      <c r="AK847" s="241"/>
      <c r="AL847" s="241"/>
      <c r="AM847" s="241"/>
      <c r="AN847" s="241"/>
      <c r="AO847" s="241"/>
      <c r="AP847" s="241"/>
      <c r="AQ847" s="241"/>
      <c r="AR847" s="241"/>
      <c r="AS847" s="241"/>
      <c r="AT847" s="241"/>
      <c r="AU847" s="241"/>
      <c r="AV847" s="241"/>
      <c r="AW847" s="241"/>
      <c r="AX847" s="241"/>
      <c r="AY847" s="241"/>
      <c r="AZ847" s="241"/>
      <c r="BA847" s="241"/>
      <c r="BB847" s="241"/>
      <c r="BC847" s="241"/>
      <c r="BD847" s="241"/>
      <c r="BE847" s="241"/>
      <c r="BF847" s="241"/>
      <c r="BG847" s="241"/>
      <c r="BH847" s="241"/>
      <c r="BI847" s="241"/>
      <c r="BJ847" s="241"/>
      <c r="BK847" s="241"/>
      <c r="BL847" s="241"/>
      <c r="BM847" s="241"/>
    </row>
    <row r="848" spans="1:65" ht="13.5" customHeight="1" x14ac:dyDescent="0.3">
      <c r="A848" s="241"/>
      <c r="B848" s="241"/>
      <c r="C848" s="241"/>
      <c r="D848" s="241"/>
      <c r="E848" s="241"/>
      <c r="F848" s="241"/>
      <c r="G848" s="241"/>
      <c r="H848" s="241"/>
      <c r="I848" s="241"/>
      <c r="J848" s="241"/>
      <c r="K848" s="241"/>
      <c r="L848" s="241"/>
      <c r="M848" s="241"/>
      <c r="N848" s="241"/>
      <c r="O848" s="241"/>
      <c r="P848" s="241"/>
      <c r="Q848" s="241"/>
      <c r="R848" s="241"/>
      <c r="S848" s="241"/>
      <c r="T848" s="241"/>
      <c r="U848" s="241"/>
      <c r="V848" s="241"/>
      <c r="W848" s="241"/>
      <c r="X848" s="241"/>
      <c r="Y848" s="241"/>
      <c r="Z848" s="241"/>
      <c r="AA848" s="241"/>
      <c r="AB848" s="241"/>
      <c r="AC848" s="241"/>
      <c r="AD848" s="241"/>
      <c r="AE848" s="241"/>
      <c r="AF848" s="241"/>
      <c r="AG848" s="241"/>
      <c r="AH848" s="241"/>
      <c r="AI848" s="241"/>
      <c r="AJ848" s="241"/>
      <c r="AK848" s="241"/>
      <c r="AL848" s="241"/>
      <c r="AM848" s="241"/>
      <c r="AN848" s="241"/>
      <c r="AO848" s="241"/>
      <c r="AP848" s="241"/>
      <c r="AQ848" s="241"/>
      <c r="AR848" s="241"/>
      <c r="AS848" s="241"/>
      <c r="AT848" s="241"/>
      <c r="AU848" s="241"/>
      <c r="AV848" s="241"/>
      <c r="AW848" s="241"/>
      <c r="AX848" s="241"/>
      <c r="AY848" s="241"/>
      <c r="AZ848" s="241"/>
      <c r="BA848" s="241"/>
      <c r="BB848" s="241"/>
      <c r="BC848" s="241"/>
      <c r="BD848" s="241"/>
      <c r="BE848" s="241"/>
      <c r="BF848" s="241"/>
      <c r="BG848" s="241"/>
      <c r="BH848" s="241"/>
      <c r="BI848" s="241"/>
      <c r="BJ848" s="241"/>
      <c r="BK848" s="241"/>
      <c r="BL848" s="241"/>
      <c r="BM848" s="241"/>
    </row>
    <row r="849" spans="1:65" ht="13.5" customHeight="1" x14ac:dyDescent="0.3">
      <c r="A849" s="241"/>
      <c r="B849" s="241"/>
      <c r="C849" s="241"/>
      <c r="D849" s="241"/>
      <c r="E849" s="241"/>
      <c r="F849" s="241"/>
      <c r="G849" s="241"/>
      <c r="H849" s="241"/>
      <c r="I849" s="241"/>
      <c r="J849" s="241"/>
      <c r="K849" s="241"/>
      <c r="L849" s="241"/>
      <c r="M849" s="241"/>
      <c r="N849" s="241"/>
      <c r="O849" s="241"/>
      <c r="P849" s="241"/>
      <c r="Q849" s="241"/>
      <c r="R849" s="241"/>
      <c r="S849" s="241"/>
      <c r="T849" s="241"/>
      <c r="U849" s="241"/>
      <c r="V849" s="241"/>
      <c r="W849" s="241"/>
      <c r="X849" s="241"/>
      <c r="Y849" s="241"/>
      <c r="Z849" s="241"/>
      <c r="AA849" s="241"/>
      <c r="AB849" s="241"/>
      <c r="AC849" s="241"/>
      <c r="AD849" s="241"/>
      <c r="AE849" s="241"/>
      <c r="AF849" s="241"/>
      <c r="AG849" s="241"/>
      <c r="AH849" s="241"/>
      <c r="AI849" s="241"/>
      <c r="AJ849" s="241"/>
      <c r="AK849" s="241"/>
      <c r="AL849" s="241"/>
      <c r="AM849" s="241"/>
      <c r="AN849" s="241"/>
      <c r="AO849" s="241"/>
      <c r="AP849" s="241"/>
      <c r="AQ849" s="241"/>
      <c r="AR849" s="241"/>
      <c r="AS849" s="241"/>
      <c r="AT849" s="241"/>
      <c r="AU849" s="241"/>
      <c r="AV849" s="241"/>
      <c r="AW849" s="241"/>
      <c r="AX849" s="241"/>
      <c r="AY849" s="241"/>
      <c r="AZ849" s="241"/>
      <c r="BA849" s="241"/>
      <c r="BB849" s="241"/>
      <c r="BC849" s="241"/>
      <c r="BD849" s="241"/>
      <c r="BE849" s="241"/>
      <c r="BF849" s="241"/>
      <c r="BG849" s="241"/>
      <c r="BH849" s="241"/>
      <c r="BI849" s="241"/>
      <c r="BJ849" s="241"/>
      <c r="BK849" s="241"/>
      <c r="BL849" s="241"/>
      <c r="BM849" s="241"/>
    </row>
    <row r="850" spans="1:65" ht="13.5" customHeight="1" x14ac:dyDescent="0.3">
      <c r="A850" s="241"/>
      <c r="B850" s="241"/>
      <c r="C850" s="241"/>
      <c r="D850" s="241"/>
      <c r="E850" s="241"/>
      <c r="F850" s="241"/>
      <c r="G850" s="241"/>
      <c r="H850" s="241"/>
      <c r="I850" s="241"/>
      <c r="J850" s="241"/>
      <c r="K850" s="241"/>
      <c r="L850" s="241"/>
      <c r="M850" s="241"/>
      <c r="N850" s="241"/>
      <c r="O850" s="241"/>
      <c r="P850" s="241"/>
      <c r="Q850" s="241"/>
      <c r="R850" s="241"/>
      <c r="S850" s="241"/>
      <c r="T850" s="241"/>
      <c r="U850" s="241"/>
      <c r="V850" s="241"/>
      <c r="W850" s="241"/>
      <c r="X850" s="241"/>
      <c r="Y850" s="241"/>
      <c r="Z850" s="241"/>
      <c r="AA850" s="241"/>
      <c r="AB850" s="241"/>
      <c r="AC850" s="241"/>
      <c r="AD850" s="241"/>
      <c r="AE850" s="241"/>
      <c r="AF850" s="241"/>
      <c r="AG850" s="241"/>
      <c r="AH850" s="241"/>
      <c r="AI850" s="241"/>
      <c r="AJ850" s="241"/>
      <c r="AK850" s="241"/>
      <c r="AL850" s="241"/>
      <c r="AM850" s="241"/>
      <c r="AN850" s="241"/>
      <c r="AO850" s="241"/>
      <c r="AP850" s="241"/>
      <c r="AQ850" s="241"/>
      <c r="AR850" s="241"/>
      <c r="AS850" s="241"/>
      <c r="AT850" s="241"/>
      <c r="AU850" s="241"/>
      <c r="AV850" s="241"/>
      <c r="AW850" s="241"/>
      <c r="AX850" s="241"/>
      <c r="AY850" s="241"/>
      <c r="AZ850" s="241"/>
      <c r="BA850" s="241"/>
      <c r="BB850" s="241"/>
      <c r="BC850" s="241"/>
      <c r="BD850" s="241"/>
      <c r="BE850" s="241"/>
      <c r="BF850" s="241"/>
      <c r="BG850" s="241"/>
      <c r="BH850" s="241"/>
      <c r="BI850" s="241"/>
      <c r="BJ850" s="241"/>
      <c r="BK850" s="241"/>
      <c r="BL850" s="241"/>
      <c r="BM850" s="241"/>
    </row>
    <row r="851" spans="1:65" ht="13.5" customHeight="1" x14ac:dyDescent="0.3">
      <c r="A851" s="241"/>
      <c r="B851" s="241"/>
      <c r="C851" s="241"/>
      <c r="D851" s="241"/>
      <c r="E851" s="241"/>
      <c r="F851" s="241"/>
      <c r="G851" s="241"/>
      <c r="H851" s="241"/>
      <c r="I851" s="241"/>
      <c r="J851" s="241"/>
      <c r="K851" s="241"/>
      <c r="L851" s="241"/>
      <c r="M851" s="241"/>
      <c r="N851" s="241"/>
      <c r="O851" s="241"/>
      <c r="P851" s="241"/>
      <c r="Q851" s="241"/>
      <c r="R851" s="241"/>
      <c r="S851" s="241"/>
      <c r="T851" s="241"/>
      <c r="U851" s="241"/>
      <c r="V851" s="241"/>
      <c r="W851" s="241"/>
      <c r="X851" s="241"/>
      <c r="Y851" s="241"/>
      <c r="Z851" s="241"/>
      <c r="AA851" s="241"/>
      <c r="AB851" s="241"/>
      <c r="AC851" s="241"/>
      <c r="AD851" s="241"/>
      <c r="AE851" s="241"/>
      <c r="AF851" s="241"/>
      <c r="AG851" s="241"/>
      <c r="AH851" s="241"/>
      <c r="AI851" s="241"/>
      <c r="AJ851" s="241"/>
      <c r="AK851" s="241"/>
      <c r="AL851" s="241"/>
      <c r="AM851" s="241"/>
      <c r="AN851" s="241"/>
      <c r="AO851" s="241"/>
      <c r="AP851" s="241"/>
      <c r="AQ851" s="241"/>
      <c r="AR851" s="241"/>
      <c r="AS851" s="241"/>
      <c r="AT851" s="241"/>
      <c r="AU851" s="241"/>
      <c r="AV851" s="241"/>
      <c r="AW851" s="241"/>
      <c r="AX851" s="241"/>
      <c r="AY851" s="241"/>
      <c r="AZ851" s="241"/>
      <c r="BA851" s="241"/>
      <c r="BB851" s="241"/>
      <c r="BC851" s="241"/>
      <c r="BD851" s="241"/>
      <c r="BE851" s="241"/>
      <c r="BF851" s="241"/>
      <c r="BG851" s="241"/>
      <c r="BH851" s="241"/>
      <c r="BI851" s="241"/>
      <c r="BJ851" s="241"/>
      <c r="BK851" s="241"/>
      <c r="BL851" s="241"/>
      <c r="BM851" s="241"/>
    </row>
    <row r="852" spans="1:65" ht="13.5" customHeight="1" x14ac:dyDescent="0.3">
      <c r="A852" s="241"/>
      <c r="B852" s="241"/>
      <c r="C852" s="241"/>
      <c r="D852" s="241"/>
      <c r="E852" s="241"/>
      <c r="F852" s="241"/>
      <c r="G852" s="241"/>
      <c r="H852" s="241"/>
      <c r="I852" s="241"/>
      <c r="J852" s="241"/>
      <c r="K852" s="241"/>
      <c r="L852" s="241"/>
      <c r="M852" s="241"/>
      <c r="N852" s="241"/>
      <c r="O852" s="241"/>
      <c r="P852" s="241"/>
      <c r="Q852" s="241"/>
      <c r="R852" s="241"/>
      <c r="S852" s="241"/>
      <c r="T852" s="241"/>
      <c r="U852" s="241"/>
      <c r="V852" s="241"/>
      <c r="W852" s="241"/>
      <c r="X852" s="241"/>
      <c r="Y852" s="241"/>
      <c r="Z852" s="241"/>
      <c r="AA852" s="241"/>
      <c r="AB852" s="241"/>
      <c r="AC852" s="241"/>
      <c r="AD852" s="241"/>
      <c r="AE852" s="241"/>
      <c r="AF852" s="241"/>
      <c r="AG852" s="241"/>
      <c r="AH852" s="241"/>
      <c r="AI852" s="241"/>
      <c r="AJ852" s="241"/>
      <c r="AK852" s="241"/>
      <c r="AL852" s="241"/>
      <c r="AM852" s="241"/>
      <c r="AN852" s="241"/>
      <c r="AO852" s="241"/>
      <c r="AP852" s="241"/>
      <c r="AQ852" s="241"/>
      <c r="AR852" s="241"/>
      <c r="AS852" s="241"/>
      <c r="AT852" s="241"/>
      <c r="AU852" s="241"/>
      <c r="AV852" s="241"/>
      <c r="AW852" s="241"/>
      <c r="AX852" s="241"/>
      <c r="AY852" s="241"/>
      <c r="AZ852" s="241"/>
      <c r="BA852" s="241"/>
      <c r="BB852" s="241"/>
      <c r="BC852" s="241"/>
      <c r="BD852" s="241"/>
      <c r="BE852" s="241"/>
      <c r="BF852" s="241"/>
      <c r="BG852" s="241"/>
      <c r="BH852" s="241"/>
      <c r="BI852" s="241"/>
      <c r="BJ852" s="241"/>
      <c r="BK852" s="241"/>
      <c r="BL852" s="241"/>
      <c r="BM852" s="241"/>
    </row>
    <row r="853" spans="1:65" ht="13.5" customHeight="1" x14ac:dyDescent="0.3">
      <c r="A853" s="241"/>
      <c r="B853" s="241"/>
      <c r="C853" s="241"/>
      <c r="D853" s="241"/>
      <c r="E853" s="241"/>
      <c r="F853" s="241"/>
      <c r="G853" s="241"/>
      <c r="H853" s="241"/>
      <c r="I853" s="241"/>
      <c r="J853" s="241"/>
      <c r="K853" s="241"/>
      <c r="L853" s="241"/>
      <c r="M853" s="241"/>
      <c r="N853" s="241"/>
      <c r="O853" s="241"/>
      <c r="P853" s="241"/>
      <c r="Q853" s="241"/>
      <c r="R853" s="241"/>
      <c r="S853" s="241"/>
      <c r="T853" s="241"/>
      <c r="U853" s="241"/>
      <c r="V853" s="241"/>
      <c r="W853" s="241"/>
      <c r="X853" s="241"/>
      <c r="Y853" s="241"/>
      <c r="Z853" s="241"/>
      <c r="AA853" s="241"/>
      <c r="AB853" s="241"/>
      <c r="AC853" s="241"/>
      <c r="AD853" s="241"/>
      <c r="AE853" s="241"/>
      <c r="AF853" s="241"/>
      <c r="AG853" s="241"/>
      <c r="AH853" s="241"/>
      <c r="AI853" s="241"/>
      <c r="AJ853" s="241"/>
      <c r="AK853" s="241"/>
      <c r="AL853" s="241"/>
      <c r="AM853" s="241"/>
      <c r="AN853" s="241"/>
      <c r="AO853" s="241"/>
      <c r="AP853" s="241"/>
      <c r="AQ853" s="241"/>
      <c r="AR853" s="241"/>
      <c r="AS853" s="241"/>
      <c r="AT853" s="241"/>
      <c r="AU853" s="241"/>
      <c r="AV853" s="241"/>
      <c r="AW853" s="241"/>
      <c r="AX853" s="241"/>
      <c r="AY853" s="241"/>
      <c r="AZ853" s="241"/>
      <c r="BA853" s="241"/>
      <c r="BB853" s="241"/>
      <c r="BC853" s="241"/>
      <c r="BD853" s="241"/>
      <c r="BE853" s="241"/>
      <c r="BF853" s="241"/>
      <c r="BG853" s="241"/>
      <c r="BH853" s="241"/>
      <c r="BI853" s="241"/>
      <c r="BJ853" s="241"/>
      <c r="BK853" s="241"/>
      <c r="BL853" s="241"/>
      <c r="BM853" s="241"/>
    </row>
    <row r="854" spans="1:65" ht="13.5" customHeight="1" x14ac:dyDescent="0.3">
      <c r="A854" s="241"/>
      <c r="B854" s="241"/>
      <c r="C854" s="241"/>
      <c r="D854" s="241"/>
      <c r="E854" s="241"/>
      <c r="F854" s="241"/>
      <c r="G854" s="241"/>
      <c r="H854" s="241"/>
      <c r="I854" s="241"/>
      <c r="J854" s="241"/>
      <c r="K854" s="241"/>
      <c r="L854" s="241"/>
      <c r="M854" s="241"/>
      <c r="N854" s="241"/>
      <c r="O854" s="241"/>
      <c r="P854" s="241"/>
      <c r="Q854" s="241"/>
      <c r="R854" s="241"/>
      <c r="S854" s="241"/>
      <c r="T854" s="241"/>
      <c r="U854" s="241"/>
      <c r="V854" s="241"/>
      <c r="W854" s="241"/>
      <c r="X854" s="241"/>
      <c r="Y854" s="241"/>
      <c r="Z854" s="241"/>
      <c r="AA854" s="241"/>
      <c r="AB854" s="241"/>
      <c r="AC854" s="241"/>
      <c r="AD854" s="241"/>
      <c r="AE854" s="241"/>
      <c r="AF854" s="241"/>
      <c r="AG854" s="241"/>
      <c r="AH854" s="241"/>
      <c r="AI854" s="241"/>
      <c r="AJ854" s="241"/>
      <c r="AK854" s="241"/>
      <c r="AL854" s="241"/>
      <c r="AM854" s="241"/>
      <c r="AN854" s="241"/>
      <c r="AO854" s="241"/>
      <c r="AP854" s="241"/>
      <c r="AQ854" s="241"/>
      <c r="AR854" s="241"/>
      <c r="AS854" s="241"/>
      <c r="AT854" s="241"/>
      <c r="AU854" s="241"/>
      <c r="AV854" s="241"/>
      <c r="AW854" s="241"/>
      <c r="AX854" s="241"/>
      <c r="AY854" s="241"/>
      <c r="AZ854" s="241"/>
      <c r="BA854" s="241"/>
      <c r="BB854" s="241"/>
      <c r="BC854" s="241"/>
      <c r="BD854" s="241"/>
      <c r="BE854" s="241"/>
      <c r="BF854" s="241"/>
      <c r="BG854" s="241"/>
      <c r="BH854" s="241"/>
      <c r="BI854" s="241"/>
      <c r="BJ854" s="241"/>
      <c r="BK854" s="241"/>
      <c r="BL854" s="241"/>
      <c r="BM854" s="241"/>
    </row>
    <row r="855" spans="1:65" ht="13.5" customHeight="1" x14ac:dyDescent="0.3">
      <c r="A855" s="241"/>
      <c r="B855" s="241"/>
      <c r="C855" s="241"/>
      <c r="D855" s="241"/>
      <c r="E855" s="241"/>
      <c r="F855" s="241"/>
      <c r="G855" s="241"/>
      <c r="H855" s="241"/>
      <c r="I855" s="241"/>
      <c r="J855" s="241"/>
      <c r="K855" s="241"/>
      <c r="L855" s="241"/>
      <c r="M855" s="241"/>
      <c r="N855" s="241"/>
      <c r="O855" s="241"/>
      <c r="P855" s="241"/>
      <c r="Q855" s="241"/>
      <c r="R855" s="241"/>
      <c r="S855" s="241"/>
      <c r="T855" s="241"/>
      <c r="U855" s="241"/>
      <c r="V855" s="241"/>
      <c r="W855" s="241"/>
      <c r="X855" s="241"/>
      <c r="Y855" s="241"/>
      <c r="Z855" s="241"/>
      <c r="AA855" s="241"/>
      <c r="AB855" s="241"/>
      <c r="AC855" s="241"/>
      <c r="AD855" s="241"/>
      <c r="AE855" s="241"/>
      <c r="AF855" s="241"/>
      <c r="AG855" s="241"/>
      <c r="AH855" s="241"/>
      <c r="AI855" s="241"/>
      <c r="AJ855" s="241"/>
      <c r="AK855" s="241"/>
      <c r="AL855" s="241"/>
      <c r="AM855" s="241"/>
      <c r="AN855" s="241"/>
      <c r="AO855" s="241"/>
      <c r="AP855" s="241"/>
      <c r="AQ855" s="241"/>
      <c r="AR855" s="241"/>
      <c r="AS855" s="241"/>
      <c r="AT855" s="241"/>
      <c r="AU855" s="241"/>
      <c r="AV855" s="241"/>
      <c r="AW855" s="241"/>
      <c r="AX855" s="241"/>
      <c r="AY855" s="241"/>
      <c r="AZ855" s="241"/>
      <c r="BA855" s="241"/>
      <c r="BB855" s="241"/>
      <c r="BC855" s="241"/>
      <c r="BD855" s="241"/>
      <c r="BE855" s="241"/>
      <c r="BF855" s="241"/>
      <c r="BG855" s="241"/>
      <c r="BH855" s="241"/>
      <c r="BI855" s="241"/>
      <c r="BJ855" s="241"/>
      <c r="BK855" s="241"/>
      <c r="BL855" s="241"/>
      <c r="BM855" s="241"/>
    </row>
    <row r="856" spans="1:65" ht="13.5" customHeight="1" x14ac:dyDescent="0.3">
      <c r="A856" s="241"/>
      <c r="B856" s="241"/>
      <c r="C856" s="241"/>
      <c r="D856" s="241"/>
      <c r="E856" s="241"/>
      <c r="F856" s="241"/>
      <c r="G856" s="241"/>
      <c r="H856" s="241"/>
      <c r="I856" s="241"/>
      <c r="J856" s="241"/>
      <c r="K856" s="241"/>
      <c r="L856" s="241"/>
      <c r="M856" s="241"/>
      <c r="N856" s="241"/>
      <c r="O856" s="241"/>
      <c r="P856" s="241"/>
      <c r="Q856" s="241"/>
      <c r="R856" s="241"/>
      <c r="S856" s="241"/>
      <c r="T856" s="241"/>
      <c r="U856" s="241"/>
      <c r="V856" s="241"/>
      <c r="W856" s="241"/>
      <c r="X856" s="241"/>
      <c r="Y856" s="241"/>
      <c r="Z856" s="241"/>
      <c r="AA856" s="241"/>
      <c r="AB856" s="241"/>
      <c r="AC856" s="241"/>
      <c r="AD856" s="241"/>
      <c r="AE856" s="241"/>
      <c r="AF856" s="241"/>
      <c r="AG856" s="241"/>
      <c r="AH856" s="241"/>
      <c r="AI856" s="241"/>
      <c r="AJ856" s="241"/>
      <c r="AK856" s="241"/>
      <c r="AL856" s="241"/>
      <c r="AM856" s="241"/>
      <c r="AN856" s="241"/>
      <c r="AO856" s="241"/>
      <c r="AP856" s="241"/>
      <c r="AQ856" s="241"/>
      <c r="AR856" s="241"/>
      <c r="AS856" s="241"/>
      <c r="AT856" s="241"/>
      <c r="AU856" s="241"/>
      <c r="AV856" s="241"/>
      <c r="AW856" s="241"/>
      <c r="AX856" s="241"/>
      <c r="AY856" s="241"/>
      <c r="AZ856" s="241"/>
      <c r="BA856" s="241"/>
      <c r="BB856" s="241"/>
      <c r="BC856" s="241"/>
      <c r="BD856" s="241"/>
      <c r="BE856" s="241"/>
      <c r="BF856" s="241"/>
      <c r="BG856" s="241"/>
      <c r="BH856" s="241"/>
      <c r="BI856" s="241"/>
      <c r="BJ856" s="241"/>
      <c r="BK856" s="241"/>
      <c r="BL856" s="241"/>
      <c r="BM856" s="241"/>
    </row>
    <row r="857" spans="1:65" ht="13.5" customHeight="1" x14ac:dyDescent="0.3">
      <c r="A857" s="241"/>
      <c r="B857" s="241"/>
      <c r="C857" s="241"/>
      <c r="D857" s="241"/>
      <c r="E857" s="241"/>
      <c r="F857" s="241"/>
      <c r="G857" s="241"/>
      <c r="H857" s="241"/>
      <c r="I857" s="241"/>
      <c r="J857" s="241"/>
      <c r="K857" s="241"/>
      <c r="L857" s="241"/>
      <c r="M857" s="241"/>
      <c r="N857" s="241"/>
      <c r="O857" s="241"/>
      <c r="P857" s="241"/>
      <c r="Q857" s="241"/>
      <c r="R857" s="241"/>
      <c r="S857" s="241"/>
      <c r="T857" s="241"/>
      <c r="U857" s="241"/>
      <c r="V857" s="241"/>
      <c r="W857" s="241"/>
      <c r="X857" s="241"/>
      <c r="Y857" s="241"/>
      <c r="Z857" s="241"/>
      <c r="AA857" s="241"/>
      <c r="AB857" s="241"/>
      <c r="AC857" s="241"/>
      <c r="AD857" s="241"/>
      <c r="AE857" s="241"/>
      <c r="AF857" s="241"/>
      <c r="AG857" s="241"/>
      <c r="AH857" s="241"/>
      <c r="AI857" s="241"/>
      <c r="AJ857" s="241"/>
      <c r="AK857" s="241"/>
      <c r="AL857" s="241"/>
      <c r="AM857" s="241"/>
      <c r="AN857" s="241"/>
      <c r="AO857" s="241"/>
      <c r="AP857" s="241"/>
      <c r="AQ857" s="241"/>
      <c r="AR857" s="241"/>
      <c r="AS857" s="241"/>
      <c r="AT857" s="241"/>
      <c r="AU857" s="241"/>
      <c r="AV857" s="241"/>
      <c r="AW857" s="241"/>
      <c r="AX857" s="241"/>
      <c r="AY857" s="241"/>
      <c r="AZ857" s="241"/>
      <c r="BA857" s="241"/>
      <c r="BB857" s="241"/>
      <c r="BC857" s="241"/>
      <c r="BD857" s="241"/>
      <c r="BE857" s="241"/>
      <c r="BF857" s="241"/>
      <c r="BG857" s="241"/>
      <c r="BH857" s="241"/>
      <c r="BI857" s="241"/>
      <c r="BJ857" s="241"/>
      <c r="BK857" s="241"/>
      <c r="BL857" s="241"/>
      <c r="BM857" s="241"/>
    </row>
    <row r="858" spans="1:65" ht="13.5" customHeight="1" x14ac:dyDescent="0.3">
      <c r="A858" s="241"/>
      <c r="B858" s="241"/>
      <c r="C858" s="241"/>
      <c r="D858" s="241"/>
      <c r="E858" s="241"/>
      <c r="F858" s="241"/>
      <c r="G858" s="241"/>
      <c r="H858" s="241"/>
      <c r="I858" s="241"/>
      <c r="J858" s="241"/>
      <c r="K858" s="241"/>
      <c r="L858" s="241"/>
      <c r="M858" s="241"/>
      <c r="N858" s="241"/>
      <c r="O858" s="241"/>
      <c r="P858" s="241"/>
      <c r="Q858" s="241"/>
      <c r="R858" s="241"/>
      <c r="S858" s="241"/>
      <c r="T858" s="241"/>
      <c r="U858" s="241"/>
      <c r="V858" s="241"/>
      <c r="W858" s="241"/>
      <c r="X858" s="241"/>
      <c r="Y858" s="241"/>
      <c r="Z858" s="241"/>
      <c r="AA858" s="241"/>
      <c r="AB858" s="241"/>
      <c r="AC858" s="241"/>
      <c r="AD858" s="241"/>
      <c r="AE858" s="241"/>
      <c r="AF858" s="241"/>
      <c r="AG858" s="241"/>
      <c r="AH858" s="241"/>
      <c r="AI858" s="241"/>
      <c r="AJ858" s="241"/>
      <c r="AK858" s="241"/>
      <c r="AL858" s="241"/>
      <c r="AM858" s="241"/>
      <c r="AN858" s="241"/>
      <c r="AO858" s="241"/>
      <c r="AP858" s="241"/>
      <c r="AQ858" s="241"/>
      <c r="AR858" s="241"/>
      <c r="AS858" s="241"/>
      <c r="AT858" s="241"/>
      <c r="AU858" s="241"/>
      <c r="AV858" s="241"/>
      <c r="AW858" s="241"/>
      <c r="AX858" s="241"/>
      <c r="AY858" s="241"/>
      <c r="AZ858" s="241"/>
      <c r="BA858" s="241"/>
      <c r="BB858" s="241"/>
      <c r="BC858" s="241"/>
      <c r="BD858" s="241"/>
      <c r="BE858" s="241"/>
      <c r="BF858" s="241"/>
      <c r="BG858" s="241"/>
      <c r="BH858" s="241"/>
      <c r="BI858" s="241"/>
      <c r="BJ858" s="241"/>
      <c r="BK858" s="241"/>
      <c r="BL858" s="241"/>
      <c r="BM858" s="241"/>
    </row>
    <row r="859" spans="1:65" ht="13.5" customHeight="1" x14ac:dyDescent="0.3">
      <c r="A859" s="241"/>
      <c r="B859" s="241"/>
      <c r="C859" s="241"/>
      <c r="D859" s="241"/>
      <c r="E859" s="241"/>
      <c r="F859" s="241"/>
      <c r="G859" s="241"/>
      <c r="H859" s="241"/>
      <c r="I859" s="241"/>
      <c r="J859" s="241"/>
      <c r="K859" s="241"/>
      <c r="L859" s="241"/>
      <c r="M859" s="241"/>
      <c r="N859" s="241"/>
      <c r="O859" s="241"/>
      <c r="P859" s="241"/>
      <c r="Q859" s="241"/>
      <c r="R859" s="241"/>
      <c r="S859" s="241"/>
      <c r="T859" s="241"/>
      <c r="U859" s="241"/>
      <c r="V859" s="241"/>
      <c r="W859" s="241"/>
      <c r="X859" s="241"/>
      <c r="Y859" s="241"/>
      <c r="Z859" s="241"/>
      <c r="AA859" s="241"/>
      <c r="AB859" s="241"/>
      <c r="AC859" s="241"/>
      <c r="AD859" s="241"/>
      <c r="AE859" s="241"/>
      <c r="AF859" s="241"/>
      <c r="AG859" s="241"/>
      <c r="AH859" s="241"/>
      <c r="AI859" s="241"/>
      <c r="AJ859" s="241"/>
      <c r="AK859" s="241"/>
      <c r="AL859" s="241"/>
      <c r="AM859" s="241"/>
      <c r="AN859" s="241"/>
      <c r="AO859" s="241"/>
      <c r="AP859" s="241"/>
      <c r="AQ859" s="241"/>
      <c r="AR859" s="241"/>
      <c r="AS859" s="241"/>
      <c r="AT859" s="241"/>
      <c r="AU859" s="241"/>
      <c r="AV859" s="241"/>
      <c r="AW859" s="241"/>
      <c r="AX859" s="241"/>
      <c r="AY859" s="241"/>
      <c r="AZ859" s="241"/>
      <c r="BA859" s="241"/>
      <c r="BB859" s="241"/>
      <c r="BC859" s="241"/>
      <c r="BD859" s="241"/>
      <c r="BE859" s="241"/>
      <c r="BF859" s="241"/>
      <c r="BG859" s="241"/>
      <c r="BH859" s="241"/>
      <c r="BI859" s="241"/>
      <c r="BJ859" s="241"/>
      <c r="BK859" s="241"/>
      <c r="BL859" s="241"/>
      <c r="BM859" s="241"/>
    </row>
    <row r="860" spans="1:65" ht="13.5" customHeight="1" x14ac:dyDescent="0.3">
      <c r="A860" s="241"/>
      <c r="B860" s="241"/>
      <c r="C860" s="241"/>
      <c r="D860" s="241"/>
      <c r="E860" s="241"/>
      <c r="F860" s="241"/>
      <c r="G860" s="241"/>
      <c r="H860" s="241"/>
      <c r="I860" s="241"/>
      <c r="J860" s="241"/>
      <c r="K860" s="241"/>
      <c r="L860" s="241"/>
      <c r="M860" s="241"/>
      <c r="N860" s="241"/>
      <c r="O860" s="241"/>
      <c r="P860" s="241"/>
      <c r="Q860" s="241"/>
      <c r="R860" s="241"/>
      <c r="S860" s="241"/>
      <c r="T860" s="241"/>
      <c r="U860" s="241"/>
      <c r="V860" s="241"/>
      <c r="W860" s="241"/>
      <c r="X860" s="241"/>
      <c r="Y860" s="241"/>
      <c r="Z860" s="241"/>
      <c r="AA860" s="241"/>
      <c r="AB860" s="241"/>
      <c r="AC860" s="241"/>
      <c r="AD860" s="241"/>
      <c r="AE860" s="241"/>
      <c r="AF860" s="241"/>
      <c r="AG860" s="241"/>
      <c r="AH860" s="241"/>
      <c r="AI860" s="241"/>
      <c r="AJ860" s="241"/>
      <c r="AK860" s="241"/>
      <c r="AL860" s="241"/>
      <c r="AM860" s="241"/>
      <c r="AN860" s="241"/>
      <c r="AO860" s="241"/>
      <c r="AP860" s="241"/>
      <c r="AQ860" s="241"/>
      <c r="AR860" s="241"/>
      <c r="AS860" s="241"/>
      <c r="AT860" s="241"/>
      <c r="AU860" s="241"/>
      <c r="AV860" s="241"/>
      <c r="AW860" s="241"/>
      <c r="AX860" s="241"/>
      <c r="AY860" s="241"/>
      <c r="AZ860" s="241"/>
      <c r="BA860" s="241"/>
      <c r="BB860" s="241"/>
      <c r="BC860" s="241"/>
      <c r="BD860" s="241"/>
      <c r="BE860" s="241"/>
      <c r="BF860" s="241"/>
      <c r="BG860" s="241"/>
      <c r="BH860" s="241"/>
      <c r="BI860" s="241"/>
      <c r="BJ860" s="241"/>
      <c r="BK860" s="241"/>
      <c r="BL860" s="241"/>
      <c r="BM860" s="241"/>
    </row>
    <row r="861" spans="1:65" ht="13.5" customHeight="1" x14ac:dyDescent="0.3">
      <c r="A861" s="241"/>
      <c r="B861" s="241"/>
      <c r="C861" s="241"/>
      <c r="D861" s="241"/>
      <c r="E861" s="241"/>
      <c r="F861" s="241"/>
      <c r="G861" s="241"/>
      <c r="H861" s="241"/>
      <c r="I861" s="241"/>
      <c r="J861" s="241"/>
      <c r="K861" s="241"/>
      <c r="L861" s="241"/>
      <c r="M861" s="241"/>
      <c r="N861" s="241"/>
      <c r="O861" s="241"/>
      <c r="P861" s="241"/>
      <c r="Q861" s="241"/>
      <c r="R861" s="241"/>
      <c r="S861" s="241"/>
      <c r="T861" s="241"/>
      <c r="U861" s="241"/>
      <c r="V861" s="241"/>
      <c r="W861" s="241"/>
      <c r="X861" s="241"/>
      <c r="Y861" s="241"/>
      <c r="Z861" s="241"/>
      <c r="AA861" s="241"/>
      <c r="AB861" s="241"/>
      <c r="AC861" s="241"/>
      <c r="AD861" s="241"/>
      <c r="AE861" s="241"/>
      <c r="AF861" s="241"/>
      <c r="AG861" s="241"/>
      <c r="AH861" s="241"/>
      <c r="AI861" s="241"/>
      <c r="AJ861" s="241"/>
      <c r="AK861" s="241"/>
      <c r="AL861" s="241"/>
      <c r="AM861" s="241"/>
      <c r="AN861" s="241"/>
      <c r="AO861" s="241"/>
      <c r="AP861" s="241"/>
      <c r="AQ861" s="241"/>
      <c r="AR861" s="241"/>
      <c r="AS861" s="241"/>
      <c r="AT861" s="241"/>
      <c r="AU861" s="241"/>
      <c r="AV861" s="241"/>
      <c r="AW861" s="241"/>
      <c r="AX861" s="241"/>
      <c r="AY861" s="241"/>
      <c r="AZ861" s="241"/>
      <c r="BA861" s="241"/>
      <c r="BB861" s="241"/>
      <c r="BC861" s="241"/>
      <c r="BD861" s="241"/>
      <c r="BE861" s="241"/>
      <c r="BF861" s="241"/>
      <c r="BG861" s="241"/>
      <c r="BH861" s="241"/>
      <c r="BI861" s="241"/>
      <c r="BJ861" s="241"/>
      <c r="BK861" s="241"/>
      <c r="BL861" s="241"/>
      <c r="BM861" s="241"/>
    </row>
    <row r="862" spans="1:65" ht="13.5" customHeight="1" x14ac:dyDescent="0.3">
      <c r="A862" s="241"/>
      <c r="B862" s="241"/>
      <c r="C862" s="241"/>
      <c r="D862" s="241"/>
      <c r="E862" s="241"/>
      <c r="F862" s="241"/>
      <c r="G862" s="241"/>
      <c r="H862" s="241"/>
      <c r="I862" s="241"/>
      <c r="J862" s="241"/>
      <c r="K862" s="241"/>
      <c r="L862" s="241"/>
      <c r="M862" s="241"/>
      <c r="N862" s="241"/>
      <c r="O862" s="241"/>
      <c r="P862" s="241"/>
      <c r="Q862" s="241"/>
      <c r="R862" s="241"/>
      <c r="S862" s="241"/>
      <c r="T862" s="241"/>
      <c r="U862" s="241"/>
      <c r="V862" s="241"/>
      <c r="W862" s="241"/>
      <c r="X862" s="241"/>
      <c r="Y862" s="241"/>
      <c r="Z862" s="241"/>
      <c r="AA862" s="241"/>
      <c r="AB862" s="241"/>
      <c r="AC862" s="241"/>
      <c r="AD862" s="241"/>
      <c r="AE862" s="241"/>
      <c r="AF862" s="241"/>
      <c r="AG862" s="241"/>
      <c r="AH862" s="241"/>
      <c r="AI862" s="241"/>
      <c r="AJ862" s="241"/>
      <c r="AK862" s="241"/>
      <c r="AL862" s="241"/>
      <c r="AM862" s="241"/>
      <c r="AN862" s="241"/>
      <c r="AO862" s="241"/>
      <c r="AP862" s="241"/>
      <c r="AQ862" s="241"/>
      <c r="AR862" s="241"/>
      <c r="AS862" s="241"/>
      <c r="AT862" s="241"/>
      <c r="AU862" s="241"/>
      <c r="AV862" s="241"/>
      <c r="AW862" s="241"/>
      <c r="AX862" s="241"/>
      <c r="AY862" s="241"/>
      <c r="AZ862" s="241"/>
      <c r="BA862" s="241"/>
      <c r="BB862" s="241"/>
      <c r="BC862" s="241"/>
      <c r="BD862" s="241"/>
      <c r="BE862" s="241"/>
      <c r="BF862" s="241"/>
      <c r="BG862" s="241"/>
      <c r="BH862" s="241"/>
      <c r="BI862" s="241"/>
      <c r="BJ862" s="241"/>
      <c r="BK862" s="241"/>
      <c r="BL862" s="241"/>
      <c r="BM862" s="241"/>
    </row>
    <row r="863" spans="1:65" ht="13.5" customHeight="1" x14ac:dyDescent="0.3">
      <c r="A863" s="241"/>
      <c r="B863" s="241"/>
      <c r="C863" s="241"/>
      <c r="D863" s="241"/>
      <c r="E863" s="241"/>
      <c r="F863" s="241"/>
      <c r="G863" s="241"/>
      <c r="H863" s="241"/>
      <c r="I863" s="241"/>
      <c r="J863" s="241"/>
      <c r="K863" s="241"/>
      <c r="L863" s="241"/>
      <c r="M863" s="241"/>
      <c r="N863" s="241"/>
      <c r="O863" s="241"/>
      <c r="P863" s="241"/>
      <c r="Q863" s="241"/>
      <c r="R863" s="241"/>
      <c r="S863" s="241"/>
      <c r="T863" s="241"/>
      <c r="U863" s="241"/>
      <c r="V863" s="241"/>
      <c r="W863" s="241"/>
      <c r="X863" s="241"/>
      <c r="Y863" s="241"/>
      <c r="Z863" s="241"/>
      <c r="AA863" s="241"/>
      <c r="AB863" s="241"/>
      <c r="AC863" s="241"/>
      <c r="AD863" s="241"/>
      <c r="AE863" s="241"/>
      <c r="AF863" s="241"/>
      <c r="AG863" s="241"/>
      <c r="AH863" s="241"/>
      <c r="AI863" s="241"/>
      <c r="AJ863" s="241"/>
      <c r="AK863" s="241"/>
      <c r="AL863" s="241"/>
      <c r="AM863" s="241"/>
      <c r="AN863" s="241"/>
      <c r="AO863" s="241"/>
      <c r="AP863" s="241"/>
      <c r="AQ863" s="241"/>
      <c r="AR863" s="241"/>
      <c r="AS863" s="241"/>
      <c r="AT863" s="241"/>
      <c r="AU863" s="241"/>
      <c r="AV863" s="241"/>
      <c r="AW863" s="241"/>
      <c r="AX863" s="241"/>
      <c r="AY863" s="241"/>
      <c r="AZ863" s="241"/>
      <c r="BA863" s="241"/>
      <c r="BB863" s="241"/>
      <c r="BC863" s="241"/>
      <c r="BD863" s="241"/>
      <c r="BE863" s="241"/>
      <c r="BF863" s="241"/>
      <c r="BG863" s="241"/>
      <c r="BH863" s="241"/>
      <c r="BI863" s="241"/>
      <c r="BJ863" s="241"/>
      <c r="BK863" s="241"/>
      <c r="BL863" s="241"/>
      <c r="BM863" s="241"/>
    </row>
    <row r="864" spans="1:65" ht="13.5" customHeight="1" x14ac:dyDescent="0.3">
      <c r="A864" s="241"/>
      <c r="B864" s="241"/>
      <c r="C864" s="241"/>
      <c r="D864" s="241"/>
      <c r="E864" s="241"/>
      <c r="F864" s="241"/>
      <c r="G864" s="241"/>
      <c r="H864" s="241"/>
      <c r="I864" s="241"/>
      <c r="J864" s="241"/>
      <c r="K864" s="241"/>
      <c r="L864" s="241"/>
      <c r="M864" s="241"/>
      <c r="N864" s="241"/>
      <c r="O864" s="241"/>
      <c r="P864" s="241"/>
      <c r="Q864" s="241"/>
      <c r="R864" s="241"/>
      <c r="S864" s="241"/>
      <c r="T864" s="241"/>
      <c r="U864" s="241"/>
      <c r="V864" s="241"/>
      <c r="W864" s="241"/>
      <c r="X864" s="241"/>
      <c r="Y864" s="241"/>
      <c r="Z864" s="241"/>
      <c r="AA864" s="241"/>
      <c r="AB864" s="241"/>
      <c r="AC864" s="241"/>
      <c r="AD864" s="241"/>
      <c r="AE864" s="241"/>
      <c r="AF864" s="241"/>
      <c r="AG864" s="241"/>
      <c r="AH864" s="241"/>
      <c r="AI864" s="241"/>
      <c r="AJ864" s="241"/>
      <c r="AK864" s="241"/>
      <c r="AL864" s="241"/>
      <c r="AM864" s="241"/>
      <c r="AN864" s="241"/>
      <c r="AO864" s="241"/>
      <c r="AP864" s="241"/>
      <c r="AQ864" s="241"/>
      <c r="AR864" s="241"/>
      <c r="AS864" s="241"/>
      <c r="AT864" s="241"/>
      <c r="AU864" s="241"/>
      <c r="AV864" s="241"/>
      <c r="AW864" s="241"/>
      <c r="AX864" s="241"/>
      <c r="AY864" s="241"/>
      <c r="AZ864" s="241"/>
      <c r="BA864" s="241"/>
      <c r="BB864" s="241"/>
      <c r="BC864" s="241"/>
      <c r="BD864" s="241"/>
      <c r="BE864" s="241"/>
      <c r="BF864" s="241"/>
      <c r="BG864" s="241"/>
      <c r="BH864" s="241"/>
      <c r="BI864" s="241"/>
      <c r="BJ864" s="241"/>
      <c r="BK864" s="241"/>
      <c r="BL864" s="241"/>
      <c r="BM864" s="241"/>
    </row>
    <row r="865" spans="1:65" ht="13.5" customHeight="1" x14ac:dyDescent="0.3">
      <c r="A865" s="241"/>
      <c r="B865" s="241"/>
      <c r="C865" s="241"/>
      <c r="D865" s="241"/>
      <c r="E865" s="241"/>
      <c r="F865" s="241"/>
      <c r="G865" s="241"/>
      <c r="H865" s="241"/>
      <c r="I865" s="241"/>
      <c r="J865" s="241"/>
      <c r="K865" s="241"/>
      <c r="L865" s="241"/>
      <c r="M865" s="241"/>
      <c r="N865" s="241"/>
      <c r="O865" s="241"/>
      <c r="P865" s="241"/>
      <c r="Q865" s="241"/>
      <c r="R865" s="241"/>
      <c r="S865" s="241"/>
      <c r="T865" s="241"/>
      <c r="U865" s="241"/>
      <c r="V865" s="241"/>
      <c r="W865" s="241"/>
      <c r="X865" s="241"/>
      <c r="Y865" s="241"/>
      <c r="Z865" s="241"/>
      <c r="AA865" s="241"/>
      <c r="AB865" s="241"/>
      <c r="AC865" s="241"/>
      <c r="AD865" s="241"/>
      <c r="AE865" s="241"/>
      <c r="AF865" s="241"/>
      <c r="AG865" s="241"/>
      <c r="AH865" s="241"/>
      <c r="AI865" s="241"/>
      <c r="AJ865" s="241"/>
      <c r="AK865" s="241"/>
      <c r="AL865" s="241"/>
      <c r="AM865" s="241"/>
      <c r="AN865" s="241"/>
      <c r="AO865" s="241"/>
      <c r="AP865" s="241"/>
      <c r="AQ865" s="241"/>
      <c r="AR865" s="241"/>
      <c r="AS865" s="241"/>
      <c r="AT865" s="241"/>
      <c r="AU865" s="241"/>
      <c r="AV865" s="241"/>
      <c r="AW865" s="241"/>
      <c r="AX865" s="241"/>
      <c r="AY865" s="241"/>
      <c r="AZ865" s="241"/>
      <c r="BA865" s="241"/>
      <c r="BB865" s="241"/>
      <c r="BC865" s="241"/>
      <c r="BD865" s="241"/>
      <c r="BE865" s="241"/>
      <c r="BF865" s="241"/>
      <c r="BG865" s="241"/>
      <c r="BH865" s="241"/>
      <c r="BI865" s="241"/>
      <c r="BJ865" s="241"/>
      <c r="BK865" s="241"/>
      <c r="BL865" s="241"/>
      <c r="BM865" s="241"/>
    </row>
    <row r="866" spans="1:65" ht="13.5" customHeight="1" x14ac:dyDescent="0.3">
      <c r="A866" s="241"/>
      <c r="B866" s="241"/>
      <c r="C866" s="241"/>
      <c r="D866" s="241"/>
      <c r="E866" s="241"/>
      <c r="F866" s="241"/>
      <c r="G866" s="241"/>
      <c r="H866" s="241"/>
      <c r="I866" s="241"/>
      <c r="J866" s="241"/>
      <c r="K866" s="241"/>
      <c r="L866" s="241"/>
      <c r="M866" s="241"/>
      <c r="N866" s="241"/>
      <c r="O866" s="241"/>
      <c r="P866" s="241"/>
      <c r="Q866" s="241"/>
      <c r="R866" s="241"/>
      <c r="S866" s="241"/>
      <c r="T866" s="241"/>
      <c r="U866" s="241"/>
      <c r="V866" s="241"/>
      <c r="W866" s="241"/>
      <c r="X866" s="241"/>
      <c r="Y866" s="241"/>
      <c r="Z866" s="241"/>
      <c r="AA866" s="241"/>
      <c r="AB866" s="241"/>
      <c r="AC866" s="241"/>
      <c r="AD866" s="241"/>
      <c r="AE866" s="241"/>
      <c r="AF866" s="241"/>
      <c r="AG866" s="241"/>
      <c r="AH866" s="241"/>
      <c r="AI866" s="241"/>
      <c r="AJ866" s="241"/>
      <c r="AK866" s="241"/>
      <c r="AL866" s="241"/>
      <c r="AM866" s="241"/>
      <c r="AN866" s="241"/>
      <c r="AO866" s="241"/>
      <c r="AP866" s="241"/>
      <c r="AQ866" s="241"/>
      <c r="AR866" s="241"/>
      <c r="AS866" s="241"/>
      <c r="AT866" s="241"/>
      <c r="AU866" s="241"/>
      <c r="AV866" s="241"/>
      <c r="AW866" s="241"/>
      <c r="AX866" s="241"/>
      <c r="AY866" s="241"/>
      <c r="AZ866" s="241"/>
      <c r="BA866" s="241"/>
      <c r="BB866" s="241"/>
      <c r="BC866" s="241"/>
      <c r="BD866" s="241"/>
      <c r="BE866" s="241"/>
      <c r="BF866" s="241"/>
      <c r="BG866" s="241"/>
      <c r="BH866" s="241"/>
      <c r="BI866" s="241"/>
      <c r="BJ866" s="241"/>
      <c r="BK866" s="241"/>
      <c r="BL866" s="241"/>
      <c r="BM866" s="241"/>
    </row>
    <row r="867" spans="1:65" ht="13.5" customHeight="1" x14ac:dyDescent="0.3">
      <c r="A867" s="241"/>
      <c r="B867" s="241"/>
      <c r="C867" s="241"/>
      <c r="D867" s="241"/>
      <c r="E867" s="241"/>
      <c r="F867" s="241"/>
      <c r="G867" s="241"/>
      <c r="H867" s="241"/>
      <c r="I867" s="241"/>
      <c r="J867" s="241"/>
      <c r="K867" s="241"/>
      <c r="L867" s="241"/>
      <c r="M867" s="241"/>
      <c r="N867" s="241"/>
      <c r="O867" s="241"/>
      <c r="P867" s="241"/>
      <c r="Q867" s="241"/>
      <c r="R867" s="241"/>
      <c r="S867" s="241"/>
      <c r="T867" s="241"/>
      <c r="U867" s="241"/>
      <c r="V867" s="241"/>
      <c r="W867" s="241"/>
      <c r="X867" s="241"/>
      <c r="Y867" s="241"/>
      <c r="Z867" s="241"/>
      <c r="AA867" s="241"/>
      <c r="AB867" s="241"/>
      <c r="AC867" s="241"/>
      <c r="AD867" s="241"/>
      <c r="AE867" s="241"/>
      <c r="AF867" s="241"/>
      <c r="AG867" s="241"/>
      <c r="AH867" s="241"/>
      <c r="AI867" s="241"/>
      <c r="AJ867" s="241"/>
      <c r="AK867" s="241"/>
      <c r="AL867" s="241"/>
      <c r="AM867" s="241"/>
      <c r="AN867" s="241"/>
      <c r="AO867" s="241"/>
      <c r="AP867" s="241"/>
      <c r="AQ867" s="241"/>
      <c r="AR867" s="241"/>
      <c r="AS867" s="241"/>
      <c r="AT867" s="241"/>
      <c r="AU867" s="241"/>
      <c r="AV867" s="241"/>
      <c r="AW867" s="241"/>
      <c r="AX867" s="241"/>
      <c r="AY867" s="241"/>
      <c r="AZ867" s="241"/>
      <c r="BA867" s="241"/>
      <c r="BB867" s="241"/>
      <c r="BC867" s="241"/>
      <c r="BD867" s="241"/>
      <c r="BE867" s="241"/>
      <c r="BF867" s="241"/>
      <c r="BG867" s="241"/>
      <c r="BH867" s="241"/>
      <c r="BI867" s="241"/>
      <c r="BJ867" s="241"/>
      <c r="BK867" s="241"/>
      <c r="BL867" s="241"/>
      <c r="BM867" s="241"/>
    </row>
    <row r="868" spans="1:65" ht="13.5" customHeight="1" x14ac:dyDescent="0.3">
      <c r="A868" s="241"/>
      <c r="B868" s="241"/>
      <c r="C868" s="241"/>
      <c r="D868" s="241"/>
      <c r="E868" s="241"/>
      <c r="F868" s="241"/>
      <c r="G868" s="241"/>
      <c r="H868" s="241"/>
      <c r="I868" s="241"/>
      <c r="J868" s="241"/>
      <c r="K868" s="241"/>
      <c r="L868" s="241"/>
      <c r="M868" s="241"/>
      <c r="N868" s="241"/>
      <c r="O868" s="241"/>
      <c r="P868" s="241"/>
      <c r="Q868" s="241"/>
      <c r="R868" s="241"/>
      <c r="S868" s="241"/>
      <c r="T868" s="241"/>
      <c r="U868" s="241"/>
      <c r="V868" s="241"/>
      <c r="W868" s="241"/>
      <c r="X868" s="241"/>
      <c r="Y868" s="241"/>
      <c r="Z868" s="241"/>
      <c r="AA868" s="241"/>
      <c r="AB868" s="241"/>
      <c r="AC868" s="241"/>
      <c r="AD868" s="241"/>
      <c r="AE868" s="241"/>
      <c r="AF868" s="241"/>
      <c r="AG868" s="241"/>
      <c r="AH868" s="241"/>
      <c r="AI868" s="241"/>
      <c r="AJ868" s="241"/>
      <c r="AK868" s="241"/>
      <c r="AL868" s="241"/>
      <c r="AM868" s="241"/>
      <c r="AN868" s="241"/>
      <c r="AO868" s="241"/>
      <c r="AP868" s="241"/>
      <c r="AQ868" s="241"/>
      <c r="AR868" s="241"/>
      <c r="AS868" s="241"/>
      <c r="AT868" s="241"/>
      <c r="AU868" s="241"/>
      <c r="AV868" s="241"/>
      <c r="AW868" s="241"/>
      <c r="AX868" s="241"/>
      <c r="AY868" s="241"/>
      <c r="AZ868" s="241"/>
      <c r="BA868" s="241"/>
      <c r="BB868" s="241"/>
      <c r="BC868" s="241"/>
      <c r="BD868" s="241"/>
      <c r="BE868" s="241"/>
      <c r="BF868" s="241"/>
      <c r="BG868" s="241"/>
      <c r="BH868" s="241"/>
      <c r="BI868" s="241"/>
      <c r="BJ868" s="241"/>
      <c r="BK868" s="241"/>
      <c r="BL868" s="241"/>
      <c r="BM868" s="241"/>
    </row>
    <row r="869" spans="1:65" ht="13.5" customHeight="1" x14ac:dyDescent="0.3">
      <c r="A869" s="241"/>
      <c r="B869" s="241"/>
      <c r="C869" s="241"/>
      <c r="D869" s="241"/>
      <c r="E869" s="241"/>
      <c r="F869" s="241"/>
      <c r="G869" s="241"/>
      <c r="H869" s="241"/>
      <c r="I869" s="241"/>
      <c r="J869" s="241"/>
      <c r="K869" s="241"/>
      <c r="L869" s="241"/>
      <c r="M869" s="241"/>
      <c r="N869" s="241"/>
      <c r="O869" s="241"/>
      <c r="P869" s="241"/>
      <c r="Q869" s="241"/>
      <c r="R869" s="241"/>
      <c r="S869" s="241"/>
      <c r="T869" s="241"/>
      <c r="U869" s="241"/>
      <c r="V869" s="241"/>
      <c r="W869" s="241"/>
      <c r="X869" s="241"/>
      <c r="Y869" s="241"/>
      <c r="Z869" s="241"/>
      <c r="AA869" s="241"/>
      <c r="AB869" s="241"/>
      <c r="AC869" s="241"/>
      <c r="AD869" s="241"/>
      <c r="AE869" s="241"/>
      <c r="AF869" s="241"/>
      <c r="AG869" s="241"/>
      <c r="AH869" s="241"/>
      <c r="AI869" s="241"/>
      <c r="AJ869" s="241"/>
      <c r="AK869" s="241"/>
      <c r="AL869" s="241"/>
      <c r="AM869" s="241"/>
      <c r="AN869" s="241"/>
      <c r="AO869" s="241"/>
      <c r="AP869" s="241"/>
      <c r="AQ869" s="241"/>
      <c r="AR869" s="241"/>
      <c r="AS869" s="241"/>
      <c r="AT869" s="241"/>
      <c r="AU869" s="241"/>
      <c r="AV869" s="241"/>
      <c r="AW869" s="241"/>
      <c r="AX869" s="241"/>
      <c r="AY869" s="241"/>
      <c r="AZ869" s="241"/>
      <c r="BA869" s="241"/>
      <c r="BB869" s="241"/>
      <c r="BC869" s="241"/>
      <c r="BD869" s="241"/>
      <c r="BE869" s="241"/>
      <c r="BF869" s="241"/>
      <c r="BG869" s="241"/>
      <c r="BH869" s="241"/>
      <c r="BI869" s="241"/>
      <c r="BJ869" s="241"/>
      <c r="BK869" s="241"/>
      <c r="BL869" s="241"/>
      <c r="BM869" s="241"/>
    </row>
    <row r="870" spans="1:65" ht="13.5" customHeight="1" x14ac:dyDescent="0.3">
      <c r="A870" s="241"/>
      <c r="B870" s="241"/>
      <c r="C870" s="241"/>
      <c r="D870" s="241"/>
      <c r="E870" s="241"/>
      <c r="F870" s="241"/>
      <c r="G870" s="241"/>
      <c r="H870" s="241"/>
      <c r="I870" s="241"/>
      <c r="J870" s="241"/>
      <c r="K870" s="241"/>
      <c r="L870" s="241"/>
      <c r="M870" s="241"/>
      <c r="N870" s="241"/>
      <c r="O870" s="241"/>
      <c r="P870" s="241"/>
      <c r="Q870" s="241"/>
      <c r="R870" s="241"/>
      <c r="S870" s="241"/>
      <c r="T870" s="241"/>
      <c r="U870" s="241"/>
      <c r="V870" s="241"/>
      <c r="W870" s="241"/>
      <c r="X870" s="241"/>
      <c r="Y870" s="241"/>
      <c r="Z870" s="241"/>
      <c r="AA870" s="241"/>
      <c r="AB870" s="241"/>
      <c r="AC870" s="241"/>
      <c r="AD870" s="241"/>
      <c r="AE870" s="241"/>
      <c r="AF870" s="241"/>
      <c r="AG870" s="241"/>
      <c r="AH870" s="241"/>
      <c r="AI870" s="241"/>
      <c r="AJ870" s="241"/>
      <c r="AK870" s="241"/>
      <c r="AL870" s="241"/>
      <c r="AM870" s="241"/>
      <c r="AN870" s="241"/>
      <c r="AO870" s="241"/>
      <c r="AP870" s="241"/>
      <c r="AQ870" s="241"/>
      <c r="AR870" s="241"/>
      <c r="AS870" s="241"/>
      <c r="AT870" s="241"/>
      <c r="AU870" s="241"/>
      <c r="AV870" s="241"/>
      <c r="AW870" s="241"/>
      <c r="AX870" s="241"/>
      <c r="AY870" s="241"/>
      <c r="AZ870" s="241"/>
      <c r="BA870" s="241"/>
      <c r="BB870" s="241"/>
      <c r="BC870" s="241"/>
      <c r="BD870" s="241"/>
      <c r="BE870" s="241"/>
      <c r="BF870" s="241"/>
      <c r="BG870" s="241"/>
      <c r="BH870" s="241"/>
      <c r="BI870" s="241"/>
      <c r="BJ870" s="241"/>
      <c r="BK870" s="241"/>
      <c r="BL870" s="241"/>
      <c r="BM870" s="241"/>
    </row>
    <row r="871" spans="1:65" ht="13.5" customHeight="1" x14ac:dyDescent="0.3">
      <c r="A871" s="241"/>
      <c r="B871" s="241"/>
      <c r="C871" s="241"/>
      <c r="D871" s="241"/>
      <c r="E871" s="241"/>
      <c r="F871" s="241"/>
      <c r="G871" s="241"/>
      <c r="H871" s="241"/>
      <c r="I871" s="241"/>
      <c r="J871" s="241"/>
      <c r="K871" s="241"/>
      <c r="L871" s="241"/>
      <c r="M871" s="241"/>
      <c r="N871" s="241"/>
      <c r="O871" s="241"/>
      <c r="P871" s="241"/>
      <c r="Q871" s="241"/>
      <c r="R871" s="241"/>
      <c r="S871" s="241"/>
      <c r="T871" s="241"/>
      <c r="U871" s="241"/>
      <c r="V871" s="241"/>
      <c r="W871" s="241"/>
      <c r="X871" s="241"/>
      <c r="Y871" s="241"/>
      <c r="Z871" s="241"/>
      <c r="AA871" s="241"/>
      <c r="AB871" s="241"/>
      <c r="AC871" s="241"/>
      <c r="AD871" s="241"/>
      <c r="AE871" s="241"/>
      <c r="AF871" s="241"/>
      <c r="AG871" s="241"/>
      <c r="AH871" s="241"/>
      <c r="AI871" s="241"/>
      <c r="AJ871" s="241"/>
      <c r="AK871" s="241"/>
      <c r="AL871" s="241"/>
      <c r="AM871" s="241"/>
      <c r="AN871" s="241"/>
      <c r="AO871" s="241"/>
      <c r="AP871" s="241"/>
      <c r="AQ871" s="241"/>
      <c r="AR871" s="241"/>
      <c r="AS871" s="241"/>
      <c r="AT871" s="241"/>
      <c r="AU871" s="241"/>
      <c r="AV871" s="241"/>
      <c r="AW871" s="241"/>
      <c r="AX871" s="241"/>
      <c r="AY871" s="241"/>
      <c r="AZ871" s="241"/>
      <c r="BA871" s="241"/>
      <c r="BB871" s="241"/>
      <c r="BC871" s="241"/>
      <c r="BD871" s="241"/>
      <c r="BE871" s="241"/>
      <c r="BF871" s="241"/>
      <c r="BG871" s="241"/>
      <c r="BH871" s="241"/>
      <c r="BI871" s="241"/>
      <c r="BJ871" s="241"/>
      <c r="BK871" s="241"/>
      <c r="BL871" s="241"/>
      <c r="BM871" s="241"/>
    </row>
    <row r="872" spans="1:65" ht="13.5" customHeight="1" x14ac:dyDescent="0.3">
      <c r="A872" s="241"/>
      <c r="B872" s="241"/>
      <c r="C872" s="241"/>
      <c r="D872" s="241"/>
      <c r="E872" s="241"/>
      <c r="F872" s="241"/>
      <c r="G872" s="241"/>
      <c r="H872" s="241"/>
      <c r="I872" s="241"/>
      <c r="J872" s="241"/>
      <c r="K872" s="241"/>
      <c r="L872" s="241"/>
      <c r="M872" s="241"/>
      <c r="N872" s="241"/>
      <c r="O872" s="241"/>
      <c r="P872" s="241"/>
      <c r="Q872" s="241"/>
      <c r="R872" s="241"/>
      <c r="S872" s="241"/>
      <c r="T872" s="241"/>
      <c r="U872" s="241"/>
      <c r="V872" s="241"/>
      <c r="W872" s="241"/>
      <c r="X872" s="241"/>
      <c r="Y872" s="241"/>
      <c r="Z872" s="241"/>
      <c r="AA872" s="241"/>
      <c r="AB872" s="241"/>
      <c r="AC872" s="241"/>
      <c r="AD872" s="241"/>
      <c r="AE872" s="241"/>
      <c r="AF872" s="241"/>
      <c r="AG872" s="241"/>
      <c r="AH872" s="241"/>
      <c r="AI872" s="241"/>
      <c r="AJ872" s="241"/>
      <c r="AK872" s="241"/>
      <c r="AL872" s="241"/>
      <c r="AM872" s="241"/>
      <c r="AN872" s="241"/>
      <c r="AO872" s="241"/>
      <c r="AP872" s="241"/>
      <c r="AQ872" s="241"/>
      <c r="AR872" s="241"/>
      <c r="AS872" s="241"/>
      <c r="AT872" s="241"/>
      <c r="AU872" s="241"/>
      <c r="AV872" s="241"/>
      <c r="AW872" s="241"/>
      <c r="AX872" s="241"/>
      <c r="AY872" s="241"/>
      <c r="AZ872" s="241"/>
      <c r="BA872" s="241"/>
      <c r="BB872" s="241"/>
      <c r="BC872" s="241"/>
      <c r="BD872" s="241"/>
      <c r="BE872" s="241"/>
      <c r="BF872" s="241"/>
      <c r="BG872" s="241"/>
      <c r="BH872" s="241"/>
      <c r="BI872" s="241"/>
      <c r="BJ872" s="241"/>
      <c r="BK872" s="241"/>
      <c r="BL872" s="241"/>
      <c r="BM872" s="241"/>
    </row>
    <row r="873" spans="1:65" ht="13.5" customHeight="1" x14ac:dyDescent="0.3">
      <c r="A873" s="241"/>
      <c r="B873" s="241"/>
      <c r="C873" s="241"/>
      <c r="D873" s="241"/>
      <c r="E873" s="241"/>
      <c r="F873" s="241"/>
      <c r="G873" s="241"/>
      <c r="H873" s="241"/>
      <c r="I873" s="241"/>
      <c r="J873" s="241"/>
      <c r="K873" s="241"/>
      <c r="L873" s="241"/>
      <c r="M873" s="241"/>
      <c r="N873" s="241"/>
      <c r="O873" s="241"/>
      <c r="P873" s="241"/>
      <c r="Q873" s="241"/>
      <c r="R873" s="241"/>
      <c r="S873" s="241"/>
      <c r="T873" s="241"/>
      <c r="U873" s="241"/>
      <c r="V873" s="241"/>
      <c r="W873" s="241"/>
      <c r="X873" s="241"/>
      <c r="Y873" s="241"/>
      <c r="Z873" s="241"/>
      <c r="AA873" s="241"/>
      <c r="AB873" s="241"/>
      <c r="AC873" s="241"/>
      <c r="AD873" s="241"/>
      <c r="AE873" s="241"/>
      <c r="AF873" s="241"/>
      <c r="AG873" s="241"/>
      <c r="AH873" s="241"/>
      <c r="AI873" s="241"/>
      <c r="AJ873" s="241"/>
      <c r="AK873" s="241"/>
      <c r="AL873" s="241"/>
      <c r="AM873" s="241"/>
      <c r="AN873" s="241"/>
      <c r="AO873" s="241"/>
      <c r="AP873" s="241"/>
      <c r="AQ873" s="241"/>
      <c r="AR873" s="241"/>
      <c r="AS873" s="241"/>
      <c r="AT873" s="241"/>
      <c r="AU873" s="241"/>
      <c r="AV873" s="241"/>
      <c r="AW873" s="241"/>
      <c r="AX873" s="241"/>
      <c r="AY873" s="241"/>
      <c r="AZ873" s="241"/>
      <c r="BA873" s="241"/>
      <c r="BB873" s="241"/>
      <c r="BC873" s="241"/>
      <c r="BD873" s="241"/>
      <c r="BE873" s="241"/>
      <c r="BF873" s="241"/>
      <c r="BG873" s="241"/>
      <c r="BH873" s="241"/>
      <c r="BI873" s="241"/>
      <c r="BJ873" s="241"/>
      <c r="BK873" s="241"/>
      <c r="BL873" s="241"/>
      <c r="BM873" s="241"/>
    </row>
    <row r="874" spans="1:65" ht="13.5" customHeight="1" x14ac:dyDescent="0.3">
      <c r="A874" s="241"/>
      <c r="B874" s="241"/>
      <c r="C874" s="241"/>
      <c r="D874" s="241"/>
      <c r="E874" s="241"/>
      <c r="F874" s="241"/>
      <c r="G874" s="241"/>
      <c r="H874" s="241"/>
      <c r="I874" s="241"/>
      <c r="J874" s="241"/>
      <c r="K874" s="241"/>
      <c r="L874" s="241"/>
      <c r="M874" s="241"/>
      <c r="N874" s="241"/>
      <c r="O874" s="241"/>
      <c r="P874" s="241"/>
      <c r="Q874" s="241"/>
      <c r="R874" s="241"/>
      <c r="S874" s="241"/>
      <c r="T874" s="241"/>
      <c r="U874" s="241"/>
      <c r="V874" s="241"/>
      <c r="W874" s="241"/>
      <c r="X874" s="241"/>
      <c r="Y874" s="241"/>
      <c r="Z874" s="241"/>
      <c r="AA874" s="241"/>
      <c r="AB874" s="241"/>
      <c r="AC874" s="241"/>
      <c r="AD874" s="241"/>
      <c r="AE874" s="241"/>
      <c r="AF874" s="241"/>
      <c r="AG874" s="241"/>
      <c r="AH874" s="241"/>
      <c r="AI874" s="241"/>
      <c r="AJ874" s="241"/>
      <c r="AK874" s="241"/>
      <c r="AL874" s="241"/>
      <c r="AM874" s="241"/>
      <c r="AN874" s="241"/>
      <c r="AO874" s="241"/>
      <c r="AP874" s="241"/>
      <c r="AQ874" s="241"/>
      <c r="AR874" s="241"/>
      <c r="AS874" s="241"/>
      <c r="AT874" s="241"/>
      <c r="AU874" s="241"/>
      <c r="AV874" s="241"/>
      <c r="AW874" s="241"/>
      <c r="AX874" s="241"/>
      <c r="AY874" s="241"/>
      <c r="AZ874" s="241"/>
      <c r="BA874" s="241"/>
      <c r="BB874" s="241"/>
      <c r="BC874" s="241"/>
      <c r="BD874" s="241"/>
      <c r="BE874" s="241"/>
      <c r="BF874" s="241"/>
      <c r="BG874" s="241"/>
      <c r="BH874" s="241"/>
      <c r="BI874" s="241"/>
      <c r="BJ874" s="241"/>
      <c r="BK874" s="241"/>
      <c r="BL874" s="241"/>
      <c r="BM874" s="241"/>
    </row>
    <row r="875" spans="1:65" ht="13.5" customHeight="1" x14ac:dyDescent="0.3">
      <c r="A875" s="241"/>
      <c r="B875" s="241"/>
      <c r="C875" s="241"/>
      <c r="D875" s="241"/>
      <c r="E875" s="241"/>
      <c r="F875" s="241"/>
      <c r="G875" s="241"/>
      <c r="H875" s="241"/>
      <c r="I875" s="241"/>
      <c r="J875" s="241"/>
      <c r="K875" s="241"/>
      <c r="L875" s="241"/>
      <c r="M875" s="241"/>
      <c r="N875" s="241"/>
      <c r="O875" s="241"/>
      <c r="P875" s="241"/>
      <c r="Q875" s="241"/>
      <c r="R875" s="241"/>
      <c r="S875" s="241"/>
      <c r="T875" s="241"/>
      <c r="U875" s="241"/>
      <c r="V875" s="241"/>
      <c r="W875" s="241"/>
      <c r="X875" s="241"/>
      <c r="Y875" s="241"/>
      <c r="Z875" s="241"/>
      <c r="AA875" s="241"/>
      <c r="AB875" s="241"/>
      <c r="AC875" s="241"/>
      <c r="AD875" s="241"/>
      <c r="AE875" s="241"/>
      <c r="AF875" s="241"/>
      <c r="AG875" s="241"/>
      <c r="AH875" s="241"/>
      <c r="AI875" s="241"/>
      <c r="AJ875" s="241"/>
      <c r="AK875" s="241"/>
      <c r="AL875" s="241"/>
      <c r="AM875" s="241"/>
      <c r="AN875" s="241"/>
      <c r="AO875" s="241"/>
      <c r="AP875" s="241"/>
      <c r="AQ875" s="241"/>
      <c r="AR875" s="241"/>
      <c r="AS875" s="241"/>
      <c r="AT875" s="241"/>
      <c r="AU875" s="241"/>
      <c r="AV875" s="241"/>
      <c r="AW875" s="241"/>
      <c r="AX875" s="241"/>
      <c r="AY875" s="241"/>
      <c r="AZ875" s="241"/>
      <c r="BA875" s="241"/>
      <c r="BB875" s="241"/>
      <c r="BC875" s="241"/>
      <c r="BD875" s="241"/>
      <c r="BE875" s="241"/>
      <c r="BF875" s="241"/>
      <c r="BG875" s="241"/>
      <c r="BH875" s="241"/>
      <c r="BI875" s="241"/>
      <c r="BJ875" s="241"/>
      <c r="BK875" s="241"/>
      <c r="BL875" s="241"/>
      <c r="BM875" s="241"/>
    </row>
    <row r="876" spans="1:65" ht="13.5" customHeight="1" x14ac:dyDescent="0.3">
      <c r="A876" s="241"/>
      <c r="B876" s="241"/>
      <c r="C876" s="241"/>
      <c r="D876" s="241"/>
      <c r="E876" s="241"/>
      <c r="F876" s="241"/>
      <c r="G876" s="241"/>
      <c r="H876" s="241"/>
      <c r="I876" s="241"/>
      <c r="J876" s="241"/>
      <c r="K876" s="241"/>
      <c r="L876" s="241"/>
      <c r="M876" s="241"/>
      <c r="N876" s="241"/>
      <c r="O876" s="241"/>
      <c r="P876" s="241"/>
      <c r="Q876" s="241"/>
      <c r="R876" s="241"/>
      <c r="S876" s="241"/>
      <c r="T876" s="241"/>
      <c r="U876" s="241"/>
      <c r="V876" s="241"/>
      <c r="W876" s="241"/>
      <c r="X876" s="241"/>
      <c r="Y876" s="241"/>
      <c r="Z876" s="241"/>
      <c r="AA876" s="241"/>
      <c r="AB876" s="241"/>
      <c r="AC876" s="241"/>
      <c r="AD876" s="241"/>
      <c r="AE876" s="241"/>
      <c r="AF876" s="241"/>
      <c r="AG876" s="241"/>
      <c r="AH876" s="241"/>
      <c r="AI876" s="241"/>
      <c r="AJ876" s="241"/>
      <c r="AK876" s="241"/>
      <c r="AL876" s="241"/>
      <c r="AM876" s="241"/>
      <c r="AN876" s="241"/>
      <c r="AO876" s="241"/>
      <c r="AP876" s="241"/>
      <c r="AQ876" s="241"/>
      <c r="AR876" s="241"/>
      <c r="AS876" s="241"/>
      <c r="AT876" s="241"/>
      <c r="AU876" s="241"/>
      <c r="AV876" s="241"/>
      <c r="AW876" s="241"/>
      <c r="AX876" s="241"/>
      <c r="AY876" s="241"/>
      <c r="AZ876" s="241"/>
      <c r="BA876" s="241"/>
      <c r="BB876" s="241"/>
      <c r="BC876" s="241"/>
      <c r="BD876" s="241"/>
      <c r="BE876" s="241"/>
      <c r="BF876" s="241"/>
      <c r="BG876" s="241"/>
      <c r="BH876" s="241"/>
      <c r="BI876" s="241"/>
      <c r="BJ876" s="241"/>
      <c r="BK876" s="241"/>
      <c r="BL876" s="241"/>
      <c r="BM876" s="241"/>
    </row>
    <row r="877" spans="1:65" ht="13.5" customHeight="1" x14ac:dyDescent="0.3">
      <c r="A877" s="241"/>
      <c r="B877" s="241"/>
      <c r="C877" s="241"/>
      <c r="D877" s="241"/>
      <c r="E877" s="241"/>
      <c r="F877" s="241"/>
      <c r="G877" s="241"/>
      <c r="H877" s="241"/>
      <c r="I877" s="241"/>
      <c r="J877" s="241"/>
      <c r="K877" s="241"/>
      <c r="L877" s="241"/>
      <c r="M877" s="241"/>
      <c r="N877" s="241"/>
      <c r="O877" s="241"/>
      <c r="P877" s="241"/>
      <c r="Q877" s="241"/>
      <c r="R877" s="241"/>
      <c r="S877" s="241"/>
      <c r="T877" s="241"/>
      <c r="U877" s="241"/>
      <c r="V877" s="241"/>
      <c r="W877" s="241"/>
      <c r="X877" s="241"/>
      <c r="Y877" s="241"/>
      <c r="Z877" s="241"/>
      <c r="AA877" s="241"/>
      <c r="AB877" s="241"/>
      <c r="AC877" s="241"/>
      <c r="AD877" s="241"/>
      <c r="AE877" s="241"/>
      <c r="AF877" s="241"/>
      <c r="AG877" s="241"/>
      <c r="AH877" s="241"/>
      <c r="AI877" s="241"/>
      <c r="AJ877" s="241"/>
      <c r="AK877" s="241"/>
      <c r="AL877" s="241"/>
      <c r="AM877" s="241"/>
      <c r="AN877" s="241"/>
      <c r="AO877" s="241"/>
      <c r="AP877" s="241"/>
      <c r="AQ877" s="241"/>
      <c r="AR877" s="241"/>
      <c r="AS877" s="241"/>
      <c r="AT877" s="241"/>
      <c r="AU877" s="241"/>
      <c r="AV877" s="241"/>
      <c r="AW877" s="241"/>
      <c r="AX877" s="241"/>
      <c r="AY877" s="241"/>
      <c r="AZ877" s="241"/>
      <c r="BA877" s="241"/>
      <c r="BB877" s="241"/>
      <c r="BC877" s="241"/>
      <c r="BD877" s="241"/>
      <c r="BE877" s="241"/>
      <c r="BF877" s="241"/>
      <c r="BG877" s="241"/>
      <c r="BH877" s="241"/>
      <c r="BI877" s="241"/>
      <c r="BJ877" s="241"/>
      <c r="BK877" s="241"/>
      <c r="BL877" s="241"/>
      <c r="BM877" s="241"/>
    </row>
    <row r="878" spans="1:65" ht="13.5" customHeight="1" x14ac:dyDescent="0.3">
      <c r="A878" s="241"/>
      <c r="B878" s="241"/>
      <c r="C878" s="241"/>
      <c r="D878" s="241"/>
      <c r="E878" s="241"/>
      <c r="F878" s="241"/>
      <c r="G878" s="241"/>
      <c r="H878" s="241"/>
      <c r="I878" s="241"/>
      <c r="J878" s="241"/>
      <c r="K878" s="241"/>
      <c r="L878" s="241"/>
      <c r="M878" s="241"/>
      <c r="N878" s="241"/>
      <c r="O878" s="241"/>
      <c r="P878" s="241"/>
      <c r="Q878" s="241"/>
      <c r="R878" s="241"/>
      <c r="S878" s="241"/>
      <c r="T878" s="241"/>
      <c r="U878" s="241"/>
      <c r="V878" s="241"/>
      <c r="W878" s="241"/>
      <c r="X878" s="241"/>
      <c r="Y878" s="241"/>
      <c r="Z878" s="241"/>
      <c r="AA878" s="241"/>
      <c r="AB878" s="241"/>
      <c r="AC878" s="241"/>
      <c r="AD878" s="241"/>
      <c r="AE878" s="241"/>
      <c r="AF878" s="241"/>
      <c r="AG878" s="241"/>
      <c r="AH878" s="241"/>
      <c r="AI878" s="241"/>
      <c r="AJ878" s="241"/>
      <c r="AK878" s="241"/>
      <c r="AL878" s="241"/>
      <c r="AM878" s="241"/>
      <c r="AN878" s="241"/>
      <c r="AO878" s="241"/>
      <c r="AP878" s="241"/>
      <c r="AQ878" s="241"/>
      <c r="AR878" s="241"/>
      <c r="AS878" s="241"/>
      <c r="AT878" s="241"/>
      <c r="AU878" s="241"/>
      <c r="AV878" s="241"/>
      <c r="AW878" s="241"/>
      <c r="AX878" s="241"/>
      <c r="AY878" s="241"/>
      <c r="AZ878" s="241"/>
      <c r="BA878" s="241"/>
      <c r="BB878" s="241"/>
      <c r="BC878" s="241"/>
      <c r="BD878" s="241"/>
      <c r="BE878" s="241"/>
      <c r="BF878" s="241"/>
      <c r="BG878" s="241"/>
      <c r="BH878" s="241"/>
      <c r="BI878" s="241"/>
      <c r="BJ878" s="241"/>
      <c r="BK878" s="241"/>
      <c r="BL878" s="241"/>
      <c r="BM878" s="241"/>
    </row>
    <row r="879" spans="1:65" ht="13.5" customHeight="1" x14ac:dyDescent="0.3">
      <c r="A879" s="241"/>
      <c r="B879" s="241"/>
      <c r="C879" s="241"/>
      <c r="D879" s="241"/>
      <c r="E879" s="241"/>
      <c r="F879" s="241"/>
      <c r="G879" s="241"/>
      <c r="H879" s="241"/>
      <c r="I879" s="241"/>
      <c r="J879" s="241"/>
      <c r="K879" s="241"/>
      <c r="L879" s="241"/>
      <c r="M879" s="241"/>
      <c r="N879" s="241"/>
      <c r="O879" s="241"/>
      <c r="P879" s="241"/>
      <c r="Q879" s="241"/>
      <c r="R879" s="241"/>
      <c r="S879" s="241"/>
      <c r="T879" s="241"/>
      <c r="U879" s="241"/>
      <c r="V879" s="241"/>
      <c r="W879" s="241"/>
      <c r="X879" s="241"/>
      <c r="Y879" s="241"/>
      <c r="Z879" s="241"/>
      <c r="AA879" s="241"/>
      <c r="AB879" s="241"/>
      <c r="AC879" s="241"/>
      <c r="AD879" s="241"/>
      <c r="AE879" s="241"/>
      <c r="AF879" s="241"/>
      <c r="AG879" s="241"/>
      <c r="AH879" s="241"/>
      <c r="AI879" s="241"/>
      <c r="AJ879" s="241"/>
      <c r="AK879" s="241"/>
      <c r="AL879" s="241"/>
      <c r="AM879" s="241"/>
      <c r="AN879" s="241"/>
      <c r="AO879" s="241"/>
      <c r="AP879" s="241"/>
      <c r="AQ879" s="241"/>
      <c r="AR879" s="241"/>
      <c r="AS879" s="241"/>
      <c r="AT879" s="241"/>
      <c r="AU879" s="241"/>
      <c r="AV879" s="241"/>
      <c r="AW879" s="241"/>
      <c r="AX879" s="241"/>
      <c r="AY879" s="241"/>
      <c r="AZ879" s="241"/>
      <c r="BA879" s="241"/>
      <c r="BB879" s="241"/>
      <c r="BC879" s="241"/>
      <c r="BD879" s="241"/>
      <c r="BE879" s="241"/>
      <c r="BF879" s="241"/>
      <c r="BG879" s="241"/>
      <c r="BH879" s="241"/>
      <c r="BI879" s="241"/>
      <c r="BJ879" s="241"/>
      <c r="BK879" s="241"/>
      <c r="BL879" s="241"/>
      <c r="BM879" s="241"/>
    </row>
    <row r="880" spans="1:65" ht="13.5" customHeight="1" x14ac:dyDescent="0.3">
      <c r="A880" s="241"/>
      <c r="B880" s="241"/>
      <c r="C880" s="241"/>
      <c r="D880" s="241"/>
      <c r="E880" s="241"/>
      <c r="F880" s="241"/>
      <c r="G880" s="241"/>
      <c r="H880" s="241"/>
      <c r="I880" s="241"/>
      <c r="J880" s="241"/>
      <c r="K880" s="241"/>
      <c r="L880" s="241"/>
      <c r="M880" s="241"/>
      <c r="N880" s="241"/>
      <c r="O880" s="241"/>
      <c r="P880" s="241"/>
      <c r="Q880" s="241"/>
      <c r="R880" s="241"/>
      <c r="S880" s="241"/>
      <c r="T880" s="241"/>
      <c r="U880" s="241"/>
      <c r="V880" s="241"/>
      <c r="W880" s="241"/>
      <c r="X880" s="241"/>
      <c r="Y880" s="241"/>
      <c r="Z880" s="241"/>
      <c r="AA880" s="241"/>
      <c r="AB880" s="241"/>
      <c r="AC880" s="241"/>
      <c r="AD880" s="241"/>
      <c r="AE880" s="241"/>
      <c r="AF880" s="241"/>
      <c r="AG880" s="241"/>
      <c r="AH880" s="241"/>
      <c r="AI880" s="241"/>
      <c r="AJ880" s="241"/>
      <c r="AK880" s="241"/>
      <c r="AL880" s="241"/>
      <c r="AM880" s="241"/>
      <c r="AN880" s="241"/>
      <c r="AO880" s="241"/>
      <c r="AP880" s="241"/>
      <c r="AQ880" s="241"/>
      <c r="AR880" s="241"/>
      <c r="AS880" s="241"/>
      <c r="AT880" s="241"/>
      <c r="AU880" s="241"/>
      <c r="AV880" s="241"/>
      <c r="AW880" s="241"/>
      <c r="AX880" s="241"/>
      <c r="AY880" s="241"/>
      <c r="AZ880" s="241"/>
      <c r="BA880" s="241"/>
      <c r="BB880" s="241"/>
      <c r="BC880" s="241"/>
      <c r="BD880" s="241"/>
      <c r="BE880" s="241"/>
      <c r="BF880" s="241"/>
      <c r="BG880" s="241"/>
      <c r="BH880" s="241"/>
      <c r="BI880" s="241"/>
      <c r="BJ880" s="241"/>
      <c r="BK880" s="241"/>
      <c r="BL880" s="241"/>
      <c r="BM880" s="241"/>
    </row>
    <row r="881" spans="1:65" ht="13.5" customHeight="1" x14ac:dyDescent="0.3">
      <c r="A881" s="241"/>
      <c r="B881" s="241"/>
      <c r="C881" s="241"/>
      <c r="D881" s="241"/>
      <c r="E881" s="241"/>
      <c r="F881" s="241"/>
      <c r="G881" s="241"/>
      <c r="H881" s="241"/>
      <c r="I881" s="241"/>
      <c r="J881" s="241"/>
      <c r="K881" s="241"/>
      <c r="L881" s="241"/>
      <c r="M881" s="241"/>
      <c r="N881" s="241"/>
      <c r="O881" s="241"/>
      <c r="P881" s="241"/>
      <c r="Q881" s="241"/>
      <c r="R881" s="241"/>
      <c r="S881" s="241"/>
      <c r="T881" s="241"/>
      <c r="U881" s="241"/>
      <c r="V881" s="241"/>
      <c r="W881" s="241"/>
      <c r="X881" s="241"/>
      <c r="Y881" s="241"/>
      <c r="Z881" s="241"/>
      <c r="AA881" s="241"/>
      <c r="AB881" s="241"/>
      <c r="AC881" s="241"/>
      <c r="AD881" s="241"/>
      <c r="AE881" s="241"/>
      <c r="AF881" s="241"/>
      <c r="AG881" s="241"/>
      <c r="AH881" s="241"/>
      <c r="AI881" s="241"/>
      <c r="AJ881" s="241"/>
      <c r="AK881" s="241"/>
      <c r="AL881" s="241"/>
      <c r="AM881" s="241"/>
      <c r="AN881" s="241"/>
      <c r="AO881" s="241"/>
      <c r="AP881" s="241"/>
      <c r="AQ881" s="241"/>
      <c r="AR881" s="241"/>
      <c r="AS881" s="241"/>
      <c r="AT881" s="241"/>
      <c r="AU881" s="241"/>
      <c r="AV881" s="241"/>
      <c r="AW881" s="241"/>
      <c r="AX881" s="241"/>
      <c r="AY881" s="241"/>
      <c r="AZ881" s="241"/>
      <c r="BA881" s="241"/>
      <c r="BB881" s="241"/>
      <c r="BC881" s="241"/>
      <c r="BD881" s="241"/>
      <c r="BE881" s="241"/>
      <c r="BF881" s="241"/>
      <c r="BG881" s="241"/>
      <c r="BH881" s="241"/>
      <c r="BI881" s="241"/>
      <c r="BJ881" s="241"/>
      <c r="BK881" s="241"/>
      <c r="BL881" s="241"/>
      <c r="BM881" s="241"/>
    </row>
    <row r="882" spans="1:65" ht="13.5" customHeight="1" x14ac:dyDescent="0.3">
      <c r="A882" s="241"/>
      <c r="B882" s="241"/>
      <c r="C882" s="241"/>
      <c r="D882" s="241"/>
      <c r="E882" s="241"/>
      <c r="F882" s="241"/>
      <c r="G882" s="241"/>
      <c r="H882" s="241"/>
      <c r="I882" s="241"/>
      <c r="J882" s="241"/>
      <c r="K882" s="241"/>
      <c r="L882" s="241"/>
      <c r="M882" s="241"/>
      <c r="N882" s="241"/>
      <c r="O882" s="241"/>
      <c r="P882" s="241"/>
      <c r="Q882" s="241"/>
      <c r="R882" s="241"/>
      <c r="S882" s="241"/>
      <c r="T882" s="241"/>
      <c r="U882" s="241"/>
      <c r="V882" s="241"/>
      <c r="W882" s="241"/>
      <c r="X882" s="241"/>
      <c r="Y882" s="241"/>
      <c r="Z882" s="241"/>
      <c r="AA882" s="241"/>
      <c r="AB882" s="241"/>
      <c r="AC882" s="241"/>
      <c r="AD882" s="241"/>
      <c r="AE882" s="241"/>
      <c r="AF882" s="241"/>
      <c r="AG882" s="241"/>
      <c r="AH882" s="241"/>
      <c r="AI882" s="241"/>
      <c r="AJ882" s="241"/>
      <c r="AK882" s="241"/>
      <c r="AL882" s="241"/>
      <c r="AM882" s="241"/>
      <c r="AN882" s="241"/>
      <c r="AO882" s="241"/>
      <c r="AP882" s="241"/>
      <c r="AQ882" s="241"/>
      <c r="AR882" s="241"/>
      <c r="AS882" s="241"/>
      <c r="AT882" s="241"/>
      <c r="AU882" s="241"/>
      <c r="AV882" s="241"/>
      <c r="AW882" s="241"/>
      <c r="AX882" s="241"/>
      <c r="AY882" s="241"/>
      <c r="AZ882" s="241"/>
      <c r="BA882" s="241"/>
      <c r="BB882" s="241"/>
      <c r="BC882" s="241"/>
      <c r="BD882" s="241"/>
      <c r="BE882" s="241"/>
      <c r="BF882" s="241"/>
      <c r="BG882" s="241"/>
      <c r="BH882" s="241"/>
      <c r="BI882" s="241"/>
      <c r="BJ882" s="241"/>
      <c r="BK882" s="241"/>
      <c r="BL882" s="241"/>
      <c r="BM882" s="241"/>
    </row>
    <row r="883" spans="1:65" ht="13.5" customHeight="1" x14ac:dyDescent="0.3">
      <c r="A883" s="241"/>
      <c r="B883" s="241"/>
      <c r="C883" s="241"/>
      <c r="D883" s="241"/>
      <c r="E883" s="241"/>
      <c r="F883" s="241"/>
      <c r="G883" s="241"/>
      <c r="H883" s="241"/>
      <c r="I883" s="241"/>
      <c r="J883" s="241"/>
      <c r="K883" s="241"/>
      <c r="L883" s="241"/>
      <c r="M883" s="241"/>
      <c r="N883" s="241"/>
      <c r="O883" s="241"/>
      <c r="P883" s="241"/>
      <c r="Q883" s="241"/>
      <c r="R883" s="241"/>
      <c r="S883" s="241"/>
      <c r="T883" s="241"/>
      <c r="U883" s="241"/>
      <c r="V883" s="241"/>
      <c r="W883" s="241"/>
      <c r="X883" s="241"/>
      <c r="Y883" s="241"/>
      <c r="Z883" s="241"/>
      <c r="AA883" s="241"/>
      <c r="AB883" s="241"/>
      <c r="AC883" s="241"/>
      <c r="AD883" s="241"/>
      <c r="AE883" s="241"/>
      <c r="AF883" s="241"/>
      <c r="AG883" s="241"/>
      <c r="AH883" s="241"/>
      <c r="AI883" s="241"/>
      <c r="AJ883" s="241"/>
      <c r="AK883" s="241"/>
      <c r="AL883" s="241"/>
      <c r="AM883" s="241"/>
      <c r="AN883" s="241"/>
      <c r="AO883" s="241"/>
      <c r="AP883" s="241"/>
      <c r="AQ883" s="241"/>
      <c r="AR883" s="241"/>
      <c r="AS883" s="241"/>
      <c r="AT883" s="241"/>
      <c r="AU883" s="241"/>
      <c r="AV883" s="241"/>
      <c r="AW883" s="241"/>
      <c r="AX883" s="241"/>
      <c r="AY883" s="241"/>
      <c r="AZ883" s="241"/>
      <c r="BA883" s="241"/>
      <c r="BB883" s="241"/>
      <c r="BC883" s="241"/>
      <c r="BD883" s="241"/>
      <c r="BE883" s="241"/>
      <c r="BF883" s="241"/>
      <c r="BG883" s="241"/>
      <c r="BH883" s="241"/>
      <c r="BI883" s="241"/>
      <c r="BJ883" s="241"/>
      <c r="BK883" s="241"/>
      <c r="BL883" s="241"/>
      <c r="BM883" s="241"/>
    </row>
    <row r="884" spans="1:65" ht="13.5" customHeight="1" x14ac:dyDescent="0.3">
      <c r="A884" s="241"/>
      <c r="B884" s="241"/>
      <c r="C884" s="241"/>
      <c r="D884" s="241"/>
      <c r="E884" s="241"/>
      <c r="F884" s="241"/>
      <c r="G884" s="241"/>
      <c r="H884" s="241"/>
      <c r="I884" s="241"/>
      <c r="J884" s="241"/>
      <c r="K884" s="241"/>
      <c r="L884" s="241"/>
      <c r="M884" s="241"/>
      <c r="N884" s="241"/>
      <c r="O884" s="241"/>
      <c r="P884" s="241"/>
      <c r="Q884" s="241"/>
      <c r="R884" s="241"/>
      <c r="S884" s="241"/>
      <c r="T884" s="241"/>
      <c r="U884" s="241"/>
      <c r="V884" s="241"/>
      <c r="W884" s="241"/>
      <c r="X884" s="241"/>
      <c r="Y884" s="241"/>
      <c r="Z884" s="241"/>
      <c r="AA884" s="241"/>
      <c r="AB884" s="241"/>
      <c r="AC884" s="241"/>
      <c r="AD884" s="241"/>
      <c r="AE884" s="241"/>
      <c r="AF884" s="241"/>
      <c r="AG884" s="241"/>
      <c r="AH884" s="241"/>
      <c r="AI884" s="241"/>
      <c r="AJ884" s="241"/>
      <c r="AK884" s="241"/>
      <c r="AL884" s="241"/>
      <c r="AM884" s="241"/>
      <c r="AN884" s="241"/>
      <c r="AO884" s="241"/>
      <c r="AP884" s="241"/>
      <c r="AQ884" s="241"/>
      <c r="AR884" s="241"/>
      <c r="AS884" s="241"/>
      <c r="AT884" s="241"/>
      <c r="AU884" s="241"/>
      <c r="AV884" s="241"/>
      <c r="AW884" s="241"/>
      <c r="AX884" s="241"/>
      <c r="AY884" s="241"/>
      <c r="AZ884" s="241"/>
      <c r="BA884" s="241"/>
      <c r="BB884" s="241"/>
      <c r="BC884" s="241"/>
      <c r="BD884" s="241"/>
      <c r="BE884" s="241"/>
      <c r="BF884" s="241"/>
      <c r="BG884" s="241"/>
      <c r="BH884" s="241"/>
      <c r="BI884" s="241"/>
      <c r="BJ884" s="241"/>
      <c r="BK884" s="241"/>
      <c r="BL884" s="241"/>
      <c r="BM884" s="241"/>
    </row>
    <row r="885" spans="1:65" ht="13.5" customHeight="1" x14ac:dyDescent="0.3">
      <c r="A885" s="241"/>
      <c r="B885" s="241"/>
      <c r="C885" s="241"/>
      <c r="D885" s="241"/>
      <c r="E885" s="241"/>
      <c r="F885" s="241"/>
      <c r="G885" s="241"/>
      <c r="H885" s="241"/>
      <c r="I885" s="241"/>
      <c r="J885" s="241"/>
      <c r="K885" s="241"/>
      <c r="L885" s="241"/>
      <c r="M885" s="241"/>
      <c r="N885" s="241"/>
      <c r="O885" s="241"/>
      <c r="P885" s="241"/>
      <c r="Q885" s="241"/>
      <c r="R885" s="241"/>
      <c r="S885" s="241"/>
      <c r="T885" s="241"/>
      <c r="U885" s="241"/>
      <c r="V885" s="241"/>
      <c r="W885" s="241"/>
      <c r="X885" s="241"/>
      <c r="Y885" s="241"/>
      <c r="Z885" s="241"/>
      <c r="AA885" s="241"/>
      <c r="AB885" s="241"/>
      <c r="AC885" s="241"/>
      <c r="AD885" s="241"/>
      <c r="AE885" s="241"/>
      <c r="AF885" s="241"/>
      <c r="AG885" s="241"/>
      <c r="AH885" s="241"/>
      <c r="AI885" s="241"/>
      <c r="AJ885" s="241"/>
      <c r="AK885" s="241"/>
      <c r="AL885" s="241"/>
      <c r="AM885" s="241"/>
      <c r="AN885" s="241"/>
      <c r="AO885" s="241"/>
      <c r="AP885" s="241"/>
      <c r="AQ885" s="241"/>
      <c r="AR885" s="241"/>
      <c r="AS885" s="241"/>
      <c r="AT885" s="241"/>
      <c r="AU885" s="241"/>
      <c r="AV885" s="241"/>
      <c r="AW885" s="241"/>
      <c r="AX885" s="241"/>
      <c r="AY885" s="241"/>
      <c r="AZ885" s="241"/>
      <c r="BA885" s="241"/>
      <c r="BB885" s="241"/>
      <c r="BC885" s="241"/>
      <c r="BD885" s="241"/>
      <c r="BE885" s="241"/>
      <c r="BF885" s="241"/>
      <c r="BG885" s="241"/>
      <c r="BH885" s="241"/>
      <c r="BI885" s="241"/>
      <c r="BJ885" s="241"/>
      <c r="BK885" s="241"/>
      <c r="BL885" s="241"/>
      <c r="BM885" s="241"/>
    </row>
    <row r="886" spans="1:65" ht="13.5" customHeight="1" x14ac:dyDescent="0.3">
      <c r="A886" s="241"/>
      <c r="B886" s="241"/>
      <c r="C886" s="241"/>
      <c r="D886" s="241"/>
      <c r="E886" s="241"/>
      <c r="F886" s="241"/>
      <c r="G886" s="241"/>
      <c r="H886" s="241"/>
      <c r="I886" s="241"/>
      <c r="J886" s="241"/>
      <c r="K886" s="241"/>
      <c r="L886" s="241"/>
      <c r="M886" s="241"/>
      <c r="N886" s="241"/>
      <c r="O886" s="241"/>
      <c r="P886" s="241"/>
      <c r="Q886" s="241"/>
      <c r="R886" s="241"/>
      <c r="S886" s="241"/>
      <c r="T886" s="241"/>
      <c r="U886" s="241"/>
      <c r="V886" s="241"/>
      <c r="W886" s="241"/>
      <c r="X886" s="241"/>
      <c r="Y886" s="241"/>
      <c r="Z886" s="241"/>
      <c r="AA886" s="241"/>
      <c r="AB886" s="241"/>
      <c r="AC886" s="241"/>
      <c r="AD886" s="241"/>
      <c r="AE886" s="241"/>
      <c r="AF886" s="241"/>
      <c r="AG886" s="241"/>
      <c r="AH886" s="241"/>
      <c r="AI886" s="241"/>
      <c r="AJ886" s="241"/>
      <c r="AK886" s="241"/>
      <c r="AL886" s="241"/>
      <c r="AM886" s="241"/>
      <c r="AN886" s="241"/>
      <c r="AO886" s="241"/>
      <c r="AP886" s="241"/>
      <c r="AQ886" s="241"/>
      <c r="AR886" s="241"/>
      <c r="AS886" s="241"/>
      <c r="AT886" s="241"/>
      <c r="AU886" s="241"/>
      <c r="AV886" s="241"/>
      <c r="AW886" s="241"/>
      <c r="AX886" s="241"/>
      <c r="AY886" s="241"/>
      <c r="AZ886" s="241"/>
      <c r="BA886" s="241"/>
      <c r="BB886" s="241"/>
      <c r="BC886" s="241"/>
      <c r="BD886" s="241"/>
      <c r="BE886" s="241"/>
      <c r="BF886" s="241"/>
      <c r="BG886" s="241"/>
      <c r="BH886" s="241"/>
      <c r="BI886" s="241"/>
      <c r="BJ886" s="241"/>
      <c r="BK886" s="241"/>
      <c r="BL886" s="241"/>
      <c r="BM886" s="241"/>
    </row>
    <row r="887" spans="1:65" ht="13.5" customHeight="1" x14ac:dyDescent="0.3">
      <c r="A887" s="241"/>
      <c r="B887" s="241"/>
      <c r="C887" s="241"/>
      <c r="D887" s="241"/>
      <c r="E887" s="241"/>
      <c r="F887" s="241"/>
      <c r="G887" s="241"/>
      <c r="H887" s="241"/>
      <c r="I887" s="241"/>
      <c r="J887" s="241"/>
      <c r="K887" s="241"/>
      <c r="L887" s="241"/>
      <c r="M887" s="241"/>
      <c r="N887" s="241"/>
      <c r="O887" s="241"/>
      <c r="P887" s="241"/>
      <c r="Q887" s="241"/>
      <c r="R887" s="241"/>
      <c r="S887" s="241"/>
      <c r="T887" s="241"/>
      <c r="U887" s="241"/>
      <c r="V887" s="241"/>
      <c r="W887" s="241"/>
      <c r="X887" s="241"/>
      <c r="Y887" s="241"/>
      <c r="Z887" s="241"/>
      <c r="AA887" s="241"/>
      <c r="AB887" s="241"/>
      <c r="AC887" s="241"/>
      <c r="AD887" s="241"/>
      <c r="AE887" s="241"/>
      <c r="AF887" s="241"/>
      <c r="AG887" s="241"/>
      <c r="AH887" s="241"/>
      <c r="AI887" s="241"/>
      <c r="AJ887" s="241"/>
      <c r="AK887" s="241"/>
      <c r="AL887" s="241"/>
      <c r="AM887" s="241"/>
      <c r="AN887" s="241"/>
      <c r="AO887" s="241"/>
      <c r="AP887" s="241"/>
      <c r="AQ887" s="241"/>
      <c r="AR887" s="241"/>
      <c r="AS887" s="241"/>
      <c r="AT887" s="241"/>
      <c r="AU887" s="241"/>
      <c r="AV887" s="241"/>
      <c r="AW887" s="241"/>
      <c r="AX887" s="241"/>
      <c r="AY887" s="241"/>
      <c r="AZ887" s="241"/>
      <c r="BA887" s="241"/>
      <c r="BB887" s="241"/>
      <c r="BC887" s="241"/>
      <c r="BD887" s="241"/>
      <c r="BE887" s="241"/>
      <c r="BF887" s="241"/>
      <c r="BG887" s="241"/>
      <c r="BH887" s="241"/>
      <c r="BI887" s="241"/>
      <c r="BJ887" s="241"/>
      <c r="BK887" s="241"/>
      <c r="BL887" s="241"/>
      <c r="BM887" s="241"/>
    </row>
    <row r="888" spans="1:65" ht="13.5" customHeight="1" x14ac:dyDescent="0.3">
      <c r="A888" s="241"/>
      <c r="B888" s="241"/>
      <c r="C888" s="241"/>
      <c r="D888" s="241"/>
      <c r="E888" s="241"/>
      <c r="F888" s="241"/>
      <c r="G888" s="241"/>
      <c r="H888" s="241"/>
      <c r="I888" s="241"/>
      <c r="J888" s="241"/>
      <c r="K888" s="241"/>
      <c r="L888" s="241"/>
      <c r="M888" s="241"/>
      <c r="N888" s="241"/>
      <c r="O888" s="241"/>
      <c r="P888" s="241"/>
      <c r="Q888" s="241"/>
      <c r="R888" s="241"/>
      <c r="S888" s="241"/>
      <c r="T888" s="241"/>
      <c r="U888" s="241"/>
      <c r="V888" s="241"/>
      <c r="W888" s="241"/>
      <c r="X888" s="241"/>
      <c r="Y888" s="241"/>
      <c r="Z888" s="241"/>
      <c r="AA888" s="241"/>
      <c r="AB888" s="241"/>
      <c r="AC888" s="241"/>
      <c r="AD888" s="241"/>
      <c r="AE888" s="241"/>
      <c r="AF888" s="241"/>
      <c r="AG888" s="241"/>
      <c r="AH888" s="241"/>
      <c r="AI888" s="241"/>
      <c r="AJ888" s="241"/>
      <c r="AK888" s="241"/>
      <c r="AL888" s="241"/>
      <c r="AM888" s="241"/>
      <c r="AN888" s="241"/>
      <c r="AO888" s="241"/>
      <c r="AP888" s="241"/>
      <c r="AQ888" s="241"/>
      <c r="AR888" s="241"/>
      <c r="AS888" s="241"/>
      <c r="AT888" s="241"/>
      <c r="AU888" s="241"/>
      <c r="AV888" s="241"/>
      <c r="AW888" s="241"/>
      <c r="AX888" s="241"/>
      <c r="AY888" s="241"/>
      <c r="AZ888" s="241"/>
      <c r="BA888" s="241"/>
      <c r="BB888" s="241"/>
      <c r="BC888" s="241"/>
      <c r="BD888" s="241"/>
      <c r="BE888" s="241"/>
      <c r="BF888" s="241"/>
      <c r="BG888" s="241"/>
      <c r="BH888" s="241"/>
      <c r="BI888" s="241"/>
      <c r="BJ888" s="241"/>
      <c r="BK888" s="241"/>
      <c r="BL888" s="241"/>
      <c r="BM888" s="241"/>
    </row>
    <row r="889" spans="1:65" ht="13.5" customHeight="1" x14ac:dyDescent="0.3">
      <c r="A889" s="241"/>
      <c r="B889" s="241"/>
      <c r="C889" s="241"/>
      <c r="D889" s="241"/>
      <c r="E889" s="241"/>
      <c r="F889" s="241"/>
      <c r="G889" s="241"/>
      <c r="H889" s="241"/>
      <c r="I889" s="241"/>
      <c r="J889" s="241"/>
      <c r="K889" s="241"/>
      <c r="L889" s="241"/>
      <c r="M889" s="241"/>
      <c r="N889" s="241"/>
      <c r="O889" s="241"/>
      <c r="P889" s="241"/>
      <c r="Q889" s="241"/>
      <c r="R889" s="241"/>
      <c r="S889" s="241"/>
      <c r="T889" s="241"/>
      <c r="U889" s="241"/>
      <c r="V889" s="241"/>
      <c r="W889" s="241"/>
      <c r="X889" s="241"/>
      <c r="Y889" s="241"/>
      <c r="Z889" s="241"/>
      <c r="AA889" s="241"/>
      <c r="AB889" s="241"/>
      <c r="AC889" s="241"/>
      <c r="AD889" s="241"/>
      <c r="AE889" s="241"/>
      <c r="AF889" s="241"/>
      <c r="AG889" s="241"/>
      <c r="AH889" s="241"/>
      <c r="AI889" s="241"/>
      <c r="AJ889" s="241"/>
      <c r="AK889" s="241"/>
      <c r="AL889" s="241"/>
      <c r="AM889" s="241"/>
      <c r="AN889" s="241"/>
      <c r="AO889" s="241"/>
      <c r="AP889" s="241"/>
      <c r="AQ889" s="241"/>
      <c r="AR889" s="241"/>
      <c r="AS889" s="241"/>
      <c r="AT889" s="241"/>
      <c r="AU889" s="241"/>
      <c r="AV889" s="241"/>
      <c r="AW889" s="241"/>
      <c r="AX889" s="241"/>
      <c r="AY889" s="241"/>
      <c r="AZ889" s="241"/>
      <c r="BA889" s="241"/>
      <c r="BB889" s="241"/>
      <c r="BC889" s="241"/>
      <c r="BD889" s="241"/>
      <c r="BE889" s="241"/>
      <c r="BF889" s="241"/>
      <c r="BG889" s="241"/>
      <c r="BH889" s="241"/>
      <c r="BI889" s="241"/>
      <c r="BJ889" s="241"/>
      <c r="BK889" s="241"/>
      <c r="BL889" s="241"/>
      <c r="BM889" s="241"/>
    </row>
    <row r="890" spans="1:65" ht="13.5" customHeight="1" x14ac:dyDescent="0.3">
      <c r="A890" s="241"/>
      <c r="B890" s="241"/>
      <c r="C890" s="241"/>
      <c r="D890" s="241"/>
      <c r="E890" s="241"/>
      <c r="F890" s="241"/>
      <c r="G890" s="241"/>
      <c r="H890" s="241"/>
      <c r="I890" s="241"/>
      <c r="J890" s="241"/>
      <c r="K890" s="241"/>
      <c r="L890" s="241"/>
      <c r="M890" s="241"/>
      <c r="N890" s="241"/>
      <c r="O890" s="241"/>
      <c r="P890" s="241"/>
      <c r="Q890" s="241"/>
      <c r="R890" s="241"/>
      <c r="S890" s="241"/>
      <c r="T890" s="241"/>
      <c r="U890" s="241"/>
      <c r="V890" s="241"/>
      <c r="W890" s="241"/>
      <c r="X890" s="241"/>
      <c r="Y890" s="241"/>
      <c r="Z890" s="241"/>
      <c r="AA890" s="241"/>
      <c r="AB890" s="241"/>
      <c r="AC890" s="241"/>
      <c r="AD890" s="241"/>
      <c r="AE890" s="241"/>
      <c r="AF890" s="241"/>
      <c r="AG890" s="241"/>
      <c r="AH890" s="241"/>
      <c r="AI890" s="241"/>
      <c r="AJ890" s="241"/>
      <c r="AK890" s="241"/>
      <c r="AL890" s="241"/>
      <c r="AM890" s="241"/>
      <c r="AN890" s="241"/>
      <c r="AO890" s="241"/>
      <c r="AP890" s="241"/>
      <c r="AQ890" s="241"/>
      <c r="AR890" s="241"/>
      <c r="AS890" s="241"/>
      <c r="AT890" s="241"/>
      <c r="AU890" s="241"/>
      <c r="AV890" s="241"/>
      <c r="AW890" s="241"/>
      <c r="AX890" s="241"/>
      <c r="AY890" s="241"/>
      <c r="AZ890" s="241"/>
      <c r="BA890" s="241"/>
      <c r="BB890" s="241"/>
      <c r="BC890" s="241"/>
      <c r="BD890" s="241"/>
      <c r="BE890" s="241"/>
      <c r="BF890" s="241"/>
      <c r="BG890" s="241"/>
      <c r="BH890" s="241"/>
      <c r="BI890" s="241"/>
      <c r="BJ890" s="241"/>
      <c r="BK890" s="241"/>
      <c r="BL890" s="241"/>
      <c r="BM890" s="241"/>
    </row>
    <row r="891" spans="1:65" ht="13.5" customHeight="1" x14ac:dyDescent="0.3">
      <c r="A891" s="241"/>
      <c r="B891" s="241"/>
      <c r="C891" s="241"/>
      <c r="D891" s="241"/>
      <c r="E891" s="241"/>
      <c r="F891" s="241"/>
      <c r="G891" s="241"/>
      <c r="H891" s="241"/>
      <c r="I891" s="241"/>
      <c r="J891" s="241"/>
      <c r="K891" s="241"/>
      <c r="L891" s="241"/>
      <c r="M891" s="241"/>
      <c r="N891" s="241"/>
      <c r="O891" s="241"/>
      <c r="P891" s="241"/>
      <c r="Q891" s="241"/>
      <c r="R891" s="241"/>
      <c r="S891" s="241"/>
      <c r="T891" s="241"/>
      <c r="U891" s="241"/>
      <c r="V891" s="241"/>
      <c r="W891" s="241"/>
      <c r="X891" s="241"/>
      <c r="Y891" s="241"/>
      <c r="Z891" s="241"/>
      <c r="AA891" s="241"/>
      <c r="AB891" s="241"/>
      <c r="AC891" s="241"/>
      <c r="AD891" s="241"/>
      <c r="AE891" s="241"/>
      <c r="AF891" s="241"/>
      <c r="AG891" s="241"/>
      <c r="AH891" s="241"/>
      <c r="AI891" s="241"/>
      <c r="AJ891" s="241"/>
      <c r="AK891" s="241"/>
      <c r="AL891" s="241"/>
      <c r="AM891" s="241"/>
      <c r="AN891" s="241"/>
      <c r="AO891" s="241"/>
      <c r="AP891" s="241"/>
      <c r="AQ891" s="241"/>
      <c r="AR891" s="241"/>
      <c r="AS891" s="241"/>
      <c r="AT891" s="241"/>
      <c r="AU891" s="241"/>
      <c r="AV891" s="241"/>
      <c r="AW891" s="241"/>
      <c r="AX891" s="241"/>
      <c r="AY891" s="241"/>
      <c r="AZ891" s="241"/>
      <c r="BA891" s="241"/>
      <c r="BB891" s="241"/>
      <c r="BC891" s="241"/>
      <c r="BD891" s="241"/>
      <c r="BE891" s="241"/>
      <c r="BF891" s="241"/>
      <c r="BG891" s="241"/>
      <c r="BH891" s="241"/>
      <c r="BI891" s="241"/>
      <c r="BJ891" s="241"/>
      <c r="BK891" s="241"/>
      <c r="BL891" s="241"/>
      <c r="BM891" s="241"/>
    </row>
    <row r="892" spans="1:65" ht="13.5" customHeight="1" x14ac:dyDescent="0.3">
      <c r="A892" s="241"/>
      <c r="B892" s="241"/>
      <c r="C892" s="241"/>
      <c r="D892" s="241"/>
      <c r="E892" s="241"/>
      <c r="F892" s="241"/>
      <c r="G892" s="241"/>
      <c r="H892" s="241"/>
      <c r="I892" s="241"/>
      <c r="J892" s="241"/>
      <c r="K892" s="241"/>
      <c r="L892" s="241"/>
      <c r="M892" s="241"/>
      <c r="N892" s="241"/>
      <c r="O892" s="241"/>
      <c r="P892" s="241"/>
      <c r="Q892" s="241"/>
      <c r="R892" s="241"/>
      <c r="S892" s="241"/>
      <c r="T892" s="241"/>
      <c r="U892" s="241"/>
      <c r="V892" s="241"/>
      <c r="W892" s="241"/>
      <c r="X892" s="241"/>
      <c r="Y892" s="241"/>
      <c r="Z892" s="241"/>
      <c r="AA892" s="241"/>
      <c r="AB892" s="241"/>
      <c r="AC892" s="241"/>
      <c r="AD892" s="241"/>
      <c r="AE892" s="241"/>
      <c r="AF892" s="241"/>
      <c r="AG892" s="241"/>
      <c r="AH892" s="241"/>
      <c r="AI892" s="241"/>
      <c r="AJ892" s="241"/>
      <c r="AK892" s="241"/>
      <c r="AL892" s="241"/>
      <c r="AM892" s="241"/>
      <c r="AN892" s="241"/>
      <c r="AO892" s="241"/>
      <c r="AP892" s="241"/>
      <c r="AQ892" s="241"/>
      <c r="AR892" s="241"/>
      <c r="AS892" s="241"/>
      <c r="AT892" s="241"/>
      <c r="AU892" s="241"/>
      <c r="AV892" s="241"/>
      <c r="AW892" s="241"/>
      <c r="AX892" s="241"/>
      <c r="AY892" s="241"/>
      <c r="AZ892" s="241"/>
      <c r="BA892" s="241"/>
      <c r="BB892" s="241"/>
      <c r="BC892" s="241"/>
      <c r="BD892" s="241"/>
      <c r="BE892" s="241"/>
      <c r="BF892" s="241"/>
      <c r="BG892" s="241"/>
      <c r="BH892" s="241"/>
      <c r="BI892" s="241"/>
      <c r="BJ892" s="241"/>
      <c r="BK892" s="241"/>
      <c r="BL892" s="241"/>
      <c r="BM892" s="241"/>
    </row>
    <row r="893" spans="1:65" ht="13.5" customHeight="1" x14ac:dyDescent="0.3">
      <c r="A893" s="241"/>
      <c r="B893" s="241"/>
      <c r="C893" s="241"/>
      <c r="D893" s="241"/>
      <c r="E893" s="241"/>
      <c r="F893" s="241"/>
      <c r="G893" s="241"/>
      <c r="H893" s="241"/>
      <c r="I893" s="241"/>
      <c r="J893" s="241"/>
      <c r="K893" s="241"/>
      <c r="L893" s="241"/>
      <c r="M893" s="241"/>
      <c r="N893" s="241"/>
      <c r="O893" s="241"/>
      <c r="P893" s="241"/>
      <c r="Q893" s="241"/>
      <c r="R893" s="241"/>
      <c r="S893" s="241"/>
      <c r="T893" s="241"/>
      <c r="U893" s="241"/>
      <c r="V893" s="241"/>
      <c r="W893" s="241"/>
      <c r="X893" s="241"/>
      <c r="Y893" s="241"/>
      <c r="Z893" s="241"/>
      <c r="AA893" s="241"/>
      <c r="AB893" s="241"/>
      <c r="AC893" s="241"/>
      <c r="AD893" s="241"/>
      <c r="AE893" s="241"/>
      <c r="AF893" s="241"/>
      <c r="AG893" s="241"/>
      <c r="AH893" s="241"/>
      <c r="AI893" s="241"/>
      <c r="AJ893" s="241"/>
      <c r="AK893" s="241"/>
      <c r="AL893" s="241"/>
      <c r="AM893" s="241"/>
      <c r="AN893" s="241"/>
      <c r="AO893" s="241"/>
      <c r="AP893" s="241"/>
      <c r="AQ893" s="241"/>
      <c r="AR893" s="241"/>
      <c r="AS893" s="241"/>
      <c r="AT893" s="241"/>
      <c r="AU893" s="241"/>
      <c r="AV893" s="241"/>
      <c r="AW893" s="241"/>
      <c r="AX893" s="241"/>
      <c r="AY893" s="241"/>
      <c r="AZ893" s="241"/>
      <c r="BA893" s="241"/>
      <c r="BB893" s="241"/>
      <c r="BC893" s="241"/>
      <c r="BD893" s="241"/>
      <c r="BE893" s="241"/>
      <c r="BF893" s="241"/>
      <c r="BG893" s="241"/>
      <c r="BH893" s="241"/>
      <c r="BI893" s="241"/>
      <c r="BJ893" s="241"/>
      <c r="BK893" s="241"/>
      <c r="BL893" s="241"/>
      <c r="BM893" s="241"/>
    </row>
    <row r="894" spans="1:65" ht="13.5" customHeight="1" x14ac:dyDescent="0.3">
      <c r="A894" s="241"/>
      <c r="B894" s="241"/>
      <c r="C894" s="241"/>
      <c r="D894" s="241"/>
      <c r="E894" s="241"/>
      <c r="F894" s="241"/>
      <c r="G894" s="241"/>
      <c r="H894" s="241"/>
      <c r="I894" s="241"/>
      <c r="J894" s="241"/>
      <c r="K894" s="241"/>
      <c r="L894" s="241"/>
      <c r="M894" s="241"/>
      <c r="N894" s="241"/>
      <c r="O894" s="241"/>
      <c r="P894" s="241"/>
      <c r="Q894" s="241"/>
      <c r="R894" s="241"/>
      <c r="S894" s="241"/>
      <c r="T894" s="241"/>
      <c r="U894" s="241"/>
      <c r="V894" s="241"/>
      <c r="W894" s="241"/>
      <c r="X894" s="241"/>
      <c r="Y894" s="241"/>
      <c r="Z894" s="241"/>
      <c r="AA894" s="241"/>
      <c r="AB894" s="241"/>
      <c r="AC894" s="241"/>
      <c r="AD894" s="241"/>
      <c r="AE894" s="241"/>
      <c r="AF894" s="241"/>
      <c r="AG894" s="241"/>
      <c r="AH894" s="241"/>
      <c r="AI894" s="241"/>
      <c r="AJ894" s="241"/>
      <c r="AK894" s="241"/>
      <c r="AL894" s="241"/>
      <c r="AM894" s="241"/>
      <c r="AN894" s="241"/>
      <c r="AO894" s="241"/>
      <c r="AP894" s="241"/>
      <c r="AQ894" s="241"/>
      <c r="AR894" s="241"/>
      <c r="AS894" s="241"/>
      <c r="AT894" s="241"/>
      <c r="AU894" s="241"/>
      <c r="AV894" s="241"/>
      <c r="AW894" s="241"/>
      <c r="AX894" s="241"/>
      <c r="AY894" s="241"/>
      <c r="AZ894" s="241"/>
      <c r="BA894" s="241"/>
      <c r="BB894" s="241"/>
      <c r="BC894" s="241"/>
      <c r="BD894" s="241"/>
      <c r="BE894" s="241"/>
      <c r="BF894" s="241"/>
      <c r="BG894" s="241"/>
      <c r="BH894" s="241"/>
      <c r="BI894" s="241"/>
      <c r="BJ894" s="241"/>
      <c r="BK894" s="241"/>
      <c r="BL894" s="241"/>
      <c r="BM894" s="241"/>
    </row>
    <row r="895" spans="1:65" ht="13.5" customHeight="1" x14ac:dyDescent="0.3">
      <c r="A895" s="241"/>
      <c r="B895" s="241"/>
      <c r="C895" s="241"/>
      <c r="D895" s="241"/>
      <c r="E895" s="241"/>
      <c r="F895" s="241"/>
      <c r="G895" s="241"/>
      <c r="H895" s="241"/>
      <c r="I895" s="241"/>
      <c r="J895" s="241"/>
      <c r="K895" s="241"/>
      <c r="L895" s="241"/>
      <c r="M895" s="241"/>
      <c r="N895" s="241"/>
      <c r="O895" s="241"/>
      <c r="P895" s="241"/>
      <c r="Q895" s="241"/>
      <c r="R895" s="241"/>
      <c r="S895" s="241"/>
      <c r="T895" s="241"/>
      <c r="U895" s="241"/>
      <c r="V895" s="241"/>
      <c r="W895" s="241"/>
      <c r="X895" s="241"/>
      <c r="Y895" s="241"/>
      <c r="Z895" s="241"/>
      <c r="AA895" s="241"/>
      <c r="AB895" s="241"/>
      <c r="AC895" s="241"/>
      <c r="AD895" s="241"/>
      <c r="AE895" s="241"/>
      <c r="AF895" s="241"/>
      <c r="AG895" s="241"/>
      <c r="AH895" s="241"/>
      <c r="AI895" s="241"/>
      <c r="AJ895" s="241"/>
      <c r="AK895" s="241"/>
      <c r="AL895" s="241"/>
      <c r="AM895" s="241"/>
      <c r="AN895" s="241"/>
      <c r="AO895" s="241"/>
      <c r="AP895" s="241"/>
      <c r="AQ895" s="241"/>
      <c r="AR895" s="241"/>
      <c r="AS895" s="241"/>
      <c r="AT895" s="241"/>
      <c r="AU895" s="241"/>
      <c r="AV895" s="241"/>
      <c r="AW895" s="241"/>
      <c r="AX895" s="241"/>
      <c r="AY895" s="241"/>
      <c r="AZ895" s="241"/>
      <c r="BA895" s="241"/>
      <c r="BB895" s="241"/>
      <c r="BC895" s="241"/>
      <c r="BD895" s="241"/>
      <c r="BE895" s="241"/>
      <c r="BF895" s="241"/>
      <c r="BG895" s="241"/>
      <c r="BH895" s="241"/>
      <c r="BI895" s="241"/>
      <c r="BJ895" s="241"/>
      <c r="BK895" s="241"/>
      <c r="BL895" s="241"/>
      <c r="BM895" s="241"/>
    </row>
    <row r="896" spans="1:65" ht="13.5" customHeight="1" x14ac:dyDescent="0.3">
      <c r="A896" s="241"/>
      <c r="B896" s="241"/>
      <c r="C896" s="241"/>
      <c r="D896" s="241"/>
      <c r="E896" s="241"/>
      <c r="F896" s="241"/>
      <c r="G896" s="241"/>
      <c r="H896" s="241"/>
      <c r="I896" s="241"/>
      <c r="J896" s="241"/>
      <c r="K896" s="241"/>
      <c r="L896" s="241"/>
      <c r="M896" s="241"/>
      <c r="N896" s="241"/>
      <c r="O896" s="241"/>
      <c r="P896" s="241"/>
      <c r="Q896" s="241"/>
      <c r="R896" s="241"/>
      <c r="S896" s="241"/>
      <c r="T896" s="241"/>
      <c r="U896" s="241"/>
      <c r="V896" s="241"/>
      <c r="W896" s="241"/>
      <c r="X896" s="241"/>
      <c r="Y896" s="241"/>
      <c r="Z896" s="241"/>
      <c r="AA896" s="241"/>
      <c r="AB896" s="241"/>
      <c r="AC896" s="241"/>
      <c r="AD896" s="241"/>
      <c r="AE896" s="241"/>
      <c r="AF896" s="241"/>
      <c r="AG896" s="241"/>
      <c r="AH896" s="241"/>
      <c r="AI896" s="241"/>
      <c r="AJ896" s="241"/>
      <c r="AK896" s="241"/>
      <c r="AL896" s="241"/>
      <c r="AM896" s="241"/>
      <c r="AN896" s="241"/>
      <c r="AO896" s="241"/>
      <c r="AP896" s="241"/>
      <c r="AQ896" s="241"/>
      <c r="AR896" s="241"/>
      <c r="AS896" s="241"/>
      <c r="AT896" s="241"/>
      <c r="AU896" s="241"/>
      <c r="AV896" s="241"/>
      <c r="AW896" s="241"/>
      <c r="AX896" s="241"/>
      <c r="AY896" s="241"/>
      <c r="AZ896" s="241"/>
      <c r="BA896" s="241"/>
      <c r="BB896" s="241"/>
      <c r="BC896" s="241"/>
      <c r="BD896" s="241"/>
      <c r="BE896" s="241"/>
      <c r="BF896" s="241"/>
      <c r="BG896" s="241"/>
      <c r="BH896" s="241"/>
      <c r="BI896" s="241"/>
      <c r="BJ896" s="241"/>
      <c r="BK896" s="241"/>
      <c r="BL896" s="241"/>
      <c r="BM896" s="241"/>
    </row>
    <row r="897" spans="1:65" ht="13.5" customHeight="1" x14ac:dyDescent="0.3">
      <c r="A897" s="241"/>
      <c r="B897" s="241"/>
      <c r="C897" s="241"/>
      <c r="D897" s="241"/>
      <c r="E897" s="241"/>
      <c r="F897" s="241"/>
      <c r="G897" s="241"/>
      <c r="H897" s="241"/>
      <c r="I897" s="241"/>
      <c r="J897" s="241"/>
      <c r="K897" s="241"/>
      <c r="L897" s="241"/>
      <c r="M897" s="241"/>
      <c r="N897" s="241"/>
      <c r="O897" s="241"/>
      <c r="P897" s="241"/>
      <c r="Q897" s="241"/>
      <c r="R897" s="241"/>
      <c r="S897" s="241"/>
      <c r="T897" s="241"/>
      <c r="U897" s="241"/>
      <c r="V897" s="241"/>
      <c r="W897" s="241"/>
      <c r="X897" s="241"/>
      <c r="Y897" s="241"/>
      <c r="Z897" s="241"/>
      <c r="AA897" s="241"/>
      <c r="AB897" s="241"/>
      <c r="AC897" s="241"/>
      <c r="AD897" s="241"/>
      <c r="AE897" s="241"/>
      <c r="AF897" s="241"/>
      <c r="AG897" s="241"/>
      <c r="AH897" s="241"/>
      <c r="AI897" s="241"/>
      <c r="AJ897" s="241"/>
      <c r="AK897" s="241"/>
      <c r="AL897" s="241"/>
      <c r="AM897" s="241"/>
      <c r="AN897" s="241"/>
      <c r="AO897" s="241"/>
      <c r="AP897" s="241"/>
      <c r="AQ897" s="241"/>
      <c r="AR897" s="241"/>
      <c r="AS897" s="241"/>
      <c r="AT897" s="241"/>
      <c r="AU897" s="241"/>
      <c r="AV897" s="241"/>
      <c r="AW897" s="241"/>
      <c r="AX897" s="241"/>
      <c r="AY897" s="241"/>
      <c r="AZ897" s="241"/>
      <c r="BA897" s="241"/>
      <c r="BB897" s="241"/>
      <c r="BC897" s="241"/>
      <c r="BD897" s="241"/>
      <c r="BE897" s="241"/>
      <c r="BF897" s="241"/>
      <c r="BG897" s="241"/>
      <c r="BH897" s="241"/>
      <c r="BI897" s="241"/>
      <c r="BJ897" s="241"/>
      <c r="BK897" s="241"/>
      <c r="BL897" s="241"/>
      <c r="BM897" s="241"/>
    </row>
    <row r="898" spans="1:65" ht="13.5" customHeight="1" x14ac:dyDescent="0.3">
      <c r="A898" s="241"/>
      <c r="B898" s="241"/>
      <c r="C898" s="241"/>
      <c r="D898" s="241"/>
      <c r="E898" s="241"/>
      <c r="F898" s="241"/>
      <c r="G898" s="241"/>
      <c r="H898" s="241"/>
      <c r="I898" s="241"/>
      <c r="J898" s="241"/>
      <c r="K898" s="241"/>
      <c r="L898" s="241"/>
      <c r="M898" s="241"/>
      <c r="N898" s="241"/>
      <c r="O898" s="241"/>
      <c r="P898" s="241"/>
      <c r="Q898" s="241"/>
      <c r="R898" s="241"/>
      <c r="S898" s="241"/>
      <c r="T898" s="241"/>
      <c r="U898" s="241"/>
      <c r="V898" s="241"/>
      <c r="W898" s="241"/>
      <c r="X898" s="241"/>
      <c r="Y898" s="241"/>
      <c r="Z898" s="241"/>
      <c r="AA898" s="241"/>
      <c r="AB898" s="241"/>
      <c r="AC898" s="241"/>
      <c r="AD898" s="241"/>
      <c r="AE898" s="241"/>
      <c r="AF898" s="241"/>
      <c r="AG898" s="241"/>
      <c r="AH898" s="241"/>
      <c r="AI898" s="241"/>
      <c r="AJ898" s="241"/>
      <c r="AK898" s="241"/>
      <c r="AL898" s="241"/>
      <c r="AM898" s="241"/>
      <c r="AN898" s="241"/>
      <c r="AO898" s="241"/>
      <c r="AP898" s="241"/>
      <c r="AQ898" s="241"/>
      <c r="AR898" s="241"/>
      <c r="AS898" s="241"/>
      <c r="AT898" s="241"/>
      <c r="AU898" s="241"/>
      <c r="AV898" s="241"/>
      <c r="AW898" s="241"/>
      <c r="AX898" s="241"/>
      <c r="AY898" s="241"/>
      <c r="AZ898" s="241"/>
      <c r="BA898" s="241"/>
      <c r="BB898" s="241"/>
      <c r="BC898" s="241"/>
      <c r="BD898" s="241"/>
      <c r="BE898" s="241"/>
      <c r="BF898" s="241"/>
      <c r="BG898" s="241"/>
      <c r="BH898" s="241"/>
      <c r="BI898" s="241"/>
      <c r="BJ898" s="241"/>
      <c r="BK898" s="241"/>
      <c r="BL898" s="241"/>
      <c r="BM898" s="241"/>
    </row>
    <row r="899" spans="1:65" ht="13.5" customHeight="1" x14ac:dyDescent="0.3">
      <c r="A899" s="241"/>
      <c r="B899" s="241"/>
      <c r="C899" s="241"/>
      <c r="D899" s="241"/>
      <c r="E899" s="241"/>
      <c r="F899" s="241"/>
      <c r="G899" s="241"/>
      <c r="H899" s="241"/>
      <c r="I899" s="241"/>
      <c r="J899" s="241"/>
      <c r="K899" s="241"/>
      <c r="L899" s="241"/>
      <c r="M899" s="241"/>
      <c r="N899" s="241"/>
      <c r="O899" s="241"/>
      <c r="P899" s="241"/>
      <c r="Q899" s="241"/>
      <c r="R899" s="241"/>
      <c r="S899" s="241"/>
      <c r="T899" s="241"/>
      <c r="U899" s="241"/>
      <c r="V899" s="241"/>
      <c r="W899" s="241"/>
      <c r="X899" s="241"/>
      <c r="Y899" s="241"/>
      <c r="Z899" s="241"/>
      <c r="AA899" s="241"/>
      <c r="AB899" s="241"/>
      <c r="AC899" s="241"/>
      <c r="AD899" s="241"/>
      <c r="AE899" s="241"/>
      <c r="AF899" s="241"/>
      <c r="AG899" s="241"/>
      <c r="AH899" s="241"/>
      <c r="AI899" s="241"/>
      <c r="AJ899" s="241"/>
      <c r="AK899" s="241"/>
      <c r="AL899" s="241"/>
      <c r="AM899" s="241"/>
      <c r="AN899" s="241"/>
      <c r="AO899" s="241"/>
      <c r="AP899" s="241"/>
      <c r="AQ899" s="241"/>
      <c r="AR899" s="241"/>
      <c r="AS899" s="241"/>
      <c r="AT899" s="241"/>
      <c r="AU899" s="241"/>
      <c r="AV899" s="241"/>
      <c r="AW899" s="241"/>
      <c r="AX899" s="241"/>
      <c r="AY899" s="241"/>
      <c r="AZ899" s="241"/>
      <c r="BA899" s="241"/>
      <c r="BB899" s="241"/>
      <c r="BC899" s="241"/>
      <c r="BD899" s="241"/>
      <c r="BE899" s="241"/>
      <c r="BF899" s="241"/>
      <c r="BG899" s="241"/>
      <c r="BH899" s="241"/>
      <c r="BI899" s="241"/>
      <c r="BJ899" s="241"/>
      <c r="BK899" s="241"/>
      <c r="BL899" s="241"/>
      <c r="BM899" s="241"/>
    </row>
    <row r="900" spans="1:65" ht="13.5" customHeight="1" x14ac:dyDescent="0.3">
      <c r="A900" s="241"/>
      <c r="B900" s="241"/>
      <c r="C900" s="241"/>
      <c r="D900" s="241"/>
      <c r="E900" s="241"/>
      <c r="F900" s="241"/>
      <c r="G900" s="241"/>
      <c r="H900" s="241"/>
      <c r="I900" s="241"/>
      <c r="J900" s="241"/>
      <c r="K900" s="241"/>
      <c r="L900" s="241"/>
      <c r="M900" s="241"/>
      <c r="N900" s="241"/>
      <c r="O900" s="241"/>
      <c r="P900" s="241"/>
      <c r="Q900" s="241"/>
      <c r="R900" s="241"/>
      <c r="S900" s="241"/>
      <c r="T900" s="241"/>
      <c r="U900" s="241"/>
      <c r="V900" s="241"/>
      <c r="W900" s="241"/>
      <c r="X900" s="241"/>
      <c r="Y900" s="241"/>
      <c r="Z900" s="241"/>
      <c r="AA900" s="241"/>
      <c r="AB900" s="241"/>
      <c r="AC900" s="241"/>
      <c r="AD900" s="241"/>
      <c r="AE900" s="241"/>
      <c r="AF900" s="241"/>
      <c r="AG900" s="241"/>
      <c r="AH900" s="241"/>
      <c r="AI900" s="241"/>
      <c r="AJ900" s="241"/>
      <c r="AK900" s="241"/>
      <c r="AL900" s="241"/>
      <c r="AM900" s="241"/>
      <c r="AN900" s="241"/>
      <c r="AO900" s="241"/>
      <c r="AP900" s="241"/>
      <c r="AQ900" s="241"/>
      <c r="AR900" s="241"/>
      <c r="AS900" s="241"/>
      <c r="AT900" s="241"/>
      <c r="AU900" s="241"/>
      <c r="AV900" s="241"/>
      <c r="AW900" s="241"/>
      <c r="AX900" s="241"/>
      <c r="AY900" s="241"/>
      <c r="AZ900" s="241"/>
      <c r="BA900" s="241"/>
      <c r="BB900" s="241"/>
      <c r="BC900" s="241"/>
      <c r="BD900" s="241"/>
      <c r="BE900" s="241"/>
      <c r="BF900" s="241"/>
      <c r="BG900" s="241"/>
      <c r="BH900" s="241"/>
      <c r="BI900" s="241"/>
      <c r="BJ900" s="241"/>
      <c r="BK900" s="241"/>
      <c r="BL900" s="241"/>
      <c r="BM900" s="241"/>
    </row>
    <row r="901" spans="1:65" ht="13.5" customHeight="1" x14ac:dyDescent="0.3">
      <c r="A901" s="241"/>
      <c r="B901" s="241"/>
      <c r="C901" s="241"/>
      <c r="D901" s="241"/>
      <c r="E901" s="241"/>
      <c r="F901" s="241"/>
      <c r="G901" s="241"/>
      <c r="H901" s="241"/>
      <c r="I901" s="241"/>
      <c r="J901" s="241"/>
      <c r="K901" s="241"/>
      <c r="L901" s="241"/>
      <c r="M901" s="241"/>
      <c r="N901" s="241"/>
      <c r="O901" s="241"/>
      <c r="P901" s="241"/>
      <c r="Q901" s="241"/>
      <c r="R901" s="241"/>
      <c r="S901" s="241"/>
      <c r="T901" s="241"/>
      <c r="U901" s="241"/>
      <c r="V901" s="241"/>
      <c r="W901" s="241"/>
      <c r="X901" s="241"/>
      <c r="Y901" s="241"/>
      <c r="Z901" s="241"/>
      <c r="AA901" s="241"/>
      <c r="AB901" s="241"/>
      <c r="AC901" s="241"/>
      <c r="AD901" s="241"/>
      <c r="AE901" s="241"/>
      <c r="AF901" s="241"/>
      <c r="AG901" s="241"/>
      <c r="AH901" s="241"/>
      <c r="AI901" s="241"/>
      <c r="AJ901" s="241"/>
      <c r="AK901" s="241"/>
      <c r="AL901" s="241"/>
      <c r="AM901" s="241"/>
      <c r="AN901" s="241"/>
      <c r="AO901" s="241"/>
      <c r="AP901" s="241"/>
      <c r="AQ901" s="241"/>
      <c r="AR901" s="241"/>
      <c r="AS901" s="241"/>
      <c r="AT901" s="241"/>
      <c r="AU901" s="241"/>
      <c r="AV901" s="241"/>
      <c r="AW901" s="241"/>
      <c r="AX901" s="241"/>
      <c r="AY901" s="241"/>
      <c r="AZ901" s="241"/>
      <c r="BA901" s="241"/>
      <c r="BB901" s="241"/>
      <c r="BC901" s="241"/>
      <c r="BD901" s="241"/>
      <c r="BE901" s="241"/>
      <c r="BF901" s="241"/>
      <c r="BG901" s="241"/>
      <c r="BH901" s="241"/>
      <c r="BI901" s="241"/>
      <c r="BJ901" s="241"/>
      <c r="BK901" s="241"/>
      <c r="BL901" s="241"/>
      <c r="BM901" s="241"/>
    </row>
    <row r="902" spans="1:65" ht="13.5" customHeight="1" x14ac:dyDescent="0.3">
      <c r="A902" s="241"/>
      <c r="B902" s="241"/>
      <c r="C902" s="241"/>
      <c r="D902" s="241"/>
      <c r="E902" s="241"/>
      <c r="F902" s="241"/>
      <c r="G902" s="241"/>
      <c r="H902" s="241"/>
      <c r="I902" s="241"/>
      <c r="J902" s="241"/>
      <c r="K902" s="241"/>
      <c r="L902" s="241"/>
      <c r="M902" s="241"/>
      <c r="N902" s="241"/>
      <c r="O902" s="241"/>
      <c r="P902" s="241"/>
      <c r="Q902" s="241"/>
      <c r="R902" s="241"/>
      <c r="S902" s="241"/>
      <c r="T902" s="241"/>
      <c r="U902" s="241"/>
      <c r="V902" s="241"/>
      <c r="W902" s="241"/>
      <c r="X902" s="241"/>
      <c r="Y902" s="241"/>
      <c r="Z902" s="241"/>
      <c r="AA902" s="241"/>
      <c r="AB902" s="241"/>
      <c r="AC902" s="241"/>
      <c r="AD902" s="241"/>
      <c r="AE902" s="241"/>
      <c r="AF902" s="241"/>
      <c r="AG902" s="241"/>
      <c r="AH902" s="241"/>
      <c r="AI902" s="241"/>
      <c r="AJ902" s="241"/>
      <c r="AK902" s="241"/>
      <c r="AL902" s="241"/>
      <c r="AM902" s="241"/>
      <c r="AN902" s="241"/>
      <c r="AO902" s="241"/>
      <c r="AP902" s="241"/>
      <c r="AQ902" s="241"/>
      <c r="AR902" s="241"/>
      <c r="AS902" s="241"/>
      <c r="AT902" s="241"/>
      <c r="AU902" s="241"/>
      <c r="AV902" s="241"/>
      <c r="AW902" s="241"/>
      <c r="AX902" s="241"/>
      <c r="AY902" s="241"/>
      <c r="AZ902" s="241"/>
      <c r="BA902" s="241"/>
      <c r="BB902" s="241"/>
      <c r="BC902" s="241"/>
      <c r="BD902" s="241"/>
      <c r="BE902" s="241"/>
      <c r="BF902" s="241"/>
      <c r="BG902" s="241"/>
      <c r="BH902" s="241"/>
      <c r="BI902" s="241"/>
      <c r="BJ902" s="241"/>
      <c r="BK902" s="241"/>
      <c r="BL902" s="241"/>
      <c r="BM902" s="241"/>
    </row>
    <row r="903" spans="1:65" ht="13.5" customHeight="1" x14ac:dyDescent="0.3">
      <c r="A903" s="241"/>
      <c r="B903" s="241"/>
      <c r="C903" s="241"/>
      <c r="D903" s="241"/>
      <c r="E903" s="241"/>
      <c r="F903" s="241"/>
      <c r="G903" s="241"/>
      <c r="H903" s="241"/>
      <c r="I903" s="241"/>
      <c r="J903" s="241"/>
      <c r="K903" s="241"/>
      <c r="L903" s="241"/>
      <c r="M903" s="241"/>
      <c r="N903" s="241"/>
      <c r="O903" s="241"/>
      <c r="P903" s="241"/>
      <c r="Q903" s="241"/>
      <c r="R903" s="241"/>
      <c r="S903" s="241"/>
      <c r="T903" s="241"/>
      <c r="U903" s="241"/>
      <c r="V903" s="241"/>
      <c r="W903" s="241"/>
      <c r="X903" s="241"/>
      <c r="Y903" s="241"/>
      <c r="Z903" s="241"/>
      <c r="AA903" s="241"/>
      <c r="AB903" s="241"/>
      <c r="AC903" s="241"/>
      <c r="AD903" s="241"/>
      <c r="AE903" s="241"/>
      <c r="AF903" s="241"/>
      <c r="AG903" s="241"/>
      <c r="AH903" s="241"/>
      <c r="AI903" s="241"/>
      <c r="AJ903" s="241"/>
      <c r="AK903" s="241"/>
      <c r="AL903" s="241"/>
      <c r="AM903" s="241"/>
      <c r="AN903" s="241"/>
      <c r="AO903" s="241"/>
      <c r="AP903" s="241"/>
      <c r="AQ903" s="241"/>
      <c r="AR903" s="241"/>
      <c r="AS903" s="241"/>
      <c r="AT903" s="241"/>
      <c r="AU903" s="241"/>
      <c r="AV903" s="241"/>
      <c r="AW903" s="241"/>
      <c r="AX903" s="241"/>
      <c r="AY903" s="241"/>
      <c r="AZ903" s="241"/>
      <c r="BA903" s="241"/>
      <c r="BB903" s="241"/>
      <c r="BC903" s="241"/>
      <c r="BD903" s="241"/>
      <c r="BE903" s="241"/>
      <c r="BF903" s="241"/>
      <c r="BG903" s="241"/>
      <c r="BH903" s="241"/>
      <c r="BI903" s="241"/>
      <c r="BJ903" s="241"/>
      <c r="BK903" s="241"/>
      <c r="BL903" s="241"/>
      <c r="BM903" s="241"/>
    </row>
    <row r="904" spans="1:65" ht="13.5" customHeight="1" x14ac:dyDescent="0.3">
      <c r="A904" s="241"/>
      <c r="B904" s="241"/>
      <c r="C904" s="241"/>
      <c r="D904" s="241"/>
      <c r="E904" s="241"/>
      <c r="F904" s="241"/>
      <c r="G904" s="241"/>
      <c r="H904" s="241"/>
      <c r="I904" s="241"/>
      <c r="J904" s="241"/>
      <c r="K904" s="241"/>
      <c r="L904" s="241"/>
      <c r="M904" s="241"/>
      <c r="N904" s="241"/>
      <c r="O904" s="241"/>
      <c r="P904" s="241"/>
      <c r="Q904" s="241"/>
      <c r="R904" s="241"/>
      <c r="S904" s="241"/>
      <c r="T904" s="241"/>
      <c r="U904" s="241"/>
      <c r="V904" s="241"/>
      <c r="W904" s="241"/>
      <c r="X904" s="241"/>
      <c r="Y904" s="241"/>
      <c r="Z904" s="241"/>
      <c r="AA904" s="241"/>
      <c r="AB904" s="241"/>
      <c r="AC904" s="241"/>
      <c r="AD904" s="241"/>
      <c r="AE904" s="241"/>
      <c r="AF904" s="241"/>
      <c r="AG904" s="241"/>
      <c r="AH904" s="241"/>
      <c r="AI904" s="241"/>
      <c r="AJ904" s="241"/>
      <c r="AK904" s="241"/>
      <c r="AL904" s="241"/>
      <c r="AM904" s="241"/>
      <c r="AN904" s="241"/>
      <c r="AO904" s="241"/>
      <c r="AP904" s="241"/>
      <c r="AQ904" s="241"/>
      <c r="AR904" s="241"/>
      <c r="AS904" s="241"/>
      <c r="AT904" s="241"/>
      <c r="AU904" s="241"/>
      <c r="AV904" s="241"/>
      <c r="AW904" s="241"/>
      <c r="AX904" s="241"/>
      <c r="AY904" s="241"/>
      <c r="AZ904" s="241"/>
      <c r="BA904" s="241"/>
      <c r="BB904" s="241"/>
      <c r="BC904" s="241"/>
      <c r="BD904" s="241"/>
      <c r="BE904" s="241"/>
      <c r="BF904" s="241"/>
      <c r="BG904" s="241"/>
      <c r="BH904" s="241"/>
      <c r="BI904" s="241"/>
      <c r="BJ904" s="241"/>
      <c r="BK904" s="241"/>
      <c r="BL904" s="241"/>
      <c r="BM904" s="241"/>
    </row>
    <row r="905" spans="1:65" ht="13.5" customHeight="1" x14ac:dyDescent="0.3">
      <c r="A905" s="241"/>
      <c r="B905" s="241"/>
      <c r="C905" s="241"/>
      <c r="D905" s="241"/>
      <c r="E905" s="241"/>
      <c r="F905" s="241"/>
      <c r="G905" s="241"/>
      <c r="H905" s="241"/>
      <c r="I905" s="241"/>
      <c r="J905" s="241"/>
      <c r="K905" s="241"/>
      <c r="L905" s="241"/>
      <c r="M905" s="241"/>
      <c r="N905" s="241"/>
      <c r="O905" s="241"/>
      <c r="P905" s="241"/>
      <c r="Q905" s="241"/>
      <c r="R905" s="241"/>
      <c r="S905" s="241"/>
      <c r="T905" s="241"/>
      <c r="U905" s="241"/>
      <c r="V905" s="241"/>
      <c r="W905" s="241"/>
      <c r="X905" s="241"/>
      <c r="Y905" s="241"/>
      <c r="Z905" s="241"/>
      <c r="AA905" s="241"/>
      <c r="AB905" s="241"/>
      <c r="AC905" s="241"/>
      <c r="AD905" s="241"/>
      <c r="AE905" s="241"/>
      <c r="AF905" s="241"/>
      <c r="AG905" s="241"/>
      <c r="AH905" s="241"/>
      <c r="AI905" s="241"/>
      <c r="AJ905" s="241"/>
      <c r="AK905" s="241"/>
      <c r="AL905" s="241"/>
      <c r="AM905" s="241"/>
      <c r="AN905" s="241"/>
      <c r="AO905" s="241"/>
      <c r="AP905" s="241"/>
      <c r="AQ905" s="241"/>
      <c r="AR905" s="241"/>
      <c r="AS905" s="241"/>
      <c r="AT905" s="241"/>
      <c r="AU905" s="241"/>
      <c r="AV905" s="241"/>
      <c r="AW905" s="241"/>
      <c r="AX905" s="241"/>
      <c r="AY905" s="241"/>
      <c r="AZ905" s="241"/>
      <c r="BA905" s="241"/>
      <c r="BB905" s="241"/>
      <c r="BC905" s="241"/>
      <c r="BD905" s="241"/>
      <c r="BE905" s="241"/>
      <c r="BF905" s="241"/>
      <c r="BG905" s="241"/>
      <c r="BH905" s="241"/>
      <c r="BI905" s="241"/>
      <c r="BJ905" s="241"/>
      <c r="BK905" s="241"/>
      <c r="BL905" s="241"/>
      <c r="BM905" s="241"/>
    </row>
    <row r="906" spans="1:65" ht="13.5" customHeight="1" x14ac:dyDescent="0.3">
      <c r="A906" s="241"/>
      <c r="B906" s="241"/>
      <c r="C906" s="241"/>
      <c r="D906" s="241"/>
      <c r="E906" s="241"/>
      <c r="F906" s="241"/>
      <c r="G906" s="241"/>
      <c r="H906" s="241"/>
      <c r="I906" s="241"/>
      <c r="J906" s="241"/>
      <c r="K906" s="241"/>
      <c r="L906" s="241"/>
      <c r="M906" s="241"/>
      <c r="N906" s="241"/>
      <c r="O906" s="241"/>
      <c r="P906" s="241"/>
      <c r="Q906" s="241"/>
      <c r="R906" s="241"/>
      <c r="S906" s="241"/>
      <c r="T906" s="241"/>
      <c r="U906" s="241"/>
      <c r="V906" s="241"/>
      <c r="W906" s="241"/>
      <c r="X906" s="241"/>
      <c r="Y906" s="241"/>
      <c r="Z906" s="241"/>
      <c r="AA906" s="241"/>
      <c r="AB906" s="241"/>
      <c r="AC906" s="241"/>
      <c r="AD906" s="241"/>
      <c r="AE906" s="241"/>
      <c r="AF906" s="241"/>
      <c r="AG906" s="241"/>
      <c r="AH906" s="241"/>
      <c r="AI906" s="241"/>
      <c r="AJ906" s="241"/>
      <c r="AK906" s="241"/>
      <c r="AL906" s="241"/>
      <c r="AM906" s="241"/>
      <c r="AN906" s="241"/>
      <c r="AO906" s="241"/>
      <c r="AP906" s="241"/>
      <c r="AQ906" s="241"/>
      <c r="AR906" s="241"/>
      <c r="AS906" s="241"/>
      <c r="AT906" s="241"/>
      <c r="AU906" s="241"/>
      <c r="AV906" s="241"/>
      <c r="AW906" s="241"/>
      <c r="AX906" s="241"/>
      <c r="AY906" s="241"/>
      <c r="AZ906" s="241"/>
      <c r="BA906" s="241"/>
      <c r="BB906" s="241"/>
      <c r="BC906" s="241"/>
      <c r="BD906" s="241"/>
      <c r="BE906" s="241"/>
      <c r="BF906" s="241"/>
      <c r="BG906" s="241"/>
      <c r="BH906" s="241"/>
      <c r="BI906" s="241"/>
      <c r="BJ906" s="241"/>
      <c r="BK906" s="241"/>
      <c r="BL906" s="241"/>
      <c r="BM906" s="241"/>
    </row>
    <row r="907" spans="1:65" ht="13.5" customHeight="1" x14ac:dyDescent="0.3">
      <c r="A907" s="241"/>
      <c r="B907" s="241"/>
      <c r="C907" s="241"/>
      <c r="D907" s="241"/>
      <c r="E907" s="241"/>
      <c r="F907" s="241"/>
      <c r="G907" s="241"/>
      <c r="H907" s="241"/>
      <c r="I907" s="241"/>
      <c r="J907" s="241"/>
      <c r="K907" s="241"/>
      <c r="L907" s="241"/>
      <c r="M907" s="241"/>
      <c r="N907" s="241"/>
      <c r="O907" s="241"/>
      <c r="P907" s="241"/>
      <c r="Q907" s="241"/>
      <c r="R907" s="241"/>
      <c r="S907" s="241"/>
      <c r="T907" s="241"/>
      <c r="U907" s="241"/>
      <c r="V907" s="241"/>
      <c r="W907" s="241"/>
      <c r="X907" s="241"/>
      <c r="Y907" s="241"/>
      <c r="Z907" s="241"/>
      <c r="AA907" s="241"/>
      <c r="AB907" s="241"/>
      <c r="AC907" s="241"/>
      <c r="AD907" s="241"/>
      <c r="AE907" s="241"/>
      <c r="AF907" s="241"/>
      <c r="AG907" s="241"/>
      <c r="AH907" s="241"/>
      <c r="AI907" s="241"/>
      <c r="AJ907" s="241"/>
      <c r="AK907" s="241"/>
      <c r="AL907" s="241"/>
      <c r="AM907" s="241"/>
      <c r="AN907" s="241"/>
      <c r="AO907" s="241"/>
      <c r="AP907" s="241"/>
      <c r="AQ907" s="241"/>
      <c r="AR907" s="241"/>
      <c r="AS907" s="241"/>
      <c r="AT907" s="241"/>
      <c r="AU907" s="241"/>
      <c r="AV907" s="241"/>
      <c r="AW907" s="241"/>
      <c r="AX907" s="241"/>
      <c r="AY907" s="241"/>
      <c r="AZ907" s="241"/>
      <c r="BA907" s="241"/>
      <c r="BB907" s="241"/>
      <c r="BC907" s="241"/>
      <c r="BD907" s="241"/>
      <c r="BE907" s="241"/>
      <c r="BF907" s="241"/>
      <c r="BG907" s="241"/>
      <c r="BH907" s="241"/>
      <c r="BI907" s="241"/>
      <c r="BJ907" s="241"/>
      <c r="BK907" s="241"/>
      <c r="BL907" s="241"/>
      <c r="BM907" s="241"/>
    </row>
    <row r="908" spans="1:65" ht="13.5" customHeight="1" x14ac:dyDescent="0.3">
      <c r="A908" s="241"/>
      <c r="B908" s="241"/>
      <c r="C908" s="241"/>
      <c r="D908" s="241"/>
      <c r="E908" s="241"/>
      <c r="F908" s="241"/>
      <c r="G908" s="241"/>
      <c r="H908" s="241"/>
      <c r="I908" s="241"/>
      <c r="J908" s="241"/>
      <c r="K908" s="241"/>
      <c r="L908" s="241"/>
      <c r="M908" s="241"/>
      <c r="N908" s="241"/>
      <c r="O908" s="241"/>
      <c r="P908" s="241"/>
      <c r="Q908" s="241"/>
      <c r="R908" s="241"/>
      <c r="S908" s="241"/>
      <c r="T908" s="241"/>
      <c r="U908" s="241"/>
      <c r="V908" s="241"/>
      <c r="W908" s="241"/>
      <c r="X908" s="241"/>
      <c r="Y908" s="241"/>
      <c r="Z908" s="241"/>
      <c r="AA908" s="241"/>
      <c r="AB908" s="241"/>
      <c r="AC908" s="241"/>
      <c r="AD908" s="241"/>
      <c r="AE908" s="241"/>
      <c r="AF908" s="241"/>
      <c r="AG908" s="241"/>
      <c r="AH908" s="241"/>
      <c r="AI908" s="241"/>
      <c r="AJ908" s="241"/>
      <c r="AK908" s="241"/>
      <c r="AL908" s="241"/>
      <c r="AM908" s="241"/>
      <c r="AN908" s="241"/>
      <c r="AO908" s="241"/>
      <c r="AP908" s="241"/>
      <c r="AQ908" s="241"/>
      <c r="AR908" s="241"/>
      <c r="AS908" s="241"/>
      <c r="AT908" s="241"/>
      <c r="AU908" s="241"/>
      <c r="AV908" s="241"/>
      <c r="AW908" s="241"/>
      <c r="AX908" s="241"/>
      <c r="AY908" s="241"/>
      <c r="AZ908" s="241"/>
      <c r="BA908" s="241"/>
      <c r="BB908" s="241"/>
      <c r="BC908" s="241"/>
      <c r="BD908" s="241"/>
      <c r="BE908" s="241"/>
      <c r="BF908" s="241"/>
      <c r="BG908" s="241"/>
      <c r="BH908" s="241"/>
      <c r="BI908" s="241"/>
      <c r="BJ908" s="241"/>
      <c r="BK908" s="241"/>
      <c r="BL908" s="241"/>
      <c r="BM908" s="241"/>
    </row>
    <row r="909" spans="1:65" ht="13.5" customHeight="1" x14ac:dyDescent="0.3">
      <c r="A909" s="241"/>
      <c r="B909" s="241"/>
      <c r="C909" s="241"/>
      <c r="D909" s="241"/>
      <c r="E909" s="241"/>
      <c r="F909" s="241"/>
      <c r="G909" s="241"/>
      <c r="H909" s="241"/>
      <c r="I909" s="241"/>
      <c r="J909" s="241"/>
      <c r="K909" s="241"/>
      <c r="L909" s="241"/>
      <c r="M909" s="241"/>
      <c r="N909" s="241"/>
      <c r="O909" s="241"/>
      <c r="P909" s="241"/>
      <c r="Q909" s="241"/>
      <c r="R909" s="241"/>
      <c r="S909" s="241"/>
      <c r="T909" s="241"/>
      <c r="U909" s="241"/>
      <c r="V909" s="241"/>
      <c r="W909" s="241"/>
      <c r="X909" s="241"/>
      <c r="Y909" s="241"/>
      <c r="Z909" s="241"/>
      <c r="AA909" s="241"/>
      <c r="AB909" s="241"/>
      <c r="AC909" s="241"/>
      <c r="AD909" s="241"/>
      <c r="AE909" s="241"/>
      <c r="AF909" s="241"/>
      <c r="AG909" s="241"/>
      <c r="AH909" s="241"/>
      <c r="AI909" s="241"/>
      <c r="AJ909" s="241"/>
      <c r="AK909" s="241"/>
      <c r="AL909" s="241"/>
      <c r="AM909" s="241"/>
      <c r="AN909" s="241"/>
      <c r="AO909" s="241"/>
      <c r="AP909" s="241"/>
      <c r="AQ909" s="241"/>
      <c r="AR909" s="241"/>
      <c r="AS909" s="241"/>
      <c r="AT909" s="241"/>
      <c r="AU909" s="241"/>
      <c r="AV909" s="241"/>
      <c r="AW909" s="241"/>
      <c r="AX909" s="241"/>
      <c r="AY909" s="241"/>
      <c r="AZ909" s="241"/>
      <c r="BA909" s="241"/>
      <c r="BB909" s="241"/>
      <c r="BC909" s="241"/>
      <c r="BD909" s="241"/>
      <c r="BE909" s="241"/>
      <c r="BF909" s="241"/>
      <c r="BG909" s="241"/>
      <c r="BH909" s="241"/>
      <c r="BI909" s="241"/>
      <c r="BJ909" s="241"/>
      <c r="BK909" s="241"/>
      <c r="BL909" s="241"/>
      <c r="BM909" s="241"/>
    </row>
    <row r="910" spans="1:65" ht="13.5" customHeight="1" x14ac:dyDescent="0.3">
      <c r="A910" s="241"/>
      <c r="B910" s="241"/>
      <c r="C910" s="241"/>
      <c r="D910" s="241"/>
      <c r="E910" s="241"/>
      <c r="F910" s="241"/>
      <c r="G910" s="241"/>
      <c r="H910" s="241"/>
      <c r="I910" s="241"/>
      <c r="J910" s="241"/>
      <c r="K910" s="241"/>
      <c r="L910" s="241"/>
      <c r="M910" s="241"/>
      <c r="N910" s="241"/>
      <c r="O910" s="241"/>
      <c r="P910" s="241"/>
      <c r="Q910" s="241"/>
      <c r="R910" s="241"/>
      <c r="S910" s="241"/>
      <c r="T910" s="241"/>
      <c r="U910" s="241"/>
      <c r="V910" s="241"/>
      <c r="W910" s="241"/>
      <c r="X910" s="241"/>
      <c r="Y910" s="241"/>
      <c r="Z910" s="241"/>
      <c r="AA910" s="241"/>
      <c r="AB910" s="241"/>
      <c r="AC910" s="241"/>
      <c r="AD910" s="241"/>
      <c r="AE910" s="241"/>
      <c r="AF910" s="241"/>
      <c r="AG910" s="241"/>
      <c r="AH910" s="241"/>
      <c r="AI910" s="241"/>
      <c r="AJ910" s="241"/>
      <c r="AK910" s="241"/>
      <c r="AL910" s="241"/>
      <c r="AM910" s="241"/>
      <c r="AN910" s="241"/>
      <c r="AO910" s="241"/>
      <c r="AP910" s="241"/>
      <c r="AQ910" s="241"/>
      <c r="AR910" s="241"/>
      <c r="AS910" s="241"/>
      <c r="AT910" s="241"/>
      <c r="AU910" s="241"/>
      <c r="AV910" s="241"/>
      <c r="AW910" s="241"/>
      <c r="AX910" s="241"/>
      <c r="AY910" s="241"/>
      <c r="AZ910" s="241"/>
      <c r="BA910" s="241"/>
      <c r="BB910" s="241"/>
      <c r="BC910" s="241"/>
      <c r="BD910" s="241"/>
      <c r="BE910" s="241"/>
      <c r="BF910" s="241"/>
      <c r="BG910" s="241"/>
      <c r="BH910" s="241"/>
      <c r="BI910" s="241"/>
      <c r="BJ910" s="241"/>
      <c r="BK910" s="241"/>
      <c r="BL910" s="241"/>
      <c r="BM910" s="241"/>
    </row>
    <row r="911" spans="1:65" ht="13.5" customHeight="1" x14ac:dyDescent="0.3">
      <c r="A911" s="241"/>
      <c r="B911" s="241"/>
      <c r="C911" s="241"/>
      <c r="D911" s="241"/>
      <c r="E911" s="241"/>
      <c r="F911" s="241"/>
      <c r="G911" s="241"/>
      <c r="H911" s="241"/>
      <c r="I911" s="241"/>
      <c r="J911" s="241"/>
      <c r="K911" s="241"/>
      <c r="L911" s="241"/>
      <c r="M911" s="241"/>
      <c r="N911" s="241"/>
      <c r="O911" s="241"/>
      <c r="P911" s="241"/>
      <c r="Q911" s="241"/>
      <c r="R911" s="241"/>
      <c r="S911" s="241"/>
      <c r="T911" s="241"/>
      <c r="U911" s="241"/>
      <c r="V911" s="241"/>
      <c r="W911" s="241"/>
      <c r="X911" s="241"/>
      <c r="Y911" s="241"/>
      <c r="Z911" s="241"/>
      <c r="AA911" s="241"/>
      <c r="AB911" s="241"/>
      <c r="AC911" s="241"/>
      <c r="AD911" s="241"/>
      <c r="AE911" s="241"/>
      <c r="AF911" s="241"/>
      <c r="AG911" s="241"/>
      <c r="AH911" s="241"/>
      <c r="AI911" s="241"/>
      <c r="AJ911" s="241"/>
      <c r="AK911" s="241"/>
      <c r="AL911" s="241"/>
      <c r="AM911" s="241"/>
      <c r="AN911" s="241"/>
      <c r="AO911" s="241"/>
      <c r="AP911" s="241"/>
      <c r="AQ911" s="241"/>
      <c r="AR911" s="241"/>
      <c r="AS911" s="241"/>
      <c r="AT911" s="241"/>
      <c r="AU911" s="241"/>
      <c r="AV911" s="241"/>
      <c r="AW911" s="241"/>
      <c r="AX911" s="241"/>
      <c r="AY911" s="241"/>
      <c r="AZ911" s="241"/>
      <c r="BA911" s="241"/>
      <c r="BB911" s="241"/>
      <c r="BC911" s="241"/>
      <c r="BD911" s="241"/>
      <c r="BE911" s="241"/>
      <c r="BF911" s="241"/>
      <c r="BG911" s="241"/>
      <c r="BH911" s="241"/>
      <c r="BI911" s="241"/>
      <c r="BJ911" s="241"/>
      <c r="BK911" s="241"/>
      <c r="BL911" s="241"/>
      <c r="BM911" s="241"/>
    </row>
    <row r="912" spans="1:65" ht="13.5" customHeight="1" x14ac:dyDescent="0.3">
      <c r="A912" s="241"/>
      <c r="B912" s="241"/>
      <c r="C912" s="241"/>
      <c r="D912" s="241"/>
      <c r="E912" s="241"/>
      <c r="F912" s="241"/>
      <c r="G912" s="241"/>
      <c r="H912" s="241"/>
      <c r="I912" s="241"/>
      <c r="J912" s="241"/>
      <c r="K912" s="241"/>
      <c r="L912" s="241"/>
      <c r="M912" s="241"/>
      <c r="N912" s="241"/>
      <c r="O912" s="241"/>
      <c r="P912" s="241"/>
      <c r="Q912" s="241"/>
      <c r="R912" s="241"/>
      <c r="S912" s="241"/>
      <c r="T912" s="241"/>
      <c r="U912" s="241"/>
      <c r="V912" s="241"/>
      <c r="W912" s="241"/>
      <c r="X912" s="241"/>
      <c r="Y912" s="241"/>
      <c r="Z912" s="241"/>
      <c r="AA912" s="241"/>
      <c r="AB912" s="241"/>
      <c r="AC912" s="241"/>
      <c r="AD912" s="241"/>
      <c r="AE912" s="241"/>
      <c r="AF912" s="241"/>
      <c r="AG912" s="241"/>
      <c r="AH912" s="241"/>
      <c r="AI912" s="241"/>
      <c r="AJ912" s="241"/>
      <c r="AK912" s="241"/>
      <c r="AL912" s="241"/>
      <c r="AM912" s="241"/>
      <c r="AN912" s="241"/>
      <c r="AO912" s="241"/>
      <c r="AP912" s="241"/>
      <c r="AQ912" s="241"/>
      <c r="AR912" s="241"/>
      <c r="AS912" s="241"/>
      <c r="AT912" s="241"/>
      <c r="AU912" s="241"/>
      <c r="AV912" s="241"/>
      <c r="AW912" s="241"/>
      <c r="AX912" s="241"/>
      <c r="AY912" s="241"/>
      <c r="AZ912" s="241"/>
      <c r="BA912" s="241"/>
      <c r="BB912" s="241"/>
      <c r="BC912" s="241"/>
      <c r="BD912" s="241"/>
      <c r="BE912" s="241"/>
      <c r="BF912" s="241"/>
      <c r="BG912" s="241"/>
      <c r="BH912" s="241"/>
      <c r="BI912" s="241"/>
      <c r="BJ912" s="241"/>
      <c r="BK912" s="241"/>
      <c r="BL912" s="241"/>
      <c r="BM912" s="241"/>
    </row>
    <row r="913" spans="1:65" ht="13.5" customHeight="1" x14ac:dyDescent="0.3">
      <c r="A913" s="241"/>
      <c r="B913" s="241"/>
      <c r="C913" s="241"/>
      <c r="D913" s="241"/>
      <c r="E913" s="241"/>
      <c r="F913" s="241"/>
      <c r="G913" s="241"/>
      <c r="H913" s="241"/>
      <c r="I913" s="241"/>
      <c r="J913" s="241"/>
      <c r="K913" s="241"/>
      <c r="L913" s="241"/>
      <c r="M913" s="241"/>
      <c r="N913" s="241"/>
      <c r="O913" s="241"/>
      <c r="P913" s="241"/>
      <c r="Q913" s="241"/>
      <c r="R913" s="241"/>
      <c r="S913" s="241"/>
      <c r="T913" s="241"/>
      <c r="U913" s="241"/>
      <c r="V913" s="241"/>
      <c r="W913" s="241"/>
      <c r="X913" s="241"/>
      <c r="Y913" s="241"/>
      <c r="Z913" s="241"/>
      <c r="AA913" s="241"/>
      <c r="AB913" s="241"/>
      <c r="AC913" s="241"/>
      <c r="AD913" s="241"/>
      <c r="AE913" s="241"/>
      <c r="AF913" s="241"/>
      <c r="AG913" s="241"/>
      <c r="AH913" s="241"/>
      <c r="AI913" s="241"/>
      <c r="AJ913" s="241"/>
      <c r="AK913" s="241"/>
      <c r="AL913" s="241"/>
      <c r="AM913" s="241"/>
      <c r="AN913" s="241"/>
      <c r="AO913" s="241"/>
      <c r="AP913" s="241"/>
      <c r="AQ913" s="241"/>
      <c r="AR913" s="241"/>
      <c r="AS913" s="241"/>
      <c r="AT913" s="241"/>
      <c r="AU913" s="241"/>
      <c r="AV913" s="241"/>
      <c r="AW913" s="241"/>
      <c r="AX913" s="241"/>
      <c r="AY913" s="241"/>
      <c r="AZ913" s="241"/>
      <c r="BA913" s="241"/>
      <c r="BB913" s="241"/>
      <c r="BC913" s="241"/>
      <c r="BD913" s="241"/>
      <c r="BE913" s="241"/>
      <c r="BF913" s="241"/>
      <c r="BG913" s="241"/>
      <c r="BH913" s="241"/>
      <c r="BI913" s="241"/>
      <c r="BJ913" s="241"/>
      <c r="BK913" s="241"/>
      <c r="BL913" s="241"/>
      <c r="BM913" s="241"/>
    </row>
    <row r="914" spans="1:65" ht="13.5" customHeight="1" x14ac:dyDescent="0.3">
      <c r="A914" s="241"/>
      <c r="B914" s="241"/>
      <c r="C914" s="241"/>
      <c r="D914" s="241"/>
      <c r="E914" s="241"/>
      <c r="F914" s="241"/>
      <c r="G914" s="241"/>
      <c r="H914" s="241"/>
      <c r="I914" s="241"/>
      <c r="J914" s="241"/>
      <c r="K914" s="241"/>
      <c r="L914" s="241"/>
      <c r="M914" s="241"/>
      <c r="N914" s="241"/>
      <c r="O914" s="241"/>
      <c r="P914" s="241"/>
      <c r="Q914" s="241"/>
      <c r="R914" s="241"/>
      <c r="S914" s="241"/>
      <c r="T914" s="241"/>
      <c r="U914" s="241"/>
      <c r="V914" s="241"/>
      <c r="W914" s="241"/>
      <c r="X914" s="241"/>
      <c r="Y914" s="241"/>
      <c r="Z914" s="241"/>
      <c r="AA914" s="241"/>
      <c r="AB914" s="241"/>
      <c r="AC914" s="241"/>
      <c r="AD914" s="241"/>
      <c r="AE914" s="241"/>
      <c r="AF914" s="241"/>
      <c r="AG914" s="241"/>
      <c r="AH914" s="241"/>
      <c r="AI914" s="241"/>
      <c r="AJ914" s="241"/>
      <c r="AK914" s="241"/>
      <c r="AL914" s="241"/>
      <c r="AM914" s="241"/>
      <c r="AN914" s="241"/>
      <c r="AO914" s="241"/>
      <c r="AP914" s="241"/>
      <c r="AQ914" s="241"/>
      <c r="AR914" s="241"/>
      <c r="AS914" s="241"/>
      <c r="AT914" s="241"/>
      <c r="AU914" s="241"/>
      <c r="AV914" s="241"/>
      <c r="AW914" s="241"/>
      <c r="AX914" s="241"/>
      <c r="AY914" s="241"/>
      <c r="AZ914" s="241"/>
      <c r="BA914" s="241"/>
      <c r="BB914" s="241"/>
      <c r="BC914" s="241"/>
      <c r="BD914" s="241"/>
      <c r="BE914" s="241"/>
      <c r="BF914" s="241"/>
      <c r="BG914" s="241"/>
      <c r="BH914" s="241"/>
      <c r="BI914" s="241"/>
      <c r="BJ914" s="241"/>
      <c r="BK914" s="241"/>
      <c r="BL914" s="241"/>
      <c r="BM914" s="241"/>
    </row>
    <row r="915" spans="1:65" ht="13.5" customHeight="1" x14ac:dyDescent="0.3">
      <c r="A915" s="241"/>
      <c r="B915" s="241"/>
      <c r="C915" s="241"/>
      <c r="D915" s="241"/>
      <c r="E915" s="241"/>
      <c r="F915" s="241"/>
      <c r="G915" s="241"/>
      <c r="H915" s="241"/>
      <c r="I915" s="241"/>
      <c r="J915" s="241"/>
      <c r="K915" s="241"/>
      <c r="L915" s="241"/>
      <c r="M915" s="241"/>
      <c r="N915" s="241"/>
      <c r="O915" s="241"/>
      <c r="P915" s="241"/>
      <c r="Q915" s="241"/>
      <c r="R915" s="241"/>
      <c r="S915" s="241"/>
      <c r="T915" s="241"/>
      <c r="U915" s="241"/>
      <c r="V915" s="241"/>
      <c r="W915" s="241"/>
      <c r="X915" s="241"/>
      <c r="Y915" s="241"/>
      <c r="Z915" s="241"/>
      <c r="AA915" s="241"/>
      <c r="AB915" s="241"/>
      <c r="AC915" s="241"/>
      <c r="AD915" s="241"/>
      <c r="AE915" s="241"/>
      <c r="AF915" s="241"/>
      <c r="AG915" s="241"/>
      <c r="AH915" s="241"/>
      <c r="AI915" s="241"/>
      <c r="AJ915" s="241"/>
      <c r="AK915" s="241"/>
      <c r="AL915" s="241"/>
      <c r="AM915" s="241"/>
      <c r="AN915" s="241"/>
      <c r="AO915" s="241"/>
      <c r="AP915" s="241"/>
      <c r="AQ915" s="241"/>
      <c r="AR915" s="241"/>
      <c r="AS915" s="241"/>
      <c r="AT915" s="241"/>
      <c r="AU915" s="241"/>
      <c r="AV915" s="241"/>
      <c r="AW915" s="241"/>
      <c r="AX915" s="241"/>
      <c r="AY915" s="241"/>
      <c r="AZ915" s="241"/>
      <c r="BA915" s="241"/>
      <c r="BB915" s="241"/>
      <c r="BC915" s="241"/>
      <c r="BD915" s="241"/>
      <c r="BE915" s="241"/>
      <c r="BF915" s="241"/>
      <c r="BG915" s="241"/>
      <c r="BH915" s="241"/>
      <c r="BI915" s="241"/>
      <c r="BJ915" s="241"/>
      <c r="BK915" s="241"/>
      <c r="BL915" s="241"/>
      <c r="BM915" s="241"/>
    </row>
    <row r="916" spans="1:65" ht="13.5" customHeight="1" x14ac:dyDescent="0.3">
      <c r="A916" s="241"/>
      <c r="B916" s="241"/>
      <c r="C916" s="241"/>
      <c r="D916" s="241"/>
      <c r="E916" s="241"/>
      <c r="F916" s="241"/>
      <c r="G916" s="241"/>
      <c r="H916" s="241"/>
      <c r="I916" s="241"/>
      <c r="J916" s="241"/>
      <c r="K916" s="241"/>
      <c r="L916" s="241"/>
      <c r="M916" s="241"/>
      <c r="N916" s="241"/>
      <c r="O916" s="241"/>
      <c r="P916" s="241"/>
      <c r="Q916" s="241"/>
      <c r="R916" s="241"/>
      <c r="S916" s="241"/>
      <c r="T916" s="241"/>
      <c r="U916" s="241"/>
      <c r="V916" s="241"/>
      <c r="W916" s="241"/>
      <c r="X916" s="241"/>
      <c r="Y916" s="241"/>
      <c r="Z916" s="241"/>
      <c r="AA916" s="241"/>
      <c r="AB916" s="241"/>
      <c r="AC916" s="241"/>
      <c r="AD916" s="241"/>
      <c r="AE916" s="241"/>
      <c r="AF916" s="241"/>
      <c r="AG916" s="241"/>
      <c r="AH916" s="241"/>
      <c r="AI916" s="241"/>
      <c r="AJ916" s="241"/>
      <c r="AK916" s="241"/>
      <c r="AL916" s="241"/>
      <c r="AM916" s="241"/>
      <c r="AN916" s="241"/>
      <c r="AO916" s="241"/>
      <c r="AP916" s="241"/>
      <c r="AQ916" s="241"/>
      <c r="AR916" s="241"/>
      <c r="AS916" s="241"/>
      <c r="AT916" s="241"/>
      <c r="AU916" s="241"/>
      <c r="AV916" s="241"/>
      <c r="AW916" s="241"/>
      <c r="AX916" s="241"/>
      <c r="AY916" s="241"/>
      <c r="AZ916" s="241"/>
      <c r="BA916" s="241"/>
      <c r="BB916" s="241"/>
      <c r="BC916" s="241"/>
      <c r="BD916" s="241"/>
      <c r="BE916" s="241"/>
      <c r="BF916" s="241"/>
      <c r="BG916" s="241"/>
      <c r="BH916" s="241"/>
      <c r="BI916" s="241"/>
      <c r="BJ916" s="241"/>
      <c r="BK916" s="241"/>
      <c r="BL916" s="241"/>
      <c r="BM916" s="241"/>
    </row>
    <row r="917" spans="1:65" ht="13.5" customHeight="1" x14ac:dyDescent="0.3">
      <c r="A917" s="241"/>
      <c r="B917" s="241"/>
      <c r="C917" s="241"/>
      <c r="D917" s="241"/>
      <c r="E917" s="241"/>
      <c r="F917" s="241"/>
      <c r="G917" s="241"/>
      <c r="H917" s="241"/>
      <c r="I917" s="241"/>
      <c r="J917" s="241"/>
      <c r="K917" s="241"/>
      <c r="L917" s="241"/>
      <c r="M917" s="241"/>
      <c r="N917" s="241"/>
      <c r="O917" s="241"/>
      <c r="P917" s="241"/>
      <c r="Q917" s="241"/>
      <c r="R917" s="241"/>
      <c r="S917" s="241"/>
      <c r="T917" s="241"/>
      <c r="U917" s="241"/>
      <c r="V917" s="241"/>
      <c r="W917" s="241"/>
      <c r="X917" s="241"/>
      <c r="Y917" s="241"/>
      <c r="Z917" s="241"/>
      <c r="AA917" s="241"/>
      <c r="AB917" s="241"/>
      <c r="AC917" s="241"/>
      <c r="AD917" s="241"/>
      <c r="AE917" s="241"/>
      <c r="AF917" s="241"/>
      <c r="AG917" s="241"/>
      <c r="AH917" s="241"/>
      <c r="AI917" s="241"/>
      <c r="AJ917" s="241"/>
      <c r="AK917" s="241"/>
      <c r="AL917" s="241"/>
      <c r="AM917" s="241"/>
      <c r="AN917" s="241"/>
      <c r="AO917" s="241"/>
      <c r="AP917" s="241"/>
      <c r="AQ917" s="241"/>
      <c r="AR917" s="241"/>
      <c r="AS917" s="241"/>
      <c r="AT917" s="241"/>
      <c r="AU917" s="241"/>
      <c r="AV917" s="241"/>
      <c r="AW917" s="241"/>
      <c r="AX917" s="241"/>
      <c r="AY917" s="241"/>
      <c r="AZ917" s="241"/>
      <c r="BA917" s="241"/>
      <c r="BB917" s="241"/>
      <c r="BC917" s="241"/>
      <c r="BD917" s="241"/>
      <c r="BE917" s="241"/>
      <c r="BF917" s="241"/>
      <c r="BG917" s="241"/>
      <c r="BH917" s="241"/>
      <c r="BI917" s="241"/>
      <c r="BJ917" s="241"/>
      <c r="BK917" s="241"/>
      <c r="BL917" s="241"/>
      <c r="BM917" s="241"/>
    </row>
    <row r="918" spans="1:65" ht="13.5" customHeight="1" x14ac:dyDescent="0.3">
      <c r="A918" s="241"/>
      <c r="B918" s="241"/>
      <c r="C918" s="241"/>
      <c r="D918" s="241"/>
      <c r="E918" s="241"/>
      <c r="F918" s="241"/>
      <c r="G918" s="241"/>
      <c r="H918" s="241"/>
      <c r="I918" s="241"/>
      <c r="J918" s="241"/>
      <c r="K918" s="241"/>
      <c r="L918" s="241"/>
      <c r="M918" s="241"/>
      <c r="N918" s="241"/>
      <c r="O918" s="241"/>
      <c r="P918" s="241"/>
      <c r="Q918" s="241"/>
      <c r="R918" s="241"/>
      <c r="S918" s="241"/>
      <c r="T918" s="241"/>
      <c r="U918" s="241"/>
      <c r="V918" s="241"/>
      <c r="W918" s="241"/>
      <c r="X918" s="241"/>
      <c r="Y918" s="241"/>
      <c r="Z918" s="241"/>
      <c r="AA918" s="241"/>
      <c r="AB918" s="241"/>
      <c r="AC918" s="241"/>
      <c r="AD918" s="241"/>
      <c r="AE918" s="241"/>
      <c r="AF918" s="241"/>
      <c r="AG918" s="241"/>
      <c r="AH918" s="241"/>
      <c r="AI918" s="241"/>
      <c r="AJ918" s="241"/>
      <c r="AK918" s="241"/>
      <c r="AL918" s="241"/>
      <c r="AM918" s="241"/>
      <c r="AN918" s="241"/>
      <c r="AO918" s="241"/>
      <c r="AP918" s="241"/>
      <c r="AQ918" s="241"/>
      <c r="AR918" s="241"/>
      <c r="AS918" s="241"/>
      <c r="AT918" s="241"/>
      <c r="AU918" s="241"/>
      <c r="AV918" s="241"/>
      <c r="AW918" s="241"/>
      <c r="AX918" s="241"/>
      <c r="AY918" s="241"/>
      <c r="AZ918" s="241"/>
      <c r="BA918" s="241"/>
      <c r="BB918" s="241"/>
      <c r="BC918" s="241"/>
      <c r="BD918" s="241"/>
      <c r="BE918" s="241"/>
      <c r="BF918" s="241"/>
      <c r="BG918" s="241"/>
      <c r="BH918" s="241"/>
      <c r="BI918" s="241"/>
      <c r="BJ918" s="241"/>
      <c r="BK918" s="241"/>
      <c r="BL918" s="241"/>
      <c r="BM918" s="241"/>
    </row>
    <row r="919" spans="1:65" ht="13.5" customHeight="1" x14ac:dyDescent="0.3">
      <c r="A919" s="241"/>
      <c r="B919" s="241"/>
      <c r="C919" s="241"/>
      <c r="D919" s="241"/>
      <c r="E919" s="241"/>
      <c r="F919" s="241"/>
      <c r="G919" s="241"/>
      <c r="H919" s="241"/>
      <c r="I919" s="241"/>
      <c r="J919" s="241"/>
      <c r="K919" s="241"/>
      <c r="L919" s="241"/>
      <c r="M919" s="241"/>
      <c r="N919" s="241"/>
      <c r="O919" s="241"/>
      <c r="P919" s="241"/>
      <c r="Q919" s="241"/>
      <c r="R919" s="241"/>
      <c r="S919" s="241"/>
      <c r="T919" s="241"/>
      <c r="U919" s="241"/>
      <c r="V919" s="241"/>
      <c r="W919" s="241"/>
      <c r="X919" s="241"/>
      <c r="Y919" s="241"/>
      <c r="Z919" s="241"/>
      <c r="AA919" s="241"/>
      <c r="AB919" s="241"/>
      <c r="AC919" s="241"/>
      <c r="AD919" s="241"/>
      <c r="AE919" s="241"/>
      <c r="AF919" s="241"/>
      <c r="AG919" s="241"/>
      <c r="AH919" s="241"/>
      <c r="AI919" s="241"/>
      <c r="AJ919" s="241"/>
      <c r="AK919" s="241"/>
      <c r="AL919" s="241"/>
      <c r="AM919" s="241"/>
      <c r="AN919" s="241"/>
      <c r="AO919" s="241"/>
      <c r="AP919" s="241"/>
      <c r="AQ919" s="241"/>
      <c r="AR919" s="241"/>
      <c r="AS919" s="241"/>
      <c r="AT919" s="241"/>
      <c r="AU919" s="241"/>
      <c r="AV919" s="241"/>
      <c r="AW919" s="241"/>
      <c r="AX919" s="241"/>
      <c r="AY919" s="241"/>
      <c r="AZ919" s="241"/>
      <c r="BA919" s="241"/>
      <c r="BB919" s="241"/>
      <c r="BC919" s="241"/>
      <c r="BD919" s="241"/>
      <c r="BE919" s="241"/>
      <c r="BF919" s="241"/>
      <c r="BG919" s="241"/>
      <c r="BH919" s="241"/>
      <c r="BI919" s="241"/>
      <c r="BJ919" s="241"/>
      <c r="BK919" s="241"/>
      <c r="BL919" s="241"/>
      <c r="BM919" s="241"/>
    </row>
    <row r="920" spans="1:65" ht="13.5" customHeight="1" x14ac:dyDescent="0.3">
      <c r="A920" s="241"/>
      <c r="B920" s="241"/>
      <c r="C920" s="241"/>
      <c r="D920" s="241"/>
      <c r="E920" s="241"/>
      <c r="F920" s="241"/>
      <c r="G920" s="241"/>
      <c r="H920" s="241"/>
      <c r="I920" s="241"/>
      <c r="J920" s="241"/>
      <c r="K920" s="241"/>
      <c r="L920" s="241"/>
      <c r="M920" s="241"/>
      <c r="N920" s="241"/>
      <c r="O920" s="241"/>
      <c r="P920" s="241"/>
      <c r="Q920" s="241"/>
      <c r="R920" s="241"/>
      <c r="S920" s="241"/>
      <c r="T920" s="241"/>
      <c r="U920" s="241"/>
      <c r="V920" s="241"/>
      <c r="W920" s="241"/>
      <c r="X920" s="241"/>
      <c r="Y920" s="241"/>
      <c r="Z920" s="241"/>
      <c r="AA920" s="241"/>
      <c r="AB920" s="241"/>
      <c r="AC920" s="241"/>
      <c r="AD920" s="241"/>
      <c r="AE920" s="241"/>
      <c r="AF920" s="241"/>
      <c r="AG920" s="241"/>
      <c r="AH920" s="241"/>
      <c r="AI920" s="241"/>
      <c r="AJ920" s="241"/>
      <c r="AK920" s="241"/>
      <c r="AL920" s="241"/>
      <c r="AM920" s="241"/>
      <c r="AN920" s="241"/>
      <c r="AO920" s="241"/>
      <c r="AP920" s="241"/>
      <c r="AQ920" s="241"/>
      <c r="AR920" s="241"/>
      <c r="AS920" s="241"/>
      <c r="AT920" s="241"/>
      <c r="AU920" s="241"/>
      <c r="AV920" s="241"/>
      <c r="AW920" s="241"/>
      <c r="AX920" s="241"/>
      <c r="AY920" s="241"/>
      <c r="AZ920" s="241"/>
      <c r="BA920" s="241"/>
      <c r="BB920" s="241"/>
      <c r="BC920" s="241"/>
      <c r="BD920" s="241"/>
      <c r="BE920" s="241"/>
      <c r="BF920" s="241"/>
      <c r="BG920" s="241"/>
      <c r="BH920" s="241"/>
      <c r="BI920" s="241"/>
      <c r="BJ920" s="241"/>
      <c r="BK920" s="241"/>
      <c r="BL920" s="241"/>
      <c r="BM920" s="241"/>
    </row>
    <row r="921" spans="1:65" ht="13.5" customHeight="1" x14ac:dyDescent="0.3">
      <c r="A921" s="241"/>
      <c r="B921" s="241"/>
      <c r="C921" s="241"/>
      <c r="D921" s="241"/>
      <c r="E921" s="241"/>
      <c r="F921" s="241"/>
      <c r="G921" s="241"/>
      <c r="H921" s="241"/>
      <c r="I921" s="241"/>
      <c r="J921" s="241"/>
      <c r="K921" s="241"/>
      <c r="L921" s="241"/>
      <c r="M921" s="241"/>
      <c r="N921" s="241"/>
      <c r="O921" s="241"/>
      <c r="P921" s="241"/>
      <c r="Q921" s="241"/>
      <c r="R921" s="241"/>
      <c r="S921" s="241"/>
      <c r="T921" s="241"/>
      <c r="U921" s="241"/>
      <c r="V921" s="241"/>
      <c r="W921" s="241"/>
      <c r="X921" s="241"/>
      <c r="Y921" s="241"/>
      <c r="Z921" s="241"/>
      <c r="AA921" s="241"/>
      <c r="AB921" s="241"/>
      <c r="AC921" s="241"/>
      <c r="AD921" s="241"/>
      <c r="AE921" s="241"/>
      <c r="AF921" s="241"/>
      <c r="AG921" s="241"/>
      <c r="AH921" s="241"/>
      <c r="AI921" s="241"/>
      <c r="AJ921" s="241"/>
      <c r="AK921" s="241"/>
      <c r="AL921" s="241"/>
      <c r="AM921" s="241"/>
      <c r="AN921" s="241"/>
      <c r="AO921" s="241"/>
      <c r="AP921" s="241"/>
      <c r="AQ921" s="241"/>
      <c r="AR921" s="241"/>
      <c r="AS921" s="241"/>
      <c r="AT921" s="241"/>
      <c r="AU921" s="241"/>
      <c r="AV921" s="241"/>
      <c r="AW921" s="241"/>
      <c r="AX921" s="241"/>
      <c r="AY921" s="241"/>
      <c r="AZ921" s="241"/>
      <c r="BA921" s="241"/>
      <c r="BB921" s="241"/>
      <c r="BC921" s="241"/>
      <c r="BD921" s="241"/>
      <c r="BE921" s="241"/>
      <c r="BF921" s="241"/>
      <c r="BG921" s="241"/>
      <c r="BH921" s="241"/>
      <c r="BI921" s="241"/>
      <c r="BJ921" s="241"/>
      <c r="BK921" s="241"/>
      <c r="BL921" s="241"/>
      <c r="BM921" s="241"/>
    </row>
    <row r="922" spans="1:65" ht="13.5" customHeight="1" x14ac:dyDescent="0.3">
      <c r="A922" s="241"/>
      <c r="B922" s="241"/>
      <c r="C922" s="241"/>
      <c r="D922" s="241"/>
      <c r="E922" s="241"/>
      <c r="F922" s="241"/>
      <c r="G922" s="241"/>
      <c r="H922" s="241"/>
      <c r="I922" s="241"/>
      <c r="J922" s="241"/>
      <c r="K922" s="241"/>
      <c r="L922" s="241"/>
      <c r="M922" s="241"/>
      <c r="N922" s="241"/>
      <c r="O922" s="241"/>
      <c r="P922" s="241"/>
      <c r="Q922" s="241"/>
      <c r="R922" s="241"/>
      <c r="S922" s="241"/>
      <c r="T922" s="241"/>
      <c r="U922" s="241"/>
      <c r="V922" s="241"/>
      <c r="W922" s="241"/>
      <c r="X922" s="241"/>
      <c r="Y922" s="241"/>
      <c r="Z922" s="241"/>
      <c r="AA922" s="241"/>
      <c r="AB922" s="241"/>
      <c r="AC922" s="241"/>
      <c r="AD922" s="241"/>
      <c r="AE922" s="241"/>
      <c r="AF922" s="241"/>
      <c r="AG922" s="241"/>
      <c r="AH922" s="241"/>
      <c r="AI922" s="241"/>
      <c r="AJ922" s="241"/>
      <c r="AK922" s="241"/>
      <c r="AL922" s="241"/>
      <c r="AM922" s="241"/>
      <c r="AN922" s="241"/>
      <c r="AO922" s="241"/>
      <c r="AP922" s="241"/>
      <c r="AQ922" s="241"/>
      <c r="AR922" s="241"/>
      <c r="AS922" s="241"/>
      <c r="AT922" s="241"/>
      <c r="AU922" s="241"/>
      <c r="AV922" s="241"/>
      <c r="AW922" s="241"/>
      <c r="AX922" s="241"/>
      <c r="AY922" s="241"/>
      <c r="AZ922" s="241"/>
      <c r="BA922" s="241"/>
      <c r="BB922" s="241"/>
      <c r="BC922" s="241"/>
      <c r="BD922" s="241"/>
      <c r="BE922" s="241"/>
      <c r="BF922" s="241"/>
      <c r="BG922" s="241"/>
      <c r="BH922" s="241"/>
      <c r="BI922" s="241"/>
      <c r="BJ922" s="241"/>
      <c r="BK922" s="241"/>
      <c r="BL922" s="241"/>
      <c r="BM922" s="241"/>
    </row>
    <row r="923" spans="1:65" ht="13.5" customHeight="1" x14ac:dyDescent="0.3">
      <c r="A923" s="241"/>
      <c r="B923" s="241"/>
      <c r="C923" s="241"/>
      <c r="D923" s="241"/>
      <c r="E923" s="241"/>
      <c r="F923" s="241"/>
      <c r="G923" s="241"/>
      <c r="H923" s="241"/>
      <c r="I923" s="241"/>
      <c r="J923" s="241"/>
      <c r="K923" s="241"/>
      <c r="L923" s="241"/>
      <c r="M923" s="241"/>
      <c r="N923" s="241"/>
      <c r="O923" s="241"/>
      <c r="P923" s="241"/>
      <c r="Q923" s="241"/>
      <c r="R923" s="241"/>
      <c r="S923" s="241"/>
      <c r="T923" s="241"/>
      <c r="U923" s="241"/>
      <c r="V923" s="241"/>
      <c r="W923" s="241"/>
      <c r="X923" s="241"/>
      <c r="Y923" s="241"/>
      <c r="Z923" s="241"/>
      <c r="AA923" s="241"/>
      <c r="AB923" s="241"/>
      <c r="AC923" s="241"/>
      <c r="AD923" s="241"/>
      <c r="AE923" s="241"/>
      <c r="AF923" s="241"/>
      <c r="AG923" s="241"/>
      <c r="AH923" s="241"/>
      <c r="AI923" s="241"/>
      <c r="AJ923" s="241"/>
      <c r="AK923" s="241"/>
      <c r="AL923" s="241"/>
      <c r="AM923" s="241"/>
      <c r="AN923" s="241"/>
      <c r="AO923" s="241"/>
      <c r="AP923" s="241"/>
      <c r="AQ923" s="241"/>
      <c r="AR923" s="241"/>
      <c r="AS923" s="241"/>
      <c r="AT923" s="241"/>
      <c r="AU923" s="241"/>
      <c r="AV923" s="241"/>
      <c r="AW923" s="241"/>
      <c r="AX923" s="241"/>
      <c r="AY923" s="241"/>
      <c r="AZ923" s="241"/>
      <c r="BA923" s="241"/>
      <c r="BB923" s="241"/>
      <c r="BC923" s="241"/>
      <c r="BD923" s="241"/>
      <c r="BE923" s="241"/>
      <c r="BF923" s="241"/>
      <c r="BG923" s="241"/>
      <c r="BH923" s="241"/>
      <c r="BI923" s="241"/>
      <c r="BJ923" s="241"/>
      <c r="BK923" s="241"/>
      <c r="BL923" s="241"/>
      <c r="BM923" s="241"/>
    </row>
    <row r="924" spans="1:65" ht="13.5" customHeight="1" x14ac:dyDescent="0.3">
      <c r="A924" s="241"/>
      <c r="B924" s="241"/>
      <c r="C924" s="241"/>
      <c r="D924" s="241"/>
      <c r="E924" s="241"/>
      <c r="F924" s="241"/>
      <c r="G924" s="241"/>
      <c r="H924" s="241"/>
      <c r="I924" s="241"/>
      <c r="J924" s="241"/>
      <c r="K924" s="241"/>
      <c r="L924" s="241"/>
      <c r="M924" s="241"/>
      <c r="N924" s="241"/>
      <c r="O924" s="241"/>
      <c r="P924" s="241"/>
      <c r="Q924" s="241"/>
      <c r="R924" s="241"/>
      <c r="S924" s="241"/>
      <c r="T924" s="241"/>
      <c r="U924" s="241"/>
      <c r="V924" s="241"/>
      <c r="W924" s="241"/>
      <c r="X924" s="241"/>
      <c r="Y924" s="241"/>
      <c r="Z924" s="241"/>
      <c r="AA924" s="241"/>
      <c r="AB924" s="241"/>
      <c r="AC924" s="241"/>
      <c r="AD924" s="241"/>
      <c r="AE924" s="241"/>
      <c r="AF924" s="241"/>
      <c r="AG924" s="241"/>
      <c r="AH924" s="241"/>
      <c r="AI924" s="241"/>
      <c r="AJ924" s="241"/>
      <c r="AK924" s="241"/>
      <c r="AL924" s="241"/>
      <c r="AM924" s="241"/>
      <c r="AN924" s="241"/>
      <c r="AO924" s="241"/>
      <c r="AP924" s="241"/>
      <c r="AQ924" s="241"/>
      <c r="AR924" s="241"/>
      <c r="AS924" s="241"/>
      <c r="AT924" s="241"/>
      <c r="AU924" s="241"/>
      <c r="AV924" s="241"/>
      <c r="AW924" s="241"/>
      <c r="AX924" s="241"/>
      <c r="AY924" s="241"/>
      <c r="AZ924" s="241"/>
      <c r="BA924" s="241"/>
      <c r="BB924" s="241"/>
      <c r="BC924" s="241"/>
      <c r="BD924" s="241"/>
      <c r="BE924" s="241"/>
      <c r="BF924" s="241"/>
      <c r="BG924" s="241"/>
      <c r="BH924" s="241"/>
      <c r="BI924" s="241"/>
      <c r="BJ924" s="241"/>
      <c r="BK924" s="241"/>
      <c r="BL924" s="241"/>
      <c r="BM924" s="241"/>
    </row>
    <row r="925" spans="1:65" ht="13.5" customHeight="1" x14ac:dyDescent="0.3">
      <c r="A925" s="241"/>
      <c r="B925" s="241"/>
      <c r="C925" s="241"/>
      <c r="D925" s="241"/>
      <c r="E925" s="241"/>
      <c r="F925" s="241"/>
      <c r="G925" s="241"/>
      <c r="H925" s="241"/>
      <c r="I925" s="241"/>
      <c r="J925" s="241"/>
      <c r="K925" s="241"/>
      <c r="L925" s="241"/>
      <c r="M925" s="241"/>
      <c r="N925" s="241"/>
      <c r="O925" s="241"/>
      <c r="P925" s="241"/>
      <c r="Q925" s="241"/>
      <c r="R925" s="241"/>
      <c r="S925" s="241"/>
      <c r="T925" s="241"/>
      <c r="U925" s="241"/>
      <c r="V925" s="241"/>
      <c r="W925" s="241"/>
      <c r="X925" s="241"/>
      <c r="Y925" s="241"/>
      <c r="Z925" s="241"/>
      <c r="AA925" s="241"/>
      <c r="AB925" s="241"/>
      <c r="AC925" s="241"/>
      <c r="AD925" s="241"/>
      <c r="AE925" s="241"/>
      <c r="AF925" s="241"/>
      <c r="AG925" s="241"/>
      <c r="AH925" s="241"/>
      <c r="AI925" s="241"/>
      <c r="AJ925" s="241"/>
      <c r="AK925" s="241"/>
      <c r="AL925" s="241"/>
      <c r="AM925" s="241"/>
      <c r="AN925" s="241"/>
      <c r="AO925" s="241"/>
      <c r="AP925" s="241"/>
      <c r="AQ925" s="241"/>
      <c r="AR925" s="241"/>
      <c r="AS925" s="241"/>
      <c r="AT925" s="241"/>
      <c r="AU925" s="241"/>
      <c r="AV925" s="241"/>
      <c r="AW925" s="241"/>
      <c r="AX925" s="241"/>
      <c r="AY925" s="241"/>
      <c r="AZ925" s="241"/>
      <c r="BA925" s="241"/>
      <c r="BB925" s="241"/>
      <c r="BC925" s="241"/>
      <c r="BD925" s="241"/>
      <c r="BE925" s="241"/>
      <c r="BF925" s="241"/>
      <c r="BG925" s="241"/>
      <c r="BH925" s="241"/>
      <c r="BI925" s="241"/>
      <c r="BJ925" s="241"/>
      <c r="BK925" s="241"/>
      <c r="BL925" s="241"/>
      <c r="BM925" s="241"/>
    </row>
    <row r="926" spans="1:65" ht="13.5" customHeight="1" x14ac:dyDescent="0.3">
      <c r="A926" s="241"/>
      <c r="B926" s="241"/>
      <c r="C926" s="241"/>
      <c r="D926" s="241"/>
      <c r="E926" s="241"/>
      <c r="F926" s="241"/>
      <c r="G926" s="241"/>
      <c r="H926" s="241"/>
      <c r="I926" s="241"/>
      <c r="J926" s="241"/>
      <c r="K926" s="241"/>
      <c r="L926" s="241"/>
      <c r="M926" s="241"/>
      <c r="N926" s="241"/>
      <c r="O926" s="241"/>
      <c r="P926" s="241"/>
      <c r="Q926" s="241"/>
      <c r="R926" s="241"/>
      <c r="S926" s="241"/>
      <c r="T926" s="241"/>
      <c r="U926" s="241"/>
      <c r="V926" s="241"/>
      <c r="W926" s="241"/>
      <c r="X926" s="241"/>
      <c r="Y926" s="241"/>
      <c r="Z926" s="241"/>
      <c r="AA926" s="241"/>
      <c r="AB926" s="241"/>
      <c r="AC926" s="241"/>
      <c r="AD926" s="241"/>
      <c r="AE926" s="241"/>
      <c r="AF926" s="241"/>
      <c r="AG926" s="241"/>
      <c r="AH926" s="241"/>
      <c r="AI926" s="241"/>
      <c r="AJ926" s="241"/>
      <c r="AK926" s="241"/>
      <c r="AL926" s="241"/>
      <c r="AM926" s="241"/>
      <c r="AN926" s="241"/>
      <c r="AO926" s="241"/>
      <c r="AP926" s="241"/>
      <c r="AQ926" s="241"/>
      <c r="AR926" s="241"/>
      <c r="AS926" s="241"/>
      <c r="AT926" s="241"/>
      <c r="AU926" s="241"/>
      <c r="AV926" s="241"/>
      <c r="AW926" s="241"/>
      <c r="AX926" s="241"/>
      <c r="AY926" s="241"/>
      <c r="AZ926" s="241"/>
      <c r="BA926" s="241"/>
      <c r="BB926" s="241"/>
      <c r="BC926" s="241"/>
      <c r="BD926" s="241"/>
      <c r="BE926" s="241"/>
      <c r="BF926" s="241"/>
      <c r="BG926" s="241"/>
      <c r="BH926" s="241"/>
      <c r="BI926" s="241"/>
      <c r="BJ926" s="241"/>
      <c r="BK926" s="241"/>
      <c r="BL926" s="241"/>
      <c r="BM926" s="241"/>
    </row>
    <row r="927" spans="1:65" ht="13.5" customHeight="1" x14ac:dyDescent="0.3">
      <c r="A927" s="241"/>
      <c r="B927" s="241"/>
      <c r="C927" s="241"/>
      <c r="D927" s="241"/>
      <c r="E927" s="241"/>
      <c r="F927" s="241"/>
      <c r="G927" s="241"/>
      <c r="H927" s="241"/>
      <c r="I927" s="241"/>
      <c r="J927" s="241"/>
      <c r="K927" s="241"/>
      <c r="L927" s="241"/>
      <c r="M927" s="241"/>
      <c r="N927" s="241"/>
      <c r="O927" s="241"/>
      <c r="P927" s="241"/>
      <c r="Q927" s="241"/>
      <c r="R927" s="241"/>
      <c r="S927" s="241"/>
      <c r="T927" s="241"/>
      <c r="U927" s="241"/>
      <c r="V927" s="241"/>
      <c r="W927" s="241"/>
      <c r="X927" s="241"/>
      <c r="Y927" s="241"/>
      <c r="Z927" s="241"/>
      <c r="AA927" s="241"/>
      <c r="AB927" s="241"/>
      <c r="AC927" s="241"/>
      <c r="AD927" s="241"/>
      <c r="AE927" s="241"/>
      <c r="AF927" s="241"/>
      <c r="AG927" s="241"/>
      <c r="AH927" s="241"/>
      <c r="AI927" s="241"/>
      <c r="AJ927" s="241"/>
      <c r="AK927" s="241"/>
      <c r="AL927" s="241"/>
      <c r="AM927" s="241"/>
      <c r="AN927" s="241"/>
      <c r="AO927" s="241"/>
      <c r="AP927" s="241"/>
      <c r="AQ927" s="241"/>
      <c r="AR927" s="241"/>
      <c r="AS927" s="241"/>
      <c r="AT927" s="241"/>
      <c r="AU927" s="241"/>
      <c r="AV927" s="241"/>
      <c r="AW927" s="241"/>
      <c r="AX927" s="241"/>
      <c r="AY927" s="241"/>
      <c r="AZ927" s="241"/>
      <c r="BA927" s="241"/>
      <c r="BB927" s="241"/>
      <c r="BC927" s="241"/>
      <c r="BD927" s="241"/>
      <c r="BE927" s="241"/>
      <c r="BF927" s="241"/>
      <c r="BG927" s="241"/>
      <c r="BH927" s="241"/>
      <c r="BI927" s="241"/>
      <c r="BJ927" s="241"/>
      <c r="BK927" s="241"/>
      <c r="BL927" s="241"/>
      <c r="BM927" s="241"/>
    </row>
    <row r="928" spans="1:65" ht="13.5" customHeight="1" x14ac:dyDescent="0.3">
      <c r="A928" s="241"/>
      <c r="B928" s="241"/>
      <c r="C928" s="241"/>
      <c r="D928" s="241"/>
      <c r="E928" s="241"/>
      <c r="F928" s="241"/>
      <c r="G928" s="241"/>
      <c r="H928" s="241"/>
      <c r="I928" s="241"/>
      <c r="J928" s="241"/>
      <c r="K928" s="241"/>
      <c r="L928" s="241"/>
      <c r="M928" s="241"/>
      <c r="N928" s="241"/>
      <c r="O928" s="241"/>
      <c r="P928" s="241"/>
      <c r="Q928" s="241"/>
      <c r="R928" s="241"/>
      <c r="S928" s="241"/>
      <c r="T928" s="241"/>
      <c r="U928" s="241"/>
      <c r="V928" s="241"/>
      <c r="W928" s="241"/>
      <c r="X928" s="241"/>
      <c r="Y928" s="241"/>
      <c r="Z928" s="241"/>
      <c r="AA928" s="241"/>
      <c r="AB928" s="241"/>
      <c r="AC928" s="241"/>
      <c r="AD928" s="241"/>
      <c r="AE928" s="241"/>
      <c r="AF928" s="241"/>
      <c r="AG928" s="241"/>
      <c r="AH928" s="241"/>
      <c r="AI928" s="241"/>
      <c r="AJ928" s="241"/>
      <c r="AK928" s="241"/>
      <c r="AL928" s="241"/>
      <c r="AM928" s="241"/>
      <c r="AN928" s="241"/>
      <c r="AO928" s="241"/>
      <c r="AP928" s="241"/>
      <c r="AQ928" s="241"/>
      <c r="AR928" s="241"/>
      <c r="AS928" s="241"/>
      <c r="AT928" s="241"/>
      <c r="AU928" s="241"/>
      <c r="AV928" s="241"/>
      <c r="AW928" s="241"/>
      <c r="AX928" s="241"/>
      <c r="AY928" s="241"/>
      <c r="AZ928" s="241"/>
      <c r="BA928" s="241"/>
      <c r="BB928" s="241"/>
      <c r="BC928" s="241"/>
      <c r="BD928" s="241"/>
      <c r="BE928" s="241"/>
      <c r="BF928" s="241"/>
      <c r="BG928" s="241"/>
      <c r="BH928" s="241"/>
      <c r="BI928" s="241"/>
      <c r="BJ928" s="241"/>
      <c r="BK928" s="241"/>
      <c r="BL928" s="241"/>
      <c r="BM928" s="241"/>
    </row>
    <row r="929" spans="1:65" ht="13.5" customHeight="1" x14ac:dyDescent="0.3">
      <c r="A929" s="241"/>
      <c r="B929" s="241"/>
      <c r="C929" s="241"/>
      <c r="D929" s="241"/>
      <c r="E929" s="241"/>
      <c r="F929" s="241"/>
      <c r="G929" s="241"/>
      <c r="H929" s="241"/>
      <c r="I929" s="241"/>
      <c r="J929" s="241"/>
      <c r="K929" s="241"/>
      <c r="L929" s="241"/>
      <c r="M929" s="241"/>
      <c r="N929" s="241"/>
      <c r="O929" s="241"/>
      <c r="P929" s="241"/>
      <c r="Q929" s="241"/>
      <c r="R929" s="241"/>
      <c r="S929" s="241"/>
      <c r="T929" s="241"/>
      <c r="U929" s="241"/>
      <c r="V929" s="241"/>
      <c r="W929" s="241"/>
      <c r="X929" s="241"/>
      <c r="Y929" s="241"/>
      <c r="Z929" s="241"/>
      <c r="AA929" s="241"/>
      <c r="AB929" s="241"/>
      <c r="AC929" s="241"/>
      <c r="AD929" s="241"/>
      <c r="AE929" s="241"/>
      <c r="AF929" s="241"/>
      <c r="AG929" s="241"/>
      <c r="AH929" s="241"/>
      <c r="AI929" s="241"/>
      <c r="AJ929" s="241"/>
      <c r="AK929" s="241"/>
      <c r="AL929" s="241"/>
      <c r="AM929" s="241"/>
      <c r="AN929" s="241"/>
      <c r="AO929" s="241"/>
      <c r="AP929" s="241"/>
      <c r="AQ929" s="241"/>
      <c r="AR929" s="241"/>
      <c r="AS929" s="241"/>
      <c r="AT929" s="241"/>
      <c r="AU929" s="241"/>
      <c r="AV929" s="241"/>
      <c r="AW929" s="241"/>
      <c r="AX929" s="241"/>
      <c r="AY929" s="241"/>
      <c r="AZ929" s="241"/>
      <c r="BA929" s="241"/>
      <c r="BB929" s="241"/>
      <c r="BC929" s="241"/>
      <c r="BD929" s="241"/>
      <c r="BE929" s="241"/>
      <c r="BF929" s="241"/>
      <c r="BG929" s="241"/>
      <c r="BH929" s="241"/>
      <c r="BI929" s="241"/>
      <c r="BJ929" s="241"/>
      <c r="BK929" s="241"/>
      <c r="BL929" s="241"/>
      <c r="BM929" s="241"/>
    </row>
    <row r="930" spans="1:65" ht="13.5" customHeight="1" x14ac:dyDescent="0.3">
      <c r="A930" s="241"/>
      <c r="B930" s="241"/>
      <c r="C930" s="241"/>
      <c r="D930" s="241"/>
      <c r="E930" s="241"/>
      <c r="F930" s="241"/>
      <c r="G930" s="241"/>
      <c r="H930" s="241"/>
      <c r="I930" s="241"/>
      <c r="J930" s="241"/>
      <c r="K930" s="241"/>
      <c r="L930" s="241"/>
      <c r="M930" s="241"/>
      <c r="N930" s="241"/>
      <c r="O930" s="241"/>
      <c r="P930" s="241"/>
      <c r="Q930" s="241"/>
      <c r="R930" s="241"/>
      <c r="S930" s="241"/>
      <c r="T930" s="241"/>
      <c r="U930" s="241"/>
      <c r="V930" s="241"/>
      <c r="W930" s="241"/>
      <c r="X930" s="241"/>
      <c r="Y930" s="241"/>
      <c r="Z930" s="241"/>
      <c r="AA930" s="241"/>
      <c r="AB930" s="241"/>
      <c r="AC930" s="241"/>
      <c r="AD930" s="241"/>
      <c r="AE930" s="241"/>
      <c r="AF930" s="241"/>
      <c r="AG930" s="241"/>
      <c r="AH930" s="241"/>
      <c r="AI930" s="241"/>
      <c r="AJ930" s="241"/>
      <c r="AK930" s="241"/>
      <c r="AL930" s="241"/>
      <c r="AM930" s="241"/>
      <c r="AN930" s="241"/>
      <c r="AO930" s="241"/>
      <c r="AP930" s="241"/>
      <c r="AQ930" s="241"/>
      <c r="AR930" s="241"/>
      <c r="AS930" s="241"/>
      <c r="AT930" s="241"/>
      <c r="AU930" s="241"/>
      <c r="AV930" s="241"/>
      <c r="AW930" s="241"/>
      <c r="AX930" s="241"/>
      <c r="AY930" s="241"/>
      <c r="AZ930" s="241"/>
      <c r="BA930" s="241"/>
      <c r="BB930" s="241"/>
      <c r="BC930" s="241"/>
      <c r="BD930" s="241"/>
      <c r="BE930" s="241"/>
      <c r="BF930" s="241"/>
      <c r="BG930" s="241"/>
      <c r="BH930" s="241"/>
      <c r="BI930" s="241"/>
      <c r="BJ930" s="241"/>
      <c r="BK930" s="241"/>
      <c r="BL930" s="241"/>
      <c r="BM930" s="241"/>
    </row>
    <row r="931" spans="1:65" ht="13.5" customHeight="1" x14ac:dyDescent="0.3">
      <c r="A931" s="241"/>
      <c r="B931" s="241"/>
      <c r="C931" s="241"/>
      <c r="D931" s="241"/>
      <c r="E931" s="241"/>
      <c r="F931" s="241"/>
      <c r="G931" s="241"/>
      <c r="H931" s="241"/>
      <c r="I931" s="241"/>
      <c r="J931" s="241"/>
      <c r="K931" s="241"/>
      <c r="L931" s="241"/>
      <c r="M931" s="241"/>
      <c r="N931" s="241"/>
      <c r="O931" s="241"/>
      <c r="P931" s="241"/>
      <c r="Q931" s="241"/>
      <c r="R931" s="241"/>
      <c r="S931" s="241"/>
      <c r="T931" s="241"/>
      <c r="U931" s="241"/>
      <c r="V931" s="241"/>
      <c r="W931" s="241"/>
      <c r="X931" s="241"/>
      <c r="Y931" s="241"/>
      <c r="Z931" s="241"/>
      <c r="AA931" s="241"/>
      <c r="AB931" s="241"/>
      <c r="AC931" s="241"/>
      <c r="AD931" s="241"/>
      <c r="AE931" s="241"/>
      <c r="AF931" s="241"/>
      <c r="AG931" s="241"/>
      <c r="AH931" s="241"/>
      <c r="AI931" s="241"/>
      <c r="AJ931" s="241"/>
      <c r="AK931" s="241"/>
      <c r="AL931" s="241"/>
      <c r="AM931" s="241"/>
      <c r="AN931" s="241"/>
      <c r="AO931" s="241"/>
      <c r="AP931" s="241"/>
      <c r="AQ931" s="241"/>
      <c r="AR931" s="241"/>
      <c r="AS931" s="241"/>
      <c r="AT931" s="241"/>
      <c r="AU931" s="241"/>
      <c r="AV931" s="241"/>
      <c r="AW931" s="241"/>
      <c r="AX931" s="241"/>
      <c r="AY931" s="241"/>
      <c r="AZ931" s="241"/>
      <c r="BA931" s="241"/>
      <c r="BB931" s="241"/>
      <c r="BC931" s="241"/>
      <c r="BD931" s="241"/>
      <c r="BE931" s="241"/>
      <c r="BF931" s="241"/>
      <c r="BG931" s="241"/>
      <c r="BH931" s="241"/>
      <c r="BI931" s="241"/>
      <c r="BJ931" s="241"/>
      <c r="BK931" s="241"/>
      <c r="BL931" s="241"/>
      <c r="BM931" s="241"/>
    </row>
    <row r="932" spans="1:65" ht="13.5" customHeight="1" x14ac:dyDescent="0.3">
      <c r="A932" s="241"/>
      <c r="B932" s="241"/>
      <c r="C932" s="241"/>
      <c r="D932" s="241"/>
      <c r="E932" s="241"/>
      <c r="F932" s="241"/>
      <c r="G932" s="241"/>
      <c r="H932" s="241"/>
      <c r="I932" s="241"/>
      <c r="J932" s="241"/>
      <c r="K932" s="241"/>
      <c r="L932" s="241"/>
      <c r="M932" s="241"/>
      <c r="N932" s="241"/>
      <c r="O932" s="241"/>
      <c r="P932" s="241"/>
      <c r="Q932" s="241"/>
      <c r="R932" s="241"/>
      <c r="S932" s="241"/>
      <c r="T932" s="241"/>
      <c r="U932" s="241"/>
      <c r="V932" s="241"/>
      <c r="W932" s="241"/>
      <c r="X932" s="241"/>
      <c r="Y932" s="241"/>
      <c r="Z932" s="241"/>
      <c r="AA932" s="241"/>
      <c r="AB932" s="241"/>
      <c r="AC932" s="241"/>
      <c r="AD932" s="241"/>
      <c r="AE932" s="241"/>
      <c r="AF932" s="241"/>
      <c r="AG932" s="241"/>
      <c r="AH932" s="241"/>
      <c r="AI932" s="241"/>
      <c r="AJ932" s="241"/>
      <c r="AK932" s="241"/>
      <c r="AL932" s="241"/>
      <c r="AM932" s="241"/>
      <c r="AN932" s="241"/>
      <c r="AO932" s="241"/>
      <c r="AP932" s="241"/>
      <c r="AQ932" s="241"/>
      <c r="AR932" s="241"/>
      <c r="AS932" s="241"/>
      <c r="AT932" s="241"/>
      <c r="AU932" s="241"/>
      <c r="AV932" s="241"/>
      <c r="AW932" s="241"/>
      <c r="AX932" s="241"/>
      <c r="AY932" s="241"/>
      <c r="AZ932" s="241"/>
      <c r="BA932" s="241"/>
      <c r="BB932" s="241"/>
      <c r="BC932" s="241"/>
      <c r="BD932" s="241"/>
      <c r="BE932" s="241"/>
      <c r="BF932" s="241"/>
      <c r="BG932" s="241"/>
      <c r="BH932" s="241"/>
      <c r="BI932" s="241"/>
      <c r="BJ932" s="241"/>
      <c r="BK932" s="241"/>
      <c r="BL932" s="241"/>
      <c r="BM932" s="241"/>
    </row>
    <row r="933" spans="1:65" ht="13.5" customHeight="1" x14ac:dyDescent="0.3">
      <c r="A933" s="241"/>
      <c r="B933" s="241"/>
      <c r="C933" s="241"/>
      <c r="D933" s="241"/>
      <c r="E933" s="241"/>
      <c r="F933" s="241"/>
      <c r="G933" s="241"/>
      <c r="H933" s="241"/>
      <c r="I933" s="241"/>
      <c r="J933" s="241"/>
      <c r="K933" s="241"/>
      <c r="L933" s="241"/>
      <c r="M933" s="241"/>
      <c r="N933" s="241"/>
      <c r="O933" s="241"/>
      <c r="P933" s="241"/>
      <c r="Q933" s="241"/>
      <c r="R933" s="241"/>
      <c r="S933" s="241"/>
      <c r="T933" s="241"/>
      <c r="U933" s="241"/>
      <c r="V933" s="241"/>
      <c r="W933" s="241"/>
      <c r="X933" s="241"/>
      <c r="Y933" s="241"/>
      <c r="Z933" s="241"/>
      <c r="AA933" s="241"/>
      <c r="AB933" s="241"/>
      <c r="AC933" s="241"/>
      <c r="AD933" s="241"/>
      <c r="AE933" s="241"/>
      <c r="AF933" s="241"/>
      <c r="AG933" s="241"/>
      <c r="AH933" s="241"/>
      <c r="AI933" s="241"/>
      <c r="AJ933" s="241"/>
      <c r="AK933" s="241"/>
      <c r="AL933" s="241"/>
      <c r="AM933" s="241"/>
      <c r="AN933" s="241"/>
      <c r="AO933" s="241"/>
      <c r="AP933" s="241"/>
      <c r="AQ933" s="241"/>
      <c r="AR933" s="241"/>
      <c r="AS933" s="241"/>
      <c r="AT933" s="241"/>
      <c r="AU933" s="241"/>
      <c r="AV933" s="241"/>
      <c r="AW933" s="241"/>
      <c r="AX933" s="241"/>
      <c r="AY933" s="241"/>
      <c r="AZ933" s="241"/>
      <c r="BA933" s="241"/>
      <c r="BB933" s="241"/>
      <c r="BC933" s="241"/>
      <c r="BD933" s="241"/>
      <c r="BE933" s="241"/>
      <c r="BF933" s="241"/>
      <c r="BG933" s="241"/>
      <c r="BH933" s="241"/>
      <c r="BI933" s="241"/>
      <c r="BJ933" s="241"/>
      <c r="BK933" s="241"/>
      <c r="BL933" s="241"/>
      <c r="BM933" s="241"/>
    </row>
    <row r="934" spans="1:65" ht="13.5" customHeight="1" x14ac:dyDescent="0.3">
      <c r="A934" s="241"/>
      <c r="B934" s="241"/>
      <c r="C934" s="241"/>
      <c r="D934" s="241"/>
      <c r="E934" s="241"/>
      <c r="F934" s="241"/>
      <c r="G934" s="241"/>
      <c r="H934" s="241"/>
      <c r="I934" s="241"/>
      <c r="J934" s="241"/>
      <c r="K934" s="241"/>
      <c r="L934" s="241"/>
      <c r="M934" s="241"/>
      <c r="N934" s="241"/>
      <c r="O934" s="241"/>
      <c r="P934" s="241"/>
      <c r="Q934" s="241"/>
      <c r="R934" s="241"/>
      <c r="S934" s="241"/>
      <c r="T934" s="241"/>
      <c r="U934" s="241"/>
      <c r="V934" s="241"/>
      <c r="W934" s="241"/>
      <c r="X934" s="241"/>
      <c r="Y934" s="241"/>
      <c r="Z934" s="241"/>
      <c r="AA934" s="241"/>
      <c r="AB934" s="241"/>
      <c r="AC934" s="241"/>
      <c r="AD934" s="241"/>
      <c r="AE934" s="241"/>
      <c r="AF934" s="241"/>
      <c r="AG934" s="241"/>
      <c r="AH934" s="241"/>
      <c r="AI934" s="241"/>
      <c r="AJ934" s="241"/>
      <c r="AK934" s="241"/>
      <c r="AL934" s="241"/>
      <c r="AM934" s="241"/>
      <c r="AN934" s="241"/>
      <c r="AO934" s="241"/>
      <c r="AP934" s="241"/>
      <c r="AQ934" s="241"/>
      <c r="AR934" s="241"/>
      <c r="AS934" s="241"/>
      <c r="AT934" s="241"/>
      <c r="AU934" s="241"/>
      <c r="AV934" s="241"/>
      <c r="AW934" s="241"/>
      <c r="AX934" s="241"/>
      <c r="AY934" s="241"/>
      <c r="AZ934" s="241"/>
      <c r="BA934" s="241"/>
      <c r="BB934" s="241"/>
      <c r="BC934" s="241"/>
      <c r="BD934" s="241"/>
      <c r="BE934" s="241"/>
      <c r="BF934" s="241"/>
      <c r="BG934" s="241"/>
      <c r="BH934" s="241"/>
      <c r="BI934" s="241"/>
      <c r="BJ934" s="241"/>
      <c r="BK934" s="241"/>
      <c r="BL934" s="241"/>
      <c r="BM934" s="241"/>
    </row>
    <row r="935" spans="1:65" ht="13.5" customHeight="1" x14ac:dyDescent="0.3">
      <c r="A935" s="241"/>
      <c r="B935" s="241"/>
      <c r="C935" s="241"/>
      <c r="D935" s="241"/>
      <c r="E935" s="241"/>
      <c r="F935" s="241"/>
      <c r="G935" s="241"/>
      <c r="H935" s="241"/>
      <c r="I935" s="241"/>
      <c r="J935" s="241"/>
      <c r="K935" s="241"/>
      <c r="L935" s="241"/>
      <c r="M935" s="241"/>
      <c r="N935" s="241"/>
      <c r="O935" s="241"/>
      <c r="P935" s="241"/>
      <c r="Q935" s="241"/>
      <c r="R935" s="241"/>
      <c r="S935" s="241"/>
      <c r="T935" s="241"/>
      <c r="U935" s="241"/>
      <c r="V935" s="241"/>
      <c r="W935" s="241"/>
      <c r="X935" s="241"/>
      <c r="Y935" s="241"/>
      <c r="Z935" s="241"/>
      <c r="AA935" s="241"/>
      <c r="AB935" s="241"/>
      <c r="AC935" s="241"/>
      <c r="AD935" s="241"/>
      <c r="AE935" s="241"/>
      <c r="AF935" s="241"/>
      <c r="AG935" s="241"/>
      <c r="AH935" s="241"/>
      <c r="AI935" s="241"/>
      <c r="AJ935" s="241"/>
      <c r="AK935" s="241"/>
      <c r="AL935" s="241"/>
      <c r="AM935" s="241"/>
      <c r="AN935" s="241"/>
      <c r="AO935" s="241"/>
      <c r="AP935" s="241"/>
      <c r="AQ935" s="241"/>
      <c r="AR935" s="241"/>
      <c r="AS935" s="241"/>
      <c r="AT935" s="241"/>
      <c r="AU935" s="241"/>
      <c r="AV935" s="241"/>
      <c r="AW935" s="241"/>
      <c r="AX935" s="241"/>
      <c r="AY935" s="241"/>
      <c r="AZ935" s="241"/>
      <c r="BA935" s="241"/>
      <c r="BB935" s="241"/>
      <c r="BC935" s="241"/>
      <c r="BD935" s="241"/>
      <c r="BE935" s="241"/>
      <c r="BF935" s="241"/>
      <c r="BG935" s="241"/>
      <c r="BH935" s="241"/>
      <c r="BI935" s="241"/>
      <c r="BJ935" s="241"/>
      <c r="BK935" s="241"/>
      <c r="BL935" s="241"/>
      <c r="BM935" s="241"/>
    </row>
    <row r="936" spans="1:65" ht="13.5" customHeight="1" x14ac:dyDescent="0.3">
      <c r="A936" s="241"/>
      <c r="B936" s="241"/>
      <c r="C936" s="241"/>
      <c r="D936" s="241"/>
      <c r="E936" s="241"/>
      <c r="F936" s="241"/>
      <c r="G936" s="241"/>
      <c r="H936" s="241"/>
      <c r="I936" s="241"/>
      <c r="J936" s="241"/>
      <c r="K936" s="241"/>
      <c r="L936" s="241"/>
      <c r="M936" s="241"/>
      <c r="N936" s="241"/>
      <c r="O936" s="241"/>
      <c r="P936" s="241"/>
      <c r="Q936" s="241"/>
      <c r="R936" s="241"/>
      <c r="S936" s="241"/>
      <c r="T936" s="241"/>
      <c r="U936" s="241"/>
      <c r="V936" s="241"/>
      <c r="W936" s="241"/>
      <c r="X936" s="241"/>
      <c r="Y936" s="241"/>
      <c r="Z936" s="241"/>
      <c r="AA936" s="241"/>
      <c r="AB936" s="241"/>
      <c r="AC936" s="241"/>
      <c r="AD936" s="241"/>
      <c r="AE936" s="241"/>
      <c r="AF936" s="241"/>
      <c r="AG936" s="241"/>
      <c r="AH936" s="241"/>
      <c r="AI936" s="241"/>
      <c r="AJ936" s="241"/>
      <c r="AK936" s="241"/>
      <c r="AL936" s="241"/>
      <c r="AM936" s="241"/>
      <c r="AN936" s="241"/>
      <c r="AO936" s="241"/>
      <c r="AP936" s="241"/>
      <c r="AQ936" s="241"/>
      <c r="AR936" s="241"/>
      <c r="AS936" s="241"/>
      <c r="AT936" s="241"/>
      <c r="AU936" s="241"/>
      <c r="AV936" s="241"/>
      <c r="AW936" s="241"/>
      <c r="AX936" s="241"/>
      <c r="AY936" s="241"/>
      <c r="AZ936" s="241"/>
      <c r="BA936" s="241"/>
      <c r="BB936" s="241"/>
      <c r="BC936" s="241"/>
      <c r="BD936" s="241"/>
      <c r="BE936" s="241"/>
      <c r="BF936" s="241"/>
      <c r="BG936" s="241"/>
      <c r="BH936" s="241"/>
      <c r="BI936" s="241"/>
      <c r="BJ936" s="241"/>
      <c r="BK936" s="241"/>
      <c r="BL936" s="241"/>
      <c r="BM936" s="241"/>
    </row>
    <row r="937" spans="1:65" ht="13.5" customHeight="1" x14ac:dyDescent="0.3">
      <c r="A937" s="241"/>
      <c r="B937" s="241"/>
      <c r="C937" s="241"/>
      <c r="D937" s="241"/>
      <c r="E937" s="241"/>
      <c r="F937" s="241"/>
      <c r="G937" s="241"/>
      <c r="H937" s="241"/>
      <c r="I937" s="241"/>
      <c r="J937" s="241"/>
      <c r="K937" s="241"/>
      <c r="L937" s="241"/>
      <c r="M937" s="241"/>
      <c r="N937" s="241"/>
      <c r="O937" s="241"/>
      <c r="P937" s="241"/>
      <c r="Q937" s="241"/>
      <c r="R937" s="241"/>
      <c r="S937" s="241"/>
      <c r="T937" s="241"/>
      <c r="U937" s="241"/>
      <c r="V937" s="241"/>
      <c r="W937" s="241"/>
      <c r="X937" s="241"/>
      <c r="Y937" s="241"/>
      <c r="Z937" s="241"/>
      <c r="AA937" s="241"/>
      <c r="AB937" s="241"/>
      <c r="AC937" s="241"/>
      <c r="AD937" s="241"/>
      <c r="AE937" s="241"/>
      <c r="AF937" s="241"/>
      <c r="AG937" s="241"/>
      <c r="AH937" s="241"/>
      <c r="AI937" s="241"/>
      <c r="AJ937" s="241"/>
      <c r="AK937" s="241"/>
      <c r="AL937" s="241"/>
      <c r="AM937" s="241"/>
      <c r="AN937" s="241"/>
      <c r="AO937" s="241"/>
      <c r="AP937" s="241"/>
      <c r="AQ937" s="241"/>
      <c r="AR937" s="241"/>
      <c r="AS937" s="241"/>
      <c r="AT937" s="241"/>
      <c r="AU937" s="241"/>
      <c r="AV937" s="241"/>
      <c r="AW937" s="241"/>
      <c r="AX937" s="241"/>
      <c r="AY937" s="241"/>
      <c r="AZ937" s="241"/>
      <c r="BA937" s="241"/>
      <c r="BB937" s="241"/>
      <c r="BC937" s="241"/>
      <c r="BD937" s="241"/>
      <c r="BE937" s="241"/>
      <c r="BF937" s="241"/>
      <c r="BG937" s="241"/>
      <c r="BH937" s="241"/>
      <c r="BI937" s="241"/>
      <c r="BJ937" s="241"/>
      <c r="BK937" s="241"/>
      <c r="BL937" s="241"/>
      <c r="BM937" s="241"/>
    </row>
    <row r="938" spans="1:65" ht="13.5" customHeight="1" x14ac:dyDescent="0.3">
      <c r="A938" s="241"/>
      <c r="B938" s="241"/>
      <c r="C938" s="241"/>
      <c r="D938" s="241"/>
      <c r="E938" s="241"/>
      <c r="F938" s="241"/>
      <c r="G938" s="241"/>
      <c r="H938" s="241"/>
      <c r="I938" s="241"/>
      <c r="J938" s="241"/>
      <c r="K938" s="241"/>
      <c r="L938" s="241"/>
      <c r="M938" s="241"/>
      <c r="N938" s="241"/>
      <c r="O938" s="241"/>
      <c r="P938" s="241"/>
      <c r="Q938" s="241"/>
      <c r="R938" s="241"/>
      <c r="S938" s="241"/>
      <c r="T938" s="241"/>
      <c r="U938" s="241"/>
      <c r="V938" s="241"/>
      <c r="W938" s="241"/>
      <c r="X938" s="241"/>
      <c r="Y938" s="241"/>
      <c r="Z938" s="241"/>
      <c r="AA938" s="241"/>
      <c r="AB938" s="241"/>
      <c r="AC938" s="241"/>
      <c r="AD938" s="241"/>
      <c r="AE938" s="241"/>
      <c r="AF938" s="241"/>
      <c r="AG938" s="241"/>
      <c r="AH938" s="241"/>
      <c r="AI938" s="241"/>
      <c r="AJ938" s="241"/>
      <c r="AK938" s="241"/>
      <c r="AL938" s="241"/>
      <c r="AM938" s="241"/>
      <c r="AN938" s="241"/>
      <c r="AO938" s="241"/>
      <c r="AP938" s="241"/>
      <c r="AQ938" s="241"/>
      <c r="AR938" s="241"/>
      <c r="AS938" s="241"/>
      <c r="AT938" s="241"/>
      <c r="AU938" s="241"/>
      <c r="AV938" s="241"/>
      <c r="AW938" s="241"/>
      <c r="AX938" s="241"/>
      <c r="AY938" s="241"/>
      <c r="AZ938" s="241"/>
      <c r="BA938" s="241"/>
      <c r="BB938" s="241"/>
      <c r="BC938" s="241"/>
      <c r="BD938" s="241"/>
      <c r="BE938" s="241"/>
      <c r="BF938" s="241"/>
      <c r="BG938" s="241"/>
      <c r="BH938" s="241"/>
      <c r="BI938" s="241"/>
      <c r="BJ938" s="241"/>
      <c r="BK938" s="241"/>
      <c r="BL938" s="241"/>
      <c r="BM938" s="241"/>
    </row>
    <row r="939" spans="1:65" ht="13.5" customHeight="1" x14ac:dyDescent="0.3">
      <c r="A939" s="241"/>
      <c r="B939" s="241"/>
      <c r="C939" s="241"/>
      <c r="D939" s="241"/>
      <c r="E939" s="241"/>
      <c r="F939" s="241"/>
      <c r="G939" s="241"/>
      <c r="H939" s="241"/>
      <c r="I939" s="241"/>
      <c r="J939" s="241"/>
      <c r="K939" s="241"/>
      <c r="L939" s="241"/>
      <c r="M939" s="241"/>
      <c r="N939" s="241"/>
      <c r="O939" s="241"/>
      <c r="P939" s="241"/>
      <c r="Q939" s="241"/>
      <c r="R939" s="241"/>
      <c r="S939" s="241"/>
      <c r="T939" s="241"/>
      <c r="U939" s="241"/>
      <c r="V939" s="241"/>
      <c r="W939" s="241"/>
      <c r="X939" s="241"/>
      <c r="Y939" s="241"/>
      <c r="Z939" s="241"/>
      <c r="AA939" s="241"/>
      <c r="AB939" s="241"/>
      <c r="AC939" s="241"/>
      <c r="AD939" s="241"/>
      <c r="AE939" s="241"/>
      <c r="AF939" s="241"/>
      <c r="AG939" s="241"/>
      <c r="AH939" s="241"/>
      <c r="AI939" s="241"/>
      <c r="AJ939" s="241"/>
      <c r="AK939" s="241"/>
      <c r="AL939" s="241"/>
      <c r="AM939" s="241"/>
      <c r="AN939" s="241"/>
      <c r="AO939" s="241"/>
      <c r="AP939" s="241"/>
      <c r="AQ939" s="241"/>
      <c r="AR939" s="241"/>
      <c r="AS939" s="241"/>
      <c r="AT939" s="241"/>
      <c r="AU939" s="241"/>
      <c r="AV939" s="241"/>
      <c r="AW939" s="241"/>
      <c r="AX939" s="241"/>
      <c r="AY939" s="241"/>
      <c r="AZ939" s="241"/>
      <c r="BA939" s="241"/>
      <c r="BB939" s="241"/>
      <c r="BC939" s="241"/>
      <c r="BD939" s="241"/>
      <c r="BE939" s="241"/>
      <c r="BF939" s="241"/>
      <c r="BG939" s="241"/>
      <c r="BH939" s="241"/>
      <c r="BI939" s="241"/>
      <c r="BJ939" s="241"/>
      <c r="BK939" s="241"/>
      <c r="BL939" s="241"/>
      <c r="BM939" s="241"/>
    </row>
    <row r="940" spans="1:65" ht="13.5" customHeight="1" x14ac:dyDescent="0.3">
      <c r="A940" s="241"/>
      <c r="B940" s="241"/>
      <c r="C940" s="241"/>
      <c r="D940" s="241"/>
      <c r="E940" s="241"/>
      <c r="F940" s="241"/>
      <c r="G940" s="241"/>
      <c r="H940" s="241"/>
      <c r="I940" s="241"/>
      <c r="J940" s="241"/>
      <c r="K940" s="241"/>
      <c r="L940" s="241"/>
      <c r="M940" s="241"/>
      <c r="N940" s="241"/>
      <c r="O940" s="241"/>
      <c r="P940" s="241"/>
      <c r="Q940" s="241"/>
      <c r="R940" s="241"/>
      <c r="S940" s="241"/>
      <c r="T940" s="241"/>
      <c r="U940" s="241"/>
      <c r="V940" s="241"/>
      <c r="W940" s="241"/>
      <c r="X940" s="241"/>
      <c r="Y940" s="241"/>
      <c r="Z940" s="241"/>
      <c r="AA940" s="241"/>
      <c r="AB940" s="241"/>
      <c r="AC940" s="241"/>
      <c r="AD940" s="241"/>
      <c r="AE940" s="241"/>
      <c r="AF940" s="241"/>
      <c r="AG940" s="241"/>
      <c r="AH940" s="241"/>
      <c r="AI940" s="241"/>
      <c r="AJ940" s="241"/>
      <c r="AK940" s="241"/>
      <c r="AL940" s="241"/>
      <c r="AM940" s="241"/>
      <c r="AN940" s="241"/>
      <c r="AO940" s="241"/>
      <c r="AP940" s="241"/>
      <c r="AQ940" s="241"/>
      <c r="AR940" s="241"/>
      <c r="AS940" s="241"/>
      <c r="AT940" s="241"/>
      <c r="AU940" s="241"/>
      <c r="AV940" s="241"/>
      <c r="AW940" s="241"/>
      <c r="AX940" s="241"/>
      <c r="AY940" s="241"/>
      <c r="AZ940" s="241"/>
      <c r="BA940" s="241"/>
      <c r="BB940" s="241"/>
      <c r="BC940" s="241"/>
      <c r="BD940" s="241"/>
      <c r="BE940" s="241"/>
      <c r="BF940" s="241"/>
      <c r="BG940" s="241"/>
      <c r="BH940" s="241"/>
      <c r="BI940" s="241"/>
      <c r="BJ940" s="241"/>
      <c r="BK940" s="241"/>
      <c r="BL940" s="241"/>
      <c r="BM940" s="241"/>
    </row>
    <row r="941" spans="1:65" ht="13.5" customHeight="1" x14ac:dyDescent="0.3">
      <c r="A941" s="241"/>
      <c r="B941" s="241"/>
      <c r="C941" s="241"/>
      <c r="D941" s="241"/>
      <c r="E941" s="241"/>
      <c r="F941" s="241"/>
      <c r="G941" s="241"/>
      <c r="H941" s="241"/>
      <c r="I941" s="241"/>
      <c r="J941" s="241"/>
      <c r="K941" s="241"/>
      <c r="L941" s="241"/>
      <c r="M941" s="241"/>
      <c r="N941" s="241"/>
      <c r="O941" s="241"/>
      <c r="P941" s="241"/>
      <c r="Q941" s="241"/>
      <c r="R941" s="241"/>
      <c r="S941" s="241"/>
      <c r="T941" s="241"/>
      <c r="U941" s="241"/>
      <c r="V941" s="241"/>
      <c r="W941" s="241"/>
      <c r="X941" s="241"/>
      <c r="Y941" s="241"/>
      <c r="Z941" s="241"/>
      <c r="AA941" s="241"/>
      <c r="AB941" s="241"/>
      <c r="AC941" s="241"/>
      <c r="AD941" s="241"/>
      <c r="AE941" s="241"/>
      <c r="AF941" s="241"/>
      <c r="AG941" s="241"/>
      <c r="AH941" s="241"/>
      <c r="AI941" s="241"/>
      <c r="AJ941" s="241"/>
      <c r="AK941" s="241"/>
      <c r="AL941" s="241"/>
      <c r="AM941" s="241"/>
      <c r="AN941" s="241"/>
      <c r="AO941" s="241"/>
      <c r="AP941" s="241"/>
      <c r="AQ941" s="241"/>
      <c r="AR941" s="241"/>
      <c r="AS941" s="241"/>
      <c r="AT941" s="241"/>
      <c r="AU941" s="241"/>
      <c r="AV941" s="241"/>
      <c r="AW941" s="241"/>
      <c r="AX941" s="241"/>
      <c r="AY941" s="241"/>
      <c r="AZ941" s="241"/>
      <c r="BA941" s="241"/>
      <c r="BB941" s="241"/>
      <c r="BC941" s="241"/>
      <c r="BD941" s="241"/>
      <c r="BE941" s="241"/>
      <c r="BF941" s="241"/>
      <c r="BG941" s="241"/>
      <c r="BH941" s="241"/>
      <c r="BI941" s="241"/>
      <c r="BJ941" s="241"/>
      <c r="BK941" s="241"/>
      <c r="BL941" s="241"/>
      <c r="BM941" s="241"/>
    </row>
    <row r="942" spans="1:65" ht="13.5" customHeight="1" x14ac:dyDescent="0.3">
      <c r="A942" s="241"/>
      <c r="B942" s="241"/>
      <c r="C942" s="241"/>
      <c r="D942" s="241"/>
      <c r="E942" s="241"/>
      <c r="F942" s="241"/>
      <c r="G942" s="241"/>
      <c r="H942" s="241"/>
      <c r="I942" s="241"/>
      <c r="J942" s="241"/>
      <c r="K942" s="241"/>
      <c r="L942" s="241"/>
      <c r="M942" s="241"/>
      <c r="N942" s="241"/>
      <c r="O942" s="241"/>
      <c r="P942" s="241"/>
      <c r="Q942" s="241"/>
      <c r="R942" s="241"/>
      <c r="S942" s="241"/>
      <c r="T942" s="241"/>
      <c r="U942" s="241"/>
      <c r="V942" s="241"/>
      <c r="W942" s="241"/>
      <c r="X942" s="241"/>
      <c r="Y942" s="241"/>
      <c r="Z942" s="241"/>
      <c r="AA942" s="241"/>
      <c r="AB942" s="241"/>
      <c r="AC942" s="241"/>
      <c r="AD942" s="241"/>
      <c r="AE942" s="241"/>
      <c r="AF942" s="241"/>
      <c r="AG942" s="241"/>
      <c r="AH942" s="241"/>
      <c r="AI942" s="241"/>
      <c r="AJ942" s="241"/>
      <c r="AK942" s="241"/>
      <c r="AL942" s="241"/>
      <c r="AM942" s="241"/>
      <c r="AN942" s="241"/>
      <c r="AO942" s="241"/>
      <c r="AP942" s="241"/>
      <c r="AQ942" s="241"/>
      <c r="AR942" s="241"/>
      <c r="AS942" s="241"/>
      <c r="AT942" s="241"/>
      <c r="AU942" s="241"/>
      <c r="AV942" s="241"/>
      <c r="AW942" s="241"/>
      <c r="AX942" s="241"/>
      <c r="AY942" s="241"/>
      <c r="AZ942" s="241"/>
      <c r="BA942" s="241"/>
      <c r="BB942" s="241"/>
      <c r="BC942" s="241"/>
      <c r="BD942" s="241"/>
      <c r="BE942" s="241"/>
      <c r="BF942" s="241"/>
      <c r="BG942" s="241"/>
      <c r="BH942" s="241"/>
      <c r="BI942" s="241"/>
      <c r="BJ942" s="241"/>
      <c r="BK942" s="241"/>
      <c r="BL942" s="241"/>
      <c r="BM942" s="241"/>
    </row>
    <row r="943" spans="1:65" ht="13.5" customHeight="1" x14ac:dyDescent="0.3">
      <c r="A943" s="241"/>
      <c r="B943" s="241"/>
      <c r="C943" s="241"/>
      <c r="D943" s="241"/>
      <c r="E943" s="241"/>
      <c r="F943" s="241"/>
      <c r="G943" s="241"/>
      <c r="H943" s="241"/>
      <c r="I943" s="241"/>
      <c r="J943" s="241"/>
      <c r="K943" s="241"/>
      <c r="L943" s="241"/>
      <c r="M943" s="241"/>
      <c r="N943" s="241"/>
      <c r="O943" s="241"/>
      <c r="P943" s="241"/>
      <c r="Q943" s="241"/>
      <c r="R943" s="241"/>
      <c r="S943" s="241"/>
      <c r="T943" s="241"/>
      <c r="U943" s="241"/>
      <c r="V943" s="241"/>
      <c r="W943" s="241"/>
      <c r="X943" s="241"/>
      <c r="Y943" s="241"/>
      <c r="Z943" s="241"/>
      <c r="AA943" s="241"/>
      <c r="AB943" s="241"/>
      <c r="AC943" s="241"/>
      <c r="AD943" s="241"/>
      <c r="AE943" s="241"/>
      <c r="AF943" s="241"/>
      <c r="AG943" s="241"/>
      <c r="AH943" s="241"/>
      <c r="AI943" s="241"/>
      <c r="AJ943" s="241"/>
      <c r="AK943" s="241"/>
      <c r="AL943" s="241"/>
      <c r="AM943" s="241"/>
      <c r="AN943" s="241"/>
      <c r="AO943" s="241"/>
      <c r="AP943" s="241"/>
      <c r="AQ943" s="241"/>
      <c r="AR943" s="241"/>
      <c r="AS943" s="241"/>
      <c r="AT943" s="241"/>
      <c r="AU943" s="241"/>
      <c r="AV943" s="241"/>
      <c r="AW943" s="241"/>
      <c r="AX943" s="241"/>
      <c r="AY943" s="241"/>
      <c r="AZ943" s="241"/>
      <c r="BA943" s="241"/>
      <c r="BB943" s="241"/>
      <c r="BC943" s="241"/>
      <c r="BD943" s="241"/>
      <c r="BE943" s="241"/>
      <c r="BF943" s="241"/>
      <c r="BG943" s="241"/>
      <c r="BH943" s="241"/>
      <c r="BI943" s="241"/>
      <c r="BJ943" s="241"/>
      <c r="BK943" s="241"/>
      <c r="BL943" s="241"/>
      <c r="BM943" s="241"/>
    </row>
    <row r="944" spans="1:65" ht="13.5" customHeight="1" x14ac:dyDescent="0.3">
      <c r="A944" s="241"/>
      <c r="B944" s="241"/>
      <c r="C944" s="241"/>
      <c r="D944" s="241"/>
      <c r="E944" s="241"/>
      <c r="F944" s="241"/>
      <c r="G944" s="241"/>
      <c r="H944" s="241"/>
      <c r="I944" s="241"/>
      <c r="J944" s="241"/>
      <c r="K944" s="241"/>
      <c r="L944" s="241"/>
      <c r="M944" s="241"/>
      <c r="N944" s="241"/>
      <c r="O944" s="241"/>
      <c r="P944" s="241"/>
      <c r="Q944" s="241"/>
      <c r="R944" s="241"/>
      <c r="S944" s="241"/>
      <c r="T944" s="241"/>
      <c r="U944" s="241"/>
      <c r="V944" s="241"/>
      <c r="W944" s="241"/>
      <c r="X944" s="241"/>
      <c r="Y944" s="241"/>
      <c r="Z944" s="241"/>
      <c r="AA944" s="241"/>
      <c r="AB944" s="241"/>
      <c r="AC944" s="241"/>
      <c r="AD944" s="241"/>
      <c r="AE944" s="241"/>
      <c r="AF944" s="241"/>
      <c r="AG944" s="241"/>
      <c r="AH944" s="241"/>
      <c r="AI944" s="241"/>
      <c r="AJ944" s="241"/>
      <c r="AK944" s="241"/>
      <c r="AL944" s="241"/>
      <c r="AM944" s="241"/>
      <c r="AN944" s="241"/>
      <c r="AO944" s="241"/>
      <c r="AP944" s="241"/>
      <c r="AQ944" s="241"/>
      <c r="AR944" s="241"/>
      <c r="AS944" s="241"/>
      <c r="AT944" s="241"/>
      <c r="AU944" s="241"/>
      <c r="AV944" s="241"/>
      <c r="AW944" s="241"/>
      <c r="AX944" s="241"/>
      <c r="AY944" s="241"/>
      <c r="AZ944" s="241"/>
      <c r="BA944" s="241"/>
      <c r="BB944" s="241"/>
      <c r="BC944" s="241"/>
      <c r="BD944" s="241"/>
      <c r="BE944" s="241"/>
      <c r="BF944" s="241"/>
      <c r="BG944" s="241"/>
      <c r="BH944" s="241"/>
      <c r="BI944" s="241"/>
      <c r="BJ944" s="241"/>
      <c r="BK944" s="241"/>
      <c r="BL944" s="241"/>
      <c r="BM944" s="241"/>
    </row>
    <row r="945" spans="1:65" ht="13.5" customHeight="1" x14ac:dyDescent="0.3">
      <c r="A945" s="241"/>
      <c r="B945" s="241"/>
      <c r="C945" s="241"/>
      <c r="D945" s="241"/>
      <c r="E945" s="241"/>
      <c r="F945" s="241"/>
      <c r="G945" s="241"/>
      <c r="H945" s="241"/>
      <c r="I945" s="241"/>
      <c r="J945" s="241"/>
      <c r="K945" s="241"/>
      <c r="L945" s="241"/>
      <c r="M945" s="241"/>
      <c r="N945" s="241"/>
      <c r="O945" s="241"/>
      <c r="P945" s="241"/>
      <c r="Q945" s="241"/>
      <c r="R945" s="241"/>
      <c r="S945" s="241"/>
      <c r="T945" s="241"/>
      <c r="U945" s="241"/>
      <c r="V945" s="241"/>
      <c r="W945" s="241"/>
      <c r="X945" s="241"/>
      <c r="Y945" s="241"/>
      <c r="Z945" s="241"/>
      <c r="AA945" s="241"/>
      <c r="AB945" s="241"/>
      <c r="AC945" s="241"/>
      <c r="AD945" s="241"/>
      <c r="AE945" s="241"/>
      <c r="AF945" s="241"/>
      <c r="AG945" s="241"/>
      <c r="AH945" s="241"/>
      <c r="AI945" s="241"/>
      <c r="AJ945" s="241"/>
      <c r="AK945" s="241"/>
      <c r="AL945" s="241"/>
      <c r="AM945" s="241"/>
      <c r="AN945" s="241"/>
      <c r="AO945" s="241"/>
      <c r="AP945" s="241"/>
      <c r="AQ945" s="241"/>
      <c r="AR945" s="241"/>
      <c r="AS945" s="241"/>
      <c r="AT945" s="241"/>
      <c r="AU945" s="241"/>
      <c r="AV945" s="241"/>
      <c r="AW945" s="241"/>
      <c r="AX945" s="241"/>
      <c r="AY945" s="241"/>
      <c r="AZ945" s="241"/>
      <c r="BA945" s="241"/>
      <c r="BB945" s="241"/>
      <c r="BC945" s="241"/>
      <c r="BD945" s="241"/>
      <c r="BE945" s="241"/>
      <c r="BF945" s="241"/>
      <c r="BG945" s="241"/>
      <c r="BH945" s="241"/>
      <c r="BI945" s="241"/>
      <c r="BJ945" s="241"/>
      <c r="BK945" s="241"/>
      <c r="BL945" s="241"/>
      <c r="BM945" s="241"/>
    </row>
    <row r="946" spans="1:65" ht="13.5" customHeight="1" x14ac:dyDescent="0.3">
      <c r="A946" s="241"/>
      <c r="B946" s="241"/>
      <c r="C946" s="241"/>
      <c r="D946" s="241"/>
      <c r="E946" s="241"/>
      <c r="F946" s="241"/>
      <c r="G946" s="241"/>
      <c r="H946" s="241"/>
      <c r="I946" s="241"/>
      <c r="J946" s="241"/>
      <c r="K946" s="241"/>
      <c r="L946" s="241"/>
      <c r="M946" s="241"/>
      <c r="N946" s="241"/>
      <c r="O946" s="241"/>
      <c r="P946" s="241"/>
      <c r="Q946" s="241"/>
      <c r="R946" s="241"/>
      <c r="S946" s="241"/>
      <c r="T946" s="241"/>
      <c r="U946" s="241"/>
      <c r="V946" s="241"/>
      <c r="W946" s="241"/>
      <c r="X946" s="241"/>
      <c r="Y946" s="241"/>
      <c r="Z946" s="241"/>
      <c r="AA946" s="241"/>
      <c r="AB946" s="241"/>
      <c r="AC946" s="241"/>
      <c r="AD946" s="241"/>
      <c r="AE946" s="241"/>
      <c r="AF946" s="241"/>
      <c r="AG946" s="241"/>
      <c r="AH946" s="241"/>
      <c r="AI946" s="241"/>
      <c r="AJ946" s="241"/>
      <c r="AK946" s="241"/>
      <c r="AL946" s="241"/>
      <c r="AM946" s="241"/>
      <c r="AN946" s="241"/>
      <c r="AO946" s="241"/>
      <c r="AP946" s="241"/>
      <c r="AQ946" s="241"/>
      <c r="AR946" s="241"/>
      <c r="AS946" s="241"/>
      <c r="AT946" s="241"/>
      <c r="AU946" s="241"/>
      <c r="AV946" s="241"/>
      <c r="AW946" s="241"/>
      <c r="AX946" s="241"/>
      <c r="AY946" s="241"/>
      <c r="AZ946" s="241"/>
      <c r="BA946" s="241"/>
      <c r="BB946" s="241"/>
      <c r="BC946" s="241"/>
      <c r="BD946" s="241"/>
      <c r="BE946" s="241"/>
      <c r="BF946" s="241"/>
      <c r="BG946" s="241"/>
      <c r="BH946" s="241"/>
      <c r="BI946" s="241"/>
      <c r="BJ946" s="241"/>
      <c r="BK946" s="241"/>
      <c r="BL946" s="241"/>
      <c r="BM946" s="241"/>
    </row>
    <row r="947" spans="1:65" ht="13.5" customHeight="1" x14ac:dyDescent="0.3">
      <c r="A947" s="241"/>
      <c r="B947" s="241"/>
      <c r="C947" s="241"/>
      <c r="D947" s="241"/>
      <c r="E947" s="241"/>
      <c r="F947" s="241"/>
      <c r="G947" s="241"/>
      <c r="H947" s="241"/>
      <c r="I947" s="241"/>
      <c r="J947" s="241"/>
      <c r="K947" s="241"/>
      <c r="L947" s="241"/>
      <c r="M947" s="241"/>
      <c r="N947" s="241"/>
      <c r="O947" s="241"/>
      <c r="P947" s="241"/>
      <c r="Q947" s="241"/>
      <c r="R947" s="241"/>
      <c r="S947" s="241"/>
      <c r="T947" s="241"/>
      <c r="U947" s="241"/>
      <c r="V947" s="241"/>
      <c r="W947" s="241"/>
      <c r="X947" s="241"/>
      <c r="Y947" s="241"/>
      <c r="Z947" s="241"/>
      <c r="AA947" s="241"/>
      <c r="AB947" s="241"/>
      <c r="AC947" s="241"/>
      <c r="AD947" s="241"/>
      <c r="AE947" s="241"/>
      <c r="AF947" s="241"/>
      <c r="AG947" s="241"/>
      <c r="AH947" s="241"/>
      <c r="AI947" s="241"/>
      <c r="AJ947" s="241"/>
      <c r="AK947" s="241"/>
      <c r="AL947" s="241"/>
      <c r="AM947" s="241"/>
      <c r="AN947" s="241"/>
      <c r="AO947" s="241"/>
      <c r="AP947" s="241"/>
      <c r="AQ947" s="241"/>
      <c r="AR947" s="241"/>
      <c r="AS947" s="241"/>
      <c r="AT947" s="241"/>
      <c r="AU947" s="241"/>
      <c r="AV947" s="241"/>
      <c r="AW947" s="241"/>
      <c r="AX947" s="241"/>
      <c r="AY947" s="241"/>
      <c r="AZ947" s="241"/>
      <c r="BA947" s="241"/>
      <c r="BB947" s="241"/>
      <c r="BC947" s="241"/>
      <c r="BD947" s="241"/>
      <c r="BE947" s="241"/>
      <c r="BF947" s="241"/>
      <c r="BG947" s="241"/>
      <c r="BH947" s="241"/>
      <c r="BI947" s="241"/>
      <c r="BJ947" s="241"/>
      <c r="BK947" s="241"/>
      <c r="BL947" s="241"/>
      <c r="BM947" s="241"/>
    </row>
    <row r="948" spans="1:65" ht="13.5" customHeight="1" x14ac:dyDescent="0.3">
      <c r="A948" s="241"/>
      <c r="B948" s="241"/>
      <c r="C948" s="241"/>
      <c r="D948" s="241"/>
      <c r="E948" s="241"/>
      <c r="F948" s="241"/>
      <c r="G948" s="241"/>
      <c r="H948" s="241"/>
      <c r="I948" s="241"/>
      <c r="J948" s="241"/>
      <c r="K948" s="241"/>
      <c r="L948" s="241"/>
      <c r="M948" s="241"/>
      <c r="N948" s="241"/>
      <c r="O948" s="241"/>
      <c r="P948" s="241"/>
      <c r="Q948" s="241"/>
      <c r="R948" s="241"/>
      <c r="S948" s="241"/>
      <c r="T948" s="241"/>
      <c r="U948" s="241"/>
      <c r="V948" s="241"/>
      <c r="W948" s="241"/>
      <c r="X948" s="241"/>
      <c r="Y948" s="241"/>
      <c r="Z948" s="241"/>
      <c r="AA948" s="241"/>
      <c r="AB948" s="241"/>
      <c r="AC948" s="241"/>
      <c r="AD948" s="241"/>
      <c r="AE948" s="241"/>
      <c r="AF948" s="241"/>
      <c r="AG948" s="241"/>
      <c r="AH948" s="241"/>
      <c r="AI948" s="241"/>
      <c r="AJ948" s="241"/>
      <c r="AK948" s="241"/>
      <c r="AL948" s="241"/>
      <c r="AM948" s="241"/>
      <c r="AN948" s="241"/>
      <c r="AO948" s="241"/>
      <c r="AP948" s="241"/>
      <c r="AQ948" s="241"/>
      <c r="AR948" s="241"/>
      <c r="AS948" s="241"/>
      <c r="AT948" s="241"/>
      <c r="AU948" s="241"/>
      <c r="AV948" s="241"/>
      <c r="AW948" s="241"/>
      <c r="AX948" s="241"/>
      <c r="AY948" s="241"/>
      <c r="AZ948" s="241"/>
      <c r="BA948" s="241"/>
      <c r="BB948" s="241"/>
      <c r="BC948" s="241"/>
      <c r="BD948" s="241"/>
      <c r="BE948" s="241"/>
      <c r="BF948" s="241"/>
      <c r="BG948" s="241"/>
      <c r="BH948" s="241"/>
      <c r="BI948" s="241"/>
      <c r="BJ948" s="241"/>
      <c r="BK948" s="241"/>
      <c r="BL948" s="241"/>
      <c r="BM948" s="241"/>
    </row>
    <row r="949" spans="1:65" ht="13.5" customHeight="1" x14ac:dyDescent="0.3">
      <c r="A949" s="241"/>
      <c r="B949" s="241"/>
      <c r="C949" s="241"/>
      <c r="D949" s="241"/>
      <c r="E949" s="241"/>
      <c r="F949" s="241"/>
      <c r="G949" s="241"/>
      <c r="H949" s="241"/>
      <c r="I949" s="241"/>
      <c r="J949" s="241"/>
      <c r="K949" s="241"/>
      <c r="L949" s="241"/>
      <c r="M949" s="241"/>
      <c r="N949" s="241"/>
      <c r="O949" s="241"/>
      <c r="P949" s="241"/>
      <c r="Q949" s="241"/>
      <c r="R949" s="241"/>
      <c r="S949" s="241"/>
      <c r="T949" s="241"/>
      <c r="U949" s="241"/>
      <c r="V949" s="241"/>
      <c r="W949" s="241"/>
      <c r="X949" s="241"/>
      <c r="Y949" s="241"/>
      <c r="Z949" s="241"/>
      <c r="AA949" s="241"/>
      <c r="AB949" s="241"/>
      <c r="AC949" s="241"/>
      <c r="AD949" s="241"/>
      <c r="AE949" s="241"/>
      <c r="AF949" s="241"/>
      <c r="AG949" s="241"/>
      <c r="AH949" s="241"/>
      <c r="AI949" s="241"/>
      <c r="AJ949" s="241"/>
      <c r="AK949" s="241"/>
      <c r="AL949" s="241"/>
      <c r="AM949" s="241"/>
      <c r="AN949" s="241"/>
      <c r="AO949" s="241"/>
      <c r="AP949" s="241"/>
      <c r="AQ949" s="241"/>
      <c r="AR949" s="241"/>
      <c r="AS949" s="241"/>
      <c r="AT949" s="241"/>
      <c r="AU949" s="241"/>
      <c r="AV949" s="241"/>
      <c r="AW949" s="241"/>
      <c r="AX949" s="241"/>
      <c r="AY949" s="241"/>
      <c r="AZ949" s="241"/>
      <c r="BA949" s="241"/>
      <c r="BB949" s="241"/>
      <c r="BC949" s="241"/>
      <c r="BD949" s="241"/>
      <c r="BE949" s="241"/>
      <c r="BF949" s="241"/>
      <c r="BG949" s="241"/>
      <c r="BH949" s="241"/>
      <c r="BI949" s="241"/>
      <c r="BJ949" s="241"/>
      <c r="BK949" s="241"/>
      <c r="BL949" s="241"/>
      <c r="BM949" s="241"/>
    </row>
    <row r="950" spans="1:65" ht="13.5" customHeight="1" x14ac:dyDescent="0.3">
      <c r="A950" s="241"/>
      <c r="B950" s="241"/>
      <c r="C950" s="241"/>
      <c r="D950" s="241"/>
      <c r="E950" s="241"/>
      <c r="F950" s="241"/>
      <c r="G950" s="241"/>
      <c r="H950" s="241"/>
      <c r="I950" s="241"/>
      <c r="J950" s="241"/>
      <c r="K950" s="241"/>
      <c r="L950" s="241"/>
      <c r="M950" s="241"/>
      <c r="N950" s="241"/>
      <c r="O950" s="241"/>
      <c r="P950" s="241"/>
      <c r="Q950" s="241"/>
      <c r="R950" s="241"/>
      <c r="S950" s="241"/>
      <c r="T950" s="241"/>
      <c r="U950" s="241"/>
      <c r="V950" s="241"/>
      <c r="W950" s="241"/>
      <c r="X950" s="241"/>
      <c r="Y950" s="241"/>
      <c r="Z950" s="241"/>
      <c r="AA950" s="241"/>
      <c r="AB950" s="241"/>
      <c r="AC950" s="241"/>
      <c r="AD950" s="241"/>
      <c r="AE950" s="241"/>
      <c r="AF950" s="241"/>
      <c r="AG950" s="241"/>
      <c r="AH950" s="241"/>
      <c r="AI950" s="241"/>
      <c r="AJ950" s="241"/>
      <c r="AK950" s="241"/>
      <c r="AL950" s="241"/>
      <c r="AM950" s="241"/>
      <c r="AN950" s="241"/>
      <c r="AO950" s="241"/>
      <c r="AP950" s="241"/>
      <c r="AQ950" s="241"/>
      <c r="AR950" s="241"/>
      <c r="AS950" s="241"/>
      <c r="AT950" s="241"/>
      <c r="AU950" s="241"/>
      <c r="AV950" s="241"/>
      <c r="AW950" s="241"/>
      <c r="AX950" s="241"/>
      <c r="AY950" s="241"/>
      <c r="AZ950" s="241"/>
      <c r="BA950" s="241"/>
      <c r="BB950" s="241"/>
      <c r="BC950" s="241"/>
      <c r="BD950" s="241"/>
      <c r="BE950" s="241"/>
      <c r="BF950" s="241"/>
      <c r="BG950" s="241"/>
      <c r="BH950" s="241"/>
      <c r="BI950" s="241"/>
      <c r="BJ950" s="241"/>
      <c r="BK950" s="241"/>
      <c r="BL950" s="241"/>
      <c r="BM950" s="241"/>
    </row>
    <row r="951" spans="1:65" ht="13.5" customHeight="1" x14ac:dyDescent="0.3">
      <c r="A951" s="241"/>
      <c r="B951" s="241"/>
      <c r="C951" s="241"/>
      <c r="D951" s="241"/>
      <c r="E951" s="241"/>
      <c r="F951" s="241"/>
      <c r="G951" s="241"/>
      <c r="H951" s="241"/>
      <c r="I951" s="241"/>
      <c r="J951" s="241"/>
      <c r="K951" s="241"/>
      <c r="L951" s="241"/>
      <c r="M951" s="241"/>
      <c r="N951" s="241"/>
      <c r="O951" s="241"/>
      <c r="P951" s="241"/>
      <c r="Q951" s="241"/>
      <c r="R951" s="241"/>
      <c r="S951" s="241"/>
      <c r="T951" s="241"/>
      <c r="U951" s="241"/>
      <c r="V951" s="241"/>
      <c r="W951" s="241"/>
      <c r="X951" s="241"/>
      <c r="Y951" s="241"/>
      <c r="Z951" s="241"/>
      <c r="AA951" s="241"/>
      <c r="AB951" s="241"/>
      <c r="AC951" s="241"/>
      <c r="AD951" s="241"/>
      <c r="AE951" s="241"/>
      <c r="AF951" s="241"/>
      <c r="AG951" s="241"/>
      <c r="AH951" s="241"/>
      <c r="AI951" s="241"/>
      <c r="AJ951" s="241"/>
      <c r="AK951" s="241"/>
      <c r="AL951" s="241"/>
      <c r="AM951" s="241"/>
      <c r="AN951" s="241"/>
      <c r="AO951" s="241"/>
      <c r="AP951" s="241"/>
      <c r="AQ951" s="241"/>
      <c r="AR951" s="241"/>
      <c r="AS951" s="241"/>
      <c r="AT951" s="241"/>
      <c r="AU951" s="241"/>
      <c r="AV951" s="241"/>
      <c r="AW951" s="241"/>
      <c r="AX951" s="241"/>
      <c r="AY951" s="241"/>
      <c r="AZ951" s="241"/>
      <c r="BA951" s="241"/>
      <c r="BB951" s="241"/>
      <c r="BC951" s="241"/>
      <c r="BD951" s="241"/>
      <c r="BE951" s="241"/>
      <c r="BF951" s="241"/>
      <c r="BG951" s="241"/>
      <c r="BH951" s="241"/>
      <c r="BI951" s="241"/>
      <c r="BJ951" s="241"/>
      <c r="BK951" s="241"/>
      <c r="BL951" s="241"/>
      <c r="BM951" s="241"/>
    </row>
    <row r="952" spans="1:65" ht="13.5" customHeight="1" x14ac:dyDescent="0.3">
      <c r="A952" s="241"/>
      <c r="B952" s="241"/>
      <c r="C952" s="241"/>
      <c r="D952" s="241"/>
      <c r="E952" s="241"/>
      <c r="F952" s="241"/>
      <c r="G952" s="241"/>
      <c r="H952" s="241"/>
      <c r="I952" s="241"/>
      <c r="J952" s="241"/>
      <c r="K952" s="241"/>
      <c r="L952" s="241"/>
      <c r="M952" s="241"/>
      <c r="N952" s="241"/>
      <c r="O952" s="241"/>
      <c r="P952" s="241"/>
      <c r="Q952" s="241"/>
      <c r="R952" s="241"/>
      <c r="S952" s="241"/>
      <c r="T952" s="241"/>
      <c r="U952" s="241"/>
      <c r="V952" s="241"/>
      <c r="W952" s="241"/>
      <c r="X952" s="241"/>
      <c r="Y952" s="241"/>
      <c r="Z952" s="241"/>
      <c r="AA952" s="241"/>
      <c r="AB952" s="241"/>
      <c r="AC952" s="241"/>
      <c r="AD952" s="241"/>
      <c r="AE952" s="241"/>
      <c r="AF952" s="241"/>
      <c r="AG952" s="241"/>
      <c r="AH952" s="241"/>
      <c r="AI952" s="241"/>
      <c r="AJ952" s="241"/>
      <c r="AK952" s="241"/>
      <c r="AL952" s="241"/>
      <c r="AM952" s="241"/>
      <c r="AN952" s="241"/>
      <c r="AO952" s="241"/>
      <c r="AP952" s="241"/>
      <c r="AQ952" s="241"/>
      <c r="AR952" s="241"/>
      <c r="AS952" s="241"/>
      <c r="AT952" s="241"/>
      <c r="AU952" s="241"/>
      <c r="AV952" s="241"/>
      <c r="AW952" s="241"/>
      <c r="AX952" s="241"/>
      <c r="AY952" s="241"/>
      <c r="AZ952" s="241"/>
      <c r="BA952" s="241"/>
      <c r="BB952" s="241"/>
      <c r="BC952" s="241"/>
      <c r="BD952" s="241"/>
      <c r="BE952" s="241"/>
      <c r="BF952" s="241"/>
      <c r="BG952" s="241"/>
      <c r="BH952" s="241"/>
      <c r="BI952" s="241"/>
      <c r="BJ952" s="241"/>
      <c r="BK952" s="241"/>
      <c r="BL952" s="241"/>
      <c r="BM952" s="241"/>
    </row>
    <row r="953" spans="1:65" ht="13.5" customHeight="1" x14ac:dyDescent="0.3">
      <c r="A953" s="241"/>
      <c r="B953" s="241"/>
      <c r="C953" s="241"/>
      <c r="D953" s="241"/>
      <c r="E953" s="241"/>
      <c r="F953" s="241"/>
      <c r="G953" s="241"/>
      <c r="H953" s="241"/>
      <c r="I953" s="241"/>
      <c r="J953" s="241"/>
      <c r="K953" s="241"/>
      <c r="L953" s="241"/>
      <c r="M953" s="241"/>
      <c r="N953" s="241"/>
      <c r="O953" s="241"/>
      <c r="P953" s="241"/>
      <c r="Q953" s="241"/>
      <c r="R953" s="241"/>
      <c r="S953" s="241"/>
      <c r="T953" s="241"/>
      <c r="U953" s="241"/>
      <c r="V953" s="241"/>
      <c r="W953" s="241"/>
      <c r="X953" s="241"/>
      <c r="Y953" s="241"/>
      <c r="Z953" s="241"/>
      <c r="AA953" s="241"/>
      <c r="AB953" s="241"/>
      <c r="AC953" s="241"/>
      <c r="AD953" s="241"/>
      <c r="AE953" s="241"/>
      <c r="AF953" s="241"/>
      <c r="AG953" s="241"/>
      <c r="AH953" s="241"/>
      <c r="AI953" s="241"/>
      <c r="AJ953" s="241"/>
      <c r="AK953" s="241"/>
      <c r="AL953" s="241"/>
      <c r="AM953" s="241"/>
      <c r="AN953" s="241"/>
      <c r="AO953" s="241"/>
      <c r="AP953" s="241"/>
      <c r="AQ953" s="241"/>
      <c r="AR953" s="241"/>
      <c r="AS953" s="241"/>
      <c r="AT953" s="241"/>
      <c r="AU953" s="241"/>
      <c r="AV953" s="241"/>
      <c r="AW953" s="241"/>
      <c r="AX953" s="241"/>
      <c r="AY953" s="241"/>
      <c r="AZ953" s="241"/>
      <c r="BA953" s="241"/>
      <c r="BB953" s="241"/>
      <c r="BC953" s="241"/>
      <c r="BD953" s="241"/>
      <c r="BE953" s="241"/>
      <c r="BF953" s="241"/>
      <c r="BG953" s="241"/>
      <c r="BH953" s="241"/>
      <c r="BI953" s="241"/>
      <c r="BJ953" s="241"/>
      <c r="BK953" s="241"/>
      <c r="BL953" s="241"/>
      <c r="BM953" s="241"/>
    </row>
    <row r="954" spans="1:65" ht="13.5" customHeight="1" x14ac:dyDescent="0.3">
      <c r="A954" s="241"/>
      <c r="B954" s="241"/>
      <c r="C954" s="241"/>
      <c r="D954" s="241"/>
      <c r="E954" s="241"/>
      <c r="F954" s="241"/>
      <c r="G954" s="241"/>
      <c r="H954" s="241"/>
      <c r="I954" s="241"/>
      <c r="J954" s="241"/>
      <c r="K954" s="241"/>
      <c r="L954" s="241"/>
      <c r="M954" s="241"/>
      <c r="N954" s="241"/>
      <c r="O954" s="241"/>
      <c r="P954" s="241"/>
      <c r="Q954" s="241"/>
      <c r="R954" s="241"/>
      <c r="S954" s="241"/>
      <c r="T954" s="241"/>
      <c r="U954" s="241"/>
      <c r="V954" s="241"/>
      <c r="W954" s="241"/>
      <c r="X954" s="241"/>
      <c r="Y954" s="241"/>
      <c r="Z954" s="241"/>
      <c r="AA954" s="241"/>
      <c r="AB954" s="241"/>
      <c r="AC954" s="241"/>
      <c r="AD954" s="241"/>
      <c r="AE954" s="241"/>
      <c r="AF954" s="241"/>
      <c r="AG954" s="241"/>
      <c r="AH954" s="241"/>
      <c r="AI954" s="241"/>
      <c r="AJ954" s="241"/>
      <c r="AK954" s="241"/>
      <c r="AL954" s="241"/>
      <c r="AM954" s="241"/>
      <c r="AN954" s="241"/>
      <c r="AO954" s="241"/>
      <c r="AP954" s="241"/>
      <c r="AQ954" s="241"/>
      <c r="AR954" s="241"/>
      <c r="AS954" s="241"/>
      <c r="AT954" s="241"/>
      <c r="AU954" s="241"/>
      <c r="AV954" s="241"/>
      <c r="AW954" s="241"/>
      <c r="AX954" s="241"/>
      <c r="AY954" s="241"/>
      <c r="AZ954" s="241"/>
      <c r="BA954" s="241"/>
      <c r="BB954" s="241"/>
      <c r="BC954" s="241"/>
      <c r="BD954" s="241"/>
      <c r="BE954" s="241"/>
      <c r="BF954" s="241"/>
      <c r="BG954" s="241"/>
      <c r="BH954" s="241"/>
      <c r="BI954" s="241"/>
      <c r="BJ954" s="241"/>
      <c r="BK954" s="241"/>
      <c r="BL954" s="241"/>
      <c r="BM954" s="241"/>
    </row>
    <row r="955" spans="1:65" ht="13.5" customHeight="1" x14ac:dyDescent="0.3">
      <c r="A955" s="241"/>
      <c r="B955" s="241"/>
      <c r="C955" s="241"/>
      <c r="D955" s="241"/>
      <c r="E955" s="241"/>
      <c r="F955" s="241"/>
      <c r="G955" s="241"/>
      <c r="H955" s="241"/>
      <c r="I955" s="241"/>
      <c r="J955" s="241"/>
      <c r="K955" s="241"/>
      <c r="L955" s="241"/>
      <c r="M955" s="241"/>
      <c r="N955" s="241"/>
      <c r="O955" s="241"/>
      <c r="P955" s="241"/>
      <c r="Q955" s="241"/>
      <c r="R955" s="241"/>
      <c r="S955" s="241"/>
      <c r="T955" s="241"/>
      <c r="U955" s="241"/>
      <c r="V955" s="241"/>
      <c r="W955" s="241"/>
      <c r="X955" s="241"/>
      <c r="Y955" s="241"/>
      <c r="Z955" s="241"/>
      <c r="AA955" s="241"/>
      <c r="AB955" s="241"/>
      <c r="AC955" s="241"/>
      <c r="AD955" s="241"/>
      <c r="AE955" s="241"/>
      <c r="AF955" s="241"/>
      <c r="AG955" s="241"/>
      <c r="AH955" s="241"/>
      <c r="AI955" s="241"/>
      <c r="AJ955" s="241"/>
      <c r="AK955" s="241"/>
      <c r="AL955" s="241"/>
      <c r="AM955" s="241"/>
      <c r="AN955" s="241"/>
      <c r="AO955" s="241"/>
      <c r="AP955" s="241"/>
      <c r="AQ955" s="241"/>
      <c r="AR955" s="241"/>
      <c r="AS955" s="241"/>
      <c r="AT955" s="241"/>
      <c r="AU955" s="241"/>
      <c r="AV955" s="241"/>
      <c r="AW955" s="241"/>
      <c r="AX955" s="241"/>
      <c r="AY955" s="241"/>
      <c r="AZ955" s="241"/>
      <c r="BA955" s="241"/>
      <c r="BB955" s="241"/>
      <c r="BC955" s="241"/>
      <c r="BD955" s="241"/>
      <c r="BE955" s="241"/>
      <c r="BF955" s="241"/>
      <c r="BG955" s="241"/>
      <c r="BH955" s="241"/>
      <c r="BI955" s="241"/>
      <c r="BJ955" s="241"/>
      <c r="BK955" s="241"/>
      <c r="BL955" s="241"/>
      <c r="BM955" s="241"/>
    </row>
    <row r="956" spans="1:65" ht="13.5" customHeight="1" x14ac:dyDescent="0.3">
      <c r="A956" s="241"/>
      <c r="B956" s="241"/>
      <c r="C956" s="241"/>
      <c r="D956" s="241"/>
      <c r="E956" s="241"/>
      <c r="F956" s="241"/>
      <c r="G956" s="241"/>
      <c r="H956" s="241"/>
      <c r="I956" s="241"/>
      <c r="J956" s="241"/>
      <c r="K956" s="241"/>
      <c r="L956" s="241"/>
      <c r="M956" s="241"/>
      <c r="N956" s="241"/>
      <c r="O956" s="241"/>
      <c r="P956" s="241"/>
      <c r="Q956" s="241"/>
      <c r="R956" s="241"/>
      <c r="S956" s="241"/>
      <c r="T956" s="241"/>
      <c r="U956" s="241"/>
      <c r="V956" s="241"/>
      <c r="W956" s="241"/>
      <c r="X956" s="241"/>
      <c r="Y956" s="241"/>
      <c r="Z956" s="241"/>
      <c r="AA956" s="241"/>
      <c r="AB956" s="241"/>
      <c r="AC956" s="241"/>
      <c r="AD956" s="241"/>
      <c r="AE956" s="241"/>
      <c r="AF956" s="241"/>
      <c r="AG956" s="241"/>
      <c r="AH956" s="241"/>
      <c r="AI956" s="241"/>
      <c r="AJ956" s="241"/>
      <c r="AK956" s="241"/>
      <c r="AL956" s="241"/>
      <c r="AM956" s="241"/>
      <c r="AN956" s="241"/>
      <c r="AO956" s="241"/>
      <c r="AP956" s="241"/>
      <c r="AQ956" s="241"/>
      <c r="AR956" s="241"/>
      <c r="AS956" s="241"/>
      <c r="AT956" s="241"/>
      <c r="AU956" s="241"/>
      <c r="AV956" s="241"/>
      <c r="AW956" s="241"/>
      <c r="AX956" s="241"/>
      <c r="AY956" s="241"/>
      <c r="AZ956" s="241"/>
      <c r="BA956" s="241"/>
      <c r="BB956" s="241"/>
      <c r="BC956" s="241"/>
      <c r="BD956" s="241"/>
      <c r="BE956" s="241"/>
      <c r="BF956" s="241"/>
      <c r="BG956" s="241"/>
      <c r="BH956" s="241"/>
      <c r="BI956" s="241"/>
      <c r="BJ956" s="241"/>
      <c r="BK956" s="241"/>
      <c r="BL956" s="241"/>
      <c r="BM956" s="241"/>
    </row>
    <row r="957" spans="1:65" ht="13.5" customHeight="1" x14ac:dyDescent="0.3">
      <c r="A957" s="241"/>
      <c r="B957" s="241"/>
      <c r="C957" s="241"/>
      <c r="D957" s="241"/>
      <c r="E957" s="241"/>
      <c r="F957" s="241"/>
      <c r="G957" s="241"/>
      <c r="H957" s="241"/>
      <c r="I957" s="241"/>
      <c r="J957" s="241"/>
      <c r="K957" s="241"/>
      <c r="L957" s="241"/>
      <c r="M957" s="241"/>
      <c r="N957" s="241"/>
      <c r="O957" s="241"/>
      <c r="P957" s="241"/>
      <c r="Q957" s="241"/>
      <c r="R957" s="241"/>
      <c r="S957" s="241"/>
      <c r="T957" s="241"/>
      <c r="U957" s="241"/>
      <c r="V957" s="241"/>
      <c r="W957" s="241"/>
      <c r="X957" s="241"/>
      <c r="Y957" s="241"/>
      <c r="Z957" s="241"/>
      <c r="AA957" s="241"/>
      <c r="AB957" s="241"/>
      <c r="AC957" s="241"/>
      <c r="AD957" s="241"/>
      <c r="AE957" s="241"/>
      <c r="AF957" s="241"/>
      <c r="AG957" s="241"/>
      <c r="AH957" s="241"/>
      <c r="AI957" s="241"/>
      <c r="AJ957" s="241"/>
      <c r="AK957" s="241"/>
      <c r="AL957" s="241"/>
      <c r="AM957" s="241"/>
      <c r="AN957" s="241"/>
      <c r="AO957" s="241"/>
      <c r="AP957" s="241"/>
      <c r="AQ957" s="241"/>
      <c r="AR957" s="241"/>
      <c r="AS957" s="241"/>
      <c r="AT957" s="241"/>
      <c r="AU957" s="241"/>
      <c r="AV957" s="241"/>
      <c r="AW957" s="241"/>
      <c r="AX957" s="241"/>
      <c r="AY957" s="241"/>
      <c r="AZ957" s="241"/>
      <c r="BA957" s="241"/>
      <c r="BB957" s="241"/>
      <c r="BC957" s="241"/>
      <c r="BD957" s="241"/>
      <c r="BE957" s="241"/>
      <c r="BF957" s="241"/>
      <c r="BG957" s="241"/>
      <c r="BH957" s="241"/>
      <c r="BI957" s="241"/>
      <c r="BJ957" s="241"/>
      <c r="BK957" s="241"/>
      <c r="BL957" s="241"/>
      <c r="BM957" s="241"/>
    </row>
    <row r="958" spans="1:65" ht="13.5" customHeight="1" x14ac:dyDescent="0.3">
      <c r="A958" s="241"/>
      <c r="B958" s="241"/>
      <c r="C958" s="241"/>
      <c r="D958" s="241"/>
      <c r="E958" s="241"/>
      <c r="F958" s="241"/>
      <c r="G958" s="241"/>
      <c r="H958" s="241"/>
      <c r="I958" s="241"/>
      <c r="J958" s="241"/>
      <c r="K958" s="241"/>
      <c r="L958" s="241"/>
      <c r="M958" s="241"/>
      <c r="N958" s="241"/>
      <c r="O958" s="241"/>
      <c r="P958" s="241"/>
      <c r="Q958" s="241"/>
      <c r="R958" s="241"/>
      <c r="S958" s="241"/>
      <c r="T958" s="241"/>
      <c r="U958" s="241"/>
      <c r="V958" s="241"/>
      <c r="W958" s="241"/>
      <c r="X958" s="241"/>
      <c r="Y958" s="241"/>
      <c r="Z958" s="241"/>
      <c r="AA958" s="241"/>
      <c r="AB958" s="241"/>
      <c r="AC958" s="241"/>
      <c r="AD958" s="241"/>
      <c r="AE958" s="241"/>
      <c r="AF958" s="241"/>
      <c r="AG958" s="241"/>
      <c r="AH958" s="241"/>
      <c r="AI958" s="241"/>
      <c r="AJ958" s="241"/>
      <c r="AK958" s="241"/>
      <c r="AL958" s="241"/>
      <c r="AM958" s="241"/>
      <c r="AN958" s="241"/>
      <c r="AO958" s="241"/>
      <c r="AP958" s="241"/>
      <c r="AQ958" s="241"/>
      <c r="AR958" s="241"/>
      <c r="AS958" s="241"/>
      <c r="AT958" s="241"/>
      <c r="AU958" s="241"/>
      <c r="AV958" s="241"/>
      <c r="AW958" s="241"/>
      <c r="AX958" s="241"/>
      <c r="AY958" s="241"/>
      <c r="AZ958" s="241"/>
      <c r="BA958" s="241"/>
      <c r="BB958" s="241"/>
      <c r="BC958" s="241"/>
      <c r="BD958" s="241"/>
      <c r="BE958" s="241"/>
      <c r="BF958" s="241"/>
      <c r="BG958" s="241"/>
      <c r="BH958" s="241"/>
      <c r="BI958" s="241"/>
      <c r="BJ958" s="241"/>
      <c r="BK958" s="241"/>
      <c r="BL958" s="241"/>
      <c r="BM958" s="241"/>
    </row>
    <row r="959" spans="1:65" ht="13.5" customHeight="1" x14ac:dyDescent="0.3">
      <c r="A959" s="241"/>
      <c r="B959" s="241"/>
      <c r="C959" s="241"/>
      <c r="D959" s="241"/>
      <c r="E959" s="241"/>
      <c r="F959" s="241"/>
      <c r="G959" s="241"/>
      <c r="H959" s="241"/>
      <c r="I959" s="241"/>
      <c r="J959" s="241"/>
      <c r="K959" s="241"/>
      <c r="L959" s="241"/>
      <c r="M959" s="241"/>
      <c r="N959" s="241"/>
      <c r="O959" s="241"/>
      <c r="P959" s="241"/>
      <c r="Q959" s="241"/>
      <c r="R959" s="241"/>
      <c r="S959" s="241"/>
      <c r="T959" s="241"/>
      <c r="U959" s="241"/>
      <c r="V959" s="241"/>
      <c r="W959" s="241"/>
      <c r="X959" s="241"/>
      <c r="Y959" s="241"/>
      <c r="Z959" s="241"/>
      <c r="AA959" s="241"/>
      <c r="AB959" s="241"/>
      <c r="AC959" s="241"/>
      <c r="AD959" s="241"/>
      <c r="AE959" s="241"/>
      <c r="AF959" s="241"/>
      <c r="AG959" s="241"/>
      <c r="AH959" s="241"/>
      <c r="AI959" s="241"/>
      <c r="AJ959" s="241"/>
      <c r="AK959" s="241"/>
      <c r="AL959" s="241"/>
      <c r="AM959" s="241"/>
      <c r="AN959" s="241"/>
      <c r="AO959" s="241"/>
      <c r="AP959" s="241"/>
      <c r="AQ959" s="241"/>
      <c r="AR959" s="241"/>
      <c r="AS959" s="241"/>
      <c r="AT959" s="241"/>
      <c r="AU959" s="241"/>
      <c r="AV959" s="241"/>
      <c r="AW959" s="241"/>
      <c r="AX959" s="241"/>
      <c r="AY959" s="241"/>
      <c r="AZ959" s="241"/>
      <c r="BA959" s="241"/>
      <c r="BB959" s="241"/>
      <c r="BC959" s="241"/>
      <c r="BD959" s="241"/>
      <c r="BE959" s="241"/>
      <c r="BF959" s="241"/>
      <c r="BG959" s="241"/>
      <c r="BH959" s="241"/>
      <c r="BI959" s="241"/>
      <c r="BJ959" s="241"/>
      <c r="BK959" s="241"/>
      <c r="BL959" s="241"/>
      <c r="BM959" s="241"/>
    </row>
    <row r="960" spans="1:65" ht="13.5" customHeight="1" x14ac:dyDescent="0.3">
      <c r="A960" s="241"/>
      <c r="B960" s="241"/>
      <c r="C960" s="241"/>
      <c r="D960" s="241"/>
      <c r="E960" s="241"/>
      <c r="F960" s="241"/>
      <c r="G960" s="241"/>
      <c r="H960" s="241"/>
      <c r="I960" s="241"/>
      <c r="J960" s="241"/>
      <c r="K960" s="241"/>
      <c r="L960" s="241"/>
      <c r="M960" s="241"/>
      <c r="N960" s="241"/>
      <c r="O960" s="241"/>
      <c r="P960" s="241"/>
      <c r="Q960" s="241"/>
      <c r="R960" s="241"/>
      <c r="S960" s="241"/>
      <c r="T960" s="241"/>
      <c r="U960" s="241"/>
      <c r="V960" s="241"/>
      <c r="W960" s="241"/>
      <c r="X960" s="241"/>
      <c r="Y960" s="241"/>
      <c r="Z960" s="241"/>
      <c r="AA960" s="241"/>
      <c r="AB960" s="241"/>
      <c r="AC960" s="241"/>
      <c r="AD960" s="241"/>
      <c r="AE960" s="241"/>
      <c r="AF960" s="241"/>
      <c r="AG960" s="241"/>
      <c r="AH960" s="241"/>
      <c r="AI960" s="241"/>
      <c r="AJ960" s="241"/>
      <c r="AK960" s="241"/>
      <c r="AL960" s="241"/>
      <c r="AM960" s="241"/>
      <c r="AN960" s="241"/>
      <c r="AO960" s="241"/>
      <c r="AP960" s="241"/>
      <c r="AQ960" s="241"/>
      <c r="AR960" s="241"/>
      <c r="AS960" s="241"/>
      <c r="AT960" s="241"/>
      <c r="AU960" s="241"/>
      <c r="AV960" s="241"/>
      <c r="AW960" s="241"/>
      <c r="AX960" s="241"/>
      <c r="AY960" s="241"/>
      <c r="AZ960" s="241"/>
      <c r="BA960" s="241"/>
      <c r="BB960" s="241"/>
      <c r="BC960" s="241"/>
      <c r="BD960" s="241"/>
      <c r="BE960" s="241"/>
      <c r="BF960" s="241"/>
      <c r="BG960" s="241"/>
      <c r="BH960" s="241"/>
      <c r="BI960" s="241"/>
      <c r="BJ960" s="241"/>
      <c r="BK960" s="241"/>
      <c r="BL960" s="241"/>
      <c r="BM960" s="241"/>
    </row>
    <row r="961" spans="1:65" ht="13.5" customHeight="1" x14ac:dyDescent="0.3">
      <c r="A961" s="241"/>
      <c r="B961" s="241"/>
      <c r="C961" s="241"/>
      <c r="D961" s="241"/>
      <c r="E961" s="241"/>
      <c r="F961" s="241"/>
      <c r="G961" s="241"/>
      <c r="H961" s="241"/>
      <c r="I961" s="241"/>
      <c r="J961" s="241"/>
      <c r="K961" s="241"/>
      <c r="L961" s="241"/>
      <c r="M961" s="241"/>
      <c r="N961" s="241"/>
      <c r="O961" s="241"/>
      <c r="P961" s="241"/>
      <c r="Q961" s="241"/>
      <c r="R961" s="241"/>
      <c r="S961" s="241"/>
      <c r="T961" s="241"/>
      <c r="U961" s="241"/>
      <c r="V961" s="241"/>
      <c r="W961" s="241"/>
      <c r="X961" s="241"/>
      <c r="Y961" s="241"/>
      <c r="Z961" s="241"/>
      <c r="AA961" s="241"/>
      <c r="AB961" s="241"/>
      <c r="AC961" s="241"/>
      <c r="AD961" s="241"/>
      <c r="AE961" s="241"/>
      <c r="AF961" s="241"/>
      <c r="AG961" s="241"/>
      <c r="AH961" s="241"/>
      <c r="AI961" s="241"/>
      <c r="AJ961" s="241"/>
      <c r="AK961" s="241"/>
      <c r="AL961" s="241"/>
      <c r="AM961" s="241"/>
      <c r="AN961" s="241"/>
      <c r="AO961" s="241"/>
      <c r="AP961" s="241"/>
      <c r="AQ961" s="241"/>
      <c r="AR961" s="241"/>
      <c r="AS961" s="241"/>
      <c r="AT961" s="241"/>
      <c r="AU961" s="241"/>
      <c r="AV961" s="241"/>
      <c r="AW961" s="241"/>
      <c r="AX961" s="241"/>
      <c r="AY961" s="241"/>
      <c r="AZ961" s="241"/>
      <c r="BA961" s="241"/>
      <c r="BB961" s="241"/>
      <c r="BC961" s="241"/>
      <c r="BD961" s="241"/>
      <c r="BE961" s="241"/>
      <c r="BF961" s="241"/>
      <c r="BG961" s="241"/>
      <c r="BH961" s="241"/>
      <c r="BI961" s="241"/>
      <c r="BJ961" s="241"/>
      <c r="BK961" s="241"/>
      <c r="BL961" s="241"/>
      <c r="BM961" s="241"/>
    </row>
    <row r="962" spans="1:65" ht="13.5" customHeight="1" x14ac:dyDescent="0.3">
      <c r="A962" s="241"/>
      <c r="B962" s="241"/>
      <c r="C962" s="241"/>
      <c r="D962" s="241"/>
      <c r="E962" s="241"/>
      <c r="F962" s="241"/>
      <c r="G962" s="241"/>
      <c r="H962" s="241"/>
      <c r="I962" s="241"/>
      <c r="J962" s="241"/>
      <c r="K962" s="241"/>
      <c r="L962" s="241"/>
      <c r="M962" s="241"/>
      <c r="N962" s="241"/>
      <c r="O962" s="241"/>
      <c r="P962" s="241"/>
      <c r="Q962" s="241"/>
      <c r="R962" s="241"/>
      <c r="S962" s="241"/>
      <c r="T962" s="241"/>
      <c r="U962" s="241"/>
      <c r="V962" s="241"/>
      <c r="W962" s="241"/>
      <c r="X962" s="241"/>
      <c r="Y962" s="241"/>
      <c r="Z962" s="241"/>
      <c r="AA962" s="241"/>
      <c r="AB962" s="241"/>
      <c r="AC962" s="241"/>
      <c r="AD962" s="241"/>
      <c r="AE962" s="241"/>
      <c r="AF962" s="241"/>
      <c r="AG962" s="241"/>
      <c r="AH962" s="241"/>
      <c r="AI962" s="241"/>
      <c r="AJ962" s="241"/>
      <c r="AK962" s="241"/>
      <c r="AL962" s="241"/>
      <c r="AM962" s="241"/>
      <c r="AN962" s="241"/>
      <c r="AO962" s="241"/>
      <c r="AP962" s="241"/>
      <c r="AQ962" s="241"/>
      <c r="AR962" s="241"/>
      <c r="AS962" s="241"/>
      <c r="AT962" s="241"/>
      <c r="AU962" s="241"/>
      <c r="AV962" s="241"/>
      <c r="AW962" s="241"/>
      <c r="AX962" s="241"/>
      <c r="AY962" s="241"/>
      <c r="AZ962" s="241"/>
      <c r="BA962" s="241"/>
      <c r="BB962" s="241"/>
      <c r="BC962" s="241"/>
      <c r="BD962" s="241"/>
      <c r="BE962" s="241"/>
      <c r="BF962" s="241"/>
      <c r="BG962" s="241"/>
      <c r="BH962" s="241"/>
      <c r="BI962" s="241"/>
      <c r="BJ962" s="241"/>
      <c r="BK962" s="241"/>
      <c r="BL962" s="241"/>
      <c r="BM962" s="241"/>
    </row>
    <row r="963" spans="1:65" ht="13.5" customHeight="1" x14ac:dyDescent="0.3">
      <c r="A963" s="241"/>
      <c r="B963" s="241"/>
      <c r="C963" s="241"/>
      <c r="D963" s="241"/>
      <c r="E963" s="241"/>
      <c r="F963" s="241"/>
      <c r="G963" s="241"/>
      <c r="H963" s="241"/>
      <c r="I963" s="241"/>
      <c r="J963" s="241"/>
      <c r="K963" s="241"/>
      <c r="L963" s="241"/>
      <c r="M963" s="241"/>
      <c r="N963" s="241"/>
      <c r="O963" s="241"/>
      <c r="P963" s="241"/>
      <c r="Q963" s="241"/>
      <c r="R963" s="241"/>
      <c r="S963" s="241"/>
      <c r="T963" s="241"/>
      <c r="U963" s="241"/>
      <c r="V963" s="241"/>
      <c r="W963" s="241"/>
      <c r="X963" s="241"/>
      <c r="Y963" s="241"/>
      <c r="Z963" s="241"/>
      <c r="AA963" s="241"/>
      <c r="AB963" s="241"/>
      <c r="AC963" s="241"/>
      <c r="AD963" s="241"/>
      <c r="AE963" s="241"/>
      <c r="AF963" s="241"/>
      <c r="AG963" s="241"/>
      <c r="AH963" s="241"/>
      <c r="AI963" s="241"/>
      <c r="AJ963" s="241"/>
      <c r="AK963" s="241"/>
      <c r="AL963" s="241"/>
      <c r="AM963" s="241"/>
      <c r="AN963" s="241"/>
      <c r="AO963" s="241"/>
      <c r="AP963" s="241"/>
      <c r="AQ963" s="241"/>
      <c r="AR963" s="241"/>
      <c r="AS963" s="241"/>
      <c r="AT963" s="241"/>
      <c r="AU963" s="241"/>
      <c r="AV963" s="241"/>
      <c r="AW963" s="241"/>
      <c r="AX963" s="241"/>
      <c r="AY963" s="241"/>
      <c r="AZ963" s="241"/>
      <c r="BA963" s="241"/>
      <c r="BB963" s="241"/>
      <c r="BC963" s="241"/>
      <c r="BD963" s="241"/>
      <c r="BE963" s="241"/>
      <c r="BF963" s="241"/>
      <c r="BG963" s="241"/>
      <c r="BH963" s="241"/>
      <c r="BI963" s="241"/>
      <c r="BJ963" s="241"/>
      <c r="BK963" s="241"/>
      <c r="BL963" s="241"/>
      <c r="BM963" s="241"/>
    </row>
    <row r="964" spans="1:65" ht="13.5" customHeight="1" x14ac:dyDescent="0.3">
      <c r="A964" s="241"/>
      <c r="B964" s="241"/>
      <c r="C964" s="241"/>
      <c r="D964" s="241"/>
      <c r="E964" s="241"/>
      <c r="F964" s="241"/>
      <c r="G964" s="241"/>
      <c r="H964" s="241"/>
      <c r="I964" s="241"/>
      <c r="J964" s="241"/>
      <c r="K964" s="241"/>
      <c r="L964" s="241"/>
      <c r="M964" s="241"/>
      <c r="N964" s="241"/>
      <c r="O964" s="241"/>
      <c r="P964" s="241"/>
      <c r="Q964" s="241"/>
      <c r="R964" s="241"/>
      <c r="S964" s="241"/>
      <c r="T964" s="241"/>
      <c r="U964" s="241"/>
      <c r="V964" s="241"/>
      <c r="W964" s="241"/>
      <c r="X964" s="241"/>
      <c r="Y964" s="241"/>
      <c r="Z964" s="241"/>
      <c r="AA964" s="241"/>
      <c r="AB964" s="241"/>
      <c r="AC964" s="241"/>
      <c r="AD964" s="241"/>
      <c r="AE964" s="241"/>
      <c r="AF964" s="241"/>
      <c r="AG964" s="241"/>
      <c r="AH964" s="241"/>
      <c r="AI964" s="241"/>
      <c r="AJ964" s="241"/>
      <c r="AK964" s="241"/>
      <c r="AL964" s="241"/>
      <c r="AM964" s="241"/>
      <c r="AN964" s="241"/>
      <c r="AO964" s="241"/>
      <c r="AP964" s="241"/>
      <c r="AQ964" s="241"/>
      <c r="AR964" s="241"/>
      <c r="AS964" s="241"/>
      <c r="AT964" s="241"/>
      <c r="AU964" s="241"/>
      <c r="AV964" s="241"/>
      <c r="AW964" s="241"/>
      <c r="AX964" s="241"/>
      <c r="AY964" s="241"/>
      <c r="AZ964" s="241"/>
      <c r="BA964" s="241"/>
      <c r="BB964" s="241"/>
      <c r="BC964" s="241"/>
      <c r="BD964" s="241"/>
      <c r="BE964" s="241"/>
      <c r="BF964" s="241"/>
      <c r="BG964" s="241"/>
      <c r="BH964" s="241"/>
      <c r="BI964" s="241"/>
      <c r="BJ964" s="241"/>
      <c r="BK964" s="241"/>
      <c r="BL964" s="241"/>
      <c r="BM964" s="241"/>
    </row>
    <row r="965" spans="1:65" ht="13.5" customHeight="1" x14ac:dyDescent="0.3">
      <c r="A965" s="241"/>
      <c r="B965" s="241"/>
      <c r="C965" s="241"/>
      <c r="D965" s="241"/>
      <c r="E965" s="241"/>
      <c r="F965" s="241"/>
      <c r="G965" s="241"/>
      <c r="H965" s="241"/>
      <c r="I965" s="241"/>
      <c r="J965" s="241"/>
      <c r="K965" s="241"/>
      <c r="L965" s="241"/>
      <c r="M965" s="241"/>
      <c r="N965" s="241"/>
      <c r="O965" s="241"/>
      <c r="P965" s="241"/>
      <c r="Q965" s="241"/>
      <c r="R965" s="241"/>
      <c r="S965" s="241"/>
      <c r="T965" s="241"/>
      <c r="U965" s="241"/>
      <c r="V965" s="241"/>
      <c r="W965" s="241"/>
      <c r="X965" s="241"/>
      <c r="Y965" s="241"/>
      <c r="Z965" s="241"/>
      <c r="AA965" s="241"/>
      <c r="AB965" s="241"/>
      <c r="AC965" s="241"/>
      <c r="AD965" s="241"/>
      <c r="AE965" s="241"/>
      <c r="AF965" s="241"/>
      <c r="AG965" s="241"/>
      <c r="AH965" s="241"/>
      <c r="AI965" s="241"/>
      <c r="AJ965" s="241"/>
      <c r="AK965" s="241"/>
      <c r="AL965" s="241"/>
      <c r="AM965" s="241"/>
      <c r="AN965" s="241"/>
      <c r="AO965" s="241"/>
      <c r="AP965" s="241"/>
      <c r="AQ965" s="241"/>
      <c r="AR965" s="241"/>
      <c r="AS965" s="241"/>
      <c r="AT965" s="241"/>
      <c r="AU965" s="241"/>
      <c r="AV965" s="241"/>
      <c r="AW965" s="241"/>
      <c r="AX965" s="241"/>
      <c r="AY965" s="241"/>
      <c r="AZ965" s="241"/>
      <c r="BA965" s="241"/>
      <c r="BB965" s="241"/>
      <c r="BC965" s="241"/>
      <c r="BD965" s="241"/>
      <c r="BE965" s="241"/>
      <c r="BF965" s="241"/>
      <c r="BG965" s="241"/>
      <c r="BH965" s="241"/>
      <c r="BI965" s="241"/>
      <c r="BJ965" s="241"/>
      <c r="BK965" s="241"/>
      <c r="BL965" s="241"/>
      <c r="BM965" s="241"/>
    </row>
    <row r="966" spans="1:65" ht="13.5" customHeight="1" x14ac:dyDescent="0.3">
      <c r="A966" s="241"/>
      <c r="B966" s="241"/>
      <c r="C966" s="241"/>
      <c r="D966" s="241"/>
      <c r="E966" s="241"/>
      <c r="F966" s="241"/>
      <c r="G966" s="241"/>
      <c r="H966" s="241"/>
      <c r="I966" s="241"/>
      <c r="J966" s="241"/>
      <c r="K966" s="241"/>
      <c r="L966" s="241"/>
      <c r="M966" s="241"/>
      <c r="N966" s="241"/>
      <c r="O966" s="241"/>
      <c r="P966" s="241"/>
      <c r="Q966" s="241"/>
      <c r="R966" s="241"/>
      <c r="S966" s="241"/>
      <c r="T966" s="241"/>
      <c r="U966" s="241"/>
      <c r="V966" s="241"/>
      <c r="W966" s="241"/>
      <c r="X966" s="241"/>
      <c r="Y966" s="241"/>
      <c r="Z966" s="241"/>
      <c r="AA966" s="241"/>
      <c r="AB966" s="241"/>
      <c r="AC966" s="241"/>
      <c r="AD966" s="241"/>
      <c r="AE966" s="241"/>
      <c r="AF966" s="241"/>
      <c r="AG966" s="241"/>
      <c r="AH966" s="241"/>
      <c r="AI966" s="241"/>
      <c r="AJ966" s="241"/>
      <c r="AK966" s="241"/>
      <c r="AL966" s="241"/>
      <c r="AM966" s="241"/>
      <c r="AN966" s="241"/>
      <c r="AO966" s="241"/>
      <c r="AP966" s="241"/>
      <c r="AQ966" s="241"/>
      <c r="AR966" s="241"/>
      <c r="AS966" s="241"/>
      <c r="AT966" s="241"/>
      <c r="AU966" s="241"/>
      <c r="AV966" s="241"/>
      <c r="AW966" s="241"/>
      <c r="AX966" s="241"/>
      <c r="AY966" s="241"/>
      <c r="AZ966" s="241"/>
      <c r="BA966" s="241"/>
      <c r="BB966" s="241"/>
      <c r="BC966" s="241"/>
      <c r="BD966" s="241"/>
      <c r="BE966" s="241"/>
      <c r="BF966" s="241"/>
      <c r="BG966" s="241"/>
      <c r="BH966" s="241"/>
      <c r="BI966" s="241"/>
      <c r="BJ966" s="241"/>
      <c r="BK966" s="241"/>
      <c r="BL966" s="241"/>
      <c r="BM966" s="241"/>
    </row>
    <row r="967" spans="1:65" ht="13.5" customHeight="1" x14ac:dyDescent="0.3">
      <c r="A967" s="241"/>
      <c r="B967" s="241"/>
      <c r="C967" s="241"/>
      <c r="D967" s="241"/>
      <c r="E967" s="241"/>
      <c r="F967" s="241"/>
      <c r="G967" s="241"/>
      <c r="H967" s="241"/>
      <c r="I967" s="241"/>
      <c r="J967" s="241"/>
      <c r="K967" s="241"/>
      <c r="L967" s="241"/>
      <c r="M967" s="241"/>
      <c r="N967" s="241"/>
      <c r="O967" s="241"/>
      <c r="P967" s="241"/>
      <c r="Q967" s="241"/>
      <c r="R967" s="241"/>
      <c r="S967" s="241"/>
      <c r="T967" s="241"/>
      <c r="U967" s="241"/>
      <c r="V967" s="241"/>
      <c r="W967" s="241"/>
      <c r="X967" s="241"/>
      <c r="Y967" s="241"/>
      <c r="Z967" s="241"/>
      <c r="AA967" s="241"/>
      <c r="AB967" s="241"/>
      <c r="AC967" s="241"/>
      <c r="AD967" s="241"/>
      <c r="AE967" s="241"/>
      <c r="AF967" s="241"/>
      <c r="AG967" s="241"/>
      <c r="AH967" s="241"/>
      <c r="AI967" s="241"/>
      <c r="AJ967" s="241"/>
      <c r="AK967" s="241"/>
      <c r="AL967" s="241"/>
      <c r="AM967" s="241"/>
      <c r="AN967" s="241"/>
      <c r="AO967" s="241"/>
      <c r="AP967" s="241"/>
      <c r="AQ967" s="241"/>
      <c r="AR967" s="241"/>
      <c r="AS967" s="241"/>
      <c r="AT967" s="241"/>
      <c r="AU967" s="241"/>
      <c r="AV967" s="241"/>
      <c r="AW967" s="241"/>
      <c r="AX967" s="241"/>
      <c r="AY967" s="241"/>
      <c r="AZ967" s="241"/>
      <c r="BA967" s="241"/>
      <c r="BB967" s="241"/>
      <c r="BC967" s="241"/>
      <c r="BD967" s="241"/>
      <c r="BE967" s="241"/>
      <c r="BF967" s="241"/>
      <c r="BG967" s="241"/>
      <c r="BH967" s="241"/>
      <c r="BI967" s="241"/>
      <c r="BJ967" s="241"/>
      <c r="BK967" s="241"/>
      <c r="BL967" s="241"/>
      <c r="BM967" s="241"/>
    </row>
    <row r="968" spans="1:65" ht="13.5" customHeight="1" x14ac:dyDescent="0.3">
      <c r="A968" s="241"/>
      <c r="B968" s="241"/>
      <c r="C968" s="241"/>
      <c r="D968" s="241"/>
      <c r="E968" s="241"/>
      <c r="F968" s="241"/>
      <c r="G968" s="241"/>
      <c r="H968" s="241"/>
      <c r="I968" s="241"/>
      <c r="J968" s="241"/>
      <c r="K968" s="241"/>
      <c r="L968" s="241"/>
      <c r="M968" s="241"/>
      <c r="N968" s="241"/>
      <c r="O968" s="241"/>
      <c r="P968" s="241"/>
      <c r="Q968" s="241"/>
      <c r="R968" s="241"/>
      <c r="S968" s="241"/>
      <c r="T968" s="241"/>
      <c r="U968" s="241"/>
      <c r="V968" s="241"/>
      <c r="W968" s="241"/>
      <c r="X968" s="241"/>
      <c r="Y968" s="241"/>
      <c r="Z968" s="241"/>
      <c r="AA968" s="241"/>
      <c r="AB968" s="241"/>
      <c r="AC968" s="241"/>
      <c r="AD968" s="241"/>
      <c r="AE968" s="241"/>
      <c r="AF968" s="241"/>
      <c r="AG968" s="241"/>
      <c r="AH968" s="241"/>
      <c r="AI968" s="241"/>
      <c r="AJ968" s="241"/>
      <c r="AK968" s="241"/>
      <c r="AL968" s="241"/>
      <c r="AM968" s="241"/>
      <c r="AN968" s="241"/>
      <c r="AO968" s="241"/>
      <c r="AP968" s="241"/>
      <c r="AQ968" s="241"/>
      <c r="AR968" s="241"/>
      <c r="AS968" s="241"/>
      <c r="AT968" s="241"/>
      <c r="AU968" s="241"/>
      <c r="AV968" s="241"/>
      <c r="AW968" s="241"/>
      <c r="AX968" s="241"/>
      <c r="AY968" s="241"/>
      <c r="AZ968" s="241"/>
      <c r="BA968" s="241"/>
      <c r="BB968" s="241"/>
      <c r="BC968" s="241"/>
      <c r="BD968" s="241"/>
      <c r="BE968" s="241"/>
      <c r="BF968" s="241"/>
      <c r="BG968" s="241"/>
      <c r="BH968" s="241"/>
      <c r="BI968" s="241"/>
      <c r="BJ968" s="241"/>
      <c r="BK968" s="241"/>
      <c r="BL968" s="241"/>
      <c r="BM968" s="241"/>
    </row>
    <row r="969" spans="1:65" ht="13.5" customHeight="1" x14ac:dyDescent="0.3">
      <c r="A969" s="241"/>
      <c r="B969" s="241"/>
      <c r="C969" s="241"/>
      <c r="D969" s="241"/>
      <c r="E969" s="241"/>
      <c r="F969" s="241"/>
      <c r="G969" s="241"/>
      <c r="H969" s="241"/>
      <c r="I969" s="241"/>
      <c r="J969" s="241"/>
      <c r="K969" s="241"/>
      <c r="L969" s="241"/>
      <c r="M969" s="241"/>
      <c r="N969" s="241"/>
      <c r="O969" s="241"/>
      <c r="P969" s="241"/>
      <c r="Q969" s="241"/>
      <c r="R969" s="241"/>
      <c r="S969" s="241"/>
      <c r="T969" s="241"/>
      <c r="U969" s="241"/>
      <c r="V969" s="241"/>
      <c r="W969" s="241"/>
      <c r="X969" s="241"/>
      <c r="Y969" s="241"/>
      <c r="Z969" s="241"/>
      <c r="AA969" s="241"/>
      <c r="AB969" s="241"/>
      <c r="AC969" s="241"/>
      <c r="AD969" s="241"/>
      <c r="AE969" s="241"/>
      <c r="AF969" s="241"/>
      <c r="AG969" s="241"/>
      <c r="AH969" s="241"/>
      <c r="AI969" s="241"/>
      <c r="AJ969" s="241"/>
      <c r="AK969" s="241"/>
      <c r="AL969" s="241"/>
      <c r="AM969" s="241"/>
      <c r="AN969" s="241"/>
      <c r="AO969" s="241"/>
      <c r="AP969" s="241"/>
      <c r="AQ969" s="241"/>
      <c r="AR969" s="241"/>
      <c r="AS969" s="241"/>
      <c r="AT969" s="241"/>
      <c r="AU969" s="241"/>
      <c r="AV969" s="241"/>
      <c r="AW969" s="241"/>
      <c r="AX969" s="241"/>
      <c r="AY969" s="241"/>
      <c r="AZ969" s="241"/>
      <c r="BA969" s="241"/>
      <c r="BB969" s="241"/>
      <c r="BC969" s="241"/>
      <c r="BD969" s="241"/>
      <c r="BE969" s="241"/>
      <c r="BF969" s="241"/>
      <c r="BG969" s="241"/>
      <c r="BH969" s="241"/>
      <c r="BI969" s="241"/>
      <c r="BJ969" s="241"/>
      <c r="BK969" s="241"/>
      <c r="BL969" s="241"/>
      <c r="BM969" s="241"/>
    </row>
    <row r="970" spans="1:65" ht="13.5" customHeight="1" x14ac:dyDescent="0.3">
      <c r="A970" s="241"/>
      <c r="B970" s="241"/>
      <c r="C970" s="241"/>
      <c r="D970" s="241"/>
      <c r="E970" s="241"/>
      <c r="F970" s="241"/>
      <c r="G970" s="241"/>
      <c r="H970" s="241"/>
      <c r="I970" s="241"/>
      <c r="J970" s="241"/>
      <c r="K970" s="241"/>
      <c r="L970" s="241"/>
      <c r="M970" s="241"/>
      <c r="N970" s="241"/>
      <c r="O970" s="241"/>
      <c r="P970" s="241"/>
      <c r="Q970" s="241"/>
      <c r="R970" s="241"/>
      <c r="S970" s="241"/>
      <c r="T970" s="241"/>
      <c r="U970" s="241"/>
      <c r="V970" s="241"/>
      <c r="W970" s="241"/>
      <c r="X970" s="241"/>
      <c r="Y970" s="241"/>
      <c r="Z970" s="241"/>
      <c r="AA970" s="241"/>
      <c r="AB970" s="241"/>
      <c r="AC970" s="241"/>
      <c r="AD970" s="241"/>
      <c r="AE970" s="241"/>
      <c r="AF970" s="241"/>
      <c r="AG970" s="241"/>
      <c r="AH970" s="241"/>
      <c r="AI970" s="241"/>
      <c r="AJ970" s="241"/>
      <c r="AK970" s="241"/>
      <c r="AL970" s="241"/>
      <c r="AM970" s="241"/>
      <c r="AN970" s="241"/>
      <c r="AO970" s="241"/>
      <c r="AP970" s="241"/>
      <c r="AQ970" s="241"/>
      <c r="AR970" s="241"/>
      <c r="AS970" s="241"/>
      <c r="AT970" s="241"/>
      <c r="AU970" s="241"/>
      <c r="AV970" s="241"/>
      <c r="AW970" s="241"/>
      <c r="AX970" s="241"/>
      <c r="AY970" s="241"/>
      <c r="AZ970" s="241"/>
      <c r="BA970" s="241"/>
      <c r="BB970" s="241"/>
      <c r="BC970" s="241"/>
      <c r="BD970" s="241"/>
      <c r="BE970" s="241"/>
      <c r="BF970" s="241"/>
      <c r="BG970" s="241"/>
      <c r="BH970" s="241"/>
      <c r="BI970" s="241"/>
      <c r="BJ970" s="241"/>
      <c r="BK970" s="241"/>
      <c r="BL970" s="241"/>
      <c r="BM970" s="241"/>
    </row>
    <row r="971" spans="1:65" ht="13.5" customHeight="1" x14ac:dyDescent="0.3">
      <c r="A971" s="241"/>
      <c r="B971" s="241"/>
      <c r="C971" s="241"/>
      <c r="D971" s="241"/>
      <c r="E971" s="241"/>
      <c r="F971" s="241"/>
      <c r="G971" s="241"/>
      <c r="H971" s="241"/>
      <c r="I971" s="241"/>
      <c r="J971" s="241"/>
      <c r="K971" s="241"/>
      <c r="L971" s="241"/>
      <c r="M971" s="241"/>
      <c r="N971" s="241"/>
      <c r="O971" s="241"/>
      <c r="P971" s="241"/>
      <c r="Q971" s="241"/>
      <c r="R971" s="241"/>
      <c r="S971" s="241"/>
      <c r="T971" s="241"/>
      <c r="U971" s="241"/>
      <c r="V971" s="241"/>
      <c r="W971" s="241"/>
      <c r="X971" s="241"/>
      <c r="Y971" s="241"/>
      <c r="Z971" s="241"/>
      <c r="AA971" s="241"/>
      <c r="AB971" s="241"/>
      <c r="AC971" s="241"/>
      <c r="AD971" s="241"/>
      <c r="AE971" s="241"/>
      <c r="AF971" s="241"/>
      <c r="AG971" s="241"/>
      <c r="AH971" s="241"/>
      <c r="AI971" s="241"/>
      <c r="AJ971" s="241"/>
      <c r="AK971" s="241"/>
      <c r="AL971" s="241"/>
      <c r="AM971" s="241"/>
      <c r="AN971" s="241"/>
      <c r="AO971" s="241"/>
      <c r="AP971" s="241"/>
      <c r="AQ971" s="241"/>
      <c r="AR971" s="241"/>
      <c r="AS971" s="241"/>
      <c r="AT971" s="241"/>
      <c r="AU971" s="241"/>
      <c r="AV971" s="241"/>
      <c r="AW971" s="241"/>
      <c r="AX971" s="241"/>
      <c r="AY971" s="241"/>
      <c r="AZ971" s="241"/>
      <c r="BA971" s="241"/>
      <c r="BB971" s="241"/>
      <c r="BC971" s="241"/>
      <c r="BD971" s="241"/>
      <c r="BE971" s="241"/>
      <c r="BF971" s="241"/>
      <c r="BG971" s="241"/>
      <c r="BH971" s="241"/>
      <c r="BI971" s="241"/>
      <c r="BJ971" s="241"/>
      <c r="BK971" s="241"/>
      <c r="BL971" s="241"/>
      <c r="BM971" s="241"/>
    </row>
    <row r="972" spans="1:65" ht="13.5" customHeight="1" x14ac:dyDescent="0.3">
      <c r="A972" s="241"/>
      <c r="B972" s="241"/>
      <c r="C972" s="241"/>
      <c r="D972" s="241"/>
      <c r="E972" s="241"/>
      <c r="F972" s="241"/>
      <c r="G972" s="241"/>
      <c r="H972" s="241"/>
      <c r="I972" s="241"/>
      <c r="J972" s="241"/>
      <c r="K972" s="241"/>
      <c r="L972" s="241"/>
      <c r="M972" s="241"/>
      <c r="N972" s="241"/>
      <c r="O972" s="241"/>
      <c r="P972" s="241"/>
      <c r="Q972" s="241"/>
      <c r="R972" s="241"/>
      <c r="S972" s="241"/>
      <c r="T972" s="241"/>
      <c r="U972" s="241"/>
      <c r="V972" s="241"/>
      <c r="W972" s="241"/>
      <c r="X972" s="241"/>
      <c r="Y972" s="241"/>
      <c r="Z972" s="241"/>
      <c r="AA972" s="241"/>
      <c r="AB972" s="241"/>
      <c r="AC972" s="241"/>
      <c r="AD972" s="241"/>
      <c r="AE972" s="241"/>
      <c r="AF972" s="241"/>
      <c r="AG972" s="241"/>
      <c r="AH972" s="241"/>
      <c r="AI972" s="241"/>
      <c r="AJ972" s="241"/>
      <c r="AK972" s="241"/>
      <c r="AL972" s="241"/>
      <c r="AM972" s="241"/>
      <c r="AN972" s="241"/>
      <c r="AO972" s="241"/>
      <c r="AP972" s="241"/>
      <c r="AQ972" s="241"/>
      <c r="AR972" s="241"/>
      <c r="AS972" s="241"/>
      <c r="AT972" s="241"/>
      <c r="AU972" s="241"/>
      <c r="AV972" s="241"/>
      <c r="AW972" s="241"/>
      <c r="AX972" s="241"/>
      <c r="AY972" s="241"/>
      <c r="AZ972" s="241"/>
      <c r="BA972" s="241"/>
      <c r="BB972" s="241"/>
      <c r="BC972" s="241"/>
      <c r="BD972" s="241"/>
      <c r="BE972" s="241"/>
      <c r="BF972" s="241"/>
      <c r="BG972" s="241"/>
      <c r="BH972" s="241"/>
      <c r="BI972" s="241"/>
      <c r="BJ972" s="241"/>
      <c r="BK972" s="241"/>
      <c r="BL972" s="241"/>
      <c r="BM972" s="241"/>
    </row>
    <row r="973" spans="1:65" ht="13.5" customHeight="1" x14ac:dyDescent="0.3">
      <c r="A973" s="241"/>
      <c r="B973" s="241"/>
      <c r="C973" s="241"/>
      <c r="D973" s="241"/>
      <c r="E973" s="241"/>
      <c r="F973" s="241"/>
      <c r="G973" s="241"/>
      <c r="H973" s="241"/>
      <c r="I973" s="241"/>
      <c r="J973" s="241"/>
      <c r="K973" s="241"/>
      <c r="L973" s="241"/>
      <c r="M973" s="241"/>
      <c r="N973" s="241"/>
      <c r="O973" s="241"/>
      <c r="P973" s="241"/>
      <c r="Q973" s="241"/>
      <c r="R973" s="241"/>
      <c r="S973" s="241"/>
      <c r="T973" s="241"/>
      <c r="U973" s="241"/>
      <c r="V973" s="241"/>
      <c r="W973" s="241"/>
      <c r="X973" s="241"/>
      <c r="Y973" s="241"/>
      <c r="Z973" s="241"/>
      <c r="AA973" s="241"/>
      <c r="AB973" s="241"/>
      <c r="AC973" s="241"/>
      <c r="AD973" s="241"/>
      <c r="AE973" s="241"/>
      <c r="AF973" s="241"/>
      <c r="AG973" s="241"/>
      <c r="AH973" s="241"/>
      <c r="AI973" s="241"/>
      <c r="AJ973" s="241"/>
      <c r="AK973" s="241"/>
      <c r="AL973" s="241"/>
      <c r="AM973" s="241"/>
      <c r="AN973" s="241"/>
      <c r="AO973" s="241"/>
      <c r="AP973" s="241"/>
      <c r="AQ973" s="241"/>
      <c r="AR973" s="241"/>
      <c r="AS973" s="241"/>
      <c r="AT973" s="241"/>
      <c r="AU973" s="241"/>
      <c r="AV973" s="241"/>
      <c r="AW973" s="241"/>
      <c r="AX973" s="241"/>
      <c r="AY973" s="241"/>
      <c r="AZ973" s="241"/>
      <c r="BA973" s="241"/>
      <c r="BB973" s="241"/>
      <c r="BC973" s="241"/>
      <c r="BD973" s="241"/>
      <c r="BE973" s="241"/>
      <c r="BF973" s="241"/>
      <c r="BG973" s="241"/>
      <c r="BH973" s="241"/>
      <c r="BI973" s="241"/>
      <c r="BJ973" s="241"/>
      <c r="BK973" s="241"/>
      <c r="BL973" s="241"/>
      <c r="BM973" s="241"/>
    </row>
    <row r="974" spans="1:65" ht="13.5" customHeight="1" x14ac:dyDescent="0.3">
      <c r="A974" s="241"/>
      <c r="B974" s="241"/>
      <c r="C974" s="241"/>
      <c r="D974" s="241"/>
      <c r="E974" s="241"/>
      <c r="F974" s="241"/>
      <c r="G974" s="241"/>
      <c r="H974" s="241"/>
      <c r="I974" s="241"/>
      <c r="J974" s="241"/>
      <c r="K974" s="241"/>
      <c r="L974" s="241"/>
      <c r="M974" s="241"/>
      <c r="N974" s="241"/>
      <c r="O974" s="241"/>
      <c r="P974" s="241"/>
      <c r="Q974" s="241"/>
      <c r="R974" s="241"/>
      <c r="S974" s="241"/>
      <c r="T974" s="241"/>
      <c r="U974" s="241"/>
      <c r="V974" s="241"/>
      <c r="W974" s="241"/>
      <c r="X974" s="241"/>
      <c r="Y974" s="241"/>
      <c r="Z974" s="241"/>
      <c r="AA974" s="241"/>
      <c r="AB974" s="241"/>
      <c r="AC974" s="241"/>
      <c r="AD974" s="241"/>
      <c r="AE974" s="241"/>
      <c r="AF974" s="241"/>
      <c r="AG974" s="241"/>
      <c r="AH974" s="241"/>
      <c r="AI974" s="241"/>
      <c r="AJ974" s="241"/>
      <c r="AK974" s="241"/>
      <c r="AL974" s="241"/>
      <c r="AM974" s="241"/>
      <c r="AN974" s="241"/>
      <c r="AO974" s="241"/>
      <c r="AP974" s="241"/>
      <c r="AQ974" s="241"/>
      <c r="AR974" s="241"/>
      <c r="AS974" s="241"/>
      <c r="AT974" s="241"/>
      <c r="AU974" s="241"/>
      <c r="AV974" s="241"/>
      <c r="AW974" s="241"/>
      <c r="AX974" s="241"/>
      <c r="AY974" s="241"/>
      <c r="AZ974" s="241"/>
      <c r="BA974" s="241"/>
      <c r="BB974" s="241"/>
      <c r="BC974" s="241"/>
      <c r="BD974" s="241"/>
      <c r="BE974" s="241"/>
      <c r="BF974" s="241"/>
      <c r="BG974" s="241"/>
      <c r="BH974" s="241"/>
      <c r="BI974" s="241"/>
      <c r="BJ974" s="241"/>
      <c r="BK974" s="241"/>
      <c r="BL974" s="241"/>
      <c r="BM974" s="241"/>
    </row>
    <row r="975" spans="1:65" ht="13.5" customHeight="1" x14ac:dyDescent="0.3">
      <c r="A975" s="241"/>
      <c r="B975" s="241"/>
      <c r="C975" s="241"/>
      <c r="D975" s="241"/>
      <c r="E975" s="241"/>
      <c r="F975" s="241"/>
      <c r="G975" s="241"/>
      <c r="H975" s="241"/>
      <c r="I975" s="241"/>
      <c r="J975" s="241"/>
      <c r="K975" s="241"/>
      <c r="L975" s="241"/>
      <c r="M975" s="241"/>
      <c r="N975" s="241"/>
      <c r="O975" s="241"/>
      <c r="P975" s="241"/>
      <c r="Q975" s="241"/>
      <c r="R975" s="241"/>
      <c r="S975" s="241"/>
      <c r="T975" s="241"/>
      <c r="U975" s="241"/>
      <c r="V975" s="241"/>
      <c r="W975" s="241"/>
      <c r="X975" s="241"/>
      <c r="Y975" s="241"/>
      <c r="Z975" s="241"/>
      <c r="AA975" s="241"/>
      <c r="AB975" s="241"/>
      <c r="AC975" s="241"/>
      <c r="AD975" s="241"/>
      <c r="AE975" s="241"/>
      <c r="AF975" s="241"/>
      <c r="AG975" s="241"/>
      <c r="AH975" s="241"/>
      <c r="AI975" s="241"/>
      <c r="AJ975" s="241"/>
      <c r="AK975" s="241"/>
      <c r="AL975" s="241"/>
      <c r="AM975" s="241"/>
      <c r="AN975" s="241"/>
      <c r="AO975" s="241"/>
      <c r="AP975" s="241"/>
      <c r="AQ975" s="241"/>
      <c r="AR975" s="241"/>
      <c r="AS975" s="241"/>
      <c r="AT975" s="241"/>
      <c r="AU975" s="241"/>
      <c r="AV975" s="241"/>
      <c r="AW975" s="241"/>
      <c r="AX975" s="241"/>
      <c r="AY975" s="241"/>
      <c r="AZ975" s="241"/>
      <c r="BA975" s="241"/>
      <c r="BB975" s="241"/>
      <c r="BC975" s="241"/>
      <c r="BD975" s="241"/>
      <c r="BE975" s="241"/>
      <c r="BF975" s="241"/>
      <c r="BG975" s="241"/>
      <c r="BH975" s="241"/>
      <c r="BI975" s="241"/>
      <c r="BJ975" s="241"/>
      <c r="BK975" s="241"/>
      <c r="BL975" s="241"/>
      <c r="BM975" s="241"/>
    </row>
    <row r="976" spans="1:65" ht="13.5" customHeight="1" x14ac:dyDescent="0.3">
      <c r="A976" s="241"/>
      <c r="B976" s="241"/>
      <c r="C976" s="241"/>
      <c r="D976" s="241"/>
      <c r="E976" s="241"/>
      <c r="F976" s="241"/>
      <c r="G976" s="241"/>
      <c r="H976" s="241"/>
      <c r="I976" s="241"/>
      <c r="J976" s="241"/>
      <c r="K976" s="241"/>
      <c r="L976" s="241"/>
      <c r="M976" s="241"/>
      <c r="N976" s="241"/>
      <c r="O976" s="241"/>
      <c r="P976" s="241"/>
      <c r="Q976" s="241"/>
      <c r="R976" s="241"/>
      <c r="S976" s="241"/>
      <c r="T976" s="241"/>
      <c r="U976" s="241"/>
      <c r="V976" s="241"/>
      <c r="W976" s="241"/>
      <c r="X976" s="241"/>
      <c r="Y976" s="241"/>
      <c r="Z976" s="241"/>
      <c r="AA976" s="241"/>
      <c r="AB976" s="241"/>
      <c r="AC976" s="241"/>
      <c r="AD976" s="241"/>
      <c r="AE976" s="241"/>
      <c r="AF976" s="241"/>
      <c r="AG976" s="241"/>
      <c r="AH976" s="241"/>
      <c r="AI976" s="241"/>
      <c r="AJ976" s="241"/>
      <c r="AK976" s="241"/>
      <c r="AL976" s="241"/>
      <c r="AM976" s="241"/>
      <c r="AN976" s="241"/>
      <c r="AO976" s="241"/>
      <c r="AP976" s="241"/>
      <c r="AQ976" s="241"/>
      <c r="AR976" s="241"/>
      <c r="AS976" s="241"/>
      <c r="AT976" s="241"/>
      <c r="AU976" s="241"/>
      <c r="AV976" s="241"/>
      <c r="AW976" s="241"/>
      <c r="AX976" s="241"/>
      <c r="AY976" s="241"/>
      <c r="AZ976" s="241"/>
      <c r="BA976" s="241"/>
      <c r="BB976" s="241"/>
      <c r="BC976" s="241"/>
      <c r="BD976" s="241"/>
      <c r="BE976" s="241"/>
      <c r="BF976" s="241"/>
      <c r="BG976" s="241"/>
      <c r="BH976" s="241"/>
      <c r="BI976" s="241"/>
      <c r="BJ976" s="241"/>
      <c r="BK976" s="241"/>
      <c r="BL976" s="241"/>
      <c r="BM976" s="241"/>
    </row>
    <row r="977" spans="1:65" ht="13.5" customHeight="1" x14ac:dyDescent="0.3">
      <c r="A977" s="241"/>
      <c r="B977" s="241"/>
      <c r="C977" s="241"/>
      <c r="D977" s="241"/>
      <c r="E977" s="241"/>
      <c r="F977" s="241"/>
      <c r="G977" s="241"/>
      <c r="H977" s="241"/>
      <c r="I977" s="241"/>
      <c r="J977" s="241"/>
      <c r="K977" s="241"/>
      <c r="L977" s="241"/>
      <c r="M977" s="241"/>
      <c r="N977" s="241"/>
      <c r="O977" s="241"/>
      <c r="P977" s="241"/>
      <c r="Q977" s="241"/>
      <c r="R977" s="241"/>
      <c r="S977" s="241"/>
      <c r="T977" s="241"/>
      <c r="U977" s="241"/>
      <c r="V977" s="241"/>
      <c r="W977" s="241"/>
      <c r="X977" s="241"/>
      <c r="Y977" s="241"/>
      <c r="Z977" s="241"/>
      <c r="AA977" s="241"/>
      <c r="AB977" s="241"/>
      <c r="AC977" s="241"/>
      <c r="AD977" s="241"/>
      <c r="AE977" s="241"/>
      <c r="AF977" s="241"/>
      <c r="AG977" s="241"/>
      <c r="AH977" s="241"/>
      <c r="AI977" s="241"/>
      <c r="AJ977" s="241"/>
      <c r="AK977" s="241"/>
      <c r="AL977" s="241"/>
      <c r="AM977" s="241"/>
      <c r="AN977" s="241"/>
      <c r="AO977" s="241"/>
      <c r="AP977" s="241"/>
      <c r="AQ977" s="241"/>
      <c r="AR977" s="241"/>
      <c r="AS977" s="241"/>
      <c r="AT977" s="241"/>
      <c r="AU977" s="241"/>
      <c r="AV977" s="241"/>
      <c r="AW977" s="241"/>
      <c r="AX977" s="241"/>
      <c r="AY977" s="241"/>
      <c r="AZ977" s="241"/>
      <c r="BA977" s="241"/>
      <c r="BB977" s="241"/>
      <c r="BC977" s="241"/>
      <c r="BD977" s="241"/>
      <c r="BE977" s="241"/>
      <c r="BF977" s="241"/>
      <c r="BG977" s="241"/>
      <c r="BH977" s="241"/>
      <c r="BI977" s="241"/>
      <c r="BJ977" s="241"/>
      <c r="BK977" s="241"/>
      <c r="BL977" s="241"/>
      <c r="BM977" s="241"/>
    </row>
    <row r="978" spans="1:65" ht="13.5" customHeight="1" x14ac:dyDescent="0.3">
      <c r="A978" s="241"/>
      <c r="B978" s="241"/>
      <c r="C978" s="241"/>
      <c r="D978" s="241"/>
      <c r="E978" s="241"/>
      <c r="F978" s="241"/>
      <c r="G978" s="241"/>
      <c r="H978" s="241"/>
      <c r="I978" s="241"/>
      <c r="J978" s="241"/>
      <c r="K978" s="241"/>
      <c r="L978" s="241"/>
      <c r="M978" s="241"/>
      <c r="N978" s="241"/>
      <c r="O978" s="241"/>
      <c r="P978" s="241"/>
      <c r="Q978" s="241"/>
      <c r="R978" s="241"/>
      <c r="S978" s="241"/>
      <c r="T978" s="241"/>
      <c r="U978" s="241"/>
      <c r="V978" s="241"/>
      <c r="W978" s="241"/>
      <c r="X978" s="241"/>
      <c r="Y978" s="241"/>
      <c r="Z978" s="241"/>
      <c r="AA978" s="241"/>
      <c r="AB978" s="241"/>
      <c r="AC978" s="241"/>
      <c r="AD978" s="241"/>
      <c r="AE978" s="241"/>
      <c r="AF978" s="241"/>
      <c r="AG978" s="241"/>
      <c r="AH978" s="241"/>
      <c r="AI978" s="241"/>
      <c r="AJ978" s="241"/>
      <c r="AK978" s="241"/>
      <c r="AL978" s="241"/>
      <c r="AM978" s="241"/>
      <c r="AN978" s="241"/>
      <c r="AO978" s="241"/>
      <c r="AP978" s="241"/>
      <c r="AQ978" s="241"/>
      <c r="AR978" s="241"/>
      <c r="AS978" s="241"/>
      <c r="AT978" s="241"/>
      <c r="AU978" s="241"/>
      <c r="AV978" s="241"/>
      <c r="AW978" s="241"/>
      <c r="AX978" s="241"/>
      <c r="AY978" s="241"/>
      <c r="AZ978" s="241"/>
      <c r="BA978" s="241"/>
      <c r="BB978" s="241"/>
      <c r="BC978" s="241"/>
      <c r="BD978" s="241"/>
      <c r="BE978" s="241"/>
      <c r="BF978" s="241"/>
      <c r="BG978" s="241"/>
      <c r="BH978" s="241"/>
      <c r="BI978" s="241"/>
      <c r="BJ978" s="241"/>
      <c r="BK978" s="241"/>
      <c r="BL978" s="241"/>
      <c r="BM978" s="241"/>
    </row>
    <row r="979" spans="1:65" ht="13.5" customHeight="1" x14ac:dyDescent="0.3">
      <c r="A979" s="241"/>
      <c r="B979" s="241"/>
      <c r="C979" s="241"/>
      <c r="D979" s="241"/>
      <c r="E979" s="241"/>
      <c r="F979" s="241"/>
      <c r="G979" s="241"/>
      <c r="H979" s="241"/>
      <c r="I979" s="241"/>
      <c r="J979" s="241"/>
      <c r="K979" s="241"/>
      <c r="L979" s="241"/>
      <c r="M979" s="241"/>
      <c r="N979" s="241"/>
      <c r="O979" s="241"/>
      <c r="P979" s="241"/>
      <c r="Q979" s="241"/>
      <c r="R979" s="241"/>
      <c r="S979" s="241"/>
      <c r="T979" s="241"/>
      <c r="U979" s="241"/>
      <c r="V979" s="241"/>
      <c r="W979" s="241"/>
      <c r="X979" s="241"/>
      <c r="Y979" s="241"/>
      <c r="Z979" s="241"/>
      <c r="AA979" s="241"/>
      <c r="AB979" s="241"/>
      <c r="AC979" s="241"/>
      <c r="AD979" s="241"/>
      <c r="AE979" s="241"/>
      <c r="AF979" s="241"/>
      <c r="AG979" s="241"/>
      <c r="AH979" s="241"/>
      <c r="AI979" s="241"/>
      <c r="AJ979" s="241"/>
      <c r="AK979" s="241"/>
      <c r="AL979" s="241"/>
      <c r="AM979" s="241"/>
      <c r="AN979" s="241"/>
      <c r="AO979" s="241"/>
      <c r="AP979" s="241"/>
      <c r="AQ979" s="241"/>
      <c r="AR979" s="241"/>
      <c r="AS979" s="241"/>
      <c r="AT979" s="241"/>
      <c r="AU979" s="241"/>
      <c r="AV979" s="241"/>
      <c r="AW979" s="241"/>
      <c r="AX979" s="241"/>
      <c r="AY979" s="241"/>
      <c r="AZ979" s="241"/>
      <c r="BA979" s="241"/>
      <c r="BB979" s="241"/>
      <c r="BC979" s="241"/>
      <c r="BD979" s="241"/>
      <c r="BE979" s="241"/>
      <c r="BF979" s="241"/>
      <c r="BG979" s="241"/>
      <c r="BH979" s="241"/>
      <c r="BI979" s="241"/>
      <c r="BJ979" s="241"/>
      <c r="BK979" s="241"/>
      <c r="BL979" s="241"/>
      <c r="BM979" s="241"/>
    </row>
    <row r="980" spans="1:65" ht="13.5" customHeight="1" x14ac:dyDescent="0.3">
      <c r="A980" s="241"/>
      <c r="B980" s="241"/>
      <c r="C980" s="241"/>
      <c r="D980" s="241"/>
      <c r="E980" s="241"/>
      <c r="F980" s="241"/>
      <c r="G980" s="241"/>
      <c r="H980" s="241"/>
      <c r="I980" s="241"/>
      <c r="J980" s="241"/>
      <c r="K980" s="241"/>
      <c r="L980" s="241"/>
      <c r="M980" s="241"/>
      <c r="N980" s="241"/>
      <c r="O980" s="241"/>
      <c r="P980" s="241"/>
      <c r="Q980" s="241"/>
      <c r="R980" s="241"/>
      <c r="S980" s="241"/>
      <c r="T980" s="241"/>
      <c r="U980" s="241"/>
      <c r="V980" s="241"/>
      <c r="W980" s="241"/>
      <c r="X980" s="241"/>
      <c r="Y980" s="241"/>
      <c r="Z980" s="241"/>
      <c r="AA980" s="241"/>
      <c r="AB980" s="241"/>
      <c r="AC980" s="241"/>
      <c r="AD980" s="241"/>
      <c r="AE980" s="241"/>
      <c r="AF980" s="241"/>
      <c r="AG980" s="241"/>
      <c r="AH980" s="241"/>
      <c r="AI980" s="241"/>
      <c r="AJ980" s="241"/>
      <c r="AK980" s="241"/>
      <c r="AL980" s="241"/>
      <c r="AM980" s="241"/>
      <c r="AN980" s="241"/>
      <c r="AO980" s="241"/>
      <c r="AP980" s="241"/>
      <c r="AQ980" s="241"/>
      <c r="AR980" s="241"/>
      <c r="AS980" s="241"/>
      <c r="AT980" s="241"/>
      <c r="AU980" s="241"/>
      <c r="AV980" s="241"/>
      <c r="AW980" s="241"/>
      <c r="AX980" s="241"/>
      <c r="AY980" s="241"/>
      <c r="AZ980" s="241"/>
      <c r="BA980" s="241"/>
      <c r="BB980" s="241"/>
      <c r="BC980" s="241"/>
      <c r="BD980" s="241"/>
      <c r="BE980" s="241"/>
      <c r="BF980" s="241"/>
      <c r="BG980" s="241"/>
      <c r="BH980" s="241"/>
      <c r="BI980" s="241"/>
      <c r="BJ980" s="241"/>
      <c r="BK980" s="241"/>
      <c r="BL980" s="241"/>
      <c r="BM980" s="241"/>
    </row>
    <row r="981" spans="1:65" ht="13.5" customHeight="1" x14ac:dyDescent="0.3">
      <c r="A981" s="241"/>
      <c r="B981" s="241"/>
      <c r="C981" s="241"/>
      <c r="D981" s="241"/>
      <c r="E981" s="241"/>
      <c r="F981" s="241"/>
      <c r="G981" s="241"/>
      <c r="H981" s="241"/>
      <c r="I981" s="241"/>
      <c r="J981" s="241"/>
      <c r="K981" s="241"/>
      <c r="L981" s="241"/>
      <c r="M981" s="241"/>
      <c r="N981" s="241"/>
      <c r="O981" s="241"/>
      <c r="P981" s="241"/>
      <c r="Q981" s="241"/>
      <c r="R981" s="241"/>
      <c r="S981" s="241"/>
      <c r="T981" s="241"/>
      <c r="U981" s="241"/>
      <c r="V981" s="241"/>
      <c r="W981" s="241"/>
      <c r="X981" s="241"/>
      <c r="Y981" s="241"/>
      <c r="Z981" s="241"/>
      <c r="AA981" s="241"/>
      <c r="AB981" s="241"/>
      <c r="AC981" s="241"/>
      <c r="AD981" s="241"/>
      <c r="AE981" s="241"/>
      <c r="AF981" s="241"/>
      <c r="AG981" s="241"/>
      <c r="AH981" s="241"/>
      <c r="AI981" s="241"/>
      <c r="AJ981" s="241"/>
      <c r="AK981" s="241"/>
      <c r="AL981" s="241"/>
      <c r="AM981" s="241"/>
      <c r="AN981" s="241"/>
      <c r="AO981" s="241"/>
      <c r="AP981" s="241"/>
      <c r="AQ981" s="241"/>
      <c r="AR981" s="241"/>
      <c r="AS981" s="241"/>
      <c r="AT981" s="241"/>
      <c r="AU981" s="241"/>
      <c r="AV981" s="241"/>
      <c r="AW981" s="241"/>
      <c r="AX981" s="241"/>
      <c r="AY981" s="241"/>
      <c r="AZ981" s="241"/>
      <c r="BA981" s="241"/>
      <c r="BB981" s="241"/>
      <c r="BC981" s="241"/>
      <c r="BD981" s="241"/>
      <c r="BE981" s="241"/>
      <c r="BF981" s="241"/>
      <c r="BG981" s="241"/>
      <c r="BH981" s="241"/>
      <c r="BI981" s="241"/>
      <c r="BJ981" s="241"/>
      <c r="BK981" s="241"/>
      <c r="BL981" s="241"/>
      <c r="BM981" s="241"/>
    </row>
    <row r="982" spans="1:65" ht="13.5" customHeight="1" x14ac:dyDescent="0.3">
      <c r="A982" s="241"/>
      <c r="B982" s="241"/>
      <c r="C982" s="241"/>
      <c r="D982" s="241"/>
      <c r="E982" s="241"/>
      <c r="F982" s="241"/>
      <c r="G982" s="241"/>
      <c r="H982" s="241"/>
      <c r="I982" s="241"/>
      <c r="J982" s="241"/>
      <c r="K982" s="241"/>
      <c r="L982" s="241"/>
      <c r="M982" s="241"/>
      <c r="N982" s="241"/>
      <c r="O982" s="241"/>
      <c r="P982" s="241"/>
      <c r="Q982" s="241"/>
      <c r="R982" s="241"/>
      <c r="S982" s="241"/>
      <c r="T982" s="241"/>
      <c r="U982" s="241"/>
      <c r="V982" s="241"/>
      <c r="W982" s="241"/>
      <c r="X982" s="241"/>
      <c r="Y982" s="241"/>
      <c r="Z982" s="241"/>
      <c r="AA982" s="241"/>
      <c r="AB982" s="241"/>
      <c r="AC982" s="241"/>
      <c r="AD982" s="241"/>
      <c r="AE982" s="241"/>
      <c r="AF982" s="241"/>
      <c r="AG982" s="241"/>
      <c r="AH982" s="241"/>
      <c r="AI982" s="241"/>
      <c r="AJ982" s="241"/>
      <c r="AK982" s="241"/>
      <c r="AL982" s="241"/>
      <c r="AM982" s="241"/>
      <c r="AN982" s="241"/>
      <c r="AO982" s="241"/>
      <c r="AP982" s="241"/>
      <c r="AQ982" s="241"/>
      <c r="AR982" s="241"/>
      <c r="AS982" s="241"/>
      <c r="AT982" s="241"/>
      <c r="AU982" s="241"/>
      <c r="AV982" s="241"/>
      <c r="AW982" s="241"/>
      <c r="AX982" s="241"/>
      <c r="AY982" s="241"/>
      <c r="AZ982" s="241"/>
      <c r="BA982" s="241"/>
      <c r="BB982" s="241"/>
      <c r="BC982" s="241"/>
      <c r="BD982" s="241"/>
      <c r="BE982" s="241"/>
      <c r="BF982" s="241"/>
      <c r="BG982" s="241"/>
      <c r="BH982" s="241"/>
      <c r="BI982" s="241"/>
      <c r="BJ982" s="241"/>
      <c r="BK982" s="241"/>
      <c r="BL982" s="241"/>
      <c r="BM982" s="241"/>
    </row>
    <row r="983" spans="1:65" ht="13.5" customHeight="1" x14ac:dyDescent="0.3">
      <c r="A983" s="241"/>
      <c r="B983" s="241"/>
      <c r="C983" s="241"/>
      <c r="D983" s="241"/>
      <c r="E983" s="241"/>
      <c r="F983" s="241"/>
      <c r="G983" s="241"/>
      <c r="H983" s="241"/>
      <c r="I983" s="241"/>
      <c r="J983" s="241"/>
      <c r="K983" s="241"/>
      <c r="L983" s="241"/>
      <c r="M983" s="241"/>
      <c r="N983" s="241"/>
      <c r="O983" s="241"/>
      <c r="P983" s="241"/>
      <c r="Q983" s="241"/>
      <c r="R983" s="241"/>
      <c r="S983" s="241"/>
      <c r="T983" s="241"/>
      <c r="U983" s="241"/>
      <c r="V983" s="241"/>
      <c r="W983" s="241"/>
      <c r="X983" s="241"/>
      <c r="Y983" s="241"/>
      <c r="Z983" s="241"/>
      <c r="AA983" s="241"/>
      <c r="AB983" s="241"/>
      <c r="AC983" s="241"/>
      <c r="AD983" s="241"/>
      <c r="AE983" s="241"/>
      <c r="AF983" s="241"/>
      <c r="AG983" s="241"/>
      <c r="AH983" s="241"/>
      <c r="AI983" s="241"/>
      <c r="AJ983" s="241"/>
      <c r="AK983" s="241"/>
      <c r="AL983" s="241"/>
      <c r="AM983" s="241"/>
      <c r="AN983" s="241"/>
      <c r="AO983" s="241"/>
      <c r="AP983" s="241"/>
      <c r="AQ983" s="241"/>
      <c r="AR983" s="241"/>
      <c r="AS983" s="241"/>
      <c r="AT983" s="241"/>
      <c r="AU983" s="241"/>
      <c r="AV983" s="241"/>
      <c r="AW983" s="241"/>
      <c r="AX983" s="241"/>
      <c r="AY983" s="241"/>
      <c r="AZ983" s="241"/>
      <c r="BA983" s="241"/>
      <c r="BB983" s="241"/>
      <c r="BC983" s="241"/>
      <c r="BD983" s="241"/>
      <c r="BE983" s="241"/>
      <c r="BF983" s="241"/>
      <c r="BG983" s="241"/>
      <c r="BH983" s="241"/>
      <c r="BI983" s="241"/>
      <c r="BJ983" s="241"/>
      <c r="BK983" s="241"/>
      <c r="BL983" s="241"/>
      <c r="BM983" s="241"/>
    </row>
    <row r="984" spans="1:65" ht="13.5" customHeight="1" x14ac:dyDescent="0.3">
      <c r="A984" s="241"/>
      <c r="B984" s="241"/>
      <c r="C984" s="241"/>
      <c r="D984" s="241"/>
      <c r="E984" s="241"/>
      <c r="F984" s="241"/>
      <c r="G984" s="241"/>
      <c r="H984" s="241"/>
      <c r="I984" s="241"/>
      <c r="J984" s="241"/>
      <c r="K984" s="241"/>
      <c r="L984" s="241"/>
      <c r="M984" s="241"/>
      <c r="N984" s="241"/>
      <c r="O984" s="241"/>
      <c r="P984" s="241"/>
      <c r="Q984" s="241"/>
      <c r="R984" s="241"/>
      <c r="S984" s="241"/>
      <c r="T984" s="241"/>
      <c r="U984" s="241"/>
      <c r="V984" s="241"/>
      <c r="W984" s="241"/>
      <c r="X984" s="241"/>
      <c r="Y984" s="241"/>
      <c r="Z984" s="241"/>
      <c r="AA984" s="241"/>
      <c r="AB984" s="241"/>
      <c r="AC984" s="241"/>
      <c r="AD984" s="241"/>
      <c r="AE984" s="241"/>
      <c r="AF984" s="241"/>
      <c r="AG984" s="241"/>
      <c r="AH984" s="241"/>
      <c r="AI984" s="241"/>
      <c r="AJ984" s="241"/>
      <c r="AK984" s="241"/>
      <c r="AL984" s="241"/>
      <c r="AM984" s="241"/>
      <c r="AN984" s="241"/>
      <c r="AO984" s="241"/>
      <c r="AP984" s="241"/>
      <c r="AQ984" s="241"/>
      <c r="AR984" s="241"/>
      <c r="AS984" s="241"/>
      <c r="AT984" s="241"/>
      <c r="AU984" s="241"/>
      <c r="AV984" s="241"/>
      <c r="AW984" s="241"/>
      <c r="AX984" s="241"/>
      <c r="AY984" s="241"/>
      <c r="AZ984" s="241"/>
      <c r="BA984" s="241"/>
      <c r="BB984" s="241"/>
      <c r="BC984" s="241"/>
      <c r="BD984" s="241"/>
      <c r="BE984" s="241"/>
      <c r="BF984" s="241"/>
      <c r="BG984" s="241"/>
      <c r="BH984" s="241"/>
      <c r="BI984" s="241"/>
      <c r="BJ984" s="241"/>
      <c r="BK984" s="241"/>
      <c r="BL984" s="241"/>
      <c r="BM984" s="241"/>
    </row>
    <row r="985" spans="1:65" ht="13.5" customHeight="1" x14ac:dyDescent="0.3">
      <c r="A985" s="241"/>
      <c r="B985" s="241"/>
      <c r="C985" s="241"/>
      <c r="D985" s="241"/>
      <c r="E985" s="241"/>
      <c r="F985" s="241"/>
      <c r="G985" s="241"/>
      <c r="H985" s="241"/>
      <c r="I985" s="241"/>
      <c r="J985" s="241"/>
      <c r="K985" s="241"/>
      <c r="L985" s="241"/>
      <c r="M985" s="241"/>
      <c r="N985" s="241"/>
      <c r="O985" s="241"/>
      <c r="P985" s="241"/>
      <c r="Q985" s="241"/>
      <c r="R985" s="241"/>
      <c r="S985" s="241"/>
      <c r="T985" s="241"/>
      <c r="U985" s="241"/>
      <c r="V985" s="241"/>
      <c r="W985" s="241"/>
      <c r="X985" s="241"/>
      <c r="Y985" s="241"/>
      <c r="Z985" s="241"/>
      <c r="AA985" s="241"/>
      <c r="AB985" s="241"/>
      <c r="AC985" s="241"/>
      <c r="AD985" s="241"/>
      <c r="AE985" s="241"/>
      <c r="AF985" s="241"/>
      <c r="AG985" s="241"/>
      <c r="AH985" s="241"/>
      <c r="AI985" s="241"/>
      <c r="AJ985" s="241"/>
      <c r="AK985" s="241"/>
      <c r="AL985" s="241"/>
      <c r="AM985" s="241"/>
      <c r="AN985" s="241"/>
      <c r="AO985" s="241"/>
      <c r="AP985" s="241"/>
      <c r="AQ985" s="241"/>
      <c r="AR985" s="241"/>
      <c r="AS985" s="241"/>
      <c r="AT985" s="241"/>
      <c r="AU985" s="241"/>
      <c r="AV985" s="241"/>
      <c r="AW985" s="241"/>
      <c r="AX985" s="241"/>
      <c r="AY985" s="241"/>
      <c r="AZ985" s="241"/>
      <c r="BA985" s="241"/>
      <c r="BB985" s="241"/>
      <c r="BC985" s="241"/>
      <c r="BD985" s="241"/>
      <c r="BE985" s="241"/>
      <c r="BF985" s="241"/>
      <c r="BG985" s="241"/>
      <c r="BH985" s="241"/>
      <c r="BI985" s="241"/>
      <c r="BJ985" s="241"/>
      <c r="BK985" s="241"/>
      <c r="BL985" s="241"/>
      <c r="BM985" s="241"/>
    </row>
    <row r="986" spans="1:65" ht="13.5" customHeight="1" x14ac:dyDescent="0.3">
      <c r="A986" s="241"/>
      <c r="B986" s="241"/>
      <c r="C986" s="241"/>
      <c r="D986" s="241"/>
      <c r="E986" s="241"/>
      <c r="F986" s="241"/>
      <c r="G986" s="241"/>
      <c r="H986" s="241"/>
      <c r="I986" s="241"/>
      <c r="J986" s="241"/>
      <c r="K986" s="241"/>
      <c r="L986" s="241"/>
      <c r="M986" s="241"/>
      <c r="N986" s="241"/>
      <c r="O986" s="241"/>
      <c r="P986" s="241"/>
      <c r="Q986" s="241"/>
      <c r="R986" s="241"/>
      <c r="S986" s="241"/>
      <c r="T986" s="241"/>
      <c r="U986" s="241"/>
      <c r="V986" s="241"/>
      <c r="W986" s="241"/>
      <c r="X986" s="241"/>
      <c r="Y986" s="241"/>
      <c r="Z986" s="241"/>
      <c r="AA986" s="241"/>
      <c r="AB986" s="241"/>
      <c r="AC986" s="241"/>
      <c r="AD986" s="241"/>
      <c r="AE986" s="241"/>
      <c r="AF986" s="241"/>
      <c r="AG986" s="241"/>
      <c r="AH986" s="241"/>
      <c r="AI986" s="241"/>
      <c r="AJ986" s="241"/>
      <c r="AK986" s="241"/>
      <c r="AL986" s="241"/>
      <c r="AM986" s="241"/>
      <c r="AN986" s="241"/>
      <c r="AO986" s="241"/>
      <c r="AP986" s="241"/>
      <c r="AQ986" s="241"/>
      <c r="AR986" s="241"/>
      <c r="AS986" s="241"/>
      <c r="AT986" s="241"/>
      <c r="AU986" s="241"/>
      <c r="AV986" s="241"/>
      <c r="AW986" s="241"/>
      <c r="AX986" s="241"/>
      <c r="AY986" s="241"/>
      <c r="AZ986" s="241"/>
      <c r="BA986" s="241"/>
      <c r="BB986" s="241"/>
      <c r="BC986" s="241"/>
      <c r="BD986" s="241"/>
      <c r="BE986" s="241"/>
      <c r="BF986" s="241"/>
      <c r="BG986" s="241"/>
      <c r="BH986" s="241"/>
      <c r="BI986" s="241"/>
      <c r="BJ986" s="241"/>
      <c r="BK986" s="241"/>
      <c r="BL986" s="241"/>
      <c r="BM986" s="241"/>
    </row>
    <row r="987" spans="1:65" ht="13.5" customHeight="1" x14ac:dyDescent="0.3">
      <c r="A987" s="241"/>
      <c r="B987" s="241"/>
      <c r="C987" s="241"/>
      <c r="D987" s="241"/>
      <c r="E987" s="241"/>
      <c r="F987" s="241"/>
      <c r="G987" s="241"/>
      <c r="H987" s="241"/>
      <c r="I987" s="241"/>
      <c r="J987" s="241"/>
      <c r="K987" s="241"/>
      <c r="L987" s="241"/>
      <c r="M987" s="241"/>
      <c r="N987" s="241"/>
      <c r="O987" s="241"/>
      <c r="P987" s="241"/>
      <c r="Q987" s="241"/>
      <c r="R987" s="241"/>
      <c r="S987" s="241"/>
      <c r="T987" s="241"/>
      <c r="U987" s="241"/>
      <c r="V987" s="241"/>
      <c r="W987" s="241"/>
      <c r="X987" s="241"/>
      <c r="Y987" s="241"/>
      <c r="Z987" s="241"/>
      <c r="AA987" s="241"/>
      <c r="AB987" s="241"/>
      <c r="AC987" s="241"/>
      <c r="AD987" s="241"/>
      <c r="AE987" s="241"/>
      <c r="AF987" s="241"/>
      <c r="AG987" s="241"/>
      <c r="AH987" s="241"/>
      <c r="AI987" s="241"/>
      <c r="AJ987" s="241"/>
      <c r="AK987" s="241"/>
      <c r="AL987" s="241"/>
      <c r="AM987" s="241"/>
      <c r="AN987" s="241"/>
      <c r="AO987" s="241"/>
      <c r="AP987" s="241"/>
      <c r="AQ987" s="241"/>
      <c r="AR987" s="241"/>
      <c r="AS987" s="241"/>
      <c r="AT987" s="241"/>
      <c r="AU987" s="241"/>
      <c r="AV987" s="241"/>
      <c r="AW987" s="241"/>
      <c r="AX987" s="241"/>
      <c r="AY987" s="241"/>
      <c r="AZ987" s="241"/>
      <c r="BA987" s="241"/>
      <c r="BB987" s="241"/>
      <c r="BC987" s="241"/>
      <c r="BD987" s="241"/>
      <c r="BE987" s="241"/>
      <c r="BF987" s="241"/>
      <c r="BG987" s="241"/>
      <c r="BH987" s="241"/>
      <c r="BI987" s="241"/>
      <c r="BJ987" s="241"/>
      <c r="BK987" s="241"/>
      <c r="BL987" s="241"/>
      <c r="BM987" s="241"/>
    </row>
    <row r="988" spans="1:65" ht="13.5" customHeight="1" x14ac:dyDescent="0.3">
      <c r="A988" s="241"/>
      <c r="B988" s="241"/>
      <c r="C988" s="241"/>
      <c r="D988" s="241"/>
      <c r="E988" s="241"/>
      <c r="F988" s="241"/>
      <c r="G988" s="241"/>
      <c r="H988" s="241"/>
      <c r="I988" s="241"/>
      <c r="J988" s="241"/>
      <c r="K988" s="241"/>
      <c r="L988" s="241"/>
      <c r="M988" s="241"/>
      <c r="N988" s="241"/>
      <c r="O988" s="241"/>
      <c r="P988" s="241"/>
      <c r="Q988" s="241"/>
      <c r="R988" s="241"/>
      <c r="S988" s="241"/>
      <c r="T988" s="241"/>
      <c r="U988" s="241"/>
      <c r="V988" s="241"/>
      <c r="W988" s="241"/>
      <c r="X988" s="241"/>
      <c r="Y988" s="241"/>
      <c r="Z988" s="241"/>
      <c r="AA988" s="241"/>
      <c r="AB988" s="241"/>
      <c r="AC988" s="241"/>
      <c r="AD988" s="241"/>
      <c r="AE988" s="241"/>
      <c r="AF988" s="241"/>
      <c r="AG988" s="241"/>
      <c r="AH988" s="241"/>
      <c r="AI988" s="241"/>
      <c r="AJ988" s="241"/>
      <c r="AK988" s="241"/>
      <c r="AL988" s="241"/>
      <c r="AM988" s="241"/>
      <c r="AN988" s="241"/>
      <c r="AO988" s="241"/>
      <c r="AP988" s="241"/>
      <c r="AQ988" s="241"/>
      <c r="AR988" s="241"/>
      <c r="AS988" s="241"/>
      <c r="AT988" s="241"/>
      <c r="AU988" s="241"/>
      <c r="AV988" s="241"/>
      <c r="AW988" s="241"/>
      <c r="AX988" s="241"/>
      <c r="AY988" s="241"/>
      <c r="AZ988" s="241"/>
      <c r="BA988" s="241"/>
      <c r="BB988" s="241"/>
      <c r="BC988" s="241"/>
      <c r="BD988" s="241"/>
      <c r="BE988" s="241"/>
      <c r="BF988" s="241"/>
      <c r="BG988" s="241"/>
      <c r="BH988" s="241"/>
      <c r="BI988" s="241"/>
      <c r="BJ988" s="241"/>
      <c r="BK988" s="241"/>
      <c r="BL988" s="241"/>
      <c r="BM988" s="241"/>
    </row>
    <row r="989" spans="1:65" ht="13.5" customHeight="1" x14ac:dyDescent="0.3">
      <c r="A989" s="241"/>
      <c r="B989" s="241"/>
      <c r="C989" s="241"/>
      <c r="D989" s="241"/>
      <c r="E989" s="241"/>
      <c r="F989" s="241"/>
      <c r="G989" s="241"/>
      <c r="H989" s="241"/>
      <c r="I989" s="241"/>
      <c r="J989" s="241"/>
      <c r="K989" s="241"/>
      <c r="L989" s="241"/>
      <c r="M989" s="241"/>
      <c r="N989" s="241"/>
      <c r="O989" s="241"/>
      <c r="P989" s="241"/>
      <c r="Q989" s="241"/>
      <c r="R989" s="241"/>
      <c r="S989" s="241"/>
      <c r="T989" s="241"/>
      <c r="U989" s="241"/>
      <c r="V989" s="241"/>
      <c r="W989" s="241"/>
      <c r="X989" s="241"/>
      <c r="Y989" s="241"/>
      <c r="Z989" s="241"/>
      <c r="AA989" s="241"/>
      <c r="AB989" s="241"/>
      <c r="AC989" s="241"/>
      <c r="AD989" s="241"/>
      <c r="AE989" s="241"/>
      <c r="AF989" s="241"/>
      <c r="AG989" s="241"/>
      <c r="AH989" s="241"/>
      <c r="AI989" s="241"/>
      <c r="AJ989" s="241"/>
      <c r="AK989" s="241"/>
      <c r="AL989" s="241"/>
      <c r="AM989" s="241"/>
      <c r="AN989" s="241"/>
      <c r="AO989" s="241"/>
      <c r="AP989" s="241"/>
      <c r="AQ989" s="241"/>
      <c r="AR989" s="241"/>
      <c r="AS989" s="241"/>
      <c r="AT989" s="241"/>
      <c r="AU989" s="241"/>
      <c r="AV989" s="241"/>
      <c r="AW989" s="241"/>
      <c r="AX989" s="241"/>
      <c r="AY989" s="241"/>
      <c r="AZ989" s="241"/>
      <c r="BA989" s="241"/>
      <c r="BB989" s="241"/>
      <c r="BC989" s="241"/>
      <c r="BD989" s="241"/>
      <c r="BE989" s="241"/>
      <c r="BF989" s="241"/>
      <c r="BG989" s="241"/>
      <c r="BH989" s="241"/>
      <c r="BI989" s="241"/>
      <c r="BJ989" s="241"/>
      <c r="BK989" s="241"/>
      <c r="BL989" s="241"/>
      <c r="BM989" s="241"/>
    </row>
    <row r="990" spans="1:65" ht="13.5" customHeight="1" x14ac:dyDescent="0.3">
      <c r="A990" s="241"/>
      <c r="B990" s="241"/>
      <c r="C990" s="241"/>
      <c r="D990" s="241"/>
      <c r="E990" s="241"/>
      <c r="F990" s="241"/>
      <c r="G990" s="241"/>
      <c r="H990" s="241"/>
      <c r="I990" s="241"/>
      <c r="J990" s="241"/>
      <c r="K990" s="241"/>
      <c r="L990" s="241"/>
      <c r="M990" s="241"/>
      <c r="N990" s="241"/>
      <c r="O990" s="241"/>
      <c r="P990" s="241"/>
      <c r="Q990" s="241"/>
      <c r="R990" s="241"/>
      <c r="S990" s="241"/>
      <c r="T990" s="241"/>
      <c r="U990" s="241"/>
      <c r="V990" s="241"/>
      <c r="W990" s="241"/>
      <c r="X990" s="241"/>
      <c r="Y990" s="241"/>
      <c r="Z990" s="241"/>
      <c r="AA990" s="241"/>
      <c r="AB990" s="241"/>
      <c r="AC990" s="241"/>
      <c r="AD990" s="241"/>
      <c r="AE990" s="241"/>
      <c r="AF990" s="241"/>
      <c r="AG990" s="241"/>
      <c r="AH990" s="241"/>
      <c r="AI990" s="241"/>
      <c r="AJ990" s="241"/>
      <c r="AK990" s="241"/>
      <c r="AL990" s="241"/>
      <c r="AM990" s="241"/>
      <c r="AN990" s="241"/>
      <c r="AO990" s="241"/>
      <c r="AP990" s="241"/>
      <c r="AQ990" s="241"/>
      <c r="AR990" s="241"/>
      <c r="AS990" s="241"/>
      <c r="AT990" s="241"/>
      <c r="AU990" s="241"/>
      <c r="AV990" s="241"/>
      <c r="AW990" s="241"/>
      <c r="AX990" s="241"/>
      <c r="AY990" s="241"/>
      <c r="AZ990" s="241"/>
      <c r="BA990" s="241"/>
      <c r="BB990" s="241"/>
      <c r="BC990" s="241"/>
      <c r="BD990" s="241"/>
      <c r="BE990" s="241"/>
      <c r="BF990" s="241"/>
      <c r="BG990" s="241"/>
      <c r="BH990" s="241"/>
      <c r="BI990" s="241"/>
      <c r="BJ990" s="241"/>
      <c r="BK990" s="241"/>
      <c r="BL990" s="241"/>
      <c r="BM990" s="241"/>
    </row>
  </sheetData>
  <autoFilter ref="A1:BM2" xr:uid="{00000000-0009-0000-0000-000020000000}"/>
  <pageMargins left="0.7" right="0.7" top="0.75" bottom="0.75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261C9-413D-4FD4-A0AA-B693F603429F}">
  <sheetPr>
    <tabColor rgb="FFE5E5E5"/>
  </sheetPr>
  <dimension ref="A1:Q4755"/>
  <sheetViews>
    <sheetView workbookViewId="0">
      <pane ySplit="1" topLeftCell="A36" activePane="bottomLeft" state="frozen"/>
      <selection activeCell="E23" sqref="E23"/>
      <selection pane="bottomLeft" activeCell="J1" sqref="J1"/>
    </sheetView>
  </sheetViews>
  <sheetFormatPr defaultColWidth="12.6328125" defaultRowHeight="15" customHeight="1" x14ac:dyDescent="0.25"/>
  <cols>
    <col min="1" max="1" width="17.453125" style="242" customWidth="1"/>
    <col min="2" max="2" width="15.90625" style="242" customWidth="1"/>
    <col min="3" max="4" width="14.6328125" style="242" customWidth="1"/>
    <col min="5" max="5" width="15.90625" style="242" customWidth="1"/>
    <col min="6" max="8" width="11.453125" style="242" customWidth="1"/>
    <col min="9" max="9" width="17.453125" style="242" customWidth="1"/>
    <col min="10" max="14" width="14.6328125" style="242" customWidth="1"/>
    <col min="15" max="17" width="11.453125" style="242" customWidth="1"/>
    <col min="18" max="16384" width="12.6328125" style="242"/>
  </cols>
  <sheetData>
    <row r="1" spans="1:17" ht="13.5" customHeight="1" x14ac:dyDescent="0.45">
      <c r="A1" s="241"/>
      <c r="B1" s="284" t="s">
        <v>2306</v>
      </c>
      <c r="C1" s="284" t="s">
        <v>2307</v>
      </c>
      <c r="D1" s="284" t="s">
        <v>2308</v>
      </c>
      <c r="E1" s="285" t="s">
        <v>2309</v>
      </c>
      <c r="F1" s="241"/>
      <c r="G1" s="241"/>
      <c r="H1" s="241"/>
      <c r="I1" s="241"/>
      <c r="J1" s="284" t="s">
        <v>2306</v>
      </c>
      <c r="K1" s="284" t="s">
        <v>2307</v>
      </c>
      <c r="L1" s="284" t="s">
        <v>2308</v>
      </c>
      <c r="M1" s="284" t="s">
        <v>2310</v>
      </c>
      <c r="N1" s="285" t="s">
        <v>2309</v>
      </c>
      <c r="O1" s="241"/>
      <c r="P1" s="241"/>
      <c r="Q1" s="241"/>
    </row>
    <row r="2" spans="1:17" ht="13.5" customHeight="1" x14ac:dyDescent="0.3">
      <c r="A2" s="287" t="s">
        <v>2003</v>
      </c>
      <c r="B2" s="286">
        <f>SUMIF(ERP!H:H,A2,ERP!Q:Q)+SUMIFS(SAP!J:J,SAP!E:E,A2,SAP!AA:AA,"rev")</f>
        <v>-3855555.79</v>
      </c>
      <c r="C2" s="286">
        <f>SUMIF(sf!AY:AY,A2,sf!AN:AN)</f>
        <v>3855555.79</v>
      </c>
      <c r="D2" s="286">
        <f>SUMIF(CRM_PREV_M!AV:AV,A2,CRM_PREV_M!AL:AL)</f>
        <v>0</v>
      </c>
      <c r="E2" s="286">
        <f t="shared" ref="E2:E33" si="0">B2+C2+D2</f>
        <v>0</v>
      </c>
      <c r="F2" s="241"/>
      <c r="G2" s="241"/>
      <c r="H2" s="241"/>
      <c r="I2" s="241" t="s">
        <v>2319</v>
      </c>
      <c r="J2" s="286">
        <f>SUMIF(ERP!H:H,I2,ERP!Q:Q)+SUMIFS(SAP!J:J,SAP!E:E,I2,SAP!AA:AA,"COGS")</f>
        <v>711256.74</v>
      </c>
      <c r="K2" s="286">
        <f>SUMIFS(sf!AP:AP,sf!BB:BB,I2)</f>
        <v>711256.74</v>
      </c>
      <c r="L2" s="286">
        <f>SUMIF(CRM_PREV_M!AX:AX,I2,CRM_PREV_M!AN:AN)</f>
        <v>0</v>
      </c>
      <c r="M2" s="286">
        <f>SUMIF(CONC_PREV_M!B:B,I2,CONC_PREV_M!I:I)</f>
        <v>0</v>
      </c>
      <c r="N2" s="286">
        <f t="shared" ref="N2" si="1">J2-K2-L2-M2</f>
        <v>0</v>
      </c>
      <c r="O2" s="241"/>
      <c r="P2" s="241"/>
      <c r="Q2" s="241"/>
    </row>
    <row r="3" spans="1:17" ht="13.5" customHeight="1" x14ac:dyDescent="0.3">
      <c r="A3" s="287" t="s">
        <v>2084</v>
      </c>
      <c r="B3" s="286">
        <f>SUMIF(ERP!H:H,A3,ERP!Q:Q)+SUMIFS(SAP!J:J,SAP!E:E,A3,SAP!AA:AA,"rev")</f>
        <v>-3113913.08</v>
      </c>
      <c r="C3" s="286">
        <f>SUMIF(sf!AY:AY,A3,sf!AN:AN)</f>
        <v>3113913.08</v>
      </c>
      <c r="D3" s="286">
        <f>SUMIF(CRM_PREV_M!AV:AV,A3,CRM_PREV_M!AL:AL)</f>
        <v>0</v>
      </c>
      <c r="E3" s="286">
        <f t="shared" si="0"/>
        <v>0</v>
      </c>
      <c r="F3" s="241"/>
      <c r="G3" s="241"/>
      <c r="H3" s="241"/>
      <c r="I3" s="241" t="s">
        <v>2246</v>
      </c>
      <c r="J3" s="286">
        <f>SUMIF(ERP!H:H,I3,ERP!Q:Q)+SUMIFS(SAP!J:J,SAP!E:E,I3,SAP!AA:AA,"COGS")</f>
        <v>2330587.09</v>
      </c>
      <c r="K3" s="286">
        <f>SUMIFS(sf!AP:AP,sf!BB:BB,I3)</f>
        <v>2330587.2400000002</v>
      </c>
      <c r="L3" s="286">
        <f>SUMIF(CRM_PREV_M!AX:AX,I3,CRM_PREV_M!AN:AN)</f>
        <v>0</v>
      </c>
      <c r="M3" s="286">
        <f>SUMIF(CONC_PREV_M!B:B,I3,CONC_PREV_M!I:I)</f>
        <v>0</v>
      </c>
      <c r="N3" s="286">
        <f t="shared" ref="N3:N13" si="2">J3-K3-L3-M3</f>
        <v>-0.15000000037252903</v>
      </c>
      <c r="O3" s="241"/>
      <c r="P3" s="241"/>
      <c r="Q3" s="241"/>
    </row>
    <row r="4" spans="1:17" ht="13.5" customHeight="1" x14ac:dyDescent="0.3">
      <c r="A4" s="287" t="s">
        <v>2028</v>
      </c>
      <c r="B4" s="286">
        <f>SUMIF(ERP!H:H,A4,ERP!Q:Q)+SUMIFS(SAP!J:J,SAP!E:E,A4,SAP!AA:AA,"rev")</f>
        <v>-2687841.46</v>
      </c>
      <c r="C4" s="286">
        <f>SUMIF(sf!AY:AY,A4,sf!AN:AN)</f>
        <v>2687841.46</v>
      </c>
      <c r="D4" s="286">
        <f>SUMIF(CRM_PREV_M!AV:AV,A4,CRM_PREV_M!AL:AL)</f>
        <v>0</v>
      </c>
      <c r="E4" s="286">
        <f t="shared" si="0"/>
        <v>0</v>
      </c>
      <c r="F4" s="241"/>
      <c r="G4" s="241"/>
      <c r="H4" s="241"/>
      <c r="I4" s="241" t="s">
        <v>2244</v>
      </c>
      <c r="J4" s="286">
        <f>SUMIF(ERP!H:H,I4,ERP!Q:Q)+SUMIFS(SAP!J:J,SAP!E:E,I4,SAP!AA:AA,"COGS")</f>
        <v>1882282.6100000003</v>
      </c>
      <c r="K4" s="286">
        <f>SUMIFS(sf!AP:AP,sf!BB:BB,I4)</f>
        <v>1882282.73</v>
      </c>
      <c r="L4" s="286">
        <f>SUMIF(CRM_PREV_M!AX:AX,I4,CRM_PREV_M!AN:AN)</f>
        <v>0</v>
      </c>
      <c r="M4" s="286">
        <f>SUMIF(CONC_PREV_M!B:B,I4,CONC_PREV_M!I:I)</f>
        <v>0</v>
      </c>
      <c r="N4" s="286">
        <f t="shared" si="2"/>
        <v>-0.11999999964609742</v>
      </c>
      <c r="O4" s="241"/>
      <c r="P4" s="241"/>
      <c r="Q4" s="241"/>
    </row>
    <row r="5" spans="1:17" ht="13.5" customHeight="1" x14ac:dyDescent="0.3">
      <c r="A5" s="287" t="s">
        <v>2015</v>
      </c>
      <c r="B5" s="286">
        <f>SUMIF(ERP!H:H,A5,ERP!Q:Q)+SUMIFS(SAP!J:J,SAP!E:E,A5,SAP!AA:AA,"rev")</f>
        <v>-1055530.2100000002</v>
      </c>
      <c r="C5" s="286">
        <f>SUMIF(sf!AY:AY,A5,sf!AN:AN)</f>
        <v>1055530.21</v>
      </c>
      <c r="D5" s="286">
        <f>SUMIF(CRM_PREV_M!AV:AV,A5,CRM_PREV_M!AL:AL)</f>
        <v>0</v>
      </c>
      <c r="E5" s="286">
        <f t="shared" si="0"/>
        <v>-2.3283064365386963E-10</v>
      </c>
      <c r="F5" s="241"/>
      <c r="G5" s="241"/>
      <c r="H5" s="241"/>
      <c r="I5" s="241" t="s">
        <v>2242</v>
      </c>
      <c r="J5" s="286">
        <f>SUMIF(ERP!H:H,I5,ERP!Q:Q)+SUMIFS(SAP!J:J,SAP!E:E,I5,SAP!AA:AA,"COGS")</f>
        <v>1624732.9700000002</v>
      </c>
      <c r="K5" s="286">
        <f>SUMIFS(sf!AP:AP,sf!BB:BB,I5)</f>
        <v>1624733.07</v>
      </c>
      <c r="L5" s="286">
        <f>SUMIF(CRM_PREV_M!AX:AX,I5,CRM_PREV_M!AN:AN)</f>
        <v>0</v>
      </c>
      <c r="M5" s="286">
        <f>SUMIF(CONC_PREV_M!B:B,I5,CONC_PREV_M!I:I)</f>
        <v>0</v>
      </c>
      <c r="N5" s="286">
        <f t="shared" si="2"/>
        <v>-9.9999999860301614E-2</v>
      </c>
      <c r="O5" s="241"/>
      <c r="P5" s="241"/>
      <c r="Q5" s="241"/>
    </row>
    <row r="6" spans="1:17" ht="13.5" customHeight="1" x14ac:dyDescent="0.3">
      <c r="A6" s="287" t="s">
        <v>2068</v>
      </c>
      <c r="B6" s="286">
        <f>SUMIF(ERP!H:H,A6,ERP!Q:Q)+SUMIFS(SAP!J:J,SAP!E:E,A6,SAP!AA:AA,"rev")</f>
        <v>-1269863.22</v>
      </c>
      <c r="C6" s="286">
        <f>SUMIF(sf!AY:AY,A6,sf!AN:AN)</f>
        <v>1269863.22</v>
      </c>
      <c r="D6" s="286">
        <f>SUMIF(CRM_PREV_M!AV:AV,A6,CRM_PREV_M!AL:AL)</f>
        <v>0</v>
      </c>
      <c r="E6" s="286">
        <f t="shared" si="0"/>
        <v>0</v>
      </c>
      <c r="F6" s="241"/>
      <c r="G6" s="241"/>
      <c r="H6" s="241"/>
      <c r="I6" s="241" t="s">
        <v>2240</v>
      </c>
      <c r="J6" s="286">
        <f>SUMIF(ERP!H:H,I6,ERP!Q:Q)+SUMIFS(SAP!J:J,SAP!E:E,I6,SAP!AA:AA,"COGS")</f>
        <v>638041.62000000011</v>
      </c>
      <c r="K6" s="286">
        <f>SUMIFS(sf!AP:AP,sf!BB:BB,I6)</f>
        <v>638041.67000000004</v>
      </c>
      <c r="L6" s="286">
        <f>SUMIF(CRM_PREV_M!AX:AX,I6,CRM_PREV_M!AN:AN)</f>
        <v>0</v>
      </c>
      <c r="M6" s="286">
        <f>SUMIF(CONC_PREV_M!B:B,I6,CONC_PREV_M!I:I)</f>
        <v>0</v>
      </c>
      <c r="N6" s="286">
        <f t="shared" si="2"/>
        <v>-4.9999999930150807E-2</v>
      </c>
      <c r="O6" s="241"/>
      <c r="P6" s="241"/>
      <c r="Q6" s="241"/>
    </row>
    <row r="7" spans="1:17" ht="13.5" customHeight="1" x14ac:dyDescent="0.3">
      <c r="A7" s="287" t="s">
        <v>2063</v>
      </c>
      <c r="B7" s="286">
        <f>SUMIF(ERP!H:H,A7,ERP!Q:Q)+SUMIFS(SAP!J:J,SAP!E:E,A7,SAP!AA:AA,"rev")</f>
        <v>-1900327.9500000002</v>
      </c>
      <c r="C7" s="286">
        <f>SUMIF(sf!AY:AY,A7,sf!AN:AN)</f>
        <v>1900327.95</v>
      </c>
      <c r="D7" s="286">
        <f>SUMIF(CRM_PREV_M!AV:AV,A7,CRM_PREV_M!AL:AL)</f>
        <v>0</v>
      </c>
      <c r="E7" s="286">
        <f t="shared" si="0"/>
        <v>-2.3283064365386963E-10</v>
      </c>
      <c r="F7" s="241"/>
      <c r="G7" s="241"/>
      <c r="H7" s="241"/>
      <c r="I7" s="241" t="s">
        <v>2238</v>
      </c>
      <c r="J7" s="286">
        <f>SUMIF(ERP!H:H,I7,ERP!Q:Q)+SUMIFS(SAP!J:J,SAP!E:E,I7,SAP!AA:AA,"COGS")</f>
        <v>767600.57000000007</v>
      </c>
      <c r="K7" s="286">
        <f>SUMIFS(sf!AP:AP,sf!BB:BB,I7)</f>
        <v>767600.62</v>
      </c>
      <c r="L7" s="286">
        <f>SUMIF(CRM_PREV_M!AX:AX,I7,CRM_PREV_M!AN:AN)</f>
        <v>0</v>
      </c>
      <c r="M7" s="286">
        <f>SUMIF(CONC_PREV_M!B:B,I7,CONC_PREV_M!I:I)</f>
        <v>0</v>
      </c>
      <c r="N7" s="286">
        <f t="shared" si="2"/>
        <v>-4.9999999930150807E-2</v>
      </c>
      <c r="O7" s="241"/>
      <c r="P7" s="241"/>
      <c r="Q7" s="241"/>
    </row>
    <row r="8" spans="1:17" ht="13.5" customHeight="1" x14ac:dyDescent="0.3">
      <c r="A8" s="287" t="s">
        <v>2054</v>
      </c>
      <c r="B8" s="286">
        <f>SUMIF(ERP!H:H,A8,ERP!Q:Q)+SUMIFS(SAP!J:J,SAP!E:E,A8,SAP!AA:AA,"rev")</f>
        <v>-81926.990000000005</v>
      </c>
      <c r="C8" s="286">
        <f>SUMIF(sf!AY:AY,A8,sf!AN:AN)</f>
        <v>81926.990000000005</v>
      </c>
      <c r="D8" s="286">
        <f>SUMIF(CRM_PREV_M!AV:AV,A8,CRM_PREV_M!AL:AL)</f>
        <v>0</v>
      </c>
      <c r="E8" s="286">
        <f t="shared" si="0"/>
        <v>0</v>
      </c>
      <c r="F8" s="241"/>
      <c r="G8" s="241"/>
      <c r="H8" s="241"/>
      <c r="I8" s="241" t="s">
        <v>2236</v>
      </c>
      <c r="J8" s="286">
        <f>SUMIF(ERP!H:H,I8,ERP!Q:Q)+SUMIFS(SAP!J:J,SAP!E:E,I8,SAP!AA:AA,"COGS")</f>
        <v>1148700.74</v>
      </c>
      <c r="K8" s="286">
        <f>SUMIFS(sf!AP:AP,sf!BB:BB,I8)</f>
        <v>1148700.81</v>
      </c>
      <c r="L8" s="286">
        <f>SUMIF(CRM_PREV_M!AX:AX,I8,CRM_PREV_M!AN:AN)</f>
        <v>0</v>
      </c>
      <c r="M8" s="286">
        <f>SUMIF(CONC_PREV_M!B:B,I8,CONC_PREV_M!I:I)</f>
        <v>0</v>
      </c>
      <c r="N8" s="286">
        <f t="shared" si="2"/>
        <v>-7.000000006519258E-2</v>
      </c>
      <c r="O8" s="241"/>
      <c r="P8" s="241"/>
      <c r="Q8" s="241"/>
    </row>
    <row r="9" spans="1:17" ht="13.5" customHeight="1" x14ac:dyDescent="0.3">
      <c r="A9" s="287" t="s">
        <v>2023</v>
      </c>
      <c r="B9" s="286">
        <f>SUMIF(ERP!H:H,A9,ERP!Q:Q)+SUMIFS(SAP!J:J,SAP!E:E,A9,SAP!AA:AA,"rev")</f>
        <v>-16336337.959999999</v>
      </c>
      <c r="C9" s="286">
        <f>SUMIF(sf!AY:AY,A9,sf!AN:AN)</f>
        <v>16336337.960000001</v>
      </c>
      <c r="D9" s="286">
        <f>SUMIF(CRM_PREV_M!AV:AV,A9,CRM_PREV_M!AL:AL)</f>
        <v>0</v>
      </c>
      <c r="E9" s="286">
        <f t="shared" si="0"/>
        <v>1.862645149230957E-9</v>
      </c>
      <c r="F9" s="241"/>
      <c r="G9" s="241"/>
      <c r="H9" s="241"/>
      <c r="I9" s="241" t="s">
        <v>2234</v>
      </c>
      <c r="J9" s="286">
        <f>SUMIF(ERP!H:H,I9,ERP!Q:Q)+SUMIFS(SAP!J:J,SAP!E:E,I9,SAP!AA:AA,"COGS")</f>
        <v>49522.820000000007</v>
      </c>
      <c r="K9" s="286">
        <f>SUMIFS(sf!AP:AP,sf!BB:BB,I9)</f>
        <v>49522.82</v>
      </c>
      <c r="L9" s="286">
        <f>SUMIF(CRM_PREV_M!AX:AX,I9,CRM_PREV_M!AN:AN)</f>
        <v>0</v>
      </c>
      <c r="M9" s="286">
        <f>SUMIF(CONC_PREV_M!B:B,I9,CONC_PREV_M!I:I)</f>
        <v>0</v>
      </c>
      <c r="N9" s="286">
        <f t="shared" si="2"/>
        <v>7.2759576141834259E-12</v>
      </c>
      <c r="O9" s="241"/>
      <c r="P9" s="241"/>
      <c r="Q9" s="241"/>
    </row>
    <row r="10" spans="1:17" ht="13.5" customHeight="1" x14ac:dyDescent="0.3">
      <c r="A10" s="287" t="s">
        <v>2013</v>
      </c>
      <c r="B10" s="286">
        <f>SUMIF(ERP!H:H,A10,ERP!Q:Q)+SUMIFS(SAP!J:J,SAP!E:E,A10,SAP!AA:AA,"rev")</f>
        <v>-211954.52</v>
      </c>
      <c r="C10" s="286">
        <f>SUMIF(sf!AY:AY,A10,sf!AN:AN)</f>
        <v>610190.21</v>
      </c>
      <c r="D10" s="286">
        <f>SUMIF(CRM_PREV_M!AV:AV,A10,CRM_PREV_M!AL:AL)</f>
        <v>-398235.69</v>
      </c>
      <c r="E10" s="286">
        <f t="shared" si="0"/>
        <v>0</v>
      </c>
      <c r="F10" s="241"/>
      <c r="G10" s="241"/>
      <c r="H10" s="241"/>
      <c r="I10" s="241" t="s">
        <v>2232</v>
      </c>
      <c r="J10" s="286">
        <f>SUMIF(ERP!H:H,I10,ERP!Q:Q)+SUMIFS(SAP!J:J,SAP!E:E,I10,SAP!AA:AA,"COGS")</f>
        <v>10781901.379999999</v>
      </c>
      <c r="K10" s="286">
        <f>SUMIFS(sf!AP:AP,sf!BB:BB,I10)</f>
        <v>10781901.369999999</v>
      </c>
      <c r="L10" s="286">
        <f>SUMIF(CRM_PREV_M!AX:AX,I10,CRM_PREV_M!AN:AN)</f>
        <v>0</v>
      </c>
      <c r="M10" s="286">
        <f>SUMIF(CONC_PREV_M!B:B,I10,CONC_PREV_M!I:I)</f>
        <v>0</v>
      </c>
      <c r="N10" s="286">
        <f t="shared" si="2"/>
        <v>9.9999997764825821E-3</v>
      </c>
      <c r="O10" s="241"/>
      <c r="P10" s="241"/>
      <c r="Q10" s="241"/>
    </row>
    <row r="11" spans="1:17" ht="13.5" customHeight="1" x14ac:dyDescent="0.3">
      <c r="A11" s="287" t="s">
        <v>2050</v>
      </c>
      <c r="B11" s="286">
        <f>SUMIF(ERP!H:H,A11,ERP!Q:Q)+SUMIFS(SAP!J:J,SAP!E:E,A11,SAP!AA:AA,"rev")</f>
        <v>-2007664.48</v>
      </c>
      <c r="C11" s="286">
        <f>SUMIF(sf!AY:AY,A11,sf!AN:AN)</f>
        <v>2007664.48</v>
      </c>
      <c r="D11" s="286">
        <f>SUMIF(CRM_PREV_M!AV:AV,A11,CRM_PREV_M!AL:AL)</f>
        <v>0</v>
      </c>
      <c r="E11" s="286">
        <f t="shared" si="0"/>
        <v>0</v>
      </c>
      <c r="F11" s="241"/>
      <c r="G11" s="241"/>
      <c r="H11" s="241"/>
      <c r="I11" s="241" t="s">
        <v>2230</v>
      </c>
      <c r="J11" s="286">
        <f>SUMIF(ERP!H:H,I11,ERP!Q:Q)+SUMIFS(SAP!J:J,SAP!E:E,I11,SAP!AA:AA,"COGS")</f>
        <v>128121.19999999998</v>
      </c>
      <c r="K11" s="286">
        <f>SUMIFS(sf!AP:AP,sf!BB:BB,I11)</f>
        <v>368844.75</v>
      </c>
      <c r="L11" s="286">
        <f>SUMIF(CRM_PREV_M!AX:AX,I11,CRM_PREV_M!AN:AN)</f>
        <v>-240723.53</v>
      </c>
      <c r="M11" s="286">
        <f>SUMIF(CONC_PREV_M!B:B,I11,CONC_PREV_M!I:I)</f>
        <v>0</v>
      </c>
      <c r="N11" s="286">
        <f t="shared" si="2"/>
        <v>-2.0000000018626451E-2</v>
      </c>
      <c r="O11" s="241"/>
      <c r="P11" s="241"/>
      <c r="Q11" s="241"/>
    </row>
    <row r="12" spans="1:17" ht="13.5" customHeight="1" x14ac:dyDescent="0.3">
      <c r="A12" s="287" t="s">
        <v>2048</v>
      </c>
      <c r="B12" s="286">
        <f>SUMIF(ERP!H:H,A12,ERP!Q:Q)+SUMIFS(SAP!J:J,SAP!E:E,A12,SAP!AA:AA,"rev")</f>
        <v>-1699231.7699999998</v>
      </c>
      <c r="C12" s="286">
        <f>SUMIF(sf!AY:AY,A12,sf!AN:AN)</f>
        <v>1699231.77</v>
      </c>
      <c r="D12" s="286">
        <f>SUMIF(CRM_PREV_M!AV:AV,A12,CRM_PREV_M!AL:AL)</f>
        <v>0</v>
      </c>
      <c r="E12" s="286">
        <f t="shared" si="0"/>
        <v>2.3283064365386963E-10</v>
      </c>
      <c r="F12" s="241"/>
      <c r="G12" s="241"/>
      <c r="H12" s="241"/>
      <c r="I12" s="241" t="s">
        <v>2228</v>
      </c>
      <c r="J12" s="286">
        <f>SUMIF(ERP!H:H,I12,ERP!Q:Q)+SUMIFS(SAP!J:J,SAP!E:E,I12,SAP!AA:AA,"COGS")</f>
        <v>1213582.98</v>
      </c>
      <c r="K12" s="286">
        <f>SUMIFS(sf!AP:AP,sf!BB:BB,I12)</f>
        <v>1213583.07</v>
      </c>
      <c r="L12" s="286">
        <f>SUMIF(CRM_PREV_M!AX:AX,I12,CRM_PREV_M!AN:AN)</f>
        <v>0</v>
      </c>
      <c r="M12" s="286">
        <f>SUMIF(CONC_PREV_M!B:B,I12,CONC_PREV_M!I:I)</f>
        <v>0</v>
      </c>
      <c r="N12" s="286">
        <f t="shared" si="2"/>
        <v>-9.0000000083819032E-2</v>
      </c>
      <c r="O12" s="241"/>
      <c r="P12" s="241"/>
      <c r="Q12" s="241"/>
    </row>
    <row r="13" spans="1:17" ht="13.5" customHeight="1" x14ac:dyDescent="0.3">
      <c r="A13" s="287" t="s">
        <v>2138</v>
      </c>
      <c r="B13" s="286">
        <f>SUMIF(ERP!H:H,A13,ERP!Q:Q)+SUMIFS(SAP!J:J,SAP!E:E,A13,SAP!AA:AA,"rev")</f>
        <v>-1206718.48</v>
      </c>
      <c r="C13" s="286">
        <f>SUMIF(sf!AY:AY,A13,sf!AN:AN)</f>
        <v>1206718.48</v>
      </c>
      <c r="D13" s="286">
        <f>SUMIF(CRM_PREV_M!AV:AV,A13,CRM_PREV_M!AL:AL)</f>
        <v>0</v>
      </c>
      <c r="E13" s="286">
        <f t="shared" si="0"/>
        <v>0</v>
      </c>
      <c r="F13" s="241"/>
      <c r="G13" s="241"/>
      <c r="H13" s="241"/>
      <c r="I13" s="241" t="s">
        <v>2202</v>
      </c>
      <c r="J13" s="286">
        <f>SUMIF(ERP!H:H,I13,ERP!Q:Q)+SUMIFS(SAP!J:J,SAP!E:E,I13,SAP!AA:AA,"COGS")</f>
        <v>1880159.04</v>
      </c>
      <c r="K13" s="286">
        <f>SUMIFS(sf!AP:AP,sf!BB:BB,I13)</f>
        <v>1880159.16</v>
      </c>
      <c r="L13" s="286">
        <f>SUMIF(CRM_PREV_M!AX:AX,I13,CRM_PREV_M!AN:AN)</f>
        <v>0</v>
      </c>
      <c r="M13" s="286">
        <f>SUMIF(CONC_PREV_M!B:B,I13,CONC_PREV_M!I:I)</f>
        <v>0</v>
      </c>
      <c r="N13" s="286">
        <f t="shared" si="2"/>
        <v>-0.11999999987892807</v>
      </c>
      <c r="O13" s="241"/>
      <c r="P13" s="241"/>
      <c r="Q13" s="241"/>
    </row>
    <row r="14" spans="1:17" ht="13.5" customHeight="1" x14ac:dyDescent="0.3">
      <c r="A14" s="287" t="s">
        <v>2026</v>
      </c>
      <c r="B14" s="286">
        <f>SUMIF(ERP!H:H,A14,ERP!Q:Q)+SUMIFS(SAP!J:J,SAP!E:E,A14,SAP!AA:AA,"rev")</f>
        <v>-2431431.12</v>
      </c>
      <c r="C14" s="286">
        <f>SUMIF(sf!AY:AY,A14,sf!AN:AN)</f>
        <v>2431431.12</v>
      </c>
      <c r="D14" s="286">
        <f>SUMIF(CRM_PREV_M!AV:AV,A14,CRM_PREV_M!AL:AL)</f>
        <v>0</v>
      </c>
      <c r="E14" s="286">
        <f t="shared" si="0"/>
        <v>0</v>
      </c>
      <c r="F14" s="241"/>
      <c r="G14" s="241"/>
      <c r="H14" s="241"/>
      <c r="I14" s="241" t="s">
        <v>2321</v>
      </c>
      <c r="J14" s="286">
        <f>SUMIF(ERP!H:H,I14,ERP!Q:Q)+SUMIFS(SAP!J:J,SAP!E:E,I14,SAP!AA:AA,"COGS")</f>
        <v>1880159.04</v>
      </c>
      <c r="K14" s="286">
        <f>SUMIFS(sf!AP:AP,sf!BB:BB,I14)</f>
        <v>1880159.16</v>
      </c>
      <c r="L14" s="286">
        <f>SUMIF(CRM_PREV_M!AX:AX,I14,CRM_PREV_M!AN:AN)</f>
        <v>0</v>
      </c>
      <c r="M14" s="286">
        <f>SUMIF(CONC_PREV_M!B:B,I14,CONC_PREV_M!I:I)</f>
        <v>0</v>
      </c>
      <c r="N14" s="286">
        <f t="shared" ref="N14:N77" si="3">J14-K14-L14-M14</f>
        <v>-0.11999999987892807</v>
      </c>
      <c r="O14" s="241"/>
      <c r="P14" s="241"/>
      <c r="Q14" s="241"/>
    </row>
    <row r="15" spans="1:17" ht="13.5" customHeight="1" x14ac:dyDescent="0.3">
      <c r="A15" s="287" t="s">
        <v>2045</v>
      </c>
      <c r="B15" s="286">
        <f>SUMIF(ERP!H:H,A15,ERP!Q:Q)+SUMIFS(SAP!J:J,SAP!E:E,A15,SAP!AA:AA,"rev")</f>
        <v>-718276.95</v>
      </c>
      <c r="C15" s="286">
        <f>SUMIF(sf!AY:AY,A15,sf!AN:AN)</f>
        <v>718276.95</v>
      </c>
      <c r="D15" s="286">
        <f>SUMIF(CRM_PREV_M!AV:AV,A15,CRM_PREV_M!AL:AL)</f>
        <v>0</v>
      </c>
      <c r="E15" s="286">
        <f t="shared" si="0"/>
        <v>0</v>
      </c>
      <c r="F15" s="241"/>
      <c r="G15" s="241"/>
      <c r="H15" s="241"/>
      <c r="I15" s="241" t="s">
        <v>2323</v>
      </c>
      <c r="J15" s="286">
        <f>SUMIF(ERP!H:H,I15,ERP!Q:Q)+SUMIFS(SAP!J:J,SAP!E:E,I15,SAP!AA:AA,"COGS")</f>
        <v>1520628.48</v>
      </c>
      <c r="K15" s="286">
        <f>SUMIFS(sf!AP:AP,sf!BB:BB,I15)</f>
        <v>1520628.48</v>
      </c>
      <c r="L15" s="286">
        <f>SUMIF(CRM_PREV_M!AX:AX,I15,CRM_PREV_M!AN:AN)</f>
        <v>0</v>
      </c>
      <c r="M15" s="286">
        <f>SUMIF(CONC_PREV_M!B:B,I15,CONC_PREV_M!I:I)</f>
        <v>0</v>
      </c>
      <c r="N15" s="286">
        <f t="shared" si="3"/>
        <v>0</v>
      </c>
      <c r="O15" s="241"/>
      <c r="P15" s="241"/>
      <c r="Q15" s="241"/>
    </row>
    <row r="16" spans="1:17" ht="13.5" customHeight="1" x14ac:dyDescent="0.3">
      <c r="A16" s="287" t="s">
        <v>2043</v>
      </c>
      <c r="B16" s="286">
        <f>SUMIF(ERP!H:H,A16,ERP!Q:Q)+SUMIFS(SAP!J:J,SAP!E:E,A16,SAP!AA:AA,"rev")</f>
        <v>-6210184.3200000003</v>
      </c>
      <c r="C16" s="286">
        <f>SUMIF(sf!AY:AY,A16,sf!AN:AN)</f>
        <v>6210184.3200000003</v>
      </c>
      <c r="D16" s="286">
        <f>SUMIF(CRM_PREV_M!AV:AV,A16,CRM_PREV_M!AL:AL)</f>
        <v>0</v>
      </c>
      <c r="E16" s="286">
        <f t="shared" si="0"/>
        <v>0</v>
      </c>
      <c r="F16" s="241"/>
      <c r="G16" s="241"/>
      <c r="H16" s="241"/>
      <c r="I16" s="241" t="s">
        <v>2224</v>
      </c>
      <c r="J16" s="286">
        <f>SUMIF(ERP!H:H,I16,ERP!Q:Q)+SUMIFS(SAP!J:J,SAP!E:E,I16,SAP!AA:AA,"COGS")</f>
        <v>434180.46</v>
      </c>
      <c r="K16" s="286">
        <f>SUMIFS(sf!AP:AP,sf!BB:BB,I16)</f>
        <v>434180.49</v>
      </c>
      <c r="L16" s="286">
        <f>SUMIF(CRM_PREV_M!AX:AX,I16,CRM_PREV_M!AN:AN)</f>
        <v>0</v>
      </c>
      <c r="M16" s="286">
        <f>SUMIF(CONC_PREV_M!B:B,I16,CONC_PREV_M!I:I)</f>
        <v>0</v>
      </c>
      <c r="N16" s="286">
        <f t="shared" si="3"/>
        <v>-2.9999999969732016E-2</v>
      </c>
      <c r="O16" s="241"/>
      <c r="P16" s="241"/>
      <c r="Q16" s="241"/>
    </row>
    <row r="17" spans="1:17" ht="13.5" customHeight="1" x14ac:dyDescent="0.3">
      <c r="A17" s="287" t="s">
        <v>2100</v>
      </c>
      <c r="B17" s="286">
        <f>SUMIF(ERP!H:H,A17,ERP!Q:Q)+SUMIFS(SAP!J:J,SAP!E:E,A17,SAP!AA:AA,"rev")</f>
        <v>-1677857.1600000001</v>
      </c>
      <c r="C17" s="286">
        <f>SUMIF(sf!AY:AY,A17,sf!AN:AN)</f>
        <v>1677857.16</v>
      </c>
      <c r="D17" s="286">
        <f>SUMIF(CRM_PREV_M!AV:AV,A17,CRM_PREV_M!AL:AL)</f>
        <v>0</v>
      </c>
      <c r="E17" s="286">
        <f t="shared" si="0"/>
        <v>-2.3283064365386963E-10</v>
      </c>
      <c r="F17" s="241"/>
      <c r="G17" s="241"/>
      <c r="H17" s="241"/>
      <c r="I17" s="241" t="s">
        <v>2324</v>
      </c>
      <c r="J17" s="286">
        <f>SUMIF(ERP!H:H,I17,ERP!Q:Q)+SUMIFS(SAP!J:J,SAP!E:E,I17,SAP!AA:AA,"COGS")</f>
        <v>729431.15</v>
      </c>
      <c r="K17" s="286">
        <f>SUMIFS(sf!AP:AP,sf!BB:BB,I17)</f>
        <v>729431.2</v>
      </c>
      <c r="L17" s="286">
        <f>SUMIF(CRM_PREV_M!AX:AX,I17,CRM_PREV_M!AN:AN)</f>
        <v>0</v>
      </c>
      <c r="M17" s="286">
        <f>SUMIF(CONC_PREV_M!B:B,I17,CONC_PREV_M!I:I)</f>
        <v>0</v>
      </c>
      <c r="N17" s="286">
        <f t="shared" si="3"/>
        <v>-4.9999999930150807E-2</v>
      </c>
      <c r="O17" s="241"/>
      <c r="P17" s="241"/>
      <c r="Q17" s="241"/>
    </row>
    <row r="18" spans="1:17" ht="13.5" customHeight="1" x14ac:dyDescent="0.3">
      <c r="A18" s="287" t="s">
        <v>2103</v>
      </c>
      <c r="B18" s="286">
        <f>SUMIF(ERP!H:H,A18,ERP!Q:Q)+SUMIFS(SAP!J:J,SAP!E:E,A18,SAP!AA:AA,"rev")</f>
        <v>-9005104.1400000006</v>
      </c>
      <c r="C18" s="286">
        <f>SUMIF(sf!AY:AY,A18,sf!AN:AN)</f>
        <v>9005104.1400000006</v>
      </c>
      <c r="D18" s="286">
        <f>SUMIF(CRM_PREV_M!AV:AV,A18,CRM_PREV_M!AL:AL)</f>
        <v>0</v>
      </c>
      <c r="E18" s="286">
        <f t="shared" si="0"/>
        <v>0</v>
      </c>
      <c r="F18" s="241"/>
      <c r="G18" s="241"/>
      <c r="H18" s="241"/>
      <c r="I18" s="241" t="s">
        <v>2222</v>
      </c>
      <c r="J18" s="286">
        <f>SUMIF(ERP!H:H,I18,ERP!Q:Q)+SUMIFS(SAP!J:J,SAP!E:E,I18,SAP!AA:AA,"COGS")</f>
        <v>1469739.32</v>
      </c>
      <c r="K18" s="286">
        <f>SUMIFS(sf!AP:AP,sf!BB:BB,I18)</f>
        <v>1469739.42</v>
      </c>
      <c r="L18" s="286">
        <f>SUMIF(CRM_PREV_M!AX:AX,I18,CRM_PREV_M!AN:AN)</f>
        <v>0</v>
      </c>
      <c r="M18" s="286">
        <f>SUMIF(CONC_PREV_M!B:B,I18,CONC_PREV_M!I:I)</f>
        <v>0</v>
      </c>
      <c r="N18" s="286">
        <f t="shared" si="3"/>
        <v>-9.9999999860301614E-2</v>
      </c>
      <c r="O18" s="241"/>
      <c r="P18" s="241"/>
      <c r="Q18" s="241"/>
    </row>
    <row r="19" spans="1:17" ht="13.5" customHeight="1" x14ac:dyDescent="0.3">
      <c r="A19" s="287" t="s">
        <v>2077</v>
      </c>
      <c r="B19" s="286">
        <f>SUMIF(ERP!H:H,A19,ERP!Q:Q)+SUMIFS(SAP!J:J,SAP!E:E,A19,SAP!AA:AA,"rev")</f>
        <v>-1745729.1600000001</v>
      </c>
      <c r="C19" s="286">
        <f>SUMIF(sf!AY:AY,A19,sf!AN:AN)</f>
        <v>1745729.16</v>
      </c>
      <c r="D19" s="286">
        <f>SUMIF(CRM_PREV_M!AV:AV,A19,CRM_PREV_M!AL:AL)</f>
        <v>0</v>
      </c>
      <c r="E19" s="286">
        <f t="shared" si="0"/>
        <v>-2.3283064365386963E-10</v>
      </c>
      <c r="F19" s="241"/>
      <c r="G19" s="241"/>
      <c r="H19" s="241"/>
      <c r="I19" s="241" t="s">
        <v>2326</v>
      </c>
      <c r="J19" s="286">
        <f>SUMIF(ERP!H:H,I19,ERP!Q:Q)+SUMIFS(SAP!J:J,SAP!E:E,I19,SAP!AA:AA,"COGS")</f>
        <v>2940036.86</v>
      </c>
      <c r="K19" s="286">
        <f>SUMIFS(sf!AP:AP,sf!BB:BB,I19)</f>
        <v>2940036.86</v>
      </c>
      <c r="L19" s="286">
        <f>SUMIF(CRM_PREV_M!AX:AX,I19,CRM_PREV_M!AN:AN)</f>
        <v>0</v>
      </c>
      <c r="M19" s="286">
        <f>SUMIF(CONC_PREV_M!B:B,I19,CONC_PREV_M!I:I)</f>
        <v>0</v>
      </c>
      <c r="N19" s="286">
        <f t="shared" si="3"/>
        <v>0</v>
      </c>
      <c r="O19" s="241"/>
      <c r="P19" s="241"/>
      <c r="Q19" s="241"/>
    </row>
    <row r="20" spans="1:17" ht="13.5" customHeight="1" x14ac:dyDescent="0.3">
      <c r="A20" s="287" t="s">
        <v>2075</v>
      </c>
      <c r="B20" s="286">
        <f>SUMIF(ERP!H:H,A20,ERP!Q:Q)+SUMIFS(SAP!J:J,SAP!E:E,A20,SAP!AA:AA,"rev")</f>
        <v>-8088113.9099999992</v>
      </c>
      <c r="C20" s="286">
        <f>SUMIF(sf!AY:AY,A20,sf!AN:AN)</f>
        <v>8088113.9100000001</v>
      </c>
      <c r="D20" s="286">
        <f>SUMIF(CRM_PREV_M!AV:AV,A20,CRM_PREV_M!AL:AL)</f>
        <v>0</v>
      </c>
      <c r="E20" s="286">
        <f t="shared" si="0"/>
        <v>9.3132257461547852E-10</v>
      </c>
      <c r="F20" s="241"/>
      <c r="G20" s="241"/>
      <c r="H20" s="241"/>
      <c r="I20" s="241" t="s">
        <v>2214</v>
      </c>
      <c r="J20" s="286">
        <f>SUMIF(ERP!H:H,I20,ERP!Q:Q)+SUMIFS(SAP!J:J,SAP!E:E,I20,SAP!AA:AA,"COGS")</f>
        <v>1520628.48</v>
      </c>
      <c r="K20" s="286">
        <f>SUMIFS(sf!AP:AP,sf!BB:BB,I20)</f>
        <v>1520628.48</v>
      </c>
      <c r="L20" s="286">
        <f>SUMIF(CRM_PREV_M!AX:AX,I20,CRM_PREV_M!AN:AN)</f>
        <v>0</v>
      </c>
      <c r="M20" s="286">
        <f>SUMIF(CONC_PREV_M!B:B,I20,CONC_PREV_M!I:I)</f>
        <v>0</v>
      </c>
      <c r="N20" s="286">
        <f t="shared" si="3"/>
        <v>0</v>
      </c>
      <c r="O20" s="241"/>
      <c r="P20" s="241"/>
      <c r="Q20" s="241"/>
    </row>
    <row r="21" spans="1:17" ht="13.5" customHeight="1" x14ac:dyDescent="0.3">
      <c r="A21" s="287" t="s">
        <v>2072</v>
      </c>
      <c r="B21" s="286">
        <f>SUMIF(ERP!H:H,A21,ERP!Q:Q)+SUMIFS(SAP!J:J,SAP!E:E,A21,SAP!AA:AA,"rev")</f>
        <v>-1952420.4400000004</v>
      </c>
      <c r="C21" s="286">
        <f>SUMIF(sf!AY:AY,A21,sf!AN:AN)</f>
        <v>1952420.44</v>
      </c>
      <c r="D21" s="286">
        <f>SUMIF(CRM_PREV_M!AV:AV,A21,CRM_PREV_M!AL:AL)</f>
        <v>0</v>
      </c>
      <c r="E21" s="286">
        <f t="shared" si="0"/>
        <v>-4.6566128730773926E-10</v>
      </c>
      <c r="F21" s="241"/>
      <c r="G21" s="241"/>
      <c r="H21" s="241"/>
      <c r="I21" s="241" t="s">
        <v>2328</v>
      </c>
      <c r="J21" s="286">
        <f>SUMIF(ERP!H:H,I21,ERP!Q:Q)+SUMIFS(SAP!J:J,SAP!E:E,I21,SAP!AA:AA,"COGS")</f>
        <v>787331.25</v>
      </c>
      <c r="K21" s="286">
        <f>SUMIFS(sf!AP:AP,sf!BB:BB,I21)</f>
        <v>787331.25</v>
      </c>
      <c r="L21" s="286">
        <f>SUMIF(CRM_PREV_M!AX:AX,I21,CRM_PREV_M!AN:AN)</f>
        <v>0</v>
      </c>
      <c r="M21" s="286">
        <f>SUMIF(CONC_PREV_M!B:B,I21,CONC_PREV_M!I:I)</f>
        <v>0</v>
      </c>
      <c r="N21" s="286">
        <f t="shared" si="3"/>
        <v>0</v>
      </c>
      <c r="O21" s="241"/>
      <c r="P21" s="241"/>
      <c r="Q21" s="241"/>
    </row>
    <row r="22" spans="1:17" ht="13.5" customHeight="1" x14ac:dyDescent="0.3">
      <c r="A22" s="287" t="s">
        <v>2059</v>
      </c>
      <c r="B22" s="286">
        <f>SUMIF(ERP!H:H,A22,ERP!Q:Q)+SUMIFS(SAP!J:J,SAP!E:E,A22,SAP!AA:AA,"rev")</f>
        <v>-1353203.44</v>
      </c>
      <c r="C22" s="286">
        <f>SUMIF(sf!AY:AY,A22,sf!AN:AN)</f>
        <v>1353203.44</v>
      </c>
      <c r="D22" s="286">
        <f>SUMIF(CRM_PREV_M!AV:AV,A22,CRM_PREV_M!AL:AL)</f>
        <v>0</v>
      </c>
      <c r="E22" s="286">
        <f t="shared" si="0"/>
        <v>0</v>
      </c>
      <c r="F22" s="241"/>
      <c r="G22" s="241"/>
      <c r="H22" s="241"/>
      <c r="I22" s="241" t="s">
        <v>2220</v>
      </c>
      <c r="J22" s="286">
        <f>SUMIF(ERP!H:H,I22,ERP!Q:Q)+SUMIFS(SAP!J:J,SAP!E:E,I22,SAP!AA:AA,"COGS")</f>
        <v>3753901.1699999995</v>
      </c>
      <c r="K22" s="286">
        <f>SUMIFS(sf!AP:AP,sf!BB:BB,I22)</f>
        <v>3753901.42</v>
      </c>
      <c r="L22" s="286">
        <f>SUMIF(CRM_PREV_M!AX:AX,I22,CRM_PREV_M!AN:AN)</f>
        <v>0</v>
      </c>
      <c r="M22" s="286">
        <f>SUMIF(CONC_PREV_M!B:B,I22,CONC_PREV_M!I:I)</f>
        <v>0</v>
      </c>
      <c r="N22" s="286">
        <f t="shared" si="3"/>
        <v>-0.25000000046566129</v>
      </c>
      <c r="O22" s="241"/>
      <c r="P22" s="241"/>
      <c r="Q22" s="241"/>
    </row>
    <row r="23" spans="1:17" ht="13.5" customHeight="1" x14ac:dyDescent="0.3">
      <c r="A23" s="287" t="s">
        <v>2070</v>
      </c>
      <c r="B23" s="286">
        <f>SUMIF(ERP!H:H,A23,ERP!Q:Q)+SUMIFS(SAP!J:J,SAP!E:E,A23,SAP!AA:AA,"rev")</f>
        <v>-2304000</v>
      </c>
      <c r="C23" s="286">
        <f>SUMIF(sf!AY:AY,A23,sf!AN:AN)</f>
        <v>2304000</v>
      </c>
      <c r="D23" s="286">
        <f>SUMIF(CRM_PREV_M!AV:AV,A23,CRM_PREV_M!AL:AL)</f>
        <v>0</v>
      </c>
      <c r="E23" s="286">
        <f t="shared" si="0"/>
        <v>0</v>
      </c>
      <c r="F23" s="241"/>
      <c r="G23" s="241"/>
      <c r="H23" s="241"/>
      <c r="I23" s="241" t="s">
        <v>2200</v>
      </c>
      <c r="J23" s="286">
        <f>SUMIF(ERP!H:H,I23,ERP!Q:Q)+SUMIFS(SAP!J:J,SAP!E:E,I23,SAP!AA:AA,"COGS")</f>
        <v>3352682.93</v>
      </c>
      <c r="K23" s="286">
        <f>SUMIFS(sf!AP:AP,sf!BB:BB,I23)</f>
        <v>3352683.15</v>
      </c>
      <c r="L23" s="286">
        <f>SUMIF(CRM_PREV_M!AX:AX,I23,CRM_PREV_M!AN:AN)</f>
        <v>0</v>
      </c>
      <c r="M23" s="286">
        <f>SUMIF(CONC_PREV_M!B:B,I23,CONC_PREV_M!I:I)</f>
        <v>0</v>
      </c>
      <c r="N23" s="286">
        <f t="shared" si="3"/>
        <v>-0.21999999973922968</v>
      </c>
      <c r="O23" s="241"/>
      <c r="P23" s="241"/>
      <c r="Q23" s="241"/>
    </row>
    <row r="24" spans="1:17" ht="13.5" customHeight="1" x14ac:dyDescent="0.3">
      <c r="A24" s="287" t="s">
        <v>2000</v>
      </c>
      <c r="B24" s="286">
        <f>SUMIF(ERP!H:H,A24,ERP!Q:Q)+SUMIFS(SAP!J:J,SAP!E:E,A24,SAP!AA:AA,"rev")</f>
        <v>-3110400</v>
      </c>
      <c r="C24" s="286">
        <f>SUMIF(sf!AY:AY,A24,sf!AN:AN)</f>
        <v>3110400</v>
      </c>
      <c r="D24" s="286">
        <f>SUMIF(CRM_PREV_M!AV:AV,A24,CRM_PREV_M!AL:AL)</f>
        <v>0</v>
      </c>
      <c r="E24" s="286">
        <f t="shared" si="0"/>
        <v>0</v>
      </c>
      <c r="F24" s="241"/>
      <c r="G24" s="241"/>
      <c r="H24" s="241"/>
      <c r="I24" s="241" t="s">
        <v>2330</v>
      </c>
      <c r="J24" s="286">
        <f>SUMIF(ERP!H:H,I24,ERP!Q:Q)+SUMIFS(SAP!J:J,SAP!E:E,I24,SAP!AA:AA,"COGS")</f>
        <v>4178131.2</v>
      </c>
      <c r="K24" s="286">
        <f>SUMIFS(sf!AP:AP,sf!BB:BB,I24)</f>
        <v>4178131.48</v>
      </c>
      <c r="L24" s="286">
        <f>SUMIF(CRM_PREV_M!AX:AX,I24,CRM_PREV_M!AN:AN)</f>
        <v>0</v>
      </c>
      <c r="M24" s="286">
        <f>SUMIF(CONC_PREV_M!B:B,I24,CONC_PREV_M!I:I)</f>
        <v>0</v>
      </c>
      <c r="N24" s="286">
        <f t="shared" si="3"/>
        <v>-0.27999999979510903</v>
      </c>
      <c r="O24" s="241"/>
      <c r="P24" s="241"/>
      <c r="Q24" s="241"/>
    </row>
    <row r="25" spans="1:17" ht="13.5" customHeight="1" x14ac:dyDescent="0.3">
      <c r="A25" s="287" t="s">
        <v>2037</v>
      </c>
      <c r="B25" s="286">
        <f>SUMIF(ERP!H:H,A25,ERP!Q:Q)+SUMIFS(SAP!J:J,SAP!E:E,A25,SAP!AA:AA,"rev")</f>
        <v>-9577518.6799999997</v>
      </c>
      <c r="C25" s="286">
        <f>SUMIF(sf!AY:AY,A25,sf!AN:AN)</f>
        <v>9577518.6799999997</v>
      </c>
      <c r="D25" s="286">
        <f>SUMIF(CRM_PREV_M!AV:AV,A25,CRM_PREV_M!AL:AL)</f>
        <v>0</v>
      </c>
      <c r="E25" s="286">
        <f t="shared" si="0"/>
        <v>0</v>
      </c>
      <c r="F25" s="241"/>
      <c r="G25" s="241"/>
      <c r="H25" s="241"/>
      <c r="I25" s="241" t="s">
        <v>2216</v>
      </c>
      <c r="J25" s="286">
        <f>SUMIF(ERP!H:H,I25,ERP!Q:Q)+SUMIFS(SAP!J:J,SAP!E:E,I25,SAP!AA:AA,"COGS")</f>
        <v>5443360.3300000001</v>
      </c>
      <c r="K25" s="286">
        <f>SUMIFS(sf!AP:AP,sf!BB:BB,I25)</f>
        <v>5443360.6900000004</v>
      </c>
      <c r="L25" s="286">
        <f>SUMIF(CRM_PREV_M!AX:AX,I25,CRM_PREV_M!AN:AN)</f>
        <v>0</v>
      </c>
      <c r="M25" s="286">
        <f>SUMIF(CONC_PREV_M!B:B,I25,CONC_PREV_M!I:I)</f>
        <v>0</v>
      </c>
      <c r="N25" s="286">
        <f t="shared" si="3"/>
        <v>-0.36000000033527613</v>
      </c>
      <c r="O25" s="241"/>
      <c r="P25" s="241"/>
      <c r="Q25" s="241"/>
    </row>
    <row r="26" spans="1:17" ht="13.5" customHeight="1" x14ac:dyDescent="0.3">
      <c r="A26" s="287" t="s">
        <v>2041</v>
      </c>
      <c r="B26" s="286">
        <f>SUMIF(ERP!H:H,A26,ERP!Q:Q)+SUMIFS(SAP!J:J,SAP!E:E,A26,SAP!AA:AA,"rev")</f>
        <v>-2414312.9699999997</v>
      </c>
      <c r="C26" s="286">
        <f>SUMIF(sf!AY:AY,A26,sf!AN:AN)</f>
        <v>2414312.9700000002</v>
      </c>
      <c r="D26" s="286">
        <f>SUMIF(CRM_PREV_M!AV:AV,A26,CRM_PREV_M!AL:AL)</f>
        <v>0</v>
      </c>
      <c r="E26" s="286">
        <f t="shared" si="0"/>
        <v>4.6566128730773926E-10</v>
      </c>
      <c r="F26" s="241"/>
      <c r="G26" s="241"/>
      <c r="H26" s="241"/>
      <c r="I26" s="241" t="s">
        <v>2331</v>
      </c>
      <c r="J26" s="286">
        <f>SUMIF(ERP!H:H,I26,ERP!Q:Q)+SUMIFS(SAP!J:J,SAP!E:E,I26,SAP!AA:AA,"COGS")</f>
        <v>146238.34</v>
      </c>
      <c r="K26" s="286">
        <f>SUMIFS(sf!AP:AP,sf!BB:BB,I26)</f>
        <v>146238.34</v>
      </c>
      <c r="L26" s="286">
        <f>SUMIF(CRM_PREV_M!AX:AX,I26,CRM_PREV_M!AN:AN)</f>
        <v>0</v>
      </c>
      <c r="M26" s="286">
        <f>SUMIF(CONC_PREV_M!B:B,I26,CONC_PREV_M!I:I)</f>
        <v>0</v>
      </c>
      <c r="N26" s="286">
        <f t="shared" si="3"/>
        <v>0</v>
      </c>
      <c r="O26" s="241"/>
      <c r="P26" s="241"/>
      <c r="Q26" s="241"/>
    </row>
    <row r="27" spans="1:17" ht="13.5" customHeight="1" x14ac:dyDescent="0.3">
      <c r="A27" s="287" t="s">
        <v>2035</v>
      </c>
      <c r="B27" s="286">
        <f>SUMIF(ERP!H:H,A27,ERP!Q:Q)+SUMIFS(SAP!J:J,SAP!E:E,A27,SAP!AA:AA,"rev")</f>
        <v>-5546437.7000000011</v>
      </c>
      <c r="C27" s="286">
        <f>SUMIF(sf!AY:AY,A27,sf!AN:AN)</f>
        <v>5546437.7000000002</v>
      </c>
      <c r="D27" s="286">
        <f>SUMIF(CRM_PREV_M!AV:AV,A27,CRM_PREV_M!AL:AL)</f>
        <v>0</v>
      </c>
      <c r="E27" s="286">
        <f t="shared" si="0"/>
        <v>-9.3132257461547852E-10</v>
      </c>
      <c r="F27" s="241"/>
      <c r="G27" s="241"/>
      <c r="H27" s="241"/>
      <c r="I27" s="241" t="s">
        <v>2218</v>
      </c>
      <c r="J27" s="286">
        <f>SUMIF(ERP!H:H,I27,ERP!Q:Q)+SUMIFS(SAP!J:J,SAP!E:E,I27,SAP!AA:AA,"COGS")</f>
        <v>1014222.7000000001</v>
      </c>
      <c r="K27" s="286">
        <f>SUMIFS(sf!AP:AP,sf!BB:BB,I27)</f>
        <v>1014222.77</v>
      </c>
      <c r="L27" s="286">
        <f>SUMIF(CRM_PREV_M!AX:AX,I27,CRM_PREV_M!AN:AN)</f>
        <v>0</v>
      </c>
      <c r="M27" s="286">
        <f>SUMIF(CONC_PREV_M!B:B,I27,CONC_PREV_M!I:I)</f>
        <v>0</v>
      </c>
      <c r="N27" s="286">
        <f t="shared" si="3"/>
        <v>-6.9999999948777258E-2</v>
      </c>
      <c r="O27" s="241"/>
      <c r="P27" s="241"/>
      <c r="Q27" s="241"/>
    </row>
    <row r="28" spans="1:17" ht="13.5" customHeight="1" x14ac:dyDescent="0.3">
      <c r="A28" s="287" t="s">
        <v>2033</v>
      </c>
      <c r="B28" s="286">
        <f>SUMIF(ERP!H:H,A28,ERP!Q:Q)+SUMIFS(SAP!J:J,SAP!E:E,A28,SAP!AA:AA,"rev")</f>
        <v>-894756.91</v>
      </c>
      <c r="C28" s="286">
        <f>SUMIF(sf!AY:AY,A28,sf!AN:AN)</f>
        <v>894756.91</v>
      </c>
      <c r="D28" s="286">
        <f>SUMIF(CRM_PREV_M!AV:AV,A28,CRM_PREV_M!AL:AL)</f>
        <v>0</v>
      </c>
      <c r="E28" s="286">
        <f t="shared" si="0"/>
        <v>0</v>
      </c>
      <c r="F28" s="241"/>
      <c r="G28" s="241"/>
      <c r="H28" s="241"/>
      <c r="I28" s="241" t="s">
        <v>2212</v>
      </c>
      <c r="J28" s="286">
        <f>SUMIF(ERP!H:H,I28,ERP!Q:Q)+SUMIFS(SAP!J:J,SAP!E:E,I28,SAP!AA:AA,"COGS")</f>
        <v>1288587.7200000002</v>
      </c>
      <c r="K28" s="286">
        <f>SUMIFS(sf!AP:AP,sf!BB:BB,I28)</f>
        <v>1288587.73</v>
      </c>
      <c r="L28" s="286">
        <f>SUMIF(CRM_PREV_M!AX:AX,I28,CRM_PREV_M!AN:AN)</f>
        <v>0</v>
      </c>
      <c r="M28" s="286">
        <f>SUMIF(CONC_PREV_M!B:B,I28,CONC_PREV_M!I:I)</f>
        <v>0</v>
      </c>
      <c r="N28" s="286">
        <f t="shared" si="3"/>
        <v>-9.9999997764825821E-3</v>
      </c>
      <c r="O28" s="241"/>
      <c r="P28" s="241"/>
      <c r="Q28" s="241"/>
    </row>
    <row r="29" spans="1:17" ht="13.5" customHeight="1" x14ac:dyDescent="0.3">
      <c r="A29" s="287" t="s">
        <v>1998</v>
      </c>
      <c r="B29" s="286">
        <f>SUMIF(ERP!H:H,A29,ERP!Q:Q)+SUMIFS(SAP!J:J,SAP!E:E,A29,SAP!AA:AA,"rev")</f>
        <v>-4055968.32</v>
      </c>
      <c r="C29" s="286">
        <f>SUMIF(sf!AY:AY,A29,sf!AN:AN)</f>
        <v>4055968.32</v>
      </c>
      <c r="D29" s="286">
        <f>SUMIF(CRM_PREV_M!AV:AV,A29,CRM_PREV_M!AL:AL)</f>
        <v>0</v>
      </c>
      <c r="E29" s="286">
        <f t="shared" si="0"/>
        <v>0</v>
      </c>
      <c r="F29" s="241"/>
      <c r="G29" s="241"/>
      <c r="H29" s="241"/>
      <c r="I29" s="241" t="s">
        <v>2198</v>
      </c>
      <c r="J29" s="286">
        <f>SUMIF(ERP!H:H,I29,ERP!Q:Q)+SUMIFS(SAP!J:J,SAP!E:E,I29,SAP!AA:AA,"COGS")</f>
        <v>5789370.6000000006</v>
      </c>
      <c r="K29" s="286">
        <f>SUMIFS(sf!AP:AP,sf!BB:BB,I29)</f>
        <v>5789370.9900000002</v>
      </c>
      <c r="L29" s="286">
        <f>SUMIF(CRM_PREV_M!AX:AX,I29,CRM_PREV_M!AN:AN)</f>
        <v>0</v>
      </c>
      <c r="M29" s="286">
        <f>SUMIF(CONC_PREV_M!B:B,I29,CONC_PREV_M!I:I)</f>
        <v>0</v>
      </c>
      <c r="N29" s="286">
        <f t="shared" si="3"/>
        <v>-0.38999999966472387</v>
      </c>
      <c r="O29" s="241"/>
      <c r="P29" s="241"/>
      <c r="Q29" s="241"/>
    </row>
    <row r="30" spans="1:17" ht="13.5" customHeight="1" x14ac:dyDescent="0.3">
      <c r="A30" s="287" t="s">
        <v>1996</v>
      </c>
      <c r="B30" s="286">
        <f>SUMIF(ERP!H:H,A30,ERP!Q:Q)+SUMIFS(SAP!J:J,SAP!E:E,A30,SAP!AA:AA,"rev")</f>
        <v>-893323.90000000014</v>
      </c>
      <c r="C30" s="286">
        <f>SUMIF(sf!AY:AY,A30,sf!AN:AN)</f>
        <v>893323.9</v>
      </c>
      <c r="D30" s="286">
        <f>SUMIF(CRM_PREV_M!AV:AV,A30,CRM_PREV_M!AL:AL)</f>
        <v>0</v>
      </c>
      <c r="E30" s="286">
        <f t="shared" si="0"/>
        <v>-1.1641532182693481E-10</v>
      </c>
      <c r="F30" s="241"/>
      <c r="G30" s="241"/>
      <c r="H30" s="241"/>
      <c r="I30" s="241" t="s">
        <v>2194</v>
      </c>
      <c r="J30" s="286">
        <f>SUMIF(ERP!H:H,I30,ERP!Q:Q)+SUMIFS(SAP!J:J,SAP!E:E,I30,SAP!AA:AA,"COGS")</f>
        <v>540858.18000000005</v>
      </c>
      <c r="K30" s="286">
        <f>SUMIFS(sf!AP:AP,sf!BB:BB,I30)</f>
        <v>540858.22</v>
      </c>
      <c r="L30" s="286">
        <f>SUMIF(CRM_PREV_M!AX:AX,I30,CRM_PREV_M!AN:AN)</f>
        <v>0</v>
      </c>
      <c r="M30" s="286">
        <f>SUMIF(CONC_PREV_M!B:B,I30,CONC_PREV_M!I:I)</f>
        <v>0</v>
      </c>
      <c r="N30" s="286">
        <f t="shared" si="3"/>
        <v>-3.9999999920837581E-2</v>
      </c>
      <c r="O30" s="241"/>
      <c r="P30" s="241"/>
      <c r="Q30" s="241"/>
    </row>
    <row r="31" spans="1:17" ht="13.5" customHeight="1" x14ac:dyDescent="0.3">
      <c r="A31" s="287" t="s">
        <v>1987</v>
      </c>
      <c r="B31" s="286">
        <f>SUMIF(ERP!H:H,A31,ERP!Q:Q)+SUMIFS(SAP!J:J,SAP!E:E,A31,SAP!AA:AA,"rev")</f>
        <v>-3962972.34</v>
      </c>
      <c r="C31" s="286">
        <f>SUMIF(sf!AY:AY,A31,sf!AN:AN)</f>
        <v>3962972.34</v>
      </c>
      <c r="D31" s="286">
        <f>SUMIF(CRM_PREV_M!AV:AV,A31,CRM_PREV_M!AL:AL)</f>
        <v>0</v>
      </c>
      <c r="E31" s="286">
        <f t="shared" si="0"/>
        <v>0</v>
      </c>
      <c r="F31" s="241"/>
      <c r="G31" s="241"/>
      <c r="H31" s="241"/>
      <c r="I31" s="241" t="s">
        <v>2208</v>
      </c>
      <c r="J31" s="286">
        <f>SUMIF(ERP!H:H,I31,ERP!Q:Q)+SUMIFS(SAP!J:J,SAP!E:E,I31,SAP!AA:AA,"COGS")</f>
        <v>893107.49999999988</v>
      </c>
      <c r="K31" s="286">
        <f>SUMIFS(sf!AP:AP,sf!BB:BB,I31)</f>
        <v>893107.5</v>
      </c>
      <c r="L31" s="286">
        <f>SUMIF(CRM_PREV_M!AX:AX,I31,CRM_PREV_M!AN:AN)</f>
        <v>0</v>
      </c>
      <c r="M31" s="286">
        <f>SUMIF(CONC_PREV_M!B:B,I31,CONC_PREV_M!I:I)</f>
        <v>0</v>
      </c>
      <c r="N31" s="286">
        <f t="shared" si="3"/>
        <v>-1.1641532182693481E-10</v>
      </c>
      <c r="O31" s="241"/>
      <c r="P31" s="241"/>
      <c r="Q31" s="241"/>
    </row>
    <row r="32" spans="1:17" ht="13.5" customHeight="1" x14ac:dyDescent="0.3">
      <c r="A32" s="287" t="s">
        <v>2030</v>
      </c>
      <c r="B32" s="286">
        <f>SUMIF(ERP!H:H,A32,ERP!Q:Q)+SUMIFS(SAP!J:J,SAP!E:E,A32,SAP!AA:AA,"rev")</f>
        <v>-4712962.42</v>
      </c>
      <c r="C32" s="286">
        <f>SUMIF(sf!AY:AY,A32,sf!AN:AN)</f>
        <v>4712962.42</v>
      </c>
      <c r="D32" s="286">
        <f>SUMIF(CRM_PREV_M!AV:AV,A32,CRM_PREV_M!AL:AL)</f>
        <v>0</v>
      </c>
      <c r="E32" s="286">
        <f t="shared" si="0"/>
        <v>0</v>
      </c>
      <c r="F32" s="241"/>
      <c r="G32" s="241"/>
      <c r="H32" s="241"/>
      <c r="I32" s="241" t="s">
        <v>2196</v>
      </c>
      <c r="J32" s="286">
        <f>SUMIF(ERP!H:H,I32,ERP!Q:Q)+SUMIFS(SAP!J:J,SAP!E:E,I32,SAP!AA:AA,"COGS")</f>
        <v>1459391.84</v>
      </c>
      <c r="K32" s="286">
        <f>SUMIFS(sf!AP:AP,sf!BB:BB,I32)</f>
        <v>1459391.93</v>
      </c>
      <c r="L32" s="286">
        <f>SUMIF(CRM_PREV_M!AX:AX,I32,CRM_PREV_M!AN:AN)</f>
        <v>0</v>
      </c>
      <c r="M32" s="286">
        <f>SUMIF(CONC_PREV_M!B:B,I32,CONC_PREV_M!I:I)</f>
        <v>0</v>
      </c>
      <c r="N32" s="286">
        <f t="shared" si="3"/>
        <v>-8.9999999850988388E-2</v>
      </c>
      <c r="O32" s="241"/>
      <c r="P32" s="241"/>
      <c r="Q32" s="241"/>
    </row>
    <row r="33" spans="1:17" ht="13.5" customHeight="1" x14ac:dyDescent="0.3">
      <c r="A33" s="287" t="s">
        <v>2091</v>
      </c>
      <c r="B33" s="286">
        <f>SUMIF(ERP!H:H,A33,ERP!Q:Q)+SUMIFS(SAP!J:J,SAP!E:E,A33,SAP!AA:AA,"rev")</f>
        <v>-4381827.7699999996</v>
      </c>
      <c r="C33" s="286">
        <f>SUMIF(sf!AY:AY,A33,sf!AN:AN)</f>
        <v>4381827.7699999996</v>
      </c>
      <c r="D33" s="286">
        <f>SUMIF(CRM_PREV_M!AV:AV,A33,CRM_PREV_M!AL:AL)</f>
        <v>0</v>
      </c>
      <c r="E33" s="286">
        <f t="shared" si="0"/>
        <v>0</v>
      </c>
      <c r="F33" s="241"/>
      <c r="G33" s="241"/>
      <c r="H33" s="241"/>
      <c r="I33" s="241" t="s">
        <v>2192</v>
      </c>
      <c r="J33" s="286">
        <f>SUMIF(ERP!H:H,I33,ERP!Q:Q)+SUMIFS(SAP!J:J,SAP!E:E,I33,SAP!AA:AA,"COGS")</f>
        <v>2395517.71</v>
      </c>
      <c r="K33" s="286">
        <f>SUMIFS(sf!AP:AP,sf!BB:BB,I33)</f>
        <v>2395517.86</v>
      </c>
      <c r="L33" s="286">
        <f>SUMIF(CRM_PREV_M!AX:AX,I33,CRM_PREV_M!AN:AN)</f>
        <v>0</v>
      </c>
      <c r="M33" s="286">
        <f>SUMIF(CONC_PREV_M!B:B,I33,CONC_PREV_M!I:I)</f>
        <v>0</v>
      </c>
      <c r="N33" s="286">
        <f t="shared" si="3"/>
        <v>-0.14999999990686774</v>
      </c>
      <c r="O33" s="241"/>
      <c r="P33" s="241"/>
      <c r="Q33" s="241"/>
    </row>
    <row r="34" spans="1:17" ht="13.5" customHeight="1" x14ac:dyDescent="0.3">
      <c r="A34" s="287" t="s">
        <v>2019</v>
      </c>
      <c r="B34" s="286">
        <f>SUMIF(ERP!H:H,A34,ERP!Q:Q)+SUMIFS(SAP!J:J,SAP!E:E,A34,SAP!AA:AA,"rev")</f>
        <v>-2669100</v>
      </c>
      <c r="C34" s="286">
        <f>SUMIF(sf!AY:AY,A34,sf!AN:AN)</f>
        <v>2669100</v>
      </c>
      <c r="D34" s="286">
        <f>SUMIF(CRM_PREV_M!AV:AV,A34,CRM_PREV_M!AL:AL)</f>
        <v>0</v>
      </c>
      <c r="E34" s="286">
        <f t="shared" ref="E34:E65" si="4">B34+C34+D34</f>
        <v>0</v>
      </c>
      <c r="F34" s="241"/>
      <c r="G34" s="241"/>
      <c r="H34" s="241"/>
      <c r="I34" s="241" t="s">
        <v>2188</v>
      </c>
      <c r="J34" s="286">
        <f>SUMIF(ERP!H:H,I34,ERP!Q:Q)+SUMIFS(SAP!J:J,SAP!E:E,I34,SAP!AA:AA,"COGS")</f>
        <v>539991.96</v>
      </c>
      <c r="K34" s="286">
        <f>SUMIFS(sf!AP:AP,sf!BB:BB,I34)</f>
        <v>539992</v>
      </c>
      <c r="L34" s="286">
        <f>SUMIF(CRM_PREV_M!AX:AX,I34,CRM_PREV_M!AN:AN)</f>
        <v>0</v>
      </c>
      <c r="M34" s="286">
        <f>SUMIF(CONC_PREV_M!B:B,I34,CONC_PREV_M!I:I)</f>
        <v>0</v>
      </c>
      <c r="N34" s="286">
        <f t="shared" si="3"/>
        <v>-4.0000000037252903E-2</v>
      </c>
      <c r="O34" s="241"/>
      <c r="P34" s="241"/>
      <c r="Q34" s="241"/>
    </row>
    <row r="35" spans="1:17" ht="13.5" customHeight="1" x14ac:dyDescent="0.3">
      <c r="A35" s="287" t="s">
        <v>2052</v>
      </c>
      <c r="B35" s="286">
        <f>SUMIF(ERP!H:H,A35,ERP!Q:Q)+SUMIFS(SAP!J:J,SAP!E:E,A35,SAP!AA:AA,"rev")</f>
        <v>-2028302.0400000003</v>
      </c>
      <c r="C35" s="286">
        <f>SUMIF(sf!AY:AY,A35,sf!AN:AN)</f>
        <v>2028302.04</v>
      </c>
      <c r="D35" s="286">
        <f>SUMIF(CRM_PREV_M!AV:AV,A35,CRM_PREV_M!AL:AL)</f>
        <v>0</v>
      </c>
      <c r="E35" s="286">
        <f t="shared" si="4"/>
        <v>-2.3283064365386963E-10</v>
      </c>
      <c r="F35" s="241"/>
      <c r="G35" s="241"/>
      <c r="H35" s="241"/>
      <c r="I35" s="241" t="s">
        <v>2190</v>
      </c>
      <c r="J35" s="286">
        <f>SUMIF(ERP!H:H,I35,ERP!Q:Q)+SUMIFS(SAP!J:J,SAP!E:E,I35,SAP!AA:AA,"COGS")</f>
        <v>2451731.4500000002</v>
      </c>
      <c r="K35" s="286">
        <f>SUMIFS(sf!AP:AP,sf!BB:BB,I35)</f>
        <v>2451731.61</v>
      </c>
      <c r="L35" s="286">
        <f>SUMIF(CRM_PREV_M!AX:AX,I35,CRM_PREV_M!AN:AN)</f>
        <v>0</v>
      </c>
      <c r="M35" s="286">
        <f>SUMIF(CONC_PREV_M!B:B,I35,CONC_PREV_M!I:I)</f>
        <v>0</v>
      </c>
      <c r="N35" s="286">
        <f t="shared" si="3"/>
        <v>-0.15999999968335032</v>
      </c>
      <c r="O35" s="241"/>
      <c r="P35" s="241"/>
      <c r="Q35" s="241"/>
    </row>
    <row r="36" spans="1:17" ht="13.5" customHeight="1" x14ac:dyDescent="0.3">
      <c r="A36" s="287" t="s">
        <v>2011</v>
      </c>
      <c r="B36" s="286">
        <f>SUMIF(ERP!H:H,A36,ERP!Q:Q)+SUMIFS(SAP!J:J,SAP!E:E,A36,SAP!AA:AA,"rev")</f>
        <v>-1651074.2800000003</v>
      </c>
      <c r="C36" s="286">
        <f>SUMIF(sf!AY:AY,A36,sf!AN:AN)</f>
        <v>1651074.28</v>
      </c>
      <c r="D36" s="286">
        <f>SUMIF(CRM_PREV_M!AV:AV,A36,CRM_PREV_M!AL:AL)</f>
        <v>0</v>
      </c>
      <c r="E36" s="286">
        <f t="shared" si="4"/>
        <v>-2.3283064365386963E-10</v>
      </c>
      <c r="F36" s="241"/>
      <c r="G36" s="241"/>
      <c r="H36" s="241"/>
      <c r="I36" s="241" t="s">
        <v>2226</v>
      </c>
      <c r="J36" s="286">
        <f>SUMIF(ERP!H:H,I36,ERP!Q:Q)+SUMIFS(SAP!J:J,SAP!E:E,I36,SAP!AA:AA,"COGS")</f>
        <v>1027143.1200000001</v>
      </c>
      <c r="K36" s="286">
        <f>SUMIFS(sf!AP:AP,sf!BB:BB,I36)</f>
        <v>1027143.19</v>
      </c>
      <c r="L36" s="286">
        <f>SUMIF(CRM_PREV_M!AX:AX,I36,CRM_PREV_M!AN:AN)</f>
        <v>0</v>
      </c>
      <c r="M36" s="286">
        <f>SUMIF(CONC_PREV_M!B:B,I36,CONC_PREV_M!I:I)</f>
        <v>0</v>
      </c>
      <c r="N36" s="286">
        <f t="shared" si="3"/>
        <v>-6.9999999832361937E-2</v>
      </c>
      <c r="O36" s="241"/>
      <c r="P36" s="241"/>
      <c r="Q36" s="241"/>
    </row>
    <row r="37" spans="1:17" ht="13.5" customHeight="1" x14ac:dyDescent="0.3">
      <c r="A37" s="287" t="s">
        <v>2039</v>
      </c>
      <c r="B37" s="286">
        <f>SUMIF(ERP!H:H,A37,ERP!Q:Q)+SUMIFS(SAP!J:J,SAP!E:E,A37,SAP!AA:AA,"rev")</f>
        <v>-4109964.9799999995</v>
      </c>
      <c r="C37" s="286">
        <f>SUMIF(sf!AY:AY,A37,sf!AN:AN)</f>
        <v>4109964.98</v>
      </c>
      <c r="D37" s="286">
        <f>SUMIF(CRM_PREV_M!AV:AV,A37,CRM_PREV_M!AL:AL)</f>
        <v>0</v>
      </c>
      <c r="E37" s="286">
        <f t="shared" si="4"/>
        <v>4.6566128730773926E-10</v>
      </c>
      <c r="F37" s="241"/>
      <c r="G37" s="241"/>
      <c r="H37" s="241"/>
      <c r="I37" s="241" t="s">
        <v>2186</v>
      </c>
      <c r="J37" s="286">
        <f>SUMIF(ERP!H:H,I37,ERP!Q:Q)+SUMIFS(SAP!J:J,SAP!E:E,I37,SAP!AA:AA,"COGS")</f>
        <v>2648705.3400000003</v>
      </c>
      <c r="K37" s="286">
        <f>SUMIFS(sf!AP:AP,sf!BB:BB,I37)</f>
        <v>2648705.52</v>
      </c>
      <c r="L37" s="286">
        <f>SUMIF(CRM_PREV_M!AX:AX,I37,CRM_PREV_M!AN:AN)</f>
        <v>0</v>
      </c>
      <c r="M37" s="286">
        <f>SUMIF(CONC_PREV_M!B:B,I37,CONC_PREV_M!I:I)</f>
        <v>0</v>
      </c>
      <c r="N37" s="286">
        <f t="shared" si="3"/>
        <v>-0.17999999970197678</v>
      </c>
      <c r="O37" s="241"/>
      <c r="P37" s="241"/>
      <c r="Q37" s="241"/>
    </row>
    <row r="38" spans="1:17" ht="13.5" customHeight="1" x14ac:dyDescent="0.3">
      <c r="A38" s="287" t="s">
        <v>2082</v>
      </c>
      <c r="B38" s="286">
        <f>SUMIF(ERP!H:H,A38,ERP!Q:Q)+SUMIFS(SAP!J:J,SAP!E:E,A38,SAP!AA:AA,"rev")</f>
        <v>-7779983.4400000013</v>
      </c>
      <c r="C38" s="286">
        <f>SUMIF(sf!AY:AY,A38,sf!AN:AN)</f>
        <v>7779983.4400000004</v>
      </c>
      <c r="D38" s="286">
        <f>SUMIF(CRM_PREV_M!AV:AV,A38,CRM_PREV_M!AL:AL)</f>
        <v>0</v>
      </c>
      <c r="E38" s="286">
        <f t="shared" si="4"/>
        <v>-9.3132257461547852E-10</v>
      </c>
      <c r="F38" s="241"/>
      <c r="G38" s="241"/>
      <c r="H38" s="241"/>
      <c r="I38" s="241" t="s">
        <v>2184</v>
      </c>
      <c r="J38" s="286">
        <f>SUMIF(ERP!H:H,I38,ERP!Q:Q)+SUMIFS(SAP!J:J,SAP!E:E,I38,SAP!AA:AA,"COGS")</f>
        <v>2848867.96</v>
      </c>
      <c r="K38" s="286">
        <f>SUMIFS(sf!AP:AP,sf!BB:BB,I38)</f>
        <v>2848868.15</v>
      </c>
      <c r="L38" s="286">
        <f>SUMIF(CRM_PREV_M!AX:AX,I38,CRM_PREV_M!AN:AN)</f>
        <v>0</v>
      </c>
      <c r="M38" s="286">
        <f>SUMIF(CONC_PREV_M!B:B,I38,CONC_PREV_M!I:I)</f>
        <v>0</v>
      </c>
      <c r="N38" s="286">
        <f t="shared" si="3"/>
        <v>-0.18999999994412065</v>
      </c>
      <c r="O38" s="241"/>
      <c r="P38" s="241"/>
      <c r="Q38" s="241"/>
    </row>
    <row r="39" spans="1:17" ht="13.5" customHeight="1" x14ac:dyDescent="0.3">
      <c r="A39" s="287" t="s">
        <v>2005</v>
      </c>
      <c r="B39" s="286">
        <f>SUMIF(ERP!H:H,A39,ERP!Q:Q)+SUMIFS(SAP!J:J,SAP!E:E,A39,SAP!AA:AA,"rev")</f>
        <v>-798524.61</v>
      </c>
      <c r="C39" s="286">
        <f>SUMIF(sf!AY:AY,A39,sf!AN:AN)</f>
        <v>798524.61</v>
      </c>
      <c r="D39" s="286">
        <f>SUMIF(CRM_PREV_M!AV:AV,A39,CRM_PREV_M!AL:AL)</f>
        <v>0</v>
      </c>
      <c r="E39" s="286">
        <f t="shared" si="4"/>
        <v>0</v>
      </c>
      <c r="F39" s="241"/>
      <c r="G39" s="241"/>
      <c r="H39" s="241"/>
      <c r="I39" s="241" t="s">
        <v>2178</v>
      </c>
      <c r="J39" s="286">
        <f>SUMIF(ERP!H:H,I39,ERP!Q:Q)+SUMIFS(SAP!J:J,SAP!E:E,I39,SAP!AA:AA,"COGS")</f>
        <v>4702805.49</v>
      </c>
      <c r="K39" s="286">
        <f>SUMIFS(sf!AP:AP,sf!BB:BB,I39)</f>
        <v>4702805.8</v>
      </c>
      <c r="L39" s="286">
        <f>SUMIF(CRM_PREV_M!AX:AX,I39,CRM_PREV_M!AN:AN)</f>
        <v>0</v>
      </c>
      <c r="M39" s="286">
        <f>SUMIF(CONC_PREV_M!B:B,I39,CONC_PREV_M!I:I)</f>
        <v>0</v>
      </c>
      <c r="N39" s="286">
        <f t="shared" si="3"/>
        <v>-0.30999999959021807</v>
      </c>
      <c r="O39" s="241"/>
      <c r="P39" s="241"/>
      <c r="Q39" s="241"/>
    </row>
    <row r="40" spans="1:17" ht="13.5" customHeight="1" x14ac:dyDescent="0.3">
      <c r="A40" s="287" t="s">
        <v>2017</v>
      </c>
      <c r="B40" s="286">
        <f>SUMIF(ERP!H:H,A40,ERP!Q:Q)+SUMIFS(SAP!J:J,SAP!E:E,A40,SAP!AA:AA,"rev")</f>
        <v>-7991501.8100000005</v>
      </c>
      <c r="C40" s="286">
        <f>SUMIF(sf!AY:AY,A40,sf!AN:AN)</f>
        <v>7991501.8099999996</v>
      </c>
      <c r="D40" s="286">
        <f>SUMIF(CRM_PREV_M!AV:AV,A40,CRM_PREV_M!AL:AL)</f>
        <v>0</v>
      </c>
      <c r="E40" s="286">
        <f t="shared" si="4"/>
        <v>-9.3132257461547852E-10</v>
      </c>
      <c r="F40" s="241"/>
      <c r="G40" s="241"/>
      <c r="H40" s="241"/>
      <c r="I40" s="241" t="s">
        <v>2333</v>
      </c>
      <c r="J40" s="286">
        <f>SUMIF(ERP!H:H,I40,ERP!Q:Q)+SUMIFS(SAP!J:J,SAP!E:E,I40,SAP!AA:AA,"COGS")</f>
        <v>1938801.31</v>
      </c>
      <c r="K40" s="286">
        <f>SUMIFS(sf!AP:AP,sf!BB:BB,I40)</f>
        <v>1938801.31</v>
      </c>
      <c r="L40" s="286">
        <f>SUMIF(CRM_PREV_M!AX:AX,I40,CRM_PREV_M!AN:AN)</f>
        <v>0</v>
      </c>
      <c r="M40" s="286">
        <f>SUMIF(CONC_PREV_M!B:B,I40,CONC_PREV_M!I:I)</f>
        <v>0</v>
      </c>
      <c r="N40" s="286">
        <f t="shared" si="3"/>
        <v>0</v>
      </c>
      <c r="O40" s="241"/>
      <c r="P40" s="241"/>
      <c r="Q40" s="241"/>
    </row>
    <row r="41" spans="1:17" ht="13.5" customHeight="1" x14ac:dyDescent="0.3">
      <c r="A41" s="287" t="s">
        <v>261</v>
      </c>
      <c r="B41" s="286">
        <f>SUMIF(ERP!H:H,A41,ERP!Q:Q)+SUMIFS(SAP!J:J,SAP!E:E,A41,SAP!AA:AA,"rev")</f>
        <v>-7514153.129999999</v>
      </c>
      <c r="C41" s="286">
        <f>SUMIF(sf!AY:AY,A41,sf!AN:AN)</f>
        <v>7514153.1299999999</v>
      </c>
      <c r="D41" s="286">
        <f>SUMIF(CRM_PREV_M!AV:AV,A41,CRM_PREV_M!AL:AL)</f>
        <v>0</v>
      </c>
      <c r="E41" s="286">
        <f t="shared" si="4"/>
        <v>9.3132257461547852E-10</v>
      </c>
      <c r="F41" s="241"/>
      <c r="G41" s="241"/>
      <c r="H41" s="241"/>
      <c r="I41" s="241" t="s">
        <v>2180</v>
      </c>
      <c r="J41" s="286">
        <f>SUMIF(ERP!H:H,I41,ERP!Q:Q)+SUMIFS(SAP!J:J,SAP!E:E,I41,SAP!AA:AA,"COGS")</f>
        <v>998033.12999999989</v>
      </c>
      <c r="K41" s="286">
        <f>SUMIFS(sf!AP:AP,sf!BB:BB,I41)</f>
        <v>998033.19</v>
      </c>
      <c r="L41" s="286">
        <f>SUMIF(CRM_PREV_M!AX:AX,I41,CRM_PREV_M!AN:AN)</f>
        <v>0</v>
      </c>
      <c r="M41" s="286">
        <f>SUMIF(CONC_PREV_M!B:B,I41,CONC_PREV_M!I:I)</f>
        <v>0</v>
      </c>
      <c r="N41" s="286">
        <f t="shared" si="3"/>
        <v>-6.0000000055879354E-2</v>
      </c>
      <c r="O41" s="241"/>
      <c r="P41" s="241"/>
      <c r="Q41" s="241"/>
    </row>
    <row r="42" spans="1:17" ht="13.5" customHeight="1" x14ac:dyDescent="0.3">
      <c r="A42" s="287" t="s">
        <v>2057</v>
      </c>
      <c r="B42" s="286">
        <f>SUMIF(ERP!H:H,A42,ERP!Q:Q)+SUMIFS(SAP!J:J,SAP!E:E,A42,SAP!AA:AA,"rev")</f>
        <v>-92012.770000000019</v>
      </c>
      <c r="C42" s="286">
        <f>SUMIF(sf!AY:AY,A42,sf!AN:AN)</f>
        <v>92012.77</v>
      </c>
      <c r="D42" s="286">
        <f>SUMIF(CRM_PREV_M!AV:AV,A42,CRM_PREV_M!AL:AL)</f>
        <v>0</v>
      </c>
      <c r="E42" s="286">
        <f t="shared" si="4"/>
        <v>-1.4551915228366852E-11</v>
      </c>
      <c r="F42" s="241"/>
      <c r="G42" s="241"/>
      <c r="H42" s="241"/>
      <c r="I42" s="241" t="s">
        <v>2176</v>
      </c>
      <c r="J42" s="286">
        <f>SUMIF(ERP!H:H,I42,ERP!Q:Q)+SUMIFS(SAP!J:J,SAP!E:E,I42,SAP!AA:AA,"COGS")</f>
        <v>4542117.7100000009</v>
      </c>
      <c r="K42" s="286">
        <f>SUMIFS(sf!AP:AP,sf!BB:BB,I42)</f>
        <v>4542118.01</v>
      </c>
      <c r="L42" s="286">
        <f>SUMIF(CRM_PREV_M!AX:AX,I42,CRM_PREV_M!AN:AN)</f>
        <v>0</v>
      </c>
      <c r="M42" s="286">
        <f>SUMIF(CONC_PREV_M!B:B,I42,CONC_PREV_M!I:I)</f>
        <v>0</v>
      </c>
      <c r="N42" s="286">
        <f t="shared" si="3"/>
        <v>-0.29999999888241291</v>
      </c>
      <c r="O42" s="241"/>
      <c r="P42" s="241"/>
      <c r="Q42" s="241"/>
    </row>
    <row r="43" spans="1:17" ht="13.5" customHeight="1" x14ac:dyDescent="0.3">
      <c r="A43" s="287" t="s">
        <v>2094</v>
      </c>
      <c r="B43" s="286">
        <f>SUMIF(ERP!H:H,A43,ERP!Q:Q)+SUMIFS(SAP!J:J,SAP!E:E,A43,SAP!AA:AA,"rev")</f>
        <v>-1419697.03</v>
      </c>
      <c r="C43" s="286">
        <f>SUMIF(sf!AY:AY,A43,sf!AN:AN)</f>
        <v>1419697.03</v>
      </c>
      <c r="D43" s="286">
        <f>SUMIF(CRM_PREV_M!AV:AV,A43,CRM_PREV_M!AL:AL)</f>
        <v>0</v>
      </c>
      <c r="E43" s="286">
        <f t="shared" si="4"/>
        <v>0</v>
      </c>
      <c r="F43" s="241"/>
      <c r="G43" s="241"/>
      <c r="H43" s="241"/>
      <c r="I43" s="241" t="s">
        <v>2182</v>
      </c>
      <c r="J43" s="286">
        <f>SUMIF(ERP!H:H,I43,ERP!Q:Q)+SUMIFS(SAP!J:J,SAP!E:E,I43,SAP!AA:AA,"COGS")</f>
        <v>4830663.05</v>
      </c>
      <c r="K43" s="286">
        <f>SUMIFS(sf!AP:AP,sf!BB:BB,I43)</f>
        <v>4830663.38</v>
      </c>
      <c r="L43" s="286">
        <f>SUMIF(CRM_PREV_M!AX:AX,I43,CRM_PREV_M!AN:AN)</f>
        <v>0</v>
      </c>
      <c r="M43" s="286">
        <f>SUMIF(CONC_PREV_M!B:B,I43,CONC_PREV_M!I:I)</f>
        <v>0</v>
      </c>
      <c r="N43" s="286">
        <f t="shared" si="3"/>
        <v>-0.33000000007450581</v>
      </c>
      <c r="O43" s="241"/>
      <c r="P43" s="241"/>
      <c r="Q43" s="241"/>
    </row>
    <row r="44" spans="1:17" ht="13.5" customHeight="1" x14ac:dyDescent="0.3">
      <c r="A44" s="287" t="s">
        <v>365</v>
      </c>
      <c r="B44" s="286">
        <f>SUMIF(ERP!H:H,A44,ERP!Q:Q)+SUMIFS(SAP!J:J,SAP!E:E,A44,SAP!AA:AA,"rev")</f>
        <v>-999321.21</v>
      </c>
      <c r="C44" s="286">
        <f>SUMIF(sf!AY:AY,A44,sf!AN:AN)</f>
        <v>999321.21</v>
      </c>
      <c r="D44" s="286">
        <f>SUMIF(CRM_PREV_M!AV:AV,A44,CRM_PREV_M!AL:AL)</f>
        <v>0</v>
      </c>
      <c r="E44" s="286">
        <f t="shared" si="4"/>
        <v>0</v>
      </c>
      <c r="F44" s="241"/>
      <c r="G44" s="241"/>
      <c r="H44" s="241"/>
      <c r="I44" s="241" t="s">
        <v>2204</v>
      </c>
      <c r="J44" s="286">
        <f>SUMIF(ERP!H:H,I44,ERP!Q:Q)+SUMIFS(SAP!J:J,SAP!E:E,I44,SAP!AA:AA,"COGS")</f>
        <v>5338114.74</v>
      </c>
      <c r="K44" s="286">
        <f>SUMIFS(sf!AP:AP,sf!BB:BB,I44)</f>
        <v>5338114.74</v>
      </c>
      <c r="L44" s="286">
        <f>SUMIF(CRM_PREV_M!AX:AX,I44,CRM_PREV_M!AN:AN)</f>
        <v>0</v>
      </c>
      <c r="M44" s="286">
        <f>SUMIF(CONC_PREV_M!B:B,I44,CONC_PREV_M!I:I)</f>
        <v>0</v>
      </c>
      <c r="N44" s="286">
        <f t="shared" si="3"/>
        <v>0</v>
      </c>
      <c r="O44" s="241"/>
      <c r="P44" s="241"/>
      <c r="Q44" s="241"/>
    </row>
    <row r="45" spans="1:17" ht="13.5" customHeight="1" x14ac:dyDescent="0.3">
      <c r="A45" s="287" t="s">
        <v>331</v>
      </c>
      <c r="B45" s="286">
        <f>SUMIF(ERP!H:H,A45,ERP!Q:Q)+SUMIFS(SAP!J:J,SAP!E:E,A45,SAP!AA:AA,"rev")</f>
        <v>-997649.16</v>
      </c>
      <c r="C45" s="286">
        <f>SUMIF(sf!AY:AY,A45,sf!AN:AN)</f>
        <v>997649.16</v>
      </c>
      <c r="D45" s="286">
        <f>SUMIF(CRM_PREV_M!AV:AV,A45,CRM_PREV_M!AL:AL)</f>
        <v>0</v>
      </c>
      <c r="E45" s="286">
        <f t="shared" si="4"/>
        <v>0</v>
      </c>
      <c r="F45" s="241"/>
      <c r="G45" s="241"/>
      <c r="H45" s="241"/>
      <c r="I45" s="241" t="s">
        <v>2335</v>
      </c>
      <c r="J45" s="286">
        <f>SUMIF(ERP!H:H,I45,ERP!Q:Q)+SUMIFS(SAP!J:J,SAP!E:E,I45,SAP!AA:AA,"COGS")</f>
        <v>3102939.29</v>
      </c>
      <c r="K45" s="286">
        <f>SUMIFS(sf!AP:AP,sf!BB:BB,I45)</f>
        <v>3102939.29</v>
      </c>
      <c r="L45" s="286">
        <f>SUMIF(CRM_PREV_M!AX:AX,I45,CRM_PREV_M!AN:AN)</f>
        <v>0</v>
      </c>
      <c r="M45" s="286">
        <f>SUMIF(CONC_PREV_M!B:B,I45,CONC_PREV_M!I:I)</f>
        <v>0</v>
      </c>
      <c r="N45" s="286">
        <f t="shared" si="3"/>
        <v>0</v>
      </c>
      <c r="O45" s="241"/>
      <c r="P45" s="241"/>
      <c r="Q45" s="241"/>
    </row>
    <row r="46" spans="1:17" ht="13.5" customHeight="1" x14ac:dyDescent="0.3">
      <c r="A46" s="287" t="s">
        <v>310</v>
      </c>
      <c r="B46" s="286">
        <f>SUMIF(ERP!H:H,A46,ERP!Q:Q)+SUMIFS(SAP!J:J,SAP!E:E,A46,SAP!AA:AA,"rev")</f>
        <v>-4884766</v>
      </c>
      <c r="C46" s="286">
        <f>SUMIF(sf!AY:AY,A46,sf!AN:AN)</f>
        <v>4884766</v>
      </c>
      <c r="D46" s="286">
        <f>SUMIF(CRM_PREV_M!AV:AV,A46,CRM_PREV_M!AL:AL)</f>
        <v>0</v>
      </c>
      <c r="E46" s="286">
        <f t="shared" si="4"/>
        <v>0</v>
      </c>
      <c r="F46" s="241"/>
      <c r="G46" s="241"/>
      <c r="H46" s="241"/>
      <c r="I46" s="241" t="s">
        <v>2210</v>
      </c>
      <c r="J46" s="286">
        <f>SUMIF(ERP!H:H,I46,ERP!Q:Q)+SUMIFS(SAP!J:J,SAP!E:E,I46,SAP!AA:AA,"COGS")</f>
        <v>1152172.52</v>
      </c>
      <c r="K46" s="286">
        <f>SUMIFS(sf!AP:AP,sf!BB:BB,I46)</f>
        <v>1152172.52</v>
      </c>
      <c r="L46" s="286">
        <f>SUMIF(CRM_PREV_M!AX:AX,I46,CRM_PREV_M!AN:AN)</f>
        <v>0</v>
      </c>
      <c r="M46" s="286">
        <f>SUMIF(CONC_PREV_M!B:B,I46,CONC_PREV_M!I:I)</f>
        <v>0</v>
      </c>
      <c r="N46" s="286">
        <f t="shared" si="3"/>
        <v>0</v>
      </c>
      <c r="O46" s="241"/>
      <c r="P46" s="241"/>
      <c r="Q46" s="241"/>
    </row>
    <row r="47" spans="1:17" ht="13.5" customHeight="1" x14ac:dyDescent="0.3">
      <c r="A47" s="287" t="s">
        <v>204</v>
      </c>
      <c r="B47" s="286">
        <f>SUMIF(ERP!H:H,A47,ERP!Q:Q)+SUMIFS(SAP!J:J,SAP!E:E,A47,SAP!AA:AA,"rev")</f>
        <v>-241926.19</v>
      </c>
      <c r="C47" s="286">
        <f>SUMIF(sf!AY:AY,A47,sf!AN:AN)</f>
        <v>241926.19</v>
      </c>
      <c r="D47" s="286">
        <f>SUMIF(CRM_PREV_M!AV:AV,A47,CRM_PREV_M!AL:AL)</f>
        <v>0</v>
      </c>
      <c r="E47" s="286">
        <f t="shared" si="4"/>
        <v>0</v>
      </c>
      <c r="F47" s="241"/>
      <c r="G47" s="241"/>
      <c r="H47" s="241"/>
      <c r="I47" s="241" t="s">
        <v>2166</v>
      </c>
      <c r="J47" s="286">
        <f>SUMIF(ERP!H:H,I47,ERP!Q:Q)+SUMIFS(SAP!J:J,SAP!E:E,I47,SAP!AA:AA,"COGS")</f>
        <v>55619.420000000006</v>
      </c>
      <c r="K47" s="286">
        <f>SUMIFS(sf!AP:AP,sf!BB:BB,I47)</f>
        <v>55619.42</v>
      </c>
      <c r="L47" s="286">
        <f>SUMIF(CRM_PREV_M!AX:AX,I47,CRM_PREV_M!AN:AN)</f>
        <v>0</v>
      </c>
      <c r="M47" s="286">
        <f>SUMIF(CONC_PREV_M!B:B,I47,CONC_PREV_M!I:I)</f>
        <v>0</v>
      </c>
      <c r="N47" s="286">
        <f t="shared" si="3"/>
        <v>7.2759576141834259E-12</v>
      </c>
      <c r="O47" s="241"/>
      <c r="P47" s="241"/>
      <c r="Q47" s="241"/>
    </row>
    <row r="48" spans="1:17" ht="13.5" customHeight="1" x14ac:dyDescent="0.3">
      <c r="A48" s="287" t="s">
        <v>2322</v>
      </c>
      <c r="B48" s="286">
        <f>SUMIF(ERP!H:H,A48,ERP!Q:Q)+SUMIFS(SAP!J:J,SAP!E:E,A48,SAP!AA:AA,"rev")</f>
        <v>-2304000</v>
      </c>
      <c r="C48" s="286">
        <f>SUMIF(sf!AY:AY,A48,sf!AN:AN)</f>
        <v>2304000</v>
      </c>
      <c r="D48" s="286">
        <f>SUMIF(CRM_PREV_M!AV:AV,A48,CRM_PREV_M!AL:AL)</f>
        <v>0</v>
      </c>
      <c r="E48" s="286">
        <f t="shared" si="4"/>
        <v>0</v>
      </c>
      <c r="F48" s="241"/>
      <c r="G48" s="241"/>
      <c r="H48" s="241"/>
      <c r="I48" s="241" t="s">
        <v>2174</v>
      </c>
      <c r="J48" s="286">
        <f>SUMIF(ERP!H:H,I48,ERP!Q:Q)+SUMIFS(SAP!J:J,SAP!E:E,I48,SAP!AA:AA,"COGS")</f>
        <v>2484371.08</v>
      </c>
      <c r="K48" s="286">
        <f>SUMIFS(sf!AP:AP,sf!BB:BB,I48)</f>
        <v>2484371.25</v>
      </c>
      <c r="L48" s="286">
        <f>SUMIF(CRM_PREV_M!AX:AX,I48,CRM_PREV_M!AN:AN)</f>
        <v>0</v>
      </c>
      <c r="M48" s="286">
        <f>SUMIF(CONC_PREV_M!B:B,I48,CONC_PREV_M!I:I)</f>
        <v>0</v>
      </c>
      <c r="N48" s="286">
        <f t="shared" si="3"/>
        <v>-0.16999999992549419</v>
      </c>
      <c r="O48" s="241"/>
      <c r="P48" s="241"/>
      <c r="Q48" s="241"/>
    </row>
    <row r="49" spans="1:17" ht="13.5" customHeight="1" x14ac:dyDescent="0.3">
      <c r="A49" s="287" t="s">
        <v>2325</v>
      </c>
      <c r="B49" s="286">
        <f>SUMIF(ERP!H:H,A49,ERP!Q:Q)+SUMIFS(SAP!J:J,SAP!E:E,A49,SAP!AA:AA,"rev")</f>
        <v>-4454635.05</v>
      </c>
      <c r="C49" s="286">
        <f>SUMIF(sf!AY:AY,A49,sf!AN:AN)</f>
        <v>4454635.05</v>
      </c>
      <c r="D49" s="286">
        <f>SUMIF(CRM_PREV_M!AV:AV,A49,CRM_PREV_M!AL:AL)</f>
        <v>0</v>
      </c>
      <c r="E49" s="286">
        <f t="shared" si="4"/>
        <v>0</v>
      </c>
      <c r="F49" s="241"/>
      <c r="G49" s="241"/>
      <c r="H49" s="241"/>
      <c r="I49" s="241" t="s">
        <v>2164</v>
      </c>
      <c r="J49" s="286">
        <f>SUMIF(ERP!H:H,I49,ERP!Q:Q)+SUMIFS(SAP!J:J,SAP!E:E,I49,SAP!AA:AA,"COGS")</f>
        <v>482688.16999999993</v>
      </c>
      <c r="K49" s="286">
        <f>SUMIFS(sf!AP:AP,sf!BB:BB,I49)</f>
        <v>482688.2</v>
      </c>
      <c r="L49" s="286">
        <f>SUMIF(CRM_PREV_M!AX:AX,I49,CRM_PREV_M!AN:AN)</f>
        <v>0</v>
      </c>
      <c r="M49" s="286">
        <f>SUMIF(CONC_PREV_M!B:B,I49,CONC_PREV_M!I:I)</f>
        <v>0</v>
      </c>
      <c r="N49" s="286">
        <f t="shared" si="3"/>
        <v>-3.0000000086147338E-2</v>
      </c>
      <c r="O49" s="241"/>
      <c r="P49" s="241"/>
      <c r="Q49" s="241"/>
    </row>
    <row r="50" spans="1:17" ht="13.5" customHeight="1" x14ac:dyDescent="0.3">
      <c r="A50" s="287" t="s">
        <v>2334</v>
      </c>
      <c r="B50" s="286">
        <f>SUMIF(ERP!H:H,A50,ERP!Q:Q)+SUMIFS(SAP!J:J,SAP!E:E,A50,SAP!AA:AA,"rev")</f>
        <v>-4701458.79</v>
      </c>
      <c r="C50" s="286">
        <f>SUMIF(sf!AY:AY,A50,sf!AN:AN)</f>
        <v>4701458.79</v>
      </c>
      <c r="D50" s="286">
        <f>SUMIF(CRM_PREV_M!AV:AV,A50,CRM_PREV_M!AL:AL)</f>
        <v>0</v>
      </c>
      <c r="E50" s="286">
        <f t="shared" si="4"/>
        <v>0</v>
      </c>
      <c r="F50" s="241"/>
      <c r="G50" s="241"/>
      <c r="H50" s="241"/>
      <c r="I50" s="241" t="s">
        <v>2168</v>
      </c>
      <c r="J50" s="286">
        <f>SUMIF(ERP!H:H,I50,ERP!Q:Q)+SUMIFS(SAP!J:J,SAP!E:E,I50,SAP!AA:AA,"COGS")</f>
        <v>1226057.8700000001</v>
      </c>
      <c r="K50" s="286">
        <f>SUMIFS(sf!AP:AP,sf!BB:BB,I50)</f>
        <v>1226057.96</v>
      </c>
      <c r="L50" s="286">
        <f>SUMIF(CRM_PREV_M!AX:AX,I50,CRM_PREV_M!AN:AN)</f>
        <v>0</v>
      </c>
      <c r="M50" s="286">
        <f>SUMIF(CONC_PREV_M!B:B,I50,CONC_PREV_M!I:I)</f>
        <v>0</v>
      </c>
      <c r="N50" s="286">
        <f t="shared" si="3"/>
        <v>-8.9999999850988388E-2</v>
      </c>
      <c r="O50" s="241"/>
      <c r="P50" s="241"/>
      <c r="Q50" s="241"/>
    </row>
    <row r="51" spans="1:17" ht="13.5" customHeight="1" x14ac:dyDescent="0.3">
      <c r="A51" s="287" t="s">
        <v>2358</v>
      </c>
      <c r="B51" s="286">
        <f>SUMIF(ERP!H:H,A51,ERP!Q:Q)+SUMIFS(SAP!J:J,SAP!E:E,A51,SAP!AA:AA,"rev")</f>
        <v>-2890408.14</v>
      </c>
      <c r="C51" s="286">
        <f>SUMIF(sf!AY:AY,A51,sf!AN:AN)</f>
        <v>2890408.14</v>
      </c>
      <c r="D51" s="286">
        <f>SUMIF(CRM_PREV_M!AV:AV,A51,CRM_PREV_M!AL:AL)</f>
        <v>0</v>
      </c>
      <c r="E51" s="286">
        <f t="shared" si="4"/>
        <v>0</v>
      </c>
      <c r="F51" s="241"/>
      <c r="G51" s="241"/>
      <c r="H51" s="241"/>
      <c r="I51" s="241" t="s">
        <v>2158</v>
      </c>
      <c r="J51" s="286">
        <f>SUMIF(ERP!H:H,I51,ERP!Q:Q)+SUMIFS(SAP!J:J,SAP!E:E,I51,SAP!AA:AA,"COGS")</f>
        <v>858171.35</v>
      </c>
      <c r="K51" s="286">
        <f>SUMIFS(sf!AP:AP,sf!BB:BB,I51)</f>
        <v>858171.41999999993</v>
      </c>
      <c r="L51" s="286">
        <f>SUMIF(CRM_PREV_M!AX:AX,I51,CRM_PREV_M!AN:AN)</f>
        <v>0</v>
      </c>
      <c r="M51" s="286">
        <f>SUMIF(CONC_PREV_M!B:B,I51,CONC_PREV_M!I:I)</f>
        <v>0</v>
      </c>
      <c r="N51" s="286">
        <f t="shared" si="3"/>
        <v>-6.9999999948777258E-2</v>
      </c>
      <c r="O51" s="241"/>
      <c r="P51" s="241"/>
      <c r="Q51" s="241"/>
    </row>
    <row r="52" spans="1:17" ht="13.5" customHeight="1" x14ac:dyDescent="0.3">
      <c r="A52" s="287" t="s">
        <v>2327</v>
      </c>
      <c r="B52" s="286">
        <f>SUMIF(ERP!H:H,A52,ERP!Q:Q)+SUMIFS(SAP!J:J,SAP!E:E,A52,SAP!AA:AA,"rev")</f>
        <v>-1192935.18</v>
      </c>
      <c r="C52" s="286">
        <f>SUMIF(sf!AY:AY,A52,sf!AN:AN)</f>
        <v>1192935.18</v>
      </c>
      <c r="D52" s="286">
        <f>SUMIF(CRM_PREV_M!AV:AV,A52,CRM_PREV_M!AL:AL)</f>
        <v>0</v>
      </c>
      <c r="E52" s="286">
        <f t="shared" si="4"/>
        <v>0</v>
      </c>
      <c r="F52" s="241"/>
      <c r="G52" s="241"/>
      <c r="H52" s="241"/>
      <c r="I52" s="241" t="s">
        <v>2158</v>
      </c>
      <c r="J52" s="286">
        <f>SUMIF(ERP!H:H,I52,ERP!Q:Q)+SUMIFS(SAP!J:J,SAP!E:E,I52,SAP!AA:AA,"COGS")</f>
        <v>858171.35</v>
      </c>
      <c r="K52" s="286">
        <f>SUMIFS(sf!AP:AP,sf!BB:BB,I52)</f>
        <v>858171.41999999993</v>
      </c>
      <c r="L52" s="286">
        <f>SUMIF(CRM_PREV_M!AX:AX,I52,CRM_PREV_M!AN:AN)</f>
        <v>0</v>
      </c>
      <c r="M52" s="286">
        <f>SUMIF(CONC_PREV_M!B:B,I52,CONC_PREV_M!I:I)</f>
        <v>0</v>
      </c>
      <c r="N52" s="286">
        <f t="shared" si="3"/>
        <v>-6.9999999948777258E-2</v>
      </c>
      <c r="O52" s="241"/>
      <c r="P52" s="241"/>
      <c r="Q52" s="241"/>
    </row>
    <row r="53" spans="1:17" ht="13.5" customHeight="1" x14ac:dyDescent="0.3">
      <c r="A53" s="287" t="s">
        <v>2381</v>
      </c>
      <c r="B53" s="286">
        <f>SUMIF(ERP!H:H,A53,ERP!Q:Q)+SUMIFS(SAP!J:J,SAP!E:E,A53,SAP!AA:AA,"rev")</f>
        <v>-9224933.0199999996</v>
      </c>
      <c r="C53" s="286">
        <f>SUMIF(sf!AY:AY,A53,sf!AN:AN)</f>
        <v>9224933.0199999996</v>
      </c>
      <c r="D53" s="286">
        <f>SUMIF(CRM_PREV_M!AV:AV,A53,CRM_PREV_M!AL:AL)</f>
        <v>0</v>
      </c>
      <c r="E53" s="286">
        <f t="shared" si="4"/>
        <v>0</v>
      </c>
      <c r="F53" s="241"/>
      <c r="G53" s="241"/>
      <c r="H53" s="241"/>
      <c r="I53" s="241" t="s">
        <v>2337</v>
      </c>
      <c r="J53" s="286">
        <f>SUMIF(ERP!H:H,I53,ERP!Q:Q)+SUMIFS(SAP!J:J,SAP!E:E,I53,SAP!AA:AA,"COGS")</f>
        <v>1880159.04</v>
      </c>
      <c r="K53" s="286">
        <f>SUMIFS(sf!AP:AP,sf!BB:BB,I53)</f>
        <v>1880159.16</v>
      </c>
      <c r="L53" s="286">
        <f>SUMIF(CRM_PREV_M!AX:AX,I53,CRM_PREV_M!AN:AN)</f>
        <v>0</v>
      </c>
      <c r="M53" s="286">
        <f>SUMIF(CONC_PREV_M!B:B,I53,CONC_PREV_M!I:I)</f>
        <v>0</v>
      </c>
      <c r="N53" s="286">
        <f t="shared" si="3"/>
        <v>-0.11999999987892807</v>
      </c>
      <c r="O53" s="241"/>
      <c r="P53" s="241"/>
      <c r="Q53" s="241"/>
    </row>
    <row r="54" spans="1:17" ht="13.5" customHeight="1" x14ac:dyDescent="0.3">
      <c r="A54" s="287" t="s">
        <v>2332</v>
      </c>
      <c r="B54" s="286">
        <f>SUMIF(ERP!H:H,A54,ERP!Q:Q)+SUMIFS(SAP!J:J,SAP!E:E,A54,SAP!AA:AA,"rev")</f>
        <v>-2937600</v>
      </c>
      <c r="C54" s="286">
        <f>SUMIF(sf!AY:AY,A54,sf!AN:AN)</f>
        <v>2937600</v>
      </c>
      <c r="D54" s="286">
        <f>SUMIF(CRM_PREV_M!AV:AV,A54,CRM_PREV_M!AL:AL)</f>
        <v>0</v>
      </c>
      <c r="E54" s="286">
        <f t="shared" si="4"/>
        <v>0</v>
      </c>
      <c r="F54" s="241"/>
      <c r="G54" s="241"/>
      <c r="H54" s="241"/>
      <c r="I54" s="241" t="s">
        <v>2339</v>
      </c>
      <c r="J54" s="286">
        <f>SUMIF(ERP!H:H,I54,ERP!Q:Q)+SUMIFS(SAP!J:J,SAP!E:E,I54,SAP!AA:AA,"COGS")</f>
        <v>5.5</v>
      </c>
      <c r="K54" s="286">
        <f>SUMIFS(sf!AP:AP,sf!BB:BB,I54)</f>
        <v>5.5</v>
      </c>
      <c r="L54" s="286">
        <f>SUMIF(CRM_PREV_M!AX:AX,I54,CRM_PREV_M!AN:AN)</f>
        <v>0</v>
      </c>
      <c r="M54" s="286">
        <f>SUMIF(CONC_PREV_M!B:B,I54,CONC_PREV_M!I:I)</f>
        <v>0</v>
      </c>
      <c r="N54" s="286">
        <f t="shared" si="3"/>
        <v>0</v>
      </c>
      <c r="O54" s="241"/>
      <c r="P54" s="241"/>
      <c r="Q54" s="241"/>
    </row>
    <row r="55" spans="1:17" ht="13.5" customHeight="1" x14ac:dyDescent="0.3">
      <c r="A55" s="287" t="s">
        <v>2389</v>
      </c>
      <c r="B55" s="286">
        <f>SUMIF(ERP!H:H,A55,ERP!Q:Q)+SUMIFS(SAP!J:J,SAP!E:E,A55,SAP!AA:AA,"rev")</f>
        <v>-540391.47</v>
      </c>
      <c r="C55" s="286">
        <f>SUMIF(sf!AY:AY,A55,sf!AN:AN)</f>
        <v>540391.47</v>
      </c>
      <c r="D55" s="286">
        <f>SUMIF(CRM_PREV_M!AV:AV,A55,CRM_PREV_M!AL:AL)</f>
        <v>0</v>
      </c>
      <c r="E55" s="286">
        <f t="shared" si="4"/>
        <v>0</v>
      </c>
      <c r="F55" s="241"/>
      <c r="G55" s="241"/>
      <c r="H55" s="241"/>
      <c r="I55" s="241" t="s">
        <v>2170</v>
      </c>
      <c r="J55" s="286">
        <f>SUMIF(ERP!H:H,I55,ERP!Q:Q)+SUMIFS(SAP!J:J,SAP!E:E,I55,SAP!AA:AA,"COGS")</f>
        <v>1134.3200000000002</v>
      </c>
      <c r="K55" s="286">
        <f>SUMIFS(sf!AP:AP,sf!BB:BB,I55)</f>
        <v>1134.32</v>
      </c>
      <c r="L55" s="286">
        <f>SUMIF(CRM_PREV_M!AX:AX,I55,CRM_PREV_M!AN:AN)</f>
        <v>0</v>
      </c>
      <c r="M55" s="286">
        <f>SUMIF(CONC_PREV_M!B:B,I55,CONC_PREV_M!I:I)</f>
        <v>0</v>
      </c>
      <c r="N55" s="286">
        <f t="shared" si="3"/>
        <v>2.2737367544323206E-13</v>
      </c>
      <c r="O55" s="241"/>
      <c r="P55" s="241"/>
      <c r="Q55" s="241"/>
    </row>
    <row r="56" spans="1:17" ht="13.5" customHeight="1" x14ac:dyDescent="0.3">
      <c r="A56" s="287" t="s">
        <v>2320</v>
      </c>
      <c r="B56" s="286">
        <f>SUMIF(ERP!H:H,A56,ERP!Q:Q)+SUMIFS(SAP!J:J,SAP!E:E,A56,SAP!AA:AA,"rev")</f>
        <v>-3110400</v>
      </c>
      <c r="C56" s="286">
        <f>SUMIF(sf!AY:AY,A56,sf!AN:AN)</f>
        <v>3110400</v>
      </c>
      <c r="D56" s="286">
        <f>SUMIF(CRM_PREV_M!AV:AV,A56,CRM_PREV_M!AL:AL)</f>
        <v>0</v>
      </c>
      <c r="E56" s="286">
        <f t="shared" si="4"/>
        <v>0</v>
      </c>
      <c r="F56" s="241"/>
      <c r="G56" s="241"/>
      <c r="H56" s="241"/>
      <c r="I56" s="241" t="s">
        <v>2341</v>
      </c>
      <c r="J56" s="286">
        <f>SUMIF(ERP!H:H,I56,ERP!Q:Q)+SUMIFS(SAP!J:J,SAP!E:E,I56,SAP!AA:AA,"COGS")</f>
        <v>3022375</v>
      </c>
      <c r="K56" s="286">
        <f>SUMIFS(sf!AP:AP,sf!BB:BB,I56)</f>
        <v>3022375.2</v>
      </c>
      <c r="L56" s="286">
        <f>SUMIF(CRM_PREV_M!AX:AX,I56,CRM_PREV_M!AN:AN)</f>
        <v>0</v>
      </c>
      <c r="M56" s="286">
        <f>SUMIF(CONC_PREV_M!B:B,I56,CONC_PREV_M!I:I)</f>
        <v>0</v>
      </c>
      <c r="N56" s="286">
        <f t="shared" si="3"/>
        <v>-0.20000000018626451</v>
      </c>
      <c r="O56" s="241"/>
      <c r="P56" s="241"/>
      <c r="Q56" s="241"/>
    </row>
    <row r="57" spans="1:17" ht="13.5" customHeight="1" x14ac:dyDescent="0.3">
      <c r="A57" s="287" t="s">
        <v>2349</v>
      </c>
      <c r="B57" s="286">
        <f>SUMIF(ERP!H:H,A57,ERP!Q:Q)+SUMIFS(SAP!J:J,SAP!E:E,A57,SAP!AA:AA,"rev")</f>
        <v>-2000000</v>
      </c>
      <c r="C57" s="286">
        <f>SUMIF(sf!AY:AY,A57,sf!AN:AN)</f>
        <v>2000000</v>
      </c>
      <c r="D57" s="286">
        <f>SUMIF(CRM_PREV_M!AV:AV,A57,CRM_PREV_M!AL:AL)</f>
        <v>0</v>
      </c>
      <c r="E57" s="286">
        <f t="shared" si="4"/>
        <v>0</v>
      </c>
      <c r="F57" s="241"/>
      <c r="G57" s="241"/>
      <c r="H57" s="241"/>
      <c r="I57" s="241" t="s">
        <v>2342</v>
      </c>
      <c r="J57" s="286">
        <f>SUMIF(ERP!H:H,I57,ERP!Q:Q)+SUMIFS(SAP!J:J,SAP!E:E,I57,SAP!AA:AA,"COGS")</f>
        <v>2952718.9299999997</v>
      </c>
      <c r="K57" s="286">
        <f>SUMIFS(sf!AP:AP,sf!BB:BB,I57)</f>
        <v>2952719.12</v>
      </c>
      <c r="L57" s="286">
        <f>SUMIF(CRM_PREV_M!AX:AX,I57,CRM_PREV_M!AN:AN)</f>
        <v>0</v>
      </c>
      <c r="M57" s="286">
        <f>SUMIF(CONC_PREV_M!B:B,I57,CONC_PREV_M!I:I)</f>
        <v>0</v>
      </c>
      <c r="N57" s="286">
        <f t="shared" si="3"/>
        <v>-0.19000000040978193</v>
      </c>
      <c r="O57" s="241"/>
      <c r="P57" s="241"/>
      <c r="Q57" s="241"/>
    </row>
    <row r="58" spans="1:17" ht="13.5" customHeight="1" x14ac:dyDescent="0.3">
      <c r="A58" s="287" t="s">
        <v>2351</v>
      </c>
      <c r="B58" s="286">
        <f>SUMIF(ERP!H:H,A58,ERP!Q:Q)+SUMIFS(SAP!J:J,SAP!E:E,A58,SAP!AA:AA,"rev")</f>
        <v>-4000000</v>
      </c>
      <c r="C58" s="286">
        <f>SUMIF(sf!AY:AY,A58,sf!AN:AN)</f>
        <v>4000000</v>
      </c>
      <c r="D58" s="286">
        <f>SUMIF(CRM_PREV_M!AV:AV,A58,CRM_PREV_M!AL:AL)</f>
        <v>0</v>
      </c>
      <c r="E58" s="286">
        <f t="shared" si="4"/>
        <v>0</v>
      </c>
      <c r="F58" s="241"/>
      <c r="G58" s="241"/>
      <c r="H58" s="241"/>
      <c r="I58" s="241" t="s">
        <v>2344</v>
      </c>
      <c r="J58" s="286">
        <f>SUMIF(ERP!H:H,I58,ERP!Q:Q)+SUMIFS(SAP!J:J,SAP!E:E,I58,SAP!AA:AA,"COGS")</f>
        <v>7474929.2699999996</v>
      </c>
      <c r="K58" s="286">
        <f>SUMIFS(sf!AP:AP,sf!BB:BB,I58)</f>
        <v>7474929.7700000005</v>
      </c>
      <c r="L58" s="286">
        <f>SUMIF(CRM_PREV_M!AX:AX,I58,CRM_PREV_M!AN:AN)</f>
        <v>0</v>
      </c>
      <c r="M58" s="286">
        <f>SUMIF(CONC_PREV_M!B:B,I58,CONC_PREV_M!I:I)</f>
        <v>0</v>
      </c>
      <c r="N58" s="286">
        <f t="shared" si="3"/>
        <v>-0.50000000093132257</v>
      </c>
      <c r="O58" s="241"/>
      <c r="P58" s="241"/>
      <c r="Q58" s="241"/>
    </row>
    <row r="59" spans="1:17" ht="13.5" customHeight="1" x14ac:dyDescent="0.3">
      <c r="A59" s="287" t="s">
        <v>2340</v>
      </c>
      <c r="B59" s="286">
        <f>SUMIF(ERP!H:H,A59,ERP!Q:Q)+SUMIFS(SAP!J:J,SAP!E:E,A59,SAP!AA:AA,"rev")</f>
        <v>-5000000</v>
      </c>
      <c r="C59" s="286">
        <f>SUMIF(sf!AY:AY,A59,sf!AN:AN)</f>
        <v>5000000</v>
      </c>
      <c r="D59" s="286">
        <f>SUMIF(CRM_PREV_M!AV:AV,A59,CRM_PREV_M!AL:AL)</f>
        <v>0</v>
      </c>
      <c r="E59" s="286">
        <f t="shared" si="4"/>
        <v>0</v>
      </c>
      <c r="F59" s="241"/>
      <c r="G59" s="241"/>
      <c r="H59" s="241"/>
      <c r="I59" s="241" t="s">
        <v>2346</v>
      </c>
      <c r="J59" s="286">
        <f>SUMIF(ERP!H:H,I59,ERP!Q:Q)+SUMIFS(SAP!J:J,SAP!E:E,I59,SAP!AA:AA,"COGS")</f>
        <v>1504869.77</v>
      </c>
      <c r="K59" s="286">
        <f>SUMIFS(sf!AP:AP,sf!BB:BB,I59)</f>
        <v>1504869.87</v>
      </c>
      <c r="L59" s="286">
        <f>SUMIF(CRM_PREV_M!AX:AX,I59,CRM_PREV_M!AN:AN)</f>
        <v>0</v>
      </c>
      <c r="M59" s="286">
        <f>SUMIF(CONC_PREV_M!B:B,I59,CONC_PREV_M!I:I)</f>
        <v>0</v>
      </c>
      <c r="N59" s="286">
        <f t="shared" si="3"/>
        <v>-0.10000000009313226</v>
      </c>
      <c r="O59" s="241"/>
      <c r="P59" s="241"/>
      <c r="Q59" s="241"/>
    </row>
    <row r="60" spans="1:17" ht="13.5" customHeight="1" x14ac:dyDescent="0.3">
      <c r="A60" s="287" t="s">
        <v>2387</v>
      </c>
      <c r="B60" s="286">
        <f>SUMIF(ERP!H:H,A60,ERP!Q:Q)+SUMIFS(SAP!J:J,SAP!E:E,A60,SAP!AA:AA,"rev")</f>
        <v>-1585096.5</v>
      </c>
      <c r="C60" s="286">
        <f>SUMIF(sf!AY:AY,A60,sf!AN:AN)</f>
        <v>1585096.5</v>
      </c>
      <c r="D60" s="286">
        <f>SUMIF(CRM_PREV_M!AV:AV,A60,CRM_PREV_M!AL:AL)</f>
        <v>0</v>
      </c>
      <c r="E60" s="286">
        <f t="shared" si="4"/>
        <v>0</v>
      </c>
      <c r="F60" s="241"/>
      <c r="G60" s="241"/>
      <c r="H60" s="241"/>
      <c r="I60" s="241" t="s">
        <v>2348</v>
      </c>
      <c r="J60" s="286">
        <f>SUMIF(ERP!H:H,I60,ERP!Q:Q)+SUMIFS(SAP!J:J,SAP!E:E,I60,SAP!AA:AA,"COGS")</f>
        <v>2657447.0300000003</v>
      </c>
      <c r="K60" s="286">
        <f>SUMIFS(sf!AP:AP,sf!BB:BB,I60)</f>
        <v>2657447.21</v>
      </c>
      <c r="L60" s="286">
        <f>SUMIF(CRM_PREV_M!AX:AX,I60,CRM_PREV_M!AN:AN)</f>
        <v>0</v>
      </c>
      <c r="M60" s="286">
        <f>SUMIF(CONC_PREV_M!B:B,I60,CONC_PREV_M!I:I)</f>
        <v>0</v>
      </c>
      <c r="N60" s="286">
        <f t="shared" si="3"/>
        <v>-0.17999999970197678</v>
      </c>
      <c r="O60" s="241"/>
      <c r="P60" s="241"/>
      <c r="Q60" s="241"/>
    </row>
    <row r="61" spans="1:17" ht="13.5" customHeight="1" x14ac:dyDescent="0.3">
      <c r="A61" s="287" t="s">
        <v>2347</v>
      </c>
      <c r="B61" s="286">
        <f>SUMIF(ERP!H:H,A61,ERP!Q:Q)+SUMIFS(SAP!J:J,SAP!E:E,A61,SAP!AA:AA,"rev")</f>
        <v>-4396289.4000000004</v>
      </c>
      <c r="C61" s="286">
        <f>SUMIF(sf!AY:AY,A61,sf!AN:AN)</f>
        <v>4396289.4000000004</v>
      </c>
      <c r="D61" s="286">
        <f>SUMIF(CRM_PREV_M!AV:AV,A61,CRM_PREV_M!AL:AL)</f>
        <v>0</v>
      </c>
      <c r="E61" s="286">
        <f t="shared" si="4"/>
        <v>0</v>
      </c>
      <c r="F61" s="241"/>
      <c r="G61" s="241"/>
      <c r="H61" s="241"/>
      <c r="I61" s="241" t="s">
        <v>2350</v>
      </c>
      <c r="J61" s="286">
        <f>SUMIF(ERP!H:H,I61,ERP!Q:Q)+SUMIFS(SAP!J:J,SAP!E:E,I61,SAP!AA:AA,"COGS")</f>
        <v>1208950</v>
      </c>
      <c r="K61" s="286">
        <f>SUMIFS(sf!AP:AP,sf!BB:BB,I61)</f>
        <v>1208950.08</v>
      </c>
      <c r="L61" s="286">
        <f>SUMIF(CRM_PREV_M!AX:AX,I61,CRM_PREV_M!AN:AN)</f>
        <v>0</v>
      </c>
      <c r="M61" s="286">
        <f>SUMIF(CONC_PREV_M!B:B,I61,CONC_PREV_M!I:I)</f>
        <v>0</v>
      </c>
      <c r="N61" s="286">
        <f t="shared" si="3"/>
        <v>-8.0000000074505806E-2</v>
      </c>
      <c r="O61" s="241"/>
      <c r="P61" s="241"/>
      <c r="Q61" s="241"/>
    </row>
    <row r="62" spans="1:17" ht="13.5" customHeight="1" x14ac:dyDescent="0.3">
      <c r="A62" s="287" t="s">
        <v>2360</v>
      </c>
      <c r="B62" s="286">
        <f>SUMIF(ERP!H:H,A62,ERP!Q:Q)+SUMIFS(SAP!J:J,SAP!E:E,A62,SAP!AA:AA,"rev")</f>
        <v>-2906163.1</v>
      </c>
      <c r="C62" s="286">
        <f>SUMIF(sf!AY:AY,A62,sf!AN:AN)</f>
        <v>2906163.1</v>
      </c>
      <c r="D62" s="286">
        <f>SUMIF(CRM_PREV_M!AV:AV,A62,CRM_PREV_M!AL:AL)</f>
        <v>0</v>
      </c>
      <c r="E62" s="286">
        <f t="shared" si="4"/>
        <v>0</v>
      </c>
      <c r="F62" s="241"/>
      <c r="G62" s="241"/>
      <c r="H62" s="241"/>
      <c r="I62" s="241" t="s">
        <v>2352</v>
      </c>
      <c r="J62" s="286">
        <f>SUMIF(ERP!H:H,I62,ERP!Q:Q)+SUMIFS(SAP!J:J,SAP!E:E,I62,SAP!AA:AA,"COGS")</f>
        <v>2417900</v>
      </c>
      <c r="K62" s="286">
        <f>SUMIFS(sf!AP:AP,sf!BB:BB,I62)</f>
        <v>2417900.16</v>
      </c>
      <c r="L62" s="286">
        <f>SUMIF(CRM_PREV_M!AX:AX,I62,CRM_PREV_M!AN:AN)</f>
        <v>0</v>
      </c>
      <c r="M62" s="286">
        <f>SUMIF(CONC_PREV_M!B:B,I62,CONC_PREV_M!I:I)</f>
        <v>0</v>
      </c>
      <c r="N62" s="286">
        <f t="shared" si="3"/>
        <v>-0.16000000014901161</v>
      </c>
      <c r="O62" s="241"/>
      <c r="P62" s="241"/>
      <c r="Q62" s="241"/>
    </row>
    <row r="63" spans="1:17" ht="13.5" customHeight="1" x14ac:dyDescent="0.3">
      <c r="A63" s="287" t="s">
        <v>2338</v>
      </c>
      <c r="B63" s="286">
        <f>SUMIF(ERP!H:H,A63,ERP!Q:Q)+SUMIFS(SAP!J:J,SAP!E:E,A63,SAP!AA:AA,"rev")</f>
        <v>-12942.5</v>
      </c>
      <c r="C63" s="286">
        <f>SUMIF(sf!AY:AY,A63,sf!AN:AN)</f>
        <v>12942.5</v>
      </c>
      <c r="D63" s="286">
        <f>SUMIF(CRM_PREV_M!AV:AV,A63,CRM_PREV_M!AL:AL)</f>
        <v>0</v>
      </c>
      <c r="E63" s="286">
        <f t="shared" si="4"/>
        <v>0</v>
      </c>
      <c r="F63" s="241"/>
      <c r="G63" s="241"/>
      <c r="H63" s="241"/>
      <c r="I63" s="241" t="s">
        <v>2353</v>
      </c>
      <c r="J63" s="286">
        <f>SUMIF(ERP!H:H,I63,ERP!Q:Q)+SUMIFS(SAP!J:J,SAP!E:E,I63,SAP!AA:AA,"COGS")</f>
        <v>603053.97</v>
      </c>
      <c r="K63" s="286">
        <f>SUMIFS(sf!AP:AP,sf!BB:BB,I63)</f>
        <v>603054.02</v>
      </c>
      <c r="L63" s="286">
        <f>SUMIF(CRM_PREV_M!AX:AX,I63,CRM_PREV_M!AN:AN)</f>
        <v>0</v>
      </c>
      <c r="M63" s="286">
        <f>SUMIF(CONC_PREV_M!B:B,I63,CONC_PREV_M!I:I)</f>
        <v>0</v>
      </c>
      <c r="N63" s="286">
        <f t="shared" si="3"/>
        <v>-5.0000000046566129E-2</v>
      </c>
      <c r="O63" s="241"/>
      <c r="P63" s="241"/>
      <c r="Q63" s="241"/>
    </row>
    <row r="64" spans="1:17" ht="13.5" customHeight="1" x14ac:dyDescent="0.3">
      <c r="A64" s="287" t="s">
        <v>2356</v>
      </c>
      <c r="B64" s="286">
        <f>SUMIF(ERP!H:H,A64,ERP!Q:Q)+SUMIFS(SAP!J:J,SAP!E:E,A64,SAP!AA:AA,"rev")</f>
        <v>-839339.96</v>
      </c>
      <c r="C64" s="286">
        <f>SUMIF(sf!AY:AY,A64,sf!AN:AN)</f>
        <v>839339.96</v>
      </c>
      <c r="D64" s="286">
        <f>SUMIF(CRM_PREV_M!AV:AV,A64,CRM_PREV_M!AL:AL)</f>
        <v>0</v>
      </c>
      <c r="E64" s="286">
        <f t="shared" si="4"/>
        <v>0</v>
      </c>
      <c r="F64" s="241"/>
      <c r="G64" s="241"/>
      <c r="H64" s="241"/>
      <c r="I64" s="241" t="s">
        <v>2355</v>
      </c>
      <c r="J64" s="286">
        <f>SUMIF(ERP!H:H,I64,ERP!Q:Q)+SUMIFS(SAP!J:J,SAP!E:E,I64,SAP!AA:AA,"COGS")</f>
        <v>4500643.41</v>
      </c>
      <c r="K64" s="286">
        <f>SUMIFS(sf!AP:AP,sf!BB:BB,I64)</f>
        <v>4500643.71</v>
      </c>
      <c r="L64" s="286">
        <f>SUMIF(CRM_PREV_M!AX:AX,I64,CRM_PREV_M!AN:AN)</f>
        <v>0</v>
      </c>
      <c r="M64" s="286">
        <f>SUMIF(CONC_PREV_M!B:B,I64,CONC_PREV_M!I:I)</f>
        <v>0</v>
      </c>
      <c r="N64" s="286">
        <f t="shared" si="3"/>
        <v>-0.29999999981373549</v>
      </c>
      <c r="O64" s="241"/>
      <c r="P64" s="241"/>
      <c r="Q64" s="241"/>
    </row>
    <row r="65" spans="1:17" ht="13.5" customHeight="1" x14ac:dyDescent="0.3">
      <c r="A65" s="287" t="s">
        <v>2385</v>
      </c>
      <c r="B65" s="286">
        <f>SUMIF(ERP!H:H,A65,ERP!Q:Q)+SUMIFS(SAP!J:J,SAP!E:E,A65,SAP!AA:AA,"rev")</f>
        <v>-298515.78999999998</v>
      </c>
      <c r="C65" s="286">
        <f>SUMIF(sf!AY:AY,A65,sf!AN:AN)</f>
        <v>298515.78999999998</v>
      </c>
      <c r="D65" s="286">
        <f>SUMIF(CRM_PREV_M!AV:AV,A65,CRM_PREV_M!AL:AL)</f>
        <v>0</v>
      </c>
      <c r="E65" s="286">
        <f t="shared" si="4"/>
        <v>0</v>
      </c>
      <c r="F65" s="241"/>
      <c r="G65" s="241"/>
      <c r="H65" s="241"/>
      <c r="I65" s="241" t="s">
        <v>2357</v>
      </c>
      <c r="J65" s="286">
        <f>SUMIF(ERP!H:H,I65,ERP!Q:Q)+SUMIFS(SAP!J:J,SAP!E:E,I65,SAP!AA:AA,"COGS")</f>
        <v>507360.02</v>
      </c>
      <c r="K65" s="286">
        <f>SUMIFS(sf!AP:AP,sf!BB:BB,I65)</f>
        <v>507360.06</v>
      </c>
      <c r="L65" s="286">
        <f>SUMIF(CRM_PREV_M!AX:AX,I65,CRM_PREV_M!AN:AN)</f>
        <v>0</v>
      </c>
      <c r="M65" s="286">
        <f>SUMIF(CONC_PREV_M!B:B,I65,CONC_PREV_M!I:I)</f>
        <v>0</v>
      </c>
      <c r="N65" s="286">
        <f t="shared" si="3"/>
        <v>-3.9999999979045242E-2</v>
      </c>
      <c r="O65" s="241"/>
      <c r="P65" s="241"/>
      <c r="Q65" s="241"/>
    </row>
    <row r="66" spans="1:17" ht="13.5" customHeight="1" x14ac:dyDescent="0.3">
      <c r="A66" s="287" t="s">
        <v>2354</v>
      </c>
      <c r="B66" s="286">
        <f>SUMIF(ERP!H:H,A66,ERP!Q:Q)+SUMIFS(SAP!J:J,SAP!E:E,A66,SAP!AA:AA,"rev")</f>
        <v>-7445541.0300000003</v>
      </c>
      <c r="C66" s="286">
        <f>SUMIF(sf!AY:AY,A66,sf!AN:AN)</f>
        <v>7445541.0300000003</v>
      </c>
      <c r="D66" s="286">
        <f>SUMIF(CRM_PREV_M!AV:AV,A66,CRM_PREV_M!AL:AL)</f>
        <v>0</v>
      </c>
      <c r="E66" s="286">
        <f t="shared" ref="E66:E82" si="5">B66+C66+D66</f>
        <v>0</v>
      </c>
      <c r="F66" s="241"/>
      <c r="G66" s="241"/>
      <c r="H66" s="241"/>
      <c r="I66" s="241" t="s">
        <v>2359</v>
      </c>
      <c r="J66" s="286">
        <f>SUMIF(ERP!H:H,I66,ERP!Q:Q)+SUMIFS(SAP!J:J,SAP!E:E,I66,SAP!AA:AA,"COGS")</f>
        <v>1907654.92</v>
      </c>
      <c r="K66" s="286">
        <f>SUMIFS(sf!AP:AP,sf!BB:BB,I66)</f>
        <v>1907654.92</v>
      </c>
      <c r="L66" s="286">
        <f>SUMIF(CRM_PREV_M!AX:AX,I66,CRM_PREV_M!AN:AN)</f>
        <v>0</v>
      </c>
      <c r="M66" s="286">
        <f>SUMIF(CONC_PREV_M!B:B,I66,CONC_PREV_M!I:I)</f>
        <v>0</v>
      </c>
      <c r="N66" s="286">
        <f t="shared" si="3"/>
        <v>0</v>
      </c>
      <c r="O66" s="241"/>
      <c r="P66" s="241"/>
      <c r="Q66" s="241"/>
    </row>
    <row r="67" spans="1:17" ht="13.5" customHeight="1" x14ac:dyDescent="0.3">
      <c r="A67" s="287" t="s">
        <v>2391</v>
      </c>
      <c r="B67" s="286">
        <f>SUMIF(ERP!H:H,A67,ERP!Q:Q)+SUMIFS(SAP!J:J,SAP!E:E,A67,SAP!AA:AA,"rev")</f>
        <v>-1065199.8799999999</v>
      </c>
      <c r="C67" s="286">
        <f>SUMIF(sf!AY:AY,A67,sf!AN:AN)</f>
        <v>1065199.8799999999</v>
      </c>
      <c r="D67" s="286">
        <f>SUMIF(CRM_PREV_M!AV:AV,A67,CRM_PREV_M!AL:AL)</f>
        <v>0</v>
      </c>
      <c r="E67" s="286">
        <f t="shared" si="5"/>
        <v>0</v>
      </c>
      <c r="F67" s="241"/>
      <c r="G67" s="241"/>
      <c r="H67" s="241"/>
      <c r="I67" s="241" t="s">
        <v>2361</v>
      </c>
      <c r="J67" s="286">
        <f>SUMIF(ERP!H:H,I67,ERP!Q:Q)+SUMIFS(SAP!J:J,SAP!E:E,I67,SAP!AA:AA,"COGS")</f>
        <v>1756702.9400000002</v>
      </c>
      <c r="K67" s="286">
        <f>SUMIFS(sf!AP:AP,sf!BB:BB,I67)</f>
        <v>1756703.06</v>
      </c>
      <c r="L67" s="286">
        <f>SUMIF(CRM_PREV_M!AX:AX,I67,CRM_PREV_M!AN:AN)</f>
        <v>0</v>
      </c>
      <c r="M67" s="286">
        <f>SUMIF(CONC_PREV_M!B:B,I67,CONC_PREV_M!I:I)</f>
        <v>0</v>
      </c>
      <c r="N67" s="286">
        <f t="shared" si="3"/>
        <v>-0.11999999987892807</v>
      </c>
      <c r="O67" s="241"/>
      <c r="P67" s="241"/>
      <c r="Q67" s="241"/>
    </row>
    <row r="68" spans="1:17" ht="13.5" customHeight="1" x14ac:dyDescent="0.3">
      <c r="A68" s="287" t="s">
        <v>2375</v>
      </c>
      <c r="B68" s="286">
        <f>SUMIF(ERP!H:H,A68,ERP!Q:Q)+SUMIFS(SAP!J:J,SAP!E:E,A68,SAP!AA:AA,"rev")</f>
        <v>-6195989.9900000002</v>
      </c>
      <c r="C68" s="286">
        <f>SUMIF(sf!AY:AY,A68,sf!AN:AN)</f>
        <v>6195989.9900000002</v>
      </c>
      <c r="D68" s="286">
        <f>SUMIF(CRM_PREV_M!AV:AV,A68,CRM_PREV_M!AL:AL)</f>
        <v>0</v>
      </c>
      <c r="E68" s="286">
        <f t="shared" si="5"/>
        <v>0</v>
      </c>
      <c r="F68" s="241"/>
      <c r="G68" s="241"/>
      <c r="H68" s="241"/>
      <c r="I68" s="241" t="s">
        <v>2363</v>
      </c>
      <c r="J68" s="286">
        <f>SUMIF(ERP!H:H,I68,ERP!Q:Q)+SUMIFS(SAP!J:J,SAP!E:E,I68,SAP!AA:AA,"COGS")</f>
        <v>1406966.3800000001</v>
      </c>
      <c r="K68" s="286">
        <f>SUMIFS(sf!AP:AP,sf!BB:BB,I68)</f>
        <v>1406966.47</v>
      </c>
      <c r="L68" s="286">
        <f>SUMIF(CRM_PREV_M!AX:AX,I68,CRM_PREV_M!AN:AN)</f>
        <v>0</v>
      </c>
      <c r="M68" s="286">
        <f>SUMIF(CONC_PREV_M!B:B,I68,CONC_PREV_M!I:I)</f>
        <v>0</v>
      </c>
      <c r="N68" s="286">
        <f t="shared" si="3"/>
        <v>-8.9999999850988388E-2</v>
      </c>
      <c r="O68" s="241"/>
      <c r="P68" s="241"/>
      <c r="Q68" s="241"/>
    </row>
    <row r="69" spans="1:17" ht="13.5" customHeight="1" x14ac:dyDescent="0.3">
      <c r="A69" s="287" t="s">
        <v>2370</v>
      </c>
      <c r="B69" s="286">
        <f>SUMIF(ERP!H:H,A69,ERP!Q:Q)+SUMIFS(SAP!J:J,SAP!E:E,A69,SAP!AA:AA,"rev")</f>
        <v>-2113734.34</v>
      </c>
      <c r="C69" s="286">
        <f>SUMIF(sf!AY:AY,A69,sf!AN:AN)</f>
        <v>2113734.34</v>
      </c>
      <c r="D69" s="286">
        <f>SUMIF(CRM_PREV_M!AV:AV,A69,CRM_PREV_M!AL:AL)</f>
        <v>0</v>
      </c>
      <c r="E69" s="286">
        <f t="shared" si="5"/>
        <v>0</v>
      </c>
      <c r="F69" s="241"/>
      <c r="G69" s="241"/>
      <c r="H69" s="241"/>
      <c r="I69" s="241" t="s">
        <v>2365</v>
      </c>
      <c r="J69" s="286">
        <f>SUMIF(ERP!H:H,I69,ERP!Q:Q)+SUMIFS(SAP!J:J,SAP!E:E,I69,SAP!AA:AA,"COGS")</f>
        <v>2755744.56</v>
      </c>
      <c r="K69" s="286">
        <f>SUMIFS(sf!AP:AP,sf!BB:BB,I69)</f>
        <v>2755744.74</v>
      </c>
      <c r="L69" s="286">
        <f>SUMIF(CRM_PREV_M!AX:AX,I69,CRM_PREV_M!AN:AN)</f>
        <v>0</v>
      </c>
      <c r="M69" s="286">
        <f>SUMIF(CONC_PREV_M!B:B,I69,CONC_PREV_M!I:I)</f>
        <v>0</v>
      </c>
      <c r="N69" s="286">
        <f t="shared" si="3"/>
        <v>-0.18000000016763806</v>
      </c>
      <c r="O69" s="241"/>
      <c r="P69" s="241"/>
      <c r="Q69" s="241"/>
    </row>
    <row r="70" spans="1:17" ht="13.5" customHeight="1" x14ac:dyDescent="0.3">
      <c r="A70" s="287" t="s">
        <v>2329</v>
      </c>
      <c r="B70" s="286">
        <f>SUMIF(ERP!H:H,A70,ERP!Q:Q)+SUMIFS(SAP!J:J,SAP!E:E,A70,SAP!AA:AA,"rev")</f>
        <v>-6912000</v>
      </c>
      <c r="C70" s="286">
        <f>SUMIF(sf!AY:AY,A70,sf!AN:AN)</f>
        <v>6912000</v>
      </c>
      <c r="D70" s="286">
        <f>SUMIF(CRM_PREV_M!AV:AV,A70,CRM_PREV_M!AL:AL)</f>
        <v>0</v>
      </c>
      <c r="E70" s="286">
        <f t="shared" si="5"/>
        <v>0</v>
      </c>
      <c r="F70" s="241"/>
      <c r="G70" s="241"/>
      <c r="H70" s="241"/>
      <c r="I70" s="241" t="s">
        <v>2367</v>
      </c>
      <c r="J70" s="286">
        <f>SUMIF(ERP!H:H,I70,ERP!Q:Q)+SUMIFS(SAP!J:J,SAP!E:E,I70,SAP!AA:AA,"COGS")</f>
        <v>13567.150000000001</v>
      </c>
      <c r="K70" s="286">
        <f>SUMIFS(sf!AP:AP,sf!BB:BB,I70)</f>
        <v>13567.15</v>
      </c>
      <c r="L70" s="286">
        <f>SUMIF(CRM_PREV_M!AX:AX,I70,CRM_PREV_M!AN:AN)</f>
        <v>0</v>
      </c>
      <c r="M70" s="286">
        <f>SUMIF(CONC_PREV_M!B:B,I70,CONC_PREV_M!I:I)</f>
        <v>0</v>
      </c>
      <c r="N70" s="286">
        <f t="shared" si="3"/>
        <v>1.8189894035458565E-12</v>
      </c>
      <c r="O70" s="241"/>
      <c r="P70" s="241"/>
      <c r="Q70" s="241"/>
    </row>
    <row r="71" spans="1:17" ht="13.5" customHeight="1" x14ac:dyDescent="0.3">
      <c r="A71" s="287" t="s">
        <v>2366</v>
      </c>
      <c r="B71" s="286">
        <f>SUMIF(ERP!H:H,A71,ERP!Q:Q)+SUMIFS(SAP!J:J,SAP!E:E,A71,SAP!AA:AA,"rev")</f>
        <v>-22444.51</v>
      </c>
      <c r="C71" s="286">
        <f>SUMIF(sf!AY:AY,A71,sf!AN:AN)</f>
        <v>22444.51</v>
      </c>
      <c r="D71" s="286">
        <f>SUMIF(CRM_PREV_M!AV:AV,A71,CRM_PREV_M!AL:AL)</f>
        <v>0</v>
      </c>
      <c r="E71" s="286">
        <f t="shared" si="5"/>
        <v>0</v>
      </c>
      <c r="F71" s="241"/>
      <c r="G71" s="241"/>
      <c r="H71" s="241"/>
      <c r="I71" s="241" t="s">
        <v>2369</v>
      </c>
      <c r="J71" s="286">
        <f>SUMIF(ERP!H:H,I71,ERP!Q:Q)+SUMIFS(SAP!J:J,SAP!E:E,I71,SAP!AA:AA,"COGS")</f>
        <v>2191437.0700000003</v>
      </c>
      <c r="K71" s="286">
        <f>SUMIFS(sf!AP:AP,sf!BB:BB,I71)</f>
        <v>2191437.21</v>
      </c>
      <c r="L71" s="286">
        <f>SUMIF(CRM_PREV_M!AX:AX,I71,CRM_PREV_M!AN:AN)</f>
        <v>0</v>
      </c>
      <c r="M71" s="286">
        <f>SUMIF(CONC_PREV_M!B:B,I71,CONC_PREV_M!I:I)</f>
        <v>0</v>
      </c>
      <c r="N71" s="286">
        <f t="shared" si="3"/>
        <v>-0.13999999966472387</v>
      </c>
      <c r="O71" s="241"/>
      <c r="P71" s="241"/>
      <c r="Q71" s="241"/>
    </row>
    <row r="72" spans="1:17" ht="13.5" customHeight="1" x14ac:dyDescent="0.3">
      <c r="A72" s="287" t="s">
        <v>2362</v>
      </c>
      <c r="B72" s="286">
        <f>SUMIF(ERP!H:H,A72,ERP!Q:Q)+SUMIFS(SAP!J:J,SAP!E:E,A72,SAP!AA:AA,"rev")</f>
        <v>-2327584.0699999998</v>
      </c>
      <c r="C72" s="286">
        <f>SUMIF(sf!AY:AY,A72,sf!AN:AN)</f>
        <v>2327584.0699999998</v>
      </c>
      <c r="D72" s="286">
        <f>SUMIF(CRM_PREV_M!AV:AV,A72,CRM_PREV_M!AL:AL)</f>
        <v>0</v>
      </c>
      <c r="E72" s="286">
        <f t="shared" si="5"/>
        <v>0</v>
      </c>
      <c r="F72" s="241"/>
      <c r="G72" s="241"/>
      <c r="H72" s="241"/>
      <c r="I72" s="241" t="s">
        <v>2371</v>
      </c>
      <c r="J72" s="286">
        <f>SUMIF(ERP!H:H,I72,ERP!Q:Q)+SUMIFS(SAP!J:J,SAP!E:E,I72,SAP!AA:AA,"COGS")</f>
        <v>1277699.57</v>
      </c>
      <c r="K72" s="286">
        <f>SUMIFS(sf!AP:AP,sf!BB:BB,I72)</f>
        <v>1277699.6499999999</v>
      </c>
      <c r="L72" s="286">
        <f>SUMIF(CRM_PREV_M!AX:AX,I72,CRM_PREV_M!AN:AN)</f>
        <v>0</v>
      </c>
      <c r="M72" s="286">
        <f>SUMIF(CONC_PREV_M!B:B,I72,CONC_PREV_M!I:I)</f>
        <v>0</v>
      </c>
      <c r="N72" s="286">
        <f t="shared" si="3"/>
        <v>-7.9999999841675162E-2</v>
      </c>
      <c r="O72" s="241"/>
      <c r="P72" s="241"/>
      <c r="Q72" s="241"/>
    </row>
    <row r="73" spans="1:17" ht="13.5" customHeight="1" x14ac:dyDescent="0.3">
      <c r="A73" s="287" t="s">
        <v>2345</v>
      </c>
      <c r="B73" s="286">
        <f>SUMIF(ERP!H:H,A73,ERP!Q:Q)+SUMIFS(SAP!J:J,SAP!E:E,A73,SAP!AA:AA,"rev")</f>
        <v>-2489548.4</v>
      </c>
      <c r="C73" s="286">
        <f>SUMIF(sf!AY:AY,A73,sf!AN:AN)</f>
        <v>2489548.4</v>
      </c>
      <c r="D73" s="286">
        <f>SUMIF(CRM_PREV_M!AV:AV,A73,CRM_PREV_M!AL:AL)</f>
        <v>0</v>
      </c>
      <c r="E73" s="286">
        <f t="shared" si="5"/>
        <v>0</v>
      </c>
      <c r="F73" s="241"/>
      <c r="G73" s="241"/>
      <c r="H73" s="241"/>
      <c r="I73" s="241" t="s">
        <v>2372</v>
      </c>
      <c r="J73" s="286">
        <f>SUMIF(ERP!H:H,I73,ERP!Q:Q)+SUMIFS(SAP!J:J,SAP!E:E,I73,SAP!AA:AA,"COGS")</f>
        <v>604064.68000000005</v>
      </c>
      <c r="K73" s="286">
        <f>SUMIFS(sf!AP:AP,sf!BB:BB,I73)</f>
        <v>604064.73</v>
      </c>
      <c r="L73" s="286">
        <f>SUMIF(CRM_PREV_M!AX:AX,I73,CRM_PREV_M!AN:AN)</f>
        <v>0</v>
      </c>
      <c r="M73" s="286">
        <f>SUMIF(CONC_PREV_M!B:B,I73,CONC_PREV_M!I:I)</f>
        <v>0</v>
      </c>
      <c r="N73" s="286">
        <f t="shared" si="3"/>
        <v>-4.9999999930150807E-2</v>
      </c>
      <c r="O73" s="241"/>
      <c r="P73" s="241"/>
      <c r="Q73" s="241"/>
    </row>
    <row r="74" spans="1:17" ht="13.5" customHeight="1" x14ac:dyDescent="0.3">
      <c r="A74" s="287" t="s">
        <v>2364</v>
      </c>
      <c r="B74" s="286">
        <f>SUMIF(ERP!H:H,A74,ERP!Q:Q)+SUMIFS(SAP!J:J,SAP!E:E,A74,SAP!AA:AA,"rev")</f>
        <v>-4558905.76</v>
      </c>
      <c r="C74" s="286">
        <f>SUMIF(sf!AY:AY,A74,sf!AN:AN)</f>
        <v>4558905.76</v>
      </c>
      <c r="D74" s="286">
        <f>SUMIF(CRM_PREV_M!AV:AV,A74,CRM_PREV_M!AL:AL)</f>
        <v>0</v>
      </c>
      <c r="E74" s="286">
        <f t="shared" si="5"/>
        <v>0</v>
      </c>
      <c r="F74" s="241"/>
      <c r="G74" s="241"/>
      <c r="H74" s="241"/>
      <c r="I74" s="241" t="s">
        <v>2374</v>
      </c>
      <c r="J74" s="286">
        <f>SUMIF(ERP!H:H,I74,ERP!Q:Q)+SUMIFS(SAP!J:J,SAP!E:E,I74,SAP!AA:AA,"COGS")</f>
        <v>1511085.44</v>
      </c>
      <c r="K74" s="286">
        <f>SUMIFS(sf!AP:AP,sf!BB:BB,I74)</f>
        <v>1511085.55</v>
      </c>
      <c r="L74" s="286">
        <f>SUMIF(CRM_PREV_M!AX:AX,I74,CRM_PREV_M!AN:AN)</f>
        <v>0</v>
      </c>
      <c r="M74" s="286">
        <f>SUMIF(CONC_PREV_M!B:B,I74,CONC_PREV_M!I:I)</f>
        <v>0</v>
      </c>
      <c r="N74" s="286">
        <f t="shared" si="3"/>
        <v>-0.11000000010244548</v>
      </c>
      <c r="O74" s="241"/>
      <c r="P74" s="241"/>
      <c r="Q74" s="241"/>
    </row>
    <row r="75" spans="1:17" ht="13.5" customHeight="1" x14ac:dyDescent="0.3">
      <c r="A75" s="287" t="s">
        <v>2336</v>
      </c>
      <c r="B75" s="286">
        <f>SUMIF(ERP!H:H,A75,ERP!Q:Q)+SUMIFS(SAP!J:J,SAP!E:E,A75,SAP!AA:AA,"rev")</f>
        <v>-3110400</v>
      </c>
      <c r="C75" s="286">
        <f>SUMIF(sf!AY:AY,A75,sf!AN:AN)</f>
        <v>3110400</v>
      </c>
      <c r="D75" s="286">
        <f>SUMIF(CRM_PREV_M!AV:AV,A75,CRM_PREV_M!AL:AL)</f>
        <v>0</v>
      </c>
      <c r="E75" s="286">
        <f t="shared" si="5"/>
        <v>0</v>
      </c>
      <c r="F75" s="241"/>
      <c r="G75" s="241"/>
      <c r="H75" s="241"/>
      <c r="I75" s="241" t="s">
        <v>2376</v>
      </c>
      <c r="J75" s="286">
        <f>SUMIF(ERP!H:H,I75,ERP!Q:Q)+SUMIFS(SAP!J:J,SAP!E:E,I75,SAP!AA:AA,"COGS")</f>
        <v>3745321.0500000007</v>
      </c>
      <c r="K75" s="286">
        <f>SUMIFS(sf!AP:AP,sf!BB:BB,I75)</f>
        <v>3745321.3</v>
      </c>
      <c r="L75" s="286">
        <f>SUMIF(CRM_PREV_M!AX:AX,I75,CRM_PREV_M!AN:AN)</f>
        <v>0</v>
      </c>
      <c r="M75" s="286">
        <f>SUMIF(CONC_PREV_M!B:B,I75,CONC_PREV_M!I:I)</f>
        <v>0</v>
      </c>
      <c r="N75" s="286">
        <f t="shared" si="3"/>
        <v>-0.24999999906867743</v>
      </c>
      <c r="O75" s="241"/>
      <c r="P75" s="241"/>
      <c r="Q75" s="241"/>
    </row>
    <row r="76" spans="1:17" ht="13.5" customHeight="1" x14ac:dyDescent="0.3">
      <c r="A76" s="287" t="s">
        <v>2377</v>
      </c>
      <c r="B76" s="286">
        <f>SUMIF(ERP!H:H,A76,ERP!Q:Q)+SUMIFS(SAP!J:J,SAP!E:E,A76,SAP!AA:AA,"rev")</f>
        <v>-4901475.9400000004</v>
      </c>
      <c r="C76" s="286">
        <f>SUMIF(sf!AY:AY,A76,sf!AN:AN)</f>
        <v>4901475.9400000004</v>
      </c>
      <c r="D76" s="286">
        <f>SUMIF(CRM_PREV_M!AV:AV,A76,CRM_PREV_M!AL:AL)</f>
        <v>0</v>
      </c>
      <c r="E76" s="286">
        <f t="shared" si="5"/>
        <v>0</v>
      </c>
      <c r="F76" s="241"/>
      <c r="G76" s="241"/>
      <c r="H76" s="241"/>
      <c r="I76" s="241" t="s">
        <v>2378</v>
      </c>
      <c r="J76" s="286">
        <f>SUMIF(ERP!H:H,I76,ERP!Q:Q)+SUMIFS(SAP!J:J,SAP!E:E,I76,SAP!AA:AA,"COGS")</f>
        <v>2962819.67</v>
      </c>
      <c r="K76" s="286">
        <f>SUMIFS(sf!AP:AP,sf!BB:BB,I76)</f>
        <v>2962819.86</v>
      </c>
      <c r="L76" s="286">
        <f>SUMIF(CRM_PREV_M!AX:AX,I76,CRM_PREV_M!AN:AN)</f>
        <v>0</v>
      </c>
      <c r="M76" s="286">
        <f>SUMIF(CONC_PREV_M!B:B,I76,CONC_PREV_M!I:I)</f>
        <v>0</v>
      </c>
      <c r="N76" s="286">
        <f t="shared" si="3"/>
        <v>-0.18999999994412065</v>
      </c>
      <c r="O76" s="241"/>
      <c r="P76" s="241"/>
      <c r="Q76" s="241"/>
    </row>
    <row r="77" spans="1:17" ht="13.5" customHeight="1" x14ac:dyDescent="0.3">
      <c r="A77" s="287" t="s">
        <v>2343</v>
      </c>
      <c r="B77" s="286">
        <f>SUMIF(ERP!H:H,A77,ERP!Q:Q)+SUMIFS(SAP!J:J,SAP!E:E,A77,SAP!AA:AA,"rev")</f>
        <v>-12365985.800000001</v>
      </c>
      <c r="C77" s="286">
        <f>SUMIF(sf!AY:AY,A77,sf!AN:AN)</f>
        <v>12365985.800000001</v>
      </c>
      <c r="D77" s="286">
        <f>SUMIF(CRM_PREV_M!AV:AV,A77,CRM_PREV_M!AL:AL)</f>
        <v>0</v>
      </c>
      <c r="E77" s="286">
        <f t="shared" si="5"/>
        <v>0</v>
      </c>
      <c r="F77" s="241"/>
      <c r="G77" s="241"/>
      <c r="H77" s="241"/>
      <c r="I77" s="241" t="s">
        <v>2380</v>
      </c>
      <c r="J77" s="286">
        <f>SUMIF(ERP!H:H,I77,ERP!Q:Q)+SUMIFS(SAP!J:J,SAP!E:E,I77,SAP!AA:AA,"COGS")</f>
        <v>1390292.5</v>
      </c>
      <c r="K77" s="286">
        <f>SUMIFS(sf!AP:AP,sf!BB:BB,I77)</f>
        <v>1390292.59</v>
      </c>
      <c r="L77" s="286">
        <f>SUMIF(CRM_PREV_M!AX:AX,I77,CRM_PREV_M!AN:AN)</f>
        <v>0</v>
      </c>
      <c r="M77" s="286">
        <f>SUMIF(CONC_PREV_M!B:B,I77,CONC_PREV_M!I:I)</f>
        <v>0</v>
      </c>
      <c r="N77" s="286">
        <f t="shared" si="3"/>
        <v>-9.0000000083819032E-2</v>
      </c>
      <c r="O77" s="241"/>
      <c r="P77" s="241"/>
      <c r="Q77" s="241"/>
    </row>
    <row r="78" spans="1:17" ht="13.5" customHeight="1" x14ac:dyDescent="0.3">
      <c r="A78" s="287" t="s">
        <v>2373</v>
      </c>
      <c r="B78" s="286">
        <f>SUMIF(ERP!H:H,A78,ERP!Q:Q)+SUMIFS(SAP!J:J,SAP!E:E,A78,SAP!AA:AA,"rev")</f>
        <v>-2499831.17</v>
      </c>
      <c r="C78" s="286">
        <f>SUMIF(sf!AY:AY,A78,sf!AN:AN)</f>
        <v>2499831.17</v>
      </c>
      <c r="D78" s="286">
        <f>SUMIF(CRM_PREV_M!AV:AV,A78,CRM_PREV_M!AL:AL)</f>
        <v>0</v>
      </c>
      <c r="E78" s="286">
        <f t="shared" si="5"/>
        <v>0</v>
      </c>
      <c r="F78" s="241"/>
      <c r="G78" s="241"/>
      <c r="H78" s="241"/>
      <c r="I78" s="241" t="s">
        <v>2382</v>
      </c>
      <c r="J78" s="286">
        <f>SUMIF(ERP!H:H,I78,ERP!Q:Q)+SUMIFS(SAP!J:J,SAP!E:E,I78,SAP!AA:AA,"COGS")</f>
        <v>6088409.6699999999</v>
      </c>
      <c r="K78" s="286">
        <f>SUMIFS(sf!AP:AP,sf!BB:BB,I78)</f>
        <v>6088409.6699999999</v>
      </c>
      <c r="L78" s="286">
        <f>SUMIF(CRM_PREV_M!AX:AX,I78,CRM_PREV_M!AN:AN)</f>
        <v>0</v>
      </c>
      <c r="M78" s="286">
        <f>SUMIF(CONC_PREV_M!B:B,I78,CONC_PREV_M!I:I)</f>
        <v>0</v>
      </c>
      <c r="N78" s="286">
        <f t="shared" ref="N78:N84" si="6">J78-K78-L78-M78</f>
        <v>0</v>
      </c>
      <c r="O78" s="241"/>
      <c r="P78" s="241"/>
      <c r="Q78" s="241"/>
    </row>
    <row r="79" spans="1:17" ht="13.5" customHeight="1" x14ac:dyDescent="0.3">
      <c r="A79" s="287" t="s">
        <v>2383</v>
      </c>
      <c r="B79" s="286">
        <f>SUMIF(ERP!H:H,A79,ERP!Q:Q)+SUMIFS(SAP!J:J,SAP!E:E,A79,SAP!AA:AA,"rev")</f>
        <v>-232244.92</v>
      </c>
      <c r="C79" s="286">
        <f>SUMIF(sf!AY:AY,A79,sf!AN:AN)</f>
        <v>232244.92</v>
      </c>
      <c r="D79" s="286">
        <f>SUMIF(CRM_PREV_M!AV:AV,A79,CRM_PREV_M!AL:AL)</f>
        <v>0</v>
      </c>
      <c r="E79" s="286">
        <f t="shared" si="5"/>
        <v>0</v>
      </c>
      <c r="F79" s="241"/>
      <c r="G79" s="241"/>
      <c r="H79" s="241"/>
      <c r="I79" s="241" t="s">
        <v>2384</v>
      </c>
      <c r="J79" s="286">
        <f>SUMIF(ERP!H:H,I79,ERP!Q:Q)+SUMIFS(SAP!J:J,SAP!E:E,I79,SAP!AA:AA,"COGS")</f>
        <v>140386.25</v>
      </c>
      <c r="K79" s="286">
        <f>SUMIFS(sf!AP:AP,sf!BB:BB,I79)</f>
        <v>140386.26</v>
      </c>
      <c r="L79" s="286">
        <f>SUMIF(CRM_PREV_M!AX:AX,I79,CRM_PREV_M!AN:AN)</f>
        <v>0</v>
      </c>
      <c r="M79" s="286">
        <f>SUMIF(CONC_PREV_M!B:B,I79,CONC_PREV_M!I:I)</f>
        <v>0</v>
      </c>
      <c r="N79" s="286">
        <f t="shared" si="6"/>
        <v>-1.0000000009313226E-2</v>
      </c>
      <c r="O79" s="241"/>
      <c r="P79" s="241"/>
      <c r="Q79" s="241"/>
    </row>
    <row r="80" spans="1:17" ht="13.5" customHeight="1" x14ac:dyDescent="0.3">
      <c r="A80" s="287" t="s">
        <v>2379</v>
      </c>
      <c r="B80" s="286">
        <f>SUMIF(ERP!H:H,A80,ERP!Q:Q)+SUMIFS(SAP!J:J,SAP!E:E,A80,SAP!AA:AA,"rev")</f>
        <v>-2300000</v>
      </c>
      <c r="C80" s="286">
        <f>SUMIF(sf!AY:AY,A80,sf!AN:AN)</f>
        <v>2300000</v>
      </c>
      <c r="D80" s="286">
        <f>SUMIF(CRM_PREV_M!AV:AV,A80,CRM_PREV_M!AL:AL)</f>
        <v>0</v>
      </c>
      <c r="E80" s="286">
        <f t="shared" si="5"/>
        <v>0</v>
      </c>
      <c r="F80" s="241"/>
      <c r="G80" s="241"/>
      <c r="H80" s="241"/>
      <c r="I80" s="241" t="s">
        <v>2386</v>
      </c>
      <c r="J80" s="286">
        <f>SUMIF(ERP!H:H,I80,ERP!Q:Q)+SUMIFS(SAP!J:J,SAP!E:E,I80,SAP!AA:AA,"COGS")</f>
        <v>180445.34</v>
      </c>
      <c r="K80" s="286">
        <f>SUMIFS(sf!AP:AP,sf!BB:BB,I80)</f>
        <v>180445.34</v>
      </c>
      <c r="L80" s="286">
        <f>SUMIF(CRM_PREV_M!AX:AX,I80,CRM_PREV_M!AN:AN)</f>
        <v>0</v>
      </c>
      <c r="M80" s="286">
        <f>SUMIF(CONC_PREV_M!B:B,I80,CONC_PREV_M!I:I)</f>
        <v>0</v>
      </c>
      <c r="N80" s="286">
        <f t="shared" si="6"/>
        <v>0</v>
      </c>
      <c r="O80" s="241"/>
      <c r="P80" s="241"/>
      <c r="Q80" s="241"/>
    </row>
    <row r="81" spans="1:17" ht="13.5" customHeight="1" x14ac:dyDescent="0.3">
      <c r="A81" s="287" t="s">
        <v>2368</v>
      </c>
      <c r="B81" s="286">
        <f>SUMIF(ERP!H:H,A81,ERP!Q:Q)+SUMIFS(SAP!J:J,SAP!E:E,A81,SAP!AA:AA,"rev")</f>
        <v>-3625356</v>
      </c>
      <c r="C81" s="286">
        <f>SUMIF(sf!AY:AY,A81,sf!AN:AN)</f>
        <v>3625356</v>
      </c>
      <c r="D81" s="286">
        <f>SUMIF(CRM_PREV_M!AV:AV,A81,CRM_PREV_M!AL:AL)</f>
        <v>0</v>
      </c>
      <c r="E81" s="286">
        <f t="shared" si="5"/>
        <v>0</v>
      </c>
      <c r="F81" s="241"/>
      <c r="G81" s="241"/>
      <c r="H81" s="241"/>
      <c r="I81" s="241" t="s">
        <v>2344</v>
      </c>
      <c r="J81" s="286">
        <f>SUMIF(ERP!H:H,I81,ERP!Q:Q)+SUMIFS(SAP!J:J,SAP!E:E,I81,SAP!AA:AA,"COGS")</f>
        <v>7474929.2699999996</v>
      </c>
      <c r="K81" s="286">
        <f>SUMIFS(sf!AP:AP,sf!BB:BB,I81)</f>
        <v>7474929.7700000005</v>
      </c>
      <c r="L81" s="286">
        <f>SUMIF(CRM_PREV_M!AX:AX,I81,CRM_PREV_M!AN:AN)</f>
        <v>0</v>
      </c>
      <c r="M81" s="286">
        <f>SUMIF(CONC_PREV_M!B:B,I81,CONC_PREV_M!I:I)</f>
        <v>0</v>
      </c>
      <c r="N81" s="286">
        <f t="shared" si="6"/>
        <v>-0.50000000093132257</v>
      </c>
      <c r="O81" s="241"/>
      <c r="P81" s="241"/>
      <c r="Q81" s="241"/>
    </row>
    <row r="82" spans="1:17" ht="13.5" customHeight="1" x14ac:dyDescent="0.3">
      <c r="A82" s="287" t="s">
        <v>2318</v>
      </c>
      <c r="B82" s="286">
        <f>SUMIF(ERP!H:H,A82,ERP!Q:Q)+SUMIFS(SAP!J:J,SAP!E:E,A82,SAP!AA:AA,"rev")</f>
        <v>-902.75</v>
      </c>
      <c r="C82" s="286">
        <f>SUMIF(sf!AY:AY,A82,sf!AN:AN)</f>
        <v>902.74894380000001</v>
      </c>
      <c r="D82" s="286">
        <f>SUMIF(CRM_PREV_M!AV:AV,A82,CRM_PREV_M!AL:AL)</f>
        <v>0</v>
      </c>
      <c r="E82" s="286">
        <f t="shared" si="5"/>
        <v>-1.0561999999936234E-3</v>
      </c>
      <c r="F82" s="241"/>
      <c r="G82" s="241"/>
      <c r="H82" s="241"/>
      <c r="I82" s="241" t="s">
        <v>2388</v>
      </c>
      <c r="J82" s="286">
        <f>SUMIF(ERP!H:H,I82,ERP!Q:Q)+SUMIFS(SAP!J:J,SAP!E:E,I82,SAP!AA:AA,"COGS")</f>
        <v>958151.21</v>
      </c>
      <c r="K82" s="286">
        <f>SUMIFS(sf!AP:AP,sf!BB:BB,I82)</f>
        <v>958151.27</v>
      </c>
      <c r="L82" s="286">
        <f>SUMIF(CRM_PREV_M!AX:AX,I82,CRM_PREV_M!AN:AN)</f>
        <v>0</v>
      </c>
      <c r="M82" s="286">
        <f>SUMIF(CONC_PREV_M!B:B,I82,CONC_PREV_M!I:I)</f>
        <v>0</v>
      </c>
      <c r="N82" s="286">
        <f t="shared" si="6"/>
        <v>-6.0000000055879354E-2</v>
      </c>
      <c r="O82" s="241"/>
      <c r="P82" s="241"/>
      <c r="Q82" s="241"/>
    </row>
    <row r="83" spans="1:17" ht="13.5" customHeight="1" x14ac:dyDescent="0.3">
      <c r="A83" s="241"/>
      <c r="B83" s="286"/>
      <c r="C83" s="286"/>
      <c r="D83" s="286"/>
      <c r="E83" s="286"/>
      <c r="F83" s="241"/>
      <c r="G83" s="241"/>
      <c r="H83" s="241"/>
      <c r="I83" s="241" t="s">
        <v>2390</v>
      </c>
      <c r="J83" s="286">
        <f>SUMIF(ERP!H:H,I83,ERP!Q:Q)+SUMIFS(SAP!J:J,SAP!E:E,I83,SAP!AA:AA,"COGS")</f>
        <v>356655.67</v>
      </c>
      <c r="K83" s="286">
        <f>SUMIFS(sf!AP:AP,sf!BB:BB,I83)</f>
        <v>356655.67</v>
      </c>
      <c r="L83" s="286">
        <f>SUMIF(CRM_PREV_M!AX:AX,I83,CRM_PREV_M!AN:AN)</f>
        <v>0</v>
      </c>
      <c r="M83" s="286">
        <f>SUMIF(CONC_PREV_M!B:B,I83,CONC_PREV_M!I:I)</f>
        <v>0</v>
      </c>
      <c r="N83" s="286">
        <f t="shared" si="6"/>
        <v>0</v>
      </c>
      <c r="O83" s="241"/>
      <c r="P83" s="241"/>
      <c r="Q83" s="241"/>
    </row>
    <row r="84" spans="1:17" ht="13.5" customHeight="1" x14ac:dyDescent="0.3">
      <c r="A84" s="241"/>
      <c r="B84" s="286"/>
      <c r="C84" s="286"/>
      <c r="D84" s="286"/>
      <c r="E84" s="286"/>
      <c r="F84" s="241"/>
      <c r="G84" s="241"/>
      <c r="H84" s="241"/>
      <c r="I84" s="241" t="s">
        <v>2392</v>
      </c>
      <c r="J84" s="286">
        <f>SUMIF(ERP!H:H,I84,ERP!Q:Q)+SUMIFS(SAP!J:J,SAP!E:E,I84,SAP!AA:AA,"COGS")</f>
        <v>643886.70000000007</v>
      </c>
      <c r="K84" s="286">
        <f>SUMIFS(sf!AP:AP,sf!BB:BB,I84)</f>
        <v>643886.74</v>
      </c>
      <c r="L84" s="286">
        <f>SUMIF(CRM_PREV_M!AX:AX,I84,CRM_PREV_M!AN:AN)</f>
        <v>0</v>
      </c>
      <c r="M84" s="286">
        <f>SUMIF(CONC_PREV_M!B:B,I84,CONC_PREV_M!I:I)</f>
        <v>0</v>
      </c>
      <c r="N84" s="286">
        <f t="shared" si="6"/>
        <v>-3.9999999920837581E-2</v>
      </c>
      <c r="O84" s="241"/>
      <c r="P84" s="241"/>
      <c r="Q84" s="241"/>
    </row>
    <row r="85" spans="1:17" ht="13.5" customHeight="1" x14ac:dyDescent="0.3">
      <c r="A85" s="241"/>
      <c r="B85" s="286"/>
      <c r="C85" s="286"/>
      <c r="D85" s="286"/>
      <c r="E85" s="286"/>
      <c r="F85" s="241"/>
      <c r="G85" s="241"/>
      <c r="H85" s="241"/>
      <c r="I85" s="287"/>
      <c r="J85" s="286"/>
      <c r="K85" s="286"/>
      <c r="L85" s="286"/>
      <c r="M85" s="286"/>
      <c r="N85" s="286"/>
      <c r="O85" s="241"/>
      <c r="P85" s="241"/>
      <c r="Q85" s="241"/>
    </row>
    <row r="86" spans="1:17" ht="13.5" customHeight="1" x14ac:dyDescent="0.3">
      <c r="A86" s="241"/>
      <c r="B86" s="286"/>
      <c r="C86" s="286"/>
      <c r="D86" s="286"/>
      <c r="E86" s="286"/>
      <c r="F86" s="241"/>
      <c r="G86" s="241"/>
      <c r="H86" s="241"/>
      <c r="I86" s="287"/>
      <c r="J86" s="286"/>
      <c r="K86" s="286"/>
      <c r="L86" s="286"/>
      <c r="M86" s="286"/>
      <c r="N86" s="286"/>
      <c r="O86" s="241"/>
      <c r="P86" s="241"/>
      <c r="Q86" s="241"/>
    </row>
    <row r="87" spans="1:17" ht="13.5" customHeight="1" x14ac:dyDescent="0.3">
      <c r="A87" s="241"/>
      <c r="B87" s="286"/>
      <c r="C87" s="286"/>
      <c r="D87" s="286"/>
      <c r="E87" s="286"/>
      <c r="F87" s="241"/>
      <c r="G87" s="241"/>
      <c r="H87" s="241"/>
      <c r="I87" s="287"/>
      <c r="J87" s="286"/>
      <c r="K87" s="286"/>
      <c r="L87" s="286"/>
      <c r="M87" s="286"/>
      <c r="N87" s="286"/>
      <c r="O87" s="241"/>
      <c r="P87" s="241"/>
      <c r="Q87" s="241"/>
    </row>
    <row r="88" spans="1:17" ht="13.5" customHeight="1" x14ac:dyDescent="0.3">
      <c r="A88" s="241"/>
      <c r="B88" s="286"/>
      <c r="C88" s="286"/>
      <c r="D88" s="286"/>
      <c r="E88" s="286"/>
      <c r="F88" s="241"/>
      <c r="G88" s="241"/>
      <c r="H88" s="241"/>
      <c r="I88" s="287"/>
      <c r="J88" s="286"/>
      <c r="K88" s="286"/>
      <c r="L88" s="286"/>
      <c r="M88" s="286"/>
      <c r="N88" s="286"/>
      <c r="O88" s="241"/>
      <c r="P88" s="241"/>
      <c r="Q88" s="241"/>
    </row>
    <row r="89" spans="1:17" ht="13.5" customHeight="1" x14ac:dyDescent="0.3">
      <c r="A89" s="241"/>
      <c r="B89" s="286"/>
      <c r="C89" s="286"/>
      <c r="D89" s="286"/>
      <c r="E89" s="286"/>
      <c r="F89" s="241"/>
      <c r="G89" s="241"/>
      <c r="H89" s="241"/>
      <c r="I89" s="287"/>
      <c r="J89" s="286"/>
      <c r="K89" s="286"/>
      <c r="L89" s="286"/>
      <c r="M89" s="286"/>
      <c r="N89" s="286"/>
      <c r="O89" s="241"/>
      <c r="P89" s="241"/>
      <c r="Q89" s="241"/>
    </row>
    <row r="90" spans="1:17" ht="13.5" customHeight="1" x14ac:dyDescent="0.3">
      <c r="A90" s="241"/>
      <c r="B90" s="286"/>
      <c r="C90" s="286"/>
      <c r="D90" s="286"/>
      <c r="E90" s="286"/>
      <c r="F90" s="241"/>
      <c r="G90" s="241"/>
      <c r="H90" s="241"/>
      <c r="I90" s="287"/>
      <c r="J90" s="286"/>
      <c r="K90" s="286"/>
      <c r="L90" s="286"/>
      <c r="M90" s="286"/>
      <c r="N90" s="286"/>
      <c r="O90" s="241"/>
      <c r="P90" s="241"/>
      <c r="Q90" s="241"/>
    </row>
    <row r="91" spans="1:17" ht="13.5" customHeight="1" x14ac:dyDescent="0.3">
      <c r="A91" s="241"/>
      <c r="B91" s="286"/>
      <c r="C91" s="286"/>
      <c r="D91" s="286"/>
      <c r="E91" s="286"/>
      <c r="F91" s="241"/>
      <c r="G91" s="241"/>
      <c r="H91" s="241"/>
      <c r="I91" s="287"/>
      <c r="J91" s="286"/>
      <c r="K91" s="286"/>
      <c r="L91" s="286"/>
      <c r="M91" s="286"/>
      <c r="N91" s="286"/>
      <c r="O91" s="241"/>
      <c r="P91" s="241"/>
      <c r="Q91" s="241"/>
    </row>
    <row r="92" spans="1:17" ht="13.5" customHeight="1" x14ac:dyDescent="0.3">
      <c r="A92" s="241"/>
      <c r="B92" s="286"/>
      <c r="C92" s="286"/>
      <c r="D92" s="286"/>
      <c r="E92" s="286"/>
      <c r="F92" s="241"/>
      <c r="G92" s="241"/>
      <c r="H92" s="241"/>
      <c r="I92" s="287"/>
      <c r="J92" s="286"/>
      <c r="K92" s="286"/>
      <c r="L92" s="286"/>
      <c r="M92" s="286"/>
      <c r="N92" s="286"/>
      <c r="O92" s="241"/>
      <c r="P92" s="241"/>
      <c r="Q92" s="241"/>
    </row>
    <row r="93" spans="1:17" ht="13.5" customHeight="1" x14ac:dyDescent="0.3">
      <c r="A93" s="241"/>
      <c r="B93" s="286"/>
      <c r="C93" s="286"/>
      <c r="D93" s="286"/>
      <c r="E93" s="286"/>
      <c r="F93" s="241"/>
      <c r="G93" s="241"/>
      <c r="H93" s="241"/>
      <c r="I93" s="287"/>
      <c r="J93" s="286"/>
      <c r="K93" s="286"/>
      <c r="L93" s="286"/>
      <c r="M93" s="286"/>
      <c r="N93" s="286"/>
      <c r="O93" s="241"/>
      <c r="P93" s="241"/>
      <c r="Q93" s="241"/>
    </row>
    <row r="94" spans="1:17" ht="13.5" customHeight="1" x14ac:dyDescent="0.3">
      <c r="A94" s="241"/>
      <c r="B94" s="286"/>
      <c r="C94" s="286"/>
      <c r="D94" s="286"/>
      <c r="E94" s="286"/>
      <c r="F94" s="241"/>
      <c r="G94" s="241"/>
      <c r="H94" s="241"/>
      <c r="I94" s="287"/>
      <c r="J94" s="286"/>
      <c r="K94" s="286"/>
      <c r="L94" s="286"/>
      <c r="M94" s="286"/>
      <c r="N94" s="286"/>
      <c r="O94" s="241"/>
      <c r="P94" s="241"/>
      <c r="Q94" s="241"/>
    </row>
    <row r="95" spans="1:17" ht="13.5" customHeight="1" x14ac:dyDescent="0.3">
      <c r="A95" s="241"/>
      <c r="B95" s="286"/>
      <c r="C95" s="286"/>
      <c r="D95" s="286"/>
      <c r="E95" s="286"/>
      <c r="F95" s="241"/>
      <c r="G95" s="241"/>
      <c r="H95" s="241"/>
      <c r="I95" s="287"/>
      <c r="J95" s="286"/>
      <c r="K95" s="286"/>
      <c r="L95" s="286"/>
      <c r="M95" s="286"/>
      <c r="N95" s="286"/>
      <c r="O95" s="241"/>
      <c r="P95" s="241"/>
      <c r="Q95" s="241"/>
    </row>
    <row r="96" spans="1:17" ht="13.5" customHeight="1" x14ac:dyDescent="0.3">
      <c r="A96" s="241"/>
      <c r="B96" s="286"/>
      <c r="C96" s="286"/>
      <c r="D96" s="286"/>
      <c r="E96" s="286"/>
      <c r="F96" s="241"/>
      <c r="G96" s="241"/>
      <c r="H96" s="241"/>
      <c r="I96" s="287"/>
      <c r="J96" s="286"/>
      <c r="K96" s="286"/>
      <c r="L96" s="286"/>
      <c r="M96" s="286"/>
      <c r="N96" s="286"/>
      <c r="O96" s="241"/>
      <c r="P96" s="241"/>
      <c r="Q96" s="241"/>
    </row>
    <row r="97" spans="1:17" ht="13.5" customHeight="1" x14ac:dyDescent="0.3">
      <c r="A97" s="241"/>
      <c r="B97" s="286"/>
      <c r="C97" s="286"/>
      <c r="D97" s="286"/>
      <c r="E97" s="286"/>
      <c r="F97" s="241"/>
      <c r="G97" s="241"/>
      <c r="H97" s="241"/>
      <c r="I97" s="287"/>
      <c r="J97" s="286"/>
      <c r="K97" s="286"/>
      <c r="L97" s="286"/>
      <c r="M97" s="286"/>
      <c r="N97" s="286"/>
      <c r="O97" s="241"/>
      <c r="P97" s="241"/>
      <c r="Q97" s="241"/>
    </row>
    <row r="98" spans="1:17" ht="13.5" customHeight="1" x14ac:dyDescent="0.3">
      <c r="A98" s="241"/>
      <c r="B98" s="286"/>
      <c r="C98" s="286"/>
      <c r="D98" s="286"/>
      <c r="E98" s="286"/>
      <c r="F98" s="241"/>
      <c r="G98" s="241"/>
      <c r="H98" s="241"/>
      <c r="I98" s="287"/>
      <c r="J98" s="286"/>
      <c r="K98" s="286"/>
      <c r="L98" s="286"/>
      <c r="M98" s="286"/>
      <c r="N98" s="286"/>
      <c r="O98" s="241"/>
      <c r="P98" s="241"/>
      <c r="Q98" s="241"/>
    </row>
    <row r="99" spans="1:17" ht="13.5" customHeight="1" x14ac:dyDescent="0.3">
      <c r="A99" s="241"/>
      <c r="B99" s="286"/>
      <c r="C99" s="286"/>
      <c r="D99" s="286"/>
      <c r="E99" s="286"/>
      <c r="F99" s="241"/>
      <c r="G99" s="241"/>
      <c r="H99" s="241"/>
      <c r="I99" s="287"/>
      <c r="J99" s="286"/>
      <c r="K99" s="286"/>
      <c r="L99" s="286"/>
      <c r="M99" s="286"/>
      <c r="N99" s="286"/>
      <c r="O99" s="241"/>
      <c r="P99" s="241"/>
      <c r="Q99" s="241"/>
    </row>
    <row r="100" spans="1:17" ht="13.5" customHeight="1" x14ac:dyDescent="0.3">
      <c r="A100" s="241"/>
      <c r="B100" s="286"/>
      <c r="C100" s="286"/>
      <c r="D100" s="286"/>
      <c r="E100" s="286"/>
      <c r="F100" s="241"/>
      <c r="G100" s="241"/>
      <c r="H100" s="241"/>
      <c r="I100" s="287"/>
      <c r="J100" s="286"/>
      <c r="K100" s="286"/>
      <c r="L100" s="286"/>
      <c r="M100" s="286"/>
      <c r="N100" s="286"/>
      <c r="O100" s="241"/>
      <c r="P100" s="241"/>
      <c r="Q100" s="241"/>
    </row>
    <row r="101" spans="1:17" ht="13.5" customHeight="1" x14ac:dyDescent="0.3">
      <c r="A101" s="241"/>
      <c r="B101" s="286"/>
      <c r="C101" s="286"/>
      <c r="D101" s="286"/>
      <c r="E101" s="286"/>
      <c r="F101" s="241"/>
      <c r="G101" s="241"/>
      <c r="H101" s="241"/>
      <c r="I101" s="287"/>
      <c r="J101" s="286"/>
      <c r="K101" s="286"/>
      <c r="L101" s="286"/>
      <c r="M101" s="286"/>
      <c r="N101" s="286"/>
      <c r="O101" s="241"/>
      <c r="P101" s="241"/>
      <c r="Q101" s="241"/>
    </row>
    <row r="102" spans="1:17" ht="13.5" customHeight="1" x14ac:dyDescent="0.3">
      <c r="A102" s="241"/>
      <c r="B102" s="286"/>
      <c r="C102" s="286"/>
      <c r="D102" s="286"/>
      <c r="E102" s="286"/>
      <c r="F102" s="241"/>
      <c r="G102" s="241"/>
      <c r="H102" s="241"/>
      <c r="I102" s="287"/>
      <c r="J102" s="286"/>
      <c r="K102" s="286"/>
      <c r="L102" s="286"/>
      <c r="M102" s="286"/>
      <c r="N102" s="286"/>
      <c r="O102" s="241"/>
      <c r="P102" s="241"/>
      <c r="Q102" s="241"/>
    </row>
    <row r="103" spans="1:17" ht="13.5" customHeight="1" x14ac:dyDescent="0.3">
      <c r="A103" s="241"/>
      <c r="B103" s="286"/>
      <c r="C103" s="286"/>
      <c r="D103" s="286"/>
      <c r="E103" s="286"/>
      <c r="F103" s="241"/>
      <c r="G103" s="241"/>
      <c r="H103" s="241"/>
      <c r="I103" s="287"/>
      <c r="J103" s="286"/>
      <c r="K103" s="286"/>
      <c r="L103" s="286"/>
      <c r="M103" s="286"/>
      <c r="N103" s="286"/>
      <c r="O103" s="241"/>
      <c r="P103" s="241"/>
      <c r="Q103" s="241"/>
    </row>
    <row r="104" spans="1:17" ht="13.5" customHeight="1" x14ac:dyDescent="0.3">
      <c r="A104" s="241"/>
      <c r="B104" s="286"/>
      <c r="C104" s="286"/>
      <c r="D104" s="286"/>
      <c r="E104" s="286"/>
      <c r="F104" s="241"/>
      <c r="G104" s="241"/>
      <c r="H104" s="241"/>
      <c r="I104" s="287"/>
      <c r="J104" s="286"/>
      <c r="K104" s="286"/>
      <c r="L104" s="286"/>
      <c r="M104" s="286"/>
      <c r="N104" s="286"/>
      <c r="O104" s="241"/>
      <c r="P104" s="241"/>
      <c r="Q104" s="241"/>
    </row>
    <row r="105" spans="1:17" ht="13.5" customHeight="1" x14ac:dyDescent="0.3">
      <c r="A105" s="241"/>
      <c r="B105" s="286"/>
      <c r="C105" s="286"/>
      <c r="D105" s="286"/>
      <c r="E105" s="286"/>
      <c r="F105" s="241"/>
      <c r="G105" s="241"/>
      <c r="H105" s="241"/>
      <c r="I105" s="287"/>
      <c r="J105" s="286"/>
      <c r="K105" s="286"/>
      <c r="L105" s="286"/>
      <c r="M105" s="286"/>
      <c r="N105" s="286"/>
      <c r="O105" s="241"/>
      <c r="P105" s="241"/>
      <c r="Q105" s="241"/>
    </row>
    <row r="106" spans="1:17" ht="13.5" customHeight="1" x14ac:dyDescent="0.3">
      <c r="A106" s="241"/>
      <c r="B106" s="286"/>
      <c r="C106" s="286"/>
      <c r="D106" s="286"/>
      <c r="E106" s="286"/>
      <c r="F106" s="241"/>
      <c r="G106" s="241"/>
      <c r="H106" s="241"/>
      <c r="I106" s="287"/>
      <c r="J106" s="286"/>
      <c r="K106" s="286"/>
      <c r="L106" s="286"/>
      <c r="M106" s="286"/>
      <c r="N106" s="286"/>
      <c r="O106" s="241"/>
      <c r="P106" s="241"/>
      <c r="Q106" s="241"/>
    </row>
    <row r="107" spans="1:17" ht="13.5" customHeight="1" x14ac:dyDescent="0.3">
      <c r="A107" s="241"/>
      <c r="B107" s="286"/>
      <c r="C107" s="286"/>
      <c r="D107" s="286"/>
      <c r="E107" s="286"/>
      <c r="F107" s="241"/>
      <c r="G107" s="241"/>
      <c r="H107" s="241"/>
      <c r="I107" s="287"/>
      <c r="J107" s="286"/>
      <c r="K107" s="286"/>
      <c r="L107" s="286"/>
      <c r="M107" s="286"/>
      <c r="N107" s="286"/>
      <c r="O107" s="241"/>
      <c r="P107" s="241"/>
      <c r="Q107" s="241"/>
    </row>
    <row r="108" spans="1:17" ht="13.5" customHeight="1" x14ac:dyDescent="0.3">
      <c r="A108" s="241"/>
      <c r="B108" s="286"/>
      <c r="C108" s="286"/>
      <c r="D108" s="286"/>
      <c r="E108" s="286"/>
      <c r="F108" s="241"/>
      <c r="G108" s="241"/>
      <c r="H108" s="241"/>
      <c r="I108" s="287"/>
      <c r="J108" s="286"/>
      <c r="K108" s="286"/>
      <c r="L108" s="286"/>
      <c r="M108" s="286"/>
      <c r="N108" s="286"/>
      <c r="O108" s="241"/>
      <c r="P108" s="241"/>
      <c r="Q108" s="241"/>
    </row>
    <row r="109" spans="1:17" ht="13.5" customHeight="1" x14ac:dyDescent="0.3">
      <c r="A109" s="241"/>
      <c r="B109" s="286"/>
      <c r="C109" s="286"/>
      <c r="D109" s="286"/>
      <c r="E109" s="286"/>
      <c r="F109" s="241"/>
      <c r="G109" s="241"/>
      <c r="H109" s="241"/>
      <c r="I109" s="287"/>
      <c r="J109" s="286"/>
      <c r="K109" s="286"/>
      <c r="L109" s="286"/>
      <c r="M109" s="286"/>
      <c r="N109" s="286"/>
      <c r="O109" s="241"/>
      <c r="P109" s="241"/>
      <c r="Q109" s="241"/>
    </row>
    <row r="110" spans="1:17" ht="13.5" customHeight="1" x14ac:dyDescent="0.3">
      <c r="A110" s="241"/>
      <c r="B110" s="286"/>
      <c r="C110" s="286"/>
      <c r="D110" s="286"/>
      <c r="E110" s="286"/>
      <c r="F110" s="241"/>
      <c r="G110" s="241"/>
      <c r="H110" s="241"/>
      <c r="I110" s="287"/>
      <c r="J110" s="286"/>
      <c r="K110" s="286"/>
      <c r="L110" s="286"/>
      <c r="M110" s="286"/>
      <c r="N110" s="286"/>
      <c r="O110" s="241"/>
      <c r="P110" s="241"/>
      <c r="Q110" s="241"/>
    </row>
    <row r="111" spans="1:17" ht="13.5" customHeight="1" x14ac:dyDescent="0.3">
      <c r="A111" s="241"/>
      <c r="B111" s="286"/>
      <c r="C111" s="286"/>
      <c r="D111" s="286"/>
      <c r="E111" s="286"/>
      <c r="F111" s="241"/>
      <c r="G111" s="241"/>
      <c r="H111" s="241"/>
      <c r="I111" s="287"/>
      <c r="J111" s="286"/>
      <c r="K111" s="286"/>
      <c r="L111" s="286"/>
      <c r="M111" s="286"/>
      <c r="N111" s="286"/>
      <c r="O111" s="241"/>
      <c r="P111" s="241"/>
      <c r="Q111" s="241"/>
    </row>
    <row r="112" spans="1:17" ht="13.5" customHeight="1" x14ac:dyDescent="0.3">
      <c r="A112" s="241"/>
      <c r="B112" s="286"/>
      <c r="C112" s="286"/>
      <c r="D112" s="286"/>
      <c r="E112" s="286"/>
      <c r="F112" s="241"/>
      <c r="G112" s="241"/>
      <c r="H112" s="241"/>
      <c r="I112" s="287"/>
      <c r="J112" s="286"/>
      <c r="K112" s="286"/>
      <c r="L112" s="286"/>
      <c r="M112" s="286"/>
      <c r="N112" s="286"/>
      <c r="O112" s="241"/>
      <c r="P112" s="241"/>
      <c r="Q112" s="241"/>
    </row>
    <row r="113" spans="1:17" ht="13.5" customHeight="1" x14ac:dyDescent="0.3">
      <c r="A113" s="241"/>
      <c r="B113" s="286"/>
      <c r="C113" s="286"/>
      <c r="D113" s="286"/>
      <c r="E113" s="286"/>
      <c r="F113" s="241"/>
      <c r="G113" s="241"/>
      <c r="H113" s="241"/>
      <c r="I113" s="287"/>
      <c r="J113" s="286"/>
      <c r="K113" s="286"/>
      <c r="L113" s="286"/>
      <c r="M113" s="286"/>
      <c r="N113" s="286"/>
      <c r="O113" s="241"/>
      <c r="P113" s="241"/>
      <c r="Q113" s="241"/>
    </row>
    <row r="114" spans="1:17" ht="13.5" customHeight="1" x14ac:dyDescent="0.3">
      <c r="A114" s="241"/>
      <c r="B114" s="286"/>
      <c r="C114" s="286"/>
      <c r="D114" s="286"/>
      <c r="E114" s="286"/>
      <c r="F114" s="241"/>
      <c r="G114" s="241"/>
      <c r="H114" s="241"/>
      <c r="I114" s="287"/>
      <c r="J114" s="286"/>
      <c r="K114" s="286"/>
      <c r="L114" s="286"/>
      <c r="M114" s="286"/>
      <c r="N114" s="286"/>
      <c r="O114" s="241"/>
      <c r="P114" s="241"/>
      <c r="Q114" s="241"/>
    </row>
    <row r="115" spans="1:17" ht="13.5" customHeight="1" x14ac:dyDescent="0.3">
      <c r="A115" s="241"/>
      <c r="B115" s="286"/>
      <c r="C115" s="286"/>
      <c r="D115" s="286"/>
      <c r="E115" s="286"/>
      <c r="F115" s="241"/>
      <c r="G115" s="241"/>
      <c r="H115" s="241"/>
      <c r="I115" s="287"/>
      <c r="J115" s="286"/>
      <c r="K115" s="286"/>
      <c r="L115" s="286"/>
      <c r="M115" s="286"/>
      <c r="N115" s="286"/>
      <c r="O115" s="241"/>
      <c r="P115" s="241"/>
      <c r="Q115" s="241"/>
    </row>
    <row r="116" spans="1:17" ht="13.5" customHeight="1" x14ac:dyDescent="0.3">
      <c r="A116" s="241"/>
      <c r="B116" s="286"/>
      <c r="C116" s="286"/>
      <c r="D116" s="286"/>
      <c r="E116" s="286"/>
      <c r="F116" s="241"/>
      <c r="G116" s="241"/>
      <c r="H116" s="241"/>
      <c r="I116" s="287"/>
      <c r="J116" s="286"/>
      <c r="K116" s="286"/>
      <c r="L116" s="286"/>
      <c r="M116" s="286"/>
      <c r="N116" s="286"/>
      <c r="O116" s="241"/>
      <c r="P116" s="241"/>
      <c r="Q116" s="241"/>
    </row>
    <row r="117" spans="1:17" ht="13.5" customHeight="1" x14ac:dyDescent="0.3">
      <c r="A117" s="241"/>
      <c r="B117" s="286"/>
      <c r="C117" s="286"/>
      <c r="D117" s="286"/>
      <c r="E117" s="286"/>
      <c r="F117" s="241"/>
      <c r="G117" s="241"/>
      <c r="H117" s="241"/>
      <c r="I117" s="287"/>
      <c r="J117" s="286"/>
      <c r="K117" s="286"/>
      <c r="L117" s="286"/>
      <c r="M117" s="286"/>
      <c r="N117" s="286"/>
      <c r="O117" s="241"/>
      <c r="P117" s="241"/>
      <c r="Q117" s="241"/>
    </row>
    <row r="118" spans="1:17" ht="13.5" customHeight="1" x14ac:dyDescent="0.3">
      <c r="A118" s="241"/>
      <c r="B118" s="286"/>
      <c r="C118" s="286"/>
      <c r="D118" s="286"/>
      <c r="E118" s="286"/>
      <c r="F118" s="241"/>
      <c r="G118" s="241"/>
      <c r="H118" s="241"/>
      <c r="I118" s="287"/>
      <c r="J118" s="286"/>
      <c r="K118" s="286"/>
      <c r="L118" s="286"/>
      <c r="M118" s="286"/>
      <c r="N118" s="286"/>
      <c r="O118" s="241"/>
      <c r="P118" s="241"/>
      <c r="Q118" s="241"/>
    </row>
    <row r="119" spans="1:17" ht="13.5" customHeight="1" x14ac:dyDescent="0.3">
      <c r="A119" s="241"/>
      <c r="B119" s="286"/>
      <c r="C119" s="286"/>
      <c r="D119" s="286"/>
      <c r="E119" s="286"/>
      <c r="F119" s="241"/>
      <c r="G119" s="241"/>
      <c r="H119" s="241"/>
      <c r="I119" s="287"/>
      <c r="J119" s="286"/>
      <c r="K119" s="286"/>
      <c r="L119" s="286"/>
      <c r="M119" s="286"/>
      <c r="N119" s="286"/>
      <c r="O119" s="241"/>
      <c r="P119" s="241"/>
      <c r="Q119" s="241"/>
    </row>
    <row r="120" spans="1:17" ht="13.5" customHeight="1" x14ac:dyDescent="0.3">
      <c r="A120" s="241"/>
      <c r="B120" s="286"/>
      <c r="C120" s="286"/>
      <c r="D120" s="286"/>
      <c r="E120" s="286"/>
      <c r="F120" s="241"/>
      <c r="G120" s="241"/>
      <c r="H120" s="241"/>
      <c r="I120" s="287"/>
      <c r="J120" s="286"/>
      <c r="K120" s="286"/>
      <c r="L120" s="286"/>
      <c r="M120" s="286"/>
      <c r="N120" s="286"/>
      <c r="O120" s="241"/>
      <c r="P120" s="241"/>
      <c r="Q120" s="241"/>
    </row>
    <row r="121" spans="1:17" ht="13.5" customHeight="1" x14ac:dyDescent="0.3">
      <c r="A121" s="241"/>
      <c r="B121" s="286"/>
      <c r="C121" s="286"/>
      <c r="D121" s="286"/>
      <c r="E121" s="286"/>
      <c r="F121" s="241"/>
      <c r="G121" s="241"/>
      <c r="H121" s="241"/>
      <c r="I121" s="287"/>
      <c r="J121" s="286"/>
      <c r="K121" s="286"/>
      <c r="L121" s="286"/>
      <c r="M121" s="286"/>
      <c r="N121" s="286"/>
      <c r="O121" s="241"/>
      <c r="P121" s="241"/>
      <c r="Q121" s="241"/>
    </row>
    <row r="122" spans="1:17" ht="13.5" customHeight="1" x14ac:dyDescent="0.3">
      <c r="A122" s="241"/>
      <c r="B122" s="286"/>
      <c r="C122" s="286"/>
      <c r="D122" s="286"/>
      <c r="E122" s="286"/>
      <c r="F122" s="241"/>
      <c r="G122" s="241"/>
      <c r="H122" s="241"/>
      <c r="I122" s="287"/>
      <c r="J122" s="286"/>
      <c r="K122" s="286"/>
      <c r="L122" s="286"/>
      <c r="M122" s="286"/>
      <c r="N122" s="286"/>
      <c r="O122" s="241"/>
      <c r="P122" s="241"/>
      <c r="Q122" s="241"/>
    </row>
    <row r="123" spans="1:17" ht="13.5" customHeight="1" x14ac:dyDescent="0.3">
      <c r="A123" s="241"/>
      <c r="B123" s="286"/>
      <c r="C123" s="286"/>
      <c r="D123" s="286"/>
      <c r="E123" s="286"/>
      <c r="F123" s="241"/>
      <c r="G123" s="241"/>
      <c r="H123" s="241"/>
      <c r="I123" s="287"/>
      <c r="J123" s="286"/>
      <c r="K123" s="286"/>
      <c r="L123" s="286"/>
      <c r="M123" s="286"/>
      <c r="N123" s="286"/>
      <c r="O123" s="241"/>
      <c r="P123" s="241"/>
      <c r="Q123" s="241"/>
    </row>
    <row r="124" spans="1:17" ht="13.5" customHeight="1" x14ac:dyDescent="0.3">
      <c r="A124" s="241"/>
      <c r="B124" s="286"/>
      <c r="C124" s="286"/>
      <c r="D124" s="286"/>
      <c r="E124" s="286"/>
      <c r="F124" s="241"/>
      <c r="G124" s="241"/>
      <c r="H124" s="241"/>
      <c r="I124" s="287"/>
      <c r="J124" s="286"/>
      <c r="K124" s="286"/>
      <c r="L124" s="286"/>
      <c r="M124" s="286"/>
      <c r="N124" s="286"/>
      <c r="O124" s="241"/>
      <c r="P124" s="241"/>
      <c r="Q124" s="241"/>
    </row>
    <row r="125" spans="1:17" ht="13.5" customHeight="1" x14ac:dyDescent="0.3">
      <c r="A125" s="287"/>
      <c r="B125" s="286"/>
      <c r="C125" s="286"/>
      <c r="D125" s="286"/>
      <c r="E125" s="286"/>
      <c r="F125" s="241"/>
      <c r="G125" s="241"/>
      <c r="H125" s="241"/>
      <c r="I125" s="287"/>
      <c r="J125" s="286"/>
      <c r="K125" s="286"/>
      <c r="L125" s="286"/>
      <c r="M125" s="286"/>
      <c r="N125" s="286"/>
      <c r="O125" s="241"/>
      <c r="P125" s="241"/>
      <c r="Q125" s="241"/>
    </row>
    <row r="126" spans="1:17" ht="13.5" customHeight="1" x14ac:dyDescent="0.3">
      <c r="A126" s="287"/>
      <c r="B126" s="286"/>
      <c r="C126" s="286"/>
      <c r="D126" s="286"/>
      <c r="E126" s="286"/>
      <c r="F126" s="241"/>
      <c r="G126" s="241"/>
      <c r="H126" s="241"/>
      <c r="I126" s="287"/>
      <c r="J126" s="286"/>
      <c r="K126" s="286"/>
      <c r="L126" s="286"/>
      <c r="M126" s="286"/>
      <c r="N126" s="286"/>
      <c r="O126" s="241"/>
      <c r="P126" s="241"/>
      <c r="Q126" s="241"/>
    </row>
    <row r="127" spans="1:17" ht="13.5" customHeight="1" x14ac:dyDescent="0.3">
      <c r="A127" s="287"/>
      <c r="B127" s="286"/>
      <c r="C127" s="286"/>
      <c r="D127" s="286"/>
      <c r="E127" s="286"/>
      <c r="F127" s="241"/>
      <c r="G127" s="241"/>
      <c r="H127" s="241"/>
      <c r="I127" s="287"/>
      <c r="J127" s="286"/>
      <c r="K127" s="286"/>
      <c r="L127" s="286"/>
      <c r="M127" s="286"/>
      <c r="N127" s="286"/>
      <c r="O127" s="241"/>
      <c r="P127" s="241"/>
      <c r="Q127" s="241"/>
    </row>
    <row r="128" spans="1:17" ht="13.5" customHeight="1" x14ac:dyDescent="0.3">
      <c r="A128" s="287"/>
      <c r="B128" s="286"/>
      <c r="C128" s="286"/>
      <c r="D128" s="286"/>
      <c r="E128" s="286"/>
      <c r="F128" s="241"/>
      <c r="G128" s="241"/>
      <c r="H128" s="241"/>
      <c r="I128" s="287"/>
      <c r="J128" s="286"/>
      <c r="K128" s="286"/>
      <c r="L128" s="286"/>
      <c r="M128" s="286"/>
      <c r="N128" s="286"/>
      <c r="O128" s="241"/>
      <c r="P128" s="241"/>
      <c r="Q128" s="241"/>
    </row>
    <row r="129" spans="1:17" ht="13.5" customHeight="1" x14ac:dyDescent="0.3">
      <c r="A129" s="287"/>
      <c r="B129" s="286"/>
      <c r="C129" s="286"/>
      <c r="D129" s="286"/>
      <c r="E129" s="286"/>
      <c r="F129" s="241"/>
      <c r="G129" s="241"/>
      <c r="H129" s="241"/>
      <c r="I129" s="287"/>
      <c r="J129" s="286"/>
      <c r="K129" s="286"/>
      <c r="L129" s="286"/>
      <c r="M129" s="286"/>
      <c r="N129" s="286"/>
      <c r="O129" s="241"/>
      <c r="P129" s="241"/>
      <c r="Q129" s="241"/>
    </row>
    <row r="130" spans="1:17" ht="13.5" customHeight="1" x14ac:dyDescent="0.3">
      <c r="A130" s="287"/>
      <c r="B130" s="286"/>
      <c r="C130" s="286"/>
      <c r="D130" s="286"/>
      <c r="E130" s="286"/>
      <c r="F130" s="241"/>
      <c r="G130" s="241"/>
      <c r="H130" s="241"/>
      <c r="I130" s="287"/>
      <c r="J130" s="286"/>
      <c r="K130" s="286"/>
      <c r="L130" s="286"/>
      <c r="M130" s="286"/>
      <c r="N130" s="286"/>
      <c r="O130" s="241"/>
      <c r="P130" s="241"/>
      <c r="Q130" s="241"/>
    </row>
    <row r="131" spans="1:17" ht="13.5" customHeight="1" x14ac:dyDescent="0.3">
      <c r="A131" s="287"/>
      <c r="B131" s="286"/>
      <c r="C131" s="286"/>
      <c r="D131" s="286"/>
      <c r="E131" s="286"/>
      <c r="F131" s="241"/>
      <c r="G131" s="241"/>
      <c r="H131" s="241"/>
      <c r="I131" s="287"/>
      <c r="J131" s="286"/>
      <c r="K131" s="286"/>
      <c r="L131" s="286"/>
      <c r="M131" s="286"/>
      <c r="N131" s="286"/>
      <c r="O131" s="241"/>
      <c r="P131" s="241"/>
      <c r="Q131" s="241"/>
    </row>
    <row r="132" spans="1:17" ht="13.5" customHeight="1" x14ac:dyDescent="0.3">
      <c r="A132" s="287"/>
      <c r="B132" s="286"/>
      <c r="C132" s="286"/>
      <c r="D132" s="286"/>
      <c r="E132" s="286"/>
      <c r="F132" s="241"/>
      <c r="G132" s="241"/>
      <c r="H132" s="241"/>
      <c r="I132" s="287"/>
      <c r="J132" s="286"/>
      <c r="K132" s="286"/>
      <c r="L132" s="286"/>
      <c r="M132" s="286"/>
      <c r="N132" s="286"/>
      <c r="O132" s="241"/>
      <c r="P132" s="241"/>
      <c r="Q132" s="241"/>
    </row>
    <row r="133" spans="1:17" ht="13.5" customHeight="1" x14ac:dyDescent="0.3">
      <c r="A133" s="287"/>
      <c r="B133" s="286"/>
      <c r="C133" s="286"/>
      <c r="D133" s="286"/>
      <c r="E133" s="286"/>
      <c r="F133" s="241"/>
      <c r="G133" s="241"/>
      <c r="H133" s="241"/>
      <c r="I133" s="287"/>
      <c r="J133" s="286"/>
      <c r="K133" s="286"/>
      <c r="L133" s="286"/>
      <c r="M133" s="286"/>
      <c r="N133" s="286"/>
      <c r="O133" s="241"/>
      <c r="P133" s="241"/>
      <c r="Q133" s="241"/>
    </row>
    <row r="134" spans="1:17" ht="13.5" customHeight="1" x14ac:dyDescent="0.3">
      <c r="A134" s="287"/>
      <c r="B134" s="286"/>
      <c r="C134" s="286"/>
      <c r="D134" s="286"/>
      <c r="E134" s="286"/>
      <c r="F134" s="241"/>
      <c r="G134" s="241"/>
      <c r="H134" s="241"/>
      <c r="I134" s="287"/>
      <c r="J134" s="286"/>
      <c r="K134" s="286"/>
      <c r="L134" s="286"/>
      <c r="M134" s="286"/>
      <c r="N134" s="286"/>
      <c r="O134" s="241"/>
      <c r="P134" s="241"/>
      <c r="Q134" s="241"/>
    </row>
    <row r="135" spans="1:17" ht="13.5" customHeight="1" x14ac:dyDescent="0.3">
      <c r="A135" s="287"/>
      <c r="B135" s="286"/>
      <c r="C135" s="286"/>
      <c r="D135" s="286"/>
      <c r="E135" s="286"/>
      <c r="F135" s="241"/>
      <c r="G135" s="241"/>
      <c r="H135" s="241"/>
      <c r="I135" s="287"/>
      <c r="J135" s="286"/>
      <c r="K135" s="286"/>
      <c r="L135" s="286"/>
      <c r="M135" s="286"/>
      <c r="N135" s="286"/>
      <c r="O135" s="241"/>
      <c r="P135" s="241"/>
      <c r="Q135" s="241"/>
    </row>
    <row r="136" spans="1:17" ht="13.5" customHeight="1" x14ac:dyDescent="0.3">
      <c r="A136" s="287"/>
      <c r="B136" s="286"/>
      <c r="C136" s="286"/>
      <c r="D136" s="286"/>
      <c r="E136" s="286"/>
      <c r="F136" s="241"/>
      <c r="G136" s="241"/>
      <c r="H136" s="241"/>
      <c r="I136" s="287"/>
      <c r="J136" s="286"/>
      <c r="K136" s="286"/>
      <c r="L136" s="286"/>
      <c r="M136" s="286"/>
      <c r="N136" s="286"/>
      <c r="O136" s="241"/>
      <c r="P136" s="241"/>
      <c r="Q136" s="241"/>
    </row>
    <row r="137" spans="1:17" ht="13.5" customHeight="1" x14ac:dyDescent="0.3">
      <c r="A137" s="287"/>
      <c r="B137" s="286"/>
      <c r="C137" s="286"/>
      <c r="D137" s="286"/>
      <c r="E137" s="286"/>
      <c r="F137" s="241"/>
      <c r="G137" s="241"/>
      <c r="H137" s="241"/>
      <c r="I137" s="287"/>
      <c r="J137" s="286"/>
      <c r="K137" s="286"/>
      <c r="L137" s="286"/>
      <c r="M137" s="286"/>
      <c r="N137" s="286"/>
      <c r="O137" s="241"/>
      <c r="P137" s="241"/>
      <c r="Q137" s="241"/>
    </row>
    <row r="138" spans="1:17" ht="13.5" customHeight="1" x14ac:dyDescent="0.3">
      <c r="A138" s="287"/>
      <c r="B138" s="286"/>
      <c r="C138" s="286"/>
      <c r="D138" s="286"/>
      <c r="E138" s="286"/>
      <c r="F138" s="241"/>
      <c r="G138" s="241"/>
      <c r="H138" s="241"/>
      <c r="I138" s="287"/>
      <c r="J138" s="286"/>
      <c r="K138" s="286"/>
      <c r="L138" s="286"/>
      <c r="M138" s="286"/>
      <c r="N138" s="286"/>
      <c r="O138" s="241"/>
      <c r="P138" s="241"/>
      <c r="Q138" s="241"/>
    </row>
    <row r="139" spans="1:17" ht="13.5" customHeight="1" x14ac:dyDescent="0.3">
      <c r="A139" s="287"/>
      <c r="B139" s="286"/>
      <c r="C139" s="286"/>
      <c r="D139" s="286"/>
      <c r="E139" s="286"/>
      <c r="F139" s="241"/>
      <c r="G139" s="241"/>
      <c r="H139" s="241"/>
      <c r="I139" s="287"/>
      <c r="J139" s="286"/>
      <c r="K139" s="286"/>
      <c r="L139" s="286"/>
      <c r="M139" s="286"/>
      <c r="N139" s="286"/>
      <c r="O139" s="241"/>
      <c r="P139" s="241"/>
      <c r="Q139" s="241"/>
    </row>
    <row r="140" spans="1:17" ht="13.5" customHeight="1" x14ac:dyDescent="0.3">
      <c r="A140" s="287"/>
      <c r="B140" s="286"/>
      <c r="C140" s="286"/>
      <c r="D140" s="286"/>
      <c r="E140" s="286"/>
      <c r="F140" s="241"/>
      <c r="G140" s="241"/>
      <c r="H140" s="241"/>
      <c r="I140" s="287"/>
      <c r="J140" s="286"/>
      <c r="K140" s="286"/>
      <c r="L140" s="286"/>
      <c r="M140" s="286"/>
      <c r="N140" s="286"/>
      <c r="O140" s="241"/>
      <c r="P140" s="241"/>
      <c r="Q140" s="241"/>
    </row>
    <row r="141" spans="1:17" ht="13.5" customHeight="1" x14ac:dyDescent="0.3">
      <c r="A141" s="287"/>
      <c r="B141" s="286"/>
      <c r="C141" s="286"/>
      <c r="D141" s="286"/>
      <c r="E141" s="286"/>
      <c r="F141" s="241"/>
      <c r="G141" s="241"/>
      <c r="H141" s="241"/>
      <c r="I141" s="287"/>
      <c r="J141" s="286"/>
      <c r="K141" s="286"/>
      <c r="L141" s="286"/>
      <c r="M141" s="286"/>
      <c r="N141" s="286"/>
      <c r="O141" s="241"/>
      <c r="P141" s="241"/>
      <c r="Q141" s="241"/>
    </row>
    <row r="142" spans="1:17" ht="13.5" customHeight="1" x14ac:dyDescent="0.3">
      <c r="A142" s="287"/>
      <c r="B142" s="286"/>
      <c r="C142" s="286"/>
      <c r="D142" s="286"/>
      <c r="E142" s="286"/>
      <c r="F142" s="241"/>
      <c r="G142" s="241"/>
      <c r="H142" s="241"/>
      <c r="I142" s="287"/>
      <c r="J142" s="286"/>
      <c r="K142" s="286"/>
      <c r="L142" s="286"/>
      <c r="M142" s="286"/>
      <c r="N142" s="286"/>
      <c r="O142" s="241"/>
      <c r="P142" s="241"/>
      <c r="Q142" s="241"/>
    </row>
    <row r="143" spans="1:17" ht="13.5" customHeight="1" x14ac:dyDescent="0.3">
      <c r="A143" s="287"/>
      <c r="B143" s="286"/>
      <c r="C143" s="286"/>
      <c r="D143" s="286"/>
      <c r="E143" s="286"/>
      <c r="F143" s="241"/>
      <c r="G143" s="241"/>
      <c r="H143" s="241"/>
      <c r="I143" s="287"/>
      <c r="J143" s="286"/>
      <c r="K143" s="286"/>
      <c r="L143" s="286"/>
      <c r="M143" s="286"/>
      <c r="N143" s="286"/>
      <c r="O143" s="241"/>
      <c r="P143" s="241"/>
      <c r="Q143" s="241"/>
    </row>
    <row r="144" spans="1:17" ht="13.5" customHeight="1" x14ac:dyDescent="0.3">
      <c r="A144" s="287"/>
      <c r="B144" s="286"/>
      <c r="C144" s="286"/>
      <c r="D144" s="286"/>
      <c r="E144" s="286"/>
      <c r="F144" s="241"/>
      <c r="G144" s="241"/>
      <c r="H144" s="241"/>
      <c r="I144" s="287"/>
      <c r="J144" s="286"/>
      <c r="K144" s="286"/>
      <c r="L144" s="286"/>
      <c r="M144" s="286"/>
      <c r="N144" s="286"/>
      <c r="O144" s="241"/>
      <c r="P144" s="241"/>
      <c r="Q144" s="241"/>
    </row>
    <row r="145" spans="1:17" ht="13.5" customHeight="1" x14ac:dyDescent="0.3">
      <c r="A145" s="287"/>
      <c r="B145" s="286"/>
      <c r="C145" s="286"/>
      <c r="D145" s="286"/>
      <c r="E145" s="286"/>
      <c r="F145" s="241"/>
      <c r="G145" s="241"/>
      <c r="H145" s="241"/>
      <c r="I145" s="287"/>
      <c r="J145" s="286"/>
      <c r="K145" s="286"/>
      <c r="L145" s="286"/>
      <c r="M145" s="286"/>
      <c r="N145" s="286"/>
      <c r="O145" s="241"/>
      <c r="P145" s="241"/>
      <c r="Q145" s="241"/>
    </row>
    <row r="146" spans="1:17" ht="13.5" customHeight="1" x14ac:dyDescent="0.3">
      <c r="A146" s="287"/>
      <c r="B146" s="286"/>
      <c r="C146" s="286"/>
      <c r="D146" s="286"/>
      <c r="E146" s="286"/>
      <c r="F146" s="241"/>
      <c r="G146" s="241"/>
      <c r="H146" s="241"/>
      <c r="I146" s="287"/>
      <c r="J146" s="286"/>
      <c r="K146" s="286"/>
      <c r="L146" s="286"/>
      <c r="M146" s="286"/>
      <c r="N146" s="286"/>
      <c r="O146" s="241"/>
      <c r="P146" s="241"/>
      <c r="Q146" s="241"/>
    </row>
    <row r="147" spans="1:17" ht="13.5" customHeight="1" x14ac:dyDescent="0.3">
      <c r="A147" s="287"/>
      <c r="B147" s="286"/>
      <c r="C147" s="286"/>
      <c r="D147" s="286"/>
      <c r="E147" s="286"/>
      <c r="F147" s="241"/>
      <c r="G147" s="241"/>
      <c r="H147" s="241"/>
      <c r="I147" s="287"/>
      <c r="J147" s="286"/>
      <c r="K147" s="286"/>
      <c r="L147" s="286"/>
      <c r="M147" s="286"/>
      <c r="N147" s="286"/>
      <c r="O147" s="241"/>
      <c r="P147" s="241"/>
      <c r="Q147" s="241"/>
    </row>
    <row r="148" spans="1:17" ht="13.5" customHeight="1" x14ac:dyDescent="0.3">
      <c r="A148" s="287"/>
      <c r="B148" s="286"/>
      <c r="C148" s="286"/>
      <c r="D148" s="286"/>
      <c r="E148" s="286"/>
      <c r="F148" s="241"/>
      <c r="G148" s="241"/>
      <c r="H148" s="241"/>
      <c r="I148" s="287"/>
      <c r="J148" s="286"/>
      <c r="K148" s="286"/>
      <c r="L148" s="286"/>
      <c r="M148" s="286"/>
      <c r="N148" s="286"/>
      <c r="O148" s="241"/>
      <c r="P148" s="241"/>
      <c r="Q148" s="241"/>
    </row>
    <row r="149" spans="1:17" ht="13.5" customHeight="1" x14ac:dyDescent="0.3">
      <c r="A149" s="287"/>
      <c r="B149" s="286"/>
      <c r="C149" s="286"/>
      <c r="D149" s="286"/>
      <c r="E149" s="286"/>
      <c r="F149" s="241"/>
      <c r="G149" s="241"/>
      <c r="H149" s="241"/>
      <c r="I149" s="287"/>
      <c r="J149" s="286"/>
      <c r="K149" s="286"/>
      <c r="L149" s="286"/>
      <c r="M149" s="286"/>
      <c r="N149" s="286"/>
      <c r="O149" s="241"/>
      <c r="P149" s="241"/>
      <c r="Q149" s="241"/>
    </row>
    <row r="150" spans="1:17" ht="13.5" customHeight="1" x14ac:dyDescent="0.3">
      <c r="A150" s="287"/>
      <c r="B150" s="286"/>
      <c r="C150" s="286"/>
      <c r="D150" s="286"/>
      <c r="E150" s="286"/>
      <c r="F150" s="241"/>
      <c r="G150" s="241"/>
      <c r="H150" s="241"/>
      <c r="I150" s="287"/>
      <c r="J150" s="286"/>
      <c r="K150" s="286"/>
      <c r="L150" s="286"/>
      <c r="M150" s="286"/>
      <c r="N150" s="286"/>
      <c r="O150" s="241"/>
      <c r="P150" s="241"/>
      <c r="Q150" s="241"/>
    </row>
    <row r="151" spans="1:17" ht="13.5" customHeight="1" x14ac:dyDescent="0.3">
      <c r="A151" s="287"/>
      <c r="B151" s="286"/>
      <c r="C151" s="286"/>
      <c r="D151" s="286"/>
      <c r="E151" s="286"/>
      <c r="F151" s="241"/>
      <c r="G151" s="241"/>
      <c r="H151" s="241"/>
      <c r="I151" s="287"/>
      <c r="J151" s="286"/>
      <c r="K151" s="286"/>
      <c r="L151" s="286"/>
      <c r="M151" s="286"/>
      <c r="N151" s="286"/>
      <c r="O151" s="241"/>
      <c r="P151" s="241"/>
      <c r="Q151" s="241"/>
    </row>
    <row r="152" spans="1:17" ht="13.5" customHeight="1" x14ac:dyDescent="0.3">
      <c r="A152" s="287"/>
      <c r="B152" s="286"/>
      <c r="C152" s="286"/>
      <c r="D152" s="286"/>
      <c r="E152" s="286"/>
      <c r="F152" s="241"/>
      <c r="G152" s="241"/>
      <c r="H152" s="241"/>
      <c r="I152" s="287"/>
      <c r="J152" s="286"/>
      <c r="K152" s="286"/>
      <c r="L152" s="286"/>
      <c r="M152" s="286"/>
      <c r="N152" s="286"/>
      <c r="O152" s="241"/>
      <c r="P152" s="241"/>
      <c r="Q152" s="241"/>
    </row>
    <row r="153" spans="1:17" ht="13.5" customHeight="1" x14ac:dyDescent="0.3">
      <c r="A153" s="287"/>
      <c r="B153" s="286"/>
      <c r="C153" s="286"/>
      <c r="D153" s="286"/>
      <c r="E153" s="286"/>
      <c r="F153" s="241"/>
      <c r="G153" s="241"/>
      <c r="H153" s="241"/>
      <c r="I153" s="287"/>
      <c r="J153" s="286"/>
      <c r="K153" s="286"/>
      <c r="L153" s="286"/>
      <c r="M153" s="286"/>
      <c r="N153" s="286"/>
      <c r="O153" s="241"/>
      <c r="P153" s="241"/>
      <c r="Q153" s="241"/>
    </row>
    <row r="154" spans="1:17" ht="13.5" customHeight="1" x14ac:dyDescent="0.3">
      <c r="A154" s="287"/>
      <c r="B154" s="286"/>
      <c r="C154" s="286"/>
      <c r="D154" s="286"/>
      <c r="E154" s="286"/>
      <c r="F154" s="241"/>
      <c r="G154" s="241"/>
      <c r="H154" s="241"/>
      <c r="I154" s="287"/>
      <c r="J154" s="286"/>
      <c r="K154" s="286"/>
      <c r="L154" s="286"/>
      <c r="M154" s="286"/>
      <c r="N154" s="286"/>
      <c r="O154" s="241"/>
      <c r="P154" s="241"/>
      <c r="Q154" s="241"/>
    </row>
    <row r="155" spans="1:17" ht="13.5" customHeight="1" x14ac:dyDescent="0.3">
      <c r="A155" s="287"/>
      <c r="B155" s="286"/>
      <c r="C155" s="286"/>
      <c r="D155" s="286"/>
      <c r="E155" s="286"/>
      <c r="F155" s="241"/>
      <c r="G155" s="241"/>
      <c r="H155" s="241"/>
      <c r="I155" s="287"/>
      <c r="J155" s="286"/>
      <c r="K155" s="286"/>
      <c r="L155" s="286"/>
      <c r="M155" s="286"/>
      <c r="N155" s="286"/>
      <c r="O155" s="241"/>
      <c r="P155" s="241"/>
      <c r="Q155" s="241"/>
    </row>
    <row r="156" spans="1:17" ht="13.5" customHeight="1" x14ac:dyDescent="0.3">
      <c r="A156" s="287"/>
      <c r="B156" s="286"/>
      <c r="C156" s="286"/>
      <c r="D156" s="286"/>
      <c r="E156" s="286"/>
      <c r="F156" s="241"/>
      <c r="G156" s="241"/>
      <c r="H156" s="241"/>
      <c r="I156" s="287"/>
      <c r="J156" s="286"/>
      <c r="K156" s="286"/>
      <c r="L156" s="286"/>
      <c r="M156" s="286"/>
      <c r="N156" s="286"/>
      <c r="O156" s="241"/>
      <c r="P156" s="241"/>
      <c r="Q156" s="241"/>
    </row>
    <row r="157" spans="1:17" ht="13.5" customHeight="1" x14ac:dyDescent="0.3">
      <c r="A157" s="287"/>
      <c r="B157" s="286"/>
      <c r="C157" s="286"/>
      <c r="D157" s="286"/>
      <c r="E157" s="286"/>
      <c r="F157" s="241"/>
      <c r="G157" s="241"/>
      <c r="H157" s="241"/>
      <c r="I157" s="287"/>
      <c r="J157" s="286"/>
      <c r="K157" s="286"/>
      <c r="L157" s="286"/>
      <c r="M157" s="286"/>
      <c r="N157" s="286"/>
      <c r="O157" s="241"/>
      <c r="P157" s="241"/>
      <c r="Q157" s="241"/>
    </row>
    <row r="158" spans="1:17" ht="13.5" customHeight="1" x14ac:dyDescent="0.3">
      <c r="A158" s="287"/>
      <c r="B158" s="286"/>
      <c r="C158" s="286"/>
      <c r="D158" s="286"/>
      <c r="E158" s="286"/>
      <c r="F158" s="241"/>
      <c r="G158" s="241"/>
      <c r="H158" s="241"/>
      <c r="I158" s="287"/>
      <c r="J158" s="286"/>
      <c r="K158" s="286"/>
      <c r="L158" s="286"/>
      <c r="M158" s="286"/>
      <c r="N158" s="286"/>
      <c r="O158" s="241"/>
      <c r="P158" s="241"/>
      <c r="Q158" s="241"/>
    </row>
    <row r="159" spans="1:17" ht="13.5" customHeight="1" x14ac:dyDescent="0.3">
      <c r="A159" s="287"/>
      <c r="B159" s="286"/>
      <c r="C159" s="286"/>
      <c r="D159" s="286"/>
      <c r="E159" s="286"/>
      <c r="F159" s="241"/>
      <c r="G159" s="241"/>
      <c r="H159" s="241"/>
      <c r="I159" s="287"/>
      <c r="J159" s="286"/>
      <c r="K159" s="286"/>
      <c r="L159" s="286"/>
      <c r="M159" s="286"/>
      <c r="N159" s="286"/>
      <c r="O159" s="241"/>
      <c r="P159" s="241"/>
      <c r="Q159" s="241"/>
    </row>
    <row r="160" spans="1:17" ht="13.5" customHeight="1" x14ac:dyDescent="0.3">
      <c r="A160" s="287"/>
      <c r="B160" s="286"/>
      <c r="C160" s="286"/>
      <c r="D160" s="286"/>
      <c r="E160" s="286"/>
      <c r="F160" s="241"/>
      <c r="G160" s="241"/>
      <c r="H160" s="241"/>
      <c r="I160" s="287"/>
      <c r="J160" s="286"/>
      <c r="K160" s="286"/>
      <c r="L160" s="286"/>
      <c r="M160" s="286"/>
      <c r="N160" s="286"/>
      <c r="O160" s="241"/>
      <c r="P160" s="241"/>
      <c r="Q160" s="241"/>
    </row>
    <row r="161" spans="1:17" ht="13.5" customHeight="1" x14ac:dyDescent="0.3">
      <c r="A161" s="287"/>
      <c r="B161" s="286"/>
      <c r="C161" s="286"/>
      <c r="D161" s="286"/>
      <c r="E161" s="286"/>
      <c r="F161" s="241"/>
      <c r="G161" s="241"/>
      <c r="H161" s="241"/>
      <c r="I161" s="287"/>
      <c r="J161" s="286"/>
      <c r="K161" s="286"/>
      <c r="L161" s="286"/>
      <c r="M161" s="286"/>
      <c r="N161" s="286"/>
      <c r="O161" s="241"/>
      <c r="P161" s="241"/>
      <c r="Q161" s="241"/>
    </row>
    <row r="162" spans="1:17" ht="13.5" customHeight="1" x14ac:dyDescent="0.3">
      <c r="A162" s="287"/>
      <c r="B162" s="286"/>
      <c r="C162" s="286"/>
      <c r="D162" s="286"/>
      <c r="E162" s="286"/>
      <c r="F162" s="241"/>
      <c r="G162" s="241"/>
      <c r="H162" s="241"/>
      <c r="I162" s="287"/>
      <c r="J162" s="286"/>
      <c r="K162" s="286"/>
      <c r="L162" s="286"/>
      <c r="M162" s="286"/>
      <c r="N162" s="286"/>
      <c r="O162" s="241"/>
      <c r="P162" s="241"/>
      <c r="Q162" s="241"/>
    </row>
    <row r="163" spans="1:17" ht="13.5" customHeight="1" x14ac:dyDescent="0.3">
      <c r="A163" s="287"/>
      <c r="B163" s="286"/>
      <c r="C163" s="286"/>
      <c r="D163" s="286"/>
      <c r="E163" s="286"/>
      <c r="F163" s="241"/>
      <c r="G163" s="241"/>
      <c r="H163" s="241"/>
      <c r="I163" s="287"/>
      <c r="J163" s="286"/>
      <c r="K163" s="286"/>
      <c r="L163" s="286"/>
      <c r="M163" s="286"/>
      <c r="N163" s="286"/>
      <c r="O163" s="241"/>
      <c r="P163" s="241"/>
      <c r="Q163" s="241"/>
    </row>
    <row r="164" spans="1:17" ht="13.5" customHeight="1" x14ac:dyDescent="0.3">
      <c r="A164" s="287"/>
      <c r="B164" s="286"/>
      <c r="C164" s="286"/>
      <c r="D164" s="286"/>
      <c r="E164" s="286"/>
      <c r="F164" s="241"/>
      <c r="G164" s="241"/>
      <c r="H164" s="241"/>
      <c r="I164" s="287"/>
      <c r="J164" s="286"/>
      <c r="K164" s="286"/>
      <c r="L164" s="286"/>
      <c r="M164" s="286"/>
      <c r="N164" s="286"/>
      <c r="O164" s="241"/>
      <c r="P164" s="241"/>
      <c r="Q164" s="241"/>
    </row>
    <row r="165" spans="1:17" ht="13.5" customHeight="1" x14ac:dyDescent="0.3">
      <c r="A165" s="287"/>
      <c r="B165" s="286"/>
      <c r="C165" s="286"/>
      <c r="D165" s="286"/>
      <c r="E165" s="286"/>
      <c r="F165" s="241"/>
      <c r="G165" s="241"/>
      <c r="H165" s="241"/>
      <c r="I165" s="287"/>
      <c r="J165" s="286"/>
      <c r="K165" s="286"/>
      <c r="L165" s="286"/>
      <c r="M165" s="286"/>
      <c r="N165" s="286"/>
      <c r="O165" s="241"/>
      <c r="P165" s="241"/>
      <c r="Q165" s="241"/>
    </row>
    <row r="166" spans="1:17" ht="13.5" customHeight="1" x14ac:dyDescent="0.3">
      <c r="A166" s="287"/>
      <c r="B166" s="286"/>
      <c r="C166" s="286"/>
      <c r="D166" s="286"/>
      <c r="E166" s="286"/>
      <c r="F166" s="241"/>
      <c r="G166" s="241"/>
      <c r="H166" s="241"/>
      <c r="I166" s="287"/>
      <c r="J166" s="286"/>
      <c r="K166" s="286"/>
      <c r="L166" s="286"/>
      <c r="M166" s="286"/>
      <c r="N166" s="286"/>
      <c r="O166" s="241"/>
      <c r="P166" s="241"/>
      <c r="Q166" s="241"/>
    </row>
    <row r="167" spans="1:17" ht="13.5" customHeight="1" x14ac:dyDescent="0.3">
      <c r="A167" s="287"/>
      <c r="B167" s="286"/>
      <c r="C167" s="286"/>
      <c r="D167" s="286"/>
      <c r="E167" s="286"/>
      <c r="F167" s="241"/>
      <c r="G167" s="241"/>
      <c r="H167" s="241"/>
      <c r="I167" s="287"/>
      <c r="J167" s="286"/>
      <c r="K167" s="286"/>
      <c r="L167" s="286"/>
      <c r="M167" s="286"/>
      <c r="N167" s="286"/>
      <c r="O167" s="241"/>
      <c r="P167" s="241"/>
      <c r="Q167" s="241"/>
    </row>
    <row r="168" spans="1:17" ht="13.5" customHeight="1" x14ac:dyDescent="0.3">
      <c r="A168" s="287"/>
      <c r="B168" s="286"/>
      <c r="C168" s="286"/>
      <c r="D168" s="286"/>
      <c r="E168" s="286"/>
      <c r="F168" s="241"/>
      <c r="G168" s="241"/>
      <c r="H168" s="241"/>
      <c r="I168" s="287"/>
      <c r="J168" s="286"/>
      <c r="K168" s="286"/>
      <c r="L168" s="286"/>
      <c r="M168" s="286"/>
      <c r="N168" s="286"/>
      <c r="O168" s="241"/>
      <c r="P168" s="241"/>
      <c r="Q168" s="241"/>
    </row>
    <row r="169" spans="1:17" ht="13.5" customHeight="1" x14ac:dyDescent="0.3">
      <c r="A169" s="287"/>
      <c r="B169" s="286"/>
      <c r="C169" s="286"/>
      <c r="D169" s="286"/>
      <c r="E169" s="286"/>
      <c r="F169" s="241"/>
      <c r="G169" s="241"/>
      <c r="H169" s="241"/>
      <c r="I169" s="287"/>
      <c r="J169" s="286"/>
      <c r="K169" s="286"/>
      <c r="L169" s="286"/>
      <c r="M169" s="286"/>
      <c r="N169" s="286"/>
      <c r="O169" s="241"/>
      <c r="P169" s="241"/>
      <c r="Q169" s="241"/>
    </row>
    <row r="170" spans="1:17" ht="13.5" customHeight="1" x14ac:dyDescent="0.3">
      <c r="A170" s="287"/>
      <c r="B170" s="286"/>
      <c r="C170" s="286"/>
      <c r="D170" s="286"/>
      <c r="E170" s="286"/>
      <c r="F170" s="241"/>
      <c r="G170" s="241"/>
      <c r="H170" s="241"/>
      <c r="I170" s="287"/>
      <c r="J170" s="286"/>
      <c r="K170" s="286"/>
      <c r="L170" s="286"/>
      <c r="M170" s="286"/>
      <c r="N170" s="286"/>
      <c r="O170" s="241"/>
      <c r="P170" s="241"/>
      <c r="Q170" s="241"/>
    </row>
    <row r="171" spans="1:17" ht="13.5" customHeight="1" x14ac:dyDescent="0.3">
      <c r="A171" s="287"/>
      <c r="B171" s="286"/>
      <c r="C171" s="286"/>
      <c r="D171" s="286"/>
      <c r="E171" s="286"/>
      <c r="F171" s="241"/>
      <c r="G171" s="241"/>
      <c r="H171" s="241"/>
      <c r="I171" s="287"/>
      <c r="J171" s="286"/>
      <c r="K171" s="286"/>
      <c r="L171" s="286"/>
      <c r="M171" s="286"/>
      <c r="N171" s="286"/>
      <c r="O171" s="241"/>
      <c r="P171" s="241"/>
      <c r="Q171" s="241"/>
    </row>
    <row r="172" spans="1:17" ht="13.5" customHeight="1" x14ac:dyDescent="0.3">
      <c r="A172" s="287"/>
      <c r="B172" s="286"/>
      <c r="C172" s="286"/>
      <c r="D172" s="286"/>
      <c r="E172" s="286"/>
      <c r="F172" s="241"/>
      <c r="G172" s="241"/>
      <c r="H172" s="241"/>
      <c r="I172" s="287"/>
      <c r="J172" s="286"/>
      <c r="K172" s="286"/>
      <c r="L172" s="286"/>
      <c r="M172" s="286"/>
      <c r="N172" s="286"/>
      <c r="O172" s="241"/>
      <c r="P172" s="241"/>
      <c r="Q172" s="241"/>
    </row>
    <row r="173" spans="1:17" ht="13.5" customHeight="1" x14ac:dyDescent="0.3">
      <c r="A173" s="287"/>
      <c r="B173" s="286"/>
      <c r="C173" s="286"/>
      <c r="D173" s="286"/>
      <c r="E173" s="286"/>
      <c r="F173" s="241"/>
      <c r="G173" s="241"/>
      <c r="H173" s="241"/>
      <c r="I173" s="287"/>
      <c r="J173" s="286"/>
      <c r="K173" s="286"/>
      <c r="L173" s="286"/>
      <c r="M173" s="286"/>
      <c r="N173" s="286"/>
      <c r="O173" s="241"/>
      <c r="P173" s="241"/>
      <c r="Q173" s="241"/>
    </row>
    <row r="174" spans="1:17" ht="13.5" customHeight="1" x14ac:dyDescent="0.3">
      <c r="A174" s="287"/>
      <c r="B174" s="286"/>
      <c r="C174" s="286"/>
      <c r="D174" s="286"/>
      <c r="E174" s="286"/>
      <c r="F174" s="241"/>
      <c r="G174" s="241"/>
      <c r="H174" s="241"/>
      <c r="I174" s="287"/>
      <c r="J174" s="286"/>
      <c r="K174" s="286"/>
      <c r="L174" s="286"/>
      <c r="M174" s="286"/>
      <c r="N174" s="286"/>
      <c r="O174" s="241"/>
      <c r="P174" s="241"/>
      <c r="Q174" s="241"/>
    </row>
    <row r="175" spans="1:17" ht="13.5" customHeight="1" x14ac:dyDescent="0.3">
      <c r="A175" s="287"/>
      <c r="B175" s="286"/>
      <c r="C175" s="286"/>
      <c r="D175" s="286"/>
      <c r="E175" s="286"/>
      <c r="F175" s="241"/>
      <c r="G175" s="241"/>
      <c r="H175" s="241"/>
      <c r="I175" s="287"/>
      <c r="J175" s="286"/>
      <c r="K175" s="286"/>
      <c r="L175" s="286"/>
      <c r="M175" s="286"/>
      <c r="N175" s="286"/>
      <c r="O175" s="241"/>
      <c r="P175" s="241"/>
      <c r="Q175" s="241"/>
    </row>
    <row r="176" spans="1:17" ht="13.5" customHeight="1" x14ac:dyDescent="0.3">
      <c r="A176" s="287"/>
      <c r="B176" s="286"/>
      <c r="C176" s="286"/>
      <c r="D176" s="286"/>
      <c r="E176" s="286"/>
      <c r="F176" s="241"/>
      <c r="G176" s="241"/>
      <c r="H176" s="241"/>
      <c r="I176" s="287"/>
      <c r="J176" s="286"/>
      <c r="K176" s="286"/>
      <c r="L176" s="286"/>
      <c r="M176" s="286"/>
      <c r="N176" s="286"/>
      <c r="O176" s="241"/>
      <c r="P176" s="241"/>
      <c r="Q176" s="241"/>
    </row>
    <row r="177" spans="1:17" ht="13.5" customHeight="1" x14ac:dyDescent="0.3">
      <c r="A177" s="287"/>
      <c r="B177" s="286"/>
      <c r="C177" s="286"/>
      <c r="D177" s="286"/>
      <c r="E177" s="286"/>
      <c r="F177" s="241"/>
      <c r="G177" s="241"/>
      <c r="H177" s="241"/>
      <c r="I177" s="287"/>
      <c r="J177" s="286"/>
      <c r="K177" s="286"/>
      <c r="L177" s="286"/>
      <c r="M177" s="286"/>
      <c r="N177" s="286"/>
      <c r="O177" s="241"/>
      <c r="P177" s="241"/>
      <c r="Q177" s="241"/>
    </row>
    <row r="178" spans="1:17" ht="13.5" customHeight="1" x14ac:dyDescent="0.3">
      <c r="A178" s="287"/>
      <c r="B178" s="286"/>
      <c r="C178" s="286"/>
      <c r="D178" s="286"/>
      <c r="E178" s="286"/>
      <c r="F178" s="241"/>
      <c r="G178" s="241"/>
      <c r="H178" s="241"/>
      <c r="I178" s="287"/>
      <c r="J178" s="286"/>
      <c r="K178" s="286"/>
      <c r="L178" s="286"/>
      <c r="M178" s="286"/>
      <c r="N178" s="286"/>
      <c r="O178" s="241"/>
      <c r="P178" s="241"/>
      <c r="Q178" s="241"/>
    </row>
    <row r="179" spans="1:17" ht="13.5" customHeight="1" x14ac:dyDescent="0.3">
      <c r="A179" s="287"/>
      <c r="B179" s="286"/>
      <c r="C179" s="286"/>
      <c r="D179" s="286"/>
      <c r="E179" s="286"/>
      <c r="F179" s="241"/>
      <c r="G179" s="241"/>
      <c r="H179" s="241"/>
      <c r="I179" s="287"/>
      <c r="J179" s="286"/>
      <c r="K179" s="286"/>
      <c r="L179" s="286"/>
      <c r="M179" s="286"/>
      <c r="N179" s="286"/>
      <c r="O179" s="241"/>
      <c r="P179" s="241"/>
      <c r="Q179" s="241"/>
    </row>
    <row r="180" spans="1:17" ht="13.5" customHeight="1" x14ac:dyDescent="0.3">
      <c r="A180" s="287"/>
      <c r="B180" s="286"/>
      <c r="C180" s="286"/>
      <c r="D180" s="286"/>
      <c r="E180" s="286"/>
      <c r="F180" s="241"/>
      <c r="G180" s="241"/>
      <c r="H180" s="241"/>
      <c r="I180" s="287"/>
      <c r="J180" s="286"/>
      <c r="K180" s="286"/>
      <c r="L180" s="286"/>
      <c r="M180" s="286"/>
      <c r="N180" s="286"/>
      <c r="O180" s="241"/>
      <c r="P180" s="241"/>
      <c r="Q180" s="241"/>
    </row>
    <row r="181" spans="1:17" ht="13.5" customHeight="1" x14ac:dyDescent="0.3">
      <c r="A181" s="287"/>
      <c r="B181" s="286"/>
      <c r="C181" s="286"/>
      <c r="D181" s="286"/>
      <c r="E181" s="286"/>
      <c r="F181" s="241"/>
      <c r="G181" s="241"/>
      <c r="H181" s="241"/>
      <c r="I181" s="287"/>
      <c r="J181" s="286"/>
      <c r="K181" s="286"/>
      <c r="L181" s="286"/>
      <c r="M181" s="286"/>
      <c r="N181" s="286"/>
      <c r="O181" s="241"/>
      <c r="P181" s="241"/>
      <c r="Q181" s="241"/>
    </row>
    <row r="182" spans="1:17" ht="13.5" customHeight="1" x14ac:dyDescent="0.3">
      <c r="A182" s="287"/>
      <c r="B182" s="286"/>
      <c r="C182" s="286"/>
      <c r="D182" s="286"/>
      <c r="E182" s="286"/>
      <c r="F182" s="241"/>
      <c r="G182" s="241"/>
      <c r="H182" s="241"/>
      <c r="I182" s="287"/>
      <c r="J182" s="286"/>
      <c r="K182" s="286"/>
      <c r="L182" s="286"/>
      <c r="M182" s="286"/>
      <c r="N182" s="286"/>
      <c r="O182" s="241"/>
      <c r="P182" s="241"/>
      <c r="Q182" s="241"/>
    </row>
    <row r="183" spans="1:17" ht="13.5" customHeight="1" x14ac:dyDescent="0.3">
      <c r="A183" s="287"/>
      <c r="B183" s="286"/>
      <c r="C183" s="286"/>
      <c r="D183" s="286"/>
      <c r="E183" s="286"/>
      <c r="F183" s="241"/>
      <c r="G183" s="241"/>
      <c r="H183" s="241"/>
      <c r="I183" s="287"/>
      <c r="J183" s="286"/>
      <c r="K183" s="286"/>
      <c r="L183" s="286"/>
      <c r="M183" s="286"/>
      <c r="N183" s="286"/>
      <c r="O183" s="241"/>
      <c r="P183" s="241"/>
      <c r="Q183" s="241"/>
    </row>
    <row r="184" spans="1:17" ht="13.5" customHeight="1" x14ac:dyDescent="0.3">
      <c r="A184" s="287"/>
      <c r="B184" s="286"/>
      <c r="C184" s="286"/>
      <c r="D184" s="286"/>
      <c r="E184" s="286"/>
      <c r="F184" s="241"/>
      <c r="G184" s="241"/>
      <c r="H184" s="241"/>
      <c r="I184" s="287"/>
      <c r="J184" s="286"/>
      <c r="K184" s="286"/>
      <c r="L184" s="286"/>
      <c r="M184" s="286"/>
      <c r="N184" s="286"/>
      <c r="O184" s="241"/>
      <c r="P184" s="241"/>
      <c r="Q184" s="241"/>
    </row>
    <row r="185" spans="1:17" ht="13.5" customHeight="1" x14ac:dyDescent="0.3">
      <c r="A185" s="287"/>
      <c r="B185" s="286"/>
      <c r="C185" s="286"/>
      <c r="D185" s="286"/>
      <c r="E185" s="286"/>
      <c r="F185" s="241"/>
      <c r="G185" s="241"/>
      <c r="H185" s="241"/>
      <c r="I185" s="287"/>
      <c r="J185" s="286"/>
      <c r="K185" s="286"/>
      <c r="L185" s="286"/>
      <c r="M185" s="286"/>
      <c r="N185" s="286"/>
      <c r="O185" s="241"/>
      <c r="P185" s="241"/>
      <c r="Q185" s="241"/>
    </row>
    <row r="186" spans="1:17" ht="13.5" customHeight="1" x14ac:dyDescent="0.3">
      <c r="A186" s="287"/>
      <c r="B186" s="286"/>
      <c r="C186" s="286"/>
      <c r="D186" s="286"/>
      <c r="E186" s="286"/>
      <c r="F186" s="241"/>
      <c r="G186" s="241"/>
      <c r="H186" s="241"/>
      <c r="I186" s="287"/>
      <c r="J186" s="286"/>
      <c r="K186" s="286"/>
      <c r="L186" s="286"/>
      <c r="M186" s="286"/>
      <c r="N186" s="286"/>
      <c r="O186" s="241"/>
      <c r="P186" s="241"/>
      <c r="Q186" s="241"/>
    </row>
    <row r="187" spans="1:17" ht="13.5" customHeight="1" x14ac:dyDescent="0.3">
      <c r="A187" s="287"/>
      <c r="B187" s="286"/>
      <c r="C187" s="286"/>
      <c r="D187" s="286"/>
      <c r="E187" s="286"/>
      <c r="F187" s="241"/>
      <c r="G187" s="241"/>
      <c r="H187" s="241"/>
      <c r="I187" s="287"/>
      <c r="J187" s="286"/>
      <c r="K187" s="286"/>
      <c r="L187" s="286"/>
      <c r="M187" s="286"/>
      <c r="N187" s="286"/>
      <c r="O187" s="241"/>
      <c r="P187" s="241"/>
      <c r="Q187" s="241"/>
    </row>
    <row r="188" spans="1:17" ht="13.5" customHeight="1" x14ac:dyDescent="0.3">
      <c r="A188" s="287"/>
      <c r="B188" s="286"/>
      <c r="C188" s="286"/>
      <c r="D188" s="286"/>
      <c r="E188" s="286"/>
      <c r="F188" s="241"/>
      <c r="G188" s="241"/>
      <c r="H188" s="241"/>
      <c r="I188" s="287"/>
      <c r="J188" s="286"/>
      <c r="K188" s="286"/>
      <c r="L188" s="286"/>
      <c r="M188" s="286"/>
      <c r="N188" s="286"/>
      <c r="O188" s="241"/>
      <c r="P188" s="241"/>
      <c r="Q188" s="241"/>
    </row>
    <row r="189" spans="1:17" ht="13.5" customHeight="1" x14ac:dyDescent="0.3">
      <c r="A189" s="287"/>
      <c r="B189" s="286"/>
      <c r="C189" s="286"/>
      <c r="D189" s="286"/>
      <c r="E189" s="286"/>
      <c r="F189" s="241"/>
      <c r="G189" s="241"/>
      <c r="H189" s="241"/>
      <c r="I189" s="287"/>
      <c r="J189" s="286"/>
      <c r="K189" s="286"/>
      <c r="L189" s="286"/>
      <c r="M189" s="286"/>
      <c r="N189" s="286"/>
      <c r="O189" s="241"/>
      <c r="P189" s="241"/>
      <c r="Q189" s="241"/>
    </row>
    <row r="190" spans="1:17" ht="13.5" customHeight="1" x14ac:dyDescent="0.3">
      <c r="A190" s="287"/>
      <c r="B190" s="286"/>
      <c r="C190" s="286"/>
      <c r="D190" s="286"/>
      <c r="E190" s="286"/>
      <c r="F190" s="241"/>
      <c r="G190" s="241"/>
      <c r="H190" s="241"/>
      <c r="I190" s="287"/>
      <c r="J190" s="286"/>
      <c r="K190" s="286"/>
      <c r="L190" s="286"/>
      <c r="M190" s="286"/>
      <c r="N190" s="286"/>
      <c r="O190" s="241"/>
      <c r="P190" s="241"/>
      <c r="Q190" s="241"/>
    </row>
    <row r="191" spans="1:17" ht="13.5" customHeight="1" x14ac:dyDescent="0.3">
      <c r="A191" s="287"/>
      <c r="B191" s="286"/>
      <c r="C191" s="286"/>
      <c r="D191" s="286"/>
      <c r="E191" s="286"/>
      <c r="F191" s="241"/>
      <c r="G191" s="241"/>
      <c r="H191" s="241"/>
      <c r="I191" s="287"/>
      <c r="J191" s="286"/>
      <c r="K191" s="286"/>
      <c r="L191" s="286"/>
      <c r="M191" s="286"/>
      <c r="N191" s="286"/>
      <c r="O191" s="241"/>
      <c r="P191" s="241"/>
      <c r="Q191" s="241"/>
    </row>
    <row r="192" spans="1:17" ht="13.5" customHeight="1" x14ac:dyDescent="0.3">
      <c r="A192" s="287"/>
      <c r="B192" s="286"/>
      <c r="C192" s="286"/>
      <c r="D192" s="286"/>
      <c r="E192" s="286"/>
      <c r="F192" s="241"/>
      <c r="G192" s="241"/>
      <c r="H192" s="241"/>
      <c r="I192" s="287"/>
      <c r="J192" s="286"/>
      <c r="K192" s="286"/>
      <c r="L192" s="286"/>
      <c r="M192" s="286"/>
      <c r="N192" s="286"/>
      <c r="O192" s="241"/>
      <c r="P192" s="241"/>
      <c r="Q192" s="241"/>
    </row>
    <row r="193" spans="1:17" ht="13.5" customHeight="1" x14ac:dyDescent="0.3">
      <c r="A193" s="287"/>
      <c r="B193" s="286"/>
      <c r="C193" s="286"/>
      <c r="D193" s="286"/>
      <c r="E193" s="286"/>
      <c r="F193" s="241"/>
      <c r="G193" s="241"/>
      <c r="H193" s="241"/>
      <c r="J193" s="286"/>
      <c r="K193" s="286"/>
      <c r="L193" s="286"/>
      <c r="M193" s="286"/>
      <c r="N193" s="286"/>
      <c r="O193" s="241"/>
      <c r="P193" s="241"/>
      <c r="Q193" s="241"/>
    </row>
    <row r="194" spans="1:17" ht="13.5" customHeight="1" x14ac:dyDescent="0.3">
      <c r="A194" s="287"/>
      <c r="B194" s="286"/>
      <c r="C194" s="286"/>
      <c r="D194" s="286"/>
      <c r="E194" s="286"/>
      <c r="F194" s="241"/>
      <c r="G194" s="241"/>
      <c r="H194" s="241"/>
      <c r="J194" s="286"/>
      <c r="K194" s="286"/>
      <c r="L194" s="286"/>
      <c r="M194" s="286"/>
      <c r="N194" s="286"/>
      <c r="O194" s="241"/>
      <c r="P194" s="241"/>
      <c r="Q194" s="241"/>
    </row>
    <row r="195" spans="1:17" ht="13.5" customHeight="1" x14ac:dyDescent="0.3">
      <c r="A195" s="287"/>
      <c r="B195" s="286"/>
      <c r="C195" s="286"/>
      <c r="D195" s="286"/>
      <c r="E195" s="286"/>
      <c r="F195" s="241"/>
      <c r="G195" s="241"/>
      <c r="H195" s="241"/>
      <c r="J195" s="286"/>
      <c r="K195" s="286"/>
      <c r="L195" s="286"/>
      <c r="M195" s="286"/>
      <c r="N195" s="286"/>
      <c r="O195" s="241"/>
      <c r="P195" s="241"/>
      <c r="Q195" s="241"/>
    </row>
    <row r="196" spans="1:17" ht="13.5" customHeight="1" x14ac:dyDescent="0.3">
      <c r="A196" s="287"/>
      <c r="B196" s="286"/>
      <c r="C196" s="286"/>
      <c r="D196" s="286"/>
      <c r="E196" s="286"/>
      <c r="F196" s="241"/>
      <c r="G196" s="241"/>
      <c r="H196" s="241"/>
      <c r="J196" s="286"/>
      <c r="K196" s="286"/>
      <c r="L196" s="286"/>
      <c r="M196" s="286"/>
      <c r="N196" s="286"/>
      <c r="O196" s="241"/>
      <c r="P196" s="241"/>
      <c r="Q196" s="241"/>
    </row>
    <row r="197" spans="1:17" ht="13.5" customHeight="1" x14ac:dyDescent="0.3">
      <c r="A197" s="287"/>
      <c r="B197" s="286"/>
      <c r="C197" s="286"/>
      <c r="D197" s="286"/>
      <c r="E197" s="286"/>
      <c r="F197" s="241"/>
      <c r="G197" s="241"/>
      <c r="H197" s="241"/>
      <c r="J197" s="286"/>
      <c r="K197" s="286"/>
      <c r="L197" s="286"/>
      <c r="M197" s="286"/>
      <c r="N197" s="286"/>
      <c r="O197" s="241"/>
      <c r="P197" s="241"/>
      <c r="Q197" s="241"/>
    </row>
    <row r="198" spans="1:17" ht="13.5" customHeight="1" x14ac:dyDescent="0.3">
      <c r="A198" s="287"/>
      <c r="B198" s="286"/>
      <c r="C198" s="286"/>
      <c r="D198" s="286"/>
      <c r="E198" s="286"/>
      <c r="F198" s="241"/>
      <c r="G198" s="241"/>
      <c r="H198" s="241"/>
      <c r="J198" s="286"/>
      <c r="K198" s="286"/>
      <c r="L198" s="286"/>
      <c r="M198" s="286"/>
      <c r="N198" s="286"/>
      <c r="O198" s="241"/>
      <c r="P198" s="241"/>
      <c r="Q198" s="241"/>
    </row>
    <row r="199" spans="1:17" ht="13.5" customHeight="1" x14ac:dyDescent="0.3">
      <c r="A199" s="287"/>
      <c r="B199" s="286"/>
      <c r="C199" s="286"/>
      <c r="D199" s="286"/>
      <c r="E199" s="286"/>
      <c r="F199" s="241"/>
      <c r="G199" s="241"/>
      <c r="H199" s="241"/>
      <c r="J199" s="286"/>
      <c r="K199" s="286"/>
      <c r="L199" s="286"/>
      <c r="M199" s="286"/>
      <c r="N199" s="286"/>
      <c r="O199" s="241"/>
      <c r="P199" s="241"/>
      <c r="Q199" s="241"/>
    </row>
    <row r="200" spans="1:17" ht="13.5" customHeight="1" x14ac:dyDescent="0.3">
      <c r="A200" s="287"/>
      <c r="B200" s="286"/>
      <c r="C200" s="286"/>
      <c r="D200" s="286"/>
      <c r="E200" s="286"/>
      <c r="F200" s="241"/>
      <c r="G200" s="241"/>
      <c r="H200" s="241"/>
      <c r="J200" s="286"/>
      <c r="K200" s="286"/>
      <c r="L200" s="286"/>
      <c r="M200" s="286"/>
      <c r="N200" s="286"/>
      <c r="O200" s="241"/>
      <c r="P200" s="241"/>
      <c r="Q200" s="241"/>
    </row>
    <row r="201" spans="1:17" ht="13.5" customHeight="1" x14ac:dyDescent="0.3">
      <c r="A201" s="287"/>
      <c r="B201" s="286"/>
      <c r="C201" s="286"/>
      <c r="D201" s="286"/>
      <c r="E201" s="286"/>
      <c r="F201" s="241"/>
      <c r="G201" s="241"/>
      <c r="H201" s="241"/>
      <c r="J201" s="286"/>
      <c r="K201" s="286"/>
      <c r="L201" s="286"/>
      <c r="M201" s="286"/>
      <c r="N201" s="286"/>
      <c r="O201" s="241"/>
      <c r="P201" s="241"/>
      <c r="Q201" s="241"/>
    </row>
    <row r="202" spans="1:17" ht="13.5" customHeight="1" x14ac:dyDescent="0.3">
      <c r="A202" s="287"/>
      <c r="B202" s="286"/>
      <c r="C202" s="286"/>
      <c r="D202" s="286"/>
      <c r="E202" s="286"/>
      <c r="F202" s="241"/>
      <c r="G202" s="241"/>
      <c r="H202" s="241"/>
      <c r="J202" s="286"/>
      <c r="K202" s="286"/>
      <c r="L202" s="286"/>
      <c r="M202" s="286"/>
      <c r="N202" s="286"/>
      <c r="O202" s="241"/>
      <c r="P202" s="241"/>
      <c r="Q202" s="241"/>
    </row>
    <row r="203" spans="1:17" ht="13.5" customHeight="1" x14ac:dyDescent="0.3">
      <c r="A203" s="287"/>
      <c r="B203" s="286"/>
      <c r="C203" s="286"/>
      <c r="D203" s="286"/>
      <c r="E203" s="286"/>
      <c r="F203" s="241"/>
      <c r="G203" s="241"/>
      <c r="H203" s="241"/>
      <c r="J203" s="286"/>
      <c r="K203" s="286"/>
      <c r="L203" s="286"/>
      <c r="M203" s="286"/>
      <c r="N203" s="286"/>
      <c r="O203" s="241"/>
      <c r="P203" s="241"/>
      <c r="Q203" s="241"/>
    </row>
    <row r="204" spans="1:17" ht="13.5" customHeight="1" x14ac:dyDescent="0.3">
      <c r="A204" s="287"/>
      <c r="B204" s="286"/>
      <c r="C204" s="286"/>
      <c r="D204" s="286"/>
      <c r="E204" s="286"/>
      <c r="F204" s="241"/>
      <c r="G204" s="241"/>
      <c r="H204" s="241"/>
      <c r="J204" s="286"/>
      <c r="K204" s="286"/>
      <c r="L204" s="286"/>
      <c r="M204" s="286"/>
      <c r="N204" s="286"/>
      <c r="O204" s="241"/>
      <c r="P204" s="241"/>
      <c r="Q204" s="241"/>
    </row>
    <row r="205" spans="1:17" ht="13.5" customHeight="1" x14ac:dyDescent="0.3">
      <c r="A205" s="287"/>
      <c r="B205" s="286"/>
      <c r="C205" s="286"/>
      <c r="D205" s="286"/>
      <c r="E205" s="286"/>
      <c r="F205" s="241"/>
      <c r="G205" s="241"/>
      <c r="H205" s="241"/>
      <c r="J205" s="286"/>
      <c r="K205" s="286"/>
      <c r="L205" s="286"/>
      <c r="M205" s="286"/>
      <c r="N205" s="286"/>
      <c r="O205" s="241"/>
      <c r="P205" s="241"/>
      <c r="Q205" s="241"/>
    </row>
    <row r="206" spans="1:17" ht="13.5" customHeight="1" x14ac:dyDescent="0.3">
      <c r="A206" s="287"/>
      <c r="B206" s="286"/>
      <c r="C206" s="286"/>
      <c r="D206" s="286"/>
      <c r="E206" s="286"/>
      <c r="F206" s="241"/>
      <c r="G206" s="241"/>
      <c r="H206" s="241"/>
      <c r="J206" s="286"/>
      <c r="K206" s="286"/>
      <c r="L206" s="286"/>
      <c r="M206" s="286"/>
      <c r="N206" s="286"/>
      <c r="O206" s="241"/>
      <c r="P206" s="241"/>
      <c r="Q206" s="241"/>
    </row>
    <row r="207" spans="1:17" ht="13.5" customHeight="1" x14ac:dyDescent="0.3">
      <c r="A207" s="287"/>
      <c r="B207" s="286"/>
      <c r="C207" s="286"/>
      <c r="D207" s="286"/>
      <c r="E207" s="286"/>
      <c r="F207" s="241"/>
      <c r="G207" s="241"/>
      <c r="H207" s="241"/>
      <c r="J207" s="286"/>
      <c r="K207" s="286"/>
      <c r="L207" s="286"/>
      <c r="M207" s="286"/>
      <c r="N207" s="286"/>
      <c r="O207" s="241"/>
      <c r="P207" s="241"/>
      <c r="Q207" s="241"/>
    </row>
    <row r="208" spans="1:17" ht="13.5" customHeight="1" x14ac:dyDescent="0.3">
      <c r="A208" s="287"/>
      <c r="B208" s="286"/>
      <c r="C208" s="286"/>
      <c r="D208" s="286"/>
      <c r="E208" s="286"/>
      <c r="F208" s="241"/>
      <c r="G208" s="241"/>
      <c r="H208" s="241"/>
      <c r="J208" s="286"/>
      <c r="K208" s="286"/>
      <c r="L208" s="286"/>
      <c r="M208" s="286"/>
      <c r="N208" s="286"/>
      <c r="O208" s="241"/>
      <c r="P208" s="241"/>
      <c r="Q208" s="241"/>
    </row>
    <row r="209" spans="1:17" ht="13.5" customHeight="1" x14ac:dyDescent="0.3">
      <c r="A209" s="287"/>
      <c r="B209" s="286"/>
      <c r="C209" s="286"/>
      <c r="D209" s="286"/>
      <c r="E209" s="286"/>
      <c r="F209" s="241"/>
      <c r="G209" s="241"/>
      <c r="H209" s="241"/>
      <c r="J209" s="286"/>
      <c r="K209" s="286"/>
      <c r="L209" s="286"/>
      <c r="M209" s="286"/>
      <c r="N209" s="286"/>
      <c r="O209" s="241"/>
      <c r="P209" s="241"/>
      <c r="Q209" s="241"/>
    </row>
    <row r="210" spans="1:17" ht="13.5" customHeight="1" x14ac:dyDescent="0.3">
      <c r="A210" s="287"/>
      <c r="B210" s="286"/>
      <c r="C210" s="286"/>
      <c r="D210" s="286"/>
      <c r="E210" s="286"/>
      <c r="F210" s="241"/>
      <c r="G210" s="241"/>
      <c r="H210" s="241"/>
      <c r="J210" s="286"/>
      <c r="K210" s="286"/>
      <c r="L210" s="286"/>
      <c r="M210" s="286"/>
      <c r="N210" s="286"/>
      <c r="O210" s="241"/>
      <c r="P210" s="241"/>
      <c r="Q210" s="241"/>
    </row>
    <row r="211" spans="1:17" ht="13.5" customHeight="1" x14ac:dyDescent="0.3">
      <c r="A211" s="287"/>
      <c r="B211" s="286"/>
      <c r="C211" s="286"/>
      <c r="D211" s="286"/>
      <c r="E211" s="286"/>
      <c r="F211" s="241"/>
      <c r="G211" s="241"/>
      <c r="H211" s="241"/>
      <c r="J211" s="286"/>
      <c r="K211" s="286"/>
      <c r="L211" s="286"/>
      <c r="M211" s="286"/>
      <c r="N211" s="286"/>
      <c r="O211" s="241"/>
      <c r="P211" s="241"/>
      <c r="Q211" s="241"/>
    </row>
    <row r="212" spans="1:17" ht="13.5" customHeight="1" x14ac:dyDescent="0.3">
      <c r="A212" s="287"/>
      <c r="B212" s="286"/>
      <c r="C212" s="286"/>
      <c r="D212" s="286"/>
      <c r="E212" s="286"/>
      <c r="F212" s="241"/>
      <c r="G212" s="241"/>
      <c r="H212" s="241"/>
      <c r="J212" s="286"/>
      <c r="K212" s="286"/>
      <c r="L212" s="286"/>
      <c r="M212" s="286"/>
      <c r="N212" s="286"/>
      <c r="O212" s="241"/>
      <c r="P212" s="241"/>
      <c r="Q212" s="241"/>
    </row>
    <row r="213" spans="1:17" ht="13.5" customHeight="1" x14ac:dyDescent="0.3">
      <c r="A213" s="287"/>
      <c r="B213" s="286"/>
      <c r="C213" s="286"/>
      <c r="D213" s="286"/>
      <c r="E213" s="286"/>
      <c r="F213" s="241"/>
      <c r="G213" s="241"/>
      <c r="H213" s="241"/>
      <c r="J213" s="286"/>
      <c r="K213" s="286"/>
      <c r="L213" s="286"/>
      <c r="M213" s="286"/>
      <c r="N213" s="286"/>
      <c r="O213" s="241"/>
      <c r="P213" s="241"/>
      <c r="Q213" s="241"/>
    </row>
    <row r="214" spans="1:17" ht="13.5" customHeight="1" x14ac:dyDescent="0.3">
      <c r="A214" s="287"/>
      <c r="B214" s="286"/>
      <c r="C214" s="286"/>
      <c r="D214" s="286"/>
      <c r="E214" s="286"/>
      <c r="F214" s="241"/>
      <c r="G214" s="241"/>
      <c r="H214" s="241"/>
      <c r="J214" s="286"/>
      <c r="K214" s="286"/>
      <c r="L214" s="286"/>
      <c r="M214" s="286"/>
      <c r="N214" s="286"/>
      <c r="O214" s="241"/>
      <c r="P214" s="241"/>
      <c r="Q214" s="241"/>
    </row>
    <row r="215" spans="1:17" ht="13.5" customHeight="1" x14ac:dyDescent="0.3">
      <c r="A215" s="287"/>
      <c r="B215" s="286"/>
      <c r="C215" s="286"/>
      <c r="D215" s="286"/>
      <c r="E215" s="286"/>
      <c r="F215" s="241"/>
      <c r="G215" s="241"/>
      <c r="H215" s="241"/>
      <c r="J215" s="286"/>
      <c r="K215" s="286"/>
      <c r="L215" s="286"/>
      <c r="M215" s="286"/>
      <c r="N215" s="286"/>
      <c r="O215" s="241"/>
      <c r="P215" s="241"/>
      <c r="Q215" s="241"/>
    </row>
    <row r="216" spans="1:17" ht="13.5" customHeight="1" x14ac:dyDescent="0.3">
      <c r="A216" s="287"/>
      <c r="B216" s="286"/>
      <c r="C216" s="286"/>
      <c r="D216" s="286"/>
      <c r="E216" s="286"/>
      <c r="F216" s="241"/>
      <c r="G216" s="241"/>
      <c r="H216" s="241"/>
      <c r="J216" s="286"/>
      <c r="K216" s="286"/>
      <c r="L216" s="286"/>
      <c r="M216" s="286"/>
      <c r="N216" s="286"/>
      <c r="O216" s="241"/>
      <c r="P216" s="241"/>
      <c r="Q216" s="241"/>
    </row>
    <row r="217" spans="1:17" ht="13.5" customHeight="1" x14ac:dyDescent="0.3">
      <c r="A217" s="287"/>
      <c r="B217" s="286"/>
      <c r="C217" s="286"/>
      <c r="D217" s="286"/>
      <c r="E217" s="286"/>
      <c r="F217" s="241"/>
      <c r="G217" s="241"/>
      <c r="H217" s="241"/>
      <c r="J217" s="286"/>
      <c r="K217" s="286"/>
      <c r="L217" s="286"/>
      <c r="M217" s="286"/>
      <c r="N217" s="286"/>
      <c r="O217" s="241"/>
      <c r="P217" s="241"/>
      <c r="Q217" s="241"/>
    </row>
    <row r="218" spans="1:17" ht="13.5" customHeight="1" x14ac:dyDescent="0.3">
      <c r="A218" s="287"/>
      <c r="B218" s="286"/>
      <c r="C218" s="286"/>
      <c r="D218" s="286"/>
      <c r="E218" s="286"/>
      <c r="F218" s="241"/>
      <c r="G218" s="241"/>
      <c r="H218" s="241"/>
      <c r="J218" s="286"/>
      <c r="K218" s="286"/>
      <c r="L218" s="286"/>
      <c r="M218" s="286"/>
      <c r="N218" s="286"/>
      <c r="O218" s="241"/>
      <c r="P218" s="241"/>
      <c r="Q218" s="241"/>
    </row>
    <row r="219" spans="1:17" ht="13.5" customHeight="1" x14ac:dyDescent="0.3">
      <c r="A219" s="287"/>
      <c r="B219" s="286"/>
      <c r="C219" s="286"/>
      <c r="D219" s="286"/>
      <c r="E219" s="286"/>
      <c r="F219" s="241"/>
      <c r="G219" s="241"/>
      <c r="H219" s="241"/>
      <c r="J219" s="286"/>
      <c r="K219" s="286"/>
      <c r="L219" s="286"/>
      <c r="M219" s="286"/>
      <c r="N219" s="286"/>
      <c r="O219" s="241"/>
      <c r="P219" s="241"/>
      <c r="Q219" s="241"/>
    </row>
    <row r="220" spans="1:17" ht="13.5" customHeight="1" x14ac:dyDescent="0.3">
      <c r="A220" s="287"/>
      <c r="B220" s="286"/>
      <c r="C220" s="286"/>
      <c r="D220" s="286"/>
      <c r="E220" s="286"/>
      <c r="F220" s="241"/>
      <c r="G220" s="241"/>
      <c r="H220" s="241"/>
      <c r="J220" s="286"/>
      <c r="K220" s="286"/>
      <c r="L220" s="286"/>
      <c r="M220" s="286"/>
      <c r="N220" s="286"/>
      <c r="O220" s="241"/>
      <c r="P220" s="241"/>
      <c r="Q220" s="241"/>
    </row>
    <row r="221" spans="1:17" ht="13.5" customHeight="1" x14ac:dyDescent="0.3">
      <c r="A221" s="287"/>
      <c r="B221" s="286"/>
      <c r="C221" s="286"/>
      <c r="D221" s="286"/>
      <c r="E221" s="286"/>
      <c r="F221" s="241"/>
      <c r="G221" s="241"/>
      <c r="H221" s="241"/>
      <c r="J221" s="286"/>
      <c r="K221" s="286"/>
      <c r="L221" s="286"/>
      <c r="M221" s="286"/>
      <c r="N221" s="286"/>
      <c r="O221" s="241"/>
      <c r="P221" s="241"/>
      <c r="Q221" s="241"/>
    </row>
    <row r="222" spans="1:17" ht="13.5" customHeight="1" x14ac:dyDescent="0.3">
      <c r="A222" s="287"/>
      <c r="B222" s="286"/>
      <c r="C222" s="286"/>
      <c r="D222" s="286"/>
      <c r="E222" s="286"/>
      <c r="F222" s="241"/>
      <c r="G222" s="241"/>
      <c r="H222" s="241"/>
      <c r="J222" s="286"/>
      <c r="K222" s="286"/>
      <c r="L222" s="286"/>
      <c r="M222" s="286"/>
      <c r="N222" s="286"/>
      <c r="O222" s="241"/>
      <c r="P222" s="241"/>
      <c r="Q222" s="241"/>
    </row>
    <row r="223" spans="1:17" ht="13.5" customHeight="1" x14ac:dyDescent="0.3">
      <c r="A223" s="287"/>
      <c r="B223" s="286"/>
      <c r="C223" s="286"/>
      <c r="D223" s="286"/>
      <c r="E223" s="286"/>
      <c r="F223" s="241"/>
      <c r="G223" s="241"/>
      <c r="H223" s="241"/>
      <c r="J223" s="286"/>
      <c r="K223" s="286"/>
      <c r="L223" s="286"/>
      <c r="M223" s="286"/>
      <c r="N223" s="286"/>
      <c r="O223" s="241"/>
      <c r="P223" s="241"/>
      <c r="Q223" s="241"/>
    </row>
    <row r="224" spans="1:17" ht="13.5" customHeight="1" x14ac:dyDescent="0.3">
      <c r="A224" s="287"/>
      <c r="B224" s="286"/>
      <c r="C224" s="286"/>
      <c r="D224" s="286"/>
      <c r="E224" s="286"/>
      <c r="F224" s="241"/>
      <c r="G224" s="241"/>
      <c r="H224" s="241"/>
      <c r="J224" s="286"/>
      <c r="K224" s="286"/>
      <c r="L224" s="286"/>
      <c r="M224" s="286"/>
      <c r="N224" s="286"/>
      <c r="O224" s="241"/>
      <c r="P224" s="241"/>
      <c r="Q224" s="241"/>
    </row>
    <row r="225" spans="1:17" ht="13.5" customHeight="1" x14ac:dyDescent="0.3">
      <c r="A225" s="287"/>
      <c r="B225" s="286"/>
      <c r="C225" s="286"/>
      <c r="D225" s="286"/>
      <c r="E225" s="286"/>
      <c r="F225" s="241"/>
      <c r="G225" s="241"/>
      <c r="H225" s="241"/>
      <c r="J225" s="286"/>
      <c r="K225" s="286"/>
      <c r="L225" s="286"/>
      <c r="M225" s="286"/>
      <c r="N225" s="286"/>
      <c r="O225" s="241"/>
      <c r="P225" s="241"/>
      <c r="Q225" s="241"/>
    </row>
    <row r="226" spans="1:17" ht="13.5" customHeight="1" x14ac:dyDescent="0.3">
      <c r="A226" s="287"/>
      <c r="B226" s="286"/>
      <c r="C226" s="286"/>
      <c r="D226" s="286"/>
      <c r="E226" s="286"/>
      <c r="F226" s="241"/>
      <c r="G226" s="241"/>
      <c r="H226" s="241"/>
      <c r="J226" s="286"/>
      <c r="K226" s="286"/>
      <c r="L226" s="286"/>
      <c r="M226" s="286"/>
      <c r="N226" s="286"/>
      <c r="O226" s="241"/>
      <c r="P226" s="241"/>
      <c r="Q226" s="241"/>
    </row>
    <row r="227" spans="1:17" ht="13.5" customHeight="1" x14ac:dyDescent="0.3">
      <c r="A227" s="287"/>
      <c r="B227" s="286"/>
      <c r="C227" s="286"/>
      <c r="D227" s="286"/>
      <c r="E227" s="286"/>
      <c r="F227" s="241"/>
      <c r="G227" s="241"/>
      <c r="H227" s="241"/>
      <c r="J227" s="286"/>
      <c r="K227" s="286"/>
      <c r="L227" s="286"/>
      <c r="M227" s="286"/>
      <c r="N227" s="286"/>
      <c r="O227" s="241"/>
      <c r="P227" s="241"/>
      <c r="Q227" s="241"/>
    </row>
    <row r="228" spans="1:17" ht="13.5" customHeight="1" x14ac:dyDescent="0.3">
      <c r="A228" s="287"/>
      <c r="B228" s="286"/>
      <c r="C228" s="286"/>
      <c r="D228" s="286"/>
      <c r="E228" s="286"/>
      <c r="F228" s="241"/>
      <c r="G228" s="241"/>
      <c r="H228" s="241"/>
      <c r="J228" s="286"/>
      <c r="K228" s="286"/>
      <c r="L228" s="286"/>
      <c r="M228" s="286"/>
      <c r="N228" s="286"/>
      <c r="O228" s="241"/>
      <c r="P228" s="241"/>
      <c r="Q228" s="241"/>
    </row>
    <row r="229" spans="1:17" ht="13.5" customHeight="1" x14ac:dyDescent="0.3">
      <c r="A229" s="287"/>
      <c r="B229" s="286"/>
      <c r="C229" s="286"/>
      <c r="D229" s="286"/>
      <c r="E229" s="286"/>
      <c r="F229" s="241"/>
      <c r="G229" s="241"/>
      <c r="H229" s="241"/>
      <c r="J229" s="286"/>
      <c r="K229" s="286"/>
      <c r="L229" s="286"/>
      <c r="M229" s="286"/>
      <c r="N229" s="286"/>
      <c r="O229" s="241"/>
      <c r="P229" s="241"/>
      <c r="Q229" s="241"/>
    </row>
    <row r="230" spans="1:17" ht="13.5" customHeight="1" x14ac:dyDescent="0.3">
      <c r="A230" s="287"/>
      <c r="B230" s="286"/>
      <c r="C230" s="286"/>
      <c r="D230" s="286"/>
      <c r="E230" s="286"/>
      <c r="F230" s="241"/>
      <c r="G230" s="241"/>
      <c r="H230" s="241"/>
      <c r="I230"/>
      <c r="J230" s="286"/>
      <c r="K230" s="286"/>
      <c r="L230" s="286"/>
      <c r="M230" s="286"/>
      <c r="N230" s="286"/>
      <c r="O230" s="241"/>
      <c r="P230" s="241"/>
      <c r="Q230" s="241"/>
    </row>
    <row r="231" spans="1:17" ht="13.5" customHeight="1" x14ac:dyDescent="0.3">
      <c r="A231" s="287"/>
      <c r="B231" s="286"/>
      <c r="C231" s="286"/>
      <c r="D231" s="286"/>
      <c r="E231" s="286"/>
      <c r="F231" s="241"/>
      <c r="G231" s="241"/>
      <c r="H231" s="241"/>
      <c r="I231"/>
      <c r="J231" s="286"/>
      <c r="K231" s="286"/>
      <c r="L231" s="286"/>
      <c r="M231" s="286"/>
      <c r="N231" s="286"/>
      <c r="O231" s="241"/>
      <c r="P231" s="241"/>
      <c r="Q231" s="241"/>
    </row>
    <row r="232" spans="1:17" ht="13.5" customHeight="1" x14ac:dyDescent="0.3">
      <c r="A232" s="287"/>
      <c r="B232" s="286"/>
      <c r="C232" s="286"/>
      <c r="D232" s="286"/>
      <c r="E232" s="286"/>
      <c r="F232" s="241"/>
      <c r="G232" s="241"/>
      <c r="H232" s="241"/>
      <c r="I232"/>
      <c r="J232" s="286"/>
      <c r="K232" s="286"/>
      <c r="L232" s="286"/>
      <c r="M232" s="286"/>
      <c r="N232" s="286"/>
      <c r="O232" s="241"/>
      <c r="P232" s="241"/>
      <c r="Q232" s="241"/>
    </row>
    <row r="233" spans="1:17" ht="13.5" customHeight="1" x14ac:dyDescent="0.3">
      <c r="A233" s="287"/>
      <c r="B233" s="286"/>
      <c r="C233" s="286"/>
      <c r="D233" s="286"/>
      <c r="E233" s="286"/>
      <c r="F233" s="241"/>
      <c r="G233" s="241"/>
      <c r="H233" s="241"/>
      <c r="I233"/>
      <c r="J233" s="286"/>
      <c r="K233" s="286"/>
      <c r="L233" s="286"/>
      <c r="M233" s="286"/>
      <c r="N233" s="286"/>
      <c r="O233" s="241"/>
      <c r="P233" s="241"/>
      <c r="Q233" s="241"/>
    </row>
    <row r="234" spans="1:17" ht="13.5" customHeight="1" x14ac:dyDescent="0.3">
      <c r="A234" s="241"/>
      <c r="B234" s="286"/>
      <c r="C234" s="286"/>
      <c r="D234" s="286"/>
      <c r="E234" s="286"/>
      <c r="F234" s="241"/>
      <c r="G234" s="241"/>
      <c r="H234" s="241"/>
      <c r="I234"/>
      <c r="J234" s="286"/>
      <c r="K234" s="286"/>
      <c r="L234" s="286"/>
      <c r="M234" s="286"/>
      <c r="N234" s="286"/>
      <c r="O234" s="241"/>
      <c r="P234" s="241"/>
      <c r="Q234" s="241"/>
    </row>
    <row r="235" spans="1:17" ht="13.5" customHeight="1" x14ac:dyDescent="0.3">
      <c r="A235" s="241"/>
      <c r="B235" s="286"/>
      <c r="C235" s="286"/>
      <c r="D235" s="286"/>
      <c r="E235" s="286"/>
      <c r="F235" s="241"/>
      <c r="G235" s="241"/>
      <c r="H235" s="241"/>
      <c r="I235"/>
      <c r="J235" s="286"/>
      <c r="K235" s="286"/>
      <c r="L235" s="286"/>
      <c r="M235" s="286"/>
      <c r="N235" s="286"/>
      <c r="O235" s="241"/>
      <c r="P235" s="241"/>
      <c r="Q235" s="241"/>
    </row>
    <row r="236" spans="1:17" ht="13.5" customHeight="1" x14ac:dyDescent="0.3">
      <c r="A236" s="241"/>
      <c r="B236" s="286"/>
      <c r="C236" s="286"/>
      <c r="D236" s="286"/>
      <c r="E236" s="286"/>
      <c r="F236" s="241"/>
      <c r="G236" s="241"/>
      <c r="H236" s="241"/>
      <c r="I236"/>
      <c r="J236" s="286"/>
      <c r="K236" s="286"/>
      <c r="L236" s="286"/>
      <c r="M236" s="286"/>
      <c r="N236" s="286"/>
      <c r="O236" s="241"/>
      <c r="P236" s="241"/>
      <c r="Q236" s="241"/>
    </row>
    <row r="237" spans="1:17" ht="13.5" customHeight="1" x14ac:dyDescent="0.3">
      <c r="A237" s="241"/>
      <c r="B237" s="286"/>
      <c r="C237" s="286"/>
      <c r="D237" s="286"/>
      <c r="E237" s="286"/>
      <c r="F237" s="241"/>
      <c r="G237" s="241"/>
      <c r="H237" s="241"/>
      <c r="I237"/>
      <c r="J237" s="286"/>
      <c r="K237" s="286"/>
      <c r="L237" s="286"/>
      <c r="M237" s="286"/>
      <c r="N237" s="286"/>
      <c r="O237" s="241"/>
      <c r="P237" s="241"/>
      <c r="Q237" s="241"/>
    </row>
    <row r="238" spans="1:17" ht="13.5" customHeight="1" x14ac:dyDescent="0.3">
      <c r="A238" s="241"/>
      <c r="B238" s="286"/>
      <c r="C238" s="286"/>
      <c r="D238" s="286"/>
      <c r="E238" s="286"/>
      <c r="F238" s="241"/>
      <c r="G238" s="241"/>
      <c r="H238" s="241"/>
      <c r="I238"/>
      <c r="J238" s="286"/>
      <c r="K238" s="286"/>
      <c r="L238" s="286"/>
      <c r="M238" s="286"/>
      <c r="N238" s="286"/>
      <c r="O238" s="241"/>
      <c r="P238" s="241"/>
      <c r="Q238" s="241"/>
    </row>
    <row r="239" spans="1:17" ht="13.5" customHeight="1" x14ac:dyDescent="0.3">
      <c r="A239" s="241"/>
      <c r="B239" s="286"/>
      <c r="C239" s="286"/>
      <c r="D239" s="286"/>
      <c r="E239" s="286"/>
      <c r="F239" s="241"/>
      <c r="G239" s="241"/>
      <c r="H239" s="241"/>
      <c r="I239"/>
      <c r="J239" s="286"/>
      <c r="K239" s="286"/>
      <c r="L239" s="286"/>
      <c r="M239" s="286"/>
      <c r="N239" s="286"/>
      <c r="O239" s="241"/>
      <c r="P239" s="241"/>
      <c r="Q239" s="241"/>
    </row>
    <row r="240" spans="1:17" ht="13.5" customHeight="1" x14ac:dyDescent="0.3">
      <c r="A240" s="241"/>
      <c r="B240" s="286"/>
      <c r="C240" s="286"/>
      <c r="D240" s="286"/>
      <c r="E240" s="286"/>
      <c r="F240" s="241"/>
      <c r="G240" s="241"/>
      <c r="H240" s="241"/>
      <c r="I240"/>
      <c r="J240" s="286"/>
      <c r="K240" s="286"/>
      <c r="L240" s="286"/>
      <c r="M240" s="286"/>
      <c r="N240" s="286"/>
      <c r="O240" s="241"/>
      <c r="P240" s="241"/>
      <c r="Q240" s="241"/>
    </row>
    <row r="241" spans="1:17" ht="13.5" customHeight="1" x14ac:dyDescent="0.3">
      <c r="A241" s="241"/>
      <c r="B241" s="286"/>
      <c r="C241" s="286"/>
      <c r="D241" s="286"/>
      <c r="E241" s="286"/>
      <c r="F241" s="241"/>
      <c r="G241" s="241"/>
      <c r="H241" s="241"/>
      <c r="I241"/>
      <c r="J241" s="286"/>
      <c r="K241" s="286"/>
      <c r="L241" s="286"/>
      <c r="M241" s="286"/>
      <c r="N241" s="286"/>
      <c r="O241" s="241"/>
      <c r="P241" s="241"/>
      <c r="Q241" s="241"/>
    </row>
    <row r="242" spans="1:17" ht="13.5" customHeight="1" x14ac:dyDescent="0.3">
      <c r="A242" s="241"/>
      <c r="B242" s="286"/>
      <c r="C242" s="286"/>
      <c r="D242" s="286"/>
      <c r="E242" s="286"/>
      <c r="F242" s="241" t="s">
        <v>2311</v>
      </c>
      <c r="G242" s="241"/>
      <c r="H242" s="241"/>
      <c r="I242"/>
      <c r="J242" s="286"/>
      <c r="K242" s="286"/>
      <c r="L242" s="286"/>
      <c r="M242" s="286"/>
      <c r="N242" s="286"/>
      <c r="O242" s="241"/>
      <c r="P242" s="241"/>
      <c r="Q242" s="241"/>
    </row>
    <row r="243" spans="1:17" ht="13.5" customHeight="1" x14ac:dyDescent="0.3">
      <c r="A243" s="241"/>
      <c r="B243" s="286"/>
      <c r="C243" s="286"/>
      <c r="D243" s="286"/>
      <c r="E243" s="286"/>
      <c r="F243" s="241" t="s">
        <v>2311</v>
      </c>
      <c r="G243" s="241"/>
      <c r="H243" s="241"/>
      <c r="I243"/>
      <c r="J243" s="286"/>
      <c r="K243" s="286"/>
      <c r="L243" s="286"/>
      <c r="M243" s="286"/>
      <c r="N243" s="286"/>
      <c r="O243" s="241"/>
      <c r="P243" s="241"/>
      <c r="Q243" s="241"/>
    </row>
    <row r="244" spans="1:17" ht="13.5" customHeight="1" x14ac:dyDescent="0.3">
      <c r="A244" s="241"/>
      <c r="B244" s="286"/>
      <c r="C244" s="286"/>
      <c r="D244" s="286"/>
      <c r="E244" s="286"/>
      <c r="F244" s="241"/>
      <c r="G244" s="241"/>
      <c r="H244" s="241"/>
      <c r="I244"/>
      <c r="J244" s="286"/>
      <c r="K244" s="286"/>
      <c r="L244" s="286"/>
      <c r="M244" s="286"/>
      <c r="N244" s="286"/>
      <c r="O244" s="241"/>
      <c r="P244" s="241"/>
      <c r="Q244" s="241"/>
    </row>
    <row r="245" spans="1:17" ht="13.5" customHeight="1" x14ac:dyDescent="0.3">
      <c r="A245" s="241"/>
      <c r="B245" s="286"/>
      <c r="C245" s="286"/>
      <c r="D245" s="286"/>
      <c r="E245" s="286"/>
      <c r="F245" s="241"/>
      <c r="G245" s="241"/>
      <c r="H245" s="241"/>
      <c r="I245"/>
      <c r="J245" s="286"/>
      <c r="K245" s="286"/>
      <c r="L245" s="286"/>
      <c r="M245" s="286"/>
      <c r="N245" s="286"/>
      <c r="O245" s="241"/>
      <c r="P245" s="241"/>
      <c r="Q245" s="241"/>
    </row>
    <row r="246" spans="1:17" ht="13.5" customHeight="1" x14ac:dyDescent="0.3">
      <c r="A246" s="241"/>
      <c r="B246" s="286"/>
      <c r="C246" s="286"/>
      <c r="D246" s="286"/>
      <c r="E246" s="286"/>
      <c r="F246" s="241"/>
      <c r="G246" s="241"/>
      <c r="H246" s="241"/>
      <c r="I246"/>
      <c r="J246" s="286"/>
      <c r="K246" s="286"/>
      <c r="L246" s="286"/>
      <c r="M246" s="286"/>
      <c r="N246" s="286"/>
      <c r="O246" s="241"/>
      <c r="P246" s="241"/>
      <c r="Q246" s="241"/>
    </row>
    <row r="247" spans="1:17" ht="13.5" customHeight="1" x14ac:dyDescent="0.3">
      <c r="A247" s="241"/>
      <c r="B247" s="286"/>
      <c r="C247" s="286"/>
      <c r="D247" s="286"/>
      <c r="E247" s="286"/>
      <c r="F247" s="241"/>
      <c r="G247" s="241"/>
      <c r="H247" s="241"/>
      <c r="I247"/>
      <c r="J247" s="286"/>
      <c r="K247" s="286"/>
      <c r="L247" s="286"/>
      <c r="M247" s="286"/>
      <c r="N247" s="286"/>
      <c r="O247" s="241"/>
      <c r="P247" s="241"/>
      <c r="Q247" s="241"/>
    </row>
    <row r="248" spans="1:17" ht="13.5" customHeight="1" x14ac:dyDescent="0.3">
      <c r="A248" s="241"/>
      <c r="B248" s="286"/>
      <c r="C248" s="286"/>
      <c r="D248" s="286"/>
      <c r="E248" s="286"/>
      <c r="F248" s="241"/>
      <c r="G248" s="241"/>
      <c r="H248" s="241"/>
      <c r="I248"/>
      <c r="J248" s="286"/>
      <c r="K248" s="286"/>
      <c r="L248" s="286"/>
      <c r="M248" s="286"/>
      <c r="N248" s="286"/>
      <c r="O248" s="241"/>
      <c r="P248" s="241"/>
      <c r="Q248" s="241"/>
    </row>
    <row r="249" spans="1:17" ht="13.5" customHeight="1" x14ac:dyDescent="0.3">
      <c r="A249" s="241"/>
      <c r="B249" s="286"/>
      <c r="C249" s="286"/>
      <c r="D249" s="286"/>
      <c r="E249" s="286"/>
      <c r="F249" s="241"/>
      <c r="G249" s="241"/>
      <c r="H249" s="241"/>
      <c r="I249"/>
      <c r="J249" s="286"/>
      <c r="K249" s="286"/>
      <c r="L249" s="286"/>
      <c r="M249" s="286"/>
      <c r="N249" s="286"/>
      <c r="O249" s="241"/>
      <c r="P249" s="241"/>
      <c r="Q249" s="241"/>
    </row>
    <row r="250" spans="1:17" ht="13.5" customHeight="1" x14ac:dyDescent="0.3">
      <c r="A250" s="241"/>
      <c r="B250" s="286"/>
      <c r="C250" s="286"/>
      <c r="D250" s="286"/>
      <c r="E250" s="286"/>
      <c r="F250" s="241"/>
      <c r="G250" s="241"/>
      <c r="H250" s="241"/>
      <c r="I250"/>
      <c r="J250" s="286"/>
      <c r="K250" s="286"/>
      <c r="L250" s="286"/>
      <c r="M250" s="286"/>
      <c r="N250" s="286"/>
      <c r="O250" s="241"/>
      <c r="P250" s="241"/>
      <c r="Q250" s="241"/>
    </row>
    <row r="251" spans="1:17" ht="13.5" customHeight="1" x14ac:dyDescent="0.3">
      <c r="A251" s="241"/>
      <c r="B251" s="286"/>
      <c r="C251" s="286"/>
      <c r="D251" s="286"/>
      <c r="E251" s="286"/>
      <c r="F251" s="241"/>
      <c r="G251" s="241"/>
      <c r="H251" s="241"/>
      <c r="I251"/>
      <c r="J251" s="286"/>
      <c r="K251" s="286"/>
      <c r="L251" s="286"/>
      <c r="M251" s="286"/>
      <c r="N251" s="286"/>
      <c r="O251" s="241"/>
      <c r="P251" s="241"/>
      <c r="Q251" s="241"/>
    </row>
    <row r="252" spans="1:17" ht="13.5" customHeight="1" x14ac:dyDescent="0.3">
      <c r="A252" s="241"/>
      <c r="B252" s="286"/>
      <c r="C252" s="286"/>
      <c r="D252" s="286"/>
      <c r="E252" s="286"/>
      <c r="F252" s="241"/>
      <c r="G252" s="241"/>
      <c r="H252" s="241"/>
      <c r="I252"/>
      <c r="J252" s="286"/>
      <c r="K252" s="286"/>
      <c r="L252" s="286"/>
      <c r="M252" s="286"/>
      <c r="N252" s="286"/>
      <c r="O252" s="241"/>
      <c r="P252" s="241"/>
      <c r="Q252" s="241"/>
    </row>
    <row r="253" spans="1:17" ht="13.5" customHeight="1" x14ac:dyDescent="0.3">
      <c r="A253" s="241"/>
      <c r="B253" s="286"/>
      <c r="C253" s="286"/>
      <c r="D253" s="286"/>
      <c r="E253" s="286"/>
      <c r="F253" s="241"/>
      <c r="G253" s="241"/>
      <c r="H253" s="241"/>
      <c r="I253"/>
      <c r="J253" s="286"/>
      <c r="K253" s="286"/>
      <c r="L253" s="286"/>
      <c r="M253" s="286"/>
      <c r="N253" s="286"/>
      <c r="O253" s="241"/>
      <c r="P253" s="241"/>
      <c r="Q253" s="241"/>
    </row>
    <row r="254" spans="1:17" ht="13.5" customHeight="1" x14ac:dyDescent="0.3">
      <c r="A254" s="241"/>
      <c r="B254" s="286"/>
      <c r="C254" s="286"/>
      <c r="D254" s="286"/>
      <c r="E254" s="286"/>
      <c r="F254" s="241"/>
      <c r="G254" s="241"/>
      <c r="H254" s="241"/>
      <c r="I254"/>
      <c r="J254" s="286"/>
      <c r="K254" s="286"/>
      <c r="L254" s="286"/>
      <c r="M254" s="286"/>
      <c r="N254" s="286"/>
      <c r="O254" s="241"/>
      <c r="P254" s="241"/>
      <c r="Q254" s="241"/>
    </row>
    <row r="255" spans="1:17" ht="13.5" customHeight="1" x14ac:dyDescent="0.3">
      <c r="A255" s="241"/>
      <c r="B255" s="286"/>
      <c r="C255" s="286"/>
      <c r="D255" s="286"/>
      <c r="E255" s="286"/>
      <c r="F255" s="241"/>
      <c r="G255" s="241"/>
      <c r="H255" s="241"/>
      <c r="I255"/>
      <c r="J255" s="286"/>
      <c r="K255" s="286"/>
      <c r="L255" s="286"/>
      <c r="M255" s="286"/>
      <c r="N255" s="286"/>
      <c r="O255" s="241"/>
      <c r="P255" s="241"/>
      <c r="Q255" s="241"/>
    </row>
    <row r="256" spans="1:17" ht="13.5" customHeight="1" x14ac:dyDescent="0.3">
      <c r="A256" s="241"/>
      <c r="B256" s="286"/>
      <c r="C256" s="286"/>
      <c r="D256" s="286"/>
      <c r="E256" s="286"/>
      <c r="F256" s="241"/>
      <c r="G256" s="241"/>
      <c r="H256" s="241"/>
      <c r="I256"/>
      <c r="J256" s="286"/>
      <c r="K256" s="286"/>
      <c r="L256" s="286"/>
      <c r="M256" s="286"/>
      <c r="N256" s="286"/>
      <c r="O256" s="241"/>
      <c r="P256" s="241"/>
      <c r="Q256" s="241"/>
    </row>
    <row r="257" spans="1:17" ht="13.5" customHeight="1" x14ac:dyDescent="0.3">
      <c r="A257" s="241"/>
      <c r="B257" s="286"/>
      <c r="C257" s="286"/>
      <c r="D257" s="286"/>
      <c r="E257" s="286"/>
      <c r="F257" s="241"/>
      <c r="G257" s="241"/>
      <c r="H257" s="241"/>
      <c r="I257"/>
      <c r="J257" s="286"/>
      <c r="K257" s="286"/>
      <c r="L257" s="286"/>
      <c r="M257" s="286"/>
      <c r="N257" s="286"/>
      <c r="O257" s="241"/>
      <c r="P257" s="241"/>
      <c r="Q257" s="241"/>
    </row>
    <row r="258" spans="1:17" ht="13.5" customHeight="1" x14ac:dyDescent="0.3">
      <c r="A258" s="241"/>
      <c r="B258" s="286"/>
      <c r="C258" s="286"/>
      <c r="D258" s="286"/>
      <c r="E258" s="286"/>
      <c r="F258" s="241"/>
      <c r="G258" s="241"/>
      <c r="H258" s="241"/>
      <c r="I258"/>
      <c r="J258" s="286"/>
      <c r="K258" s="286"/>
      <c r="L258" s="286"/>
      <c r="M258" s="286"/>
      <c r="N258" s="286"/>
      <c r="O258" s="241"/>
      <c r="P258" s="241"/>
      <c r="Q258" s="241"/>
    </row>
    <row r="259" spans="1:17" ht="13.5" customHeight="1" x14ac:dyDescent="0.3">
      <c r="A259" s="241"/>
      <c r="B259" s="286"/>
      <c r="C259" s="286"/>
      <c r="D259" s="286"/>
      <c r="E259" s="286"/>
      <c r="F259" s="241"/>
      <c r="G259" s="241"/>
      <c r="H259" s="241"/>
      <c r="I259"/>
      <c r="J259" s="286"/>
      <c r="K259" s="286"/>
      <c r="L259" s="286"/>
      <c r="M259" s="286"/>
      <c r="N259" s="286"/>
      <c r="O259" s="241"/>
      <c r="P259" s="241"/>
      <c r="Q259" s="241"/>
    </row>
    <row r="260" spans="1:17" ht="13.5" customHeight="1" x14ac:dyDescent="0.3">
      <c r="A260" s="241"/>
      <c r="B260" s="286"/>
      <c r="C260" s="286"/>
      <c r="D260" s="286"/>
      <c r="E260" s="286"/>
      <c r="F260" s="241"/>
      <c r="G260" s="241"/>
      <c r="H260" s="241"/>
      <c r="I260"/>
      <c r="J260" s="286"/>
      <c r="K260" s="286"/>
      <c r="L260" s="286"/>
      <c r="M260" s="286"/>
      <c r="N260" s="286"/>
      <c r="O260" s="241"/>
      <c r="P260" s="241"/>
      <c r="Q260" s="241"/>
    </row>
    <row r="261" spans="1:17" ht="13.5" customHeight="1" x14ac:dyDescent="0.3">
      <c r="A261" s="241"/>
      <c r="B261" s="286"/>
      <c r="C261" s="286"/>
      <c r="D261" s="286"/>
      <c r="E261" s="286"/>
      <c r="F261" s="241"/>
      <c r="G261" s="241"/>
      <c r="H261" s="241"/>
      <c r="I261"/>
      <c r="J261" s="286"/>
      <c r="K261" s="286"/>
      <c r="L261" s="286"/>
      <c r="M261" s="286"/>
      <c r="N261" s="286"/>
      <c r="O261" s="241"/>
      <c r="P261" s="241"/>
      <c r="Q261" s="241"/>
    </row>
    <row r="262" spans="1:17" ht="13.5" customHeight="1" x14ac:dyDescent="0.3">
      <c r="A262" s="241"/>
      <c r="B262" s="286"/>
      <c r="C262" s="286"/>
      <c r="D262" s="286"/>
      <c r="E262" s="286"/>
      <c r="F262" s="241"/>
      <c r="G262" s="241"/>
      <c r="H262" s="241"/>
      <c r="I262"/>
      <c r="J262" s="286"/>
      <c r="K262" s="286"/>
      <c r="L262" s="286"/>
      <c r="M262" s="286"/>
      <c r="N262" s="286"/>
      <c r="O262" s="241"/>
      <c r="P262" s="241"/>
      <c r="Q262" s="241"/>
    </row>
    <row r="263" spans="1:17" ht="13.5" customHeight="1" x14ac:dyDescent="0.3">
      <c r="A263" s="241"/>
      <c r="B263" s="286"/>
      <c r="C263" s="286"/>
      <c r="D263" s="286"/>
      <c r="E263" s="286"/>
      <c r="F263" s="241"/>
      <c r="G263" s="241"/>
      <c r="H263" s="241"/>
      <c r="I263"/>
      <c r="J263" s="286"/>
      <c r="K263" s="286"/>
      <c r="L263" s="286"/>
      <c r="M263" s="286"/>
      <c r="N263" s="286"/>
      <c r="O263" s="241"/>
      <c r="P263" s="241"/>
      <c r="Q263" s="241"/>
    </row>
    <row r="264" spans="1:17" ht="13.5" customHeight="1" x14ac:dyDescent="0.3">
      <c r="A264" s="241"/>
      <c r="B264" s="286"/>
      <c r="C264" s="286"/>
      <c r="D264" s="286"/>
      <c r="E264" s="286"/>
      <c r="F264" s="241"/>
      <c r="G264" s="241"/>
      <c r="H264" s="241"/>
      <c r="I264"/>
      <c r="J264" s="286"/>
      <c r="K264" s="286"/>
      <c r="L264" s="286"/>
      <c r="M264" s="286"/>
      <c r="N264" s="286"/>
      <c r="O264" s="241"/>
      <c r="P264" s="241"/>
      <c r="Q264" s="241"/>
    </row>
    <row r="265" spans="1:17" ht="13.5" customHeight="1" x14ac:dyDescent="0.3">
      <c r="A265" s="241"/>
      <c r="B265" s="286"/>
      <c r="C265" s="286"/>
      <c r="D265" s="286"/>
      <c r="E265" s="286"/>
      <c r="F265" s="241"/>
      <c r="G265" s="241"/>
      <c r="H265" s="241"/>
      <c r="I265"/>
      <c r="J265" s="286"/>
      <c r="K265" s="286"/>
      <c r="L265" s="286"/>
      <c r="M265" s="286"/>
      <c r="N265" s="286"/>
      <c r="O265" s="241"/>
      <c r="P265" s="241"/>
      <c r="Q265" s="241"/>
    </row>
    <row r="266" spans="1:17" ht="13.5" customHeight="1" x14ac:dyDescent="0.3">
      <c r="A266" s="241"/>
      <c r="B266" s="286"/>
      <c r="C266" s="286"/>
      <c r="D266" s="286"/>
      <c r="E266" s="286"/>
      <c r="F266" s="241"/>
      <c r="G266" s="241"/>
      <c r="H266" s="241"/>
      <c r="I266"/>
      <c r="J266" s="286"/>
      <c r="K266" s="286"/>
      <c r="L266" s="286"/>
      <c r="M266" s="286"/>
      <c r="N266" s="286"/>
      <c r="O266" s="241"/>
      <c r="P266" s="241"/>
      <c r="Q266" s="241"/>
    </row>
    <row r="267" spans="1:17" ht="13.5" customHeight="1" x14ac:dyDescent="0.3">
      <c r="A267" s="241"/>
      <c r="B267" s="286"/>
      <c r="C267" s="286"/>
      <c r="D267" s="286"/>
      <c r="E267" s="286"/>
      <c r="F267" s="241"/>
      <c r="G267" s="241"/>
      <c r="H267" s="241"/>
      <c r="I267"/>
      <c r="J267" s="286"/>
      <c r="K267" s="286"/>
      <c r="L267" s="286"/>
      <c r="M267" s="286"/>
      <c r="N267" s="286"/>
      <c r="O267" s="241"/>
      <c r="P267" s="241"/>
      <c r="Q267" s="241"/>
    </row>
    <row r="268" spans="1:17" ht="13.5" customHeight="1" x14ac:dyDescent="0.3">
      <c r="A268" s="241"/>
      <c r="B268" s="286"/>
      <c r="C268" s="286"/>
      <c r="D268" s="286"/>
      <c r="E268" s="286"/>
      <c r="F268" s="241"/>
      <c r="G268" s="241"/>
      <c r="H268" s="241"/>
      <c r="I268"/>
      <c r="J268" s="286"/>
      <c r="K268" s="286"/>
      <c r="L268" s="286"/>
      <c r="M268" s="286"/>
      <c r="N268" s="286"/>
      <c r="O268" s="241"/>
      <c r="P268" s="241"/>
      <c r="Q268" s="241"/>
    </row>
    <row r="269" spans="1:17" ht="13.5" customHeight="1" x14ac:dyDescent="0.3">
      <c r="A269" s="241"/>
      <c r="B269" s="286"/>
      <c r="C269" s="286"/>
      <c r="D269" s="286"/>
      <c r="E269" s="286"/>
      <c r="F269" s="241"/>
      <c r="G269" s="241"/>
      <c r="H269" s="241"/>
      <c r="I269"/>
      <c r="J269" s="286"/>
      <c r="K269" s="286"/>
      <c r="L269" s="286"/>
      <c r="M269" s="286"/>
      <c r="N269" s="286"/>
      <c r="O269" s="241"/>
      <c r="P269" s="241"/>
      <c r="Q269" s="241"/>
    </row>
    <row r="270" spans="1:17" ht="13.5" customHeight="1" x14ac:dyDescent="0.3">
      <c r="A270" s="241"/>
      <c r="B270" s="286"/>
      <c r="C270" s="286"/>
      <c r="D270" s="286"/>
      <c r="E270" s="286"/>
      <c r="F270" s="241"/>
      <c r="G270" s="241"/>
      <c r="H270" s="241"/>
      <c r="I270"/>
      <c r="J270" s="286"/>
      <c r="K270" s="286"/>
      <c r="L270" s="286"/>
      <c r="M270" s="286"/>
      <c r="N270" s="286"/>
      <c r="O270" s="241"/>
      <c r="P270" s="241"/>
      <c r="Q270" s="241"/>
    </row>
    <row r="271" spans="1:17" ht="13.5" customHeight="1" x14ac:dyDescent="0.3">
      <c r="A271" s="241"/>
      <c r="B271" s="286"/>
      <c r="C271" s="286"/>
      <c r="D271" s="286"/>
      <c r="E271" s="286"/>
      <c r="F271" s="241"/>
      <c r="G271" s="241"/>
      <c r="H271" s="241"/>
      <c r="I271"/>
      <c r="J271" s="286"/>
      <c r="K271" s="286"/>
      <c r="L271" s="286"/>
      <c r="M271" s="286"/>
      <c r="N271" s="286"/>
      <c r="O271" s="241"/>
      <c r="P271" s="241"/>
      <c r="Q271" s="241"/>
    </row>
    <row r="272" spans="1:17" ht="13.5" customHeight="1" x14ac:dyDescent="0.3">
      <c r="A272" s="241"/>
      <c r="B272" s="286"/>
      <c r="C272" s="286"/>
      <c r="D272" s="286"/>
      <c r="E272" s="286"/>
      <c r="F272" s="241"/>
      <c r="G272" s="241"/>
      <c r="H272" s="241"/>
      <c r="I272"/>
      <c r="J272" s="286"/>
      <c r="K272" s="286"/>
      <c r="L272" s="286"/>
      <c r="M272" s="286"/>
      <c r="N272" s="286"/>
      <c r="O272" s="241"/>
      <c r="P272" s="241"/>
      <c r="Q272" s="241"/>
    </row>
    <row r="273" spans="1:17" ht="13.5" customHeight="1" x14ac:dyDescent="0.3">
      <c r="A273" s="241"/>
      <c r="B273" s="286"/>
      <c r="C273" s="286"/>
      <c r="D273" s="286"/>
      <c r="E273" s="286"/>
      <c r="F273" s="241"/>
      <c r="G273" s="241"/>
      <c r="H273" s="241"/>
      <c r="I273"/>
      <c r="J273" s="286"/>
      <c r="K273" s="286"/>
      <c r="L273" s="286"/>
      <c r="M273" s="286"/>
      <c r="N273" s="286"/>
      <c r="O273" s="241"/>
      <c r="P273" s="241"/>
      <c r="Q273" s="241"/>
    </row>
    <row r="274" spans="1:17" ht="13.5" customHeight="1" x14ac:dyDescent="0.3">
      <c r="A274" s="241"/>
      <c r="B274" s="286"/>
      <c r="C274" s="286"/>
      <c r="D274" s="286"/>
      <c r="E274" s="286"/>
      <c r="F274" s="241"/>
      <c r="G274" s="241"/>
      <c r="H274" s="241"/>
      <c r="I274"/>
      <c r="J274" s="286"/>
      <c r="K274" s="286"/>
      <c r="L274" s="286"/>
      <c r="M274" s="286"/>
      <c r="N274" s="286"/>
      <c r="O274" s="241"/>
      <c r="P274" s="241"/>
      <c r="Q274" s="241"/>
    </row>
    <row r="275" spans="1:17" ht="13.5" customHeight="1" x14ac:dyDescent="0.3">
      <c r="A275" s="241"/>
      <c r="B275" s="286"/>
      <c r="C275" s="286"/>
      <c r="D275" s="286"/>
      <c r="E275" s="286"/>
      <c r="F275" s="241"/>
      <c r="G275" s="241"/>
      <c r="H275" s="241"/>
      <c r="I275"/>
      <c r="J275" s="286"/>
      <c r="K275" s="286"/>
      <c r="L275" s="286"/>
      <c r="M275" s="286"/>
      <c r="N275" s="286"/>
      <c r="O275" s="241"/>
      <c r="P275" s="241"/>
      <c r="Q275" s="241"/>
    </row>
    <row r="276" spans="1:17" ht="13.5" customHeight="1" x14ac:dyDescent="0.3">
      <c r="A276" s="241"/>
      <c r="B276" s="286"/>
      <c r="C276" s="286"/>
      <c r="D276" s="286"/>
      <c r="E276" s="286"/>
      <c r="F276" s="241"/>
      <c r="G276" s="241"/>
      <c r="H276" s="241"/>
      <c r="I276"/>
      <c r="J276" s="286"/>
      <c r="K276" s="286"/>
      <c r="L276" s="286"/>
      <c r="M276" s="286"/>
      <c r="N276" s="286"/>
      <c r="O276" s="241"/>
      <c r="P276" s="241"/>
      <c r="Q276" s="241"/>
    </row>
    <row r="277" spans="1:17" ht="13.5" customHeight="1" x14ac:dyDescent="0.3">
      <c r="A277" s="241"/>
      <c r="B277" s="286"/>
      <c r="C277" s="286"/>
      <c r="D277" s="286"/>
      <c r="E277" s="286"/>
      <c r="F277" s="241"/>
      <c r="G277" s="241"/>
      <c r="H277" s="241"/>
      <c r="I277"/>
      <c r="J277" s="286"/>
      <c r="K277" s="286"/>
      <c r="L277" s="286"/>
      <c r="M277" s="286"/>
      <c r="N277" s="286"/>
      <c r="O277" s="241"/>
      <c r="P277" s="241"/>
      <c r="Q277" s="241"/>
    </row>
    <row r="278" spans="1:17" ht="13.5" customHeight="1" x14ac:dyDescent="0.3">
      <c r="A278" s="241"/>
      <c r="B278" s="286"/>
      <c r="C278" s="286"/>
      <c r="D278" s="286"/>
      <c r="E278" s="286"/>
      <c r="F278" s="241"/>
      <c r="G278" s="241"/>
      <c r="H278" s="241"/>
      <c r="I278"/>
      <c r="J278" s="286"/>
      <c r="K278" s="286"/>
      <c r="L278" s="286"/>
      <c r="M278" s="286"/>
      <c r="N278" s="286"/>
      <c r="O278" s="241"/>
      <c r="P278" s="241"/>
      <c r="Q278" s="241"/>
    </row>
    <row r="279" spans="1:17" ht="13.5" customHeight="1" x14ac:dyDescent="0.3">
      <c r="A279" s="241"/>
      <c r="B279" s="286"/>
      <c r="C279" s="286"/>
      <c r="D279" s="286"/>
      <c r="E279" s="286"/>
      <c r="F279" s="241"/>
      <c r="G279" s="241"/>
      <c r="H279" s="241"/>
      <c r="I279"/>
      <c r="J279" s="286"/>
      <c r="K279" s="286"/>
      <c r="L279" s="286"/>
      <c r="M279" s="286"/>
      <c r="N279" s="286"/>
      <c r="O279" s="241"/>
      <c r="P279" s="241"/>
      <c r="Q279" s="241"/>
    </row>
    <row r="280" spans="1:17" ht="13.5" customHeight="1" x14ac:dyDescent="0.3">
      <c r="A280" s="241"/>
      <c r="B280" s="286"/>
      <c r="C280" s="286"/>
      <c r="D280" s="286"/>
      <c r="E280" s="286"/>
      <c r="F280" s="241"/>
      <c r="G280" s="241"/>
      <c r="H280" s="241"/>
      <c r="I280"/>
      <c r="J280" s="286"/>
      <c r="K280" s="286"/>
      <c r="L280" s="286"/>
      <c r="M280" s="286"/>
      <c r="N280" s="286"/>
      <c r="O280" s="241"/>
      <c r="P280" s="241"/>
      <c r="Q280" s="241"/>
    </row>
    <row r="281" spans="1:17" ht="13.5" customHeight="1" x14ac:dyDescent="0.3">
      <c r="A281" s="241"/>
      <c r="B281" s="286"/>
      <c r="C281" s="286"/>
      <c r="D281" s="286"/>
      <c r="E281" s="286"/>
      <c r="F281" s="241"/>
      <c r="G281" s="241"/>
      <c r="H281" s="241"/>
      <c r="I281"/>
      <c r="J281" s="286"/>
      <c r="K281" s="286"/>
      <c r="L281" s="286"/>
      <c r="M281" s="286"/>
      <c r="N281" s="286"/>
      <c r="O281" s="241"/>
      <c r="P281" s="241"/>
      <c r="Q281" s="241"/>
    </row>
    <row r="282" spans="1:17" ht="13.5" customHeight="1" x14ac:dyDescent="0.3">
      <c r="A282" s="241"/>
      <c r="B282" s="286"/>
      <c r="C282" s="286"/>
      <c r="D282" s="286"/>
      <c r="E282" s="286"/>
      <c r="F282" s="241"/>
      <c r="G282" s="241"/>
      <c r="H282" s="241"/>
      <c r="I282"/>
      <c r="J282" s="286"/>
      <c r="K282" s="286"/>
      <c r="L282" s="286"/>
      <c r="M282" s="286"/>
      <c r="N282" s="286"/>
      <c r="O282" s="241"/>
      <c r="P282" s="241"/>
      <c r="Q282" s="241"/>
    </row>
    <row r="283" spans="1:17" ht="13.5" customHeight="1" x14ac:dyDescent="0.3">
      <c r="A283" s="241"/>
      <c r="B283" s="286"/>
      <c r="C283" s="286"/>
      <c r="D283" s="286"/>
      <c r="E283" s="286"/>
      <c r="F283" s="241"/>
      <c r="G283" s="241"/>
      <c r="H283" s="241"/>
      <c r="I283"/>
      <c r="J283" s="286"/>
      <c r="K283" s="286"/>
      <c r="L283" s="286"/>
      <c r="M283" s="286"/>
      <c r="N283" s="286"/>
      <c r="O283" s="241"/>
      <c r="P283" s="241"/>
      <c r="Q283" s="241"/>
    </row>
    <row r="284" spans="1:17" ht="13.5" customHeight="1" x14ac:dyDescent="0.3">
      <c r="A284" s="241"/>
      <c r="B284" s="286"/>
      <c r="C284" s="286"/>
      <c r="D284" s="286"/>
      <c r="E284" s="286"/>
      <c r="F284" s="241"/>
      <c r="G284" s="241"/>
      <c r="H284" s="241"/>
      <c r="I284"/>
      <c r="J284" s="286"/>
      <c r="K284" s="286"/>
      <c r="L284" s="286"/>
      <c r="M284" s="286"/>
      <c r="N284" s="286"/>
      <c r="O284" s="241"/>
      <c r="P284" s="241"/>
      <c r="Q284" s="241"/>
    </row>
    <row r="285" spans="1:17" ht="13.5" customHeight="1" x14ac:dyDescent="0.3">
      <c r="A285" s="241"/>
      <c r="B285" s="286"/>
      <c r="C285" s="286"/>
      <c r="D285" s="286"/>
      <c r="E285" s="286"/>
      <c r="F285" s="241"/>
      <c r="G285" s="241"/>
      <c r="H285" s="241"/>
      <c r="I285"/>
      <c r="J285" s="286"/>
      <c r="K285" s="286"/>
      <c r="L285" s="286"/>
      <c r="M285" s="286"/>
      <c r="N285" s="286"/>
      <c r="O285" s="241"/>
      <c r="P285" s="241"/>
      <c r="Q285" s="241"/>
    </row>
    <row r="286" spans="1:17" ht="13.5" customHeight="1" x14ac:dyDescent="0.3">
      <c r="A286" s="241"/>
      <c r="B286" s="286"/>
      <c r="C286" s="286"/>
      <c r="D286" s="286"/>
      <c r="E286" s="286"/>
      <c r="F286" s="241"/>
      <c r="G286" s="241"/>
      <c r="H286" s="241"/>
      <c r="I286"/>
      <c r="J286" s="286"/>
      <c r="K286" s="286"/>
      <c r="L286" s="286"/>
      <c r="M286" s="286"/>
      <c r="N286" s="286"/>
      <c r="O286" s="241"/>
      <c r="P286" s="241"/>
      <c r="Q286" s="241"/>
    </row>
    <row r="287" spans="1:17" ht="13.5" customHeight="1" x14ac:dyDescent="0.3">
      <c r="A287" s="241"/>
      <c r="B287" s="286"/>
      <c r="C287" s="286"/>
      <c r="D287" s="286"/>
      <c r="E287" s="286"/>
      <c r="F287" s="241"/>
      <c r="G287" s="241"/>
      <c r="H287" s="241"/>
      <c r="I287"/>
      <c r="J287" s="286"/>
      <c r="K287" s="286"/>
      <c r="L287" s="286"/>
      <c r="M287" s="286"/>
      <c r="N287" s="286"/>
      <c r="O287" s="241"/>
      <c r="P287" s="241"/>
      <c r="Q287" s="241"/>
    </row>
    <row r="288" spans="1:17" ht="13.5" customHeight="1" x14ac:dyDescent="0.3">
      <c r="A288" s="241"/>
      <c r="B288" s="286"/>
      <c r="C288" s="286"/>
      <c r="D288" s="286"/>
      <c r="E288" s="286"/>
      <c r="F288" s="241"/>
      <c r="G288" s="241"/>
      <c r="H288" s="241"/>
      <c r="I288"/>
      <c r="J288" s="286"/>
      <c r="K288" s="286"/>
      <c r="L288" s="286"/>
      <c r="M288" s="286"/>
      <c r="N288" s="286"/>
      <c r="O288" s="241"/>
      <c r="P288" s="241"/>
      <c r="Q288" s="241"/>
    </row>
    <row r="289" spans="1:17" ht="13.5" customHeight="1" x14ac:dyDescent="0.3">
      <c r="A289" s="241"/>
      <c r="B289" s="286"/>
      <c r="C289" s="286"/>
      <c r="D289" s="286"/>
      <c r="E289" s="286"/>
      <c r="F289" s="241"/>
      <c r="G289" s="241"/>
      <c r="H289" s="241"/>
      <c r="I289"/>
      <c r="J289" s="286"/>
      <c r="K289" s="286"/>
      <c r="L289" s="286"/>
      <c r="M289" s="286"/>
      <c r="N289" s="286"/>
      <c r="O289" s="241"/>
      <c r="P289" s="241"/>
      <c r="Q289" s="241"/>
    </row>
    <row r="290" spans="1:17" ht="13.5" customHeight="1" x14ac:dyDescent="0.3">
      <c r="A290" s="241"/>
      <c r="B290" s="286"/>
      <c r="C290" s="286"/>
      <c r="D290" s="286"/>
      <c r="E290" s="286"/>
      <c r="F290" s="241"/>
      <c r="G290" s="241"/>
      <c r="H290" s="241"/>
      <c r="I290"/>
      <c r="J290" s="286"/>
      <c r="K290" s="286"/>
      <c r="L290" s="286"/>
      <c r="M290" s="286"/>
      <c r="N290" s="286"/>
      <c r="O290" s="241"/>
      <c r="P290" s="241"/>
      <c r="Q290" s="241"/>
    </row>
    <row r="291" spans="1:17" ht="13.5" customHeight="1" x14ac:dyDescent="0.3">
      <c r="A291" s="241"/>
      <c r="B291" s="286"/>
      <c r="C291" s="286"/>
      <c r="D291" s="286"/>
      <c r="E291" s="286"/>
      <c r="F291" s="241"/>
      <c r="G291" s="241"/>
      <c r="H291" s="241"/>
      <c r="I291"/>
      <c r="J291" s="286"/>
      <c r="K291" s="286"/>
      <c r="L291" s="286"/>
      <c r="M291" s="286"/>
      <c r="N291" s="286"/>
      <c r="O291" s="241"/>
      <c r="P291" s="241"/>
      <c r="Q291" s="241"/>
    </row>
    <row r="292" spans="1:17" ht="13.5" customHeight="1" x14ac:dyDescent="0.3">
      <c r="A292" s="241"/>
      <c r="B292" s="286"/>
      <c r="C292" s="286"/>
      <c r="D292" s="286"/>
      <c r="E292" s="286"/>
      <c r="F292" s="241"/>
      <c r="G292" s="241"/>
      <c r="H292" s="241"/>
      <c r="I292"/>
      <c r="J292" s="286"/>
      <c r="K292" s="286"/>
      <c r="L292" s="286"/>
      <c r="M292" s="286"/>
      <c r="N292" s="286"/>
      <c r="O292" s="241"/>
      <c r="P292" s="241"/>
      <c r="Q292" s="241"/>
    </row>
    <row r="293" spans="1:17" ht="13.5" customHeight="1" x14ac:dyDescent="0.3">
      <c r="A293" s="241"/>
      <c r="B293" s="286"/>
      <c r="C293" s="286"/>
      <c r="D293" s="286"/>
      <c r="E293" s="286"/>
      <c r="F293" s="241"/>
      <c r="G293" s="241"/>
      <c r="H293" s="241"/>
      <c r="I293"/>
      <c r="J293" s="286"/>
      <c r="K293" s="286"/>
      <c r="L293" s="286"/>
      <c r="M293" s="286"/>
      <c r="N293" s="286"/>
      <c r="O293" s="241"/>
      <c r="P293" s="241"/>
      <c r="Q293" s="241"/>
    </row>
    <row r="294" spans="1:17" ht="13.5" customHeight="1" x14ac:dyDescent="0.3">
      <c r="A294" s="241"/>
      <c r="B294" s="286"/>
      <c r="C294" s="286"/>
      <c r="D294" s="286"/>
      <c r="E294" s="286"/>
      <c r="F294" s="241"/>
      <c r="G294" s="241"/>
      <c r="H294" s="241"/>
      <c r="I294"/>
      <c r="J294" s="286"/>
      <c r="K294" s="286"/>
      <c r="L294" s="286"/>
      <c r="M294" s="286"/>
      <c r="N294" s="286"/>
      <c r="O294" s="241"/>
      <c r="P294" s="241"/>
      <c r="Q294" s="241"/>
    </row>
    <row r="295" spans="1:17" ht="13.5" customHeight="1" x14ac:dyDescent="0.3">
      <c r="A295" s="241"/>
      <c r="B295" s="286"/>
      <c r="C295" s="286"/>
      <c r="D295" s="286"/>
      <c r="E295" s="286"/>
      <c r="F295" s="241"/>
      <c r="G295" s="241"/>
      <c r="H295" s="241"/>
      <c r="I295"/>
      <c r="J295" s="286"/>
      <c r="K295" s="286"/>
      <c r="L295" s="286"/>
      <c r="M295" s="286"/>
      <c r="N295" s="286"/>
      <c r="O295" s="241"/>
      <c r="P295" s="241"/>
      <c r="Q295" s="241"/>
    </row>
    <row r="296" spans="1:17" ht="13.5" customHeight="1" x14ac:dyDescent="0.3">
      <c r="A296" s="241"/>
      <c r="B296" s="286"/>
      <c r="C296" s="286"/>
      <c r="D296" s="286"/>
      <c r="E296" s="286"/>
      <c r="F296" s="241"/>
      <c r="G296" s="241"/>
      <c r="H296" s="241"/>
      <c r="I296"/>
      <c r="J296" s="286"/>
      <c r="K296" s="286"/>
      <c r="L296" s="286"/>
      <c r="M296" s="286"/>
      <c r="N296" s="286"/>
      <c r="O296" s="241"/>
      <c r="P296" s="241"/>
      <c r="Q296" s="241"/>
    </row>
    <row r="297" spans="1:17" ht="13.5" customHeight="1" x14ac:dyDescent="0.3">
      <c r="A297" s="241"/>
      <c r="B297" s="286"/>
      <c r="C297" s="286"/>
      <c r="D297" s="286"/>
      <c r="E297" s="286"/>
      <c r="F297" s="241"/>
      <c r="G297" s="241"/>
      <c r="H297" s="241"/>
      <c r="I297"/>
      <c r="J297" s="286"/>
      <c r="K297" s="286"/>
      <c r="L297" s="286"/>
      <c r="M297" s="286"/>
      <c r="N297" s="286"/>
      <c r="O297" s="241"/>
      <c r="P297" s="241"/>
      <c r="Q297" s="241"/>
    </row>
    <row r="298" spans="1:17" ht="13.5" customHeight="1" x14ac:dyDescent="0.3">
      <c r="A298" s="241"/>
      <c r="B298" s="286"/>
      <c r="C298" s="286"/>
      <c r="D298" s="286"/>
      <c r="E298" s="286"/>
      <c r="F298" s="241"/>
      <c r="G298" s="241"/>
      <c r="H298" s="241"/>
      <c r="I298"/>
      <c r="J298" s="286"/>
      <c r="K298" s="286"/>
      <c r="L298" s="286"/>
      <c r="M298" s="286"/>
      <c r="N298" s="286"/>
      <c r="O298" s="241"/>
      <c r="P298" s="241"/>
      <c r="Q298" s="241"/>
    </row>
    <row r="299" spans="1:17" ht="13.5" customHeight="1" x14ac:dyDescent="0.3">
      <c r="A299" s="241"/>
      <c r="B299" s="286"/>
      <c r="C299" s="286"/>
      <c r="D299" s="286"/>
      <c r="E299" s="286"/>
      <c r="F299" s="241"/>
      <c r="G299" s="241"/>
      <c r="H299" s="241"/>
      <c r="I299"/>
      <c r="J299" s="286"/>
      <c r="K299" s="286"/>
      <c r="L299" s="286"/>
      <c r="M299" s="286"/>
      <c r="N299" s="286"/>
      <c r="O299" s="241"/>
      <c r="P299" s="241"/>
      <c r="Q299" s="241"/>
    </row>
    <row r="300" spans="1:17" ht="13.5" customHeight="1" x14ac:dyDescent="0.3">
      <c r="A300" s="241"/>
      <c r="B300" s="286"/>
      <c r="C300" s="286"/>
      <c r="D300" s="286"/>
      <c r="E300" s="286"/>
      <c r="F300" s="241"/>
      <c r="G300" s="241"/>
      <c r="H300" s="241"/>
      <c r="I300"/>
      <c r="J300" s="286"/>
      <c r="K300" s="286"/>
      <c r="L300" s="286"/>
      <c r="M300" s="286"/>
      <c r="N300" s="286"/>
      <c r="O300" s="241"/>
      <c r="P300" s="241"/>
      <c r="Q300" s="241"/>
    </row>
    <row r="301" spans="1:17" ht="13.5" customHeight="1" x14ac:dyDescent="0.3">
      <c r="A301" s="241"/>
      <c r="B301" s="286"/>
      <c r="C301" s="286"/>
      <c r="D301" s="286"/>
      <c r="E301" s="286"/>
      <c r="F301" s="241"/>
      <c r="G301" s="241"/>
      <c r="H301" s="241"/>
      <c r="I301"/>
      <c r="J301" s="286"/>
      <c r="K301" s="286"/>
      <c r="L301" s="286"/>
      <c r="M301" s="286"/>
      <c r="N301" s="286"/>
      <c r="O301" s="241"/>
      <c r="P301" s="241"/>
      <c r="Q301" s="241"/>
    </row>
    <row r="302" spans="1:17" ht="13.5" customHeight="1" x14ac:dyDescent="0.3">
      <c r="A302" s="241"/>
      <c r="B302" s="286"/>
      <c r="C302" s="286"/>
      <c r="D302" s="286"/>
      <c r="E302" s="286"/>
      <c r="F302" s="241"/>
      <c r="G302" s="241"/>
      <c r="H302" s="241"/>
      <c r="I302"/>
      <c r="J302" s="286"/>
      <c r="K302" s="286"/>
      <c r="L302" s="286"/>
      <c r="M302" s="286"/>
      <c r="N302" s="286"/>
      <c r="O302" s="241"/>
      <c r="P302" s="241"/>
      <c r="Q302" s="241"/>
    </row>
    <row r="303" spans="1:17" ht="13.5" customHeight="1" x14ac:dyDescent="0.3">
      <c r="A303" s="241"/>
      <c r="B303" s="286"/>
      <c r="C303" s="286"/>
      <c r="D303" s="286"/>
      <c r="E303" s="286"/>
      <c r="F303" s="241"/>
      <c r="G303" s="241"/>
      <c r="H303" s="241"/>
      <c r="I303"/>
      <c r="J303" s="286"/>
      <c r="K303" s="286"/>
      <c r="L303" s="286"/>
      <c r="M303" s="286"/>
      <c r="N303" s="286"/>
      <c r="O303" s="241"/>
      <c r="P303" s="241"/>
      <c r="Q303" s="241"/>
    </row>
    <row r="304" spans="1:17" ht="13.5" customHeight="1" x14ac:dyDescent="0.3">
      <c r="A304" s="241"/>
      <c r="B304" s="286"/>
      <c r="C304" s="286"/>
      <c r="D304" s="286"/>
      <c r="E304" s="286"/>
      <c r="F304" s="241"/>
      <c r="G304" s="241"/>
      <c r="H304" s="241"/>
      <c r="I304"/>
      <c r="J304" s="286"/>
      <c r="K304" s="286"/>
      <c r="L304" s="286"/>
      <c r="M304" s="286"/>
      <c r="N304" s="286"/>
      <c r="O304" s="241"/>
      <c r="P304" s="241"/>
      <c r="Q304" s="241"/>
    </row>
    <row r="305" spans="1:17" ht="13.5" customHeight="1" x14ac:dyDescent="0.3">
      <c r="A305" s="241"/>
      <c r="B305" s="286"/>
      <c r="C305" s="286"/>
      <c r="D305" s="286"/>
      <c r="E305" s="286"/>
      <c r="F305" s="241"/>
      <c r="G305" s="241"/>
      <c r="H305" s="241"/>
      <c r="I305"/>
      <c r="J305" s="286"/>
      <c r="K305" s="286"/>
      <c r="L305" s="286"/>
      <c r="M305" s="286"/>
      <c r="N305" s="286"/>
      <c r="O305" s="241"/>
      <c r="P305" s="241"/>
      <c r="Q305" s="241"/>
    </row>
    <row r="306" spans="1:17" ht="13.5" customHeight="1" x14ac:dyDescent="0.3">
      <c r="A306" s="241"/>
      <c r="B306" s="286"/>
      <c r="C306" s="286"/>
      <c r="D306" s="286"/>
      <c r="E306" s="286"/>
      <c r="F306" s="241"/>
      <c r="G306" s="241"/>
      <c r="H306" s="241"/>
      <c r="I306"/>
      <c r="J306" s="286"/>
      <c r="K306" s="286"/>
      <c r="L306" s="286"/>
      <c r="M306" s="286"/>
      <c r="N306" s="286"/>
      <c r="O306" s="241"/>
      <c r="P306" s="241"/>
      <c r="Q306" s="241"/>
    </row>
    <row r="307" spans="1:17" ht="13.5" customHeight="1" x14ac:dyDescent="0.3">
      <c r="A307" s="241"/>
      <c r="B307" s="286"/>
      <c r="C307" s="286"/>
      <c r="D307" s="286"/>
      <c r="E307" s="286"/>
      <c r="F307" s="241"/>
      <c r="G307" s="241"/>
      <c r="H307" s="241"/>
      <c r="I307"/>
      <c r="J307" s="286"/>
      <c r="K307" s="286"/>
      <c r="L307" s="286"/>
      <c r="M307" s="286"/>
      <c r="N307" s="286"/>
      <c r="O307" s="241"/>
      <c r="P307" s="241"/>
      <c r="Q307" s="241"/>
    </row>
    <row r="308" spans="1:17" ht="13.5" customHeight="1" x14ac:dyDescent="0.3">
      <c r="A308" s="241"/>
      <c r="B308" s="286"/>
      <c r="C308" s="286"/>
      <c r="D308" s="286"/>
      <c r="E308" s="286"/>
      <c r="F308" s="241"/>
      <c r="G308" s="241"/>
      <c r="H308" s="241"/>
      <c r="I308"/>
      <c r="J308" s="286"/>
      <c r="K308" s="286"/>
      <c r="L308" s="286"/>
      <c r="M308" s="286"/>
      <c r="N308" s="286"/>
      <c r="O308" s="241"/>
      <c r="P308" s="241"/>
      <c r="Q308" s="241"/>
    </row>
    <row r="309" spans="1:17" ht="13.5" customHeight="1" x14ac:dyDescent="0.3">
      <c r="A309" s="241"/>
      <c r="B309" s="286"/>
      <c r="C309" s="286"/>
      <c r="D309" s="286"/>
      <c r="E309" s="286"/>
      <c r="F309" s="241"/>
      <c r="G309" s="241"/>
      <c r="H309" s="241"/>
      <c r="I309"/>
      <c r="J309" s="286"/>
      <c r="K309" s="286"/>
      <c r="L309" s="286"/>
      <c r="M309" s="286"/>
      <c r="N309" s="286"/>
      <c r="O309" s="241"/>
      <c r="P309" s="241"/>
      <c r="Q309" s="241"/>
    </row>
    <row r="310" spans="1:17" ht="13.5" customHeight="1" x14ac:dyDescent="0.3">
      <c r="A310" s="241"/>
      <c r="B310" s="286"/>
      <c r="C310" s="286"/>
      <c r="D310" s="286"/>
      <c r="E310" s="286"/>
      <c r="F310" s="241"/>
      <c r="G310" s="241"/>
      <c r="H310" s="241"/>
      <c r="I310"/>
      <c r="J310" s="286"/>
      <c r="K310" s="286"/>
      <c r="L310" s="286"/>
      <c r="M310" s="286"/>
      <c r="N310" s="286"/>
      <c r="O310" s="241"/>
      <c r="P310" s="241"/>
      <c r="Q310" s="241"/>
    </row>
    <row r="311" spans="1:17" ht="13.5" customHeight="1" x14ac:dyDescent="0.3">
      <c r="A311" s="241"/>
      <c r="B311" s="286"/>
      <c r="C311" s="286"/>
      <c r="D311" s="286"/>
      <c r="E311" s="286"/>
      <c r="F311" s="241"/>
      <c r="G311" s="241"/>
      <c r="H311" s="241"/>
      <c r="I311"/>
      <c r="J311" s="286"/>
      <c r="K311" s="286"/>
      <c r="L311" s="286"/>
      <c r="M311" s="286"/>
      <c r="N311" s="286"/>
      <c r="O311" s="241"/>
      <c r="P311" s="241"/>
      <c r="Q311" s="241"/>
    </row>
    <row r="312" spans="1:17" ht="13.5" customHeight="1" x14ac:dyDescent="0.3">
      <c r="A312" s="241"/>
      <c r="B312" s="286"/>
      <c r="C312" s="286"/>
      <c r="D312" s="286"/>
      <c r="E312" s="286"/>
      <c r="F312" s="241"/>
      <c r="G312" s="241"/>
      <c r="H312" s="241"/>
      <c r="I312"/>
      <c r="J312" s="286"/>
      <c r="K312" s="286"/>
      <c r="L312" s="286"/>
      <c r="M312" s="286"/>
      <c r="N312" s="286"/>
      <c r="O312" s="241"/>
      <c r="P312" s="241"/>
      <c r="Q312" s="241"/>
    </row>
    <row r="313" spans="1:17" ht="13.5" customHeight="1" x14ac:dyDescent="0.3">
      <c r="A313" s="241"/>
      <c r="B313" s="286"/>
      <c r="C313" s="286"/>
      <c r="D313" s="286"/>
      <c r="E313" s="286"/>
      <c r="F313" s="241"/>
      <c r="G313" s="241"/>
      <c r="H313" s="241"/>
      <c r="I313"/>
      <c r="J313" s="286"/>
      <c r="K313" s="286"/>
      <c r="L313" s="286"/>
      <c r="M313" s="286"/>
      <c r="N313" s="286"/>
      <c r="O313" s="241"/>
      <c r="P313" s="241"/>
      <c r="Q313" s="241"/>
    </row>
    <row r="314" spans="1:17" ht="13.5" customHeight="1" x14ac:dyDescent="0.3">
      <c r="A314" s="241"/>
      <c r="B314" s="286"/>
      <c r="C314" s="286"/>
      <c r="D314" s="286"/>
      <c r="E314" s="286"/>
      <c r="F314" s="241"/>
      <c r="G314" s="241"/>
      <c r="H314" s="241"/>
      <c r="I314"/>
      <c r="J314" s="286"/>
      <c r="K314" s="286"/>
      <c r="L314" s="286"/>
      <c r="M314" s="286"/>
      <c r="N314" s="286"/>
      <c r="O314" s="241"/>
      <c r="P314" s="241"/>
      <c r="Q314" s="241"/>
    </row>
    <row r="315" spans="1:17" ht="13.5" customHeight="1" x14ac:dyDescent="0.3">
      <c r="A315" s="241"/>
      <c r="B315" s="286"/>
      <c r="C315" s="286"/>
      <c r="D315" s="286"/>
      <c r="E315" s="286"/>
      <c r="F315" s="241"/>
      <c r="G315" s="241"/>
      <c r="H315" s="241"/>
      <c r="I315"/>
      <c r="J315" s="286"/>
      <c r="K315" s="286"/>
      <c r="L315" s="286"/>
      <c r="M315" s="286"/>
      <c r="N315" s="286"/>
      <c r="O315" s="241"/>
      <c r="P315" s="241"/>
      <c r="Q315" s="241"/>
    </row>
    <row r="316" spans="1:17" ht="13.5" customHeight="1" x14ac:dyDescent="0.3">
      <c r="A316" s="241"/>
      <c r="B316" s="286"/>
      <c r="C316" s="286"/>
      <c r="D316" s="286"/>
      <c r="E316" s="286"/>
      <c r="F316" s="241"/>
      <c r="G316" s="241"/>
      <c r="H316" s="241"/>
      <c r="I316"/>
      <c r="J316" s="286"/>
      <c r="K316" s="286"/>
      <c r="L316" s="286"/>
      <c r="M316" s="286"/>
      <c r="N316" s="286"/>
      <c r="O316" s="241"/>
      <c r="P316" s="241"/>
      <c r="Q316" s="241"/>
    </row>
    <row r="317" spans="1:17" ht="13.5" customHeight="1" x14ac:dyDescent="0.3">
      <c r="A317" s="241"/>
      <c r="B317" s="286"/>
      <c r="C317" s="286"/>
      <c r="D317" s="286"/>
      <c r="E317" s="286"/>
      <c r="F317" s="241"/>
      <c r="G317" s="241"/>
      <c r="H317" s="241"/>
      <c r="I317"/>
      <c r="J317" s="286"/>
      <c r="K317" s="286"/>
      <c r="L317" s="286"/>
      <c r="M317" s="286"/>
      <c r="N317" s="286"/>
      <c r="O317" s="241"/>
      <c r="P317" s="241"/>
      <c r="Q317" s="241"/>
    </row>
    <row r="318" spans="1:17" ht="13.5" customHeight="1" x14ac:dyDescent="0.3">
      <c r="A318" s="241"/>
      <c r="B318" s="286"/>
      <c r="C318" s="286"/>
      <c r="D318" s="286"/>
      <c r="E318" s="286"/>
      <c r="F318" s="241"/>
      <c r="G318" s="241"/>
      <c r="H318" s="241"/>
      <c r="I318"/>
      <c r="J318" s="286"/>
      <c r="K318" s="286"/>
      <c r="L318" s="286"/>
      <c r="M318" s="286"/>
      <c r="N318" s="286"/>
      <c r="O318" s="241"/>
      <c r="P318" s="241"/>
      <c r="Q318" s="241"/>
    </row>
    <row r="319" spans="1:17" ht="13.5" customHeight="1" x14ac:dyDescent="0.3">
      <c r="A319" s="241"/>
      <c r="B319" s="286"/>
      <c r="C319" s="286"/>
      <c r="D319" s="286"/>
      <c r="E319" s="286"/>
      <c r="F319" s="241"/>
      <c r="G319" s="241"/>
      <c r="H319" s="241"/>
      <c r="I319"/>
      <c r="J319" s="286"/>
      <c r="K319" s="286"/>
      <c r="L319" s="286"/>
      <c r="M319" s="286"/>
      <c r="N319" s="286"/>
      <c r="O319" s="241"/>
      <c r="P319" s="241"/>
      <c r="Q319" s="241"/>
    </row>
    <row r="320" spans="1:17" ht="13.5" customHeight="1" x14ac:dyDescent="0.3">
      <c r="A320" s="241"/>
      <c r="B320" s="286"/>
      <c r="C320" s="286"/>
      <c r="D320" s="286"/>
      <c r="E320" s="286"/>
      <c r="F320" s="241"/>
      <c r="G320" s="241"/>
      <c r="H320" s="241"/>
      <c r="I320"/>
      <c r="J320" s="286"/>
      <c r="K320" s="286"/>
      <c r="L320" s="286"/>
      <c r="M320" s="286"/>
      <c r="N320" s="286"/>
      <c r="O320" s="241"/>
      <c r="P320" s="241"/>
      <c r="Q320" s="241"/>
    </row>
    <row r="321" spans="1:17" ht="13.5" customHeight="1" x14ac:dyDescent="0.3">
      <c r="A321" s="241"/>
      <c r="B321" s="286"/>
      <c r="C321" s="286"/>
      <c r="D321" s="286"/>
      <c r="E321" s="286"/>
      <c r="F321" s="241"/>
      <c r="G321" s="241"/>
      <c r="H321" s="241"/>
      <c r="I321"/>
      <c r="J321" s="286"/>
      <c r="K321" s="286"/>
      <c r="L321" s="286"/>
      <c r="M321" s="286"/>
      <c r="N321" s="286"/>
      <c r="O321" s="241"/>
      <c r="P321" s="241"/>
      <c r="Q321" s="241"/>
    </row>
    <row r="322" spans="1:17" ht="13.5" customHeight="1" x14ac:dyDescent="0.3">
      <c r="A322" s="241"/>
      <c r="B322" s="286"/>
      <c r="C322" s="286"/>
      <c r="D322" s="286"/>
      <c r="E322" s="286"/>
      <c r="F322" s="241"/>
      <c r="G322" s="241"/>
      <c r="H322" s="241"/>
      <c r="I322"/>
      <c r="J322" s="286"/>
      <c r="K322" s="286"/>
      <c r="L322" s="286"/>
      <c r="M322" s="286"/>
      <c r="N322" s="286"/>
      <c r="O322" s="241"/>
      <c r="P322" s="241"/>
      <c r="Q322" s="241"/>
    </row>
    <row r="323" spans="1:17" ht="13.5" customHeight="1" x14ac:dyDescent="0.3">
      <c r="A323" s="241"/>
      <c r="B323" s="286"/>
      <c r="C323" s="286"/>
      <c r="D323" s="286"/>
      <c r="E323" s="286"/>
      <c r="F323" s="241"/>
      <c r="G323" s="241"/>
      <c r="H323" s="241"/>
      <c r="I323"/>
      <c r="J323" s="286"/>
      <c r="K323" s="286"/>
      <c r="L323" s="286"/>
      <c r="M323" s="286"/>
      <c r="N323" s="286"/>
      <c r="O323" s="241"/>
      <c r="P323" s="241"/>
      <c r="Q323" s="241"/>
    </row>
    <row r="324" spans="1:17" ht="13.5" customHeight="1" x14ac:dyDescent="0.3">
      <c r="A324" s="241"/>
      <c r="B324" s="286"/>
      <c r="C324" s="286"/>
      <c r="D324" s="286"/>
      <c r="E324" s="286"/>
      <c r="F324" s="241"/>
      <c r="G324" s="241"/>
      <c r="H324" s="241"/>
      <c r="I324"/>
      <c r="J324" s="286"/>
      <c r="K324" s="286"/>
      <c r="L324" s="286"/>
      <c r="M324" s="286"/>
      <c r="N324" s="286"/>
      <c r="O324" s="241"/>
      <c r="P324" s="241"/>
      <c r="Q324" s="241"/>
    </row>
    <row r="325" spans="1:17" ht="13.5" customHeight="1" x14ac:dyDescent="0.3">
      <c r="A325" s="241"/>
      <c r="B325" s="286"/>
      <c r="C325" s="286"/>
      <c r="D325" s="286"/>
      <c r="E325" s="286"/>
      <c r="F325" s="241"/>
      <c r="G325" s="241"/>
      <c r="H325" s="241"/>
      <c r="I325"/>
      <c r="J325" s="286"/>
      <c r="K325" s="286"/>
      <c r="L325" s="286"/>
      <c r="M325" s="286"/>
      <c r="N325" s="286"/>
      <c r="O325" s="241"/>
      <c r="P325" s="241"/>
      <c r="Q325" s="241"/>
    </row>
    <row r="326" spans="1:17" ht="13.5" customHeight="1" x14ac:dyDescent="0.3">
      <c r="A326" s="241"/>
      <c r="B326" s="286"/>
      <c r="C326" s="286"/>
      <c r="D326" s="286"/>
      <c r="E326" s="286"/>
      <c r="F326" s="241"/>
      <c r="G326" s="241"/>
      <c r="H326" s="241"/>
      <c r="I326"/>
      <c r="J326" s="286"/>
      <c r="K326" s="286"/>
      <c r="L326" s="286"/>
      <c r="M326" s="286"/>
      <c r="N326" s="286"/>
      <c r="O326" s="241"/>
      <c r="P326" s="241"/>
      <c r="Q326" s="241"/>
    </row>
    <row r="327" spans="1:17" ht="13.5" customHeight="1" x14ac:dyDescent="0.3">
      <c r="A327" s="241"/>
      <c r="B327" s="286"/>
      <c r="C327" s="286"/>
      <c r="D327" s="286"/>
      <c r="E327" s="286"/>
      <c r="F327" s="241"/>
      <c r="G327" s="241"/>
      <c r="H327" s="241"/>
      <c r="I327"/>
      <c r="J327" s="286"/>
      <c r="K327" s="286"/>
      <c r="L327" s="286"/>
      <c r="M327" s="286"/>
      <c r="N327" s="286"/>
      <c r="O327" s="241"/>
      <c r="P327" s="241"/>
      <c r="Q327" s="241"/>
    </row>
    <row r="328" spans="1:17" ht="13.5" customHeight="1" x14ac:dyDescent="0.3">
      <c r="A328"/>
      <c r="B328" s="286"/>
      <c r="C328" s="286"/>
      <c r="D328" s="286"/>
      <c r="E328" s="286"/>
      <c r="F328" s="241"/>
      <c r="G328" s="241"/>
      <c r="H328" s="241"/>
      <c r="I328"/>
      <c r="J328" s="286"/>
      <c r="K328" s="286"/>
      <c r="L328" s="286"/>
      <c r="M328" s="286"/>
      <c r="N328" s="286"/>
      <c r="O328" s="241"/>
      <c r="P328" s="241"/>
      <c r="Q328" s="241"/>
    </row>
    <row r="329" spans="1:17" ht="13.5" customHeight="1" x14ac:dyDescent="0.3">
      <c r="A329"/>
      <c r="B329" s="286"/>
      <c r="C329" s="286"/>
      <c r="D329" s="286"/>
      <c r="E329" s="286"/>
      <c r="F329" s="241"/>
      <c r="G329" s="241"/>
      <c r="H329" s="241"/>
      <c r="I329"/>
      <c r="J329" s="286"/>
      <c r="K329" s="286"/>
      <c r="L329" s="286"/>
      <c r="M329" s="286"/>
      <c r="N329" s="286"/>
      <c r="O329" s="241"/>
      <c r="P329" s="241"/>
      <c r="Q329" s="241"/>
    </row>
    <row r="330" spans="1:17" ht="13.5" customHeight="1" x14ac:dyDescent="0.3">
      <c r="A330"/>
      <c r="B330" s="286"/>
      <c r="C330" s="286"/>
      <c r="D330" s="286"/>
      <c r="E330" s="286"/>
      <c r="F330" s="241"/>
      <c r="G330" s="241"/>
      <c r="H330" s="241"/>
      <c r="I330"/>
      <c r="J330" s="286"/>
      <c r="K330" s="286"/>
      <c r="L330" s="286"/>
      <c r="M330" s="286"/>
      <c r="N330" s="286"/>
      <c r="O330" s="241"/>
      <c r="P330" s="241"/>
      <c r="Q330" s="241"/>
    </row>
    <row r="331" spans="1:17" ht="13.5" customHeight="1" x14ac:dyDescent="0.3">
      <c r="A331"/>
      <c r="B331" s="286"/>
      <c r="C331" s="286"/>
      <c r="D331" s="286"/>
      <c r="E331" s="286"/>
      <c r="F331" s="241"/>
      <c r="G331" s="241"/>
      <c r="H331" s="241"/>
      <c r="I331"/>
      <c r="J331" s="286"/>
      <c r="K331" s="286"/>
      <c r="L331" s="286"/>
      <c r="M331" s="286"/>
      <c r="N331" s="286"/>
      <c r="O331" s="241"/>
      <c r="P331" s="241"/>
      <c r="Q331" s="241"/>
    </row>
    <row r="332" spans="1:17" ht="13.5" customHeight="1" x14ac:dyDescent="0.3">
      <c r="A332"/>
      <c r="B332" s="286"/>
      <c r="C332" s="286"/>
      <c r="D332" s="286"/>
      <c r="E332" s="286"/>
      <c r="F332" s="241"/>
      <c r="G332" s="241"/>
      <c r="H332" s="241"/>
      <c r="I332"/>
      <c r="J332" s="286"/>
      <c r="K332" s="286"/>
      <c r="L332" s="286"/>
      <c r="M332" s="286"/>
      <c r="N332" s="286"/>
      <c r="O332" s="241"/>
      <c r="P332" s="241"/>
      <c r="Q332" s="241"/>
    </row>
    <row r="333" spans="1:17" ht="13.5" customHeight="1" x14ac:dyDescent="0.3">
      <c r="A333"/>
      <c r="B333" s="286"/>
      <c r="C333" s="286"/>
      <c r="D333" s="286"/>
      <c r="E333" s="286"/>
      <c r="F333" s="241"/>
      <c r="G333" s="241"/>
      <c r="H333" s="241"/>
      <c r="I333"/>
      <c r="J333" s="286"/>
      <c r="K333" s="286"/>
      <c r="L333" s="286"/>
      <c r="M333" s="286"/>
      <c r="N333" s="286"/>
      <c r="O333" s="241"/>
      <c r="P333" s="241"/>
      <c r="Q333" s="241"/>
    </row>
    <row r="334" spans="1:17" ht="13.5" customHeight="1" x14ac:dyDescent="0.3">
      <c r="A334"/>
      <c r="B334" s="286"/>
      <c r="C334" s="286"/>
      <c r="D334" s="286"/>
      <c r="E334" s="286"/>
      <c r="F334" s="241"/>
      <c r="G334" s="241"/>
      <c r="H334" s="241"/>
      <c r="I334"/>
      <c r="J334" s="286"/>
      <c r="K334" s="286"/>
      <c r="L334" s="286"/>
      <c r="M334" s="286"/>
      <c r="N334" s="286"/>
      <c r="O334" s="241"/>
      <c r="P334" s="241"/>
      <c r="Q334" s="241"/>
    </row>
    <row r="335" spans="1:17" ht="13.5" customHeight="1" x14ac:dyDescent="0.3">
      <c r="A335"/>
      <c r="B335" s="286"/>
      <c r="C335" s="286"/>
      <c r="D335" s="286"/>
      <c r="E335" s="286"/>
      <c r="F335" s="241"/>
      <c r="G335" s="241"/>
      <c r="H335" s="241"/>
      <c r="I335"/>
      <c r="J335" s="286"/>
      <c r="K335" s="286"/>
      <c r="L335" s="286"/>
      <c r="M335" s="286"/>
      <c r="N335" s="286"/>
      <c r="O335" s="241"/>
      <c r="P335" s="241"/>
      <c r="Q335" s="241"/>
    </row>
    <row r="336" spans="1:17" ht="13.5" customHeight="1" x14ac:dyDescent="0.3">
      <c r="A336"/>
      <c r="B336" s="286"/>
      <c r="C336" s="286"/>
      <c r="D336" s="286"/>
      <c r="E336" s="286"/>
      <c r="F336" s="241"/>
      <c r="G336" s="241"/>
      <c r="H336" s="241"/>
      <c r="I336"/>
      <c r="J336" s="286"/>
      <c r="K336" s="286"/>
      <c r="L336" s="286"/>
      <c r="M336" s="286"/>
      <c r="N336" s="286"/>
      <c r="O336" s="241"/>
      <c r="P336" s="241"/>
      <c r="Q336" s="241"/>
    </row>
    <row r="337" spans="1:17" ht="13.5" customHeight="1" x14ac:dyDescent="0.3">
      <c r="A337"/>
      <c r="B337" s="286"/>
      <c r="C337" s="286"/>
      <c r="D337" s="286"/>
      <c r="E337" s="286"/>
      <c r="F337" s="241"/>
      <c r="G337" s="241"/>
      <c r="H337" s="241"/>
      <c r="I337"/>
      <c r="J337" s="286"/>
      <c r="K337" s="286"/>
      <c r="L337" s="286"/>
      <c r="M337" s="286"/>
      <c r="N337" s="286"/>
      <c r="O337" s="241"/>
      <c r="P337" s="241"/>
      <c r="Q337" s="241"/>
    </row>
    <row r="338" spans="1:17" ht="13.5" customHeight="1" x14ac:dyDescent="0.3">
      <c r="A338"/>
      <c r="B338" s="286"/>
      <c r="C338" s="286"/>
      <c r="D338" s="286"/>
      <c r="E338" s="286"/>
      <c r="F338" s="241"/>
      <c r="G338" s="241"/>
      <c r="H338" s="241"/>
      <c r="I338"/>
      <c r="J338" s="286"/>
      <c r="K338" s="286"/>
      <c r="L338" s="286"/>
      <c r="M338" s="286"/>
      <c r="N338" s="286"/>
      <c r="O338" s="241"/>
      <c r="P338" s="241"/>
      <c r="Q338" s="241"/>
    </row>
    <row r="339" spans="1:17" ht="13.5" customHeight="1" x14ac:dyDescent="0.3">
      <c r="A339"/>
      <c r="B339" s="286"/>
      <c r="C339" s="286"/>
      <c r="D339" s="286"/>
      <c r="E339" s="286"/>
      <c r="F339" s="241"/>
      <c r="G339" s="241"/>
      <c r="H339" s="241"/>
      <c r="I339"/>
      <c r="J339" s="286"/>
      <c r="K339" s="286"/>
      <c r="L339" s="286"/>
      <c r="M339" s="286"/>
      <c r="N339" s="286"/>
      <c r="O339" s="241"/>
      <c r="P339" s="241"/>
      <c r="Q339" s="241"/>
    </row>
    <row r="340" spans="1:17" ht="13.5" customHeight="1" x14ac:dyDescent="0.3">
      <c r="A340"/>
      <c r="B340" s="286"/>
      <c r="C340" s="286"/>
      <c r="D340" s="286"/>
      <c r="E340" s="286"/>
      <c r="F340" s="241"/>
      <c r="G340" s="241"/>
      <c r="H340" s="241"/>
      <c r="I340"/>
      <c r="J340" s="286"/>
      <c r="K340" s="286"/>
      <c r="L340" s="286"/>
      <c r="M340" s="286"/>
      <c r="N340" s="286"/>
      <c r="O340" s="241"/>
      <c r="P340" s="241"/>
      <c r="Q340" s="241"/>
    </row>
    <row r="341" spans="1:17" ht="13.5" customHeight="1" x14ac:dyDescent="0.3">
      <c r="A341"/>
      <c r="B341" s="286"/>
      <c r="C341" s="286"/>
      <c r="D341" s="286"/>
      <c r="E341" s="286"/>
      <c r="F341" s="241"/>
      <c r="G341" s="241"/>
      <c r="H341" s="241"/>
      <c r="I341"/>
      <c r="J341" s="286"/>
      <c r="K341" s="286"/>
      <c r="L341" s="286"/>
      <c r="M341" s="286"/>
      <c r="N341" s="286"/>
      <c r="O341" s="241"/>
      <c r="P341" s="241"/>
      <c r="Q341" s="241"/>
    </row>
    <row r="342" spans="1:17" ht="13.5" customHeight="1" x14ac:dyDescent="0.3">
      <c r="A342"/>
      <c r="B342" s="286"/>
      <c r="C342" s="286"/>
      <c r="D342" s="286"/>
      <c r="E342" s="286"/>
      <c r="F342" s="241"/>
      <c r="G342" s="241"/>
      <c r="H342" s="241"/>
      <c r="I342"/>
      <c r="J342" s="286"/>
      <c r="K342" s="286"/>
      <c r="L342" s="286"/>
      <c r="M342" s="286"/>
      <c r="N342" s="286"/>
      <c r="O342" s="241"/>
      <c r="P342" s="241"/>
      <c r="Q342" s="241"/>
    </row>
    <row r="343" spans="1:17" ht="13.5" customHeight="1" x14ac:dyDescent="0.3">
      <c r="A343"/>
      <c r="B343" s="286"/>
      <c r="C343" s="286"/>
      <c r="D343" s="286"/>
      <c r="E343" s="286"/>
      <c r="F343" s="241"/>
      <c r="G343" s="241"/>
      <c r="H343" s="241"/>
      <c r="I343"/>
      <c r="J343" s="286"/>
      <c r="K343" s="286"/>
      <c r="L343" s="286"/>
      <c r="M343" s="286"/>
      <c r="N343" s="286"/>
      <c r="O343" s="241"/>
      <c r="P343" s="241"/>
      <c r="Q343" s="241"/>
    </row>
    <row r="344" spans="1:17" ht="13.5" customHeight="1" x14ac:dyDescent="0.3">
      <c r="A344"/>
      <c r="B344" s="286"/>
      <c r="C344" s="286"/>
      <c r="D344" s="286"/>
      <c r="E344" s="286"/>
      <c r="F344" s="241"/>
      <c r="G344" s="241"/>
      <c r="H344" s="241"/>
      <c r="I344"/>
      <c r="J344" s="286"/>
      <c r="K344" s="286"/>
      <c r="L344" s="286"/>
      <c r="M344" s="286"/>
      <c r="N344" s="286"/>
      <c r="O344" s="241"/>
      <c r="P344" s="241"/>
      <c r="Q344" s="241"/>
    </row>
    <row r="345" spans="1:17" ht="13.5" customHeight="1" x14ac:dyDescent="0.3">
      <c r="A345"/>
      <c r="B345" s="286"/>
      <c r="C345" s="286"/>
      <c r="D345" s="286"/>
      <c r="E345" s="286"/>
      <c r="F345" s="241"/>
      <c r="G345" s="241"/>
      <c r="H345" s="241"/>
      <c r="I345"/>
      <c r="J345" s="286"/>
      <c r="K345" s="286"/>
      <c r="L345" s="286"/>
      <c r="M345" s="286"/>
      <c r="N345" s="286"/>
      <c r="O345" s="241"/>
      <c r="P345" s="241"/>
      <c r="Q345" s="241"/>
    </row>
    <row r="346" spans="1:17" ht="13.5" customHeight="1" x14ac:dyDescent="0.3">
      <c r="A346"/>
      <c r="B346" s="286"/>
      <c r="C346" s="286"/>
      <c r="D346" s="286"/>
      <c r="E346" s="286"/>
      <c r="F346" s="241"/>
      <c r="G346" s="241"/>
      <c r="H346" s="241"/>
      <c r="I346"/>
      <c r="J346" s="286"/>
      <c r="K346" s="286"/>
      <c r="L346" s="286"/>
      <c r="M346" s="286"/>
      <c r="N346" s="286"/>
      <c r="O346" s="241"/>
      <c r="P346" s="241"/>
      <c r="Q346" s="241"/>
    </row>
    <row r="347" spans="1:17" ht="13.5" customHeight="1" x14ac:dyDescent="0.3">
      <c r="A347"/>
      <c r="B347" s="286"/>
      <c r="C347" s="286"/>
      <c r="D347" s="286"/>
      <c r="E347" s="286"/>
      <c r="F347" s="241"/>
      <c r="G347" s="241"/>
      <c r="H347" s="241"/>
      <c r="I347"/>
      <c r="J347" s="286"/>
      <c r="K347" s="286"/>
      <c r="L347" s="286"/>
      <c r="M347" s="286"/>
      <c r="N347" s="286"/>
      <c r="O347" s="241"/>
      <c r="P347" s="241"/>
      <c r="Q347" s="241"/>
    </row>
    <row r="348" spans="1:17" ht="13.5" customHeight="1" x14ac:dyDescent="0.3">
      <c r="A348"/>
      <c r="B348" s="286"/>
      <c r="C348" s="286"/>
      <c r="D348" s="286"/>
      <c r="E348" s="286"/>
      <c r="F348" s="241"/>
      <c r="G348" s="241"/>
      <c r="H348" s="241"/>
      <c r="I348"/>
      <c r="J348" s="286"/>
      <c r="K348" s="286"/>
      <c r="L348" s="286"/>
      <c r="M348" s="286"/>
      <c r="N348" s="286"/>
      <c r="O348" s="241"/>
      <c r="P348" s="241"/>
      <c r="Q348" s="241"/>
    </row>
    <row r="349" spans="1:17" ht="13.5" customHeight="1" x14ac:dyDescent="0.3">
      <c r="A349"/>
      <c r="B349" s="286"/>
      <c r="C349" s="286"/>
      <c r="D349" s="286"/>
      <c r="E349" s="286"/>
      <c r="F349" s="241"/>
      <c r="G349" s="241"/>
      <c r="H349" s="241"/>
      <c r="I349"/>
      <c r="J349" s="286"/>
      <c r="K349" s="286"/>
      <c r="L349" s="286"/>
      <c r="M349" s="286"/>
      <c r="N349" s="286"/>
      <c r="O349" s="241"/>
      <c r="P349" s="241"/>
      <c r="Q349" s="241"/>
    </row>
    <row r="350" spans="1:17" ht="13.5" customHeight="1" x14ac:dyDescent="0.3">
      <c r="A350"/>
      <c r="B350" s="286"/>
      <c r="C350" s="286"/>
      <c r="D350" s="286"/>
      <c r="E350" s="286"/>
      <c r="F350" s="241"/>
      <c r="G350" s="241"/>
      <c r="H350" s="241"/>
      <c r="I350"/>
      <c r="J350" s="286"/>
      <c r="K350" s="286"/>
      <c r="L350" s="286"/>
      <c r="M350" s="286"/>
      <c r="N350" s="286"/>
      <c r="O350" s="241"/>
      <c r="P350" s="241"/>
      <c r="Q350" s="241"/>
    </row>
    <row r="351" spans="1:17" ht="13.5" customHeight="1" x14ac:dyDescent="0.3">
      <c r="A351"/>
      <c r="B351" s="286"/>
      <c r="C351" s="286"/>
      <c r="D351" s="286"/>
      <c r="E351" s="286"/>
      <c r="F351" s="241"/>
      <c r="G351" s="241"/>
      <c r="H351" s="241"/>
      <c r="I351"/>
      <c r="J351" s="286"/>
      <c r="K351" s="286"/>
      <c r="L351" s="286"/>
      <c r="M351" s="286"/>
      <c r="N351" s="286"/>
      <c r="O351" s="241"/>
      <c r="P351" s="241"/>
      <c r="Q351" s="241"/>
    </row>
    <row r="352" spans="1:17" ht="13.5" customHeight="1" x14ac:dyDescent="0.3">
      <c r="A352"/>
      <c r="B352" s="286"/>
      <c r="C352" s="286"/>
      <c r="D352" s="286"/>
      <c r="E352" s="286"/>
      <c r="F352" s="241"/>
      <c r="G352" s="241"/>
      <c r="H352" s="241"/>
      <c r="I352"/>
      <c r="J352" s="286"/>
      <c r="K352" s="286"/>
      <c r="L352" s="286"/>
      <c r="M352" s="286"/>
      <c r="N352" s="286"/>
      <c r="O352" s="241"/>
      <c r="P352" s="241"/>
      <c r="Q352" s="241"/>
    </row>
    <row r="353" spans="1:17" ht="13.5" customHeight="1" x14ac:dyDescent="0.3">
      <c r="A353"/>
      <c r="B353" s="286"/>
      <c r="C353" s="286"/>
      <c r="D353" s="286"/>
      <c r="E353" s="286"/>
      <c r="F353" s="241"/>
      <c r="G353" s="241"/>
      <c r="H353" s="241"/>
      <c r="I353"/>
      <c r="J353" s="286"/>
      <c r="K353" s="286"/>
      <c r="L353" s="286"/>
      <c r="M353" s="286"/>
      <c r="N353" s="286"/>
      <c r="O353" s="241"/>
      <c r="P353" s="241"/>
      <c r="Q353" s="241"/>
    </row>
    <row r="354" spans="1:17" ht="13.5" customHeight="1" x14ac:dyDescent="0.3">
      <c r="A354"/>
      <c r="B354" s="286"/>
      <c r="C354" s="286"/>
      <c r="D354" s="286"/>
      <c r="E354" s="286"/>
      <c r="F354" s="241"/>
      <c r="G354" s="241"/>
      <c r="H354" s="241"/>
      <c r="I354"/>
      <c r="J354" s="286"/>
      <c r="K354" s="286"/>
      <c r="L354" s="286"/>
      <c r="M354" s="286"/>
      <c r="N354" s="286"/>
      <c r="O354" s="241"/>
      <c r="P354" s="241"/>
      <c r="Q354" s="241"/>
    </row>
    <row r="355" spans="1:17" ht="13.5" customHeight="1" x14ac:dyDescent="0.3">
      <c r="A355"/>
      <c r="B355" s="286"/>
      <c r="C355" s="286"/>
      <c r="D355" s="286"/>
      <c r="E355" s="286"/>
      <c r="F355" s="241"/>
      <c r="G355" s="241"/>
      <c r="H355" s="241"/>
      <c r="I355"/>
      <c r="J355" s="286"/>
      <c r="K355" s="286"/>
      <c r="L355" s="286"/>
      <c r="M355" s="286"/>
      <c r="N355" s="286"/>
      <c r="O355" s="241"/>
      <c r="P355" s="241"/>
      <c r="Q355" s="241"/>
    </row>
    <row r="356" spans="1:17" ht="13.5" customHeight="1" x14ac:dyDescent="0.3">
      <c r="A356"/>
      <c r="B356" s="286"/>
      <c r="C356" s="286"/>
      <c r="D356" s="286"/>
      <c r="E356" s="286"/>
      <c r="F356" s="241"/>
      <c r="G356" s="241"/>
      <c r="H356" s="241"/>
      <c r="I356"/>
      <c r="J356" s="286"/>
      <c r="K356" s="286"/>
      <c r="L356" s="286"/>
      <c r="M356" s="286"/>
      <c r="N356" s="286"/>
      <c r="O356" s="241"/>
      <c r="P356" s="241"/>
      <c r="Q356" s="241"/>
    </row>
    <row r="357" spans="1:17" ht="13.5" customHeight="1" x14ac:dyDescent="0.3">
      <c r="A357"/>
      <c r="B357" s="286"/>
      <c r="C357" s="286"/>
      <c r="D357" s="286"/>
      <c r="E357" s="286"/>
      <c r="F357" s="241"/>
      <c r="G357" s="241"/>
      <c r="H357" s="241"/>
      <c r="I357"/>
      <c r="J357" s="286"/>
      <c r="K357" s="286"/>
      <c r="L357" s="286"/>
      <c r="M357" s="286"/>
      <c r="N357" s="286"/>
      <c r="O357" s="241"/>
      <c r="P357" s="241"/>
      <c r="Q357" s="241"/>
    </row>
    <row r="358" spans="1:17" ht="13.5" customHeight="1" x14ac:dyDescent="0.3">
      <c r="A358"/>
      <c r="B358" s="286"/>
      <c r="C358" s="286"/>
      <c r="D358" s="286"/>
      <c r="E358" s="286"/>
      <c r="F358" s="241"/>
      <c r="G358" s="241"/>
      <c r="H358" s="241"/>
      <c r="I358"/>
      <c r="J358" s="286"/>
      <c r="K358" s="286"/>
      <c r="L358" s="286"/>
      <c r="M358" s="286"/>
      <c r="N358" s="286"/>
      <c r="O358" s="241"/>
      <c r="P358" s="241"/>
      <c r="Q358" s="241"/>
    </row>
    <row r="359" spans="1:17" ht="13.5" customHeight="1" x14ac:dyDescent="0.3">
      <c r="A359"/>
      <c r="B359" s="286"/>
      <c r="C359" s="286"/>
      <c r="D359" s="286"/>
      <c r="E359" s="286"/>
      <c r="F359" s="241"/>
      <c r="G359" s="241"/>
      <c r="H359" s="241"/>
      <c r="I359"/>
      <c r="J359" s="286"/>
      <c r="K359" s="286"/>
      <c r="L359" s="286"/>
      <c r="M359" s="286"/>
      <c r="N359" s="286"/>
      <c r="O359" s="241"/>
      <c r="P359" s="241"/>
      <c r="Q359" s="241"/>
    </row>
    <row r="360" spans="1:17" ht="13.5" customHeight="1" x14ac:dyDescent="0.3">
      <c r="A360"/>
      <c r="B360" s="286"/>
      <c r="C360" s="286"/>
      <c r="D360" s="286"/>
      <c r="E360" s="286"/>
      <c r="F360" s="241"/>
      <c r="G360" s="241"/>
      <c r="H360" s="241"/>
      <c r="I360"/>
      <c r="J360" s="286"/>
      <c r="K360" s="286"/>
      <c r="L360" s="286"/>
      <c r="M360" s="286"/>
      <c r="N360" s="286"/>
      <c r="O360" s="241"/>
      <c r="P360" s="241"/>
      <c r="Q360" s="241"/>
    </row>
    <row r="361" spans="1:17" ht="13.5" customHeight="1" x14ac:dyDescent="0.3">
      <c r="A361"/>
      <c r="B361" s="286"/>
      <c r="C361" s="286"/>
      <c r="D361" s="286"/>
      <c r="E361" s="286"/>
      <c r="F361" s="241"/>
      <c r="G361" s="241"/>
      <c r="H361" s="241"/>
      <c r="I361"/>
      <c r="J361" s="286"/>
      <c r="K361" s="286"/>
      <c r="L361" s="286"/>
      <c r="M361" s="286"/>
      <c r="N361" s="286"/>
      <c r="O361" s="241"/>
      <c r="P361" s="241"/>
      <c r="Q361" s="241"/>
    </row>
    <row r="362" spans="1:17" ht="13.5" customHeight="1" x14ac:dyDescent="0.3">
      <c r="A362"/>
      <c r="B362" s="286"/>
      <c r="C362" s="286"/>
      <c r="D362" s="286"/>
      <c r="E362" s="286"/>
      <c r="F362" s="241"/>
      <c r="G362" s="241"/>
      <c r="H362" s="241"/>
      <c r="I362"/>
      <c r="J362" s="286"/>
      <c r="K362" s="286"/>
      <c r="L362" s="286"/>
      <c r="M362" s="286"/>
      <c r="N362" s="286"/>
      <c r="O362" s="241"/>
      <c r="P362" s="241"/>
      <c r="Q362" s="241"/>
    </row>
    <row r="363" spans="1:17" ht="13.5" customHeight="1" x14ac:dyDescent="0.3">
      <c r="A363"/>
      <c r="B363" s="286"/>
      <c r="C363" s="286"/>
      <c r="D363" s="286"/>
      <c r="E363" s="286"/>
      <c r="F363" s="241"/>
      <c r="G363" s="241"/>
      <c r="H363" s="241"/>
      <c r="I363"/>
      <c r="J363" s="286"/>
      <c r="K363" s="286"/>
      <c r="L363" s="286"/>
      <c r="M363" s="286"/>
      <c r="N363" s="286"/>
      <c r="O363" s="241"/>
      <c r="P363" s="241"/>
      <c r="Q363" s="241"/>
    </row>
    <row r="364" spans="1:17" ht="13.5" customHeight="1" x14ac:dyDescent="0.3">
      <c r="A364"/>
      <c r="B364" s="286"/>
      <c r="C364" s="286"/>
      <c r="D364" s="286"/>
      <c r="E364" s="286"/>
      <c r="F364" s="241"/>
      <c r="G364" s="241"/>
      <c r="H364" s="241"/>
      <c r="I364"/>
      <c r="J364" s="286"/>
      <c r="K364" s="286"/>
      <c r="L364" s="286"/>
      <c r="M364" s="286"/>
      <c r="N364" s="286"/>
      <c r="O364" s="241"/>
      <c r="P364" s="241"/>
      <c r="Q364" s="241"/>
    </row>
    <row r="365" spans="1:17" ht="13.5" customHeight="1" x14ac:dyDescent="0.3">
      <c r="A365"/>
      <c r="B365" s="286"/>
      <c r="C365" s="286"/>
      <c r="D365" s="286"/>
      <c r="E365" s="286"/>
      <c r="F365" s="241"/>
      <c r="G365" s="241"/>
      <c r="H365" s="241"/>
      <c r="I365"/>
      <c r="J365" s="286"/>
      <c r="K365" s="286"/>
      <c r="L365" s="286"/>
      <c r="M365" s="286"/>
      <c r="N365" s="286"/>
      <c r="O365" s="241"/>
      <c r="P365" s="241"/>
      <c r="Q365" s="241"/>
    </row>
    <row r="366" spans="1:17" ht="13.5" customHeight="1" x14ac:dyDescent="0.3">
      <c r="A366"/>
      <c r="B366" s="286"/>
      <c r="C366" s="286"/>
      <c r="D366" s="286"/>
      <c r="E366" s="286"/>
      <c r="F366" s="241"/>
      <c r="G366" s="241"/>
      <c r="H366" s="241"/>
      <c r="I366"/>
      <c r="J366" s="286"/>
      <c r="K366" s="286"/>
      <c r="L366" s="286"/>
      <c r="M366" s="286"/>
      <c r="N366" s="286"/>
      <c r="O366" s="241"/>
      <c r="P366" s="241"/>
      <c r="Q366" s="241"/>
    </row>
    <row r="367" spans="1:17" ht="13.5" customHeight="1" x14ac:dyDescent="0.3">
      <c r="A367"/>
      <c r="B367" s="286"/>
      <c r="C367" s="286"/>
      <c r="D367" s="286"/>
      <c r="E367" s="286"/>
      <c r="F367" s="241"/>
      <c r="G367" s="241"/>
      <c r="H367" s="241"/>
      <c r="I367"/>
      <c r="J367" s="286"/>
      <c r="K367" s="286"/>
      <c r="L367" s="286"/>
      <c r="M367" s="286"/>
      <c r="N367" s="286"/>
      <c r="O367" s="241"/>
      <c r="P367" s="241"/>
      <c r="Q367" s="241"/>
    </row>
    <row r="368" spans="1:17" ht="13.5" customHeight="1" x14ac:dyDescent="0.3">
      <c r="A368"/>
      <c r="B368" s="286"/>
      <c r="C368" s="286"/>
      <c r="D368" s="286"/>
      <c r="E368" s="286"/>
      <c r="F368" s="241"/>
      <c r="G368" s="241"/>
      <c r="H368" s="241"/>
      <c r="I368"/>
      <c r="J368" s="286"/>
      <c r="K368" s="286"/>
      <c r="L368" s="286"/>
      <c r="M368" s="286"/>
      <c r="N368" s="286"/>
      <c r="O368" s="241"/>
      <c r="P368" s="241"/>
      <c r="Q368" s="241"/>
    </row>
    <row r="369" spans="1:17" ht="13.5" customHeight="1" x14ac:dyDescent="0.3">
      <c r="A369"/>
      <c r="B369" s="286"/>
      <c r="C369" s="286"/>
      <c r="D369" s="286"/>
      <c r="E369" s="286"/>
      <c r="F369" s="241"/>
      <c r="G369" s="241"/>
      <c r="H369" s="241"/>
      <c r="I369"/>
      <c r="J369" s="286"/>
      <c r="K369" s="286"/>
      <c r="L369" s="286"/>
      <c r="M369" s="286"/>
      <c r="N369" s="286"/>
      <c r="O369" s="241"/>
      <c r="P369" s="241"/>
      <c r="Q369" s="241"/>
    </row>
    <row r="370" spans="1:17" ht="13.5" customHeight="1" x14ac:dyDescent="0.3">
      <c r="A370"/>
      <c r="B370" s="286"/>
      <c r="C370" s="286"/>
      <c r="D370" s="286"/>
      <c r="E370" s="286"/>
      <c r="F370" s="241"/>
      <c r="G370" s="241"/>
      <c r="H370" s="241"/>
      <c r="I370"/>
      <c r="J370" s="286"/>
      <c r="K370" s="286"/>
      <c r="L370" s="286"/>
      <c r="M370" s="286"/>
      <c r="N370" s="286"/>
      <c r="O370" s="241"/>
      <c r="P370" s="241"/>
      <c r="Q370" s="241"/>
    </row>
    <row r="371" spans="1:17" ht="13.5" customHeight="1" x14ac:dyDescent="0.3">
      <c r="A371"/>
      <c r="B371" s="286"/>
      <c r="C371" s="286"/>
      <c r="D371" s="286"/>
      <c r="E371" s="286"/>
      <c r="F371" s="241"/>
      <c r="G371" s="241"/>
      <c r="H371" s="241"/>
      <c r="I371"/>
      <c r="J371" s="286"/>
      <c r="K371" s="286"/>
      <c r="L371" s="286"/>
      <c r="M371" s="286"/>
      <c r="N371" s="286"/>
      <c r="O371" s="241"/>
      <c r="P371" s="241"/>
      <c r="Q371" s="241"/>
    </row>
    <row r="372" spans="1:17" ht="13.5" customHeight="1" x14ac:dyDescent="0.3">
      <c r="A372"/>
      <c r="B372" s="286"/>
      <c r="C372" s="286"/>
      <c r="D372" s="286"/>
      <c r="E372" s="286"/>
      <c r="F372" s="241"/>
      <c r="G372" s="241"/>
      <c r="H372" s="241"/>
      <c r="I372"/>
      <c r="J372" s="286"/>
      <c r="K372" s="286"/>
      <c r="L372" s="286"/>
      <c r="M372" s="286"/>
      <c r="N372" s="286"/>
      <c r="O372" s="241"/>
      <c r="P372" s="241"/>
      <c r="Q372" s="241"/>
    </row>
    <row r="373" spans="1:17" ht="13.5" customHeight="1" x14ac:dyDescent="0.3">
      <c r="A373"/>
      <c r="B373" s="286"/>
      <c r="C373" s="286"/>
      <c r="D373" s="286"/>
      <c r="E373" s="286"/>
      <c r="F373" s="241"/>
      <c r="G373" s="241"/>
      <c r="H373" s="241"/>
      <c r="I373"/>
      <c r="J373" s="286"/>
      <c r="K373" s="286"/>
      <c r="L373" s="286"/>
      <c r="M373" s="286"/>
      <c r="N373" s="286"/>
      <c r="O373" s="241"/>
      <c r="P373" s="241"/>
      <c r="Q373" s="241"/>
    </row>
    <row r="374" spans="1:17" ht="13.5" customHeight="1" x14ac:dyDescent="0.3">
      <c r="A374"/>
      <c r="B374" s="286"/>
      <c r="C374" s="286"/>
      <c r="D374" s="286"/>
      <c r="E374" s="286"/>
      <c r="F374" s="241"/>
      <c r="G374" s="241"/>
      <c r="H374" s="241"/>
      <c r="I374"/>
      <c r="J374" s="286"/>
      <c r="K374" s="286"/>
      <c r="L374" s="286"/>
      <c r="M374" s="286"/>
      <c r="N374" s="286"/>
      <c r="O374" s="241"/>
      <c r="P374" s="241"/>
      <c r="Q374" s="241"/>
    </row>
    <row r="375" spans="1:17" ht="13.5" customHeight="1" x14ac:dyDescent="0.3">
      <c r="A375"/>
      <c r="B375" s="286"/>
      <c r="C375" s="286"/>
      <c r="D375" s="286"/>
      <c r="E375" s="286"/>
      <c r="F375" s="241"/>
      <c r="G375" s="241"/>
      <c r="H375" s="241"/>
      <c r="I375"/>
      <c r="J375" s="286"/>
      <c r="K375" s="286"/>
      <c r="L375" s="286"/>
      <c r="M375" s="286"/>
      <c r="N375" s="286"/>
      <c r="O375" s="241"/>
      <c r="P375" s="241"/>
      <c r="Q375" s="241"/>
    </row>
    <row r="376" spans="1:17" ht="13.5" customHeight="1" x14ac:dyDescent="0.3">
      <c r="A376"/>
      <c r="B376" s="286"/>
      <c r="C376" s="286"/>
      <c r="D376" s="286"/>
      <c r="E376" s="286"/>
      <c r="F376" s="241"/>
      <c r="G376" s="241"/>
      <c r="H376" s="241"/>
      <c r="I376"/>
      <c r="J376" s="286"/>
      <c r="K376" s="286"/>
      <c r="L376" s="286"/>
      <c r="M376" s="286"/>
      <c r="N376" s="286"/>
      <c r="O376" s="241"/>
      <c r="P376" s="241"/>
      <c r="Q376" s="241"/>
    </row>
    <row r="377" spans="1:17" ht="13.5" customHeight="1" x14ac:dyDescent="0.3">
      <c r="A377"/>
      <c r="B377" s="286"/>
      <c r="C377" s="286"/>
      <c r="D377" s="286"/>
      <c r="E377" s="286"/>
      <c r="F377" s="241"/>
      <c r="G377" s="241"/>
      <c r="H377" s="241"/>
      <c r="I377"/>
      <c r="J377" s="286"/>
      <c r="K377" s="286"/>
      <c r="L377" s="286"/>
      <c r="M377" s="286"/>
      <c r="N377" s="286"/>
      <c r="O377" s="241"/>
      <c r="P377" s="241"/>
      <c r="Q377" s="241"/>
    </row>
    <row r="378" spans="1:17" ht="13.5" customHeight="1" x14ac:dyDescent="0.3">
      <c r="A378"/>
      <c r="B378" s="286"/>
      <c r="C378" s="286"/>
      <c r="D378" s="286"/>
      <c r="E378" s="286"/>
      <c r="F378" s="241"/>
      <c r="G378" s="241"/>
      <c r="H378" s="241"/>
      <c r="I378"/>
      <c r="J378" s="286"/>
      <c r="K378" s="286"/>
      <c r="L378" s="286"/>
      <c r="M378" s="286"/>
      <c r="N378" s="286"/>
      <c r="O378" s="241"/>
      <c r="P378" s="241"/>
      <c r="Q378" s="241"/>
    </row>
    <row r="379" spans="1:17" ht="13.5" customHeight="1" x14ac:dyDescent="0.3">
      <c r="A379"/>
      <c r="B379" s="286"/>
      <c r="C379" s="286"/>
      <c r="D379" s="286"/>
      <c r="E379" s="286"/>
      <c r="F379" s="241"/>
      <c r="G379" s="241"/>
      <c r="H379" s="241"/>
      <c r="I379"/>
      <c r="J379" s="286"/>
      <c r="K379" s="286"/>
      <c r="L379" s="286"/>
      <c r="M379" s="286"/>
      <c r="N379" s="286"/>
      <c r="O379" s="241"/>
      <c r="P379" s="241"/>
      <c r="Q379" s="241"/>
    </row>
    <row r="380" spans="1:17" ht="13.5" customHeight="1" x14ac:dyDescent="0.3">
      <c r="A380"/>
      <c r="B380" s="286"/>
      <c r="C380" s="286"/>
      <c r="D380" s="286"/>
      <c r="E380" s="286"/>
      <c r="F380" s="241"/>
      <c r="G380" s="241"/>
      <c r="H380" s="241"/>
      <c r="I380"/>
      <c r="J380" s="286"/>
      <c r="K380" s="286"/>
      <c r="L380" s="286"/>
      <c r="M380" s="286"/>
      <c r="N380" s="286"/>
      <c r="O380" s="241"/>
      <c r="P380" s="241"/>
      <c r="Q380" s="241"/>
    </row>
    <row r="381" spans="1:17" ht="13.5" customHeight="1" x14ac:dyDescent="0.3">
      <c r="A381"/>
      <c r="B381" s="286"/>
      <c r="C381" s="286"/>
      <c r="D381" s="286"/>
      <c r="E381" s="286"/>
      <c r="F381" s="241"/>
      <c r="G381" s="241"/>
      <c r="H381" s="241"/>
      <c r="I381"/>
      <c r="J381" s="286"/>
      <c r="K381" s="286"/>
      <c r="L381" s="286"/>
      <c r="M381" s="286"/>
      <c r="N381" s="286"/>
      <c r="O381" s="241"/>
      <c r="P381" s="241"/>
      <c r="Q381" s="241"/>
    </row>
    <row r="382" spans="1:17" ht="13.5" customHeight="1" x14ac:dyDescent="0.3">
      <c r="A382"/>
      <c r="B382" s="286"/>
      <c r="C382" s="286"/>
      <c r="D382" s="286"/>
      <c r="E382" s="286"/>
      <c r="F382" s="241"/>
      <c r="G382" s="241"/>
      <c r="H382" s="241"/>
      <c r="I382"/>
      <c r="J382" s="286"/>
      <c r="K382" s="286"/>
      <c r="L382" s="286"/>
      <c r="M382" s="286"/>
      <c r="N382" s="286"/>
      <c r="O382" s="241"/>
      <c r="P382" s="241"/>
      <c r="Q382" s="241"/>
    </row>
    <row r="383" spans="1:17" ht="13.5" customHeight="1" x14ac:dyDescent="0.3">
      <c r="A383"/>
      <c r="B383" s="286"/>
      <c r="C383" s="286"/>
      <c r="D383" s="286"/>
      <c r="E383" s="286"/>
      <c r="F383" s="241"/>
      <c r="G383" s="241"/>
      <c r="H383" s="241"/>
      <c r="I383"/>
      <c r="J383" s="286"/>
      <c r="K383" s="286"/>
      <c r="L383" s="286"/>
      <c r="M383" s="286"/>
      <c r="N383" s="286"/>
      <c r="O383" s="241"/>
      <c r="P383" s="241"/>
      <c r="Q383" s="241"/>
    </row>
    <row r="384" spans="1:17" ht="13.5" customHeight="1" x14ac:dyDescent="0.3">
      <c r="A384"/>
      <c r="B384" s="286"/>
      <c r="C384" s="286"/>
      <c r="D384" s="286"/>
      <c r="E384" s="286"/>
      <c r="F384" s="241"/>
      <c r="G384" s="241"/>
      <c r="H384" s="241"/>
      <c r="I384"/>
      <c r="J384" s="286"/>
      <c r="K384" s="286"/>
      <c r="L384" s="286"/>
      <c r="M384" s="286"/>
      <c r="N384" s="286"/>
      <c r="O384" s="241"/>
      <c r="P384" s="241"/>
      <c r="Q384" s="241"/>
    </row>
    <row r="385" spans="1:17" ht="13.5" customHeight="1" x14ac:dyDescent="0.3">
      <c r="A385"/>
      <c r="B385" s="286"/>
      <c r="C385" s="286"/>
      <c r="D385" s="286"/>
      <c r="E385" s="286"/>
      <c r="F385" s="241"/>
      <c r="G385" s="241"/>
      <c r="H385" s="241"/>
      <c r="I385"/>
      <c r="J385" s="286"/>
      <c r="K385" s="286"/>
      <c r="L385" s="286"/>
      <c r="M385" s="286"/>
      <c r="N385" s="286"/>
      <c r="O385" s="241"/>
      <c r="P385" s="241"/>
      <c r="Q385" s="241"/>
    </row>
    <row r="386" spans="1:17" ht="13.5" customHeight="1" x14ac:dyDescent="0.3">
      <c r="A386"/>
      <c r="B386" s="286"/>
      <c r="C386" s="286"/>
      <c r="D386" s="286"/>
      <c r="E386" s="286"/>
      <c r="F386" s="241"/>
      <c r="G386" s="241"/>
      <c r="H386" s="241"/>
      <c r="I386"/>
      <c r="J386" s="286"/>
      <c r="K386" s="286"/>
      <c r="L386" s="286"/>
      <c r="M386" s="286"/>
      <c r="N386" s="286"/>
      <c r="O386" s="241"/>
      <c r="P386" s="241"/>
      <c r="Q386" s="241"/>
    </row>
    <row r="387" spans="1:17" ht="13.5" customHeight="1" x14ac:dyDescent="0.3">
      <c r="A387"/>
      <c r="B387" s="286"/>
      <c r="C387" s="286"/>
      <c r="D387" s="286"/>
      <c r="E387" s="286"/>
      <c r="F387" s="241"/>
      <c r="G387" s="241"/>
      <c r="H387" s="241"/>
      <c r="I387"/>
      <c r="J387" s="286"/>
      <c r="K387" s="286"/>
      <c r="L387" s="286"/>
      <c r="M387" s="286"/>
      <c r="N387" s="286"/>
      <c r="O387" s="241"/>
      <c r="P387" s="241"/>
      <c r="Q387" s="241"/>
    </row>
    <row r="388" spans="1:17" ht="13.5" customHeight="1" x14ac:dyDescent="0.3">
      <c r="A388"/>
      <c r="B388" s="286"/>
      <c r="C388" s="286"/>
      <c r="D388" s="286"/>
      <c r="E388" s="286"/>
      <c r="F388" s="241"/>
      <c r="G388" s="241"/>
      <c r="H388" s="241"/>
      <c r="I388"/>
      <c r="J388" s="286"/>
      <c r="K388" s="286"/>
      <c r="L388" s="286"/>
      <c r="M388" s="286"/>
      <c r="N388" s="286"/>
      <c r="O388" s="241"/>
      <c r="P388" s="241"/>
      <c r="Q388" s="241"/>
    </row>
    <row r="389" spans="1:17" ht="13.5" customHeight="1" x14ac:dyDescent="0.3">
      <c r="A389"/>
      <c r="B389" s="286"/>
      <c r="C389" s="286"/>
      <c r="D389" s="286"/>
      <c r="E389" s="286"/>
      <c r="F389" s="241"/>
      <c r="G389" s="241"/>
      <c r="H389" s="241"/>
      <c r="I389"/>
      <c r="J389" s="286"/>
      <c r="K389" s="286"/>
      <c r="L389" s="286"/>
      <c r="M389" s="286"/>
      <c r="N389" s="286"/>
      <c r="O389" s="241"/>
      <c r="P389" s="241"/>
      <c r="Q389" s="241"/>
    </row>
    <row r="390" spans="1:17" ht="13.5" customHeight="1" x14ac:dyDescent="0.3">
      <c r="A390"/>
      <c r="B390" s="286"/>
      <c r="C390" s="286"/>
      <c r="D390" s="286"/>
      <c r="E390" s="286"/>
      <c r="F390" s="241"/>
      <c r="G390" s="241"/>
      <c r="H390" s="241"/>
      <c r="I390"/>
      <c r="J390" s="286"/>
      <c r="K390" s="286"/>
      <c r="L390" s="286"/>
      <c r="M390" s="286"/>
      <c r="N390" s="286"/>
      <c r="O390" s="241"/>
      <c r="P390" s="241"/>
      <c r="Q390" s="241"/>
    </row>
    <row r="391" spans="1:17" ht="13.5" customHeight="1" x14ac:dyDescent="0.3">
      <c r="A391"/>
      <c r="B391" s="286"/>
      <c r="C391" s="286"/>
      <c r="D391" s="286"/>
      <c r="E391" s="286"/>
      <c r="F391" s="241"/>
      <c r="G391" s="241"/>
      <c r="H391" s="241"/>
      <c r="I391"/>
      <c r="J391" s="286"/>
      <c r="K391" s="286"/>
      <c r="L391" s="286"/>
      <c r="M391" s="286"/>
      <c r="N391" s="286"/>
      <c r="O391" s="241"/>
      <c r="P391" s="241"/>
      <c r="Q391" s="241"/>
    </row>
    <row r="392" spans="1:17" ht="13.5" customHeight="1" x14ac:dyDescent="0.3">
      <c r="A392"/>
      <c r="B392" s="286"/>
      <c r="C392" s="286"/>
      <c r="D392" s="286"/>
      <c r="E392" s="286"/>
      <c r="F392" s="241"/>
      <c r="G392" s="241"/>
      <c r="H392" s="241"/>
      <c r="I392"/>
      <c r="J392" s="286"/>
      <c r="K392" s="286"/>
      <c r="L392" s="286"/>
      <c r="M392" s="286"/>
      <c r="N392" s="286"/>
      <c r="O392" s="241"/>
      <c r="P392" s="241"/>
      <c r="Q392" s="241"/>
    </row>
    <row r="393" spans="1:17" ht="13.5" customHeight="1" x14ac:dyDescent="0.3">
      <c r="A393"/>
      <c r="B393" s="286"/>
      <c r="C393" s="286"/>
      <c r="D393" s="286"/>
      <c r="E393" s="286"/>
      <c r="F393" s="241"/>
      <c r="G393" s="241"/>
      <c r="H393" s="241"/>
      <c r="I393"/>
      <c r="J393" s="286"/>
      <c r="K393" s="286"/>
      <c r="L393" s="286"/>
      <c r="M393" s="286"/>
      <c r="N393" s="286"/>
      <c r="O393" s="241"/>
      <c r="P393" s="241"/>
      <c r="Q393" s="241"/>
    </row>
    <row r="394" spans="1:17" ht="13.5" customHeight="1" x14ac:dyDescent="0.3">
      <c r="A394"/>
      <c r="B394" s="286"/>
      <c r="C394" s="286"/>
      <c r="D394" s="286"/>
      <c r="E394" s="286"/>
      <c r="F394" s="241"/>
      <c r="G394" s="241"/>
      <c r="H394" s="241"/>
      <c r="I394"/>
      <c r="J394" s="286"/>
      <c r="K394" s="286"/>
      <c r="L394" s="286"/>
      <c r="M394" s="286"/>
      <c r="N394" s="286"/>
      <c r="O394" s="241"/>
      <c r="P394" s="241"/>
      <c r="Q394" s="241"/>
    </row>
    <row r="395" spans="1:17" ht="13.5" customHeight="1" x14ac:dyDescent="0.3">
      <c r="A395"/>
      <c r="B395" s="286"/>
      <c r="C395" s="286"/>
      <c r="D395" s="286"/>
      <c r="E395" s="286"/>
      <c r="F395" s="241"/>
      <c r="G395" s="241"/>
      <c r="H395" s="241"/>
      <c r="I395"/>
      <c r="J395" s="286"/>
      <c r="K395" s="286"/>
      <c r="L395" s="286"/>
      <c r="M395" s="286"/>
      <c r="N395" s="286"/>
      <c r="O395" s="241"/>
      <c r="P395" s="241"/>
      <c r="Q395" s="241"/>
    </row>
    <row r="396" spans="1:17" ht="13.5" customHeight="1" x14ac:dyDescent="0.3">
      <c r="A396"/>
      <c r="B396" s="286"/>
      <c r="C396" s="286"/>
      <c r="D396" s="286"/>
      <c r="E396" s="286"/>
      <c r="F396" s="241"/>
      <c r="G396" s="241"/>
      <c r="H396" s="241"/>
      <c r="I396"/>
      <c r="J396" s="286"/>
      <c r="K396" s="286"/>
      <c r="L396" s="286"/>
      <c r="M396" s="286"/>
      <c r="N396" s="286"/>
      <c r="O396" s="241"/>
      <c r="P396" s="241"/>
      <c r="Q396" s="241"/>
    </row>
    <row r="397" spans="1:17" ht="13.5" customHeight="1" x14ac:dyDescent="0.3">
      <c r="A397"/>
      <c r="B397" s="286"/>
      <c r="C397" s="286"/>
      <c r="D397" s="286"/>
      <c r="E397" s="286"/>
      <c r="F397" s="241"/>
      <c r="G397" s="241"/>
      <c r="H397" s="241"/>
      <c r="I397"/>
      <c r="J397" s="286"/>
      <c r="K397" s="286"/>
      <c r="L397" s="286"/>
      <c r="M397" s="286"/>
      <c r="N397" s="286"/>
      <c r="O397" s="241"/>
      <c r="P397" s="241"/>
      <c r="Q397" s="241"/>
    </row>
    <row r="398" spans="1:17" ht="13.5" customHeight="1" x14ac:dyDescent="0.3">
      <c r="A398"/>
      <c r="B398" s="286"/>
      <c r="C398" s="286"/>
      <c r="D398" s="286"/>
      <c r="E398" s="286"/>
      <c r="F398" s="241"/>
      <c r="G398" s="241"/>
      <c r="H398" s="241"/>
      <c r="I398"/>
      <c r="J398" s="286"/>
      <c r="K398" s="286"/>
      <c r="L398" s="286"/>
      <c r="M398" s="286"/>
      <c r="N398" s="286"/>
      <c r="O398" s="241"/>
      <c r="P398" s="241"/>
      <c r="Q398" s="241"/>
    </row>
    <row r="399" spans="1:17" ht="13.5" customHeight="1" x14ac:dyDescent="0.3">
      <c r="A399"/>
      <c r="B399" s="286"/>
      <c r="C399" s="286"/>
      <c r="D399" s="286"/>
      <c r="E399" s="286"/>
      <c r="F399" s="241"/>
      <c r="G399" s="241"/>
      <c r="H399" s="241"/>
      <c r="I399"/>
      <c r="J399" s="286"/>
      <c r="K399" s="286"/>
      <c r="L399" s="286"/>
      <c r="M399" s="286"/>
      <c r="N399" s="286"/>
      <c r="O399" s="241"/>
      <c r="P399" s="241"/>
      <c r="Q399" s="241"/>
    </row>
    <row r="400" spans="1:17" ht="13.5" customHeight="1" x14ac:dyDescent="0.3">
      <c r="A400"/>
      <c r="B400" s="286"/>
      <c r="C400" s="286"/>
      <c r="D400" s="286"/>
      <c r="E400" s="286"/>
      <c r="F400" s="241"/>
      <c r="G400" s="241"/>
      <c r="H400" s="241"/>
      <c r="I400"/>
      <c r="J400" s="286"/>
      <c r="K400" s="286"/>
      <c r="L400" s="286"/>
      <c r="M400" s="286"/>
      <c r="N400" s="286"/>
      <c r="O400" s="241"/>
      <c r="P400" s="241"/>
      <c r="Q400" s="241"/>
    </row>
    <row r="401" spans="1:17" ht="13.5" customHeight="1" x14ac:dyDescent="0.3">
      <c r="A401"/>
      <c r="B401" s="286"/>
      <c r="C401" s="286"/>
      <c r="D401" s="286"/>
      <c r="E401" s="286"/>
      <c r="F401" s="241"/>
      <c r="G401" s="241"/>
      <c r="H401" s="241"/>
      <c r="I401"/>
      <c r="J401" s="286"/>
      <c r="K401" s="286"/>
      <c r="L401" s="286"/>
      <c r="M401" s="286"/>
      <c r="N401" s="286"/>
      <c r="O401" s="241"/>
      <c r="P401" s="241"/>
      <c r="Q401" s="241"/>
    </row>
    <row r="402" spans="1:17" ht="13.5" customHeight="1" x14ac:dyDescent="0.3">
      <c r="A402"/>
      <c r="B402" s="286"/>
      <c r="C402" s="286"/>
      <c r="D402" s="286"/>
      <c r="E402" s="286"/>
      <c r="F402" s="241"/>
      <c r="G402" s="241"/>
      <c r="H402" s="241"/>
      <c r="I402"/>
      <c r="J402" s="286"/>
      <c r="K402" s="286"/>
      <c r="L402" s="286"/>
      <c r="M402" s="286"/>
      <c r="N402" s="286"/>
      <c r="O402" s="241"/>
      <c r="P402" s="241"/>
      <c r="Q402" s="241"/>
    </row>
    <row r="403" spans="1:17" ht="13.5" customHeight="1" x14ac:dyDescent="0.3">
      <c r="A403"/>
      <c r="B403" s="286"/>
      <c r="C403" s="286"/>
      <c r="D403" s="286"/>
      <c r="E403" s="286"/>
      <c r="F403" s="241"/>
      <c r="G403" s="241"/>
      <c r="H403" s="241"/>
      <c r="I403"/>
      <c r="J403" s="286"/>
      <c r="K403" s="286"/>
      <c r="L403" s="286"/>
      <c r="M403" s="286"/>
      <c r="N403" s="286"/>
      <c r="O403" s="241"/>
      <c r="P403" s="241"/>
      <c r="Q403" s="241"/>
    </row>
    <row r="404" spans="1:17" ht="13.5" customHeight="1" x14ac:dyDescent="0.3">
      <c r="A404"/>
      <c r="B404" s="286"/>
      <c r="C404" s="286"/>
      <c r="D404" s="286"/>
      <c r="E404" s="286"/>
      <c r="F404" s="241"/>
      <c r="G404" s="241"/>
      <c r="H404" s="241"/>
      <c r="I404"/>
      <c r="J404" s="286"/>
      <c r="K404" s="286"/>
      <c r="L404" s="286"/>
      <c r="M404" s="286"/>
      <c r="N404" s="286"/>
      <c r="O404" s="241"/>
      <c r="P404" s="241"/>
      <c r="Q404" s="241"/>
    </row>
    <row r="405" spans="1:17" ht="13.5" customHeight="1" x14ac:dyDescent="0.3">
      <c r="A405"/>
      <c r="B405" s="286"/>
      <c r="C405" s="286"/>
      <c r="D405" s="286"/>
      <c r="E405" s="286"/>
      <c r="F405" s="241"/>
      <c r="G405" s="241"/>
      <c r="H405" s="241"/>
      <c r="I405"/>
      <c r="J405" s="286"/>
      <c r="K405" s="286"/>
      <c r="L405" s="286"/>
      <c r="M405" s="286"/>
      <c r="N405" s="286"/>
      <c r="O405" s="241"/>
      <c r="P405" s="241"/>
      <c r="Q405" s="241"/>
    </row>
    <row r="406" spans="1:17" ht="13.5" customHeight="1" x14ac:dyDescent="0.3">
      <c r="A406"/>
      <c r="B406" s="286"/>
      <c r="C406" s="286"/>
      <c r="D406" s="286"/>
      <c r="E406" s="286"/>
      <c r="F406" s="241"/>
      <c r="G406" s="241"/>
      <c r="H406" s="241"/>
      <c r="I406"/>
      <c r="J406" s="286"/>
      <c r="K406" s="286"/>
      <c r="L406" s="286"/>
      <c r="M406" s="286"/>
      <c r="N406" s="286"/>
      <c r="O406" s="241"/>
      <c r="P406" s="241"/>
      <c r="Q406" s="241"/>
    </row>
    <row r="407" spans="1:17" ht="13.5" customHeight="1" x14ac:dyDescent="0.3">
      <c r="A407"/>
      <c r="B407" s="286"/>
      <c r="C407" s="286"/>
      <c r="D407" s="286"/>
      <c r="E407" s="286"/>
      <c r="F407" s="241"/>
      <c r="G407" s="241"/>
      <c r="H407" s="241"/>
      <c r="I407"/>
      <c r="J407" s="286"/>
      <c r="K407" s="286"/>
      <c r="L407" s="286"/>
      <c r="M407" s="286"/>
      <c r="N407" s="286"/>
      <c r="O407" s="241"/>
      <c r="P407" s="241"/>
      <c r="Q407" s="241"/>
    </row>
    <row r="408" spans="1:17" ht="13.5" customHeight="1" x14ac:dyDescent="0.3">
      <c r="A408"/>
      <c r="B408" s="286"/>
      <c r="C408" s="286"/>
      <c r="D408" s="286"/>
      <c r="E408" s="286"/>
      <c r="F408" s="241"/>
      <c r="G408" s="241"/>
      <c r="H408" s="241"/>
      <c r="I408"/>
      <c r="J408" s="286"/>
      <c r="K408" s="286"/>
      <c r="L408" s="286"/>
      <c r="M408" s="286"/>
      <c r="N408" s="286"/>
      <c r="O408" s="241"/>
      <c r="P408" s="241"/>
      <c r="Q408" s="241"/>
    </row>
    <row r="409" spans="1:17" ht="13.5" customHeight="1" x14ac:dyDescent="0.3">
      <c r="A409"/>
      <c r="B409" s="286"/>
      <c r="C409" s="286"/>
      <c r="D409" s="286"/>
      <c r="E409" s="286"/>
      <c r="F409" s="241"/>
      <c r="G409" s="241"/>
      <c r="H409" s="241"/>
      <c r="I409"/>
      <c r="J409" s="286"/>
      <c r="K409" s="286"/>
      <c r="L409" s="286"/>
      <c r="M409" s="286"/>
      <c r="N409" s="286"/>
      <c r="O409" s="241"/>
      <c r="P409" s="241"/>
      <c r="Q409" s="241"/>
    </row>
    <row r="410" spans="1:17" ht="13.5" customHeight="1" x14ac:dyDescent="0.3">
      <c r="A410"/>
      <c r="B410" s="286"/>
      <c r="C410" s="286"/>
      <c r="D410" s="286"/>
      <c r="E410" s="286"/>
      <c r="F410" s="241"/>
      <c r="G410" s="241"/>
      <c r="H410" s="241"/>
      <c r="I410"/>
      <c r="J410" s="286"/>
      <c r="K410" s="286"/>
      <c r="L410" s="286"/>
      <c r="M410" s="286"/>
      <c r="N410" s="286"/>
      <c r="O410" s="241"/>
      <c r="P410" s="241"/>
      <c r="Q410" s="241"/>
    </row>
    <row r="411" spans="1:17" ht="13.5" customHeight="1" x14ac:dyDescent="0.3">
      <c r="A411"/>
      <c r="B411" s="286"/>
      <c r="C411" s="286"/>
      <c r="D411" s="286"/>
      <c r="E411" s="286"/>
      <c r="F411" s="241"/>
      <c r="G411" s="241"/>
      <c r="H411" s="241"/>
      <c r="I411"/>
      <c r="J411" s="286"/>
      <c r="K411" s="286"/>
      <c r="L411" s="286"/>
      <c r="M411" s="286"/>
      <c r="N411" s="286"/>
      <c r="O411" s="241"/>
      <c r="P411" s="241"/>
      <c r="Q411" s="241"/>
    </row>
    <row r="412" spans="1:17" ht="13.5" customHeight="1" x14ac:dyDescent="0.3">
      <c r="A412"/>
      <c r="B412" s="286"/>
      <c r="C412" s="286"/>
      <c r="D412" s="286"/>
      <c r="E412" s="286"/>
      <c r="F412" s="241"/>
      <c r="G412" s="241"/>
      <c r="H412" s="241"/>
      <c r="I412"/>
      <c r="J412" s="286"/>
      <c r="K412" s="286"/>
      <c r="L412" s="286"/>
      <c r="M412" s="286"/>
      <c r="N412" s="286"/>
      <c r="O412" s="241"/>
      <c r="P412" s="241"/>
      <c r="Q412" s="241"/>
    </row>
    <row r="413" spans="1:17" ht="13.5" customHeight="1" x14ac:dyDescent="0.3">
      <c r="A413"/>
      <c r="B413" s="286"/>
      <c r="C413" s="286"/>
      <c r="D413" s="286"/>
      <c r="E413" s="286"/>
      <c r="F413" s="241"/>
      <c r="G413" s="241"/>
      <c r="H413" s="241"/>
      <c r="I413"/>
      <c r="J413" s="286"/>
      <c r="K413" s="286"/>
      <c r="L413" s="286"/>
      <c r="M413" s="286"/>
      <c r="N413" s="286"/>
      <c r="O413" s="241"/>
      <c r="P413" s="241"/>
      <c r="Q413" s="241"/>
    </row>
    <row r="414" spans="1:17" ht="13.5" customHeight="1" x14ac:dyDescent="0.3">
      <c r="A414"/>
      <c r="B414" s="286"/>
      <c r="C414" s="286"/>
      <c r="D414" s="286"/>
      <c r="E414" s="286"/>
      <c r="F414" s="241"/>
      <c r="G414" s="241"/>
      <c r="H414" s="241"/>
      <c r="I414"/>
      <c r="J414" s="286"/>
      <c r="K414" s="286"/>
      <c r="L414" s="286"/>
      <c r="M414" s="286"/>
      <c r="N414" s="286"/>
      <c r="O414" s="241"/>
      <c r="P414" s="241"/>
      <c r="Q414" s="241"/>
    </row>
    <row r="415" spans="1:17" ht="13.5" customHeight="1" x14ac:dyDescent="0.3">
      <c r="A415"/>
      <c r="B415" s="286"/>
      <c r="C415" s="286"/>
      <c r="D415" s="286"/>
      <c r="E415" s="286"/>
      <c r="F415" s="241"/>
      <c r="G415" s="241"/>
      <c r="H415" s="241"/>
      <c r="I415"/>
      <c r="J415" s="286"/>
      <c r="K415" s="286"/>
      <c r="L415" s="286"/>
      <c r="M415" s="286"/>
      <c r="N415" s="286"/>
      <c r="O415" s="241"/>
      <c r="P415" s="241"/>
      <c r="Q415" s="241"/>
    </row>
    <row r="416" spans="1:17" ht="13.5" customHeight="1" x14ac:dyDescent="0.3">
      <c r="A416"/>
      <c r="B416" s="286"/>
      <c r="C416" s="286"/>
      <c r="D416" s="286"/>
      <c r="E416" s="286"/>
      <c r="F416" s="241"/>
      <c r="G416" s="241"/>
      <c r="H416" s="241"/>
      <c r="I416"/>
      <c r="J416" s="286"/>
      <c r="K416" s="286"/>
      <c r="L416" s="286"/>
      <c r="M416" s="286"/>
      <c r="N416" s="286"/>
      <c r="O416" s="241"/>
      <c r="P416" s="241"/>
      <c r="Q416" s="241"/>
    </row>
    <row r="417" spans="1:17" ht="13.5" customHeight="1" x14ac:dyDescent="0.3">
      <c r="A417"/>
      <c r="B417" s="286"/>
      <c r="C417" s="286"/>
      <c r="D417" s="286"/>
      <c r="E417" s="286"/>
      <c r="F417" s="241"/>
      <c r="G417" s="241"/>
      <c r="H417" s="241"/>
      <c r="I417"/>
      <c r="J417" s="286"/>
      <c r="K417" s="286"/>
      <c r="L417" s="286"/>
      <c r="M417" s="286"/>
      <c r="N417" s="286"/>
      <c r="O417" s="241"/>
      <c r="P417" s="241"/>
      <c r="Q417" s="241"/>
    </row>
    <row r="418" spans="1:17" ht="13.5" customHeight="1" x14ac:dyDescent="0.3">
      <c r="A418"/>
      <c r="B418" s="286"/>
      <c r="C418" s="286"/>
      <c r="D418" s="286"/>
      <c r="E418" s="286"/>
      <c r="F418" s="241"/>
      <c r="G418" s="241"/>
      <c r="H418" s="241"/>
      <c r="I418"/>
      <c r="J418" s="286"/>
      <c r="K418" s="286"/>
      <c r="L418" s="286"/>
      <c r="M418" s="286"/>
      <c r="N418" s="286"/>
      <c r="O418" s="241"/>
      <c r="P418" s="241"/>
      <c r="Q418" s="241"/>
    </row>
    <row r="419" spans="1:17" ht="13.5" customHeight="1" x14ac:dyDescent="0.3">
      <c r="A419"/>
      <c r="B419" s="286"/>
      <c r="C419" s="286"/>
      <c r="D419" s="286"/>
      <c r="E419" s="286"/>
      <c r="F419" s="241"/>
      <c r="G419" s="241"/>
      <c r="H419" s="241"/>
      <c r="I419"/>
      <c r="J419" s="286"/>
      <c r="K419" s="286"/>
      <c r="L419" s="286"/>
      <c r="M419" s="286"/>
      <c r="N419" s="286"/>
      <c r="O419" s="241"/>
      <c r="P419" s="241"/>
      <c r="Q419" s="241"/>
    </row>
    <row r="420" spans="1:17" ht="13.5" customHeight="1" x14ac:dyDescent="0.3">
      <c r="A420"/>
      <c r="B420" s="286"/>
      <c r="C420" s="286"/>
      <c r="D420" s="286"/>
      <c r="E420" s="286"/>
      <c r="F420" s="241"/>
      <c r="G420" s="241"/>
      <c r="H420" s="241"/>
      <c r="I420"/>
      <c r="J420" s="286"/>
      <c r="K420" s="286"/>
      <c r="L420" s="286"/>
      <c r="M420" s="286"/>
      <c r="N420" s="286"/>
      <c r="O420" s="241"/>
      <c r="P420" s="241"/>
      <c r="Q420" s="241"/>
    </row>
    <row r="421" spans="1:17" ht="13.5" customHeight="1" x14ac:dyDescent="0.3">
      <c r="A421"/>
      <c r="B421" s="286"/>
      <c r="C421" s="286"/>
      <c r="D421" s="286"/>
      <c r="E421" s="286"/>
      <c r="F421" s="241"/>
      <c r="G421" s="241"/>
      <c r="H421" s="241"/>
      <c r="I421"/>
      <c r="J421" s="286"/>
      <c r="K421" s="286"/>
      <c r="L421" s="286"/>
      <c r="M421" s="286"/>
      <c r="N421" s="286"/>
      <c r="O421" s="241"/>
      <c r="P421" s="241"/>
      <c r="Q421" s="241"/>
    </row>
    <row r="422" spans="1:17" ht="13.5" customHeight="1" x14ac:dyDescent="0.3">
      <c r="A422"/>
      <c r="B422" s="286"/>
      <c r="C422" s="286"/>
      <c r="D422" s="286"/>
      <c r="E422" s="286"/>
      <c r="F422" s="241"/>
      <c r="G422" s="241"/>
      <c r="H422" s="241"/>
      <c r="I422"/>
      <c r="J422" s="286"/>
      <c r="K422" s="286"/>
      <c r="L422" s="286"/>
      <c r="M422" s="286"/>
      <c r="N422" s="286"/>
      <c r="O422" s="241"/>
      <c r="P422" s="241"/>
      <c r="Q422" s="241"/>
    </row>
    <row r="423" spans="1:17" ht="13.5" customHeight="1" x14ac:dyDescent="0.3">
      <c r="A423"/>
      <c r="B423" s="286"/>
      <c r="C423" s="286"/>
      <c r="D423" s="286"/>
      <c r="E423" s="286"/>
      <c r="F423" s="241"/>
      <c r="G423" s="241"/>
      <c r="H423" s="241"/>
      <c r="I423"/>
      <c r="J423" s="286"/>
      <c r="K423" s="286"/>
      <c r="L423" s="286"/>
      <c r="M423" s="286"/>
      <c r="N423" s="286"/>
      <c r="O423" s="241"/>
      <c r="P423" s="241"/>
      <c r="Q423" s="241"/>
    </row>
    <row r="424" spans="1:17" ht="13.5" customHeight="1" x14ac:dyDescent="0.3">
      <c r="A424"/>
      <c r="B424" s="286"/>
      <c r="C424" s="286"/>
      <c r="D424" s="286"/>
      <c r="E424" s="286"/>
      <c r="F424" s="241"/>
      <c r="G424" s="241"/>
      <c r="H424" s="241"/>
      <c r="I424"/>
      <c r="J424" s="286"/>
      <c r="K424" s="286"/>
      <c r="L424" s="286"/>
      <c r="M424" s="286"/>
      <c r="N424" s="286"/>
      <c r="O424" s="241"/>
      <c r="P424" s="241"/>
      <c r="Q424" s="241"/>
    </row>
    <row r="425" spans="1:17" ht="13.5" customHeight="1" x14ac:dyDescent="0.3">
      <c r="A425"/>
      <c r="B425" s="286"/>
      <c r="C425" s="286"/>
      <c r="D425" s="286"/>
      <c r="E425" s="286"/>
      <c r="F425" s="241"/>
      <c r="G425" s="241"/>
      <c r="H425" s="241"/>
      <c r="I425"/>
      <c r="J425" s="286"/>
      <c r="K425" s="286"/>
      <c r="L425" s="286"/>
      <c r="M425" s="286"/>
      <c r="N425" s="286"/>
      <c r="O425" s="241"/>
      <c r="P425" s="241"/>
      <c r="Q425" s="241"/>
    </row>
    <row r="426" spans="1:17" ht="13.5" customHeight="1" x14ac:dyDescent="0.3">
      <c r="A426"/>
      <c r="B426" s="286"/>
      <c r="C426" s="286"/>
      <c r="D426" s="286"/>
      <c r="E426" s="286"/>
      <c r="F426" s="241"/>
      <c r="G426" s="241"/>
      <c r="H426" s="241"/>
      <c r="I426"/>
      <c r="J426" s="286"/>
      <c r="K426" s="286"/>
      <c r="L426" s="286"/>
      <c r="M426" s="286"/>
      <c r="N426" s="286"/>
      <c r="O426" s="241"/>
      <c r="P426" s="241"/>
      <c r="Q426" s="241"/>
    </row>
    <row r="427" spans="1:17" ht="13.5" customHeight="1" x14ac:dyDescent="0.3">
      <c r="A427"/>
      <c r="B427" s="286"/>
      <c r="C427" s="286"/>
      <c r="D427" s="286"/>
      <c r="E427" s="286"/>
      <c r="F427" s="241"/>
      <c r="G427" s="241"/>
      <c r="H427" s="241"/>
      <c r="I427"/>
      <c r="J427" s="286"/>
      <c r="K427" s="286"/>
      <c r="L427" s="286"/>
      <c r="M427" s="286"/>
      <c r="N427" s="286"/>
      <c r="O427" s="241"/>
      <c r="P427" s="241"/>
      <c r="Q427" s="241"/>
    </row>
    <row r="428" spans="1:17" ht="13.5" customHeight="1" x14ac:dyDescent="0.3">
      <c r="A428"/>
      <c r="B428" s="286"/>
      <c r="C428" s="286"/>
      <c r="D428" s="286"/>
      <c r="E428" s="286"/>
      <c r="F428" s="241"/>
      <c r="G428" s="241"/>
      <c r="H428" s="241"/>
      <c r="I428"/>
      <c r="J428" s="286"/>
      <c r="K428" s="286"/>
      <c r="L428" s="286"/>
      <c r="M428" s="286"/>
      <c r="N428" s="286"/>
      <c r="O428" s="241"/>
      <c r="P428" s="241"/>
      <c r="Q428" s="241"/>
    </row>
    <row r="429" spans="1:17" ht="13.5" customHeight="1" x14ac:dyDescent="0.3">
      <c r="A429"/>
      <c r="B429" s="286"/>
      <c r="C429" s="286"/>
      <c r="D429" s="286"/>
      <c r="E429" s="286"/>
      <c r="F429" s="241"/>
      <c r="G429" s="241"/>
      <c r="H429" s="241"/>
      <c r="I429"/>
      <c r="J429" s="286"/>
      <c r="K429" s="286"/>
      <c r="L429" s="286"/>
      <c r="M429" s="286"/>
      <c r="N429" s="286"/>
      <c r="O429" s="241"/>
      <c r="P429" s="241"/>
      <c r="Q429" s="241"/>
    </row>
    <row r="430" spans="1:17" ht="13.5" customHeight="1" x14ac:dyDescent="0.3">
      <c r="A430"/>
      <c r="B430" s="286"/>
      <c r="C430" s="286"/>
      <c r="D430" s="286"/>
      <c r="E430" s="286"/>
      <c r="F430" s="241"/>
      <c r="G430" s="241"/>
      <c r="H430" s="241"/>
      <c r="I430"/>
      <c r="J430" s="286"/>
      <c r="K430" s="286"/>
      <c r="L430" s="286"/>
      <c r="M430" s="286"/>
      <c r="N430" s="286"/>
      <c r="O430" s="241"/>
      <c r="P430" s="241"/>
      <c r="Q430" s="241"/>
    </row>
    <row r="431" spans="1:17" ht="13.5" customHeight="1" x14ac:dyDescent="0.3">
      <c r="A431"/>
      <c r="B431" s="286"/>
      <c r="C431" s="286"/>
      <c r="D431" s="286"/>
      <c r="E431" s="286"/>
      <c r="F431" s="241"/>
      <c r="G431" s="241"/>
      <c r="H431" s="241"/>
      <c r="I431"/>
      <c r="J431" s="286"/>
      <c r="K431" s="286"/>
      <c r="L431" s="286"/>
      <c r="M431" s="286"/>
      <c r="N431" s="286"/>
      <c r="O431" s="241"/>
      <c r="P431" s="241"/>
      <c r="Q431" s="241"/>
    </row>
    <row r="432" spans="1:17" ht="13.5" customHeight="1" x14ac:dyDescent="0.3">
      <c r="A432"/>
      <c r="B432" s="286"/>
      <c r="C432" s="286"/>
      <c r="D432" s="286"/>
      <c r="E432" s="286"/>
      <c r="F432" s="241"/>
      <c r="G432" s="241"/>
      <c r="H432" s="241"/>
      <c r="I432"/>
      <c r="J432" s="286"/>
      <c r="K432" s="286"/>
      <c r="L432" s="286"/>
      <c r="M432" s="286"/>
      <c r="N432" s="286"/>
      <c r="O432" s="241"/>
      <c r="P432" s="241"/>
      <c r="Q432" s="241"/>
    </row>
    <row r="433" spans="1:17" ht="13.5" customHeight="1" x14ac:dyDescent="0.3">
      <c r="A433"/>
      <c r="B433" s="286"/>
      <c r="C433" s="286"/>
      <c r="D433" s="286"/>
      <c r="E433" s="286"/>
      <c r="F433" s="241"/>
      <c r="G433" s="241"/>
      <c r="H433" s="241"/>
      <c r="I433"/>
      <c r="J433" s="286"/>
      <c r="K433" s="286"/>
      <c r="L433" s="286"/>
      <c r="M433" s="286"/>
      <c r="N433" s="286"/>
      <c r="O433" s="241"/>
      <c r="P433" s="241"/>
      <c r="Q433" s="241"/>
    </row>
    <row r="434" spans="1:17" ht="13.5" customHeight="1" x14ac:dyDescent="0.3">
      <c r="A434"/>
      <c r="B434" s="286"/>
      <c r="C434" s="286"/>
      <c r="D434" s="286"/>
      <c r="E434" s="286"/>
      <c r="F434" s="241"/>
      <c r="G434" s="241"/>
      <c r="H434" s="241"/>
      <c r="I434"/>
      <c r="J434" s="286"/>
      <c r="K434" s="286"/>
      <c r="L434" s="286"/>
      <c r="M434" s="286"/>
      <c r="N434" s="286"/>
      <c r="O434" s="241"/>
      <c r="P434" s="241"/>
      <c r="Q434" s="241"/>
    </row>
    <row r="435" spans="1:17" ht="13.5" customHeight="1" x14ac:dyDescent="0.3">
      <c r="A435"/>
      <c r="B435" s="286"/>
      <c r="C435" s="286"/>
      <c r="D435" s="286"/>
      <c r="E435" s="286"/>
      <c r="F435" s="241"/>
      <c r="G435" s="241"/>
      <c r="H435" s="241"/>
      <c r="I435"/>
      <c r="J435" s="286"/>
      <c r="K435" s="286"/>
      <c r="L435" s="286"/>
      <c r="M435" s="286"/>
      <c r="N435" s="286"/>
      <c r="O435" s="241"/>
      <c r="P435" s="241"/>
      <c r="Q435" s="241"/>
    </row>
    <row r="436" spans="1:17" ht="13.5" customHeight="1" x14ac:dyDescent="0.3">
      <c r="A436"/>
      <c r="B436" s="286"/>
      <c r="C436" s="286"/>
      <c r="D436" s="286"/>
      <c r="E436" s="286"/>
      <c r="F436" s="241"/>
      <c r="G436" s="241"/>
      <c r="H436" s="241"/>
      <c r="I436"/>
      <c r="J436" s="286"/>
      <c r="K436" s="286"/>
      <c r="L436" s="286"/>
      <c r="M436" s="286"/>
      <c r="N436" s="286"/>
      <c r="O436" s="241"/>
      <c r="P436" s="241"/>
      <c r="Q436" s="241"/>
    </row>
    <row r="437" spans="1:17" ht="13.5" customHeight="1" x14ac:dyDescent="0.3">
      <c r="A437"/>
      <c r="B437" s="286"/>
      <c r="C437" s="286"/>
      <c r="D437" s="286"/>
      <c r="E437" s="286"/>
      <c r="F437" s="241"/>
      <c r="G437" s="241"/>
      <c r="H437" s="241"/>
      <c r="I437"/>
      <c r="J437" s="286"/>
      <c r="K437" s="286"/>
      <c r="L437" s="286"/>
      <c r="M437" s="286"/>
      <c r="N437" s="286"/>
      <c r="O437" s="241"/>
      <c r="P437" s="241"/>
      <c r="Q437" s="241"/>
    </row>
    <row r="438" spans="1:17" ht="13.5" customHeight="1" x14ac:dyDescent="0.3">
      <c r="A438"/>
      <c r="B438" s="286"/>
      <c r="C438" s="286"/>
      <c r="D438" s="286"/>
      <c r="E438" s="286"/>
      <c r="F438" s="241"/>
      <c r="G438" s="241"/>
      <c r="H438" s="241"/>
      <c r="I438"/>
      <c r="J438" s="286"/>
      <c r="K438" s="286"/>
      <c r="L438" s="286"/>
      <c r="M438" s="286"/>
      <c r="N438" s="286"/>
      <c r="O438" s="241"/>
      <c r="P438" s="241"/>
      <c r="Q438" s="241"/>
    </row>
    <row r="439" spans="1:17" ht="13.5" customHeight="1" x14ac:dyDescent="0.3">
      <c r="A439"/>
      <c r="B439" s="286"/>
      <c r="C439" s="286"/>
      <c r="D439" s="286"/>
      <c r="E439" s="286"/>
      <c r="F439" s="241"/>
      <c r="G439" s="241"/>
      <c r="H439" s="241"/>
      <c r="I439"/>
      <c r="J439" s="286"/>
      <c r="K439" s="286"/>
      <c r="L439" s="286"/>
      <c r="M439" s="286"/>
      <c r="N439" s="286"/>
      <c r="O439" s="241"/>
      <c r="P439" s="241"/>
      <c r="Q439" s="241"/>
    </row>
    <row r="440" spans="1:17" ht="13.5" customHeight="1" x14ac:dyDescent="0.3">
      <c r="A440"/>
      <c r="B440" s="286"/>
      <c r="C440" s="286"/>
      <c r="D440" s="286"/>
      <c r="E440" s="286"/>
      <c r="F440" s="241"/>
      <c r="G440" s="241"/>
      <c r="H440" s="241"/>
      <c r="I440"/>
      <c r="J440" s="286"/>
      <c r="K440" s="286"/>
      <c r="L440" s="286"/>
      <c r="M440" s="286"/>
      <c r="N440" s="286"/>
      <c r="O440" s="241"/>
      <c r="P440" s="241"/>
      <c r="Q440" s="241"/>
    </row>
    <row r="441" spans="1:17" ht="13.5" customHeight="1" x14ac:dyDescent="0.3">
      <c r="A441"/>
      <c r="B441" s="286"/>
      <c r="C441" s="286"/>
      <c r="D441" s="286"/>
      <c r="E441" s="286"/>
      <c r="F441" s="241"/>
      <c r="G441" s="241"/>
      <c r="H441" s="241"/>
      <c r="I441"/>
      <c r="J441" s="286"/>
      <c r="K441" s="286"/>
      <c r="L441" s="286"/>
      <c r="M441" s="286"/>
      <c r="N441" s="286"/>
      <c r="O441" s="241"/>
      <c r="P441" s="241"/>
      <c r="Q441" s="241"/>
    </row>
    <row r="442" spans="1:17" ht="13.5" customHeight="1" x14ac:dyDescent="0.3">
      <c r="A442"/>
      <c r="B442" s="286"/>
      <c r="C442" s="286"/>
      <c r="D442" s="286"/>
      <c r="E442" s="286"/>
      <c r="F442" s="241"/>
      <c r="G442" s="241"/>
      <c r="H442" s="241"/>
      <c r="I442"/>
      <c r="J442" s="286"/>
      <c r="K442" s="286"/>
      <c r="L442" s="286"/>
      <c r="M442" s="286"/>
      <c r="N442" s="286"/>
      <c r="O442" s="241"/>
      <c r="P442" s="241"/>
      <c r="Q442" s="241"/>
    </row>
    <row r="443" spans="1:17" ht="13.5" customHeight="1" x14ac:dyDescent="0.3">
      <c r="A443"/>
      <c r="B443" s="286"/>
      <c r="C443" s="286"/>
      <c r="D443" s="286"/>
      <c r="E443" s="286"/>
      <c r="F443" s="241"/>
      <c r="G443" s="241"/>
      <c r="H443" s="241"/>
      <c r="I443"/>
      <c r="J443" s="286"/>
      <c r="K443" s="286"/>
      <c r="L443" s="286"/>
      <c r="M443" s="286"/>
      <c r="N443" s="286"/>
      <c r="O443" s="241"/>
      <c r="P443" s="241"/>
      <c r="Q443" s="241"/>
    </row>
    <row r="444" spans="1:17" ht="13.5" customHeight="1" x14ac:dyDescent="0.3">
      <c r="A444"/>
      <c r="B444" s="286"/>
      <c r="C444" s="286"/>
      <c r="D444" s="286"/>
      <c r="E444" s="286"/>
      <c r="F444" s="241"/>
      <c r="G444" s="241"/>
      <c r="H444" s="241"/>
      <c r="I444"/>
      <c r="J444" s="286"/>
      <c r="K444" s="286"/>
      <c r="L444" s="286"/>
      <c r="M444" s="286"/>
      <c r="N444" s="286"/>
      <c r="O444" s="241"/>
      <c r="P444" s="241"/>
      <c r="Q444" s="241"/>
    </row>
    <row r="445" spans="1:17" ht="13.5" customHeight="1" x14ac:dyDescent="0.3">
      <c r="A445"/>
      <c r="B445" s="286"/>
      <c r="C445" s="286"/>
      <c r="D445" s="286"/>
      <c r="E445" s="286"/>
      <c r="F445" s="241"/>
      <c r="G445" s="241"/>
      <c r="H445" s="241"/>
      <c r="I445"/>
      <c r="J445" s="286"/>
      <c r="K445" s="286"/>
      <c r="L445" s="286"/>
      <c r="M445" s="286"/>
      <c r="N445" s="286"/>
      <c r="O445" s="241"/>
      <c r="P445" s="241"/>
      <c r="Q445" s="241"/>
    </row>
    <row r="446" spans="1:17" ht="13.5" customHeight="1" x14ac:dyDescent="0.3">
      <c r="A446"/>
      <c r="B446" s="286"/>
      <c r="C446" s="286"/>
      <c r="D446" s="286"/>
      <c r="E446" s="286"/>
      <c r="F446" s="241"/>
      <c r="G446" s="241"/>
      <c r="H446" s="241"/>
      <c r="I446"/>
      <c r="J446" s="286"/>
      <c r="K446" s="286"/>
      <c r="L446" s="286"/>
      <c r="M446" s="286"/>
      <c r="N446" s="286"/>
      <c r="O446" s="241"/>
      <c r="P446" s="241"/>
      <c r="Q446" s="241"/>
    </row>
    <row r="447" spans="1:17" ht="13.5" customHeight="1" x14ac:dyDescent="0.3">
      <c r="A447"/>
      <c r="B447" s="286"/>
      <c r="C447" s="286"/>
      <c r="D447" s="286"/>
      <c r="E447" s="286"/>
      <c r="F447" s="241"/>
      <c r="G447" s="241"/>
      <c r="H447" s="241"/>
      <c r="I447"/>
      <c r="J447" s="286"/>
      <c r="K447" s="286"/>
      <c r="L447" s="286"/>
      <c r="M447" s="286"/>
      <c r="N447" s="286"/>
      <c r="O447" s="241"/>
      <c r="P447" s="241"/>
      <c r="Q447" s="241"/>
    </row>
    <row r="448" spans="1:17" ht="13.5" customHeight="1" x14ac:dyDescent="0.3">
      <c r="A448"/>
      <c r="B448" s="286"/>
      <c r="C448" s="286"/>
      <c r="D448" s="286"/>
      <c r="E448" s="286"/>
      <c r="F448" s="241"/>
      <c r="G448" s="241"/>
      <c r="H448" s="241"/>
      <c r="I448"/>
      <c r="J448" s="286"/>
      <c r="K448" s="286"/>
      <c r="L448" s="286"/>
      <c r="M448" s="286"/>
      <c r="N448" s="286"/>
      <c r="O448" s="241"/>
      <c r="P448" s="241"/>
      <c r="Q448" s="241"/>
    </row>
    <row r="449" spans="1:17" ht="13.5" customHeight="1" x14ac:dyDescent="0.3">
      <c r="A449"/>
      <c r="B449" s="286"/>
      <c r="C449" s="286"/>
      <c r="D449" s="286"/>
      <c r="E449" s="286"/>
      <c r="F449" s="241"/>
      <c r="G449" s="241"/>
      <c r="H449" s="241"/>
      <c r="I449"/>
      <c r="J449" s="286"/>
      <c r="K449" s="286"/>
      <c r="L449" s="286"/>
      <c r="M449" s="286"/>
      <c r="N449" s="286"/>
      <c r="O449" s="241"/>
      <c r="P449" s="241"/>
      <c r="Q449" s="241"/>
    </row>
    <row r="450" spans="1:17" ht="13.5" customHeight="1" x14ac:dyDescent="0.3">
      <c r="A450"/>
      <c r="B450" s="286"/>
      <c r="C450" s="286"/>
      <c r="D450" s="286"/>
      <c r="E450" s="286"/>
      <c r="F450" s="241"/>
      <c r="G450" s="241"/>
      <c r="H450" s="241"/>
      <c r="I450"/>
      <c r="J450" s="286"/>
      <c r="K450" s="286"/>
      <c r="L450" s="286"/>
      <c r="M450" s="286"/>
      <c r="N450" s="286"/>
      <c r="O450" s="241"/>
      <c r="P450" s="241"/>
      <c r="Q450" s="241"/>
    </row>
    <row r="451" spans="1:17" ht="13.5" customHeight="1" x14ac:dyDescent="0.3">
      <c r="A451"/>
      <c r="B451" s="286"/>
      <c r="C451" s="286"/>
      <c r="D451" s="286"/>
      <c r="E451" s="286"/>
      <c r="F451" s="241"/>
      <c r="G451" s="241"/>
      <c r="H451" s="241"/>
      <c r="I451"/>
      <c r="J451" s="286"/>
      <c r="K451" s="286"/>
      <c r="L451" s="286"/>
      <c r="M451" s="286"/>
      <c r="N451" s="286"/>
      <c r="O451" s="241"/>
      <c r="P451" s="241"/>
      <c r="Q451" s="241"/>
    </row>
    <row r="452" spans="1:17" ht="13.5" customHeight="1" x14ac:dyDescent="0.3">
      <c r="A452"/>
      <c r="B452" s="286"/>
      <c r="C452" s="286"/>
      <c r="D452" s="286"/>
      <c r="E452" s="286"/>
      <c r="F452" s="241"/>
      <c r="G452" s="241"/>
      <c r="H452" s="241"/>
      <c r="I452"/>
      <c r="J452" s="286"/>
      <c r="K452" s="286"/>
      <c r="L452" s="286"/>
      <c r="M452" s="286"/>
      <c r="N452" s="286"/>
      <c r="O452" s="241"/>
      <c r="P452" s="241"/>
      <c r="Q452" s="241"/>
    </row>
    <row r="453" spans="1:17" ht="13.5" customHeight="1" x14ac:dyDescent="0.3">
      <c r="A453"/>
      <c r="B453" s="286"/>
      <c r="C453" s="286"/>
      <c r="D453" s="286"/>
      <c r="E453" s="286"/>
      <c r="F453" s="241"/>
      <c r="G453" s="241"/>
      <c r="H453" s="241"/>
      <c r="I453"/>
      <c r="J453" s="286"/>
      <c r="K453" s="286"/>
      <c r="L453" s="286"/>
      <c r="M453" s="286"/>
      <c r="N453" s="286"/>
      <c r="O453" s="241"/>
      <c r="P453" s="241"/>
      <c r="Q453" s="241"/>
    </row>
    <row r="454" spans="1:17" ht="13.5" customHeight="1" x14ac:dyDescent="0.3">
      <c r="A454"/>
      <c r="B454" s="286"/>
      <c r="C454" s="286"/>
      <c r="D454" s="286"/>
      <c r="E454" s="286"/>
      <c r="F454" s="241"/>
      <c r="G454" s="241"/>
      <c r="H454" s="241"/>
      <c r="I454"/>
      <c r="J454" s="286"/>
      <c r="K454" s="286"/>
      <c r="L454" s="286"/>
      <c r="M454" s="286"/>
      <c r="N454" s="286"/>
      <c r="O454" s="241"/>
      <c r="P454" s="241"/>
      <c r="Q454" s="241"/>
    </row>
    <row r="455" spans="1:17" ht="13.5" customHeight="1" x14ac:dyDescent="0.3">
      <c r="A455"/>
      <c r="B455" s="286"/>
      <c r="C455" s="286"/>
      <c r="D455" s="286"/>
      <c r="E455" s="286"/>
      <c r="F455" s="241"/>
      <c r="G455" s="241"/>
      <c r="H455" s="241"/>
      <c r="I455"/>
      <c r="J455" s="286"/>
      <c r="K455" s="286"/>
      <c r="L455" s="286"/>
      <c r="M455" s="286"/>
      <c r="N455" s="286"/>
      <c r="O455" s="241"/>
      <c r="P455" s="241"/>
      <c r="Q455" s="241"/>
    </row>
    <row r="456" spans="1:17" ht="13.5" customHeight="1" x14ac:dyDescent="0.3">
      <c r="A456"/>
      <c r="B456" s="286"/>
      <c r="C456" s="286"/>
      <c r="D456" s="286"/>
      <c r="E456" s="286"/>
      <c r="F456" s="241"/>
      <c r="G456" s="241"/>
      <c r="H456" s="241"/>
      <c r="I456"/>
      <c r="J456" s="286"/>
      <c r="K456" s="286"/>
      <c r="L456" s="286"/>
      <c r="M456" s="286"/>
      <c r="N456" s="286"/>
      <c r="O456" s="241"/>
      <c r="P456" s="241"/>
      <c r="Q456" s="241"/>
    </row>
    <row r="457" spans="1:17" ht="13.5" customHeight="1" x14ac:dyDescent="0.3">
      <c r="A457"/>
      <c r="B457" s="286"/>
      <c r="C457" s="286"/>
      <c r="D457" s="286"/>
      <c r="E457" s="286"/>
      <c r="F457" s="241"/>
      <c r="G457" s="241"/>
      <c r="H457" s="241"/>
      <c r="I457"/>
      <c r="J457" s="286"/>
      <c r="K457" s="286"/>
      <c r="L457" s="286"/>
      <c r="M457" s="286"/>
      <c r="N457" s="286"/>
      <c r="O457" s="241"/>
      <c r="P457" s="241"/>
      <c r="Q457" s="241"/>
    </row>
    <row r="458" spans="1:17" ht="13.5" customHeight="1" x14ac:dyDescent="0.3">
      <c r="A458"/>
      <c r="B458" s="286"/>
      <c r="C458" s="286"/>
      <c r="D458" s="286"/>
      <c r="E458" s="286"/>
      <c r="F458" s="241"/>
      <c r="G458" s="241"/>
      <c r="H458" s="241"/>
      <c r="I458"/>
      <c r="J458" s="286"/>
      <c r="K458" s="286"/>
      <c r="L458" s="286"/>
      <c r="M458" s="286"/>
      <c r="N458" s="286"/>
      <c r="O458" s="241"/>
      <c r="P458" s="241"/>
      <c r="Q458" s="241"/>
    </row>
    <row r="459" spans="1:17" ht="13.5" customHeight="1" x14ac:dyDescent="0.3">
      <c r="A459"/>
      <c r="B459" s="286"/>
      <c r="C459" s="286"/>
      <c r="D459" s="286"/>
      <c r="E459" s="286"/>
      <c r="F459" s="241"/>
      <c r="G459" s="241"/>
      <c r="H459" s="241"/>
      <c r="I459"/>
      <c r="J459" s="286"/>
      <c r="K459" s="286"/>
      <c r="L459" s="286"/>
      <c r="M459" s="286"/>
      <c r="N459" s="286"/>
      <c r="O459" s="241"/>
      <c r="P459" s="241"/>
      <c r="Q459" s="241"/>
    </row>
    <row r="460" spans="1:17" ht="13.5" customHeight="1" x14ac:dyDescent="0.3">
      <c r="A460"/>
      <c r="B460" s="286"/>
      <c r="C460" s="286"/>
      <c r="D460" s="286"/>
      <c r="E460" s="286"/>
      <c r="F460" s="241"/>
      <c r="G460" s="241"/>
      <c r="H460" s="241"/>
      <c r="I460"/>
      <c r="J460" s="286"/>
      <c r="K460" s="286"/>
      <c r="L460" s="286"/>
      <c r="M460" s="286"/>
      <c r="N460" s="286"/>
      <c r="O460" s="241"/>
      <c r="P460" s="241"/>
      <c r="Q460" s="241"/>
    </row>
    <row r="461" spans="1:17" ht="13.5" customHeight="1" x14ac:dyDescent="0.3">
      <c r="A461"/>
      <c r="B461" s="286"/>
      <c r="C461" s="286"/>
      <c r="D461" s="286"/>
      <c r="E461" s="286"/>
      <c r="F461" s="241"/>
      <c r="G461" s="241"/>
      <c r="H461" s="241"/>
      <c r="I461"/>
      <c r="J461" s="286"/>
      <c r="K461" s="286"/>
      <c r="L461" s="286"/>
      <c r="M461" s="286"/>
      <c r="N461" s="286"/>
      <c r="O461" s="241"/>
      <c r="P461" s="241"/>
      <c r="Q461" s="241"/>
    </row>
    <row r="462" spans="1:17" ht="13.5" customHeight="1" x14ac:dyDescent="0.3">
      <c r="A462"/>
      <c r="B462" s="286"/>
      <c r="C462" s="286"/>
      <c r="D462" s="286"/>
      <c r="E462" s="286"/>
      <c r="F462" s="241"/>
      <c r="G462" s="241"/>
      <c r="H462" s="241"/>
      <c r="I462"/>
      <c r="J462" s="286"/>
      <c r="K462" s="286"/>
      <c r="L462" s="286"/>
      <c r="M462" s="286"/>
      <c r="N462" s="286"/>
      <c r="O462" s="241"/>
      <c r="P462" s="241"/>
      <c r="Q462" s="241"/>
    </row>
    <row r="463" spans="1:17" ht="13.5" customHeight="1" x14ac:dyDescent="0.3">
      <c r="A463"/>
      <c r="B463" s="286"/>
      <c r="C463" s="286"/>
      <c r="D463" s="286"/>
      <c r="E463" s="286"/>
      <c r="F463" s="241"/>
      <c r="G463" s="241"/>
      <c r="H463" s="241"/>
      <c r="I463"/>
      <c r="J463" s="286"/>
      <c r="K463" s="286"/>
      <c r="L463" s="286"/>
      <c r="M463" s="286"/>
      <c r="N463" s="286"/>
      <c r="O463" s="241"/>
      <c r="P463" s="241"/>
      <c r="Q463" s="241"/>
    </row>
    <row r="464" spans="1:17" ht="13.5" customHeight="1" x14ac:dyDescent="0.3">
      <c r="A464"/>
      <c r="B464" s="286"/>
      <c r="C464" s="286"/>
      <c r="D464" s="286"/>
      <c r="E464" s="286"/>
      <c r="F464" s="241"/>
      <c r="G464" s="241"/>
      <c r="H464" s="241"/>
      <c r="I464"/>
      <c r="J464" s="286"/>
      <c r="K464" s="286"/>
      <c r="L464" s="286"/>
      <c r="M464" s="286"/>
      <c r="N464" s="286"/>
      <c r="O464" s="241"/>
      <c r="P464" s="241"/>
      <c r="Q464" s="241"/>
    </row>
    <row r="465" spans="1:17" ht="13.5" customHeight="1" x14ac:dyDescent="0.3">
      <c r="A465"/>
      <c r="B465" s="286"/>
      <c r="C465" s="286"/>
      <c r="D465" s="286"/>
      <c r="E465" s="286"/>
      <c r="F465" s="241"/>
      <c r="G465" s="241"/>
      <c r="H465" s="241"/>
      <c r="I465"/>
      <c r="J465" s="286"/>
      <c r="K465" s="286"/>
      <c r="L465" s="286"/>
      <c r="M465" s="286"/>
      <c r="N465" s="286"/>
      <c r="O465" s="241"/>
      <c r="P465" s="241"/>
      <c r="Q465" s="241"/>
    </row>
    <row r="466" spans="1:17" ht="13.5" customHeight="1" x14ac:dyDescent="0.3">
      <c r="A466"/>
      <c r="B466" s="286"/>
      <c r="C466" s="286"/>
      <c r="D466" s="286"/>
      <c r="E466" s="286"/>
      <c r="F466" s="241"/>
      <c r="G466" s="241"/>
      <c r="H466" s="241"/>
      <c r="I466"/>
      <c r="J466" s="286"/>
      <c r="K466" s="286"/>
      <c r="L466" s="286"/>
      <c r="M466" s="286"/>
      <c r="N466" s="286"/>
      <c r="O466" s="241"/>
      <c r="P466" s="241"/>
      <c r="Q466" s="241"/>
    </row>
    <row r="467" spans="1:17" ht="13.5" customHeight="1" x14ac:dyDescent="0.3">
      <c r="A467"/>
      <c r="B467" s="286"/>
      <c r="C467" s="286"/>
      <c r="D467" s="286"/>
      <c r="E467" s="286"/>
      <c r="F467" s="241"/>
      <c r="G467" s="241"/>
      <c r="H467" s="241"/>
      <c r="I467"/>
      <c r="J467" s="286"/>
      <c r="K467" s="286"/>
      <c r="L467" s="286"/>
      <c r="M467" s="286"/>
      <c r="N467" s="286"/>
      <c r="O467" s="241"/>
      <c r="P467" s="241"/>
      <c r="Q467" s="241"/>
    </row>
    <row r="468" spans="1:17" ht="13.5" customHeight="1" x14ac:dyDescent="0.3">
      <c r="A468"/>
      <c r="B468" s="286"/>
      <c r="C468" s="286"/>
      <c r="D468" s="286"/>
      <c r="E468" s="286"/>
      <c r="F468" s="241"/>
      <c r="G468" s="241"/>
      <c r="H468" s="241"/>
      <c r="I468"/>
      <c r="J468" s="286"/>
      <c r="K468" s="286"/>
      <c r="L468" s="286"/>
      <c r="M468" s="286"/>
      <c r="N468" s="286"/>
      <c r="O468" s="241"/>
      <c r="P468" s="241"/>
      <c r="Q468" s="241"/>
    </row>
    <row r="469" spans="1:17" ht="13.5" customHeight="1" x14ac:dyDescent="0.3">
      <c r="A469"/>
      <c r="B469" s="286"/>
      <c r="C469" s="286"/>
      <c r="D469" s="286"/>
      <c r="E469" s="286"/>
      <c r="F469" s="241"/>
      <c r="G469" s="241"/>
      <c r="H469" s="241"/>
      <c r="I469"/>
      <c r="J469" s="286"/>
      <c r="K469" s="286"/>
      <c r="L469" s="286"/>
      <c r="M469" s="286"/>
      <c r="N469" s="286"/>
      <c r="O469" s="241"/>
      <c r="P469" s="241"/>
      <c r="Q469" s="241"/>
    </row>
    <row r="470" spans="1:17" ht="13.5" customHeight="1" x14ac:dyDescent="0.3">
      <c r="A470"/>
      <c r="B470" s="286"/>
      <c r="C470" s="286"/>
      <c r="D470" s="286"/>
      <c r="E470" s="286"/>
      <c r="F470" s="241"/>
      <c r="G470" s="241"/>
      <c r="H470" s="241"/>
      <c r="I470"/>
      <c r="J470" s="286"/>
      <c r="K470" s="286"/>
      <c r="L470" s="286"/>
      <c r="M470" s="286"/>
      <c r="N470" s="286"/>
      <c r="O470" s="241"/>
      <c r="P470" s="241"/>
      <c r="Q470" s="241"/>
    </row>
    <row r="471" spans="1:17" ht="13.5" customHeight="1" x14ac:dyDescent="0.3">
      <c r="A471"/>
      <c r="B471" s="286"/>
      <c r="C471" s="286"/>
      <c r="D471" s="286"/>
      <c r="E471" s="286"/>
      <c r="F471" s="241"/>
      <c r="G471" s="241"/>
      <c r="H471" s="241"/>
      <c r="I471"/>
      <c r="J471" s="286"/>
      <c r="K471" s="286"/>
      <c r="L471" s="286"/>
      <c r="M471" s="286"/>
      <c r="N471" s="286"/>
      <c r="O471" s="241"/>
      <c r="P471" s="241"/>
      <c r="Q471" s="241"/>
    </row>
    <row r="472" spans="1:17" ht="13.5" customHeight="1" x14ac:dyDescent="0.3">
      <c r="A472"/>
      <c r="B472" s="286"/>
      <c r="C472" s="286"/>
      <c r="D472" s="286"/>
      <c r="E472" s="286"/>
      <c r="F472" s="241"/>
      <c r="G472" s="241"/>
      <c r="H472" s="241"/>
      <c r="I472"/>
      <c r="J472" s="286"/>
      <c r="K472" s="286"/>
      <c r="L472" s="286"/>
      <c r="M472" s="286"/>
      <c r="N472" s="286"/>
      <c r="O472" s="241"/>
      <c r="P472" s="241"/>
      <c r="Q472" s="241"/>
    </row>
    <row r="473" spans="1:17" ht="13.5" customHeight="1" x14ac:dyDescent="0.3">
      <c r="A473"/>
      <c r="B473" s="286"/>
      <c r="C473" s="286"/>
      <c r="D473" s="286"/>
      <c r="E473" s="286"/>
      <c r="F473" s="241"/>
      <c r="G473" s="241"/>
      <c r="H473" s="241"/>
      <c r="I473"/>
      <c r="J473" s="286"/>
      <c r="K473" s="286"/>
      <c r="L473" s="286"/>
      <c r="M473" s="286"/>
      <c r="N473" s="286"/>
      <c r="O473" s="241"/>
      <c r="P473" s="241"/>
      <c r="Q473" s="241"/>
    </row>
    <row r="474" spans="1:17" ht="13.5" customHeight="1" x14ac:dyDescent="0.3">
      <c r="A474"/>
      <c r="B474" s="286"/>
      <c r="C474" s="286"/>
      <c r="D474" s="286"/>
      <c r="E474" s="286"/>
      <c r="F474" s="241"/>
      <c r="G474" s="241"/>
      <c r="H474" s="241"/>
      <c r="I474"/>
      <c r="J474" s="286"/>
      <c r="K474" s="286"/>
      <c r="L474" s="286"/>
      <c r="M474" s="286"/>
      <c r="N474" s="286"/>
      <c r="O474" s="241"/>
      <c r="P474" s="241"/>
      <c r="Q474" s="241"/>
    </row>
    <row r="475" spans="1:17" ht="13.5" customHeight="1" x14ac:dyDescent="0.3">
      <c r="A475"/>
      <c r="B475" s="286"/>
      <c r="C475" s="286"/>
      <c r="D475" s="286"/>
      <c r="E475" s="286"/>
      <c r="F475" s="241"/>
      <c r="G475" s="241"/>
      <c r="H475" s="241"/>
      <c r="I475"/>
      <c r="J475" s="286"/>
      <c r="K475" s="286"/>
      <c r="L475" s="286"/>
      <c r="M475" s="286"/>
      <c r="N475" s="286"/>
      <c r="O475" s="241"/>
      <c r="P475" s="241"/>
      <c r="Q475" s="241"/>
    </row>
    <row r="476" spans="1:17" ht="13.5" customHeight="1" x14ac:dyDescent="0.3">
      <c r="A476"/>
      <c r="B476" s="286"/>
      <c r="C476" s="286"/>
      <c r="D476" s="286"/>
      <c r="E476" s="286"/>
      <c r="F476" s="241"/>
      <c r="G476" s="241"/>
      <c r="H476" s="241"/>
      <c r="I476"/>
      <c r="J476" s="286"/>
      <c r="K476" s="286"/>
      <c r="L476" s="286"/>
      <c r="M476" s="286"/>
      <c r="N476" s="286"/>
      <c r="O476" s="241"/>
      <c r="P476" s="241"/>
      <c r="Q476" s="241"/>
    </row>
    <row r="477" spans="1:17" ht="13.5" customHeight="1" x14ac:dyDescent="0.3">
      <c r="A477"/>
      <c r="B477" s="286"/>
      <c r="C477" s="286"/>
      <c r="D477" s="286"/>
      <c r="E477" s="286"/>
      <c r="F477" s="241"/>
      <c r="G477" s="241"/>
      <c r="H477" s="241"/>
      <c r="I477"/>
      <c r="J477" s="286"/>
      <c r="K477" s="286"/>
      <c r="L477" s="286"/>
      <c r="M477" s="286"/>
      <c r="N477" s="286"/>
      <c r="O477" s="241"/>
      <c r="P477" s="241"/>
      <c r="Q477" s="241"/>
    </row>
    <row r="478" spans="1:17" ht="13.5" customHeight="1" x14ac:dyDescent="0.3">
      <c r="A478"/>
      <c r="B478" s="286"/>
      <c r="C478" s="286"/>
      <c r="D478" s="286"/>
      <c r="E478" s="286"/>
      <c r="F478" s="241"/>
      <c r="G478" s="241"/>
      <c r="H478" s="241"/>
      <c r="I478"/>
      <c r="J478" s="286"/>
      <c r="K478" s="286"/>
      <c r="L478" s="286"/>
      <c r="M478" s="286"/>
      <c r="N478" s="286"/>
      <c r="O478" s="241"/>
      <c r="P478" s="241"/>
      <c r="Q478" s="241"/>
    </row>
    <row r="479" spans="1:17" ht="13.5" customHeight="1" x14ac:dyDescent="0.3">
      <c r="A479"/>
      <c r="B479" s="286"/>
      <c r="C479" s="286"/>
      <c r="D479" s="286"/>
      <c r="E479" s="286"/>
      <c r="F479" s="241"/>
      <c r="G479" s="241"/>
      <c r="H479" s="241"/>
      <c r="I479"/>
      <c r="J479" s="286"/>
      <c r="K479" s="286"/>
      <c r="L479" s="286"/>
      <c r="M479" s="286"/>
      <c r="N479" s="286"/>
      <c r="O479" s="241"/>
      <c r="P479" s="241"/>
      <c r="Q479" s="241"/>
    </row>
    <row r="480" spans="1:17" ht="13.5" customHeight="1" x14ac:dyDescent="0.3">
      <c r="A480"/>
      <c r="B480" s="286"/>
      <c r="C480" s="286"/>
      <c r="D480" s="286"/>
      <c r="E480" s="286"/>
      <c r="F480" s="241"/>
      <c r="G480" s="241"/>
      <c r="H480" s="241"/>
      <c r="I480"/>
      <c r="J480" s="286"/>
      <c r="K480" s="286"/>
      <c r="L480" s="286"/>
      <c r="M480" s="286"/>
      <c r="N480" s="286"/>
      <c r="O480" s="241"/>
      <c r="P480" s="241"/>
      <c r="Q480" s="241"/>
    </row>
    <row r="481" spans="1:17" ht="13.5" customHeight="1" x14ac:dyDescent="0.3">
      <c r="A481"/>
      <c r="B481" s="286"/>
      <c r="C481" s="286"/>
      <c r="D481" s="286"/>
      <c r="E481" s="286"/>
      <c r="F481" s="241"/>
      <c r="G481" s="241"/>
      <c r="H481" s="241"/>
      <c r="I481"/>
      <c r="J481" s="286"/>
      <c r="K481" s="286"/>
      <c r="L481" s="286"/>
      <c r="M481" s="286"/>
      <c r="N481" s="286"/>
      <c r="O481" s="241"/>
      <c r="P481" s="241"/>
      <c r="Q481" s="241"/>
    </row>
    <row r="482" spans="1:17" ht="13.5" customHeight="1" x14ac:dyDescent="0.3">
      <c r="A482"/>
      <c r="B482" s="286"/>
      <c r="C482" s="286"/>
      <c r="D482" s="286"/>
      <c r="E482" s="286"/>
      <c r="F482" s="241"/>
      <c r="G482" s="241"/>
      <c r="H482" s="241"/>
      <c r="I482"/>
      <c r="J482" s="286"/>
      <c r="K482" s="286"/>
      <c r="L482" s="286"/>
      <c r="M482" s="286"/>
      <c r="N482" s="286"/>
      <c r="O482" s="241"/>
      <c r="P482" s="241"/>
      <c r="Q482" s="241"/>
    </row>
    <row r="483" spans="1:17" ht="13.5" customHeight="1" x14ac:dyDescent="0.3">
      <c r="A483"/>
      <c r="B483" s="286"/>
      <c r="C483" s="286"/>
      <c r="D483" s="286"/>
      <c r="E483" s="286"/>
      <c r="F483" s="241"/>
      <c r="G483" s="241"/>
      <c r="H483" s="241"/>
      <c r="I483"/>
      <c r="J483" s="286"/>
      <c r="K483" s="286"/>
      <c r="L483" s="286"/>
      <c r="M483" s="286"/>
      <c r="N483" s="286"/>
      <c r="O483" s="241"/>
      <c r="P483" s="241"/>
      <c r="Q483" s="241"/>
    </row>
    <row r="484" spans="1:17" ht="13.5" customHeight="1" x14ac:dyDescent="0.3">
      <c r="A484"/>
      <c r="B484" s="286"/>
      <c r="C484" s="286"/>
      <c r="D484" s="286"/>
      <c r="E484" s="286"/>
      <c r="F484" s="241"/>
      <c r="G484" s="241"/>
      <c r="H484" s="241"/>
      <c r="I484"/>
      <c r="J484" s="286"/>
      <c r="K484" s="286"/>
      <c r="L484" s="286"/>
      <c r="M484" s="286"/>
      <c r="N484" s="286"/>
      <c r="O484" s="241"/>
      <c r="P484" s="241"/>
      <c r="Q484" s="241"/>
    </row>
    <row r="485" spans="1:17" ht="13.5" customHeight="1" x14ac:dyDescent="0.3">
      <c r="A485"/>
      <c r="B485" s="286"/>
      <c r="C485" s="286"/>
      <c r="D485" s="286"/>
      <c r="E485" s="286"/>
      <c r="F485" s="241"/>
      <c r="G485" s="241"/>
      <c r="H485" s="241"/>
      <c r="I485"/>
      <c r="J485" s="286"/>
      <c r="K485" s="286"/>
      <c r="L485" s="286"/>
      <c r="M485" s="286"/>
      <c r="N485" s="286"/>
      <c r="O485" s="241"/>
      <c r="P485" s="241"/>
      <c r="Q485" s="241"/>
    </row>
    <row r="486" spans="1:17" ht="13.5" customHeight="1" x14ac:dyDescent="0.3">
      <c r="A486"/>
      <c r="B486" s="286"/>
      <c r="C486" s="286"/>
      <c r="D486" s="286"/>
      <c r="E486" s="286"/>
      <c r="F486" s="241"/>
      <c r="G486" s="241"/>
      <c r="H486" s="241"/>
      <c r="I486"/>
      <c r="J486" s="286"/>
      <c r="K486" s="286"/>
      <c r="L486" s="286"/>
      <c r="M486" s="286"/>
      <c r="N486" s="286"/>
      <c r="O486" s="241"/>
      <c r="P486" s="241"/>
      <c r="Q486" s="241"/>
    </row>
    <row r="487" spans="1:17" ht="13.5" customHeight="1" x14ac:dyDescent="0.3">
      <c r="A487"/>
      <c r="B487" s="286"/>
      <c r="C487" s="286"/>
      <c r="D487" s="286"/>
      <c r="E487" s="286"/>
      <c r="F487" s="241"/>
      <c r="G487" s="241"/>
      <c r="H487" s="241"/>
      <c r="I487"/>
      <c r="J487" s="286"/>
      <c r="K487" s="286"/>
      <c r="L487" s="286"/>
      <c r="M487" s="286"/>
      <c r="N487" s="286"/>
      <c r="O487" s="241"/>
      <c r="P487" s="241"/>
      <c r="Q487" s="241"/>
    </row>
    <row r="488" spans="1:17" ht="13.5" customHeight="1" x14ac:dyDescent="0.3">
      <c r="A488"/>
      <c r="B488" s="286"/>
      <c r="C488" s="286"/>
      <c r="D488" s="286"/>
      <c r="E488" s="286"/>
      <c r="F488" s="241"/>
      <c r="G488" s="241"/>
      <c r="H488" s="241"/>
      <c r="I488"/>
      <c r="J488" s="286"/>
      <c r="K488" s="286"/>
      <c r="L488" s="286"/>
      <c r="M488" s="286"/>
      <c r="N488" s="286"/>
      <c r="O488" s="241"/>
      <c r="P488" s="241"/>
      <c r="Q488" s="241"/>
    </row>
    <row r="489" spans="1:17" ht="13.5" customHeight="1" x14ac:dyDescent="0.3">
      <c r="A489"/>
      <c r="B489" s="286"/>
      <c r="C489" s="286"/>
      <c r="D489" s="286"/>
      <c r="E489" s="286"/>
      <c r="F489" s="241"/>
      <c r="G489" s="241"/>
      <c r="H489" s="241"/>
      <c r="I489"/>
      <c r="J489" s="286"/>
      <c r="K489" s="286"/>
      <c r="L489" s="286"/>
      <c r="M489" s="286"/>
      <c r="N489" s="286"/>
      <c r="O489" s="241"/>
      <c r="P489" s="241"/>
      <c r="Q489" s="241"/>
    </row>
    <row r="490" spans="1:17" ht="13.5" customHeight="1" x14ac:dyDescent="0.3">
      <c r="A490"/>
      <c r="B490" s="286"/>
      <c r="C490" s="286"/>
      <c r="D490" s="286"/>
      <c r="E490" s="286"/>
      <c r="F490" s="241"/>
      <c r="G490" s="241"/>
      <c r="H490" s="241"/>
      <c r="I490"/>
      <c r="J490" s="286"/>
      <c r="K490" s="286"/>
      <c r="L490" s="286"/>
      <c r="M490" s="286"/>
      <c r="N490" s="286"/>
      <c r="O490" s="241"/>
      <c r="P490" s="241"/>
      <c r="Q490" s="241"/>
    </row>
    <row r="491" spans="1:17" ht="13.5" customHeight="1" x14ac:dyDescent="0.3">
      <c r="A491"/>
      <c r="B491" s="286"/>
      <c r="C491" s="286"/>
      <c r="D491" s="286"/>
      <c r="E491" s="286"/>
      <c r="F491" s="241"/>
      <c r="G491" s="241"/>
      <c r="H491" s="241"/>
      <c r="I491"/>
      <c r="J491" s="286"/>
      <c r="K491" s="286"/>
      <c r="L491" s="286"/>
      <c r="M491" s="286"/>
      <c r="N491" s="286"/>
      <c r="O491" s="241"/>
      <c r="P491" s="241"/>
      <c r="Q491" s="241"/>
    </row>
    <row r="492" spans="1:17" ht="13.5" customHeight="1" x14ac:dyDescent="0.3">
      <c r="A492"/>
      <c r="B492" s="286"/>
      <c r="C492" s="286"/>
      <c r="D492" s="286"/>
      <c r="E492" s="286"/>
      <c r="F492" s="241"/>
      <c r="G492" s="241"/>
      <c r="H492" s="241"/>
      <c r="I492"/>
      <c r="J492" s="286"/>
      <c r="K492" s="286"/>
      <c r="L492" s="286"/>
      <c r="M492" s="286"/>
      <c r="N492" s="286"/>
      <c r="O492" s="241"/>
      <c r="P492" s="241"/>
      <c r="Q492" s="241"/>
    </row>
    <row r="493" spans="1:17" ht="13.5" customHeight="1" x14ac:dyDescent="0.3">
      <c r="A493"/>
      <c r="B493" s="286"/>
      <c r="C493" s="286"/>
      <c r="D493" s="286"/>
      <c r="E493" s="286"/>
      <c r="F493" s="241"/>
      <c r="G493" s="241"/>
      <c r="H493" s="241"/>
      <c r="I493"/>
      <c r="J493" s="286"/>
      <c r="K493" s="286"/>
      <c r="L493" s="286"/>
      <c r="M493" s="286"/>
      <c r="N493" s="286"/>
      <c r="O493" s="241"/>
      <c r="P493" s="241"/>
      <c r="Q493" s="241"/>
    </row>
    <row r="494" spans="1:17" ht="13.5" customHeight="1" x14ac:dyDescent="0.3">
      <c r="A494"/>
      <c r="B494" s="286"/>
      <c r="C494" s="286"/>
      <c r="D494" s="286"/>
      <c r="E494" s="286"/>
      <c r="F494" s="241"/>
      <c r="G494" s="241"/>
      <c r="H494" s="241"/>
      <c r="I494"/>
      <c r="J494" s="286"/>
      <c r="K494" s="286"/>
      <c r="L494" s="286"/>
      <c r="M494" s="286"/>
      <c r="N494" s="286"/>
      <c r="O494" s="241"/>
      <c r="P494" s="241"/>
      <c r="Q494" s="241"/>
    </row>
    <row r="495" spans="1:17" ht="13.5" customHeight="1" x14ac:dyDescent="0.3">
      <c r="A495"/>
      <c r="B495" s="286"/>
      <c r="C495" s="286"/>
      <c r="D495" s="286"/>
      <c r="E495" s="286"/>
      <c r="F495" s="241"/>
      <c r="G495" s="241"/>
      <c r="H495" s="241"/>
      <c r="I495"/>
      <c r="J495" s="286"/>
      <c r="K495" s="286"/>
      <c r="L495" s="286"/>
      <c r="M495" s="286"/>
      <c r="N495" s="286"/>
      <c r="O495" s="241"/>
      <c r="P495" s="241"/>
      <c r="Q495" s="241"/>
    </row>
    <row r="496" spans="1:17" ht="13.5" customHeight="1" x14ac:dyDescent="0.3">
      <c r="A496"/>
      <c r="B496" s="286"/>
      <c r="C496" s="286"/>
      <c r="D496" s="286"/>
      <c r="E496" s="286"/>
      <c r="F496" s="241"/>
      <c r="G496" s="241"/>
      <c r="H496" s="241"/>
      <c r="I496"/>
      <c r="J496" s="286"/>
      <c r="K496" s="286"/>
      <c r="L496" s="286"/>
      <c r="M496" s="286"/>
      <c r="N496" s="286"/>
      <c r="O496" s="241"/>
      <c r="P496" s="241"/>
      <c r="Q496" s="241"/>
    </row>
    <row r="497" spans="1:17" ht="13.5" customHeight="1" x14ac:dyDescent="0.3">
      <c r="A497"/>
      <c r="B497" s="286"/>
      <c r="C497" s="286"/>
      <c r="D497" s="286"/>
      <c r="E497" s="286"/>
      <c r="F497" s="241"/>
      <c r="G497" s="241"/>
      <c r="H497" s="241"/>
      <c r="I497"/>
      <c r="J497" s="286"/>
      <c r="K497" s="286"/>
      <c r="L497" s="286"/>
      <c r="M497" s="286"/>
      <c r="N497" s="286"/>
      <c r="O497" s="241"/>
      <c r="P497" s="241"/>
      <c r="Q497" s="241"/>
    </row>
    <row r="498" spans="1:17" ht="13.5" customHeight="1" x14ac:dyDescent="0.3">
      <c r="A498"/>
      <c r="B498" s="286"/>
      <c r="C498" s="286"/>
      <c r="D498" s="286"/>
      <c r="E498" s="286"/>
      <c r="F498" s="241"/>
      <c r="G498" s="241"/>
      <c r="H498" s="241"/>
      <c r="I498"/>
      <c r="J498" s="286"/>
      <c r="K498" s="286"/>
      <c r="L498" s="286"/>
      <c r="M498" s="286"/>
      <c r="N498" s="286"/>
      <c r="O498" s="241"/>
      <c r="P498" s="241"/>
      <c r="Q498" s="241"/>
    </row>
    <row r="499" spans="1:17" ht="13.5" customHeight="1" x14ac:dyDescent="0.3">
      <c r="A499"/>
      <c r="B499" s="286"/>
      <c r="C499" s="286"/>
      <c r="D499" s="286"/>
      <c r="E499" s="286"/>
      <c r="F499" s="241"/>
      <c r="G499" s="241"/>
      <c r="H499" s="241"/>
      <c r="I499"/>
      <c r="J499" s="286"/>
      <c r="K499" s="286"/>
      <c r="L499" s="286"/>
      <c r="M499" s="286"/>
      <c r="N499" s="286"/>
      <c r="O499" s="241"/>
      <c r="P499" s="241"/>
      <c r="Q499" s="241"/>
    </row>
    <row r="500" spans="1:17" ht="13.5" customHeight="1" x14ac:dyDescent="0.3">
      <c r="A500"/>
      <c r="B500" s="286"/>
      <c r="C500" s="286"/>
      <c r="D500" s="286"/>
      <c r="E500" s="286"/>
      <c r="F500" s="241"/>
      <c r="G500" s="241"/>
      <c r="H500" s="241"/>
      <c r="I500"/>
      <c r="J500" s="286"/>
      <c r="K500" s="286"/>
      <c r="L500" s="286"/>
      <c r="M500" s="286"/>
      <c r="N500" s="286"/>
      <c r="O500" s="241"/>
      <c r="P500" s="241"/>
      <c r="Q500" s="241"/>
    </row>
    <row r="501" spans="1:17" ht="13.5" customHeight="1" x14ac:dyDescent="0.3">
      <c r="A501"/>
      <c r="B501" s="286"/>
      <c r="C501" s="286"/>
      <c r="D501" s="286"/>
      <c r="E501" s="286"/>
      <c r="F501" s="241"/>
      <c r="G501" s="241"/>
      <c r="H501" s="241"/>
      <c r="I501"/>
      <c r="J501" s="286"/>
      <c r="K501" s="286"/>
      <c r="L501" s="286"/>
      <c r="M501" s="286"/>
      <c r="N501" s="286"/>
      <c r="O501" s="241"/>
      <c r="P501" s="241"/>
      <c r="Q501" s="241"/>
    </row>
    <row r="502" spans="1:17" ht="13.5" customHeight="1" x14ac:dyDescent="0.3">
      <c r="A502"/>
      <c r="B502" s="286"/>
      <c r="C502" s="286"/>
      <c r="D502" s="286"/>
      <c r="E502" s="286"/>
      <c r="F502" s="241"/>
      <c r="G502" s="241"/>
      <c r="H502" s="241"/>
      <c r="I502"/>
      <c r="J502" s="286"/>
      <c r="K502" s="286"/>
      <c r="L502" s="286"/>
      <c r="M502" s="286"/>
      <c r="N502" s="286"/>
      <c r="O502" s="241"/>
      <c r="P502" s="241"/>
      <c r="Q502" s="241"/>
    </row>
    <row r="503" spans="1:17" ht="13.5" customHeight="1" x14ac:dyDescent="0.3">
      <c r="A503"/>
      <c r="B503" s="286"/>
      <c r="C503" s="286"/>
      <c r="D503" s="286"/>
      <c r="E503" s="286"/>
      <c r="F503" s="241"/>
      <c r="G503" s="241"/>
      <c r="H503" s="241"/>
      <c r="I503"/>
      <c r="J503" s="286"/>
      <c r="K503" s="286"/>
      <c r="L503" s="286"/>
      <c r="M503" s="286"/>
      <c r="N503" s="286"/>
      <c r="O503" s="241"/>
      <c r="P503" s="241"/>
      <c r="Q503" s="241"/>
    </row>
    <row r="504" spans="1:17" ht="13.5" customHeight="1" x14ac:dyDescent="0.3">
      <c r="A504"/>
      <c r="B504" s="286"/>
      <c r="C504" s="286"/>
      <c r="D504" s="286"/>
      <c r="E504" s="286"/>
      <c r="F504" s="241"/>
      <c r="G504" s="241"/>
      <c r="H504" s="241"/>
      <c r="I504"/>
      <c r="J504" s="286"/>
      <c r="K504" s="286"/>
      <c r="L504" s="286"/>
      <c r="M504" s="286"/>
      <c r="N504" s="286"/>
      <c r="O504" s="241"/>
      <c r="P504" s="241"/>
      <c r="Q504" s="241"/>
    </row>
    <row r="505" spans="1:17" ht="13.5" customHeight="1" x14ac:dyDescent="0.3">
      <c r="A505"/>
      <c r="B505" s="286"/>
      <c r="C505" s="286"/>
      <c r="D505" s="286"/>
      <c r="E505" s="286"/>
      <c r="F505" s="241"/>
      <c r="G505" s="241"/>
      <c r="H505" s="241"/>
      <c r="I505"/>
      <c r="J505" s="286"/>
      <c r="K505" s="286"/>
      <c r="L505" s="286"/>
      <c r="M505" s="286"/>
      <c r="N505" s="286"/>
      <c r="O505" s="241"/>
      <c r="P505" s="241"/>
      <c r="Q505" s="241"/>
    </row>
    <row r="506" spans="1:17" ht="13.5" customHeight="1" x14ac:dyDescent="0.3">
      <c r="A506"/>
      <c r="B506" s="286"/>
      <c r="C506" s="286"/>
      <c r="D506" s="286"/>
      <c r="E506" s="286"/>
      <c r="F506" s="241"/>
      <c r="G506" s="241"/>
      <c r="H506" s="241"/>
      <c r="I506"/>
      <c r="J506" s="286"/>
      <c r="K506" s="286"/>
      <c r="L506" s="286"/>
      <c r="M506" s="286"/>
      <c r="N506" s="286"/>
      <c r="O506" s="241"/>
      <c r="P506" s="241"/>
      <c r="Q506" s="241"/>
    </row>
    <row r="507" spans="1:17" ht="13.5" customHeight="1" x14ac:dyDescent="0.3">
      <c r="A507"/>
      <c r="B507" s="286"/>
      <c r="C507" s="286"/>
      <c r="D507" s="286"/>
      <c r="E507" s="286"/>
      <c r="F507" s="241"/>
      <c r="G507" s="241"/>
      <c r="H507" s="241"/>
      <c r="I507"/>
      <c r="J507" s="286"/>
      <c r="K507" s="286"/>
      <c r="L507" s="286"/>
      <c r="M507" s="286"/>
      <c r="N507" s="286"/>
      <c r="O507" s="241"/>
      <c r="P507" s="241"/>
      <c r="Q507" s="241"/>
    </row>
    <row r="508" spans="1:17" ht="13.5" customHeight="1" x14ac:dyDescent="0.3">
      <c r="A508"/>
      <c r="B508" s="286"/>
      <c r="C508" s="286"/>
      <c r="D508" s="286"/>
      <c r="E508" s="286"/>
      <c r="F508" s="241"/>
      <c r="G508" s="241"/>
      <c r="H508" s="241"/>
      <c r="I508"/>
      <c r="J508" s="286"/>
      <c r="K508" s="286"/>
      <c r="L508" s="286"/>
      <c r="M508" s="286"/>
      <c r="N508" s="286"/>
      <c r="O508" s="241"/>
      <c r="P508" s="241"/>
      <c r="Q508" s="241"/>
    </row>
    <row r="509" spans="1:17" ht="13.5" customHeight="1" x14ac:dyDescent="0.3">
      <c r="A509"/>
      <c r="B509" s="286"/>
      <c r="C509" s="286"/>
      <c r="D509" s="286"/>
      <c r="E509" s="286"/>
      <c r="F509" s="241"/>
      <c r="G509" s="241"/>
      <c r="H509" s="241"/>
      <c r="I509"/>
      <c r="J509" s="286"/>
      <c r="K509" s="286"/>
      <c r="L509" s="286"/>
      <c r="M509" s="286"/>
      <c r="N509" s="286"/>
      <c r="O509" s="241"/>
      <c r="P509" s="241"/>
      <c r="Q509" s="241"/>
    </row>
    <row r="510" spans="1:17" ht="13.5" customHeight="1" x14ac:dyDescent="0.3">
      <c r="A510"/>
      <c r="B510" s="286"/>
      <c r="C510" s="286"/>
      <c r="D510" s="286"/>
      <c r="E510" s="286"/>
      <c r="F510" s="241"/>
      <c r="G510" s="241"/>
      <c r="H510" s="241"/>
      <c r="I510"/>
      <c r="J510" s="286"/>
      <c r="K510" s="286"/>
      <c r="L510" s="286"/>
      <c r="M510" s="286"/>
      <c r="N510" s="286"/>
      <c r="O510" s="241"/>
      <c r="P510" s="241"/>
      <c r="Q510" s="241"/>
    </row>
    <row r="511" spans="1:17" ht="13.5" customHeight="1" x14ac:dyDescent="0.3">
      <c r="A511"/>
      <c r="B511" s="286"/>
      <c r="C511" s="286"/>
      <c r="D511" s="286"/>
      <c r="E511" s="286"/>
      <c r="F511" s="241"/>
      <c r="G511" s="241"/>
      <c r="H511" s="241"/>
      <c r="I511"/>
      <c r="J511" s="286"/>
      <c r="K511" s="286"/>
      <c r="L511" s="286"/>
      <c r="M511" s="286"/>
      <c r="N511" s="286"/>
      <c r="O511" s="241"/>
      <c r="P511" s="241"/>
      <c r="Q511" s="241"/>
    </row>
    <row r="512" spans="1:17" ht="13.5" customHeight="1" x14ac:dyDescent="0.3">
      <c r="A512"/>
      <c r="B512" s="286"/>
      <c r="C512" s="286"/>
      <c r="D512" s="286"/>
      <c r="E512" s="286"/>
      <c r="F512" s="241"/>
      <c r="G512" s="241"/>
      <c r="H512" s="241"/>
      <c r="I512"/>
      <c r="J512" s="286"/>
      <c r="K512" s="286"/>
      <c r="L512" s="286"/>
      <c r="M512" s="286"/>
      <c r="N512" s="286"/>
      <c r="O512" s="241"/>
      <c r="P512" s="241"/>
      <c r="Q512" s="241"/>
    </row>
    <row r="513" spans="1:17" ht="13.5" customHeight="1" x14ac:dyDescent="0.3">
      <c r="A513"/>
      <c r="B513" s="286"/>
      <c r="C513" s="286"/>
      <c r="D513" s="286"/>
      <c r="E513" s="286"/>
      <c r="F513" s="241"/>
      <c r="G513" s="241"/>
      <c r="H513" s="241"/>
      <c r="I513"/>
      <c r="J513" s="286"/>
      <c r="K513" s="286"/>
      <c r="L513" s="286"/>
      <c r="M513" s="286"/>
      <c r="N513" s="286"/>
      <c r="O513" s="241"/>
      <c r="P513" s="241"/>
      <c r="Q513" s="241"/>
    </row>
    <row r="514" spans="1:17" ht="13.5" customHeight="1" x14ac:dyDescent="0.3">
      <c r="A514"/>
      <c r="B514" s="286"/>
      <c r="C514" s="286"/>
      <c r="D514" s="286"/>
      <c r="E514" s="286"/>
      <c r="F514" s="241"/>
      <c r="G514" s="241"/>
      <c r="H514" s="241"/>
      <c r="I514"/>
      <c r="J514" s="286"/>
      <c r="K514" s="286"/>
      <c r="L514" s="286"/>
      <c r="M514" s="286"/>
      <c r="N514" s="286"/>
      <c r="O514" s="241"/>
      <c r="P514" s="241"/>
      <c r="Q514" s="241"/>
    </row>
    <row r="515" spans="1:17" ht="13.5" customHeight="1" x14ac:dyDescent="0.3">
      <c r="A515"/>
      <c r="B515" s="286"/>
      <c r="C515" s="286"/>
      <c r="D515" s="286"/>
      <c r="E515" s="286"/>
      <c r="F515" s="241"/>
      <c r="G515" s="241"/>
      <c r="H515" s="241"/>
      <c r="I515"/>
      <c r="J515" s="286"/>
      <c r="K515" s="286"/>
      <c r="L515" s="286"/>
      <c r="M515" s="286"/>
      <c r="N515" s="286"/>
      <c r="O515" s="241"/>
      <c r="P515" s="241"/>
      <c r="Q515" s="241"/>
    </row>
    <row r="516" spans="1:17" ht="13.5" customHeight="1" x14ac:dyDescent="0.3">
      <c r="A516"/>
      <c r="B516" s="286"/>
      <c r="C516" s="286"/>
      <c r="D516" s="286"/>
      <c r="E516" s="286"/>
      <c r="F516" s="241"/>
      <c r="G516" s="241"/>
      <c r="H516" s="241"/>
      <c r="I516"/>
      <c r="J516" s="286"/>
      <c r="K516" s="286"/>
      <c r="L516" s="286"/>
      <c r="M516" s="286"/>
      <c r="N516" s="286"/>
      <c r="O516" s="241"/>
      <c r="P516" s="241"/>
      <c r="Q516" s="241"/>
    </row>
    <row r="517" spans="1:17" ht="13.5" customHeight="1" x14ac:dyDescent="0.3">
      <c r="A517"/>
      <c r="B517" s="286"/>
      <c r="C517" s="286"/>
      <c r="D517" s="286"/>
      <c r="E517" s="286"/>
      <c r="F517" s="241"/>
      <c r="G517" s="241"/>
      <c r="H517" s="241"/>
      <c r="I517"/>
      <c r="J517" s="286"/>
      <c r="K517" s="286"/>
      <c r="L517" s="286"/>
      <c r="M517" s="286"/>
      <c r="N517" s="286"/>
      <c r="O517" s="241"/>
      <c r="P517" s="241"/>
      <c r="Q517" s="241"/>
    </row>
    <row r="518" spans="1:17" ht="13.5" customHeight="1" x14ac:dyDescent="0.3">
      <c r="A518"/>
      <c r="B518" s="286"/>
      <c r="C518" s="286"/>
      <c r="D518" s="286"/>
      <c r="E518" s="286"/>
      <c r="F518" s="241"/>
      <c r="G518" s="241"/>
      <c r="H518" s="241"/>
      <c r="I518"/>
      <c r="J518" s="286"/>
      <c r="K518" s="286"/>
      <c r="L518" s="286"/>
      <c r="M518" s="286"/>
      <c r="N518" s="286"/>
      <c r="O518" s="241"/>
      <c r="P518" s="241"/>
      <c r="Q518" s="241"/>
    </row>
    <row r="519" spans="1:17" ht="13.5" customHeight="1" x14ac:dyDescent="0.3">
      <c r="A519"/>
      <c r="B519" s="286"/>
      <c r="C519" s="286"/>
      <c r="D519" s="286"/>
      <c r="E519" s="286"/>
      <c r="F519" s="241"/>
      <c r="G519" s="241"/>
      <c r="H519" s="241"/>
      <c r="I519"/>
      <c r="J519" s="286"/>
      <c r="K519" s="286"/>
      <c r="L519" s="286"/>
      <c r="M519" s="286"/>
      <c r="N519" s="286"/>
      <c r="O519" s="241"/>
      <c r="P519" s="241"/>
      <c r="Q519" s="241"/>
    </row>
    <row r="520" spans="1:17" ht="13.5" customHeight="1" x14ac:dyDescent="0.3">
      <c r="A520"/>
      <c r="B520" s="286"/>
      <c r="C520" s="286"/>
      <c r="D520" s="286"/>
      <c r="E520" s="286"/>
      <c r="F520" s="241"/>
      <c r="G520" s="241"/>
      <c r="H520" s="241"/>
      <c r="I520"/>
      <c r="J520" s="286"/>
      <c r="K520" s="286"/>
      <c r="L520" s="286"/>
      <c r="M520" s="286"/>
      <c r="N520" s="286"/>
      <c r="O520" s="241"/>
      <c r="P520" s="241"/>
      <c r="Q520" s="241"/>
    </row>
    <row r="521" spans="1:17" ht="13.5" customHeight="1" x14ac:dyDescent="0.3">
      <c r="A521"/>
      <c r="B521" s="286"/>
      <c r="C521" s="286"/>
      <c r="D521" s="286"/>
      <c r="E521" s="286"/>
      <c r="F521" s="241"/>
      <c r="G521" s="241"/>
      <c r="H521" s="241"/>
      <c r="I521"/>
      <c r="J521" s="286"/>
      <c r="K521" s="286"/>
      <c r="L521" s="286"/>
      <c r="M521" s="286"/>
      <c r="N521" s="286"/>
      <c r="O521" s="241"/>
      <c r="P521" s="241"/>
      <c r="Q521" s="241"/>
    </row>
    <row r="522" spans="1:17" ht="13.5" customHeight="1" x14ac:dyDescent="0.3">
      <c r="A522"/>
      <c r="B522" s="286"/>
      <c r="C522" s="286"/>
      <c r="D522" s="286"/>
      <c r="E522" s="286"/>
      <c r="F522" s="241"/>
      <c r="G522" s="241"/>
      <c r="H522" s="241"/>
      <c r="I522"/>
      <c r="J522" s="286"/>
      <c r="K522" s="286"/>
      <c r="L522" s="286"/>
      <c r="M522" s="286"/>
      <c r="N522" s="286"/>
      <c r="O522" s="241"/>
      <c r="P522" s="241"/>
      <c r="Q522" s="241"/>
    </row>
    <row r="523" spans="1:17" ht="13.5" customHeight="1" x14ac:dyDescent="0.3">
      <c r="A523"/>
      <c r="B523" s="286"/>
      <c r="C523" s="286"/>
      <c r="D523" s="286"/>
      <c r="E523" s="286"/>
      <c r="F523" s="241"/>
      <c r="G523" s="241"/>
      <c r="H523" s="241"/>
      <c r="I523"/>
      <c r="J523" s="286"/>
      <c r="K523" s="286"/>
      <c r="L523" s="286"/>
      <c r="M523" s="286"/>
      <c r="N523" s="286"/>
      <c r="O523" s="241"/>
      <c r="P523" s="241"/>
      <c r="Q523" s="241"/>
    </row>
    <row r="524" spans="1:17" ht="13.5" customHeight="1" x14ac:dyDescent="0.3">
      <c r="A524"/>
      <c r="B524" s="286"/>
      <c r="C524" s="286"/>
      <c r="D524" s="286"/>
      <c r="E524" s="286"/>
      <c r="F524" s="241"/>
      <c r="G524" s="241"/>
      <c r="H524" s="241"/>
      <c r="I524"/>
      <c r="J524" s="286"/>
      <c r="K524" s="286"/>
      <c r="L524" s="286"/>
      <c r="M524" s="286"/>
      <c r="N524" s="286"/>
      <c r="O524" s="241"/>
      <c r="P524" s="241"/>
      <c r="Q524" s="241"/>
    </row>
    <row r="525" spans="1:17" ht="13.5" customHeight="1" x14ac:dyDescent="0.3">
      <c r="A525"/>
      <c r="B525" s="286"/>
      <c r="C525" s="286"/>
      <c r="D525" s="286"/>
      <c r="E525" s="286"/>
      <c r="F525" s="241"/>
      <c r="G525" s="241"/>
      <c r="H525" s="241"/>
      <c r="I525"/>
      <c r="J525" s="286"/>
      <c r="K525" s="286"/>
      <c r="L525" s="286"/>
      <c r="M525" s="286"/>
      <c r="N525" s="286"/>
      <c r="O525" s="241"/>
      <c r="P525" s="241"/>
      <c r="Q525" s="241"/>
    </row>
    <row r="526" spans="1:17" ht="13.5" customHeight="1" x14ac:dyDescent="0.3">
      <c r="A526"/>
      <c r="B526" s="286"/>
      <c r="C526" s="286"/>
      <c r="D526" s="286"/>
      <c r="E526" s="286"/>
      <c r="F526" s="241"/>
      <c r="G526" s="241"/>
      <c r="H526" s="241"/>
      <c r="I526"/>
      <c r="J526" s="286"/>
      <c r="K526" s="286"/>
      <c r="L526" s="286"/>
      <c r="M526" s="286"/>
      <c r="N526" s="286"/>
      <c r="O526" s="241"/>
      <c r="P526" s="241"/>
      <c r="Q526" s="241"/>
    </row>
    <row r="527" spans="1:17" ht="13.5" customHeight="1" x14ac:dyDescent="0.3">
      <c r="A527"/>
      <c r="B527" s="286"/>
      <c r="C527" s="286"/>
      <c r="D527" s="286"/>
      <c r="E527" s="286"/>
      <c r="F527" s="241"/>
      <c r="G527" s="241"/>
      <c r="H527" s="241"/>
      <c r="I527"/>
      <c r="J527" s="286"/>
      <c r="K527" s="286"/>
      <c r="L527" s="286"/>
      <c r="M527" s="286"/>
      <c r="N527" s="286"/>
      <c r="O527" s="241"/>
      <c r="P527" s="241"/>
      <c r="Q527" s="241"/>
    </row>
    <row r="528" spans="1:17" ht="13.5" customHeight="1" x14ac:dyDescent="0.3">
      <c r="A528"/>
      <c r="B528" s="286"/>
      <c r="C528" s="286"/>
      <c r="D528" s="286"/>
      <c r="E528" s="286"/>
      <c r="F528" s="241"/>
      <c r="G528" s="241"/>
      <c r="H528" s="241"/>
      <c r="I528"/>
      <c r="J528" s="286"/>
      <c r="K528" s="286"/>
      <c r="L528" s="286"/>
      <c r="M528" s="286"/>
      <c r="N528" s="286"/>
      <c r="O528" s="241"/>
      <c r="P528" s="241"/>
      <c r="Q528" s="241"/>
    </row>
    <row r="529" spans="1:17" ht="13.5" customHeight="1" x14ac:dyDescent="0.3">
      <c r="A529"/>
      <c r="B529" s="286"/>
      <c r="C529" s="286"/>
      <c r="D529" s="286"/>
      <c r="E529" s="286"/>
      <c r="F529" s="241"/>
      <c r="G529" s="241"/>
      <c r="H529" s="241"/>
      <c r="I529"/>
      <c r="J529" s="286"/>
      <c r="K529" s="286"/>
      <c r="L529" s="286"/>
      <c r="M529" s="286"/>
      <c r="N529" s="286"/>
      <c r="O529" s="241"/>
      <c r="P529" s="241"/>
      <c r="Q529" s="241"/>
    </row>
    <row r="530" spans="1:17" ht="13.5" customHeight="1" x14ac:dyDescent="0.3">
      <c r="A530"/>
      <c r="B530" s="286"/>
      <c r="C530" s="286"/>
      <c r="D530" s="286"/>
      <c r="E530" s="286"/>
      <c r="F530" s="241"/>
      <c r="G530" s="241"/>
      <c r="H530" s="241"/>
      <c r="I530"/>
      <c r="J530" s="286"/>
      <c r="K530" s="286"/>
      <c r="L530" s="286"/>
      <c r="M530" s="286"/>
      <c r="N530" s="286"/>
      <c r="O530" s="241"/>
      <c r="P530" s="241"/>
      <c r="Q530" s="241"/>
    </row>
    <row r="531" spans="1:17" ht="13.5" customHeight="1" x14ac:dyDescent="0.3">
      <c r="A531"/>
      <c r="B531" s="286"/>
      <c r="C531" s="286"/>
      <c r="D531" s="286"/>
      <c r="E531" s="286"/>
      <c r="F531" s="241"/>
      <c r="G531" s="241"/>
      <c r="H531" s="241"/>
      <c r="I531"/>
      <c r="J531" s="286"/>
      <c r="K531" s="286"/>
      <c r="L531" s="286"/>
      <c r="M531" s="286"/>
      <c r="N531" s="286"/>
      <c r="O531" s="241"/>
      <c r="P531" s="241"/>
      <c r="Q531" s="241"/>
    </row>
    <row r="532" spans="1:17" ht="13.5" customHeight="1" x14ac:dyDescent="0.3">
      <c r="A532"/>
      <c r="B532" s="286"/>
      <c r="C532" s="286"/>
      <c r="D532" s="286"/>
      <c r="E532" s="286"/>
      <c r="F532" s="241"/>
      <c r="G532" s="241"/>
      <c r="H532" s="241"/>
      <c r="I532"/>
      <c r="J532" s="286"/>
      <c r="K532" s="286"/>
      <c r="L532" s="286"/>
      <c r="M532" s="286"/>
      <c r="N532" s="286"/>
      <c r="O532" s="241"/>
      <c r="P532" s="241"/>
      <c r="Q532" s="241"/>
    </row>
    <row r="533" spans="1:17" ht="13.5" customHeight="1" x14ac:dyDescent="0.3">
      <c r="A533"/>
      <c r="B533" s="286"/>
      <c r="C533" s="286"/>
      <c r="D533" s="286"/>
      <c r="E533" s="286"/>
      <c r="F533" s="241"/>
      <c r="G533" s="241"/>
      <c r="H533" s="241"/>
      <c r="I533"/>
      <c r="J533" s="286"/>
      <c r="K533" s="286"/>
      <c r="L533" s="286"/>
      <c r="M533" s="286"/>
      <c r="N533" s="286"/>
      <c r="O533" s="241"/>
      <c r="P533" s="241"/>
      <c r="Q533" s="241"/>
    </row>
    <row r="534" spans="1:17" ht="13.5" customHeight="1" x14ac:dyDescent="0.3">
      <c r="A534"/>
      <c r="B534" s="286"/>
      <c r="C534" s="286"/>
      <c r="D534" s="286"/>
      <c r="E534" s="286"/>
      <c r="F534" s="241"/>
      <c r="G534" s="241"/>
      <c r="H534" s="241"/>
      <c r="I534"/>
      <c r="J534" s="286"/>
      <c r="K534" s="286"/>
      <c r="L534" s="286"/>
      <c r="M534" s="286"/>
      <c r="N534" s="286"/>
      <c r="O534" s="241"/>
      <c r="P534" s="241"/>
      <c r="Q534" s="241"/>
    </row>
    <row r="535" spans="1:17" ht="13.5" customHeight="1" x14ac:dyDescent="0.3">
      <c r="A535"/>
      <c r="B535" s="286"/>
      <c r="C535" s="286"/>
      <c r="D535" s="286"/>
      <c r="E535" s="286"/>
      <c r="F535" s="241"/>
      <c r="G535" s="241"/>
      <c r="H535" s="241"/>
      <c r="I535"/>
      <c r="J535" s="286"/>
      <c r="K535" s="286"/>
      <c r="L535" s="286"/>
      <c r="M535" s="286"/>
      <c r="N535" s="286"/>
      <c r="O535" s="241"/>
      <c r="P535" s="241"/>
      <c r="Q535" s="241"/>
    </row>
    <row r="536" spans="1:17" ht="13.5" customHeight="1" x14ac:dyDescent="0.3">
      <c r="A536"/>
      <c r="B536" s="286"/>
      <c r="C536" s="286"/>
      <c r="D536" s="286"/>
      <c r="E536" s="286"/>
      <c r="F536" s="241"/>
      <c r="G536" s="241"/>
      <c r="H536" s="241"/>
      <c r="I536"/>
      <c r="J536" s="286"/>
      <c r="K536" s="286"/>
      <c r="L536" s="286"/>
      <c r="M536" s="286"/>
      <c r="N536" s="286"/>
      <c r="O536" s="241"/>
      <c r="P536" s="241"/>
      <c r="Q536" s="241"/>
    </row>
    <row r="537" spans="1:17" ht="13.5" customHeight="1" x14ac:dyDescent="0.3">
      <c r="A537"/>
      <c r="B537" s="286"/>
      <c r="C537" s="286"/>
      <c r="D537" s="286"/>
      <c r="E537" s="286"/>
      <c r="F537" s="241"/>
      <c r="G537" s="241"/>
      <c r="H537" s="241"/>
      <c r="I537"/>
      <c r="J537" s="286"/>
      <c r="K537" s="286"/>
      <c r="L537" s="286"/>
      <c r="M537" s="286"/>
      <c r="N537" s="286"/>
      <c r="O537" s="241"/>
      <c r="P537" s="241"/>
      <c r="Q537" s="241"/>
    </row>
    <row r="538" spans="1:17" ht="13.5" customHeight="1" x14ac:dyDescent="0.3">
      <c r="A538"/>
      <c r="B538" s="286"/>
      <c r="C538" s="286"/>
      <c r="D538" s="286"/>
      <c r="E538" s="286"/>
      <c r="F538" s="241"/>
      <c r="G538" s="241"/>
      <c r="H538" s="241"/>
      <c r="I538"/>
      <c r="J538" s="286"/>
      <c r="K538" s="286"/>
      <c r="L538" s="286"/>
      <c r="M538" s="286"/>
      <c r="N538" s="286"/>
      <c r="O538" s="241"/>
      <c r="P538" s="241"/>
      <c r="Q538" s="241"/>
    </row>
    <row r="539" spans="1:17" ht="13.5" customHeight="1" x14ac:dyDescent="0.3">
      <c r="A539"/>
      <c r="B539" s="286"/>
      <c r="C539" s="286"/>
      <c r="D539" s="286"/>
      <c r="E539" s="286"/>
      <c r="F539" s="241"/>
      <c r="G539" s="241"/>
      <c r="H539" s="241"/>
      <c r="I539"/>
      <c r="J539" s="286"/>
      <c r="K539" s="286"/>
      <c r="L539" s="286"/>
      <c r="M539" s="286"/>
      <c r="N539" s="286"/>
      <c r="O539" s="241"/>
      <c r="P539" s="241"/>
      <c r="Q539" s="241"/>
    </row>
    <row r="540" spans="1:17" ht="13.5" customHeight="1" x14ac:dyDescent="0.3">
      <c r="A540"/>
      <c r="B540" s="286"/>
      <c r="C540" s="286"/>
      <c r="D540" s="286"/>
      <c r="E540" s="286"/>
      <c r="F540" s="241"/>
      <c r="G540" s="241"/>
      <c r="H540" s="241"/>
      <c r="I540"/>
      <c r="J540" s="286"/>
      <c r="K540" s="286"/>
      <c r="L540" s="286"/>
      <c r="M540" s="286"/>
      <c r="N540" s="286"/>
      <c r="O540" s="241"/>
      <c r="P540" s="241"/>
      <c r="Q540" s="241"/>
    </row>
    <row r="541" spans="1:17" ht="13.5" customHeight="1" x14ac:dyDescent="0.3">
      <c r="A541"/>
      <c r="B541" s="286"/>
      <c r="C541" s="286"/>
      <c r="D541" s="286"/>
      <c r="E541" s="286"/>
      <c r="F541" s="241"/>
      <c r="G541" s="241"/>
      <c r="H541" s="241"/>
      <c r="I541"/>
      <c r="J541" s="286"/>
      <c r="K541" s="286"/>
      <c r="L541" s="286"/>
      <c r="M541" s="286"/>
      <c r="N541" s="286"/>
      <c r="O541" s="241"/>
      <c r="P541" s="241"/>
      <c r="Q541" s="241"/>
    </row>
    <row r="542" spans="1:17" ht="13.5" customHeight="1" x14ac:dyDescent="0.3">
      <c r="A542"/>
      <c r="B542" s="286"/>
      <c r="C542" s="286"/>
      <c r="D542" s="286"/>
      <c r="E542" s="286"/>
      <c r="F542" s="241"/>
      <c r="G542" s="241"/>
      <c r="H542" s="241"/>
      <c r="I542"/>
      <c r="J542" s="286"/>
      <c r="K542" s="286"/>
      <c r="L542" s="286"/>
      <c r="M542" s="286"/>
      <c r="N542" s="286"/>
      <c r="O542" s="241"/>
      <c r="P542" s="241"/>
      <c r="Q542" s="241"/>
    </row>
    <row r="543" spans="1:17" ht="13.5" customHeight="1" x14ac:dyDescent="0.3">
      <c r="A543"/>
      <c r="B543" s="286"/>
      <c r="C543" s="286"/>
      <c r="D543" s="286"/>
      <c r="E543" s="286"/>
      <c r="F543" s="241"/>
      <c r="G543" s="241"/>
      <c r="H543" s="241"/>
      <c r="I543"/>
      <c r="J543" s="286"/>
      <c r="K543" s="286"/>
      <c r="L543" s="286"/>
      <c r="M543" s="286"/>
      <c r="N543" s="286"/>
      <c r="O543" s="241"/>
      <c r="P543" s="241"/>
      <c r="Q543" s="241"/>
    </row>
    <row r="544" spans="1:17" ht="13.5" customHeight="1" x14ac:dyDescent="0.3">
      <c r="A544"/>
      <c r="B544" s="286"/>
      <c r="C544" s="286"/>
      <c r="D544" s="286"/>
      <c r="E544" s="286"/>
      <c r="F544" s="241"/>
      <c r="G544" s="241"/>
      <c r="H544" s="241"/>
      <c r="I544"/>
      <c r="J544" s="286"/>
      <c r="K544" s="286"/>
      <c r="L544" s="286"/>
      <c r="M544" s="286"/>
      <c r="N544" s="286"/>
      <c r="O544" s="241"/>
      <c r="P544" s="241"/>
      <c r="Q544" s="241"/>
    </row>
    <row r="545" spans="1:17" ht="13.5" customHeight="1" x14ac:dyDescent="0.3">
      <c r="A545"/>
      <c r="B545" s="286"/>
      <c r="C545" s="286"/>
      <c r="D545" s="286"/>
      <c r="E545" s="286"/>
      <c r="F545" s="241"/>
      <c r="G545" s="241"/>
      <c r="H545" s="241"/>
      <c r="I545"/>
      <c r="J545" s="286"/>
      <c r="K545" s="286"/>
      <c r="L545" s="286"/>
      <c r="M545" s="286"/>
      <c r="N545" s="286"/>
      <c r="O545" s="241"/>
      <c r="P545" s="241"/>
      <c r="Q545" s="241"/>
    </row>
    <row r="546" spans="1:17" ht="13.5" customHeight="1" x14ac:dyDescent="0.3">
      <c r="A546"/>
      <c r="B546" s="286"/>
      <c r="C546" s="286"/>
      <c r="D546" s="286"/>
      <c r="E546" s="286"/>
      <c r="F546" s="241"/>
      <c r="G546" s="241"/>
      <c r="H546" s="241"/>
      <c r="I546"/>
      <c r="J546" s="286"/>
      <c r="K546" s="286"/>
      <c r="L546" s="286"/>
      <c r="M546" s="286"/>
      <c r="N546" s="286"/>
      <c r="O546" s="241"/>
      <c r="P546" s="241"/>
      <c r="Q546" s="241"/>
    </row>
    <row r="547" spans="1:17" ht="13.5" customHeight="1" x14ac:dyDescent="0.3">
      <c r="A547"/>
      <c r="B547" s="286"/>
      <c r="C547" s="286"/>
      <c r="D547" s="286"/>
      <c r="E547" s="286"/>
      <c r="F547" s="241"/>
      <c r="G547" s="241"/>
      <c r="H547" s="241"/>
      <c r="I547"/>
      <c r="J547" s="286"/>
      <c r="K547" s="286"/>
      <c r="L547" s="286"/>
      <c r="M547" s="286"/>
      <c r="N547" s="286"/>
      <c r="O547" s="241"/>
      <c r="P547" s="241"/>
      <c r="Q547" s="241"/>
    </row>
    <row r="548" spans="1:17" ht="13.5" customHeight="1" x14ac:dyDescent="0.3">
      <c r="A548"/>
      <c r="B548" s="286"/>
      <c r="C548" s="286"/>
      <c r="D548" s="286"/>
      <c r="E548" s="286"/>
      <c r="F548" s="241"/>
      <c r="G548" s="241"/>
      <c r="H548" s="241"/>
      <c r="I548"/>
      <c r="J548" s="286"/>
      <c r="K548" s="286"/>
      <c r="L548" s="286"/>
      <c r="M548" s="286"/>
      <c r="N548" s="286"/>
      <c r="O548" s="241"/>
      <c r="P548" s="241"/>
      <c r="Q548" s="241"/>
    </row>
    <row r="549" spans="1:17" ht="13.5" customHeight="1" x14ac:dyDescent="0.3">
      <c r="A549"/>
      <c r="B549" s="286"/>
      <c r="C549" s="286"/>
      <c r="D549" s="286"/>
      <c r="E549" s="286"/>
      <c r="F549" s="241"/>
      <c r="G549" s="241"/>
      <c r="H549" s="241"/>
      <c r="I549"/>
      <c r="J549" s="286"/>
      <c r="K549" s="286"/>
      <c r="L549" s="286"/>
      <c r="M549" s="286"/>
      <c r="N549" s="286"/>
      <c r="O549" s="241"/>
      <c r="P549" s="241"/>
      <c r="Q549" s="241"/>
    </row>
    <row r="550" spans="1:17" ht="13.5" customHeight="1" x14ac:dyDescent="0.3">
      <c r="A550"/>
      <c r="B550" s="286"/>
      <c r="C550" s="286"/>
      <c r="D550" s="286"/>
      <c r="E550" s="286"/>
      <c r="F550" s="241"/>
      <c r="G550" s="241"/>
      <c r="H550" s="241"/>
      <c r="I550"/>
      <c r="J550" s="286"/>
      <c r="K550" s="286"/>
      <c r="L550" s="286"/>
      <c r="M550" s="286"/>
      <c r="N550" s="286"/>
      <c r="O550" s="241"/>
      <c r="P550" s="241"/>
      <c r="Q550" s="241"/>
    </row>
    <row r="551" spans="1:17" ht="13.5" customHeight="1" x14ac:dyDescent="0.3">
      <c r="A551"/>
      <c r="B551" s="286"/>
      <c r="C551" s="286"/>
      <c r="D551" s="286"/>
      <c r="E551" s="286"/>
      <c r="F551" s="241"/>
      <c r="G551" s="241"/>
      <c r="H551" s="241"/>
      <c r="I551"/>
      <c r="J551" s="286"/>
      <c r="K551" s="286"/>
      <c r="L551" s="286"/>
      <c r="M551" s="286"/>
      <c r="N551" s="286"/>
      <c r="O551" s="241"/>
      <c r="P551" s="241"/>
      <c r="Q551" s="241"/>
    </row>
    <row r="552" spans="1:17" ht="13.5" customHeight="1" x14ac:dyDescent="0.3">
      <c r="A552"/>
      <c r="B552" s="286"/>
      <c r="C552" s="286"/>
      <c r="D552" s="286"/>
      <c r="E552" s="286"/>
      <c r="F552" s="241"/>
      <c r="G552" s="241"/>
      <c r="H552" s="241"/>
      <c r="I552"/>
      <c r="J552" s="286"/>
      <c r="K552" s="286"/>
      <c r="L552" s="286"/>
      <c r="M552" s="286"/>
      <c r="N552" s="286"/>
      <c r="O552" s="241"/>
      <c r="P552" s="241"/>
      <c r="Q552" s="241"/>
    </row>
    <row r="553" spans="1:17" ht="13.5" customHeight="1" x14ac:dyDescent="0.3">
      <c r="A553"/>
      <c r="B553" s="286"/>
      <c r="C553" s="286"/>
      <c r="D553" s="286"/>
      <c r="E553" s="286"/>
      <c r="F553" s="241"/>
      <c r="G553" s="241"/>
      <c r="H553" s="241"/>
      <c r="I553"/>
      <c r="J553" s="286"/>
      <c r="K553" s="286"/>
      <c r="L553" s="286"/>
      <c r="M553" s="286"/>
      <c r="N553" s="286"/>
      <c r="O553" s="241"/>
      <c r="P553" s="241"/>
      <c r="Q553" s="241"/>
    </row>
    <row r="554" spans="1:17" ht="13.5" customHeight="1" x14ac:dyDescent="0.3">
      <c r="A554"/>
      <c r="B554" s="286"/>
      <c r="C554" s="286"/>
      <c r="D554" s="286"/>
      <c r="E554" s="286"/>
      <c r="F554" s="241"/>
      <c r="G554" s="241"/>
      <c r="H554" s="241"/>
      <c r="I554"/>
      <c r="J554" s="286"/>
      <c r="K554" s="286"/>
      <c r="L554" s="286"/>
      <c r="M554" s="286"/>
      <c r="N554" s="286"/>
      <c r="O554" s="241"/>
      <c r="P554" s="241"/>
      <c r="Q554" s="241"/>
    </row>
    <row r="555" spans="1:17" ht="13.5" customHeight="1" x14ac:dyDescent="0.3">
      <c r="A555"/>
      <c r="B555" s="286"/>
      <c r="C555" s="286"/>
      <c r="D555" s="286"/>
      <c r="E555" s="286"/>
      <c r="F555" s="241"/>
      <c r="G555" s="241"/>
      <c r="H555" s="241"/>
      <c r="I555"/>
      <c r="J555" s="286"/>
      <c r="K555" s="286"/>
      <c r="L555" s="286"/>
      <c r="M555" s="286"/>
      <c r="N555" s="286"/>
      <c r="O555" s="241"/>
      <c r="P555" s="241"/>
      <c r="Q555" s="241"/>
    </row>
    <row r="556" spans="1:17" ht="13.5" customHeight="1" x14ac:dyDescent="0.3">
      <c r="A556"/>
      <c r="B556" s="286"/>
      <c r="C556" s="286"/>
      <c r="D556" s="286"/>
      <c r="E556" s="286"/>
      <c r="F556" s="241"/>
      <c r="G556" s="241"/>
      <c r="H556" s="241"/>
      <c r="I556"/>
      <c r="J556" s="286"/>
      <c r="K556" s="286"/>
      <c r="L556" s="286"/>
      <c r="M556" s="286"/>
      <c r="N556" s="286"/>
      <c r="O556" s="241"/>
      <c r="P556" s="241"/>
      <c r="Q556" s="241"/>
    </row>
    <row r="557" spans="1:17" ht="13.5" customHeight="1" x14ac:dyDescent="0.3">
      <c r="A557"/>
      <c r="B557" s="286"/>
      <c r="C557" s="286"/>
      <c r="D557" s="286"/>
      <c r="E557" s="286"/>
      <c r="F557" s="241"/>
      <c r="G557" s="241"/>
      <c r="H557" s="241"/>
      <c r="I557"/>
      <c r="J557" s="286"/>
      <c r="K557" s="286"/>
      <c r="L557" s="286"/>
      <c r="M557" s="286"/>
      <c r="N557" s="286"/>
      <c r="O557" s="241"/>
      <c r="P557" s="241"/>
      <c r="Q557" s="241"/>
    </row>
    <row r="558" spans="1:17" ht="13.5" customHeight="1" x14ac:dyDescent="0.3">
      <c r="A558"/>
      <c r="B558" s="286"/>
      <c r="C558" s="286"/>
      <c r="D558" s="286"/>
      <c r="E558" s="286"/>
      <c r="F558" s="241"/>
      <c r="G558" s="241"/>
      <c r="H558" s="241"/>
      <c r="I558"/>
      <c r="J558" s="286"/>
      <c r="K558" s="286"/>
      <c r="L558" s="286"/>
      <c r="M558" s="286"/>
      <c r="N558" s="286"/>
      <c r="O558" s="241"/>
      <c r="P558" s="241"/>
      <c r="Q558" s="241"/>
    </row>
    <row r="559" spans="1:17" ht="13.5" customHeight="1" x14ac:dyDescent="0.3">
      <c r="A559"/>
      <c r="B559" s="286"/>
      <c r="C559" s="286"/>
      <c r="D559" s="286"/>
      <c r="E559" s="286"/>
      <c r="F559" s="241"/>
      <c r="G559" s="241"/>
      <c r="H559" s="241"/>
      <c r="I559"/>
      <c r="J559" s="286"/>
      <c r="K559" s="286"/>
      <c r="L559" s="286"/>
      <c r="M559" s="286"/>
      <c r="N559" s="286"/>
      <c r="O559" s="241"/>
      <c r="P559" s="241"/>
      <c r="Q559" s="241"/>
    </row>
    <row r="560" spans="1:17" ht="13.5" customHeight="1" x14ac:dyDescent="0.3">
      <c r="A560"/>
      <c r="B560" s="286"/>
      <c r="C560" s="286"/>
      <c r="D560" s="286"/>
      <c r="E560" s="286"/>
      <c r="F560" s="241"/>
      <c r="G560" s="241"/>
      <c r="H560" s="241"/>
      <c r="I560"/>
      <c r="J560" s="286"/>
      <c r="K560" s="286"/>
      <c r="L560" s="286"/>
      <c r="M560" s="286"/>
      <c r="N560" s="286"/>
      <c r="O560" s="241"/>
      <c r="P560" s="241"/>
      <c r="Q560" s="241"/>
    </row>
    <row r="561" spans="1:17" ht="13.5" customHeight="1" x14ac:dyDescent="0.3">
      <c r="A561"/>
      <c r="B561" s="286"/>
      <c r="C561" s="286"/>
      <c r="D561" s="286"/>
      <c r="E561" s="286"/>
      <c r="F561" s="241"/>
      <c r="G561" s="241"/>
      <c r="H561" s="241"/>
      <c r="I561"/>
      <c r="J561" s="286"/>
      <c r="K561" s="286"/>
      <c r="L561" s="286"/>
      <c r="M561" s="286"/>
      <c r="N561" s="286"/>
      <c r="O561" s="241"/>
      <c r="P561" s="241"/>
      <c r="Q561" s="241"/>
    </row>
    <row r="562" spans="1:17" ht="13.5" customHeight="1" x14ac:dyDescent="0.3">
      <c r="A562"/>
      <c r="B562" s="286"/>
      <c r="C562" s="286"/>
      <c r="D562" s="286"/>
      <c r="E562" s="286"/>
      <c r="F562" s="241"/>
      <c r="G562" s="241"/>
      <c r="H562" s="241"/>
      <c r="I562"/>
      <c r="J562" s="286"/>
      <c r="K562" s="286"/>
      <c r="L562" s="286"/>
      <c r="M562" s="286"/>
      <c r="N562" s="286"/>
      <c r="O562" s="241"/>
      <c r="P562" s="241"/>
      <c r="Q562" s="241"/>
    </row>
    <row r="563" spans="1:17" ht="13.5" customHeight="1" x14ac:dyDescent="0.3">
      <c r="A563"/>
      <c r="B563" s="286"/>
      <c r="C563" s="286"/>
      <c r="D563" s="286"/>
      <c r="E563" s="286"/>
      <c r="F563" s="241"/>
      <c r="G563" s="241"/>
      <c r="H563" s="241"/>
      <c r="I563"/>
      <c r="J563" s="286"/>
      <c r="K563" s="286"/>
      <c r="L563" s="286"/>
      <c r="M563" s="286"/>
      <c r="N563" s="286"/>
      <c r="O563" s="241"/>
      <c r="P563" s="241"/>
      <c r="Q563" s="241"/>
    </row>
    <row r="564" spans="1:17" ht="13.5" customHeight="1" x14ac:dyDescent="0.3">
      <c r="A564"/>
      <c r="B564" s="286"/>
      <c r="C564" s="286"/>
      <c r="D564" s="286"/>
      <c r="E564" s="286"/>
      <c r="F564" s="241"/>
      <c r="G564" s="241"/>
      <c r="H564" s="241"/>
      <c r="I564"/>
      <c r="J564" s="286"/>
      <c r="K564" s="286"/>
      <c r="L564" s="286"/>
      <c r="M564" s="286"/>
      <c r="N564" s="286"/>
      <c r="O564" s="241"/>
      <c r="P564" s="241"/>
      <c r="Q564" s="241"/>
    </row>
    <row r="565" spans="1:17" ht="13.5" customHeight="1" x14ac:dyDescent="0.3">
      <c r="A565"/>
      <c r="B565" s="286"/>
      <c r="C565" s="286"/>
      <c r="D565" s="286"/>
      <c r="E565" s="286"/>
      <c r="F565" s="241"/>
      <c r="G565" s="241"/>
      <c r="H565" s="241"/>
      <c r="I565"/>
      <c r="J565" s="286"/>
      <c r="K565" s="286"/>
      <c r="L565" s="286"/>
      <c r="M565" s="286"/>
      <c r="N565" s="286"/>
      <c r="O565" s="241"/>
      <c r="P565" s="241"/>
      <c r="Q565" s="241"/>
    </row>
    <row r="566" spans="1:17" ht="13.5" customHeight="1" x14ac:dyDescent="0.3">
      <c r="A566"/>
      <c r="B566" s="286"/>
      <c r="C566" s="286"/>
      <c r="D566" s="286"/>
      <c r="E566" s="286"/>
      <c r="F566" s="241"/>
      <c r="G566" s="241"/>
      <c r="H566" s="241"/>
      <c r="I566"/>
      <c r="J566" s="286"/>
      <c r="K566" s="286"/>
      <c r="L566" s="286"/>
      <c r="M566" s="286"/>
      <c r="N566" s="286"/>
      <c r="O566" s="241"/>
      <c r="P566" s="241"/>
      <c r="Q566" s="241"/>
    </row>
    <row r="567" spans="1:17" ht="13.5" customHeight="1" x14ac:dyDescent="0.3">
      <c r="A567"/>
      <c r="B567" s="286"/>
      <c r="C567" s="286"/>
      <c r="D567" s="286"/>
      <c r="E567" s="286"/>
      <c r="F567" s="241"/>
      <c r="G567" s="241"/>
      <c r="H567" s="241"/>
      <c r="I567"/>
      <c r="J567" s="286"/>
      <c r="K567" s="286"/>
      <c r="L567" s="286"/>
      <c r="M567" s="286"/>
      <c r="N567" s="286"/>
      <c r="O567" s="241"/>
      <c r="P567" s="241"/>
      <c r="Q567" s="241"/>
    </row>
    <row r="568" spans="1:17" ht="13.5" customHeight="1" x14ac:dyDescent="0.3">
      <c r="A568"/>
      <c r="B568" s="286"/>
      <c r="C568" s="286"/>
      <c r="D568" s="286"/>
      <c r="E568" s="286"/>
      <c r="F568" s="241"/>
      <c r="G568" s="241"/>
      <c r="H568" s="241"/>
      <c r="I568"/>
      <c r="J568" s="286"/>
      <c r="K568" s="286"/>
      <c r="L568" s="286"/>
      <c r="M568" s="286"/>
      <c r="N568" s="286"/>
      <c r="O568" s="241"/>
      <c r="P568" s="241"/>
      <c r="Q568" s="241"/>
    </row>
    <row r="569" spans="1:17" ht="13.5" customHeight="1" x14ac:dyDescent="0.3">
      <c r="A569"/>
      <c r="B569" s="286"/>
      <c r="C569" s="286"/>
      <c r="D569" s="286"/>
      <c r="E569" s="286"/>
      <c r="F569" s="241"/>
      <c r="G569" s="241"/>
      <c r="H569" s="241"/>
      <c r="I569"/>
      <c r="J569" s="286"/>
      <c r="K569" s="286"/>
      <c r="L569" s="286"/>
      <c r="M569" s="286"/>
      <c r="N569" s="286"/>
      <c r="O569" s="241"/>
      <c r="P569" s="241"/>
      <c r="Q569" s="241"/>
    </row>
    <row r="570" spans="1:17" ht="13.5" customHeight="1" x14ac:dyDescent="0.3">
      <c r="A570"/>
      <c r="B570" s="286"/>
      <c r="C570" s="286"/>
      <c r="D570" s="286"/>
      <c r="E570" s="286"/>
      <c r="F570" s="241"/>
      <c r="G570" s="241"/>
      <c r="H570" s="241"/>
      <c r="I570"/>
      <c r="J570" s="286"/>
      <c r="K570" s="286"/>
      <c r="L570" s="286"/>
      <c r="M570" s="286"/>
      <c r="N570" s="286"/>
      <c r="O570" s="241"/>
      <c r="P570" s="241"/>
      <c r="Q570" s="241"/>
    </row>
    <row r="571" spans="1:17" ht="13.5" customHeight="1" x14ac:dyDescent="0.3">
      <c r="A571"/>
      <c r="B571" s="286"/>
      <c r="C571" s="286"/>
      <c r="D571" s="286"/>
      <c r="E571" s="286"/>
      <c r="F571" s="241"/>
      <c r="G571" s="241"/>
      <c r="H571" s="241"/>
      <c r="I571"/>
      <c r="J571" s="286"/>
      <c r="K571" s="286"/>
      <c r="L571" s="286"/>
      <c r="M571" s="286"/>
      <c r="N571" s="286"/>
      <c r="O571" s="241"/>
      <c r="P571" s="241"/>
      <c r="Q571" s="241"/>
    </row>
    <row r="572" spans="1:17" ht="13.5" customHeight="1" x14ac:dyDescent="0.3">
      <c r="A572"/>
      <c r="B572" s="286"/>
      <c r="C572" s="286"/>
      <c r="D572" s="286"/>
      <c r="E572" s="286"/>
      <c r="F572" s="241"/>
      <c r="G572" s="241"/>
      <c r="H572" s="241"/>
      <c r="I572"/>
      <c r="J572" s="286"/>
      <c r="K572" s="286"/>
      <c r="L572" s="286"/>
      <c r="M572" s="286"/>
      <c r="N572" s="286"/>
      <c r="O572" s="241"/>
      <c r="P572" s="241"/>
      <c r="Q572" s="241"/>
    </row>
    <row r="573" spans="1:17" ht="13.5" customHeight="1" x14ac:dyDescent="0.3">
      <c r="A573"/>
      <c r="B573" s="286"/>
      <c r="C573" s="286"/>
      <c r="D573" s="286"/>
      <c r="E573" s="286"/>
      <c r="F573" s="241"/>
      <c r="G573" s="241"/>
      <c r="H573" s="241"/>
      <c r="I573"/>
      <c r="J573" s="286"/>
      <c r="K573" s="286"/>
      <c r="L573" s="286"/>
      <c r="M573" s="286"/>
      <c r="N573" s="286"/>
      <c r="O573" s="241"/>
      <c r="P573" s="241"/>
      <c r="Q573" s="241"/>
    </row>
    <row r="574" spans="1:17" ht="13.5" customHeight="1" x14ac:dyDescent="0.3">
      <c r="A574"/>
      <c r="B574" s="286"/>
      <c r="C574" s="286"/>
      <c r="D574" s="286"/>
      <c r="E574" s="286"/>
      <c r="F574" s="241"/>
      <c r="G574" s="241"/>
      <c r="H574" s="241"/>
      <c r="I574"/>
      <c r="J574" s="286"/>
      <c r="K574" s="286"/>
      <c r="L574" s="286"/>
      <c r="M574" s="286"/>
      <c r="N574" s="286"/>
      <c r="O574" s="241"/>
      <c r="P574" s="241"/>
      <c r="Q574" s="241"/>
    </row>
    <row r="575" spans="1:17" ht="13.5" customHeight="1" x14ac:dyDescent="0.3">
      <c r="A575"/>
      <c r="B575" s="286"/>
      <c r="C575" s="286"/>
      <c r="D575" s="286"/>
      <c r="E575" s="286"/>
      <c r="F575" s="241"/>
      <c r="G575" s="241"/>
      <c r="H575" s="241"/>
      <c r="I575"/>
      <c r="J575" s="286"/>
      <c r="K575" s="286"/>
      <c r="L575" s="286"/>
      <c r="M575" s="286"/>
      <c r="N575" s="286"/>
      <c r="O575" s="241"/>
      <c r="P575" s="241"/>
      <c r="Q575" s="241"/>
    </row>
    <row r="576" spans="1:17" ht="13.5" customHeight="1" x14ac:dyDescent="0.3">
      <c r="A576"/>
      <c r="B576" s="286"/>
      <c r="C576" s="286"/>
      <c r="D576" s="286"/>
      <c r="E576" s="286"/>
      <c r="F576" s="241"/>
      <c r="G576" s="241"/>
      <c r="H576" s="241"/>
      <c r="I576"/>
      <c r="J576" s="286"/>
      <c r="K576" s="286"/>
      <c r="L576" s="286"/>
      <c r="M576" s="286"/>
      <c r="N576" s="286"/>
      <c r="O576" s="241"/>
      <c r="P576" s="241"/>
      <c r="Q576" s="241"/>
    </row>
    <row r="577" spans="1:17" ht="13.5" customHeight="1" x14ac:dyDescent="0.3">
      <c r="A577"/>
      <c r="B577" s="286"/>
      <c r="C577" s="286"/>
      <c r="D577" s="286"/>
      <c r="E577" s="286"/>
      <c r="F577" s="241"/>
      <c r="G577" s="241"/>
      <c r="H577" s="241"/>
      <c r="I577"/>
      <c r="J577" s="286"/>
      <c r="K577" s="286"/>
      <c r="L577" s="286"/>
      <c r="M577" s="286"/>
      <c r="N577" s="286"/>
      <c r="O577" s="241"/>
      <c r="P577" s="241"/>
      <c r="Q577" s="241"/>
    </row>
    <row r="578" spans="1:17" ht="13.5" customHeight="1" x14ac:dyDescent="0.3">
      <c r="A578"/>
      <c r="B578" s="286"/>
      <c r="C578" s="286"/>
      <c r="D578" s="286"/>
      <c r="E578" s="286"/>
      <c r="F578" s="241"/>
      <c r="G578" s="241"/>
      <c r="H578" s="241"/>
      <c r="I578"/>
      <c r="J578" s="286"/>
      <c r="K578" s="286"/>
      <c r="L578" s="286"/>
      <c r="M578" s="286"/>
      <c r="N578" s="286"/>
      <c r="O578" s="241"/>
      <c r="P578" s="241"/>
      <c r="Q578" s="241"/>
    </row>
    <row r="579" spans="1:17" ht="13.5" customHeight="1" x14ac:dyDescent="0.3">
      <c r="A579"/>
      <c r="B579" s="286"/>
      <c r="C579" s="286"/>
      <c r="D579" s="286"/>
      <c r="E579" s="286"/>
      <c r="F579" s="241"/>
      <c r="G579" s="241"/>
      <c r="H579" s="241"/>
      <c r="I579"/>
      <c r="J579" s="286"/>
      <c r="K579" s="286"/>
      <c r="L579" s="286"/>
      <c r="M579" s="286"/>
      <c r="N579" s="286"/>
      <c r="O579" s="241"/>
      <c r="P579" s="241"/>
      <c r="Q579" s="241"/>
    </row>
    <row r="580" spans="1:17" ht="13.5" customHeight="1" x14ac:dyDescent="0.3">
      <c r="A580"/>
      <c r="B580" s="286"/>
      <c r="C580" s="286"/>
      <c r="D580" s="286"/>
      <c r="E580" s="286"/>
      <c r="F580" s="241"/>
      <c r="G580" s="241"/>
      <c r="H580" s="241"/>
      <c r="I580"/>
      <c r="J580" s="286"/>
      <c r="K580" s="286"/>
      <c r="L580" s="286"/>
      <c r="M580" s="286"/>
      <c r="N580" s="286"/>
      <c r="O580" s="241"/>
      <c r="P580" s="241"/>
      <c r="Q580" s="241"/>
    </row>
    <row r="581" spans="1:17" ht="13.5" customHeight="1" x14ac:dyDescent="0.3">
      <c r="A581"/>
      <c r="B581" s="286"/>
      <c r="C581" s="286"/>
      <c r="D581" s="286"/>
      <c r="E581" s="286"/>
      <c r="F581" s="241"/>
      <c r="G581" s="241"/>
      <c r="H581" s="241"/>
      <c r="I581"/>
      <c r="J581" s="286"/>
      <c r="K581" s="286"/>
      <c r="L581" s="286"/>
      <c r="M581" s="286"/>
      <c r="N581" s="286"/>
      <c r="O581" s="241"/>
      <c r="P581" s="241"/>
      <c r="Q581" s="241"/>
    </row>
    <row r="582" spans="1:17" ht="13.5" customHeight="1" x14ac:dyDescent="0.3">
      <c r="A582"/>
      <c r="B582" s="286"/>
      <c r="C582" s="286"/>
      <c r="D582" s="286"/>
      <c r="E582" s="286"/>
      <c r="F582" s="241"/>
      <c r="G582" s="241"/>
      <c r="H582" s="241"/>
      <c r="I582"/>
      <c r="J582" s="286"/>
      <c r="K582" s="286"/>
      <c r="L582" s="286"/>
      <c r="M582" s="286"/>
      <c r="N582" s="286"/>
      <c r="O582" s="241"/>
      <c r="P582" s="241"/>
      <c r="Q582" s="241"/>
    </row>
    <row r="583" spans="1:17" ht="13.5" customHeight="1" x14ac:dyDescent="0.3">
      <c r="A583"/>
      <c r="B583" s="286"/>
      <c r="C583" s="286"/>
      <c r="D583" s="286"/>
      <c r="E583" s="286"/>
      <c r="F583" s="241"/>
      <c r="G583" s="241"/>
      <c r="H583" s="241"/>
      <c r="I583"/>
      <c r="J583" s="286"/>
      <c r="K583" s="286"/>
      <c r="L583" s="286"/>
      <c r="M583" s="286"/>
      <c r="N583" s="286"/>
      <c r="O583" s="241"/>
      <c r="P583" s="241"/>
      <c r="Q583" s="241"/>
    </row>
    <row r="584" spans="1:17" ht="13.5" customHeight="1" x14ac:dyDescent="0.3">
      <c r="A584"/>
      <c r="B584" s="286"/>
      <c r="C584" s="286"/>
      <c r="D584" s="286"/>
      <c r="E584" s="286"/>
      <c r="F584" s="241"/>
      <c r="G584" s="241"/>
      <c r="H584" s="241"/>
      <c r="I584"/>
      <c r="J584" s="286"/>
      <c r="K584" s="286"/>
      <c r="L584" s="286"/>
      <c r="M584" s="286"/>
      <c r="N584" s="286"/>
      <c r="O584" s="241"/>
      <c r="P584" s="241"/>
      <c r="Q584" s="241"/>
    </row>
    <row r="585" spans="1:17" ht="13.5" customHeight="1" x14ac:dyDescent="0.3">
      <c r="A585"/>
      <c r="B585" s="286"/>
      <c r="C585" s="286"/>
      <c r="D585" s="286"/>
      <c r="E585" s="286"/>
      <c r="F585" s="241"/>
      <c r="G585" s="241"/>
      <c r="H585" s="241"/>
      <c r="I585"/>
      <c r="J585" s="286"/>
      <c r="K585" s="286"/>
      <c r="L585" s="286"/>
      <c r="M585" s="286"/>
      <c r="N585" s="286"/>
      <c r="O585" s="241"/>
      <c r="P585" s="241"/>
      <c r="Q585" s="241"/>
    </row>
    <row r="586" spans="1:17" ht="13.5" customHeight="1" x14ac:dyDescent="0.3">
      <c r="A586"/>
      <c r="B586" s="286"/>
      <c r="C586" s="286"/>
      <c r="D586" s="286"/>
      <c r="E586" s="286"/>
      <c r="F586" s="241"/>
      <c r="G586" s="241"/>
      <c r="H586" s="241"/>
      <c r="I586"/>
      <c r="J586" s="286"/>
      <c r="K586" s="286"/>
      <c r="L586" s="286"/>
      <c r="M586" s="286"/>
      <c r="N586" s="286"/>
      <c r="O586" s="241"/>
      <c r="P586" s="241"/>
      <c r="Q586" s="241"/>
    </row>
    <row r="587" spans="1:17" ht="13.5" customHeight="1" x14ac:dyDescent="0.3">
      <c r="A587"/>
      <c r="B587" s="286"/>
      <c r="C587" s="286"/>
      <c r="D587" s="286"/>
      <c r="E587" s="286"/>
      <c r="F587" s="241"/>
      <c r="G587" s="241"/>
      <c r="H587" s="241"/>
      <c r="I587"/>
      <c r="J587" s="286"/>
      <c r="K587" s="286"/>
      <c r="L587" s="286"/>
      <c r="M587" s="286"/>
      <c r="N587" s="286"/>
      <c r="O587" s="241"/>
      <c r="P587" s="241"/>
      <c r="Q587" s="241"/>
    </row>
    <row r="588" spans="1:17" ht="13.5" customHeight="1" x14ac:dyDescent="0.3">
      <c r="A588"/>
      <c r="B588" s="286"/>
      <c r="C588" s="286"/>
      <c r="D588" s="286"/>
      <c r="E588" s="286"/>
      <c r="F588" s="241"/>
      <c r="G588" s="241"/>
      <c r="H588" s="241"/>
      <c r="I588"/>
      <c r="J588" s="286"/>
      <c r="K588" s="286"/>
      <c r="L588" s="286"/>
      <c r="M588" s="286"/>
      <c r="N588" s="286"/>
      <c r="O588" s="241"/>
      <c r="P588" s="241"/>
      <c r="Q588" s="241"/>
    </row>
    <row r="589" spans="1:17" ht="13.5" customHeight="1" x14ac:dyDescent="0.3">
      <c r="A589"/>
      <c r="B589" s="286"/>
      <c r="C589" s="286"/>
      <c r="D589" s="286"/>
      <c r="E589" s="286"/>
      <c r="F589" s="241"/>
      <c r="G589" s="241"/>
      <c r="H589" s="241"/>
      <c r="I589"/>
      <c r="J589" s="286"/>
      <c r="K589" s="286"/>
      <c r="L589" s="286"/>
      <c r="M589" s="286"/>
      <c r="N589" s="286"/>
      <c r="O589" s="241"/>
      <c r="P589" s="241"/>
      <c r="Q589" s="241"/>
    </row>
    <row r="590" spans="1:17" ht="13.5" customHeight="1" x14ac:dyDescent="0.3">
      <c r="A590"/>
      <c r="B590" s="286"/>
      <c r="C590" s="286"/>
      <c r="D590" s="286"/>
      <c r="E590" s="286"/>
      <c r="F590" s="241"/>
      <c r="G590" s="241"/>
      <c r="H590" s="241"/>
      <c r="I590"/>
      <c r="J590" s="286"/>
      <c r="K590" s="286"/>
      <c r="L590" s="286"/>
      <c r="M590" s="286"/>
      <c r="N590" s="286"/>
      <c r="O590" s="241"/>
      <c r="P590" s="241"/>
      <c r="Q590" s="241"/>
    </row>
    <row r="591" spans="1:17" ht="13.5" customHeight="1" x14ac:dyDescent="0.3">
      <c r="A591"/>
      <c r="B591" s="286"/>
      <c r="C591" s="286"/>
      <c r="D591" s="286"/>
      <c r="E591" s="286"/>
      <c r="F591" s="241"/>
      <c r="G591" s="241"/>
      <c r="H591" s="241"/>
      <c r="I591"/>
      <c r="J591" s="286"/>
      <c r="K591" s="286"/>
      <c r="L591" s="286"/>
      <c r="M591" s="286"/>
      <c r="N591" s="286"/>
      <c r="O591" s="241"/>
      <c r="P591" s="241"/>
      <c r="Q591" s="241"/>
    </row>
    <row r="592" spans="1:17" ht="13.5" customHeight="1" x14ac:dyDescent="0.3">
      <c r="A592"/>
      <c r="B592" s="286"/>
      <c r="C592" s="286"/>
      <c r="D592" s="286"/>
      <c r="E592" s="286"/>
      <c r="F592" s="241"/>
      <c r="G592" s="241"/>
      <c r="H592" s="241"/>
      <c r="I592"/>
      <c r="J592" s="286"/>
      <c r="K592" s="286"/>
      <c r="L592" s="286"/>
      <c r="M592" s="286"/>
      <c r="N592" s="286"/>
      <c r="O592" s="241"/>
      <c r="P592" s="241"/>
      <c r="Q592" s="241"/>
    </row>
    <row r="593" spans="1:17" ht="13.5" customHeight="1" x14ac:dyDescent="0.3">
      <c r="A593"/>
      <c r="B593" s="286"/>
      <c r="C593" s="286"/>
      <c r="D593" s="286"/>
      <c r="E593" s="286"/>
      <c r="F593" s="241"/>
      <c r="G593" s="241"/>
      <c r="H593" s="241"/>
      <c r="I593"/>
      <c r="J593" s="286"/>
      <c r="K593" s="286"/>
      <c r="L593" s="286"/>
      <c r="M593" s="286"/>
      <c r="N593" s="286"/>
      <c r="O593" s="241"/>
      <c r="P593" s="241"/>
      <c r="Q593" s="241"/>
    </row>
    <row r="594" spans="1:17" ht="13.5" customHeight="1" x14ac:dyDescent="0.3">
      <c r="A594"/>
      <c r="B594" s="286"/>
      <c r="C594" s="286"/>
      <c r="D594" s="286"/>
      <c r="E594" s="286"/>
      <c r="F594" s="241"/>
      <c r="G594" s="241"/>
      <c r="H594" s="241"/>
      <c r="I594"/>
      <c r="J594" s="286"/>
      <c r="K594" s="286"/>
      <c r="L594" s="286"/>
      <c r="M594" s="286"/>
      <c r="N594" s="286"/>
      <c r="O594" s="241"/>
      <c r="P594" s="241"/>
      <c r="Q594" s="241"/>
    </row>
    <row r="595" spans="1:17" ht="13.5" customHeight="1" x14ac:dyDescent="0.3">
      <c r="A595"/>
      <c r="B595" s="286"/>
      <c r="C595" s="286"/>
      <c r="D595" s="286"/>
      <c r="E595" s="286"/>
      <c r="F595" s="241"/>
      <c r="G595" s="241"/>
      <c r="H595" s="241"/>
      <c r="I595"/>
      <c r="J595" s="286"/>
      <c r="K595" s="286"/>
      <c r="L595" s="286"/>
      <c r="M595" s="286"/>
      <c r="N595" s="286"/>
      <c r="O595" s="241"/>
      <c r="P595" s="241"/>
      <c r="Q595" s="241"/>
    </row>
    <row r="596" spans="1:17" ht="13.5" customHeight="1" x14ac:dyDescent="0.3">
      <c r="A596"/>
      <c r="B596" s="286"/>
      <c r="C596" s="286"/>
      <c r="D596" s="286"/>
      <c r="E596" s="286"/>
      <c r="F596" s="241"/>
      <c r="G596" s="241"/>
      <c r="H596" s="241"/>
      <c r="I596"/>
      <c r="J596" s="286"/>
      <c r="K596" s="286"/>
      <c r="L596" s="286"/>
      <c r="M596" s="286"/>
      <c r="N596" s="286"/>
      <c r="O596" s="241"/>
      <c r="P596" s="241"/>
      <c r="Q596" s="241"/>
    </row>
    <row r="597" spans="1:17" ht="13.5" customHeight="1" x14ac:dyDescent="0.3">
      <c r="A597"/>
      <c r="B597" s="286"/>
      <c r="C597" s="286"/>
      <c r="D597" s="286"/>
      <c r="E597" s="286"/>
      <c r="F597" s="241"/>
      <c r="G597" s="241"/>
      <c r="H597" s="241"/>
      <c r="I597"/>
      <c r="J597" s="286"/>
      <c r="K597" s="286"/>
      <c r="L597" s="286"/>
      <c r="M597" s="286"/>
      <c r="N597" s="286"/>
      <c r="O597" s="241"/>
      <c r="P597" s="241"/>
      <c r="Q597" s="241"/>
    </row>
    <row r="598" spans="1:17" ht="13.5" customHeight="1" x14ac:dyDescent="0.3">
      <c r="A598"/>
      <c r="B598" s="286"/>
      <c r="C598" s="286"/>
      <c r="D598" s="286"/>
      <c r="E598" s="286"/>
      <c r="F598" s="241"/>
      <c r="G598" s="241"/>
      <c r="H598" s="241"/>
      <c r="I598"/>
      <c r="J598" s="286"/>
      <c r="K598" s="286"/>
      <c r="L598" s="286"/>
      <c r="M598" s="286"/>
      <c r="N598" s="286"/>
      <c r="O598" s="241"/>
      <c r="P598" s="241"/>
      <c r="Q598" s="241"/>
    </row>
    <row r="599" spans="1:17" ht="13.5" customHeight="1" x14ac:dyDescent="0.3">
      <c r="A599"/>
      <c r="B599" s="286"/>
      <c r="C599" s="286"/>
      <c r="D599" s="286"/>
      <c r="E599" s="286"/>
      <c r="F599" s="241"/>
      <c r="G599" s="241"/>
      <c r="H599" s="241"/>
      <c r="I599"/>
      <c r="J599" s="286"/>
      <c r="K599" s="286"/>
      <c r="L599" s="286"/>
      <c r="M599" s="286"/>
      <c r="N599" s="286"/>
      <c r="O599" s="241"/>
      <c r="P599" s="241"/>
      <c r="Q599" s="241"/>
    </row>
    <row r="600" spans="1:17" ht="13.5" customHeight="1" x14ac:dyDescent="0.3">
      <c r="A600"/>
      <c r="B600" s="286"/>
      <c r="C600" s="286"/>
      <c r="D600" s="286"/>
      <c r="E600" s="286"/>
      <c r="F600" s="241"/>
      <c r="G600" s="241"/>
      <c r="H600" s="241"/>
      <c r="I600"/>
      <c r="J600" s="286"/>
      <c r="K600" s="286"/>
      <c r="L600" s="286"/>
      <c r="M600" s="286"/>
      <c r="N600" s="286"/>
      <c r="O600" s="241"/>
      <c r="P600" s="241"/>
      <c r="Q600" s="241"/>
    </row>
    <row r="601" spans="1:17" ht="13.5" customHeight="1" x14ac:dyDescent="0.3">
      <c r="A601"/>
      <c r="B601" s="286"/>
      <c r="C601" s="286"/>
      <c r="D601" s="286"/>
      <c r="E601" s="286"/>
      <c r="F601" s="241"/>
      <c r="G601" s="241"/>
      <c r="H601" s="241"/>
      <c r="I601"/>
      <c r="J601" s="286"/>
      <c r="K601" s="286"/>
      <c r="L601" s="286"/>
      <c r="M601" s="286"/>
      <c r="N601" s="286"/>
      <c r="O601" s="241"/>
      <c r="P601" s="241"/>
      <c r="Q601" s="241"/>
    </row>
    <row r="602" spans="1:17" ht="13.5" customHeight="1" x14ac:dyDescent="0.3">
      <c r="A602"/>
      <c r="B602" s="286"/>
      <c r="C602" s="286"/>
      <c r="D602" s="286"/>
      <c r="E602" s="286"/>
      <c r="F602" s="241"/>
      <c r="G602" s="241"/>
      <c r="H602" s="241"/>
      <c r="I602"/>
      <c r="J602" s="286"/>
      <c r="K602" s="286"/>
      <c r="L602" s="286"/>
      <c r="M602" s="286"/>
      <c r="N602" s="286"/>
      <c r="O602" s="241"/>
      <c r="P602" s="241"/>
      <c r="Q602" s="241"/>
    </row>
    <row r="603" spans="1:17" ht="13.5" customHeight="1" x14ac:dyDescent="0.3">
      <c r="A603"/>
      <c r="B603" s="286"/>
      <c r="C603" s="286"/>
      <c r="D603" s="286"/>
      <c r="E603" s="286"/>
      <c r="F603" s="241"/>
      <c r="G603" s="241"/>
      <c r="H603" s="241"/>
      <c r="I603"/>
      <c r="J603" s="286"/>
      <c r="K603" s="286"/>
      <c r="L603" s="286"/>
      <c r="M603" s="286"/>
      <c r="N603" s="286"/>
      <c r="O603" s="241"/>
      <c r="P603" s="241"/>
      <c r="Q603" s="241"/>
    </row>
    <row r="604" spans="1:17" ht="13.5" customHeight="1" x14ac:dyDescent="0.3">
      <c r="A604"/>
      <c r="B604" s="286"/>
      <c r="C604" s="286"/>
      <c r="D604" s="286"/>
      <c r="E604" s="286"/>
      <c r="F604" s="241"/>
      <c r="G604" s="241"/>
      <c r="H604" s="241"/>
      <c r="I604"/>
      <c r="J604" s="286"/>
      <c r="K604" s="286"/>
      <c r="L604" s="286"/>
      <c r="M604" s="286"/>
      <c r="N604" s="286"/>
      <c r="O604" s="241"/>
      <c r="P604" s="241"/>
      <c r="Q604" s="241"/>
    </row>
    <row r="605" spans="1:17" ht="13.5" customHeight="1" x14ac:dyDescent="0.3">
      <c r="A605"/>
      <c r="B605" s="286"/>
      <c r="C605" s="286"/>
      <c r="D605" s="286"/>
      <c r="E605" s="286"/>
      <c r="F605" s="241"/>
      <c r="G605" s="241"/>
      <c r="H605" s="241"/>
      <c r="I605"/>
      <c r="J605" s="286"/>
      <c r="K605" s="286"/>
      <c r="L605" s="286"/>
      <c r="M605" s="286"/>
      <c r="N605" s="286"/>
      <c r="O605" s="241"/>
      <c r="P605" s="241"/>
      <c r="Q605" s="241"/>
    </row>
    <row r="606" spans="1:17" ht="13.5" customHeight="1" x14ac:dyDescent="0.3">
      <c r="A606"/>
      <c r="B606" s="286"/>
      <c r="C606" s="286"/>
      <c r="D606" s="286"/>
      <c r="E606" s="286"/>
      <c r="F606" s="241"/>
      <c r="G606" s="241"/>
      <c r="H606" s="241"/>
      <c r="I606"/>
      <c r="J606" s="286"/>
      <c r="K606" s="286"/>
      <c r="L606" s="286"/>
      <c r="M606" s="286"/>
      <c r="N606" s="286"/>
      <c r="O606" s="241"/>
      <c r="P606" s="241"/>
      <c r="Q606" s="241"/>
    </row>
    <row r="607" spans="1:17" ht="13.5" customHeight="1" x14ac:dyDescent="0.3">
      <c r="A607"/>
      <c r="B607" s="286"/>
      <c r="C607" s="286"/>
      <c r="D607" s="286"/>
      <c r="E607" s="286"/>
      <c r="F607" s="241"/>
      <c r="G607" s="241"/>
      <c r="H607" s="241"/>
      <c r="I607"/>
      <c r="J607" s="286"/>
      <c r="K607" s="286"/>
      <c r="L607" s="286"/>
      <c r="M607" s="286"/>
      <c r="N607" s="286"/>
      <c r="O607" s="241"/>
      <c r="P607" s="241"/>
      <c r="Q607" s="241"/>
    </row>
    <row r="608" spans="1:17" ht="13.5" customHeight="1" x14ac:dyDescent="0.3">
      <c r="A608"/>
      <c r="B608" s="286"/>
      <c r="C608" s="286"/>
      <c r="D608" s="286"/>
      <c r="E608" s="286"/>
      <c r="F608" s="241"/>
      <c r="G608" s="241"/>
      <c r="H608" s="241"/>
      <c r="I608"/>
      <c r="J608" s="286"/>
      <c r="K608" s="286"/>
      <c r="L608" s="286"/>
      <c r="M608" s="286"/>
      <c r="N608" s="286"/>
      <c r="O608" s="241"/>
      <c r="P608" s="241"/>
      <c r="Q608" s="241"/>
    </row>
    <row r="609" spans="1:17" ht="13.5" customHeight="1" x14ac:dyDescent="0.3">
      <c r="A609"/>
      <c r="B609" s="286"/>
      <c r="C609" s="286"/>
      <c r="D609" s="286"/>
      <c r="E609" s="286"/>
      <c r="F609" s="241"/>
      <c r="G609" s="241"/>
      <c r="H609" s="241"/>
      <c r="I609"/>
      <c r="J609" s="286"/>
      <c r="K609" s="286"/>
      <c r="L609" s="286"/>
      <c r="M609" s="286"/>
      <c r="N609" s="286"/>
      <c r="O609" s="241"/>
      <c r="P609" s="241"/>
      <c r="Q609" s="241"/>
    </row>
    <row r="610" spans="1:17" ht="13.5" customHeight="1" x14ac:dyDescent="0.3">
      <c r="A610"/>
      <c r="B610" s="286"/>
      <c r="C610" s="286"/>
      <c r="D610" s="286"/>
      <c r="E610" s="286"/>
      <c r="F610" s="241"/>
      <c r="G610" s="241"/>
      <c r="H610" s="241"/>
      <c r="I610"/>
      <c r="J610" s="286"/>
      <c r="K610" s="286"/>
      <c r="L610" s="286"/>
      <c r="M610" s="286"/>
      <c r="N610" s="286"/>
      <c r="O610" s="241"/>
      <c r="P610" s="241"/>
      <c r="Q610" s="241"/>
    </row>
    <row r="611" spans="1:17" ht="13.5" customHeight="1" x14ac:dyDescent="0.3">
      <c r="A611"/>
      <c r="B611" s="286"/>
      <c r="C611" s="286"/>
      <c r="D611" s="286"/>
      <c r="E611" s="286"/>
      <c r="F611" s="241"/>
      <c r="G611" s="241"/>
      <c r="H611" s="241"/>
      <c r="I611"/>
      <c r="J611" s="286"/>
      <c r="K611" s="286"/>
      <c r="L611" s="286"/>
      <c r="M611" s="286"/>
      <c r="N611" s="286"/>
      <c r="O611" s="241"/>
      <c r="P611" s="241"/>
      <c r="Q611" s="241"/>
    </row>
    <row r="612" spans="1:17" ht="13.5" customHeight="1" x14ac:dyDescent="0.3">
      <c r="A612"/>
      <c r="B612" s="286"/>
      <c r="C612" s="286"/>
      <c r="D612" s="286"/>
      <c r="E612" s="286"/>
      <c r="F612" s="241"/>
      <c r="G612" s="241"/>
      <c r="H612" s="241"/>
      <c r="I612"/>
      <c r="J612" s="286"/>
      <c r="K612" s="286"/>
      <c r="L612" s="286"/>
      <c r="M612" s="286"/>
      <c r="N612" s="286"/>
      <c r="O612" s="241"/>
      <c r="P612" s="241"/>
      <c r="Q612" s="241"/>
    </row>
    <row r="613" spans="1:17" ht="13.5" customHeight="1" x14ac:dyDescent="0.3">
      <c r="A613"/>
      <c r="B613" s="286"/>
      <c r="C613" s="286"/>
      <c r="D613" s="286"/>
      <c r="E613" s="286"/>
      <c r="F613" s="241"/>
      <c r="G613" s="241"/>
      <c r="H613" s="241"/>
      <c r="I613"/>
      <c r="J613" s="286"/>
      <c r="K613" s="286"/>
      <c r="L613" s="286"/>
      <c r="M613" s="286"/>
      <c r="N613" s="286"/>
      <c r="O613" s="241"/>
      <c r="P613" s="241"/>
      <c r="Q613" s="241"/>
    </row>
    <row r="614" spans="1:17" ht="13.5" customHeight="1" x14ac:dyDescent="0.3">
      <c r="A614"/>
      <c r="B614" s="286"/>
      <c r="C614" s="286"/>
      <c r="D614" s="286"/>
      <c r="E614" s="286"/>
      <c r="F614" s="241"/>
      <c r="G614" s="241"/>
      <c r="H614" s="241"/>
      <c r="I614"/>
      <c r="J614" s="286"/>
      <c r="K614" s="286"/>
      <c r="L614" s="286"/>
      <c r="M614" s="286"/>
      <c r="N614" s="286"/>
      <c r="O614" s="241"/>
      <c r="P614" s="241"/>
      <c r="Q614" s="241"/>
    </row>
    <row r="615" spans="1:17" ht="13.5" customHeight="1" x14ac:dyDescent="0.3">
      <c r="A615"/>
      <c r="B615" s="286"/>
      <c r="C615" s="286"/>
      <c r="D615" s="286"/>
      <c r="E615" s="286"/>
      <c r="F615" s="241"/>
      <c r="G615" s="241"/>
      <c r="H615" s="241"/>
      <c r="I615"/>
      <c r="J615" s="286"/>
      <c r="K615" s="286"/>
      <c r="L615" s="286"/>
      <c r="M615" s="286"/>
      <c r="N615" s="286"/>
      <c r="O615" s="241"/>
      <c r="P615" s="241"/>
      <c r="Q615" s="241"/>
    </row>
    <row r="616" spans="1:17" ht="13.5" customHeight="1" x14ac:dyDescent="0.3">
      <c r="A616"/>
      <c r="B616" s="286"/>
      <c r="C616" s="286"/>
      <c r="D616" s="286"/>
      <c r="E616" s="286"/>
      <c r="F616" s="241"/>
      <c r="G616" s="241"/>
      <c r="H616" s="241"/>
      <c r="I616"/>
      <c r="J616" s="286"/>
      <c r="K616" s="286"/>
      <c r="L616" s="286"/>
      <c r="M616" s="286"/>
      <c r="N616" s="286"/>
      <c r="O616" s="241"/>
      <c r="P616" s="241"/>
      <c r="Q616" s="241"/>
    </row>
    <row r="617" spans="1:17" ht="13.5" customHeight="1" x14ac:dyDescent="0.3">
      <c r="A617"/>
      <c r="B617" s="286"/>
      <c r="C617" s="286"/>
      <c r="D617" s="286"/>
      <c r="E617" s="286"/>
      <c r="F617" s="241"/>
      <c r="G617" s="241"/>
      <c r="H617" s="241"/>
      <c r="I617"/>
      <c r="J617" s="286"/>
      <c r="K617" s="286"/>
      <c r="L617" s="286"/>
      <c r="M617" s="286"/>
      <c r="N617" s="286"/>
      <c r="O617" s="241"/>
      <c r="P617" s="241"/>
      <c r="Q617" s="241"/>
    </row>
    <row r="618" spans="1:17" ht="13.5" customHeight="1" x14ac:dyDescent="0.3">
      <c r="A618"/>
      <c r="B618" s="286"/>
      <c r="C618" s="286"/>
      <c r="D618" s="286"/>
      <c r="E618" s="286"/>
      <c r="F618" s="241"/>
      <c r="G618" s="241"/>
      <c r="H618" s="241"/>
      <c r="I618"/>
      <c r="J618" s="286"/>
      <c r="K618" s="286"/>
      <c r="L618" s="286"/>
      <c r="M618" s="286"/>
      <c r="N618" s="286"/>
      <c r="O618" s="241"/>
      <c r="P618" s="241"/>
      <c r="Q618" s="241"/>
    </row>
    <row r="619" spans="1:17" ht="13.5" customHeight="1" x14ac:dyDescent="0.3">
      <c r="A619"/>
      <c r="B619" s="286"/>
      <c r="C619" s="286"/>
      <c r="D619" s="286"/>
      <c r="E619" s="286"/>
      <c r="F619" s="241"/>
      <c r="G619" s="241"/>
      <c r="H619" s="241"/>
      <c r="I619"/>
      <c r="J619" s="286"/>
      <c r="K619" s="286"/>
      <c r="L619" s="286"/>
      <c r="M619" s="286"/>
      <c r="N619" s="286"/>
      <c r="O619" s="241"/>
      <c r="P619" s="241"/>
      <c r="Q619" s="241"/>
    </row>
    <row r="620" spans="1:17" ht="13.5" customHeight="1" x14ac:dyDescent="0.3">
      <c r="A620"/>
      <c r="B620" s="286"/>
      <c r="C620" s="286"/>
      <c r="D620" s="286"/>
      <c r="E620" s="286"/>
      <c r="F620" s="241"/>
      <c r="G620" s="241"/>
      <c r="H620" s="241"/>
      <c r="I620"/>
      <c r="J620" s="286"/>
      <c r="K620" s="286"/>
      <c r="L620" s="286"/>
      <c r="M620" s="286"/>
      <c r="N620" s="286"/>
      <c r="O620" s="241"/>
      <c r="P620" s="241"/>
      <c r="Q620" s="241"/>
    </row>
    <row r="621" spans="1:17" ht="13.5" customHeight="1" x14ac:dyDescent="0.3">
      <c r="A621"/>
      <c r="B621" s="286"/>
      <c r="C621" s="286"/>
      <c r="D621" s="286"/>
      <c r="E621" s="286"/>
      <c r="F621" s="241"/>
      <c r="G621" s="241"/>
      <c r="H621" s="241"/>
      <c r="I621"/>
      <c r="J621" s="286"/>
      <c r="K621" s="286"/>
      <c r="L621" s="286"/>
      <c r="M621" s="286"/>
      <c r="N621" s="286"/>
      <c r="O621" s="241"/>
      <c r="P621" s="241"/>
      <c r="Q621" s="241"/>
    </row>
    <row r="622" spans="1:17" ht="13.5" customHeight="1" x14ac:dyDescent="0.3">
      <c r="A622"/>
      <c r="B622" s="286"/>
      <c r="C622" s="286"/>
      <c r="D622" s="286"/>
      <c r="E622" s="286"/>
      <c r="F622" s="241"/>
      <c r="G622" s="241"/>
      <c r="H622" s="241"/>
      <c r="I622"/>
      <c r="J622" s="286"/>
      <c r="K622" s="286"/>
      <c r="L622" s="286"/>
      <c r="M622" s="286"/>
      <c r="N622" s="286"/>
      <c r="O622" s="241"/>
      <c r="P622" s="241"/>
      <c r="Q622" s="241"/>
    </row>
    <row r="623" spans="1:17" ht="13.5" customHeight="1" x14ac:dyDescent="0.3">
      <c r="A623"/>
      <c r="B623" s="286"/>
      <c r="C623" s="286"/>
      <c r="D623" s="286"/>
      <c r="E623" s="286"/>
      <c r="F623" s="241"/>
      <c r="G623" s="241"/>
      <c r="H623" s="241"/>
      <c r="I623"/>
      <c r="J623" s="286"/>
      <c r="K623" s="286"/>
      <c r="L623" s="286"/>
      <c r="M623" s="286"/>
      <c r="N623" s="286"/>
      <c r="O623" s="241"/>
      <c r="P623" s="241"/>
      <c r="Q623" s="241"/>
    </row>
    <row r="624" spans="1:17" ht="13.5" customHeight="1" x14ac:dyDescent="0.3">
      <c r="A624"/>
      <c r="B624" s="286"/>
      <c r="C624" s="286"/>
      <c r="D624" s="286"/>
      <c r="E624" s="286"/>
      <c r="F624" s="241"/>
      <c r="G624" s="241"/>
      <c r="H624" s="241"/>
      <c r="I624"/>
      <c r="J624" s="286"/>
      <c r="K624" s="286"/>
      <c r="L624" s="286"/>
      <c r="M624" s="286"/>
      <c r="N624" s="286"/>
      <c r="O624" s="241"/>
      <c r="P624" s="241"/>
      <c r="Q624" s="241"/>
    </row>
    <row r="625" spans="1:17" ht="13.5" customHeight="1" x14ac:dyDescent="0.3">
      <c r="A625"/>
      <c r="B625" s="286"/>
      <c r="C625" s="286"/>
      <c r="D625" s="286"/>
      <c r="E625" s="286"/>
      <c r="F625" s="241"/>
      <c r="G625" s="241"/>
      <c r="H625" s="241"/>
      <c r="I625"/>
      <c r="J625" s="286"/>
      <c r="K625" s="286"/>
      <c r="L625" s="286"/>
      <c r="M625" s="286"/>
      <c r="N625" s="286"/>
      <c r="O625" s="241"/>
      <c r="P625" s="241"/>
      <c r="Q625" s="241"/>
    </row>
    <row r="626" spans="1:17" ht="13.5" customHeight="1" x14ac:dyDescent="0.3">
      <c r="A626"/>
      <c r="B626" s="286"/>
      <c r="C626" s="286"/>
      <c r="D626" s="286"/>
      <c r="E626" s="286"/>
      <c r="F626" s="241"/>
      <c r="G626" s="241"/>
      <c r="H626" s="241"/>
      <c r="I626"/>
      <c r="J626" s="286"/>
      <c r="K626" s="286"/>
      <c r="L626" s="286"/>
      <c r="M626" s="286"/>
      <c r="N626" s="286"/>
      <c r="O626" s="241"/>
      <c r="P626" s="241"/>
      <c r="Q626" s="241"/>
    </row>
    <row r="627" spans="1:17" ht="13.5" customHeight="1" x14ac:dyDescent="0.3">
      <c r="A627"/>
      <c r="B627" s="286"/>
      <c r="C627" s="286"/>
      <c r="D627" s="286"/>
      <c r="E627" s="286"/>
      <c r="F627" s="241"/>
      <c r="G627" s="241"/>
      <c r="H627" s="241"/>
      <c r="I627"/>
      <c r="J627" s="286"/>
      <c r="K627" s="286"/>
      <c r="L627" s="286"/>
      <c r="M627" s="286"/>
      <c r="N627" s="286"/>
      <c r="O627" s="241"/>
      <c r="P627" s="241"/>
      <c r="Q627" s="241"/>
    </row>
    <row r="628" spans="1:17" ht="13.5" customHeight="1" x14ac:dyDescent="0.3">
      <c r="A628"/>
      <c r="B628" s="286"/>
      <c r="C628" s="286"/>
      <c r="D628" s="286"/>
      <c r="E628" s="286"/>
      <c r="F628" s="241"/>
      <c r="G628" s="241"/>
      <c r="H628" s="241"/>
      <c r="I628"/>
      <c r="J628" s="286"/>
      <c r="K628" s="286"/>
      <c r="L628" s="286"/>
      <c r="M628" s="286"/>
      <c r="N628" s="286"/>
      <c r="O628" s="241"/>
      <c r="P628" s="241"/>
      <c r="Q628" s="241"/>
    </row>
    <row r="629" spans="1:17" ht="13.5" customHeight="1" x14ac:dyDescent="0.3">
      <c r="A629"/>
      <c r="B629" s="286"/>
      <c r="C629" s="286"/>
      <c r="D629" s="286"/>
      <c r="E629" s="286"/>
      <c r="F629" s="241"/>
      <c r="G629" s="241"/>
      <c r="H629" s="241"/>
      <c r="I629"/>
      <c r="J629" s="286"/>
      <c r="K629" s="286"/>
      <c r="L629" s="286"/>
      <c r="M629" s="286"/>
      <c r="N629" s="286"/>
      <c r="O629" s="241"/>
      <c r="P629" s="241"/>
      <c r="Q629" s="241"/>
    </row>
    <row r="630" spans="1:17" ht="13.5" customHeight="1" x14ac:dyDescent="0.3">
      <c r="A630"/>
      <c r="B630" s="286"/>
      <c r="C630" s="286"/>
      <c r="D630" s="286"/>
      <c r="E630" s="286"/>
      <c r="F630" s="241"/>
      <c r="G630" s="241"/>
      <c r="H630" s="241"/>
      <c r="I630"/>
      <c r="J630" s="286"/>
      <c r="K630" s="286"/>
      <c r="L630" s="286"/>
      <c r="M630" s="286"/>
      <c r="N630" s="286"/>
      <c r="O630" s="241"/>
      <c r="P630" s="241"/>
      <c r="Q630" s="241"/>
    </row>
    <row r="631" spans="1:17" ht="13.5" customHeight="1" x14ac:dyDescent="0.3">
      <c r="A631"/>
      <c r="B631" s="286"/>
      <c r="C631" s="286"/>
      <c r="D631" s="286"/>
      <c r="E631" s="286"/>
      <c r="F631" s="241"/>
      <c r="G631" s="241"/>
      <c r="H631" s="241"/>
      <c r="I631"/>
      <c r="J631" s="286"/>
      <c r="K631" s="286"/>
      <c r="L631" s="286"/>
      <c r="M631" s="286"/>
      <c r="N631" s="286"/>
      <c r="O631" s="241"/>
      <c r="P631" s="241"/>
      <c r="Q631" s="241"/>
    </row>
    <row r="632" spans="1:17" ht="13.5" customHeight="1" x14ac:dyDescent="0.3">
      <c r="A632"/>
      <c r="B632" s="286"/>
      <c r="C632" s="286"/>
      <c r="D632" s="286"/>
      <c r="E632" s="286"/>
      <c r="F632" s="241"/>
      <c r="G632" s="241"/>
      <c r="H632" s="241"/>
      <c r="I632"/>
      <c r="J632" s="286"/>
      <c r="K632" s="286"/>
      <c r="L632" s="286"/>
      <c r="M632" s="286"/>
      <c r="N632" s="286"/>
      <c r="O632" s="241"/>
      <c r="P632" s="241"/>
      <c r="Q632" s="241"/>
    </row>
    <row r="633" spans="1:17" ht="13.5" customHeight="1" x14ac:dyDescent="0.3">
      <c r="A633"/>
      <c r="B633" s="286"/>
      <c r="C633" s="286"/>
      <c r="D633" s="286"/>
      <c r="E633" s="286"/>
      <c r="F633" s="241"/>
      <c r="G633" s="241"/>
      <c r="H633" s="241"/>
      <c r="I633"/>
      <c r="J633" s="286"/>
      <c r="K633" s="286"/>
      <c r="L633" s="286"/>
      <c r="M633" s="286"/>
      <c r="N633" s="286"/>
      <c r="O633" s="241"/>
      <c r="P633" s="241"/>
      <c r="Q633" s="241"/>
    </row>
    <row r="634" spans="1:17" ht="13.5" customHeight="1" x14ac:dyDescent="0.3">
      <c r="A634"/>
      <c r="B634" s="286"/>
      <c r="C634" s="286"/>
      <c r="D634" s="286"/>
      <c r="E634" s="286"/>
      <c r="F634" s="241"/>
      <c r="G634" s="241"/>
      <c r="H634" s="241"/>
      <c r="I634"/>
      <c r="J634" s="286"/>
      <c r="K634" s="286"/>
      <c r="L634" s="286"/>
      <c r="M634" s="286"/>
      <c r="N634" s="286"/>
      <c r="O634" s="241"/>
      <c r="P634" s="241"/>
      <c r="Q634" s="241"/>
    </row>
    <row r="635" spans="1:17" ht="13.5" customHeight="1" x14ac:dyDescent="0.3">
      <c r="A635"/>
      <c r="B635" s="286"/>
      <c r="C635" s="286"/>
      <c r="D635" s="286"/>
      <c r="E635" s="286"/>
      <c r="F635" s="241"/>
      <c r="G635" s="241"/>
      <c r="H635" s="241"/>
      <c r="I635"/>
      <c r="J635" s="286"/>
      <c r="K635" s="286"/>
      <c r="L635" s="286"/>
      <c r="M635" s="286"/>
      <c r="N635" s="286"/>
      <c r="O635" s="241"/>
      <c r="P635" s="241"/>
      <c r="Q635" s="241"/>
    </row>
    <row r="636" spans="1:17" ht="13.5" customHeight="1" x14ac:dyDescent="0.3">
      <c r="A636"/>
      <c r="B636" s="286"/>
      <c r="C636" s="286"/>
      <c r="D636" s="286"/>
      <c r="E636" s="286"/>
      <c r="F636" s="241"/>
      <c r="G636" s="241"/>
      <c r="H636" s="241"/>
      <c r="I636"/>
      <c r="J636" s="286"/>
      <c r="K636" s="286"/>
      <c r="L636" s="286"/>
      <c r="M636" s="286"/>
      <c r="N636" s="286"/>
      <c r="O636" s="241"/>
      <c r="P636" s="241"/>
      <c r="Q636" s="241"/>
    </row>
    <row r="637" spans="1:17" ht="13.5" customHeight="1" x14ac:dyDescent="0.3">
      <c r="A637"/>
      <c r="B637" s="286"/>
      <c r="C637" s="286"/>
      <c r="D637" s="286"/>
      <c r="E637" s="286"/>
      <c r="F637" s="241"/>
      <c r="G637" s="241"/>
      <c r="H637" s="241"/>
      <c r="I637"/>
      <c r="J637" s="286"/>
      <c r="K637" s="286"/>
      <c r="L637" s="286"/>
      <c r="M637" s="286"/>
      <c r="N637" s="286"/>
      <c r="O637" s="241"/>
      <c r="P637" s="241"/>
      <c r="Q637" s="241"/>
    </row>
    <row r="638" spans="1:17" ht="13.5" customHeight="1" x14ac:dyDescent="0.3">
      <c r="A638"/>
      <c r="B638" s="286"/>
      <c r="C638" s="286"/>
      <c r="D638" s="286"/>
      <c r="E638" s="286"/>
      <c r="F638" s="241"/>
      <c r="G638" s="241"/>
      <c r="H638" s="241"/>
      <c r="I638"/>
      <c r="J638" s="286"/>
      <c r="K638" s="286"/>
      <c r="L638" s="286"/>
      <c r="M638" s="286"/>
      <c r="N638" s="286"/>
      <c r="O638" s="241"/>
      <c r="P638" s="241"/>
      <c r="Q638" s="241"/>
    </row>
    <row r="639" spans="1:17" ht="13.5" customHeight="1" x14ac:dyDescent="0.3">
      <c r="A639"/>
      <c r="B639" s="286"/>
      <c r="C639" s="286"/>
      <c r="D639" s="286"/>
      <c r="E639" s="286"/>
      <c r="F639" s="241"/>
      <c r="G639" s="241"/>
      <c r="H639" s="241"/>
      <c r="I639"/>
      <c r="J639" s="286"/>
      <c r="K639" s="286"/>
      <c r="L639" s="286"/>
      <c r="M639" s="286"/>
      <c r="N639" s="286"/>
      <c r="O639" s="241"/>
      <c r="P639" s="241"/>
      <c r="Q639" s="241"/>
    </row>
    <row r="640" spans="1:17" ht="13.5" customHeight="1" x14ac:dyDescent="0.3">
      <c r="A640"/>
      <c r="B640" s="286"/>
      <c r="C640" s="286"/>
      <c r="D640" s="286"/>
      <c r="E640" s="286"/>
      <c r="F640" s="241"/>
      <c r="G640" s="241"/>
      <c r="H640" s="241"/>
      <c r="I640"/>
      <c r="J640" s="286"/>
      <c r="K640" s="286"/>
      <c r="L640" s="286"/>
      <c r="M640" s="286"/>
      <c r="N640" s="286"/>
      <c r="O640" s="241"/>
      <c r="P640" s="241"/>
      <c r="Q640" s="241"/>
    </row>
    <row r="641" spans="1:17" ht="13.5" customHeight="1" x14ac:dyDescent="0.3">
      <c r="A641"/>
      <c r="B641" s="286"/>
      <c r="C641" s="286"/>
      <c r="D641" s="286"/>
      <c r="E641" s="286"/>
      <c r="F641" s="241"/>
      <c r="G641" s="241"/>
      <c r="H641" s="241"/>
      <c r="I641"/>
      <c r="J641" s="286"/>
      <c r="K641" s="286"/>
      <c r="L641" s="286"/>
      <c r="M641" s="286"/>
      <c r="N641" s="286"/>
      <c r="O641" s="241"/>
      <c r="P641" s="241"/>
      <c r="Q641" s="241"/>
    </row>
    <row r="642" spans="1:17" ht="13.5" customHeight="1" x14ac:dyDescent="0.3">
      <c r="A642"/>
      <c r="B642" s="286"/>
      <c r="C642" s="286"/>
      <c r="D642" s="286"/>
      <c r="E642" s="286"/>
      <c r="F642" s="241"/>
      <c r="G642" s="241"/>
      <c r="H642" s="241"/>
      <c r="I642"/>
      <c r="J642" s="286"/>
      <c r="K642" s="286"/>
      <c r="L642" s="286"/>
      <c r="M642" s="286"/>
      <c r="N642" s="286"/>
      <c r="O642" s="241"/>
      <c r="P642" s="241"/>
      <c r="Q642" s="241"/>
    </row>
    <row r="643" spans="1:17" ht="13.5" customHeight="1" x14ac:dyDescent="0.3">
      <c r="A643"/>
      <c r="B643" s="286"/>
      <c r="C643" s="286"/>
      <c r="D643" s="286"/>
      <c r="E643" s="286"/>
      <c r="F643" s="241"/>
      <c r="G643" s="241"/>
      <c r="H643" s="241"/>
      <c r="I643"/>
      <c r="J643" s="286"/>
      <c r="K643" s="286"/>
      <c r="L643" s="286"/>
      <c r="M643" s="286"/>
      <c r="N643" s="286"/>
      <c r="O643" s="241"/>
      <c r="P643" s="241"/>
      <c r="Q643" s="241"/>
    </row>
    <row r="644" spans="1:17" ht="13.5" customHeight="1" x14ac:dyDescent="0.3">
      <c r="A644"/>
      <c r="B644" s="286"/>
      <c r="C644" s="286"/>
      <c r="D644" s="286"/>
      <c r="E644" s="286"/>
      <c r="F644" s="241"/>
      <c r="G644" s="241"/>
      <c r="H644" s="241"/>
      <c r="I644"/>
      <c r="J644" s="286"/>
      <c r="K644" s="286"/>
      <c r="L644" s="286"/>
      <c r="M644" s="286"/>
      <c r="N644" s="286"/>
      <c r="O644" s="241"/>
      <c r="P644" s="241"/>
      <c r="Q644" s="241"/>
    </row>
    <row r="645" spans="1:17" ht="13.5" customHeight="1" x14ac:dyDescent="0.3">
      <c r="A645"/>
      <c r="B645" s="286"/>
      <c r="C645" s="286"/>
      <c r="D645" s="286"/>
      <c r="E645" s="286"/>
      <c r="F645" s="241"/>
      <c r="G645" s="241"/>
      <c r="H645" s="241"/>
      <c r="I645"/>
      <c r="J645" s="286"/>
      <c r="K645" s="286"/>
      <c r="L645" s="286"/>
      <c r="M645" s="286"/>
      <c r="N645" s="286"/>
      <c r="O645" s="241"/>
      <c r="P645" s="241"/>
      <c r="Q645" s="241"/>
    </row>
    <row r="646" spans="1:17" ht="13.5" customHeight="1" x14ac:dyDescent="0.3">
      <c r="A646"/>
      <c r="B646" s="286"/>
      <c r="C646" s="286"/>
      <c r="D646" s="286"/>
      <c r="E646" s="286"/>
      <c r="F646" s="241"/>
      <c r="G646" s="241"/>
      <c r="H646" s="241"/>
      <c r="I646"/>
      <c r="J646" s="286"/>
      <c r="K646" s="286"/>
      <c r="L646" s="286"/>
      <c r="M646" s="286"/>
      <c r="N646" s="286"/>
      <c r="O646" s="241"/>
      <c r="P646" s="241"/>
      <c r="Q646" s="241"/>
    </row>
    <row r="647" spans="1:17" ht="13.5" customHeight="1" x14ac:dyDescent="0.3">
      <c r="A647"/>
      <c r="B647" s="286"/>
      <c r="C647" s="286"/>
      <c r="D647" s="286"/>
      <c r="E647" s="286"/>
      <c r="F647" s="241"/>
      <c r="G647" s="241"/>
      <c r="H647" s="241"/>
      <c r="I647"/>
      <c r="J647" s="286"/>
      <c r="K647" s="286"/>
      <c r="L647" s="286"/>
      <c r="M647" s="286"/>
      <c r="N647" s="286"/>
      <c r="O647" s="241"/>
      <c r="P647" s="241"/>
      <c r="Q647" s="241"/>
    </row>
    <row r="648" spans="1:17" ht="13.5" customHeight="1" x14ac:dyDescent="0.3">
      <c r="A648"/>
      <c r="B648" s="286"/>
      <c r="C648" s="286"/>
      <c r="D648" s="286"/>
      <c r="E648" s="286"/>
      <c r="F648" s="241"/>
      <c r="G648" s="241"/>
      <c r="H648" s="241"/>
      <c r="I648"/>
      <c r="J648" s="286"/>
      <c r="K648" s="286"/>
      <c r="L648" s="286"/>
      <c r="M648" s="286"/>
      <c r="N648" s="286"/>
      <c r="O648" s="241"/>
      <c r="P648" s="241"/>
      <c r="Q648" s="241"/>
    </row>
    <row r="649" spans="1:17" ht="13.5" customHeight="1" x14ac:dyDescent="0.3">
      <c r="A649"/>
      <c r="B649" s="286"/>
      <c r="C649" s="286"/>
      <c r="D649" s="286"/>
      <c r="E649" s="286"/>
      <c r="F649" s="241"/>
      <c r="G649" s="241"/>
      <c r="H649" s="241"/>
      <c r="I649"/>
      <c r="J649" s="286"/>
      <c r="K649" s="286"/>
      <c r="L649" s="286"/>
      <c r="M649" s="286"/>
      <c r="N649" s="286"/>
      <c r="O649" s="241"/>
      <c r="P649" s="241"/>
      <c r="Q649" s="241"/>
    </row>
    <row r="650" spans="1:17" ht="13.5" customHeight="1" x14ac:dyDescent="0.3">
      <c r="A650"/>
      <c r="B650" s="286"/>
      <c r="C650" s="286"/>
      <c r="D650" s="286"/>
      <c r="E650" s="286"/>
      <c r="F650" s="241"/>
      <c r="G650" s="241"/>
      <c r="H650" s="241"/>
      <c r="I650"/>
      <c r="J650" s="286"/>
      <c r="K650" s="286"/>
      <c r="L650" s="286"/>
      <c r="M650" s="286"/>
      <c r="N650" s="286"/>
      <c r="O650" s="241"/>
      <c r="P650" s="241"/>
      <c r="Q650" s="241"/>
    </row>
    <row r="651" spans="1:17" ht="13.5" customHeight="1" x14ac:dyDescent="0.3">
      <c r="A651"/>
      <c r="B651" s="286"/>
      <c r="C651" s="286"/>
      <c r="D651" s="286"/>
      <c r="E651" s="286"/>
      <c r="F651" s="241"/>
      <c r="G651" s="241"/>
      <c r="H651" s="241"/>
      <c r="I651"/>
      <c r="J651" s="286"/>
      <c r="K651" s="286"/>
      <c r="L651" s="286"/>
      <c r="M651" s="286"/>
      <c r="N651" s="286"/>
      <c r="O651" s="241"/>
      <c r="P651" s="241"/>
      <c r="Q651" s="241"/>
    </row>
    <row r="652" spans="1:17" ht="13.5" customHeight="1" x14ac:dyDescent="0.3">
      <c r="A652"/>
      <c r="B652" s="286"/>
      <c r="C652" s="286"/>
      <c r="D652" s="286"/>
      <c r="E652" s="286"/>
      <c r="F652" s="241"/>
      <c r="G652" s="241"/>
      <c r="H652" s="241"/>
      <c r="I652"/>
      <c r="J652" s="286"/>
      <c r="K652" s="286"/>
      <c r="L652" s="286"/>
      <c r="M652" s="286"/>
      <c r="N652" s="286"/>
      <c r="O652" s="241"/>
      <c r="P652" s="241"/>
      <c r="Q652" s="241"/>
    </row>
    <row r="653" spans="1:17" ht="13.5" customHeight="1" x14ac:dyDescent="0.3">
      <c r="A653"/>
      <c r="B653" s="286"/>
      <c r="C653" s="286"/>
      <c r="D653" s="286"/>
      <c r="E653" s="286"/>
      <c r="F653" s="241"/>
      <c r="G653" s="241"/>
      <c r="H653" s="241"/>
      <c r="I653"/>
      <c r="J653" s="286"/>
      <c r="K653" s="286"/>
      <c r="L653" s="286"/>
      <c r="M653" s="286"/>
      <c r="N653" s="286"/>
      <c r="O653" s="241"/>
      <c r="P653" s="241"/>
      <c r="Q653" s="241"/>
    </row>
    <row r="654" spans="1:17" ht="13.5" customHeight="1" x14ac:dyDescent="0.3">
      <c r="A654"/>
      <c r="B654" s="286"/>
      <c r="C654" s="286"/>
      <c r="D654" s="286"/>
      <c r="E654" s="286"/>
      <c r="F654" s="241"/>
      <c r="G654" s="241"/>
      <c r="H654" s="241"/>
      <c r="I654"/>
      <c r="J654" s="286"/>
      <c r="K654" s="286"/>
      <c r="L654" s="286"/>
      <c r="M654" s="286"/>
      <c r="N654" s="286"/>
      <c r="O654" s="241"/>
      <c r="P654" s="241"/>
      <c r="Q654" s="241"/>
    </row>
    <row r="655" spans="1:17" ht="13.5" customHeight="1" x14ac:dyDescent="0.3">
      <c r="A655"/>
      <c r="B655" s="286"/>
      <c r="C655" s="286"/>
      <c r="D655" s="286"/>
      <c r="E655" s="286"/>
      <c r="F655" s="241"/>
      <c r="G655" s="241"/>
      <c r="H655" s="241"/>
      <c r="I655"/>
      <c r="J655" s="286"/>
      <c r="K655" s="286"/>
      <c r="L655" s="286"/>
      <c r="M655" s="286"/>
      <c r="N655" s="286"/>
      <c r="O655" s="241"/>
      <c r="P655" s="241"/>
      <c r="Q655" s="241"/>
    </row>
    <row r="656" spans="1:17" ht="13.5" customHeight="1" x14ac:dyDescent="0.3">
      <c r="A656"/>
      <c r="B656" s="286"/>
      <c r="C656" s="286"/>
      <c r="D656" s="286"/>
      <c r="E656" s="286"/>
      <c r="F656" s="241"/>
      <c r="G656" s="241"/>
      <c r="H656" s="241"/>
      <c r="I656"/>
      <c r="J656" s="286"/>
      <c r="K656" s="286"/>
      <c r="L656" s="286"/>
      <c r="M656" s="286"/>
      <c r="N656" s="286"/>
      <c r="O656" s="241"/>
      <c r="P656" s="241"/>
      <c r="Q656" s="241"/>
    </row>
    <row r="657" spans="1:17" ht="13.5" customHeight="1" x14ac:dyDescent="0.3">
      <c r="A657"/>
      <c r="B657" s="286"/>
      <c r="C657" s="286"/>
      <c r="D657" s="286"/>
      <c r="E657" s="286"/>
      <c r="F657" s="241"/>
      <c r="G657" s="241"/>
      <c r="H657" s="241"/>
      <c r="I657"/>
      <c r="J657" s="286"/>
      <c r="K657" s="286"/>
      <c r="L657" s="286"/>
      <c r="M657" s="286"/>
      <c r="N657" s="286"/>
      <c r="O657" s="241"/>
      <c r="P657" s="241"/>
      <c r="Q657" s="241"/>
    </row>
    <row r="658" spans="1:17" ht="13.5" customHeight="1" x14ac:dyDescent="0.3">
      <c r="A658"/>
      <c r="B658" s="286"/>
      <c r="C658" s="286"/>
      <c r="D658" s="286"/>
      <c r="E658" s="286"/>
      <c r="F658" s="241"/>
      <c r="G658" s="241"/>
      <c r="H658" s="241"/>
      <c r="I658"/>
      <c r="J658" s="286"/>
      <c r="K658" s="286"/>
      <c r="L658" s="286"/>
      <c r="M658" s="286"/>
      <c r="N658" s="286"/>
      <c r="O658" s="241"/>
      <c r="P658" s="241"/>
      <c r="Q658" s="241"/>
    </row>
    <row r="659" spans="1:17" ht="13.5" customHeight="1" x14ac:dyDescent="0.3">
      <c r="A659"/>
      <c r="B659" s="286"/>
      <c r="C659" s="286"/>
      <c r="D659" s="286"/>
      <c r="E659" s="286"/>
      <c r="F659" s="241"/>
      <c r="G659" s="241"/>
      <c r="H659" s="241"/>
      <c r="I659"/>
      <c r="J659" s="286"/>
      <c r="K659" s="286"/>
      <c r="L659" s="286"/>
      <c r="M659" s="286"/>
      <c r="N659" s="286"/>
      <c r="O659" s="241"/>
      <c r="P659" s="241"/>
      <c r="Q659" s="241"/>
    </row>
    <row r="660" spans="1:17" ht="13.5" customHeight="1" x14ac:dyDescent="0.3">
      <c r="A660"/>
      <c r="B660" s="286"/>
      <c r="C660" s="286"/>
      <c r="D660" s="286"/>
      <c r="E660" s="286"/>
      <c r="F660" s="241"/>
      <c r="G660" s="241"/>
      <c r="H660" s="241"/>
      <c r="I660"/>
      <c r="J660" s="286"/>
      <c r="K660" s="286"/>
      <c r="L660" s="286"/>
      <c r="M660" s="286"/>
      <c r="N660" s="286"/>
      <c r="O660" s="241"/>
      <c r="P660" s="241"/>
      <c r="Q660" s="241"/>
    </row>
    <row r="661" spans="1:17" ht="13.5" customHeight="1" x14ac:dyDescent="0.3">
      <c r="A661"/>
      <c r="B661" s="286"/>
      <c r="C661" s="286"/>
      <c r="D661" s="286"/>
      <c r="E661" s="286"/>
      <c r="F661" s="241"/>
      <c r="G661" s="241"/>
      <c r="H661" s="241"/>
      <c r="I661"/>
      <c r="J661" s="286"/>
      <c r="K661" s="286"/>
      <c r="L661" s="286"/>
      <c r="M661" s="286"/>
      <c r="N661" s="286"/>
      <c r="O661" s="241"/>
      <c r="P661" s="241"/>
      <c r="Q661" s="241"/>
    </row>
    <row r="662" spans="1:17" ht="13.5" customHeight="1" x14ac:dyDescent="0.3">
      <c r="A662"/>
      <c r="B662" s="286"/>
      <c r="C662" s="286"/>
      <c r="D662" s="286"/>
      <c r="E662" s="286"/>
      <c r="F662" s="241"/>
      <c r="G662" s="241"/>
      <c r="H662" s="241"/>
      <c r="I662"/>
      <c r="J662" s="286"/>
      <c r="K662" s="286"/>
      <c r="L662" s="286"/>
      <c r="M662" s="286"/>
      <c r="N662" s="286"/>
      <c r="O662" s="241"/>
      <c r="P662" s="241"/>
      <c r="Q662" s="241"/>
    </row>
    <row r="663" spans="1:17" ht="13.5" customHeight="1" x14ac:dyDescent="0.3">
      <c r="A663"/>
      <c r="B663" s="286"/>
      <c r="C663" s="286"/>
      <c r="D663" s="286"/>
      <c r="E663" s="286"/>
      <c r="F663" s="241"/>
      <c r="G663" s="241"/>
      <c r="H663" s="241"/>
      <c r="I663"/>
      <c r="J663" s="286"/>
      <c r="K663" s="286"/>
      <c r="L663" s="286"/>
      <c r="M663" s="286"/>
      <c r="N663" s="286"/>
      <c r="O663" s="241"/>
      <c r="P663" s="241"/>
      <c r="Q663" s="241"/>
    </row>
    <row r="664" spans="1:17" ht="13.5" customHeight="1" x14ac:dyDescent="0.3">
      <c r="A664"/>
      <c r="B664" s="286"/>
      <c r="C664" s="286"/>
      <c r="D664" s="286"/>
      <c r="E664" s="286"/>
      <c r="F664" s="241"/>
      <c r="G664" s="241"/>
      <c r="H664" s="241"/>
      <c r="I664"/>
      <c r="J664" s="286"/>
      <c r="K664" s="286"/>
      <c r="L664" s="286"/>
      <c r="M664" s="286"/>
      <c r="N664" s="286"/>
      <c r="O664" s="241"/>
      <c r="P664" s="241"/>
      <c r="Q664" s="241"/>
    </row>
    <row r="665" spans="1:17" ht="13.5" customHeight="1" x14ac:dyDescent="0.3">
      <c r="A665"/>
      <c r="B665" s="286"/>
      <c r="C665" s="286"/>
      <c r="D665" s="286"/>
      <c r="E665" s="286"/>
      <c r="F665" s="241"/>
      <c r="G665" s="241"/>
      <c r="H665" s="241"/>
      <c r="I665"/>
      <c r="J665" s="286"/>
      <c r="K665" s="286"/>
      <c r="L665" s="286"/>
      <c r="M665" s="286"/>
      <c r="N665" s="286"/>
      <c r="O665" s="241"/>
      <c r="P665" s="241"/>
      <c r="Q665" s="241"/>
    </row>
    <row r="666" spans="1:17" ht="13.5" customHeight="1" x14ac:dyDescent="0.3">
      <c r="A666"/>
      <c r="B666" s="286"/>
      <c r="C666" s="286"/>
      <c r="D666" s="286"/>
      <c r="E666" s="286"/>
      <c r="F666" s="241"/>
      <c r="G666" s="241"/>
      <c r="H666" s="241"/>
      <c r="I666"/>
      <c r="J666" s="286"/>
      <c r="K666" s="286"/>
      <c r="L666" s="286"/>
      <c r="M666" s="286"/>
      <c r="N666" s="286"/>
      <c r="O666" s="241"/>
      <c r="P666" s="241"/>
      <c r="Q666" s="241"/>
    </row>
    <row r="667" spans="1:17" ht="13.5" customHeight="1" x14ac:dyDescent="0.3">
      <c r="A667"/>
      <c r="B667" s="286"/>
      <c r="C667" s="286"/>
      <c r="D667" s="286"/>
      <c r="E667" s="286"/>
      <c r="F667" s="241"/>
      <c r="G667" s="241"/>
      <c r="H667" s="241"/>
      <c r="I667"/>
      <c r="J667" s="286"/>
      <c r="K667" s="286"/>
      <c r="L667" s="286"/>
      <c r="M667" s="286"/>
      <c r="N667" s="286"/>
      <c r="O667" s="241"/>
      <c r="P667" s="241"/>
      <c r="Q667" s="241"/>
    </row>
    <row r="668" spans="1:17" ht="13.5" customHeight="1" x14ac:dyDescent="0.3">
      <c r="A668"/>
      <c r="B668" s="286"/>
      <c r="C668" s="286"/>
      <c r="D668" s="286"/>
      <c r="E668" s="286"/>
      <c r="F668" s="241"/>
      <c r="G668" s="241"/>
      <c r="H668" s="241"/>
      <c r="I668"/>
      <c r="J668" s="286"/>
      <c r="K668" s="286"/>
      <c r="L668" s="286"/>
      <c r="M668" s="286"/>
      <c r="N668" s="286"/>
      <c r="O668" s="241"/>
      <c r="P668" s="241"/>
      <c r="Q668" s="241"/>
    </row>
    <row r="669" spans="1:17" ht="13.5" customHeight="1" x14ac:dyDescent="0.3">
      <c r="A669"/>
      <c r="B669" s="286"/>
      <c r="C669" s="286"/>
      <c r="D669" s="286"/>
      <c r="E669" s="286"/>
      <c r="F669" s="241"/>
      <c r="G669" s="241"/>
      <c r="H669" s="241"/>
      <c r="I669"/>
      <c r="J669" s="286"/>
      <c r="K669" s="286"/>
      <c r="L669" s="286"/>
      <c r="M669" s="286"/>
      <c r="N669" s="286"/>
      <c r="O669" s="241"/>
      <c r="P669" s="241"/>
      <c r="Q669" s="241"/>
    </row>
    <row r="670" spans="1:17" ht="13.5" customHeight="1" x14ac:dyDescent="0.3">
      <c r="A670"/>
      <c r="B670" s="286"/>
      <c r="C670" s="286"/>
      <c r="D670" s="286"/>
      <c r="E670" s="286"/>
      <c r="F670" s="241"/>
      <c r="G670" s="241"/>
      <c r="H670" s="241"/>
      <c r="I670"/>
      <c r="J670" s="286"/>
      <c r="K670" s="286"/>
      <c r="L670" s="286"/>
      <c r="M670" s="286"/>
      <c r="N670" s="286"/>
      <c r="O670" s="241"/>
      <c r="P670" s="241"/>
      <c r="Q670" s="241"/>
    </row>
    <row r="671" spans="1:17" ht="13.5" customHeight="1" x14ac:dyDescent="0.3">
      <c r="A671"/>
      <c r="B671" s="286"/>
      <c r="C671" s="286"/>
      <c r="D671" s="286"/>
      <c r="E671" s="286"/>
      <c r="F671" s="241"/>
      <c r="G671" s="241"/>
      <c r="H671" s="241"/>
      <c r="I671"/>
      <c r="J671" s="286"/>
      <c r="K671" s="286"/>
      <c r="L671" s="286"/>
      <c r="M671" s="286"/>
      <c r="N671" s="286"/>
      <c r="O671" s="241"/>
      <c r="P671" s="241"/>
      <c r="Q671" s="241"/>
    </row>
    <row r="672" spans="1:17" ht="13.5" customHeight="1" x14ac:dyDescent="0.3">
      <c r="A672"/>
      <c r="B672" s="286"/>
      <c r="C672" s="286"/>
      <c r="D672" s="286"/>
      <c r="E672" s="286"/>
      <c r="F672" s="241"/>
      <c r="G672" s="241"/>
      <c r="H672" s="241"/>
      <c r="I672"/>
      <c r="J672" s="286"/>
      <c r="K672" s="286"/>
      <c r="L672" s="286"/>
      <c r="M672" s="286"/>
      <c r="N672" s="286"/>
      <c r="O672" s="241"/>
      <c r="P672" s="241"/>
      <c r="Q672" s="241"/>
    </row>
    <row r="673" spans="1:17" ht="13.5" customHeight="1" x14ac:dyDescent="0.3">
      <c r="A673"/>
      <c r="B673" s="286"/>
      <c r="C673" s="286"/>
      <c r="D673" s="286"/>
      <c r="E673" s="286"/>
      <c r="F673" s="241"/>
      <c r="G673" s="241"/>
      <c r="H673" s="241"/>
      <c r="I673"/>
      <c r="J673" s="286"/>
      <c r="K673" s="286"/>
      <c r="L673" s="286"/>
      <c r="M673" s="286"/>
      <c r="N673" s="286"/>
      <c r="O673" s="241"/>
      <c r="P673" s="241"/>
      <c r="Q673" s="241"/>
    </row>
    <row r="674" spans="1:17" ht="13.5" customHeight="1" x14ac:dyDescent="0.3">
      <c r="A674"/>
      <c r="B674" s="286"/>
      <c r="C674" s="286"/>
      <c r="D674" s="286"/>
      <c r="E674" s="286"/>
      <c r="F674" s="241"/>
      <c r="G674" s="241"/>
      <c r="H674" s="241"/>
      <c r="I674"/>
      <c r="J674" s="286"/>
      <c r="K674" s="286"/>
      <c r="L674" s="286"/>
      <c r="M674" s="286"/>
      <c r="N674" s="286"/>
      <c r="O674" s="241"/>
      <c r="P674" s="241"/>
      <c r="Q674" s="241"/>
    </row>
    <row r="675" spans="1:17" ht="13.5" customHeight="1" x14ac:dyDescent="0.3">
      <c r="A675"/>
      <c r="B675" s="286"/>
      <c r="C675" s="286"/>
      <c r="D675" s="286"/>
      <c r="E675" s="286"/>
      <c r="F675" s="241"/>
      <c r="G675" s="241"/>
      <c r="H675" s="241"/>
      <c r="I675"/>
      <c r="J675" s="286"/>
      <c r="K675" s="286"/>
      <c r="L675" s="286"/>
      <c r="M675" s="286"/>
      <c r="N675" s="286"/>
      <c r="O675" s="241"/>
      <c r="P675" s="241"/>
      <c r="Q675" s="241"/>
    </row>
    <row r="676" spans="1:17" ht="13.5" customHeight="1" x14ac:dyDescent="0.3">
      <c r="A676"/>
      <c r="B676" s="286"/>
      <c r="C676" s="286"/>
      <c r="D676" s="286"/>
      <c r="E676" s="286"/>
      <c r="F676" s="241"/>
      <c r="G676" s="241"/>
      <c r="H676" s="241"/>
      <c r="I676"/>
      <c r="J676" s="286"/>
      <c r="K676" s="286"/>
      <c r="L676" s="286"/>
      <c r="M676" s="286"/>
      <c r="N676" s="286"/>
      <c r="O676" s="241"/>
      <c r="P676" s="241"/>
      <c r="Q676" s="241"/>
    </row>
    <row r="677" spans="1:17" ht="13.5" customHeight="1" x14ac:dyDescent="0.3">
      <c r="A677"/>
      <c r="B677" s="286"/>
      <c r="C677" s="286"/>
      <c r="D677" s="286"/>
      <c r="E677" s="286"/>
      <c r="F677" s="241"/>
      <c r="G677" s="241"/>
      <c r="H677" s="241"/>
      <c r="I677"/>
      <c r="J677" s="286"/>
      <c r="K677" s="286"/>
      <c r="L677" s="286"/>
      <c r="M677" s="286"/>
      <c r="N677" s="286"/>
      <c r="O677" s="241"/>
      <c r="P677" s="241"/>
      <c r="Q677" s="241"/>
    </row>
    <row r="678" spans="1:17" ht="13.5" customHeight="1" x14ac:dyDescent="0.3">
      <c r="A678"/>
      <c r="B678" s="286"/>
      <c r="C678" s="286"/>
      <c r="D678" s="286"/>
      <c r="E678" s="286"/>
      <c r="F678" s="241"/>
      <c r="G678" s="241"/>
      <c r="H678" s="241"/>
      <c r="I678"/>
      <c r="J678" s="286"/>
      <c r="K678" s="286"/>
      <c r="L678" s="286"/>
      <c r="M678" s="286"/>
      <c r="N678" s="286"/>
      <c r="O678" s="241"/>
      <c r="P678" s="241"/>
      <c r="Q678" s="241"/>
    </row>
    <row r="679" spans="1:17" ht="13.5" customHeight="1" x14ac:dyDescent="0.3">
      <c r="A679"/>
      <c r="B679" s="286"/>
      <c r="C679" s="286"/>
      <c r="D679" s="286"/>
      <c r="E679" s="286"/>
      <c r="F679" s="241"/>
      <c r="G679" s="241"/>
      <c r="H679" s="241"/>
      <c r="I679"/>
      <c r="J679" s="286"/>
      <c r="K679" s="286"/>
      <c r="L679" s="286"/>
      <c r="M679" s="286"/>
      <c r="N679" s="286"/>
      <c r="O679" s="241"/>
      <c r="P679" s="241"/>
      <c r="Q679" s="241"/>
    </row>
    <row r="680" spans="1:17" ht="13.5" customHeight="1" x14ac:dyDescent="0.3">
      <c r="A680"/>
      <c r="B680" s="286"/>
      <c r="C680" s="286"/>
      <c r="D680" s="286"/>
      <c r="E680" s="286"/>
      <c r="F680" s="241"/>
      <c r="G680" s="241"/>
      <c r="H680" s="241"/>
      <c r="I680"/>
      <c r="J680" s="286"/>
      <c r="K680" s="286"/>
      <c r="L680" s="286"/>
      <c r="M680" s="286"/>
      <c r="N680" s="286"/>
      <c r="O680" s="241"/>
      <c r="P680" s="241"/>
      <c r="Q680" s="241"/>
    </row>
    <row r="681" spans="1:17" ht="13.5" customHeight="1" x14ac:dyDescent="0.3">
      <c r="A681"/>
      <c r="B681" s="286"/>
      <c r="C681" s="286"/>
      <c r="D681" s="286"/>
      <c r="E681" s="286"/>
      <c r="F681" s="241"/>
      <c r="G681" s="241"/>
      <c r="H681" s="241"/>
      <c r="I681"/>
      <c r="J681" s="286"/>
      <c r="K681" s="286"/>
      <c r="L681" s="286"/>
      <c r="M681" s="286"/>
      <c r="N681" s="286"/>
      <c r="O681" s="241"/>
      <c r="P681" s="241"/>
      <c r="Q681" s="241"/>
    </row>
    <row r="682" spans="1:17" ht="13.5" customHeight="1" x14ac:dyDescent="0.3">
      <c r="A682"/>
      <c r="B682" s="286"/>
      <c r="C682" s="286"/>
      <c r="D682" s="286"/>
      <c r="E682" s="286"/>
      <c r="F682" s="241"/>
      <c r="G682" s="241"/>
      <c r="H682" s="241"/>
      <c r="I682"/>
      <c r="J682" s="286"/>
      <c r="K682" s="286"/>
      <c r="L682" s="286"/>
      <c r="M682" s="286"/>
      <c r="N682" s="286"/>
      <c r="O682" s="241"/>
      <c r="P682" s="241"/>
      <c r="Q682" s="241"/>
    </row>
    <row r="683" spans="1:17" ht="13.5" customHeight="1" x14ac:dyDescent="0.3">
      <c r="A683"/>
      <c r="B683" s="286"/>
      <c r="C683" s="286"/>
      <c r="D683" s="286"/>
      <c r="E683" s="286"/>
      <c r="F683" s="241"/>
      <c r="G683" s="241"/>
      <c r="H683" s="241"/>
      <c r="I683"/>
      <c r="J683" s="286"/>
      <c r="K683" s="286"/>
      <c r="L683" s="286"/>
      <c r="M683" s="286"/>
      <c r="N683" s="286"/>
      <c r="O683" s="241"/>
      <c r="P683" s="241"/>
      <c r="Q683" s="241"/>
    </row>
    <row r="684" spans="1:17" ht="13.5" customHeight="1" x14ac:dyDescent="0.3">
      <c r="A684"/>
      <c r="B684" s="286"/>
      <c r="C684" s="286"/>
      <c r="D684" s="286"/>
      <c r="E684" s="286"/>
      <c r="F684" s="241"/>
      <c r="G684" s="241"/>
      <c r="H684" s="241"/>
      <c r="I684"/>
      <c r="J684" s="286"/>
      <c r="K684" s="286"/>
      <c r="L684" s="286"/>
      <c r="M684" s="286"/>
      <c r="N684" s="286"/>
      <c r="O684" s="241"/>
      <c r="P684" s="241"/>
      <c r="Q684" s="241"/>
    </row>
    <row r="685" spans="1:17" ht="13.5" customHeight="1" x14ac:dyDescent="0.3">
      <c r="A685"/>
      <c r="B685" s="286"/>
      <c r="C685" s="286"/>
      <c r="D685" s="286"/>
      <c r="E685" s="286"/>
      <c r="F685" s="241"/>
      <c r="G685" s="241"/>
      <c r="H685" s="241"/>
      <c r="I685"/>
      <c r="J685" s="286"/>
      <c r="K685" s="286"/>
      <c r="L685" s="286"/>
      <c r="M685" s="286"/>
      <c r="N685" s="286"/>
      <c r="O685" s="241"/>
      <c r="P685" s="241"/>
      <c r="Q685" s="241"/>
    </row>
    <row r="686" spans="1:17" ht="13.5" customHeight="1" x14ac:dyDescent="0.3">
      <c r="A686"/>
      <c r="B686" s="286"/>
      <c r="C686" s="286"/>
      <c r="D686" s="286"/>
      <c r="E686" s="286"/>
      <c r="F686" s="241"/>
      <c r="G686" s="241"/>
      <c r="H686" s="241"/>
      <c r="I686"/>
      <c r="J686" s="286"/>
      <c r="K686" s="286"/>
      <c r="L686" s="286"/>
      <c r="M686" s="286"/>
      <c r="N686" s="286"/>
      <c r="O686" s="241"/>
      <c r="P686" s="241"/>
      <c r="Q686" s="241"/>
    </row>
    <row r="687" spans="1:17" ht="13.5" customHeight="1" x14ac:dyDescent="0.3">
      <c r="A687"/>
      <c r="B687" s="286"/>
      <c r="C687" s="286"/>
      <c r="D687" s="286"/>
      <c r="E687" s="286"/>
      <c r="F687" s="241"/>
      <c r="G687" s="241"/>
      <c r="H687" s="241"/>
      <c r="I687"/>
      <c r="J687" s="286"/>
      <c r="K687" s="286"/>
      <c r="L687" s="286"/>
      <c r="M687" s="286"/>
      <c r="N687" s="286"/>
      <c r="O687" s="241"/>
      <c r="P687" s="241"/>
      <c r="Q687" s="241"/>
    </row>
    <row r="688" spans="1:17" ht="13.5" customHeight="1" x14ac:dyDescent="0.3">
      <c r="A688"/>
      <c r="B688" s="286"/>
      <c r="C688" s="286"/>
      <c r="D688" s="286"/>
      <c r="E688" s="286"/>
      <c r="F688" s="241"/>
      <c r="G688" s="241"/>
      <c r="H688" s="241"/>
      <c r="I688"/>
      <c r="J688" s="286"/>
      <c r="K688" s="286"/>
      <c r="L688" s="286"/>
      <c r="M688" s="286"/>
      <c r="N688" s="286"/>
      <c r="O688" s="241"/>
      <c r="P688" s="241"/>
      <c r="Q688" s="241"/>
    </row>
    <row r="689" spans="1:17" ht="13.5" customHeight="1" x14ac:dyDescent="0.3">
      <c r="A689"/>
      <c r="B689" s="286"/>
      <c r="C689" s="286"/>
      <c r="D689" s="286"/>
      <c r="E689" s="286"/>
      <c r="F689" s="241"/>
      <c r="G689" s="241"/>
      <c r="H689" s="241"/>
      <c r="I689"/>
      <c r="J689" s="286"/>
      <c r="K689" s="286"/>
      <c r="L689" s="286"/>
      <c r="M689" s="286"/>
      <c r="N689" s="286"/>
      <c r="O689" s="241"/>
      <c r="P689" s="241"/>
      <c r="Q689" s="241"/>
    </row>
    <row r="690" spans="1:17" ht="13.5" customHeight="1" x14ac:dyDescent="0.3">
      <c r="A690"/>
      <c r="B690" s="286"/>
      <c r="C690" s="286"/>
      <c r="D690" s="286"/>
      <c r="E690" s="286"/>
      <c r="F690" s="241"/>
      <c r="G690" s="241"/>
      <c r="H690" s="241"/>
      <c r="I690"/>
      <c r="J690" s="286"/>
      <c r="K690" s="286"/>
      <c r="L690" s="286"/>
      <c r="M690" s="286"/>
      <c r="N690" s="286"/>
      <c r="O690" s="241"/>
      <c r="P690" s="241"/>
      <c r="Q690" s="241"/>
    </row>
    <row r="691" spans="1:17" ht="13.5" customHeight="1" x14ac:dyDescent="0.3">
      <c r="A691"/>
      <c r="B691" s="286"/>
      <c r="C691" s="286"/>
      <c r="D691" s="286"/>
      <c r="E691" s="286"/>
      <c r="F691" s="241"/>
      <c r="G691" s="241"/>
      <c r="H691" s="241"/>
      <c r="I691"/>
      <c r="J691" s="286"/>
      <c r="K691" s="286"/>
      <c r="L691" s="286"/>
      <c r="M691" s="286"/>
      <c r="N691" s="286"/>
      <c r="O691" s="241"/>
      <c r="P691" s="241"/>
      <c r="Q691" s="241"/>
    </row>
    <row r="692" spans="1:17" ht="13.5" customHeight="1" x14ac:dyDescent="0.3">
      <c r="A692"/>
      <c r="B692" s="286"/>
      <c r="C692" s="286"/>
      <c r="D692" s="286"/>
      <c r="E692" s="286"/>
      <c r="F692" s="241"/>
      <c r="G692" s="241"/>
      <c r="H692" s="241"/>
      <c r="I692"/>
      <c r="J692" s="286"/>
      <c r="K692" s="286"/>
      <c r="L692" s="286"/>
      <c r="M692" s="286"/>
      <c r="N692" s="286"/>
      <c r="O692" s="241"/>
      <c r="P692" s="241"/>
      <c r="Q692" s="241"/>
    </row>
    <row r="693" spans="1:17" ht="13.5" customHeight="1" x14ac:dyDescent="0.3">
      <c r="A693"/>
      <c r="B693" s="286"/>
      <c r="C693" s="286"/>
      <c r="D693" s="286"/>
      <c r="E693" s="286"/>
      <c r="F693" s="241"/>
      <c r="G693" s="241"/>
      <c r="H693" s="241"/>
      <c r="I693"/>
      <c r="J693" s="286"/>
      <c r="K693" s="286"/>
      <c r="L693" s="286"/>
      <c r="M693" s="286"/>
      <c r="N693" s="286"/>
      <c r="O693" s="241"/>
      <c r="P693" s="241"/>
      <c r="Q693" s="241"/>
    </row>
    <row r="694" spans="1:17" ht="13.5" customHeight="1" x14ac:dyDescent="0.3">
      <c r="A694"/>
      <c r="B694" s="286"/>
      <c r="C694" s="286"/>
      <c r="D694" s="286"/>
      <c r="E694" s="286"/>
      <c r="F694" s="241"/>
      <c r="G694" s="241"/>
      <c r="H694" s="241"/>
      <c r="I694"/>
      <c r="J694" s="286"/>
      <c r="K694" s="286"/>
      <c r="L694" s="286"/>
      <c r="M694" s="286"/>
      <c r="N694" s="286"/>
      <c r="O694" s="241"/>
      <c r="P694" s="241"/>
      <c r="Q694" s="241"/>
    </row>
    <row r="695" spans="1:17" ht="13.5" customHeight="1" x14ac:dyDescent="0.3">
      <c r="A695"/>
      <c r="B695" s="286"/>
      <c r="C695" s="286"/>
      <c r="D695" s="286"/>
      <c r="E695" s="286"/>
      <c r="F695" s="241"/>
      <c r="G695" s="241"/>
      <c r="H695" s="241"/>
      <c r="I695"/>
      <c r="J695" s="286"/>
      <c r="K695" s="286"/>
      <c r="L695" s="286"/>
      <c r="M695" s="286"/>
      <c r="N695" s="286"/>
      <c r="O695" s="241"/>
      <c r="P695" s="241"/>
      <c r="Q695" s="241"/>
    </row>
    <row r="696" spans="1:17" ht="13.5" customHeight="1" x14ac:dyDescent="0.3">
      <c r="A696"/>
      <c r="B696" s="286"/>
      <c r="C696" s="286"/>
      <c r="D696" s="286"/>
      <c r="E696" s="286"/>
      <c r="F696" s="241"/>
      <c r="G696" s="241"/>
      <c r="H696" s="241"/>
      <c r="I696"/>
      <c r="J696" s="286"/>
      <c r="K696" s="286"/>
      <c r="L696" s="286"/>
      <c r="M696" s="286"/>
      <c r="N696" s="286"/>
      <c r="O696" s="241"/>
      <c r="P696" s="241"/>
      <c r="Q696" s="241"/>
    </row>
    <row r="697" spans="1:17" ht="13.5" customHeight="1" x14ac:dyDescent="0.3">
      <c r="A697"/>
      <c r="B697" s="286"/>
      <c r="C697" s="286"/>
      <c r="D697" s="286"/>
      <c r="E697" s="286"/>
      <c r="F697" s="241"/>
      <c r="G697" s="241"/>
      <c r="H697" s="241"/>
      <c r="I697"/>
      <c r="J697" s="286"/>
      <c r="K697" s="286"/>
      <c r="L697" s="286"/>
      <c r="M697" s="286"/>
      <c r="N697" s="286"/>
      <c r="O697" s="241"/>
      <c r="P697" s="241"/>
      <c r="Q697" s="241"/>
    </row>
    <row r="698" spans="1:17" ht="13.5" customHeight="1" x14ac:dyDescent="0.3">
      <c r="A698"/>
      <c r="B698" s="286"/>
      <c r="C698" s="286"/>
      <c r="D698" s="286"/>
      <c r="E698" s="286"/>
      <c r="F698" s="241"/>
      <c r="G698" s="241"/>
      <c r="H698" s="241"/>
      <c r="I698"/>
      <c r="J698" s="286"/>
      <c r="K698" s="286"/>
      <c r="L698" s="286"/>
      <c r="M698" s="286"/>
      <c r="N698" s="286"/>
      <c r="O698" s="241"/>
      <c r="P698" s="241"/>
      <c r="Q698" s="241"/>
    </row>
    <row r="699" spans="1:17" ht="13.5" customHeight="1" x14ac:dyDescent="0.3">
      <c r="A699"/>
      <c r="B699" s="286"/>
      <c r="C699" s="286"/>
      <c r="D699" s="286"/>
      <c r="E699" s="286"/>
      <c r="F699" s="241"/>
      <c r="G699" s="241"/>
      <c r="H699" s="241"/>
      <c r="I699"/>
      <c r="J699" s="286"/>
      <c r="K699" s="286"/>
      <c r="L699" s="286"/>
      <c r="M699" s="286"/>
      <c r="N699" s="286"/>
      <c r="O699" s="241"/>
      <c r="P699" s="241"/>
      <c r="Q699" s="241"/>
    </row>
    <row r="700" spans="1:17" ht="13.5" customHeight="1" x14ac:dyDescent="0.3">
      <c r="A700"/>
      <c r="B700" s="286"/>
      <c r="C700" s="286"/>
      <c r="D700" s="286"/>
      <c r="E700" s="286"/>
      <c r="F700" s="241"/>
      <c r="G700" s="241"/>
      <c r="H700" s="241"/>
      <c r="I700"/>
      <c r="J700" s="286"/>
      <c r="K700" s="286"/>
      <c r="L700" s="286"/>
      <c r="M700" s="286"/>
      <c r="N700" s="286"/>
      <c r="O700" s="241"/>
      <c r="P700" s="241"/>
      <c r="Q700" s="241"/>
    </row>
    <row r="701" spans="1:17" ht="13.5" customHeight="1" x14ac:dyDescent="0.3">
      <c r="A701"/>
      <c r="B701" s="286"/>
      <c r="C701" s="286"/>
      <c r="D701" s="286"/>
      <c r="E701" s="286"/>
      <c r="F701" s="241"/>
      <c r="G701" s="241"/>
      <c r="H701" s="241"/>
      <c r="I701"/>
      <c r="J701" s="286"/>
      <c r="K701" s="286"/>
      <c r="L701" s="286"/>
      <c r="M701" s="286"/>
      <c r="N701" s="286"/>
      <c r="O701" s="241"/>
      <c r="P701" s="241"/>
      <c r="Q701" s="241"/>
    </row>
    <row r="702" spans="1:17" ht="13.5" customHeight="1" x14ac:dyDescent="0.3">
      <c r="A702"/>
      <c r="B702" s="286"/>
      <c r="C702" s="286"/>
      <c r="D702" s="286"/>
      <c r="E702" s="286"/>
      <c r="F702" s="241"/>
      <c r="G702" s="241"/>
      <c r="H702" s="241"/>
      <c r="I702"/>
      <c r="J702" s="286"/>
      <c r="K702" s="286"/>
      <c r="L702" s="286"/>
      <c r="M702" s="286"/>
      <c r="N702" s="286"/>
      <c r="O702" s="241"/>
      <c r="P702" s="241"/>
      <c r="Q702" s="241"/>
    </row>
    <row r="703" spans="1:17" ht="13.5" customHeight="1" x14ac:dyDescent="0.3">
      <c r="A703"/>
      <c r="B703" s="286"/>
      <c r="C703" s="286"/>
      <c r="D703" s="286"/>
      <c r="E703" s="286"/>
      <c r="F703" s="241"/>
      <c r="G703" s="241"/>
      <c r="H703" s="241"/>
      <c r="I703"/>
      <c r="J703" s="286"/>
      <c r="K703" s="286"/>
      <c r="L703" s="286"/>
      <c r="M703" s="286"/>
      <c r="N703" s="286"/>
      <c r="O703" s="241"/>
      <c r="P703" s="241"/>
      <c r="Q703" s="241"/>
    </row>
    <row r="704" spans="1:17" ht="13.5" customHeight="1" x14ac:dyDescent="0.3">
      <c r="A704"/>
      <c r="B704" s="286"/>
      <c r="C704" s="286"/>
      <c r="D704" s="286"/>
      <c r="E704" s="286"/>
      <c r="F704" s="241"/>
      <c r="G704" s="241"/>
      <c r="H704" s="241"/>
      <c r="I704"/>
      <c r="J704" s="286"/>
      <c r="K704" s="286"/>
      <c r="L704" s="286"/>
      <c r="M704" s="286"/>
      <c r="N704" s="286"/>
      <c r="O704" s="241"/>
      <c r="P704" s="241"/>
      <c r="Q704" s="241"/>
    </row>
    <row r="705" spans="1:17" ht="13.5" customHeight="1" x14ac:dyDescent="0.3">
      <c r="A705"/>
      <c r="B705" s="286"/>
      <c r="C705" s="286"/>
      <c r="D705" s="286"/>
      <c r="E705" s="286"/>
      <c r="F705" s="241"/>
      <c r="G705" s="241"/>
      <c r="H705" s="241"/>
      <c r="I705"/>
      <c r="J705" s="286"/>
      <c r="K705" s="286"/>
      <c r="L705" s="286"/>
      <c r="M705" s="286"/>
      <c r="N705" s="286"/>
      <c r="O705" s="241"/>
      <c r="P705" s="241"/>
      <c r="Q705" s="241"/>
    </row>
    <row r="706" spans="1:17" ht="13.5" customHeight="1" x14ac:dyDescent="0.3">
      <c r="A706"/>
      <c r="B706" s="286"/>
      <c r="C706" s="286"/>
      <c r="D706" s="286"/>
      <c r="E706" s="286"/>
      <c r="F706" s="241"/>
      <c r="G706" s="241"/>
      <c r="H706" s="241"/>
      <c r="I706"/>
      <c r="J706" s="286"/>
      <c r="K706" s="286"/>
      <c r="L706" s="286"/>
      <c r="M706" s="286"/>
      <c r="N706" s="286"/>
      <c r="O706" s="241"/>
      <c r="P706" s="241"/>
      <c r="Q706" s="241"/>
    </row>
    <row r="707" spans="1:17" ht="13.5" customHeight="1" x14ac:dyDescent="0.3">
      <c r="A707"/>
      <c r="B707" s="286"/>
      <c r="C707" s="286"/>
      <c r="D707" s="286"/>
      <c r="E707" s="286"/>
      <c r="F707" s="241"/>
      <c r="G707" s="241"/>
      <c r="H707" s="241"/>
      <c r="I707"/>
      <c r="J707" s="286"/>
      <c r="K707" s="286"/>
      <c r="L707" s="286"/>
      <c r="M707" s="286"/>
      <c r="N707" s="286"/>
      <c r="O707" s="241"/>
      <c r="P707" s="241"/>
      <c r="Q707" s="241"/>
    </row>
    <row r="708" spans="1:17" ht="13.5" customHeight="1" x14ac:dyDescent="0.3">
      <c r="A708"/>
      <c r="B708" s="286"/>
      <c r="C708" s="286"/>
      <c r="D708" s="286"/>
      <c r="E708" s="286"/>
      <c r="F708" s="241"/>
      <c r="G708" s="241"/>
      <c r="H708" s="241"/>
      <c r="I708"/>
      <c r="J708" s="286"/>
      <c r="K708" s="286"/>
      <c r="L708" s="286"/>
      <c r="M708" s="286"/>
      <c r="N708" s="286"/>
      <c r="O708" s="241"/>
      <c r="P708" s="241"/>
      <c r="Q708" s="241"/>
    </row>
    <row r="709" spans="1:17" ht="13.5" customHeight="1" x14ac:dyDescent="0.3">
      <c r="A709"/>
      <c r="B709" s="286"/>
      <c r="C709" s="286"/>
      <c r="D709" s="286"/>
      <c r="E709" s="286"/>
      <c r="F709" s="241"/>
      <c r="G709" s="241"/>
      <c r="H709" s="241"/>
      <c r="I709"/>
      <c r="J709" s="286"/>
      <c r="K709" s="286"/>
      <c r="L709" s="286"/>
      <c r="M709" s="286"/>
      <c r="N709" s="286"/>
      <c r="O709" s="241"/>
      <c r="P709" s="241"/>
      <c r="Q709" s="241"/>
    </row>
    <row r="710" spans="1:17" ht="13.5" customHeight="1" x14ac:dyDescent="0.3">
      <c r="A710"/>
      <c r="B710" s="286"/>
      <c r="C710" s="286"/>
      <c r="D710" s="286"/>
      <c r="E710" s="286"/>
      <c r="F710" s="241"/>
      <c r="G710" s="241"/>
      <c r="H710" s="241"/>
      <c r="I710"/>
      <c r="J710" s="286"/>
      <c r="K710" s="286"/>
      <c r="L710" s="286"/>
      <c r="M710" s="286"/>
      <c r="N710" s="286"/>
      <c r="O710" s="241"/>
      <c r="P710" s="241"/>
      <c r="Q710" s="241"/>
    </row>
    <row r="711" spans="1:17" ht="13.5" customHeight="1" x14ac:dyDescent="0.3">
      <c r="A711"/>
      <c r="B711" s="286"/>
      <c r="C711" s="286"/>
      <c r="D711" s="286"/>
      <c r="E711" s="286"/>
      <c r="F711" s="241"/>
      <c r="G711" s="241"/>
      <c r="H711" s="241"/>
      <c r="I711"/>
      <c r="J711" s="286"/>
      <c r="K711" s="286"/>
      <c r="L711" s="286"/>
      <c r="M711" s="286"/>
      <c r="N711" s="286"/>
      <c r="O711" s="241"/>
      <c r="P711" s="241"/>
      <c r="Q711" s="241"/>
    </row>
    <row r="712" spans="1:17" ht="13.5" customHeight="1" x14ac:dyDescent="0.3">
      <c r="A712"/>
      <c r="B712" s="286"/>
      <c r="C712" s="286"/>
      <c r="D712" s="286"/>
      <c r="E712" s="286"/>
      <c r="F712" s="241"/>
      <c r="G712" s="241"/>
      <c r="H712" s="241"/>
      <c r="I712"/>
      <c r="J712" s="286"/>
      <c r="K712" s="286"/>
      <c r="L712" s="286"/>
      <c r="M712" s="286"/>
      <c r="N712" s="286"/>
      <c r="O712" s="241"/>
      <c r="P712" s="241"/>
      <c r="Q712" s="241"/>
    </row>
    <row r="713" spans="1:17" ht="13.5" customHeight="1" x14ac:dyDescent="0.3">
      <c r="A713"/>
      <c r="B713" s="286"/>
      <c r="C713" s="286"/>
      <c r="D713" s="286"/>
      <c r="E713" s="286"/>
      <c r="F713" s="241"/>
      <c r="G713" s="241"/>
      <c r="H713" s="241"/>
      <c r="I713"/>
      <c r="J713" s="286"/>
      <c r="K713" s="286"/>
      <c r="L713" s="286"/>
      <c r="M713" s="286"/>
      <c r="N713" s="286"/>
      <c r="O713" s="241"/>
      <c r="P713" s="241"/>
      <c r="Q713" s="241"/>
    </row>
    <row r="714" spans="1:17" ht="13.5" customHeight="1" x14ac:dyDescent="0.3">
      <c r="A714"/>
      <c r="B714" s="286"/>
      <c r="C714" s="286"/>
      <c r="D714" s="286"/>
      <c r="E714" s="286"/>
      <c r="F714" s="241"/>
      <c r="G714" s="241"/>
      <c r="H714" s="241"/>
      <c r="I714"/>
      <c r="J714" s="286"/>
      <c r="K714" s="286"/>
      <c r="L714" s="286"/>
      <c r="M714" s="286"/>
      <c r="N714" s="286"/>
      <c r="O714" s="241"/>
      <c r="P714" s="241"/>
      <c r="Q714" s="241"/>
    </row>
    <row r="715" spans="1:17" ht="13.5" customHeight="1" x14ac:dyDescent="0.3">
      <c r="A715"/>
      <c r="B715" s="286"/>
      <c r="C715" s="286"/>
      <c r="D715" s="286"/>
      <c r="E715" s="286"/>
      <c r="F715" s="241"/>
      <c r="G715" s="241"/>
      <c r="H715" s="241"/>
      <c r="I715"/>
      <c r="J715" s="286"/>
      <c r="K715" s="286"/>
      <c r="L715" s="286"/>
      <c r="M715" s="286"/>
      <c r="N715" s="286"/>
      <c r="O715" s="241"/>
      <c r="P715" s="241"/>
      <c r="Q715" s="241"/>
    </row>
    <row r="716" spans="1:17" ht="13.5" customHeight="1" x14ac:dyDescent="0.3">
      <c r="A716"/>
      <c r="B716" s="286"/>
      <c r="C716" s="286"/>
      <c r="D716" s="286"/>
      <c r="E716" s="286"/>
      <c r="F716" s="241"/>
      <c r="G716" s="241"/>
      <c r="H716" s="241"/>
      <c r="I716"/>
      <c r="J716" s="286"/>
      <c r="K716" s="286"/>
      <c r="L716" s="286"/>
      <c r="M716" s="286"/>
      <c r="N716" s="286"/>
      <c r="O716" s="241"/>
      <c r="P716" s="241"/>
      <c r="Q716" s="241"/>
    </row>
    <row r="717" spans="1:17" ht="13.5" customHeight="1" x14ac:dyDescent="0.3">
      <c r="A717"/>
      <c r="B717" s="286"/>
      <c r="C717" s="286"/>
      <c r="D717" s="286"/>
      <c r="E717" s="286"/>
      <c r="F717" s="241"/>
      <c r="G717" s="241"/>
      <c r="H717" s="241"/>
      <c r="I717"/>
      <c r="J717" s="286"/>
      <c r="K717" s="286"/>
      <c r="L717" s="286"/>
      <c r="M717" s="286"/>
      <c r="N717" s="286"/>
      <c r="O717" s="241"/>
      <c r="P717" s="241"/>
      <c r="Q717" s="241"/>
    </row>
    <row r="718" spans="1:17" ht="13.5" customHeight="1" x14ac:dyDescent="0.3">
      <c r="A718"/>
      <c r="B718" s="286"/>
      <c r="C718" s="286"/>
      <c r="D718" s="286"/>
      <c r="E718" s="286"/>
      <c r="F718" s="241"/>
      <c r="G718" s="241"/>
      <c r="H718" s="241"/>
      <c r="I718"/>
      <c r="J718" s="286"/>
      <c r="K718" s="286"/>
      <c r="L718" s="286"/>
      <c r="M718" s="286"/>
      <c r="N718" s="286"/>
      <c r="O718" s="241"/>
      <c r="P718" s="241"/>
      <c r="Q718" s="241"/>
    </row>
    <row r="719" spans="1:17" ht="13.5" customHeight="1" x14ac:dyDescent="0.3">
      <c r="A719"/>
      <c r="B719" s="286"/>
      <c r="C719" s="286"/>
      <c r="D719" s="286"/>
      <c r="E719" s="286"/>
      <c r="F719" s="241"/>
      <c r="G719" s="241"/>
      <c r="H719" s="241"/>
      <c r="I719"/>
      <c r="J719" s="286"/>
      <c r="K719" s="286"/>
      <c r="L719" s="286"/>
      <c r="M719" s="286"/>
      <c r="N719" s="286"/>
      <c r="O719" s="241"/>
      <c r="P719" s="241"/>
      <c r="Q719" s="241"/>
    </row>
    <row r="720" spans="1:17" ht="13.5" customHeight="1" x14ac:dyDescent="0.3">
      <c r="A720"/>
      <c r="B720" s="286"/>
      <c r="C720" s="286"/>
      <c r="D720" s="286"/>
      <c r="E720" s="286"/>
      <c r="F720" s="241"/>
      <c r="G720" s="241"/>
      <c r="H720" s="241"/>
      <c r="I720"/>
      <c r="J720" s="286"/>
      <c r="K720" s="286"/>
      <c r="L720" s="286"/>
      <c r="M720" s="286"/>
      <c r="N720" s="286"/>
      <c r="O720" s="241"/>
      <c r="P720" s="241"/>
      <c r="Q720" s="241"/>
    </row>
    <row r="721" spans="1:17" ht="13.5" customHeight="1" x14ac:dyDescent="0.3">
      <c r="A721"/>
      <c r="B721" s="286"/>
      <c r="C721" s="286"/>
      <c r="D721" s="286"/>
      <c r="E721" s="286"/>
      <c r="F721" s="241"/>
      <c r="G721" s="241"/>
      <c r="H721" s="241"/>
      <c r="I721"/>
      <c r="J721" s="286"/>
      <c r="K721" s="286"/>
      <c r="L721" s="286"/>
      <c r="M721" s="286"/>
      <c r="N721" s="286"/>
      <c r="O721" s="241"/>
      <c r="P721" s="241"/>
      <c r="Q721" s="241"/>
    </row>
    <row r="722" spans="1:17" ht="13.5" customHeight="1" x14ac:dyDescent="0.3">
      <c r="A722"/>
      <c r="B722" s="286"/>
      <c r="C722" s="286"/>
      <c r="D722" s="286"/>
      <c r="E722" s="286"/>
      <c r="F722" s="241"/>
      <c r="G722" s="241"/>
      <c r="H722" s="241"/>
      <c r="I722"/>
      <c r="J722" s="286"/>
      <c r="K722" s="286"/>
      <c r="L722" s="286"/>
      <c r="M722" s="286"/>
      <c r="N722" s="286"/>
      <c r="O722" s="241"/>
      <c r="P722" s="241"/>
      <c r="Q722" s="241"/>
    </row>
    <row r="723" spans="1:17" ht="13.5" customHeight="1" x14ac:dyDescent="0.3">
      <c r="A723"/>
      <c r="B723" s="286"/>
      <c r="C723" s="286"/>
      <c r="D723" s="286"/>
      <c r="E723" s="286"/>
      <c r="F723" s="241"/>
      <c r="G723" s="241"/>
      <c r="H723" s="241"/>
      <c r="I723"/>
      <c r="J723" s="286"/>
      <c r="K723" s="286"/>
      <c r="L723" s="286"/>
      <c r="M723" s="286"/>
      <c r="N723" s="286"/>
      <c r="O723" s="241"/>
      <c r="P723" s="241"/>
      <c r="Q723" s="241"/>
    </row>
    <row r="724" spans="1:17" ht="13.5" customHeight="1" x14ac:dyDescent="0.3">
      <c r="A724"/>
      <c r="B724" s="286"/>
      <c r="C724" s="286"/>
      <c r="D724" s="286"/>
      <c r="E724" s="286"/>
      <c r="F724" s="241"/>
      <c r="G724" s="241"/>
      <c r="H724" s="241"/>
      <c r="I724"/>
      <c r="J724" s="286"/>
      <c r="K724" s="286"/>
      <c r="L724" s="286"/>
      <c r="M724" s="286"/>
      <c r="N724" s="286"/>
      <c r="O724" s="241"/>
      <c r="P724" s="241"/>
      <c r="Q724" s="241"/>
    </row>
    <row r="725" spans="1:17" ht="13.5" customHeight="1" x14ac:dyDescent="0.3">
      <c r="A725"/>
      <c r="B725" s="286"/>
      <c r="C725" s="286"/>
      <c r="D725" s="286"/>
      <c r="E725" s="286"/>
      <c r="F725" s="241"/>
      <c r="G725" s="241"/>
      <c r="H725" s="241"/>
      <c r="I725"/>
      <c r="J725" s="286"/>
      <c r="K725" s="286"/>
      <c r="L725" s="286"/>
      <c r="M725" s="286"/>
      <c r="N725" s="286"/>
      <c r="O725" s="241"/>
      <c r="P725" s="241"/>
      <c r="Q725" s="241"/>
    </row>
    <row r="726" spans="1:17" ht="13.5" customHeight="1" x14ac:dyDescent="0.3">
      <c r="A726"/>
      <c r="B726" s="286"/>
      <c r="C726" s="286"/>
      <c r="D726" s="286"/>
      <c r="E726" s="286"/>
      <c r="F726" s="241"/>
      <c r="G726" s="241"/>
      <c r="H726" s="241"/>
      <c r="I726"/>
      <c r="J726" s="286"/>
      <c r="K726" s="286"/>
      <c r="L726" s="286"/>
      <c r="M726" s="286"/>
      <c r="N726" s="286"/>
      <c r="O726" s="241"/>
      <c r="P726" s="241"/>
      <c r="Q726" s="241"/>
    </row>
    <row r="727" spans="1:17" ht="13.5" customHeight="1" x14ac:dyDescent="0.3">
      <c r="A727"/>
      <c r="B727" s="286"/>
      <c r="C727" s="286"/>
      <c r="D727" s="286"/>
      <c r="E727" s="286"/>
      <c r="F727" s="241"/>
      <c r="G727" s="241"/>
      <c r="H727" s="241"/>
      <c r="I727"/>
      <c r="J727" s="286"/>
      <c r="K727" s="286"/>
      <c r="L727" s="286"/>
      <c r="M727" s="286"/>
      <c r="N727" s="286"/>
      <c r="O727" s="241"/>
      <c r="P727" s="241"/>
      <c r="Q727" s="241"/>
    </row>
    <row r="728" spans="1:17" ht="13.5" customHeight="1" x14ac:dyDescent="0.3">
      <c r="A728"/>
      <c r="B728" s="286"/>
      <c r="C728" s="286"/>
      <c r="D728" s="286"/>
      <c r="E728" s="286"/>
      <c r="F728" s="241"/>
      <c r="G728" s="241"/>
      <c r="H728" s="241"/>
      <c r="I728"/>
      <c r="J728" s="286"/>
      <c r="K728" s="286"/>
      <c r="L728" s="286"/>
      <c r="M728" s="286"/>
      <c r="N728" s="286"/>
      <c r="O728" s="241"/>
      <c r="P728" s="241"/>
      <c r="Q728" s="241"/>
    </row>
    <row r="729" spans="1:17" ht="13.5" customHeight="1" x14ac:dyDescent="0.3">
      <c r="A729"/>
      <c r="B729" s="286"/>
      <c r="C729" s="286"/>
      <c r="D729" s="286"/>
      <c r="E729" s="286"/>
      <c r="F729" s="241"/>
      <c r="G729" s="241"/>
      <c r="H729" s="241"/>
      <c r="I729"/>
      <c r="J729" s="286"/>
      <c r="K729" s="286"/>
      <c r="L729" s="286"/>
      <c r="M729" s="286"/>
      <c r="N729" s="286"/>
      <c r="O729" s="241"/>
      <c r="P729" s="241"/>
      <c r="Q729" s="241"/>
    </row>
    <row r="730" spans="1:17" ht="13.5" customHeight="1" x14ac:dyDescent="0.3">
      <c r="A730"/>
      <c r="B730" s="286"/>
      <c r="C730" s="286"/>
      <c r="D730" s="286"/>
      <c r="E730" s="286"/>
      <c r="F730" s="241"/>
      <c r="G730" s="241"/>
      <c r="H730" s="241"/>
      <c r="I730"/>
      <c r="J730" s="286"/>
      <c r="K730" s="286"/>
      <c r="L730" s="286"/>
      <c r="M730" s="286"/>
      <c r="N730" s="286"/>
      <c r="O730" s="241"/>
      <c r="P730" s="241"/>
      <c r="Q730" s="241"/>
    </row>
    <row r="731" spans="1:17" ht="13.5" customHeight="1" x14ac:dyDescent="0.3">
      <c r="A731"/>
      <c r="B731" s="286"/>
      <c r="C731" s="286"/>
      <c r="D731" s="286"/>
      <c r="E731" s="286"/>
      <c r="F731" s="241"/>
      <c r="G731" s="241"/>
      <c r="H731" s="241"/>
      <c r="I731"/>
      <c r="J731" s="286"/>
      <c r="K731" s="286"/>
      <c r="L731" s="286"/>
      <c r="M731" s="286"/>
      <c r="N731" s="286"/>
      <c r="O731" s="241"/>
      <c r="P731" s="241"/>
      <c r="Q731" s="241"/>
    </row>
    <row r="732" spans="1:17" ht="13.5" customHeight="1" x14ac:dyDescent="0.3">
      <c r="A732"/>
      <c r="B732" s="286"/>
      <c r="C732" s="286"/>
      <c r="D732" s="286"/>
      <c r="E732" s="286"/>
      <c r="F732" s="241"/>
      <c r="G732" s="241"/>
      <c r="H732" s="241"/>
      <c r="I732"/>
      <c r="J732" s="286"/>
      <c r="K732" s="286"/>
      <c r="L732" s="286"/>
      <c r="M732" s="286"/>
      <c r="N732" s="286"/>
      <c r="O732" s="241"/>
      <c r="P732" s="241"/>
      <c r="Q732" s="241"/>
    </row>
    <row r="733" spans="1:17" ht="13.5" customHeight="1" x14ac:dyDescent="0.3">
      <c r="A733"/>
      <c r="B733" s="286"/>
      <c r="C733" s="286"/>
      <c r="D733" s="286"/>
      <c r="E733" s="286"/>
      <c r="F733" s="241"/>
      <c r="G733" s="241"/>
      <c r="H733" s="241"/>
      <c r="I733"/>
      <c r="J733" s="286"/>
      <c r="K733" s="286"/>
      <c r="L733" s="286"/>
      <c r="M733" s="286"/>
      <c r="N733" s="286"/>
      <c r="O733" s="241"/>
      <c r="P733" s="241"/>
      <c r="Q733" s="241"/>
    </row>
    <row r="734" spans="1:17" ht="13.5" customHeight="1" x14ac:dyDescent="0.3">
      <c r="A734"/>
      <c r="B734" s="286"/>
      <c r="C734" s="286"/>
      <c r="D734" s="286"/>
      <c r="E734" s="286"/>
      <c r="F734" s="241"/>
      <c r="G734" s="241"/>
      <c r="H734" s="241"/>
      <c r="I734"/>
      <c r="J734" s="286"/>
      <c r="K734" s="286"/>
      <c r="L734" s="286"/>
      <c r="M734" s="286"/>
      <c r="N734" s="286"/>
      <c r="O734" s="241"/>
      <c r="P734" s="241"/>
      <c r="Q734" s="241"/>
    </row>
    <row r="735" spans="1:17" ht="13.5" customHeight="1" x14ac:dyDescent="0.3">
      <c r="A735"/>
      <c r="B735" s="286"/>
      <c r="C735" s="286"/>
      <c r="D735" s="286"/>
      <c r="E735" s="286"/>
      <c r="F735" s="241"/>
      <c r="G735" s="241"/>
      <c r="H735" s="241"/>
      <c r="I735"/>
      <c r="J735" s="286"/>
      <c r="K735" s="286"/>
      <c r="L735" s="286"/>
      <c r="M735" s="286"/>
      <c r="N735" s="286"/>
      <c r="O735" s="241"/>
      <c r="P735" s="241"/>
      <c r="Q735" s="241"/>
    </row>
    <row r="736" spans="1:17" ht="13.5" customHeight="1" x14ac:dyDescent="0.3">
      <c r="A736"/>
      <c r="B736" s="286"/>
      <c r="C736" s="286"/>
      <c r="D736" s="286"/>
      <c r="E736" s="286"/>
      <c r="F736" s="241"/>
      <c r="G736" s="241"/>
      <c r="H736" s="241"/>
      <c r="I736"/>
      <c r="J736" s="286"/>
      <c r="K736" s="286"/>
      <c r="L736" s="286"/>
      <c r="M736" s="286"/>
      <c r="N736" s="286"/>
      <c r="O736" s="241"/>
      <c r="P736" s="241"/>
      <c r="Q736" s="241"/>
    </row>
    <row r="737" spans="1:17" ht="13.5" customHeight="1" x14ac:dyDescent="0.3">
      <c r="A737"/>
      <c r="B737" s="286"/>
      <c r="C737" s="286"/>
      <c r="D737" s="286"/>
      <c r="E737" s="286"/>
      <c r="F737" s="241"/>
      <c r="G737" s="241"/>
      <c r="H737" s="241"/>
      <c r="I737"/>
      <c r="J737" s="286"/>
      <c r="K737" s="286"/>
      <c r="L737" s="286"/>
      <c r="M737" s="286"/>
      <c r="N737" s="286"/>
      <c r="O737" s="241"/>
      <c r="P737" s="241"/>
      <c r="Q737" s="241"/>
    </row>
    <row r="738" spans="1:17" ht="13.5" customHeight="1" x14ac:dyDescent="0.3">
      <c r="A738"/>
      <c r="B738" s="286"/>
      <c r="C738" s="286"/>
      <c r="D738" s="286"/>
      <c r="E738" s="286"/>
      <c r="F738" s="241"/>
      <c r="G738" s="241"/>
      <c r="H738" s="241"/>
      <c r="I738"/>
      <c r="J738" s="286"/>
      <c r="K738" s="286"/>
      <c r="L738" s="286"/>
      <c r="M738" s="286"/>
      <c r="N738" s="286"/>
      <c r="O738" s="241"/>
      <c r="P738" s="241"/>
      <c r="Q738" s="241"/>
    </row>
    <row r="739" spans="1:17" ht="13.5" customHeight="1" x14ac:dyDescent="0.3">
      <c r="A739"/>
      <c r="B739" s="286"/>
      <c r="C739" s="286"/>
      <c r="D739" s="286"/>
      <c r="E739" s="286"/>
      <c r="F739" s="241"/>
      <c r="G739" s="241"/>
      <c r="H739" s="241"/>
      <c r="I739"/>
      <c r="J739" s="286"/>
      <c r="K739" s="286"/>
      <c r="L739" s="286"/>
      <c r="M739" s="286"/>
      <c r="N739" s="286"/>
      <c r="O739" s="241"/>
      <c r="P739" s="241"/>
      <c r="Q739" s="241"/>
    </row>
    <row r="740" spans="1:17" ht="13.5" customHeight="1" x14ac:dyDescent="0.3">
      <c r="A740"/>
      <c r="B740" s="286"/>
      <c r="C740" s="286"/>
      <c r="D740" s="286"/>
      <c r="E740" s="286"/>
      <c r="F740" s="241"/>
      <c r="G740" s="241"/>
      <c r="H740" s="241"/>
      <c r="I740"/>
      <c r="J740" s="286"/>
      <c r="K740" s="286"/>
      <c r="L740" s="286"/>
      <c r="M740" s="286"/>
      <c r="N740" s="286"/>
      <c r="O740" s="241"/>
      <c r="P740" s="241"/>
      <c r="Q740" s="241"/>
    </row>
    <row r="741" spans="1:17" ht="13.5" customHeight="1" x14ac:dyDescent="0.3">
      <c r="A741"/>
      <c r="B741" s="286"/>
      <c r="C741" s="286"/>
      <c r="D741" s="286"/>
      <c r="E741" s="286"/>
      <c r="F741" s="241"/>
      <c r="G741" s="241"/>
      <c r="H741" s="241"/>
      <c r="I741"/>
      <c r="J741" s="286"/>
      <c r="K741" s="286"/>
      <c r="L741" s="286"/>
      <c r="M741" s="286"/>
      <c r="N741" s="286"/>
      <c r="O741" s="241"/>
      <c r="P741" s="241"/>
      <c r="Q741" s="241"/>
    </row>
    <row r="742" spans="1:17" ht="13.5" customHeight="1" x14ac:dyDescent="0.3">
      <c r="A742"/>
      <c r="B742" s="286"/>
      <c r="C742" s="286"/>
      <c r="D742" s="286"/>
      <c r="E742" s="286"/>
      <c r="F742" s="241"/>
      <c r="G742" s="241"/>
      <c r="H742" s="241"/>
      <c r="I742"/>
      <c r="J742" s="286"/>
      <c r="K742" s="286"/>
      <c r="L742" s="286"/>
      <c r="M742" s="286"/>
      <c r="N742" s="286"/>
      <c r="O742" s="241"/>
      <c r="P742" s="241"/>
      <c r="Q742" s="241"/>
    </row>
    <row r="743" spans="1:17" ht="13.5" customHeight="1" x14ac:dyDescent="0.3">
      <c r="A743"/>
      <c r="B743" s="286"/>
      <c r="C743" s="286"/>
      <c r="D743" s="286"/>
      <c r="E743" s="286"/>
      <c r="F743" s="241"/>
      <c r="G743" s="241"/>
      <c r="H743" s="241"/>
      <c r="I743"/>
      <c r="J743" s="286"/>
      <c r="K743" s="286"/>
      <c r="L743" s="286"/>
      <c r="M743" s="286"/>
      <c r="N743" s="286"/>
      <c r="O743" s="241"/>
      <c r="P743" s="241"/>
      <c r="Q743" s="241"/>
    </row>
    <row r="744" spans="1:17" ht="13.5" customHeight="1" x14ac:dyDescent="0.3">
      <c r="A744"/>
      <c r="B744" s="286"/>
      <c r="C744" s="286"/>
      <c r="D744" s="286"/>
      <c r="E744" s="286"/>
      <c r="F744" s="241"/>
      <c r="G744" s="241"/>
      <c r="H744" s="241"/>
      <c r="I744"/>
      <c r="J744" s="286"/>
      <c r="K744" s="286"/>
      <c r="L744" s="286"/>
      <c r="M744" s="286"/>
      <c r="N744" s="286"/>
      <c r="O744" s="241"/>
      <c r="P744" s="241"/>
      <c r="Q744" s="241"/>
    </row>
    <row r="745" spans="1:17" ht="13.5" customHeight="1" x14ac:dyDescent="0.3">
      <c r="A745"/>
      <c r="B745" s="286"/>
      <c r="C745" s="286"/>
      <c r="D745" s="286"/>
      <c r="E745" s="286"/>
      <c r="F745" s="241"/>
      <c r="G745" s="241"/>
      <c r="H745" s="241"/>
      <c r="I745"/>
      <c r="J745" s="286"/>
      <c r="K745" s="286"/>
      <c r="L745" s="286"/>
      <c r="M745" s="286"/>
      <c r="N745" s="286"/>
      <c r="O745" s="241"/>
      <c r="P745" s="241"/>
      <c r="Q745" s="241"/>
    </row>
    <row r="746" spans="1:17" ht="13.5" customHeight="1" x14ac:dyDescent="0.3">
      <c r="A746"/>
      <c r="B746" s="286"/>
      <c r="C746" s="286"/>
      <c r="D746" s="286"/>
      <c r="E746" s="286"/>
      <c r="F746" s="241"/>
      <c r="G746" s="241"/>
      <c r="H746" s="241"/>
      <c r="I746"/>
      <c r="J746" s="286"/>
      <c r="K746" s="286"/>
      <c r="L746" s="286"/>
      <c r="M746" s="286"/>
      <c r="N746" s="286"/>
      <c r="O746" s="241"/>
      <c r="P746" s="241"/>
      <c r="Q746" s="241"/>
    </row>
    <row r="747" spans="1:17" ht="13.5" customHeight="1" x14ac:dyDescent="0.3">
      <c r="A747"/>
      <c r="B747" s="286"/>
      <c r="C747" s="286"/>
      <c r="D747" s="286"/>
      <c r="E747" s="286"/>
      <c r="F747" s="241"/>
      <c r="G747" s="241"/>
      <c r="H747" s="241"/>
      <c r="I747"/>
      <c r="J747" s="286"/>
      <c r="K747" s="286"/>
      <c r="L747" s="286"/>
      <c r="M747" s="286"/>
      <c r="N747" s="286"/>
      <c r="O747" s="241"/>
      <c r="P747" s="241"/>
      <c r="Q747" s="241"/>
    </row>
    <row r="748" spans="1:17" ht="13.5" customHeight="1" x14ac:dyDescent="0.3">
      <c r="A748"/>
      <c r="B748" s="286"/>
      <c r="C748" s="286"/>
      <c r="D748" s="286"/>
      <c r="E748" s="286"/>
      <c r="F748" s="241"/>
      <c r="G748" s="241"/>
      <c r="H748" s="241"/>
      <c r="I748"/>
      <c r="J748" s="286"/>
      <c r="K748" s="286"/>
      <c r="L748" s="286"/>
      <c r="M748" s="286"/>
      <c r="N748" s="286"/>
      <c r="O748" s="241"/>
      <c r="P748" s="241"/>
      <c r="Q748" s="241"/>
    </row>
    <row r="749" spans="1:17" ht="13.5" customHeight="1" x14ac:dyDescent="0.3">
      <c r="A749"/>
      <c r="B749" s="286"/>
      <c r="C749" s="286"/>
      <c r="D749" s="286"/>
      <c r="E749" s="286"/>
      <c r="F749" s="241"/>
      <c r="G749" s="241"/>
      <c r="H749" s="241"/>
      <c r="I749"/>
      <c r="J749" s="286"/>
      <c r="K749" s="286"/>
      <c r="L749" s="286"/>
      <c r="M749" s="286"/>
      <c r="N749" s="286"/>
      <c r="O749" s="241"/>
      <c r="P749" s="241"/>
      <c r="Q749" s="241"/>
    </row>
    <row r="750" spans="1:17" ht="13.5" customHeight="1" x14ac:dyDescent="0.3">
      <c r="A750"/>
      <c r="B750" s="286"/>
      <c r="C750" s="286"/>
      <c r="D750" s="286"/>
      <c r="E750" s="286"/>
      <c r="F750" s="241"/>
      <c r="G750" s="241"/>
      <c r="H750" s="241"/>
      <c r="I750"/>
      <c r="J750" s="286"/>
      <c r="K750" s="286"/>
      <c r="L750" s="286"/>
      <c r="M750" s="286"/>
      <c r="N750" s="286"/>
      <c r="O750" s="241"/>
      <c r="P750" s="241"/>
      <c r="Q750" s="241"/>
    </row>
    <row r="751" spans="1:17" ht="13.5" customHeight="1" x14ac:dyDescent="0.3">
      <c r="A751"/>
      <c r="B751" s="286"/>
      <c r="C751" s="286"/>
      <c r="D751" s="286"/>
      <c r="E751" s="286"/>
      <c r="F751" s="241"/>
      <c r="G751" s="241"/>
      <c r="H751" s="241"/>
      <c r="I751"/>
      <c r="J751" s="286"/>
      <c r="K751" s="286"/>
      <c r="L751" s="286"/>
      <c r="M751" s="286"/>
      <c r="N751" s="286"/>
      <c r="O751" s="241"/>
      <c r="P751" s="241"/>
      <c r="Q751" s="241"/>
    </row>
    <row r="752" spans="1:17" ht="13.5" customHeight="1" x14ac:dyDescent="0.3">
      <c r="A752"/>
      <c r="B752" s="286"/>
      <c r="C752" s="286"/>
      <c r="D752" s="286"/>
      <c r="E752" s="286"/>
      <c r="F752" s="241"/>
      <c r="G752" s="241"/>
      <c r="H752" s="241"/>
      <c r="I752"/>
      <c r="J752" s="286"/>
      <c r="K752" s="286"/>
      <c r="L752" s="286"/>
      <c r="M752" s="286"/>
      <c r="N752" s="286"/>
      <c r="O752" s="241"/>
      <c r="P752" s="241"/>
      <c r="Q752" s="241"/>
    </row>
    <row r="753" spans="1:17" ht="13.5" customHeight="1" x14ac:dyDescent="0.3">
      <c r="A753"/>
      <c r="B753" s="286"/>
      <c r="C753" s="286"/>
      <c r="D753" s="286"/>
      <c r="E753" s="286"/>
      <c r="F753" s="241"/>
      <c r="G753" s="241"/>
      <c r="H753" s="241"/>
      <c r="I753"/>
      <c r="J753" s="286"/>
      <c r="K753" s="286"/>
      <c r="L753" s="286"/>
      <c r="M753" s="286"/>
      <c r="N753" s="286"/>
      <c r="O753" s="241"/>
      <c r="P753" s="241"/>
      <c r="Q753" s="241"/>
    </row>
    <row r="754" spans="1:17" ht="13.5" customHeight="1" x14ac:dyDescent="0.3">
      <c r="A754"/>
      <c r="B754" s="286"/>
      <c r="C754" s="286"/>
      <c r="D754" s="286"/>
      <c r="E754" s="286"/>
      <c r="F754" s="241"/>
      <c r="G754" s="241"/>
      <c r="H754" s="241"/>
      <c r="I754"/>
      <c r="J754" s="286"/>
      <c r="K754" s="286"/>
      <c r="L754" s="286"/>
      <c r="M754" s="286"/>
      <c r="N754" s="286"/>
      <c r="O754" s="241"/>
      <c r="P754" s="241"/>
      <c r="Q754" s="241"/>
    </row>
    <row r="755" spans="1:17" ht="13.5" customHeight="1" x14ac:dyDescent="0.3">
      <c r="A755"/>
      <c r="B755" s="286"/>
      <c r="C755" s="286"/>
      <c r="D755" s="286"/>
      <c r="E755" s="286"/>
      <c r="F755" s="241"/>
      <c r="G755" s="241"/>
      <c r="H755" s="241"/>
      <c r="I755"/>
      <c r="J755" s="286"/>
      <c r="K755" s="286"/>
      <c r="L755" s="286"/>
      <c r="M755" s="286"/>
      <c r="N755" s="286"/>
      <c r="O755" s="241"/>
      <c r="P755" s="241"/>
      <c r="Q755" s="241"/>
    </row>
    <row r="756" spans="1:17" ht="13.5" customHeight="1" x14ac:dyDescent="0.3">
      <c r="A756"/>
      <c r="B756" s="286"/>
      <c r="C756" s="286"/>
      <c r="D756" s="286"/>
      <c r="E756" s="286"/>
      <c r="F756" s="241"/>
      <c r="G756" s="241"/>
      <c r="H756" s="241"/>
      <c r="I756"/>
      <c r="J756" s="286"/>
      <c r="K756" s="286"/>
      <c r="L756" s="286"/>
      <c r="M756" s="286"/>
      <c r="N756" s="286"/>
      <c r="O756" s="241"/>
      <c r="P756" s="241"/>
      <c r="Q756" s="241"/>
    </row>
    <row r="757" spans="1:17" ht="13.5" customHeight="1" x14ac:dyDescent="0.3">
      <c r="A757"/>
      <c r="B757" s="286"/>
      <c r="C757" s="286"/>
      <c r="D757" s="286"/>
      <c r="E757" s="286"/>
      <c r="F757" s="241"/>
      <c r="G757" s="241"/>
      <c r="H757" s="241"/>
      <c r="I757"/>
      <c r="J757" s="286"/>
      <c r="K757" s="286"/>
      <c r="L757" s="286"/>
      <c r="M757" s="286"/>
      <c r="N757" s="286"/>
      <c r="O757" s="241"/>
      <c r="P757" s="241"/>
      <c r="Q757" s="241"/>
    </row>
    <row r="758" spans="1:17" ht="13.5" customHeight="1" x14ac:dyDescent="0.3">
      <c r="A758"/>
      <c r="B758" s="286"/>
      <c r="C758" s="286"/>
      <c r="D758" s="286"/>
      <c r="E758" s="286"/>
      <c r="F758" s="241"/>
      <c r="G758" s="241"/>
      <c r="H758" s="241"/>
      <c r="I758"/>
      <c r="J758" s="286"/>
      <c r="K758" s="286"/>
      <c r="L758" s="286"/>
      <c r="M758" s="286"/>
      <c r="N758" s="286"/>
      <c r="O758" s="241"/>
      <c r="P758" s="241"/>
      <c r="Q758" s="241"/>
    </row>
    <row r="759" spans="1:17" ht="13.5" customHeight="1" x14ac:dyDescent="0.3">
      <c r="A759"/>
      <c r="B759" s="286"/>
      <c r="C759" s="286"/>
      <c r="D759" s="286"/>
      <c r="E759" s="286"/>
      <c r="F759" s="241"/>
      <c r="G759" s="241"/>
      <c r="H759" s="241"/>
      <c r="I759"/>
      <c r="J759" s="286"/>
      <c r="K759" s="286"/>
      <c r="L759" s="286"/>
      <c r="M759" s="286"/>
      <c r="N759" s="286"/>
      <c r="O759" s="241"/>
      <c r="P759" s="241"/>
      <c r="Q759" s="241"/>
    </row>
    <row r="760" spans="1:17" ht="13.5" customHeight="1" x14ac:dyDescent="0.3">
      <c r="A760"/>
      <c r="B760" s="286"/>
      <c r="C760" s="286"/>
      <c r="D760" s="286"/>
      <c r="E760" s="286"/>
      <c r="F760" s="241"/>
      <c r="G760" s="241"/>
      <c r="H760" s="241"/>
      <c r="I760"/>
      <c r="J760" s="286"/>
      <c r="K760" s="286"/>
      <c r="L760" s="286"/>
      <c r="M760" s="286"/>
      <c r="N760" s="286"/>
      <c r="O760" s="241"/>
      <c r="P760" s="241"/>
      <c r="Q760" s="241"/>
    </row>
    <row r="761" spans="1:17" ht="13.5" customHeight="1" x14ac:dyDescent="0.3">
      <c r="A761"/>
      <c r="B761" s="286"/>
      <c r="C761" s="286"/>
      <c r="D761" s="286"/>
      <c r="E761" s="286"/>
      <c r="F761" s="241"/>
      <c r="G761" s="241"/>
      <c r="H761" s="241"/>
      <c r="I761"/>
      <c r="J761" s="286"/>
      <c r="K761" s="286"/>
      <c r="L761" s="286"/>
      <c r="M761" s="286"/>
      <c r="N761" s="286"/>
      <c r="O761" s="241"/>
      <c r="P761" s="241"/>
      <c r="Q761" s="241"/>
    </row>
    <row r="762" spans="1:17" ht="13.5" customHeight="1" x14ac:dyDescent="0.3">
      <c r="A762"/>
      <c r="B762" s="286"/>
      <c r="C762" s="286"/>
      <c r="D762" s="286"/>
      <c r="E762" s="286"/>
      <c r="F762" s="241"/>
      <c r="G762" s="241"/>
      <c r="H762" s="241"/>
      <c r="I762"/>
      <c r="J762" s="286"/>
      <c r="K762" s="286"/>
      <c r="L762" s="286"/>
      <c r="M762" s="286"/>
      <c r="N762" s="286"/>
      <c r="O762" s="241"/>
      <c r="P762" s="241"/>
      <c r="Q762" s="241"/>
    </row>
    <row r="763" spans="1:17" ht="13.5" customHeight="1" x14ac:dyDescent="0.3">
      <c r="A763"/>
      <c r="B763" s="286"/>
      <c r="C763" s="286"/>
      <c r="D763" s="286"/>
      <c r="E763" s="286"/>
      <c r="F763" s="241"/>
      <c r="G763" s="241"/>
      <c r="H763" s="241"/>
      <c r="I763"/>
      <c r="J763" s="286"/>
      <c r="K763" s="286"/>
      <c r="L763" s="286"/>
      <c r="M763" s="286"/>
      <c r="N763" s="286"/>
      <c r="O763" s="241"/>
      <c r="P763" s="241"/>
      <c r="Q763" s="241"/>
    </row>
    <row r="764" spans="1:17" ht="13.5" customHeight="1" x14ac:dyDescent="0.3">
      <c r="A764"/>
      <c r="B764" s="286"/>
      <c r="C764" s="286"/>
      <c r="D764" s="286"/>
      <c r="E764" s="286"/>
      <c r="F764" s="241"/>
      <c r="G764" s="241"/>
      <c r="H764" s="241"/>
      <c r="I764"/>
      <c r="J764" s="286"/>
      <c r="K764" s="286"/>
      <c r="L764" s="286"/>
      <c r="M764" s="286"/>
      <c r="N764" s="286"/>
      <c r="O764" s="241"/>
      <c r="P764" s="241"/>
      <c r="Q764" s="241"/>
    </row>
    <row r="765" spans="1:17" ht="13.5" customHeight="1" x14ac:dyDescent="0.3">
      <c r="A765"/>
      <c r="B765" s="286"/>
      <c r="C765" s="286"/>
      <c r="D765" s="286"/>
      <c r="E765" s="286"/>
      <c r="F765" s="241"/>
      <c r="G765" s="241"/>
      <c r="H765" s="241"/>
      <c r="I765"/>
      <c r="J765" s="286"/>
      <c r="K765" s="286"/>
      <c r="L765" s="286"/>
      <c r="M765" s="286"/>
      <c r="N765" s="286"/>
      <c r="O765" s="241"/>
      <c r="P765" s="241"/>
      <c r="Q765" s="241"/>
    </row>
    <row r="766" spans="1:17" ht="13.5" customHeight="1" x14ac:dyDescent="0.3">
      <c r="A766"/>
      <c r="B766" s="286"/>
      <c r="C766" s="286"/>
      <c r="D766" s="286"/>
      <c r="E766" s="286"/>
      <c r="F766" s="241"/>
      <c r="G766" s="241"/>
      <c r="H766" s="241"/>
      <c r="I766"/>
      <c r="J766" s="286"/>
      <c r="K766" s="286"/>
      <c r="L766" s="286"/>
      <c r="M766" s="286"/>
      <c r="N766" s="286"/>
      <c r="O766" s="241"/>
      <c r="P766" s="241"/>
      <c r="Q766" s="241"/>
    </row>
    <row r="767" spans="1:17" ht="13.5" customHeight="1" x14ac:dyDescent="0.3">
      <c r="A767"/>
      <c r="B767" s="286"/>
      <c r="C767" s="286"/>
      <c r="D767" s="286"/>
      <c r="E767" s="286"/>
      <c r="F767" s="241"/>
      <c r="G767" s="241"/>
      <c r="H767" s="241"/>
      <c r="I767"/>
      <c r="J767" s="286"/>
      <c r="K767" s="286"/>
      <c r="L767" s="286"/>
      <c r="M767" s="286"/>
      <c r="N767" s="286"/>
      <c r="O767" s="241"/>
      <c r="P767" s="241"/>
      <c r="Q767" s="241"/>
    </row>
    <row r="768" spans="1:17" ht="13.5" customHeight="1" x14ac:dyDescent="0.3">
      <c r="A768"/>
      <c r="B768" s="286"/>
      <c r="C768" s="286"/>
      <c r="D768" s="286"/>
      <c r="E768" s="286"/>
      <c r="F768" s="241"/>
      <c r="G768" s="241"/>
      <c r="H768" s="241"/>
      <c r="I768"/>
      <c r="J768" s="286"/>
      <c r="K768" s="286"/>
      <c r="L768" s="286"/>
      <c r="M768" s="286"/>
      <c r="N768" s="286"/>
      <c r="O768" s="241"/>
      <c r="P768" s="241"/>
      <c r="Q768" s="241"/>
    </row>
    <row r="769" spans="1:17" ht="13.5" customHeight="1" x14ac:dyDescent="0.3">
      <c r="A769"/>
      <c r="B769" s="286"/>
      <c r="C769" s="286"/>
      <c r="D769" s="286"/>
      <c r="E769" s="286"/>
      <c r="F769" s="241"/>
      <c r="G769" s="241"/>
      <c r="H769" s="241"/>
      <c r="I769"/>
      <c r="J769" s="286"/>
      <c r="K769" s="286"/>
      <c r="L769" s="286"/>
      <c r="M769" s="286"/>
      <c r="N769" s="286"/>
      <c r="O769" s="241"/>
      <c r="P769" s="241"/>
      <c r="Q769" s="241"/>
    </row>
    <row r="770" spans="1:17" ht="13.5" customHeight="1" x14ac:dyDescent="0.3">
      <c r="A770"/>
      <c r="B770" s="286"/>
      <c r="C770" s="286"/>
      <c r="D770" s="286"/>
      <c r="E770" s="286"/>
      <c r="F770" s="241"/>
      <c r="G770" s="241"/>
      <c r="H770" s="241"/>
      <c r="I770"/>
      <c r="J770" s="286"/>
      <c r="K770" s="286"/>
      <c r="L770" s="286"/>
      <c r="M770" s="286"/>
      <c r="N770" s="286"/>
      <c r="O770" s="241"/>
      <c r="P770" s="241"/>
      <c r="Q770" s="241"/>
    </row>
    <row r="771" spans="1:17" ht="13.5" customHeight="1" x14ac:dyDescent="0.3">
      <c r="A771"/>
      <c r="B771" s="286"/>
      <c r="C771" s="286"/>
      <c r="D771" s="286"/>
      <c r="E771" s="286"/>
      <c r="F771" s="241"/>
      <c r="G771" s="241"/>
      <c r="H771" s="241"/>
      <c r="I771"/>
      <c r="J771" s="286"/>
      <c r="K771" s="286"/>
      <c r="L771" s="286"/>
      <c r="M771" s="286"/>
      <c r="N771" s="286"/>
      <c r="O771" s="241"/>
      <c r="P771" s="241"/>
      <c r="Q771" s="241"/>
    </row>
    <row r="772" spans="1:17" ht="13.5" customHeight="1" x14ac:dyDescent="0.3">
      <c r="A772"/>
      <c r="B772" s="286"/>
      <c r="C772" s="286"/>
      <c r="D772" s="286"/>
      <c r="E772" s="286"/>
      <c r="F772" s="241"/>
      <c r="G772" s="241"/>
      <c r="H772" s="241"/>
      <c r="I772"/>
      <c r="J772" s="286"/>
      <c r="K772" s="286"/>
      <c r="L772" s="286"/>
      <c r="M772" s="286"/>
      <c r="N772" s="286"/>
      <c r="O772" s="241"/>
      <c r="P772" s="241"/>
      <c r="Q772" s="241"/>
    </row>
    <row r="773" spans="1:17" ht="13.5" customHeight="1" x14ac:dyDescent="0.3">
      <c r="A773"/>
      <c r="B773" s="286"/>
      <c r="C773" s="286"/>
      <c r="D773" s="286"/>
      <c r="E773" s="286"/>
      <c r="F773" s="241"/>
      <c r="G773" s="241"/>
      <c r="H773" s="241"/>
      <c r="I773"/>
      <c r="J773" s="286"/>
      <c r="K773" s="286"/>
      <c r="L773" s="286"/>
      <c r="M773" s="286"/>
      <c r="N773" s="286"/>
      <c r="O773" s="241"/>
      <c r="P773" s="241"/>
      <c r="Q773" s="241"/>
    </row>
    <row r="774" spans="1:17" ht="13.5" customHeight="1" x14ac:dyDescent="0.3">
      <c r="A774"/>
      <c r="B774" s="286"/>
      <c r="C774" s="286"/>
      <c r="D774" s="286"/>
      <c r="E774" s="286"/>
      <c r="F774" s="241"/>
      <c r="G774" s="241"/>
      <c r="H774" s="241"/>
      <c r="I774"/>
      <c r="J774" s="286"/>
      <c r="K774" s="286"/>
      <c r="L774" s="286"/>
      <c r="M774" s="286"/>
      <c r="N774" s="286"/>
      <c r="O774" s="241"/>
      <c r="P774" s="241"/>
      <c r="Q774" s="241"/>
    </row>
    <row r="775" spans="1:17" ht="13.5" customHeight="1" x14ac:dyDescent="0.3">
      <c r="A775"/>
      <c r="B775" s="286"/>
      <c r="C775" s="286"/>
      <c r="D775" s="286"/>
      <c r="E775" s="286"/>
      <c r="F775" s="241"/>
      <c r="G775" s="241"/>
      <c r="H775" s="241"/>
      <c r="I775"/>
      <c r="J775" s="286"/>
      <c r="K775" s="286"/>
      <c r="L775" s="286"/>
      <c r="M775" s="286"/>
      <c r="N775" s="286"/>
      <c r="O775" s="241"/>
      <c r="P775" s="241"/>
      <c r="Q775" s="241"/>
    </row>
    <row r="776" spans="1:17" ht="13.5" customHeight="1" x14ac:dyDescent="0.3">
      <c r="A776"/>
      <c r="B776" s="286"/>
      <c r="C776" s="286"/>
      <c r="D776" s="286"/>
      <c r="E776" s="286"/>
      <c r="F776" s="241"/>
      <c r="G776" s="241"/>
      <c r="H776" s="241"/>
      <c r="I776"/>
      <c r="J776" s="286"/>
      <c r="K776" s="286"/>
      <c r="L776" s="286"/>
      <c r="M776" s="286"/>
      <c r="N776" s="286"/>
      <c r="O776" s="241"/>
      <c r="P776" s="241"/>
      <c r="Q776" s="241"/>
    </row>
    <row r="777" spans="1:17" ht="13.5" customHeight="1" x14ac:dyDescent="0.3">
      <c r="A777"/>
      <c r="B777" s="286"/>
      <c r="C777" s="286"/>
      <c r="D777" s="286"/>
      <c r="E777" s="286"/>
      <c r="F777" s="241"/>
      <c r="G777" s="241"/>
      <c r="H777" s="241"/>
      <c r="I777"/>
      <c r="J777" s="286"/>
      <c r="K777" s="286"/>
      <c r="L777" s="286"/>
      <c r="M777" s="286"/>
      <c r="N777" s="286"/>
      <c r="O777" s="241"/>
      <c r="P777" s="241"/>
      <c r="Q777" s="241"/>
    </row>
    <row r="778" spans="1:17" ht="13.5" customHeight="1" x14ac:dyDescent="0.3">
      <c r="A778"/>
      <c r="B778" s="286"/>
      <c r="C778" s="286"/>
      <c r="D778" s="286"/>
      <c r="E778" s="286"/>
      <c r="F778" s="241"/>
      <c r="G778" s="241"/>
      <c r="H778" s="241"/>
      <c r="I778"/>
      <c r="J778" s="286"/>
      <c r="K778" s="286"/>
      <c r="L778" s="286"/>
      <c r="M778" s="286"/>
      <c r="N778" s="286"/>
      <c r="O778" s="241"/>
      <c r="P778" s="241"/>
      <c r="Q778" s="241"/>
    </row>
    <row r="779" spans="1:17" ht="13.5" customHeight="1" x14ac:dyDescent="0.3">
      <c r="A779"/>
      <c r="B779" s="286"/>
      <c r="C779" s="286"/>
      <c r="D779" s="286"/>
      <c r="E779" s="286"/>
      <c r="F779" s="241"/>
      <c r="G779" s="241"/>
      <c r="H779" s="241"/>
      <c r="I779"/>
      <c r="J779" s="286"/>
      <c r="K779" s="286"/>
      <c r="L779" s="286"/>
      <c r="M779" s="286"/>
      <c r="N779" s="286"/>
      <c r="O779" s="241"/>
      <c r="P779" s="241"/>
      <c r="Q779" s="241"/>
    </row>
    <row r="780" spans="1:17" ht="13.5" customHeight="1" x14ac:dyDescent="0.3">
      <c r="A780"/>
      <c r="B780" s="286"/>
      <c r="C780" s="286"/>
      <c r="D780" s="286"/>
      <c r="E780" s="286"/>
      <c r="F780" s="241"/>
      <c r="G780" s="241"/>
      <c r="H780" s="241"/>
      <c r="I780"/>
      <c r="J780" s="286"/>
      <c r="K780" s="286"/>
      <c r="L780" s="286"/>
      <c r="M780" s="286"/>
      <c r="N780" s="286"/>
      <c r="O780" s="241"/>
      <c r="P780" s="241"/>
      <c r="Q780" s="241"/>
    </row>
    <row r="781" spans="1:17" ht="13.5" customHeight="1" x14ac:dyDescent="0.3">
      <c r="A781"/>
      <c r="B781" s="286"/>
      <c r="C781" s="286"/>
      <c r="D781" s="286"/>
      <c r="E781" s="286"/>
      <c r="F781" s="241"/>
      <c r="G781" s="241"/>
      <c r="H781" s="241"/>
      <c r="I781"/>
      <c r="J781" s="286"/>
      <c r="K781" s="286"/>
      <c r="L781" s="286"/>
      <c r="M781" s="286"/>
      <c r="N781" s="286"/>
      <c r="O781" s="241"/>
      <c r="P781" s="241"/>
      <c r="Q781" s="241"/>
    </row>
    <row r="782" spans="1:17" ht="13.5" customHeight="1" x14ac:dyDescent="0.3">
      <c r="A782"/>
      <c r="B782" s="286"/>
      <c r="C782" s="286"/>
      <c r="D782" s="286"/>
      <c r="E782" s="286"/>
      <c r="F782" s="241"/>
      <c r="G782" s="241"/>
      <c r="H782" s="241"/>
      <c r="I782"/>
      <c r="J782" s="286"/>
      <c r="K782" s="286"/>
      <c r="L782" s="286"/>
      <c r="M782" s="286"/>
      <c r="N782" s="286"/>
      <c r="O782" s="241"/>
      <c r="P782" s="241"/>
      <c r="Q782" s="241"/>
    </row>
    <row r="783" spans="1:17" ht="13.5" customHeight="1" x14ac:dyDescent="0.3">
      <c r="A783"/>
      <c r="B783" s="286"/>
      <c r="C783" s="286"/>
      <c r="D783" s="286"/>
      <c r="E783" s="286"/>
      <c r="F783" s="241"/>
      <c r="G783" s="241"/>
      <c r="H783" s="241"/>
      <c r="I783"/>
      <c r="J783" s="286"/>
      <c r="K783" s="286"/>
      <c r="L783" s="286"/>
      <c r="M783" s="286"/>
      <c r="N783" s="286"/>
      <c r="O783" s="241"/>
      <c r="P783" s="241"/>
      <c r="Q783" s="241"/>
    </row>
    <row r="784" spans="1:17" ht="13.5" customHeight="1" x14ac:dyDescent="0.3">
      <c r="A784"/>
      <c r="B784" s="286"/>
      <c r="C784" s="286"/>
      <c r="D784" s="286"/>
      <c r="E784" s="286"/>
      <c r="F784" s="241"/>
      <c r="G784" s="241"/>
      <c r="H784" s="241"/>
      <c r="I784"/>
      <c r="J784" s="286"/>
      <c r="K784" s="286"/>
      <c r="L784" s="286"/>
      <c r="M784" s="286"/>
      <c r="N784" s="286"/>
      <c r="O784" s="241"/>
      <c r="P784" s="241"/>
      <c r="Q784" s="241"/>
    </row>
    <row r="785" spans="1:17" ht="13.5" customHeight="1" x14ac:dyDescent="0.3">
      <c r="A785"/>
      <c r="B785" s="286"/>
      <c r="C785" s="286"/>
      <c r="D785" s="286"/>
      <c r="E785" s="286"/>
      <c r="F785" s="241"/>
      <c r="G785" s="241"/>
      <c r="H785" s="241"/>
      <c r="I785"/>
      <c r="J785" s="286"/>
      <c r="K785" s="286"/>
      <c r="L785" s="286"/>
      <c r="M785" s="286"/>
      <c r="N785" s="286"/>
      <c r="O785" s="241"/>
      <c r="P785" s="241"/>
      <c r="Q785" s="241"/>
    </row>
    <row r="786" spans="1:17" ht="13.5" customHeight="1" x14ac:dyDescent="0.3">
      <c r="A786"/>
      <c r="B786" s="286"/>
      <c r="C786" s="286"/>
      <c r="D786" s="286"/>
      <c r="E786" s="286"/>
      <c r="F786" s="241"/>
      <c r="G786" s="241"/>
      <c r="H786" s="241"/>
      <c r="I786"/>
      <c r="J786" s="286"/>
      <c r="K786" s="286"/>
      <c r="L786" s="286"/>
      <c r="M786" s="286"/>
      <c r="N786" s="286"/>
      <c r="O786" s="241"/>
      <c r="P786" s="241"/>
      <c r="Q786" s="241"/>
    </row>
    <row r="787" spans="1:17" ht="13.5" customHeight="1" x14ac:dyDescent="0.3">
      <c r="A787"/>
      <c r="B787" s="286"/>
      <c r="C787" s="286"/>
      <c r="D787" s="286"/>
      <c r="E787" s="286"/>
      <c r="F787" s="241"/>
      <c r="G787" s="241"/>
      <c r="H787" s="241"/>
      <c r="I787"/>
      <c r="J787" s="286"/>
      <c r="K787" s="286"/>
      <c r="L787" s="286"/>
      <c r="M787" s="286"/>
      <c r="N787" s="286"/>
      <c r="O787" s="241"/>
      <c r="P787" s="241"/>
      <c r="Q787" s="241"/>
    </row>
    <row r="788" spans="1:17" ht="13.5" customHeight="1" x14ac:dyDescent="0.3">
      <c r="A788"/>
      <c r="B788" s="286"/>
      <c r="C788" s="286"/>
      <c r="D788" s="286"/>
      <c r="E788" s="286"/>
      <c r="F788" s="241"/>
      <c r="G788" s="241"/>
      <c r="H788" s="241"/>
      <c r="I788"/>
      <c r="J788" s="286"/>
      <c r="K788" s="286"/>
      <c r="L788" s="286"/>
      <c r="M788" s="286"/>
      <c r="N788" s="286"/>
      <c r="O788" s="241"/>
      <c r="P788" s="241"/>
      <c r="Q788" s="241"/>
    </row>
    <row r="789" spans="1:17" ht="13.5" customHeight="1" x14ac:dyDescent="0.3">
      <c r="A789"/>
      <c r="B789" s="286"/>
      <c r="C789" s="286"/>
      <c r="D789" s="286"/>
      <c r="E789" s="286"/>
      <c r="F789" s="241"/>
      <c r="G789" s="241"/>
      <c r="H789" s="241"/>
      <c r="I789"/>
      <c r="J789" s="286"/>
      <c r="K789" s="286"/>
      <c r="L789" s="286"/>
      <c r="M789" s="286"/>
      <c r="N789" s="286"/>
      <c r="O789" s="241"/>
      <c r="P789" s="241"/>
      <c r="Q789" s="241"/>
    </row>
    <row r="790" spans="1:17" ht="13.5" customHeight="1" x14ac:dyDescent="0.3">
      <c r="A790"/>
      <c r="B790" s="286"/>
      <c r="C790" s="286"/>
      <c r="D790" s="286"/>
      <c r="E790" s="286"/>
      <c r="F790" s="241"/>
      <c r="G790" s="241"/>
      <c r="H790" s="241"/>
      <c r="I790"/>
      <c r="J790" s="286"/>
      <c r="K790" s="286"/>
      <c r="L790" s="286"/>
      <c r="M790" s="286"/>
      <c r="N790" s="286"/>
      <c r="O790" s="241"/>
      <c r="P790" s="241"/>
      <c r="Q790" s="241"/>
    </row>
    <row r="791" spans="1:17" ht="13.5" customHeight="1" x14ac:dyDescent="0.3">
      <c r="A791"/>
      <c r="B791" s="286"/>
      <c r="C791" s="286"/>
      <c r="D791" s="286"/>
      <c r="E791" s="286"/>
      <c r="F791" s="241"/>
      <c r="G791" s="241"/>
      <c r="H791" s="241"/>
      <c r="I791"/>
      <c r="J791" s="286"/>
      <c r="K791" s="286"/>
      <c r="L791" s="286"/>
      <c r="M791" s="286"/>
      <c r="N791" s="286"/>
      <c r="O791" s="241"/>
      <c r="P791" s="241"/>
      <c r="Q791" s="241"/>
    </row>
    <row r="792" spans="1:17" ht="13.5" customHeight="1" x14ac:dyDescent="0.3">
      <c r="A792"/>
      <c r="B792" s="286"/>
      <c r="C792" s="286"/>
      <c r="D792" s="286"/>
      <c r="E792" s="286"/>
      <c r="F792" s="241"/>
      <c r="G792" s="241"/>
      <c r="H792" s="241"/>
      <c r="I792"/>
      <c r="J792" s="286"/>
      <c r="K792" s="286"/>
      <c r="L792" s="286"/>
      <c r="M792" s="286"/>
      <c r="N792" s="286"/>
      <c r="O792" s="241"/>
      <c r="P792" s="241"/>
      <c r="Q792" s="241"/>
    </row>
    <row r="793" spans="1:17" ht="13.5" customHeight="1" x14ac:dyDescent="0.3">
      <c r="A793"/>
      <c r="B793" s="286"/>
      <c r="C793" s="286"/>
      <c r="D793" s="286"/>
      <c r="E793" s="286"/>
      <c r="F793" s="241"/>
      <c r="G793" s="241"/>
      <c r="H793" s="241"/>
      <c r="I793"/>
      <c r="J793" s="286"/>
      <c r="K793" s="286"/>
      <c r="L793" s="286"/>
      <c r="M793" s="286"/>
      <c r="N793" s="286"/>
      <c r="O793" s="241"/>
      <c r="P793" s="241"/>
      <c r="Q793" s="241"/>
    </row>
    <row r="794" spans="1:17" ht="13.5" customHeight="1" x14ac:dyDescent="0.3">
      <c r="A794"/>
      <c r="B794" s="286"/>
      <c r="C794" s="286"/>
      <c r="D794" s="286"/>
      <c r="E794" s="286"/>
      <c r="F794" s="241"/>
      <c r="G794" s="241"/>
      <c r="H794" s="241"/>
      <c r="I794"/>
      <c r="J794" s="286"/>
      <c r="K794" s="286"/>
      <c r="L794" s="286"/>
      <c r="M794" s="286"/>
      <c r="N794" s="286"/>
      <c r="O794" s="241"/>
      <c r="P794" s="241"/>
      <c r="Q794" s="241"/>
    </row>
    <row r="795" spans="1:17" ht="13.5" customHeight="1" x14ac:dyDescent="0.3">
      <c r="A795"/>
      <c r="B795" s="286"/>
      <c r="C795" s="286"/>
      <c r="D795" s="286"/>
      <c r="E795" s="286"/>
      <c r="F795" s="241"/>
      <c r="G795" s="241"/>
      <c r="H795" s="241"/>
      <c r="I795"/>
      <c r="J795" s="286"/>
      <c r="K795" s="286"/>
      <c r="L795" s="286"/>
      <c r="M795" s="286"/>
      <c r="N795" s="286"/>
      <c r="O795" s="241"/>
      <c r="P795" s="241"/>
      <c r="Q795" s="241"/>
    </row>
    <row r="796" spans="1:17" ht="13.5" customHeight="1" x14ac:dyDescent="0.3">
      <c r="A796"/>
      <c r="B796" s="286"/>
      <c r="C796" s="286"/>
      <c r="D796" s="286"/>
      <c r="E796" s="286"/>
      <c r="F796" s="241"/>
      <c r="G796" s="241"/>
      <c r="H796" s="241"/>
      <c r="I796"/>
      <c r="J796" s="286"/>
      <c r="K796" s="286"/>
      <c r="L796" s="286"/>
      <c r="M796" s="286"/>
      <c r="N796" s="286"/>
      <c r="O796" s="241"/>
      <c r="P796" s="241"/>
      <c r="Q796" s="241"/>
    </row>
    <row r="797" spans="1:17" ht="13.5" customHeight="1" x14ac:dyDescent="0.3">
      <c r="A797"/>
      <c r="B797" s="286"/>
      <c r="C797" s="286"/>
      <c r="D797" s="286"/>
      <c r="E797" s="286"/>
      <c r="F797" s="241"/>
      <c r="G797" s="241"/>
      <c r="H797" s="241"/>
      <c r="I797"/>
      <c r="J797" s="286"/>
      <c r="K797" s="286"/>
      <c r="L797" s="286"/>
      <c r="M797" s="286"/>
      <c r="N797" s="286"/>
      <c r="O797" s="241"/>
      <c r="P797" s="241"/>
      <c r="Q797" s="241"/>
    </row>
    <row r="798" spans="1:17" ht="13.5" customHeight="1" x14ac:dyDescent="0.3">
      <c r="A798"/>
      <c r="B798" s="286"/>
      <c r="C798" s="286"/>
      <c r="D798" s="286"/>
      <c r="E798" s="286"/>
      <c r="F798" s="241"/>
      <c r="G798" s="241"/>
      <c r="H798" s="241"/>
      <c r="I798"/>
      <c r="J798" s="286"/>
      <c r="K798" s="286"/>
      <c r="L798" s="286"/>
      <c r="M798" s="286"/>
      <c r="N798" s="286"/>
      <c r="O798" s="241"/>
      <c r="P798" s="241"/>
      <c r="Q798" s="241"/>
    </row>
    <row r="799" spans="1:17" ht="13.5" customHeight="1" x14ac:dyDescent="0.3">
      <c r="A799"/>
      <c r="B799" s="286"/>
      <c r="C799" s="286"/>
      <c r="D799" s="286"/>
      <c r="E799" s="286"/>
      <c r="F799" s="241"/>
      <c r="G799" s="241"/>
      <c r="H799" s="241"/>
      <c r="I799"/>
      <c r="J799" s="286"/>
      <c r="K799" s="286"/>
      <c r="L799" s="286"/>
      <c r="M799" s="286"/>
      <c r="N799" s="286"/>
      <c r="O799" s="241"/>
      <c r="P799" s="241"/>
      <c r="Q799" s="241"/>
    </row>
    <row r="800" spans="1:17" ht="13.5" customHeight="1" x14ac:dyDescent="0.3">
      <c r="A800"/>
      <c r="B800" s="286"/>
      <c r="C800" s="286"/>
      <c r="D800" s="286"/>
      <c r="E800" s="286"/>
      <c r="F800" s="241"/>
      <c r="G800" s="241"/>
      <c r="H800" s="241"/>
      <c r="I800"/>
      <c r="J800" s="286"/>
      <c r="K800" s="286"/>
      <c r="L800" s="286"/>
      <c r="M800" s="286"/>
      <c r="N800" s="286"/>
      <c r="O800" s="241"/>
      <c r="P800" s="241"/>
      <c r="Q800" s="241"/>
    </row>
    <row r="801" spans="1:17" ht="13.5" customHeight="1" x14ac:dyDescent="0.3">
      <c r="A801"/>
      <c r="B801" s="286"/>
      <c r="C801" s="286"/>
      <c r="D801" s="286"/>
      <c r="E801" s="286"/>
      <c r="F801" s="241"/>
      <c r="G801" s="241"/>
      <c r="H801" s="241"/>
      <c r="I801"/>
      <c r="J801" s="286"/>
      <c r="K801" s="286"/>
      <c r="L801" s="286"/>
      <c r="M801" s="286"/>
      <c r="N801" s="286"/>
      <c r="O801" s="241"/>
      <c r="P801" s="241"/>
      <c r="Q801" s="241"/>
    </row>
    <row r="802" spans="1:17" ht="13.5" customHeight="1" x14ac:dyDescent="0.3">
      <c r="A802"/>
      <c r="B802" s="286"/>
      <c r="C802" s="286"/>
      <c r="D802" s="286"/>
      <c r="E802" s="286"/>
      <c r="F802" s="241"/>
      <c r="G802" s="241"/>
      <c r="H802" s="241"/>
      <c r="I802"/>
      <c r="J802" s="286"/>
      <c r="K802" s="286"/>
      <c r="L802" s="286"/>
      <c r="M802" s="286"/>
      <c r="N802" s="286"/>
      <c r="O802" s="241"/>
      <c r="P802" s="241"/>
      <c r="Q802" s="241"/>
    </row>
    <row r="803" spans="1:17" ht="13.5" customHeight="1" x14ac:dyDescent="0.3">
      <c r="A803"/>
      <c r="B803" s="286"/>
      <c r="C803" s="286"/>
      <c r="D803" s="286"/>
      <c r="E803" s="286"/>
      <c r="F803" s="241"/>
      <c r="G803" s="241"/>
      <c r="H803" s="241"/>
      <c r="I803"/>
      <c r="J803" s="286"/>
      <c r="K803" s="286"/>
      <c r="L803" s="286"/>
      <c r="M803" s="286"/>
      <c r="N803" s="286"/>
      <c r="O803" s="241"/>
      <c r="P803" s="241"/>
      <c r="Q803" s="241"/>
    </row>
    <row r="804" spans="1:17" ht="13.5" customHeight="1" x14ac:dyDescent="0.3">
      <c r="A804"/>
      <c r="B804" s="286"/>
      <c r="C804" s="286"/>
      <c r="D804" s="286"/>
      <c r="E804" s="286"/>
      <c r="F804" s="241"/>
      <c r="G804" s="241"/>
      <c r="H804" s="241"/>
      <c r="I804"/>
      <c r="J804" s="286"/>
      <c r="K804" s="286"/>
      <c r="L804" s="286"/>
      <c r="M804" s="286"/>
      <c r="N804" s="286"/>
      <c r="O804" s="241"/>
      <c r="P804" s="241"/>
      <c r="Q804" s="241"/>
    </row>
    <row r="805" spans="1:17" ht="13.5" customHeight="1" x14ac:dyDescent="0.3">
      <c r="A805"/>
      <c r="B805" s="286"/>
      <c r="C805" s="286"/>
      <c r="D805" s="286"/>
      <c r="E805" s="286"/>
      <c r="F805" s="241"/>
      <c r="G805" s="241"/>
      <c r="H805" s="241"/>
      <c r="I805"/>
      <c r="J805" s="286"/>
      <c r="K805" s="286"/>
      <c r="L805" s="286"/>
      <c r="M805" s="286"/>
      <c r="N805" s="286"/>
      <c r="O805" s="241"/>
      <c r="P805" s="241"/>
      <c r="Q805" s="241"/>
    </row>
    <row r="806" spans="1:17" ht="13.5" customHeight="1" x14ac:dyDescent="0.3">
      <c r="A806"/>
      <c r="B806" s="286"/>
      <c r="C806" s="286"/>
      <c r="D806" s="286"/>
      <c r="E806" s="286"/>
      <c r="F806" s="241"/>
      <c r="G806" s="241"/>
      <c r="H806" s="241"/>
      <c r="I806"/>
      <c r="J806" s="286"/>
      <c r="K806" s="286"/>
      <c r="L806" s="286"/>
      <c r="M806" s="286"/>
      <c r="N806" s="286"/>
      <c r="O806" s="241"/>
      <c r="P806" s="241"/>
      <c r="Q806" s="241"/>
    </row>
    <row r="807" spans="1:17" ht="13.5" customHeight="1" x14ac:dyDescent="0.3">
      <c r="A807"/>
      <c r="B807" s="286"/>
      <c r="C807" s="286"/>
      <c r="D807" s="286"/>
      <c r="E807" s="286"/>
      <c r="F807" s="241"/>
      <c r="G807" s="241"/>
      <c r="H807" s="241"/>
      <c r="I807"/>
      <c r="J807" s="286"/>
      <c r="K807" s="286"/>
      <c r="L807" s="286"/>
      <c r="M807" s="286"/>
      <c r="N807" s="286"/>
      <c r="O807" s="241"/>
      <c r="P807" s="241"/>
      <c r="Q807" s="241"/>
    </row>
    <row r="808" spans="1:17" ht="13.5" customHeight="1" x14ac:dyDescent="0.3">
      <c r="A808"/>
      <c r="B808" s="286"/>
      <c r="C808" s="286"/>
      <c r="D808" s="286"/>
      <c r="E808" s="286"/>
      <c r="F808" s="241"/>
      <c r="G808" s="241"/>
      <c r="H808" s="241"/>
      <c r="I808"/>
      <c r="J808" s="286"/>
      <c r="K808" s="286"/>
      <c r="L808" s="286"/>
      <c r="M808" s="286"/>
      <c r="N808" s="286"/>
      <c r="O808" s="241"/>
      <c r="P808" s="241"/>
      <c r="Q808" s="241"/>
    </row>
    <row r="809" spans="1:17" ht="13.5" customHeight="1" x14ac:dyDescent="0.3">
      <c r="A809"/>
      <c r="B809" s="286"/>
      <c r="C809" s="286"/>
      <c r="D809" s="286"/>
      <c r="E809" s="286"/>
      <c r="F809" s="241"/>
      <c r="G809" s="241"/>
      <c r="H809" s="241"/>
      <c r="I809"/>
      <c r="J809" s="286"/>
      <c r="K809" s="286"/>
      <c r="L809" s="286"/>
      <c r="M809" s="286"/>
      <c r="N809" s="286"/>
      <c r="O809" s="241"/>
      <c r="P809" s="241"/>
      <c r="Q809" s="241"/>
    </row>
    <row r="810" spans="1:17" ht="13.5" customHeight="1" x14ac:dyDescent="0.3">
      <c r="A810"/>
      <c r="B810" s="286"/>
      <c r="C810" s="286"/>
      <c r="D810" s="286"/>
      <c r="E810" s="286"/>
      <c r="F810" s="241"/>
      <c r="G810" s="241"/>
      <c r="H810" s="241"/>
      <c r="I810"/>
      <c r="J810" s="286"/>
      <c r="K810" s="286"/>
      <c r="L810" s="286"/>
      <c r="M810" s="286"/>
      <c r="N810" s="286"/>
      <c r="O810" s="241"/>
      <c r="P810" s="241"/>
      <c r="Q810" s="241"/>
    </row>
    <row r="811" spans="1:17" ht="13.5" customHeight="1" x14ac:dyDescent="0.3">
      <c r="A811"/>
      <c r="B811" s="286"/>
      <c r="C811" s="286"/>
      <c r="D811" s="286"/>
      <c r="E811" s="286"/>
      <c r="F811" s="241"/>
      <c r="G811" s="241"/>
      <c r="H811" s="241"/>
      <c r="I811"/>
      <c r="J811" s="286"/>
      <c r="K811" s="286"/>
      <c r="L811" s="286"/>
      <c r="M811" s="286"/>
      <c r="N811" s="286"/>
      <c r="O811" s="241"/>
      <c r="P811" s="241"/>
      <c r="Q811" s="241"/>
    </row>
    <row r="812" spans="1:17" ht="13.5" customHeight="1" x14ac:dyDescent="0.3">
      <c r="A812"/>
      <c r="B812" s="286"/>
      <c r="C812" s="286"/>
      <c r="D812" s="286"/>
      <c r="E812" s="286"/>
      <c r="F812" s="241"/>
      <c r="G812" s="241"/>
      <c r="H812" s="241"/>
      <c r="I812"/>
      <c r="J812" s="286"/>
      <c r="K812" s="286"/>
      <c r="L812" s="286"/>
      <c r="M812" s="286"/>
      <c r="N812" s="286"/>
      <c r="O812" s="241"/>
      <c r="P812" s="241"/>
      <c r="Q812" s="241"/>
    </row>
    <row r="813" spans="1:17" ht="13.5" customHeight="1" x14ac:dyDescent="0.3">
      <c r="A813"/>
      <c r="B813" s="286"/>
      <c r="C813" s="286"/>
      <c r="D813" s="286"/>
      <c r="E813" s="286"/>
      <c r="F813" s="241"/>
      <c r="G813" s="241"/>
      <c r="H813" s="241"/>
      <c r="I813"/>
      <c r="J813" s="286"/>
      <c r="K813" s="286"/>
      <c r="L813" s="286"/>
      <c r="M813" s="286"/>
      <c r="N813" s="286"/>
      <c r="O813" s="241"/>
      <c r="P813" s="241"/>
      <c r="Q813" s="241"/>
    </row>
    <row r="814" spans="1:17" ht="13.5" customHeight="1" x14ac:dyDescent="0.3">
      <c r="A814"/>
      <c r="B814" s="286"/>
      <c r="C814" s="286"/>
      <c r="D814" s="286"/>
      <c r="E814" s="286"/>
      <c r="F814" s="241"/>
      <c r="G814" s="241"/>
      <c r="H814" s="241"/>
      <c r="I814"/>
      <c r="J814" s="286"/>
      <c r="K814" s="286"/>
      <c r="L814" s="286"/>
      <c r="M814" s="286"/>
      <c r="N814" s="286"/>
      <c r="O814" s="241"/>
      <c r="P814" s="241"/>
      <c r="Q814" s="241"/>
    </row>
    <row r="815" spans="1:17" ht="13.5" customHeight="1" x14ac:dyDescent="0.3">
      <c r="A815"/>
      <c r="B815" s="286"/>
      <c r="C815" s="286"/>
      <c r="D815" s="286"/>
      <c r="E815" s="286"/>
      <c r="F815" s="241"/>
      <c r="G815" s="241"/>
      <c r="H815" s="241"/>
      <c r="I815"/>
      <c r="J815" s="286"/>
      <c r="K815" s="286"/>
      <c r="L815" s="286"/>
      <c r="M815" s="286"/>
      <c r="N815" s="286"/>
      <c r="O815" s="241"/>
      <c r="P815" s="241"/>
      <c r="Q815" s="241"/>
    </row>
    <row r="816" spans="1:17" ht="13.5" customHeight="1" x14ac:dyDescent="0.3">
      <c r="A816"/>
      <c r="B816" s="286"/>
      <c r="C816" s="286"/>
      <c r="D816" s="286"/>
      <c r="E816" s="286"/>
      <c r="F816" s="241"/>
      <c r="G816" s="241"/>
      <c r="H816" s="241"/>
      <c r="I816"/>
      <c r="J816" s="286"/>
      <c r="K816" s="286"/>
      <c r="L816" s="286"/>
      <c r="M816" s="286"/>
      <c r="N816" s="286"/>
      <c r="O816" s="241"/>
      <c r="P816" s="241"/>
      <c r="Q816" s="241"/>
    </row>
    <row r="817" spans="1:17" ht="13.5" customHeight="1" x14ac:dyDescent="0.3">
      <c r="A817"/>
      <c r="B817" s="286"/>
      <c r="C817" s="286"/>
      <c r="D817" s="286"/>
      <c r="E817" s="286"/>
      <c r="F817" s="241"/>
      <c r="G817" s="241"/>
      <c r="H817" s="241"/>
      <c r="I817"/>
      <c r="J817" s="286"/>
      <c r="K817" s="286"/>
      <c r="L817" s="286"/>
      <c r="M817" s="286"/>
      <c r="N817" s="286"/>
      <c r="O817" s="241"/>
      <c r="P817" s="241"/>
      <c r="Q817" s="241"/>
    </row>
    <row r="818" spans="1:17" ht="13.5" customHeight="1" x14ac:dyDescent="0.3">
      <c r="A818"/>
      <c r="B818" s="286"/>
      <c r="C818" s="286"/>
      <c r="D818" s="286"/>
      <c r="E818" s="286"/>
      <c r="F818" s="241"/>
      <c r="G818" s="241"/>
      <c r="H818" s="241"/>
      <c r="I818"/>
      <c r="J818" s="286"/>
      <c r="K818" s="286"/>
      <c r="L818" s="286"/>
      <c r="M818" s="286"/>
      <c r="N818" s="286"/>
      <c r="O818" s="241"/>
      <c r="P818" s="241"/>
      <c r="Q818" s="241"/>
    </row>
    <row r="819" spans="1:17" ht="13.5" customHeight="1" x14ac:dyDescent="0.3">
      <c r="A819"/>
      <c r="B819" s="286"/>
      <c r="C819" s="286"/>
      <c r="D819" s="286"/>
      <c r="E819" s="286"/>
      <c r="F819" s="241"/>
      <c r="G819" s="241"/>
      <c r="H819" s="241"/>
      <c r="I819"/>
      <c r="J819" s="286"/>
      <c r="K819" s="286"/>
      <c r="L819" s="286"/>
      <c r="M819" s="286"/>
      <c r="N819" s="286"/>
      <c r="O819" s="241"/>
      <c r="P819" s="241"/>
      <c r="Q819" s="241"/>
    </row>
    <row r="820" spans="1:17" ht="13.5" customHeight="1" x14ac:dyDescent="0.3">
      <c r="A820"/>
      <c r="B820" s="286"/>
      <c r="C820" s="286"/>
      <c r="D820" s="286"/>
      <c r="E820" s="286"/>
      <c r="F820" s="241"/>
      <c r="G820" s="241"/>
      <c r="H820" s="241"/>
      <c r="I820"/>
      <c r="J820" s="286"/>
      <c r="K820" s="286"/>
      <c r="L820" s="286"/>
      <c r="M820" s="286"/>
      <c r="N820" s="286"/>
      <c r="O820" s="241"/>
      <c r="P820" s="241"/>
      <c r="Q820" s="241"/>
    </row>
    <row r="821" spans="1:17" ht="13.5" customHeight="1" x14ac:dyDescent="0.3">
      <c r="A821"/>
      <c r="B821" s="286"/>
      <c r="C821" s="286"/>
      <c r="D821" s="286"/>
      <c r="E821" s="286"/>
      <c r="F821" s="241"/>
      <c r="G821" s="241"/>
      <c r="H821" s="241"/>
      <c r="I821"/>
      <c r="J821" s="286"/>
      <c r="K821" s="286"/>
      <c r="L821" s="286"/>
      <c r="M821" s="286"/>
      <c r="N821" s="286"/>
      <c r="O821" s="241"/>
      <c r="P821" s="241"/>
      <c r="Q821" s="241"/>
    </row>
    <row r="822" spans="1:17" ht="13.5" customHeight="1" x14ac:dyDescent="0.3">
      <c r="A822"/>
      <c r="B822" s="286"/>
      <c r="C822" s="286"/>
      <c r="D822" s="286"/>
      <c r="E822" s="286"/>
      <c r="F822" s="241"/>
      <c r="G822" s="241"/>
      <c r="H822" s="241"/>
      <c r="I822"/>
      <c r="J822" s="286"/>
      <c r="K822" s="286"/>
      <c r="L822" s="286"/>
      <c r="M822" s="286"/>
      <c r="N822" s="286"/>
      <c r="O822" s="241"/>
      <c r="P822" s="241"/>
      <c r="Q822" s="241"/>
    </row>
    <row r="823" spans="1:17" ht="13.5" customHeight="1" x14ac:dyDescent="0.3">
      <c r="A823"/>
      <c r="B823" s="286"/>
      <c r="C823" s="286"/>
      <c r="D823" s="286"/>
      <c r="E823" s="286"/>
      <c r="F823" s="241"/>
      <c r="G823" s="241"/>
      <c r="H823" s="241"/>
      <c r="I823"/>
      <c r="J823" s="286"/>
      <c r="K823" s="286"/>
      <c r="L823" s="286"/>
      <c r="M823" s="286"/>
      <c r="N823" s="286"/>
      <c r="O823" s="241"/>
      <c r="P823" s="241"/>
      <c r="Q823" s="241"/>
    </row>
    <row r="824" spans="1:17" ht="13.5" customHeight="1" x14ac:dyDescent="0.3">
      <c r="A824"/>
      <c r="B824" s="286"/>
      <c r="C824" s="286"/>
      <c r="D824" s="286"/>
      <c r="E824" s="286"/>
      <c r="F824" s="241"/>
      <c r="G824" s="241"/>
      <c r="H824" s="241"/>
      <c r="I824"/>
      <c r="J824" s="286"/>
      <c r="K824" s="286"/>
      <c r="L824" s="286"/>
      <c r="M824" s="286"/>
      <c r="N824" s="286"/>
      <c r="O824" s="241"/>
      <c r="P824" s="241"/>
      <c r="Q824" s="241"/>
    </row>
    <row r="825" spans="1:17" ht="13.5" customHeight="1" x14ac:dyDescent="0.3">
      <c r="A825"/>
      <c r="B825" s="286"/>
      <c r="C825" s="286"/>
      <c r="D825" s="286"/>
      <c r="E825" s="286"/>
      <c r="F825" s="241"/>
      <c r="G825" s="241"/>
      <c r="H825" s="241"/>
      <c r="I825"/>
      <c r="J825" s="286"/>
      <c r="K825" s="286"/>
      <c r="L825" s="286"/>
      <c r="M825" s="286"/>
      <c r="N825" s="286"/>
      <c r="O825" s="241"/>
      <c r="P825" s="241"/>
      <c r="Q825" s="241"/>
    </row>
    <row r="826" spans="1:17" ht="13.5" customHeight="1" x14ac:dyDescent="0.3">
      <c r="A826"/>
      <c r="B826" s="286"/>
      <c r="C826" s="286"/>
      <c r="D826" s="286"/>
      <c r="E826" s="286"/>
      <c r="F826" s="241"/>
      <c r="G826" s="241"/>
      <c r="H826" s="241"/>
      <c r="I826"/>
      <c r="J826" s="286"/>
      <c r="K826" s="286"/>
      <c r="L826" s="286"/>
      <c r="M826" s="286"/>
      <c r="N826" s="286"/>
      <c r="O826" s="241"/>
      <c r="P826" s="241"/>
      <c r="Q826" s="241"/>
    </row>
    <row r="827" spans="1:17" ht="13.5" customHeight="1" x14ac:dyDescent="0.3">
      <c r="A827"/>
      <c r="B827" s="286"/>
      <c r="C827" s="286"/>
      <c r="D827" s="286"/>
      <c r="E827" s="286"/>
      <c r="F827" s="241"/>
      <c r="G827" s="241"/>
      <c r="H827" s="241"/>
      <c r="I827"/>
      <c r="J827" s="286"/>
      <c r="K827" s="286"/>
      <c r="L827" s="286"/>
      <c r="M827" s="286"/>
      <c r="N827" s="286"/>
      <c r="O827" s="241"/>
      <c r="P827" s="241"/>
      <c r="Q827" s="241"/>
    </row>
    <row r="828" spans="1:17" ht="13.5" customHeight="1" x14ac:dyDescent="0.3">
      <c r="A828"/>
      <c r="B828" s="286"/>
      <c r="C828" s="286"/>
      <c r="D828" s="286"/>
      <c r="E828" s="286"/>
      <c r="F828" s="241"/>
      <c r="G828" s="241"/>
      <c r="H828" s="241"/>
      <c r="I828"/>
      <c r="J828" s="286"/>
      <c r="K828" s="286"/>
      <c r="L828" s="286"/>
      <c r="M828" s="286"/>
      <c r="N828" s="286"/>
      <c r="O828" s="241"/>
      <c r="P828" s="241"/>
      <c r="Q828" s="241"/>
    </row>
    <row r="829" spans="1:17" ht="13.5" customHeight="1" x14ac:dyDescent="0.3">
      <c r="A829"/>
      <c r="B829" s="286"/>
      <c r="C829" s="286"/>
      <c r="D829" s="286"/>
      <c r="E829" s="286"/>
      <c r="F829" s="241"/>
      <c r="G829" s="241"/>
      <c r="H829" s="241"/>
      <c r="I829"/>
      <c r="J829" s="286"/>
      <c r="K829" s="286"/>
      <c r="L829" s="286"/>
      <c r="M829" s="286"/>
      <c r="N829" s="286"/>
      <c r="O829" s="241"/>
      <c r="P829" s="241"/>
      <c r="Q829" s="241"/>
    </row>
    <row r="830" spans="1:17" ht="13.5" customHeight="1" x14ac:dyDescent="0.3">
      <c r="A830"/>
      <c r="B830" s="286"/>
      <c r="C830" s="286"/>
      <c r="D830" s="286"/>
      <c r="E830" s="286"/>
      <c r="F830" s="241"/>
      <c r="G830" s="241"/>
      <c r="H830" s="241"/>
      <c r="I830"/>
      <c r="J830" s="286"/>
      <c r="K830" s="286"/>
      <c r="L830" s="286"/>
      <c r="M830" s="286"/>
      <c r="N830" s="286"/>
      <c r="O830" s="241"/>
      <c r="P830" s="241"/>
      <c r="Q830" s="241"/>
    </row>
    <row r="831" spans="1:17" ht="13.5" customHeight="1" x14ac:dyDescent="0.3">
      <c r="A831"/>
      <c r="B831" s="286"/>
      <c r="C831" s="286"/>
      <c r="D831" s="286"/>
      <c r="E831" s="286"/>
      <c r="F831" s="241"/>
      <c r="G831" s="241"/>
      <c r="H831" s="241"/>
      <c r="I831"/>
      <c r="J831" s="286"/>
      <c r="K831" s="286"/>
      <c r="L831" s="286"/>
      <c r="M831" s="286"/>
      <c r="N831" s="286"/>
      <c r="O831" s="241"/>
      <c r="P831" s="241"/>
      <c r="Q831" s="241"/>
    </row>
    <row r="832" spans="1:17" ht="13.5" customHeight="1" x14ac:dyDescent="0.3">
      <c r="A832"/>
      <c r="B832" s="286"/>
      <c r="C832" s="286"/>
      <c r="D832" s="286"/>
      <c r="E832" s="286"/>
      <c r="F832" s="241"/>
      <c r="G832" s="241"/>
      <c r="H832" s="241"/>
      <c r="I832"/>
      <c r="J832" s="286"/>
      <c r="K832" s="286"/>
      <c r="L832" s="286"/>
      <c r="M832" s="286"/>
      <c r="N832" s="286"/>
      <c r="O832" s="241"/>
      <c r="P832" s="241"/>
      <c r="Q832" s="241"/>
    </row>
    <row r="833" spans="1:17" ht="13.5" customHeight="1" x14ac:dyDescent="0.3">
      <c r="A833"/>
      <c r="B833" s="286"/>
      <c r="C833" s="286"/>
      <c r="D833" s="286"/>
      <c r="E833" s="286"/>
      <c r="F833" s="241"/>
      <c r="G833" s="241"/>
      <c r="H833" s="241"/>
      <c r="I833"/>
      <c r="J833" s="286"/>
      <c r="K833" s="286"/>
      <c r="L833" s="286"/>
      <c r="M833" s="286"/>
      <c r="N833" s="286"/>
      <c r="O833" s="241"/>
      <c r="P833" s="241"/>
      <c r="Q833" s="241"/>
    </row>
    <row r="834" spans="1:17" ht="13.5" customHeight="1" x14ac:dyDescent="0.3">
      <c r="A834"/>
      <c r="B834" s="286"/>
      <c r="C834" s="286"/>
      <c r="D834" s="286"/>
      <c r="E834" s="286"/>
      <c r="F834" s="241"/>
      <c r="G834" s="241"/>
      <c r="H834" s="241"/>
      <c r="I834"/>
      <c r="J834" s="286"/>
      <c r="K834" s="286"/>
      <c r="L834" s="286"/>
      <c r="M834" s="286"/>
      <c r="N834" s="286"/>
      <c r="O834" s="241"/>
      <c r="P834" s="241"/>
      <c r="Q834" s="241"/>
    </row>
    <row r="835" spans="1:17" ht="13.5" customHeight="1" x14ac:dyDescent="0.3">
      <c r="A835"/>
      <c r="B835" s="286"/>
      <c r="C835" s="286"/>
      <c r="D835" s="286"/>
      <c r="E835" s="286"/>
      <c r="F835" s="241"/>
      <c r="G835" s="241"/>
      <c r="H835" s="241"/>
      <c r="I835"/>
      <c r="J835" s="286"/>
      <c r="K835" s="286"/>
      <c r="L835" s="286"/>
      <c r="M835" s="286"/>
      <c r="N835" s="286"/>
      <c r="O835" s="241"/>
      <c r="P835" s="241"/>
      <c r="Q835" s="241"/>
    </row>
    <row r="836" spans="1:17" ht="13.5" customHeight="1" x14ac:dyDescent="0.3">
      <c r="A836"/>
      <c r="B836" s="286"/>
      <c r="C836" s="286"/>
      <c r="D836" s="286"/>
      <c r="E836" s="286"/>
      <c r="F836" s="241"/>
      <c r="G836" s="241"/>
      <c r="H836" s="241"/>
      <c r="I836"/>
      <c r="J836" s="286"/>
      <c r="K836" s="286"/>
      <c r="L836" s="286"/>
      <c r="M836" s="286"/>
      <c r="N836" s="286"/>
      <c r="O836" s="241"/>
      <c r="P836" s="241"/>
      <c r="Q836" s="241"/>
    </row>
    <row r="837" spans="1:17" ht="13.5" customHeight="1" x14ac:dyDescent="0.3">
      <c r="A837"/>
      <c r="B837" s="286"/>
      <c r="C837" s="286"/>
      <c r="D837" s="286"/>
      <c r="E837" s="286"/>
      <c r="F837" s="241"/>
      <c r="G837" s="241"/>
      <c r="H837" s="241"/>
      <c r="I837"/>
      <c r="J837" s="286"/>
      <c r="K837" s="286"/>
      <c r="L837" s="286"/>
      <c r="M837" s="286"/>
      <c r="N837" s="286"/>
      <c r="O837" s="241"/>
      <c r="P837" s="241"/>
      <c r="Q837" s="241"/>
    </row>
    <row r="838" spans="1:17" ht="13.5" customHeight="1" x14ac:dyDescent="0.3">
      <c r="A838"/>
      <c r="B838" s="286"/>
      <c r="C838" s="286"/>
      <c r="D838" s="286"/>
      <c r="E838" s="286"/>
      <c r="F838" s="241"/>
      <c r="G838" s="241"/>
      <c r="H838" s="241"/>
      <c r="I838"/>
      <c r="J838" s="286"/>
      <c r="K838" s="286"/>
      <c r="L838" s="286"/>
      <c r="M838" s="286"/>
      <c r="N838" s="286"/>
      <c r="O838" s="241"/>
      <c r="P838" s="241"/>
      <c r="Q838" s="241"/>
    </row>
    <row r="839" spans="1:17" ht="13.5" customHeight="1" x14ac:dyDescent="0.3">
      <c r="A839"/>
      <c r="B839" s="286"/>
      <c r="C839" s="286"/>
      <c r="D839" s="286"/>
      <c r="E839" s="286"/>
      <c r="F839" s="241"/>
      <c r="G839" s="241"/>
      <c r="H839" s="241"/>
      <c r="I839"/>
      <c r="J839" s="286"/>
      <c r="K839" s="286"/>
      <c r="L839" s="286"/>
      <c r="M839" s="286"/>
      <c r="N839" s="286"/>
      <c r="O839" s="241"/>
      <c r="P839" s="241"/>
      <c r="Q839" s="241"/>
    </row>
    <row r="840" spans="1:17" ht="13.5" customHeight="1" x14ac:dyDescent="0.3">
      <c r="A840"/>
      <c r="B840" s="286"/>
      <c r="C840" s="286"/>
      <c r="D840" s="286"/>
      <c r="E840" s="286"/>
      <c r="F840" s="241"/>
      <c r="G840" s="241"/>
      <c r="H840" s="241"/>
      <c r="I840"/>
      <c r="J840" s="286"/>
      <c r="K840" s="286"/>
      <c r="L840" s="286"/>
      <c r="M840" s="286"/>
      <c r="N840" s="286"/>
      <c r="O840" s="241"/>
      <c r="P840" s="241"/>
      <c r="Q840" s="241"/>
    </row>
    <row r="841" spans="1:17" ht="13.5" customHeight="1" x14ac:dyDescent="0.3">
      <c r="A841"/>
      <c r="B841" s="286"/>
      <c r="C841" s="286"/>
      <c r="D841" s="286"/>
      <c r="E841" s="286"/>
      <c r="F841" s="241"/>
      <c r="G841" s="241"/>
      <c r="H841" s="241"/>
      <c r="I841"/>
      <c r="J841" s="286"/>
      <c r="K841" s="286"/>
      <c r="L841" s="286"/>
      <c r="M841" s="286"/>
      <c r="N841" s="286"/>
      <c r="O841" s="241"/>
      <c r="P841" s="241"/>
      <c r="Q841" s="241"/>
    </row>
    <row r="842" spans="1:17" ht="13.5" customHeight="1" x14ac:dyDescent="0.3">
      <c r="A842"/>
      <c r="B842" s="286"/>
      <c r="C842" s="286"/>
      <c r="D842" s="286"/>
      <c r="E842" s="286"/>
      <c r="F842" s="241"/>
      <c r="G842" s="241"/>
      <c r="H842" s="241"/>
      <c r="I842"/>
      <c r="J842" s="286"/>
      <c r="K842" s="286"/>
      <c r="L842" s="286"/>
      <c r="M842" s="286"/>
      <c r="N842" s="286"/>
      <c r="O842" s="241"/>
      <c r="P842" s="241"/>
      <c r="Q842" s="241"/>
    </row>
    <row r="843" spans="1:17" ht="13.5" customHeight="1" x14ac:dyDescent="0.3">
      <c r="A843"/>
      <c r="B843" s="286"/>
      <c r="C843" s="286"/>
      <c r="D843" s="286"/>
      <c r="E843" s="286"/>
      <c r="F843" s="241"/>
      <c r="G843" s="241"/>
      <c r="H843" s="241"/>
      <c r="I843"/>
      <c r="J843" s="286"/>
      <c r="K843" s="286"/>
      <c r="L843" s="286"/>
      <c r="M843" s="286"/>
      <c r="N843" s="286"/>
      <c r="O843" s="241"/>
      <c r="P843" s="241"/>
      <c r="Q843" s="241"/>
    </row>
    <row r="844" spans="1:17" ht="13.5" customHeight="1" x14ac:dyDescent="0.3">
      <c r="A844"/>
      <c r="B844" s="286"/>
      <c r="C844" s="286"/>
      <c r="D844" s="286"/>
      <c r="E844" s="286"/>
      <c r="F844" s="241"/>
      <c r="G844" s="241"/>
      <c r="H844" s="241"/>
      <c r="I844"/>
      <c r="J844" s="286"/>
      <c r="K844" s="286"/>
      <c r="L844" s="286"/>
      <c r="M844" s="286"/>
      <c r="N844" s="286"/>
      <c r="O844" s="241"/>
      <c r="P844" s="241"/>
      <c r="Q844" s="241"/>
    </row>
    <row r="845" spans="1:17" ht="13.5" customHeight="1" x14ac:dyDescent="0.3">
      <c r="A845"/>
      <c r="B845" s="286"/>
      <c r="C845" s="286"/>
      <c r="D845" s="286"/>
      <c r="E845" s="286"/>
      <c r="F845" s="241"/>
      <c r="G845" s="241"/>
      <c r="H845" s="241"/>
      <c r="I845"/>
      <c r="J845" s="286"/>
      <c r="K845" s="286"/>
      <c r="L845" s="286"/>
      <c r="M845" s="286"/>
      <c r="N845" s="286"/>
      <c r="O845" s="241"/>
      <c r="P845" s="241"/>
      <c r="Q845" s="241"/>
    </row>
    <row r="846" spans="1:17" ht="13.5" customHeight="1" x14ac:dyDescent="0.3">
      <c r="A846"/>
      <c r="B846" s="286"/>
      <c r="C846" s="286"/>
      <c r="D846" s="286"/>
      <c r="E846" s="286"/>
      <c r="F846" s="241"/>
      <c r="G846" s="241"/>
      <c r="H846" s="241"/>
      <c r="I846"/>
      <c r="J846" s="286"/>
      <c r="K846" s="286"/>
      <c r="L846" s="286"/>
      <c r="M846" s="286"/>
      <c r="N846" s="286"/>
      <c r="O846" s="241"/>
      <c r="P846" s="241"/>
      <c r="Q846" s="241"/>
    </row>
    <row r="847" spans="1:17" ht="13.5" customHeight="1" x14ac:dyDescent="0.3">
      <c r="A847"/>
      <c r="B847" s="286"/>
      <c r="C847" s="286"/>
      <c r="D847" s="286"/>
      <c r="E847" s="286"/>
      <c r="F847" s="241"/>
      <c r="G847" s="241"/>
      <c r="H847" s="241"/>
      <c r="I847"/>
      <c r="J847" s="286"/>
      <c r="K847" s="286"/>
      <c r="L847" s="286"/>
      <c r="M847" s="286"/>
      <c r="N847" s="286"/>
      <c r="O847" s="241"/>
      <c r="P847" s="241"/>
      <c r="Q847" s="241"/>
    </row>
    <row r="848" spans="1:17" ht="13.5" customHeight="1" x14ac:dyDescent="0.3">
      <c r="A848"/>
      <c r="B848" s="286"/>
      <c r="C848" s="286"/>
      <c r="D848" s="286"/>
      <c r="E848" s="286"/>
      <c r="F848" s="241"/>
      <c r="G848" s="241"/>
      <c r="H848" s="241"/>
      <c r="I848"/>
      <c r="J848" s="286"/>
      <c r="K848" s="286"/>
      <c r="L848" s="286"/>
      <c r="M848" s="286"/>
      <c r="N848" s="286"/>
      <c r="O848" s="241"/>
      <c r="P848" s="241"/>
      <c r="Q848" s="241"/>
    </row>
    <row r="849" spans="1:17" ht="13.5" customHeight="1" x14ac:dyDescent="0.3">
      <c r="A849"/>
      <c r="B849" s="286"/>
      <c r="C849" s="286"/>
      <c r="D849" s="286"/>
      <c r="E849" s="286"/>
      <c r="F849" s="241"/>
      <c r="G849" s="241"/>
      <c r="H849" s="241"/>
      <c r="I849"/>
      <c r="J849" s="286"/>
      <c r="K849" s="286"/>
      <c r="L849" s="286"/>
      <c r="M849" s="286"/>
      <c r="N849" s="286"/>
      <c r="O849" s="241"/>
      <c r="P849" s="241"/>
      <c r="Q849" s="241"/>
    </row>
    <row r="850" spans="1:17" ht="13.5" customHeight="1" x14ac:dyDescent="0.3">
      <c r="A850"/>
      <c r="B850" s="286"/>
      <c r="C850" s="286"/>
      <c r="D850" s="286"/>
      <c r="E850" s="286"/>
      <c r="F850" s="241"/>
      <c r="G850" s="241"/>
      <c r="H850" s="241"/>
      <c r="I850"/>
      <c r="J850" s="286"/>
      <c r="K850" s="286"/>
      <c r="L850" s="286"/>
      <c r="M850" s="286"/>
      <c r="N850" s="286"/>
      <c r="O850" s="241"/>
      <c r="P850" s="241"/>
      <c r="Q850" s="241"/>
    </row>
    <row r="851" spans="1:17" ht="13.5" customHeight="1" x14ac:dyDescent="0.3">
      <c r="A851"/>
      <c r="B851" s="286"/>
      <c r="C851" s="286"/>
      <c r="D851" s="286"/>
      <c r="E851" s="286"/>
      <c r="F851" s="241"/>
      <c r="G851" s="241"/>
      <c r="H851" s="241"/>
      <c r="I851"/>
      <c r="J851" s="286"/>
      <c r="K851" s="286"/>
      <c r="L851" s="286"/>
      <c r="M851" s="286"/>
      <c r="N851" s="286"/>
      <c r="O851" s="241"/>
      <c r="P851" s="241"/>
      <c r="Q851" s="241"/>
    </row>
    <row r="852" spans="1:17" ht="13.5" customHeight="1" x14ac:dyDescent="0.3">
      <c r="A852"/>
      <c r="B852" s="286"/>
      <c r="C852" s="286"/>
      <c r="D852" s="286"/>
      <c r="E852" s="286"/>
      <c r="F852" s="241"/>
      <c r="G852" s="241"/>
      <c r="H852" s="241"/>
      <c r="I852"/>
      <c r="J852" s="286"/>
      <c r="K852" s="286"/>
      <c r="L852" s="286"/>
      <c r="M852" s="286"/>
      <c r="N852" s="286"/>
      <c r="O852" s="241"/>
      <c r="P852" s="241"/>
      <c r="Q852" s="241"/>
    </row>
    <row r="853" spans="1:17" ht="13.5" customHeight="1" x14ac:dyDescent="0.3">
      <c r="A853"/>
      <c r="B853" s="286"/>
      <c r="C853" s="286"/>
      <c r="D853" s="286"/>
      <c r="E853" s="286"/>
      <c r="F853" s="241"/>
      <c r="G853" s="241"/>
      <c r="H853" s="241"/>
      <c r="I853"/>
      <c r="J853" s="286"/>
      <c r="K853" s="286"/>
      <c r="L853" s="286"/>
      <c r="M853" s="286"/>
      <c r="N853" s="286"/>
      <c r="O853" s="241"/>
      <c r="P853" s="241"/>
      <c r="Q853" s="241"/>
    </row>
    <row r="854" spans="1:17" ht="13.5" customHeight="1" x14ac:dyDescent="0.3">
      <c r="A854"/>
      <c r="B854" s="286"/>
      <c r="C854" s="286"/>
      <c r="D854" s="286"/>
      <c r="E854" s="286"/>
      <c r="F854" s="241"/>
      <c r="G854" s="241"/>
      <c r="H854" s="241"/>
      <c r="I854"/>
      <c r="J854" s="286"/>
      <c r="K854" s="286"/>
      <c r="L854" s="286"/>
      <c r="M854" s="286"/>
      <c r="N854" s="286"/>
      <c r="O854" s="241"/>
      <c r="P854" s="241"/>
      <c r="Q854" s="241"/>
    </row>
    <row r="855" spans="1:17" ht="13.5" customHeight="1" x14ac:dyDescent="0.3">
      <c r="A855"/>
      <c r="B855" s="286"/>
      <c r="C855" s="286"/>
      <c r="D855" s="286"/>
      <c r="E855" s="286"/>
      <c r="F855" s="241"/>
      <c r="G855" s="241"/>
      <c r="H855" s="241"/>
      <c r="I855"/>
      <c r="J855" s="286"/>
      <c r="K855" s="286"/>
      <c r="L855" s="286"/>
      <c r="M855" s="286"/>
      <c r="N855" s="286"/>
      <c r="O855" s="241"/>
      <c r="P855" s="241"/>
      <c r="Q855" s="241"/>
    </row>
    <row r="856" spans="1:17" ht="13.5" customHeight="1" x14ac:dyDescent="0.3">
      <c r="A856"/>
      <c r="B856" s="286"/>
      <c r="C856" s="286"/>
      <c r="D856" s="286"/>
      <c r="E856" s="286"/>
      <c r="F856" s="241"/>
      <c r="G856" s="241"/>
      <c r="H856" s="241"/>
      <c r="I856"/>
      <c r="J856" s="286"/>
      <c r="K856" s="286"/>
      <c r="L856" s="286"/>
      <c r="M856" s="286"/>
      <c r="N856" s="286"/>
      <c r="O856" s="241"/>
      <c r="P856" s="241"/>
      <c r="Q856" s="241"/>
    </row>
    <row r="857" spans="1:17" ht="13.5" customHeight="1" x14ac:dyDescent="0.3">
      <c r="A857"/>
      <c r="B857" s="286"/>
      <c r="C857" s="286"/>
      <c r="D857" s="286"/>
      <c r="E857" s="286"/>
      <c r="F857" s="241"/>
      <c r="G857" s="241"/>
      <c r="H857" s="241"/>
      <c r="I857"/>
      <c r="J857" s="286"/>
      <c r="K857" s="286"/>
      <c r="L857" s="286"/>
      <c r="M857" s="286"/>
      <c r="N857" s="286"/>
      <c r="O857" s="241"/>
      <c r="P857" s="241"/>
      <c r="Q857" s="241"/>
    </row>
    <row r="858" spans="1:17" ht="13.5" customHeight="1" x14ac:dyDescent="0.3">
      <c r="A858"/>
      <c r="B858" s="286"/>
      <c r="C858" s="286"/>
      <c r="D858" s="286"/>
      <c r="E858" s="286"/>
      <c r="F858" s="241"/>
      <c r="G858" s="241"/>
      <c r="H858" s="241"/>
      <c r="I858"/>
      <c r="J858" s="286"/>
      <c r="K858" s="286"/>
      <c r="L858" s="286"/>
      <c r="M858" s="286"/>
      <c r="N858" s="286"/>
      <c r="O858" s="241"/>
      <c r="P858" s="241"/>
      <c r="Q858" s="241"/>
    </row>
    <row r="859" spans="1:17" ht="13.5" customHeight="1" x14ac:dyDescent="0.3">
      <c r="A859"/>
      <c r="B859" s="286"/>
      <c r="C859" s="286"/>
      <c r="D859" s="286"/>
      <c r="E859" s="286"/>
      <c r="F859" s="241"/>
      <c r="G859" s="241"/>
      <c r="H859" s="241"/>
      <c r="I859"/>
      <c r="J859" s="286"/>
      <c r="K859" s="286"/>
      <c r="L859" s="286"/>
      <c r="M859" s="286"/>
      <c r="N859" s="286"/>
      <c r="O859" s="241"/>
      <c r="P859" s="241"/>
      <c r="Q859" s="241"/>
    </row>
    <row r="860" spans="1:17" ht="13.5" customHeight="1" x14ac:dyDescent="0.3">
      <c r="A860"/>
      <c r="B860" s="286"/>
      <c r="C860" s="286"/>
      <c r="D860" s="286"/>
      <c r="E860" s="286"/>
      <c r="F860" s="241"/>
      <c r="G860" s="241"/>
      <c r="H860" s="241"/>
      <c r="I860"/>
      <c r="J860" s="286"/>
      <c r="K860" s="286"/>
      <c r="L860" s="286"/>
      <c r="M860" s="286"/>
      <c r="N860" s="286"/>
      <c r="O860" s="241"/>
      <c r="P860" s="241"/>
      <c r="Q860" s="241"/>
    </row>
    <row r="861" spans="1:17" ht="13.5" customHeight="1" x14ac:dyDescent="0.3">
      <c r="A861"/>
      <c r="B861" s="286"/>
      <c r="C861" s="286"/>
      <c r="D861" s="286"/>
      <c r="E861" s="286"/>
      <c r="F861" s="241"/>
      <c r="G861" s="241"/>
      <c r="H861" s="241"/>
      <c r="I861"/>
      <c r="J861" s="286"/>
      <c r="K861" s="286"/>
      <c r="L861" s="286"/>
      <c r="M861" s="286"/>
      <c r="N861" s="286"/>
      <c r="O861" s="241"/>
      <c r="P861" s="241"/>
      <c r="Q861" s="241"/>
    </row>
    <row r="862" spans="1:17" ht="13.5" customHeight="1" x14ac:dyDescent="0.3">
      <c r="A862"/>
      <c r="B862" s="286"/>
      <c r="C862" s="286"/>
      <c r="D862" s="286"/>
      <c r="E862" s="286"/>
      <c r="F862" s="241"/>
      <c r="G862" s="241"/>
      <c r="H862" s="241"/>
      <c r="I862"/>
      <c r="J862" s="286"/>
      <c r="K862" s="286"/>
      <c r="L862" s="286"/>
      <c r="M862" s="286"/>
      <c r="N862" s="286"/>
      <c r="O862" s="241"/>
      <c r="P862" s="241"/>
      <c r="Q862" s="241"/>
    </row>
    <row r="863" spans="1:17" ht="13.5" customHeight="1" x14ac:dyDescent="0.3">
      <c r="A863"/>
      <c r="B863" s="286"/>
      <c r="C863" s="286"/>
      <c r="D863" s="286"/>
      <c r="E863" s="286"/>
      <c r="F863" s="241"/>
      <c r="G863" s="241"/>
      <c r="H863" s="241"/>
      <c r="I863"/>
      <c r="J863" s="286"/>
      <c r="K863" s="286"/>
      <c r="L863" s="286"/>
      <c r="M863" s="286"/>
      <c r="N863" s="286"/>
      <c r="O863" s="241"/>
      <c r="P863" s="241"/>
      <c r="Q863" s="241"/>
    </row>
    <row r="864" spans="1:17" ht="13.5" customHeight="1" x14ac:dyDescent="0.3">
      <c r="A864"/>
      <c r="B864" s="286"/>
      <c r="C864" s="286"/>
      <c r="D864" s="286"/>
      <c r="E864" s="286"/>
      <c r="F864" s="241"/>
      <c r="G864" s="241"/>
      <c r="H864" s="241"/>
      <c r="I864"/>
      <c r="J864" s="286"/>
      <c r="K864" s="286"/>
      <c r="L864" s="286"/>
      <c r="M864" s="286"/>
      <c r="N864" s="286"/>
      <c r="O864" s="241"/>
      <c r="P864" s="241"/>
      <c r="Q864" s="241"/>
    </row>
    <row r="865" spans="1:17" ht="13.5" customHeight="1" x14ac:dyDescent="0.3">
      <c r="A865"/>
      <c r="B865" s="286"/>
      <c r="C865" s="286"/>
      <c r="D865" s="286"/>
      <c r="E865" s="286"/>
      <c r="F865" s="241"/>
      <c r="G865" s="241"/>
      <c r="H865" s="241"/>
      <c r="I865"/>
      <c r="J865" s="286"/>
      <c r="K865" s="286"/>
      <c r="L865" s="286"/>
      <c r="M865" s="286"/>
      <c r="N865" s="286"/>
      <c r="O865" s="241"/>
      <c r="P865" s="241"/>
      <c r="Q865" s="241"/>
    </row>
    <row r="866" spans="1:17" ht="13.5" customHeight="1" x14ac:dyDescent="0.3">
      <c r="A866"/>
      <c r="B866" s="286"/>
      <c r="C866" s="286"/>
      <c r="D866" s="286"/>
      <c r="E866" s="286"/>
      <c r="F866" s="241"/>
      <c r="G866" s="241"/>
      <c r="H866" s="241"/>
      <c r="I866"/>
      <c r="J866" s="286"/>
      <c r="K866" s="286"/>
      <c r="L866" s="286"/>
      <c r="M866" s="286"/>
      <c r="N866" s="286"/>
      <c r="O866" s="241"/>
      <c r="P866" s="241"/>
      <c r="Q866" s="241"/>
    </row>
    <row r="867" spans="1:17" ht="13.5" customHeight="1" x14ac:dyDescent="0.3">
      <c r="A867"/>
      <c r="B867" s="286"/>
      <c r="C867" s="286"/>
      <c r="D867" s="286"/>
      <c r="E867" s="286"/>
      <c r="F867" s="241"/>
      <c r="G867" s="241"/>
      <c r="H867" s="241"/>
      <c r="I867"/>
      <c r="J867" s="286"/>
      <c r="K867" s="286"/>
      <c r="L867" s="286"/>
      <c r="M867" s="286"/>
      <c r="N867" s="286"/>
      <c r="O867" s="241"/>
      <c r="P867" s="241"/>
      <c r="Q867" s="241"/>
    </row>
    <row r="868" spans="1:17" ht="13.5" customHeight="1" x14ac:dyDescent="0.3">
      <c r="A868"/>
      <c r="B868" s="286"/>
      <c r="C868" s="286"/>
      <c r="D868" s="286"/>
      <c r="E868" s="286"/>
      <c r="F868" s="241"/>
      <c r="G868" s="241"/>
      <c r="H868" s="241"/>
      <c r="I868"/>
      <c r="J868" s="286"/>
      <c r="K868" s="286"/>
      <c r="L868" s="286"/>
      <c r="M868" s="286"/>
      <c r="N868" s="286"/>
      <c r="O868" s="241"/>
      <c r="P868" s="241"/>
      <c r="Q868" s="241"/>
    </row>
    <row r="869" spans="1:17" ht="13.5" customHeight="1" x14ac:dyDescent="0.3">
      <c r="A869"/>
      <c r="B869" s="286"/>
      <c r="C869" s="286"/>
      <c r="D869" s="286"/>
      <c r="E869" s="286"/>
      <c r="F869" s="241"/>
      <c r="G869" s="241"/>
      <c r="H869" s="241"/>
      <c r="I869"/>
      <c r="J869" s="286"/>
      <c r="K869" s="286"/>
      <c r="L869" s="286"/>
      <c r="M869" s="286"/>
      <c r="N869" s="286"/>
      <c r="O869" s="241"/>
      <c r="P869" s="241"/>
      <c r="Q869" s="241"/>
    </row>
    <row r="870" spans="1:17" ht="13.5" customHeight="1" x14ac:dyDescent="0.3">
      <c r="A870"/>
      <c r="B870" s="286"/>
      <c r="C870" s="286"/>
      <c r="D870" s="286"/>
      <c r="E870" s="286"/>
      <c r="F870" s="241"/>
      <c r="G870" s="241"/>
      <c r="H870" s="241"/>
      <c r="I870"/>
      <c r="J870" s="286"/>
      <c r="K870" s="286"/>
      <c r="L870" s="286"/>
      <c r="M870" s="286"/>
      <c r="N870" s="286"/>
      <c r="O870" s="241"/>
      <c r="P870" s="241"/>
      <c r="Q870" s="241"/>
    </row>
    <row r="871" spans="1:17" ht="13.5" customHeight="1" x14ac:dyDescent="0.3">
      <c r="A871"/>
      <c r="B871" s="286"/>
      <c r="C871" s="286"/>
      <c r="D871" s="286"/>
      <c r="E871" s="286"/>
      <c r="F871" s="241"/>
      <c r="G871" s="241"/>
      <c r="H871" s="241"/>
      <c r="I871"/>
      <c r="J871" s="286"/>
      <c r="K871" s="286"/>
      <c r="L871" s="286"/>
      <c r="M871" s="286"/>
      <c r="N871" s="286"/>
      <c r="O871" s="241"/>
      <c r="P871" s="241"/>
      <c r="Q871" s="241"/>
    </row>
    <row r="872" spans="1:17" ht="13.5" customHeight="1" x14ac:dyDescent="0.3">
      <c r="A872"/>
      <c r="B872" s="286"/>
      <c r="C872" s="286"/>
      <c r="D872" s="286"/>
      <c r="E872" s="286"/>
      <c r="F872" s="241"/>
      <c r="G872" s="241"/>
      <c r="H872" s="241"/>
      <c r="I872"/>
      <c r="J872" s="286"/>
      <c r="K872" s="286"/>
      <c r="L872" s="286"/>
      <c r="M872" s="286"/>
      <c r="N872" s="286"/>
      <c r="O872" s="241"/>
      <c r="P872" s="241"/>
      <c r="Q872" s="241"/>
    </row>
    <row r="873" spans="1:17" ht="13.5" customHeight="1" x14ac:dyDescent="0.3">
      <c r="A873"/>
      <c r="B873" s="286"/>
      <c r="C873" s="286"/>
      <c r="D873" s="286"/>
      <c r="E873" s="286"/>
      <c r="F873" s="241"/>
      <c r="G873" s="241"/>
      <c r="H873" s="241"/>
      <c r="I873"/>
      <c r="J873" s="286"/>
      <c r="K873" s="286"/>
      <c r="L873" s="286"/>
      <c r="M873" s="286"/>
      <c r="N873" s="286"/>
      <c r="O873" s="241"/>
      <c r="P873" s="241"/>
      <c r="Q873" s="241"/>
    </row>
    <row r="874" spans="1:17" ht="13.5" customHeight="1" x14ac:dyDescent="0.3">
      <c r="A874"/>
      <c r="B874" s="286"/>
      <c r="C874" s="286"/>
      <c r="D874" s="286"/>
      <c r="E874" s="286"/>
      <c r="F874" s="241"/>
      <c r="G874" s="241"/>
      <c r="H874" s="241"/>
      <c r="I874"/>
      <c r="J874" s="286"/>
      <c r="K874" s="286"/>
      <c r="L874" s="286"/>
      <c r="M874" s="286"/>
      <c r="N874" s="286"/>
      <c r="O874" s="241"/>
      <c r="P874" s="241"/>
      <c r="Q874" s="241"/>
    </row>
    <row r="875" spans="1:17" ht="13.5" customHeight="1" x14ac:dyDescent="0.3">
      <c r="A875"/>
      <c r="B875" s="286"/>
      <c r="C875" s="286"/>
      <c r="D875" s="286"/>
      <c r="E875" s="286"/>
      <c r="F875" s="241"/>
      <c r="G875" s="241"/>
      <c r="H875" s="241"/>
      <c r="I875"/>
      <c r="J875" s="286"/>
      <c r="K875" s="286"/>
      <c r="L875" s="286"/>
      <c r="M875" s="286"/>
      <c r="N875" s="286"/>
      <c r="O875" s="241"/>
      <c r="P875" s="241"/>
      <c r="Q875" s="241"/>
    </row>
    <row r="876" spans="1:17" ht="13.5" customHeight="1" x14ac:dyDescent="0.3">
      <c r="A876"/>
      <c r="B876" s="286"/>
      <c r="C876" s="286"/>
      <c r="D876" s="286"/>
      <c r="E876" s="286"/>
      <c r="F876" s="241"/>
      <c r="G876" s="241"/>
      <c r="H876" s="241"/>
      <c r="I876"/>
      <c r="J876" s="286"/>
      <c r="K876" s="286"/>
      <c r="L876" s="286"/>
      <c r="M876" s="286"/>
      <c r="N876" s="286"/>
      <c r="O876" s="241"/>
      <c r="P876" s="241"/>
      <c r="Q876" s="241"/>
    </row>
    <row r="877" spans="1:17" ht="13.5" customHeight="1" x14ac:dyDescent="0.3">
      <c r="A877"/>
      <c r="B877" s="286"/>
      <c r="C877" s="286"/>
      <c r="D877" s="286"/>
      <c r="E877" s="286"/>
      <c r="F877" s="241"/>
      <c r="G877" s="241"/>
      <c r="H877" s="241"/>
      <c r="I877"/>
      <c r="J877" s="286"/>
      <c r="K877" s="286"/>
      <c r="L877" s="286"/>
      <c r="M877" s="286"/>
      <c r="N877" s="286"/>
      <c r="O877" s="241"/>
      <c r="P877" s="241"/>
      <c r="Q877" s="241"/>
    </row>
    <row r="878" spans="1:17" ht="13.5" customHeight="1" x14ac:dyDescent="0.3">
      <c r="A878"/>
      <c r="B878" s="286"/>
      <c r="C878" s="286"/>
      <c r="D878" s="286"/>
      <c r="E878" s="286"/>
      <c r="F878" s="241"/>
      <c r="G878" s="241"/>
      <c r="H878" s="241"/>
      <c r="I878"/>
      <c r="J878" s="286"/>
      <c r="K878" s="286"/>
      <c r="L878" s="286"/>
      <c r="M878" s="286"/>
      <c r="N878" s="286"/>
      <c r="O878" s="241"/>
      <c r="P878" s="241"/>
      <c r="Q878" s="241"/>
    </row>
    <row r="879" spans="1:17" ht="13.5" customHeight="1" x14ac:dyDescent="0.3">
      <c r="A879"/>
      <c r="B879" s="286"/>
      <c r="C879" s="286"/>
      <c r="D879" s="286"/>
      <c r="E879" s="286"/>
      <c r="F879" s="241"/>
      <c r="G879" s="241"/>
      <c r="H879" s="241"/>
      <c r="I879"/>
      <c r="J879" s="286"/>
      <c r="K879" s="286"/>
      <c r="L879" s="286"/>
      <c r="M879" s="286"/>
      <c r="N879" s="286"/>
      <c r="O879" s="241"/>
      <c r="P879" s="241"/>
      <c r="Q879" s="241"/>
    </row>
    <row r="880" spans="1:17" ht="13.5" customHeight="1" x14ac:dyDescent="0.3">
      <c r="A880"/>
      <c r="B880" s="286"/>
      <c r="C880" s="286"/>
      <c r="D880" s="286"/>
      <c r="E880" s="286"/>
      <c r="F880" s="241"/>
      <c r="G880" s="241"/>
      <c r="H880" s="241"/>
      <c r="I880"/>
      <c r="J880" s="286"/>
      <c r="K880" s="286"/>
      <c r="L880" s="286"/>
      <c r="M880" s="286"/>
      <c r="N880" s="286"/>
      <c r="O880" s="241"/>
      <c r="P880" s="241"/>
      <c r="Q880" s="241"/>
    </row>
    <row r="881" spans="1:17" ht="13.5" customHeight="1" x14ac:dyDescent="0.3">
      <c r="A881"/>
      <c r="B881" s="286"/>
      <c r="C881" s="286"/>
      <c r="D881" s="286"/>
      <c r="E881" s="286"/>
      <c r="F881" s="241"/>
      <c r="G881" s="241"/>
      <c r="H881" s="241"/>
      <c r="I881"/>
      <c r="J881" s="286"/>
      <c r="K881" s="286"/>
      <c r="L881" s="286"/>
      <c r="M881" s="286"/>
      <c r="N881" s="286"/>
      <c r="O881" s="241"/>
      <c r="P881" s="241"/>
      <c r="Q881" s="241"/>
    </row>
    <row r="882" spans="1:17" ht="13.5" customHeight="1" x14ac:dyDescent="0.3">
      <c r="A882"/>
      <c r="B882" s="286"/>
      <c r="C882" s="286"/>
      <c r="D882" s="286"/>
      <c r="E882" s="286"/>
      <c r="F882" s="241"/>
      <c r="G882" s="241"/>
      <c r="H882" s="241"/>
      <c r="I882"/>
      <c r="J882" s="286"/>
      <c r="K882" s="286"/>
      <c r="L882" s="286"/>
      <c r="M882" s="286"/>
      <c r="N882" s="286"/>
      <c r="O882" s="241"/>
      <c r="P882" s="241"/>
      <c r="Q882" s="241"/>
    </row>
    <row r="883" spans="1:17" ht="13.5" customHeight="1" x14ac:dyDescent="0.3">
      <c r="A883"/>
      <c r="B883" s="286"/>
      <c r="C883" s="286"/>
      <c r="D883" s="286"/>
      <c r="E883" s="286"/>
      <c r="F883" s="241"/>
      <c r="G883" s="241"/>
      <c r="H883" s="241"/>
      <c r="I883"/>
      <c r="J883" s="286"/>
      <c r="K883" s="286"/>
      <c r="L883" s="286"/>
      <c r="M883" s="286"/>
      <c r="N883" s="286"/>
      <c r="O883" s="241"/>
      <c r="P883" s="241"/>
      <c r="Q883" s="241"/>
    </row>
    <row r="884" spans="1:17" ht="13.5" customHeight="1" x14ac:dyDescent="0.3">
      <c r="A884"/>
      <c r="B884" s="286"/>
      <c r="C884" s="286"/>
      <c r="D884" s="286"/>
      <c r="E884" s="286"/>
      <c r="F884" s="241"/>
      <c r="G884" s="241"/>
      <c r="H884" s="241"/>
      <c r="I884"/>
      <c r="J884" s="286"/>
      <c r="K884" s="286"/>
      <c r="L884" s="286"/>
      <c r="M884" s="286"/>
      <c r="N884" s="286"/>
      <c r="O884" s="241"/>
      <c r="P884" s="241"/>
      <c r="Q884" s="241"/>
    </row>
    <row r="885" spans="1:17" ht="13.5" customHeight="1" x14ac:dyDescent="0.3">
      <c r="A885"/>
      <c r="B885" s="286"/>
      <c r="C885" s="286"/>
      <c r="D885" s="286"/>
      <c r="E885" s="286"/>
      <c r="F885" s="241"/>
      <c r="G885" s="241"/>
      <c r="H885" s="241"/>
      <c r="I885"/>
      <c r="J885" s="286"/>
      <c r="K885" s="286"/>
      <c r="L885" s="286"/>
      <c r="M885" s="286"/>
      <c r="N885" s="286"/>
      <c r="O885" s="241"/>
      <c r="P885" s="241"/>
      <c r="Q885" s="241"/>
    </row>
    <row r="886" spans="1:17" ht="13.5" customHeight="1" x14ac:dyDescent="0.3">
      <c r="A886"/>
      <c r="B886" s="286"/>
      <c r="C886" s="286"/>
      <c r="D886" s="286"/>
      <c r="E886" s="286"/>
      <c r="F886" s="241"/>
      <c r="G886" s="241"/>
      <c r="H886" s="241"/>
      <c r="I886"/>
      <c r="J886" s="286"/>
      <c r="K886" s="286"/>
      <c r="L886" s="286"/>
      <c r="M886" s="286"/>
      <c r="N886" s="286"/>
      <c r="O886" s="241"/>
      <c r="P886" s="241"/>
      <c r="Q886" s="241"/>
    </row>
    <row r="887" spans="1:17" ht="13.5" customHeight="1" x14ac:dyDescent="0.3">
      <c r="A887"/>
      <c r="B887" s="286"/>
      <c r="C887" s="286"/>
      <c r="D887" s="286"/>
      <c r="E887" s="286"/>
      <c r="F887" s="241"/>
      <c r="G887" s="241"/>
      <c r="H887" s="241"/>
      <c r="I887"/>
      <c r="J887" s="286"/>
      <c r="K887" s="286"/>
      <c r="L887" s="286"/>
      <c r="M887" s="286"/>
      <c r="N887" s="286"/>
      <c r="O887" s="241"/>
      <c r="P887" s="241"/>
      <c r="Q887" s="241"/>
    </row>
    <row r="888" spans="1:17" ht="13.5" customHeight="1" x14ac:dyDescent="0.3">
      <c r="A888"/>
      <c r="B888" s="286"/>
      <c r="C888" s="286"/>
      <c r="D888" s="286"/>
      <c r="E888" s="286"/>
      <c r="F888" s="241"/>
      <c r="G888" s="241"/>
      <c r="H888" s="241"/>
      <c r="I888"/>
      <c r="J888" s="286"/>
      <c r="K888" s="286"/>
      <c r="L888" s="286"/>
      <c r="M888" s="286"/>
      <c r="N888" s="286"/>
      <c r="O888" s="241"/>
      <c r="P888" s="241"/>
      <c r="Q888" s="241"/>
    </row>
    <row r="889" spans="1:17" ht="13.5" customHeight="1" x14ac:dyDescent="0.3">
      <c r="A889"/>
      <c r="B889" s="286"/>
      <c r="C889" s="286"/>
      <c r="D889" s="286"/>
      <c r="E889" s="286"/>
      <c r="F889" s="241"/>
      <c r="G889" s="241"/>
      <c r="H889" s="241"/>
      <c r="I889"/>
      <c r="J889" s="286"/>
      <c r="K889" s="286"/>
      <c r="L889" s="286"/>
      <c r="M889" s="286"/>
      <c r="N889" s="286"/>
      <c r="O889" s="241"/>
      <c r="P889" s="241"/>
      <c r="Q889" s="241"/>
    </row>
    <row r="890" spans="1:17" ht="13.5" customHeight="1" x14ac:dyDescent="0.3">
      <c r="A890"/>
      <c r="B890" s="286"/>
      <c r="C890" s="286"/>
      <c r="D890" s="286"/>
      <c r="E890" s="286"/>
      <c r="F890" s="241"/>
      <c r="G890" s="241"/>
      <c r="H890" s="241"/>
      <c r="I890"/>
      <c r="J890" s="286"/>
      <c r="K890" s="286"/>
      <c r="L890" s="286"/>
      <c r="M890" s="286"/>
      <c r="N890" s="286"/>
      <c r="O890" s="241"/>
      <c r="P890" s="241"/>
      <c r="Q890" s="241"/>
    </row>
    <row r="891" spans="1:17" ht="13.5" customHeight="1" x14ac:dyDescent="0.3">
      <c r="A891"/>
      <c r="B891" s="286"/>
      <c r="C891" s="286"/>
      <c r="D891" s="286"/>
      <c r="E891" s="286"/>
      <c r="F891" s="241"/>
      <c r="G891" s="241"/>
      <c r="H891" s="241"/>
      <c r="I891"/>
      <c r="J891" s="286"/>
      <c r="K891" s="286"/>
      <c r="L891" s="286"/>
      <c r="M891" s="286"/>
      <c r="N891" s="286"/>
      <c r="O891" s="241"/>
      <c r="P891" s="241"/>
      <c r="Q891" s="241"/>
    </row>
    <row r="892" spans="1:17" ht="13.5" customHeight="1" x14ac:dyDescent="0.3">
      <c r="A892"/>
      <c r="B892" s="286"/>
      <c r="C892" s="286"/>
      <c r="D892" s="286"/>
      <c r="E892" s="286"/>
      <c r="F892" s="241"/>
      <c r="G892" s="241"/>
      <c r="H892" s="241"/>
      <c r="I892"/>
      <c r="J892" s="286"/>
      <c r="K892" s="286"/>
      <c r="L892" s="286"/>
      <c r="M892" s="286"/>
      <c r="N892" s="286"/>
      <c r="O892" s="241"/>
      <c r="P892" s="241"/>
      <c r="Q892" s="241"/>
    </row>
    <row r="893" spans="1:17" ht="13.5" customHeight="1" x14ac:dyDescent="0.3">
      <c r="A893"/>
      <c r="B893" s="286"/>
      <c r="C893" s="286"/>
      <c r="D893" s="286"/>
      <c r="E893" s="286"/>
      <c r="F893" s="241"/>
      <c r="G893" s="241"/>
      <c r="H893" s="241"/>
      <c r="I893"/>
      <c r="J893" s="286"/>
      <c r="K893" s="286"/>
      <c r="L893" s="286"/>
      <c r="M893" s="286"/>
      <c r="N893" s="286"/>
      <c r="O893" s="241"/>
      <c r="P893" s="241"/>
      <c r="Q893" s="241"/>
    </row>
    <row r="894" spans="1:17" ht="13.5" customHeight="1" x14ac:dyDescent="0.3">
      <c r="A894"/>
      <c r="B894" s="286"/>
      <c r="C894" s="286"/>
      <c r="D894" s="286"/>
      <c r="E894" s="286"/>
      <c r="F894" s="241"/>
      <c r="G894" s="241"/>
      <c r="H894" s="241"/>
      <c r="I894"/>
      <c r="J894" s="286"/>
      <c r="K894" s="286"/>
      <c r="L894" s="286"/>
      <c r="M894" s="286"/>
      <c r="N894" s="286"/>
      <c r="O894" s="241"/>
      <c r="P894" s="241"/>
      <c r="Q894" s="241"/>
    </row>
    <row r="895" spans="1:17" ht="13.5" customHeight="1" x14ac:dyDescent="0.3">
      <c r="A895"/>
      <c r="B895" s="286"/>
      <c r="C895" s="286"/>
      <c r="D895" s="286"/>
      <c r="E895" s="286"/>
      <c r="F895" s="241"/>
      <c r="G895" s="241"/>
      <c r="H895" s="241"/>
      <c r="I895"/>
      <c r="J895" s="286"/>
      <c r="K895" s="286"/>
      <c r="L895" s="286"/>
      <c r="M895" s="286"/>
      <c r="N895" s="286"/>
      <c r="O895" s="241"/>
      <c r="P895" s="241"/>
      <c r="Q895" s="241"/>
    </row>
    <row r="896" spans="1:17" ht="13.5" customHeight="1" x14ac:dyDescent="0.3">
      <c r="A896"/>
      <c r="B896" s="286"/>
      <c r="C896" s="286"/>
      <c r="D896" s="286"/>
      <c r="E896" s="286"/>
      <c r="F896" s="241"/>
      <c r="G896" s="241"/>
      <c r="H896" s="241"/>
      <c r="I896"/>
      <c r="J896" s="286"/>
      <c r="K896" s="286"/>
      <c r="L896" s="286"/>
      <c r="M896" s="286"/>
      <c r="N896" s="286"/>
      <c r="O896" s="241"/>
      <c r="P896" s="241"/>
      <c r="Q896" s="241"/>
    </row>
    <row r="897" spans="1:17" ht="13.5" customHeight="1" x14ac:dyDescent="0.3">
      <c r="A897"/>
      <c r="B897" s="286"/>
      <c r="C897" s="286"/>
      <c r="D897" s="286"/>
      <c r="E897" s="286"/>
      <c r="F897" s="241"/>
      <c r="G897" s="241"/>
      <c r="H897" s="241"/>
      <c r="I897"/>
      <c r="J897" s="286"/>
      <c r="K897" s="286"/>
      <c r="L897" s="286"/>
      <c r="M897" s="286"/>
      <c r="N897" s="286"/>
      <c r="O897" s="241"/>
      <c r="P897" s="241"/>
      <c r="Q897" s="241"/>
    </row>
    <row r="898" spans="1:17" ht="13.5" customHeight="1" x14ac:dyDescent="0.3">
      <c r="A898"/>
      <c r="B898" s="286"/>
      <c r="C898" s="286"/>
      <c r="D898" s="286"/>
      <c r="E898" s="286"/>
      <c r="F898" s="241"/>
      <c r="G898" s="241"/>
      <c r="H898" s="241"/>
      <c r="I898"/>
      <c r="J898" s="286"/>
      <c r="K898" s="286"/>
      <c r="L898" s="286"/>
      <c r="M898" s="286"/>
      <c r="N898" s="286"/>
      <c r="O898" s="241"/>
      <c r="P898" s="241"/>
      <c r="Q898" s="241"/>
    </row>
    <row r="899" spans="1:17" ht="13.5" customHeight="1" x14ac:dyDescent="0.3">
      <c r="A899"/>
      <c r="B899" s="286"/>
      <c r="C899" s="286"/>
      <c r="D899" s="286"/>
      <c r="E899" s="286"/>
      <c r="F899" s="241"/>
      <c r="G899" s="241"/>
      <c r="H899" s="241"/>
      <c r="I899"/>
      <c r="J899" s="286"/>
      <c r="K899" s="286"/>
      <c r="L899" s="286"/>
      <c r="M899" s="286"/>
      <c r="N899" s="286"/>
      <c r="O899" s="241"/>
      <c r="P899" s="241"/>
      <c r="Q899" s="241"/>
    </row>
    <row r="900" spans="1:17" ht="13.5" customHeight="1" x14ac:dyDescent="0.3">
      <c r="A900"/>
      <c r="B900" s="286"/>
      <c r="C900" s="286"/>
      <c r="D900" s="286"/>
      <c r="E900" s="286"/>
      <c r="F900" s="241"/>
      <c r="G900" s="241"/>
      <c r="H900" s="241"/>
      <c r="I900"/>
      <c r="J900" s="286"/>
      <c r="K900" s="286"/>
      <c r="L900" s="286"/>
      <c r="M900" s="286"/>
      <c r="N900" s="286"/>
      <c r="O900" s="241"/>
      <c r="P900" s="241"/>
      <c r="Q900" s="241"/>
    </row>
    <row r="901" spans="1:17" ht="13.5" customHeight="1" x14ac:dyDescent="0.3">
      <c r="A901"/>
      <c r="B901" s="286"/>
      <c r="C901" s="286"/>
      <c r="D901" s="286"/>
      <c r="E901" s="286"/>
      <c r="F901" s="241"/>
      <c r="G901" s="241"/>
      <c r="H901" s="241"/>
      <c r="I901"/>
      <c r="J901" s="286"/>
      <c r="K901" s="286"/>
      <c r="L901" s="286"/>
      <c r="M901" s="286"/>
      <c r="N901" s="286"/>
      <c r="O901" s="241"/>
      <c r="P901" s="241"/>
      <c r="Q901" s="241"/>
    </row>
    <row r="902" spans="1:17" ht="13.5" customHeight="1" x14ac:dyDescent="0.3">
      <c r="A902"/>
      <c r="B902" s="286"/>
      <c r="C902" s="286"/>
      <c r="D902" s="286"/>
      <c r="E902" s="286"/>
      <c r="F902" s="241"/>
      <c r="G902" s="241"/>
      <c r="H902" s="241"/>
      <c r="I902"/>
      <c r="J902" s="286"/>
      <c r="K902" s="286"/>
      <c r="L902" s="286"/>
      <c r="M902" s="286"/>
      <c r="N902" s="286"/>
      <c r="O902" s="241"/>
      <c r="P902" s="241"/>
      <c r="Q902" s="241"/>
    </row>
    <row r="903" spans="1:17" ht="13.5" customHeight="1" x14ac:dyDescent="0.3">
      <c r="A903"/>
      <c r="B903" s="286"/>
      <c r="C903" s="286"/>
      <c r="D903" s="286"/>
      <c r="E903" s="286"/>
      <c r="F903" s="241"/>
      <c r="G903" s="241"/>
      <c r="H903" s="241"/>
      <c r="I903"/>
      <c r="J903" s="286"/>
      <c r="K903" s="286"/>
      <c r="L903" s="286"/>
      <c r="M903" s="286"/>
      <c r="N903" s="286"/>
      <c r="O903" s="241"/>
      <c r="P903" s="241"/>
      <c r="Q903" s="241"/>
    </row>
    <row r="904" spans="1:17" ht="13.5" customHeight="1" x14ac:dyDescent="0.3">
      <c r="A904"/>
      <c r="B904" s="286"/>
      <c r="C904" s="286"/>
      <c r="D904" s="286"/>
      <c r="E904" s="286"/>
      <c r="F904" s="241"/>
      <c r="G904" s="241"/>
      <c r="H904" s="241"/>
      <c r="I904"/>
      <c r="J904" s="286"/>
      <c r="K904" s="286"/>
      <c r="L904" s="286"/>
      <c r="M904" s="286"/>
      <c r="N904" s="286"/>
      <c r="O904" s="241"/>
      <c r="P904" s="241"/>
      <c r="Q904" s="241"/>
    </row>
    <row r="905" spans="1:17" ht="13.5" customHeight="1" x14ac:dyDescent="0.3">
      <c r="A905"/>
      <c r="B905" s="286"/>
      <c r="C905" s="286"/>
      <c r="D905" s="286"/>
      <c r="E905" s="286"/>
      <c r="F905" s="241"/>
      <c r="G905" s="241"/>
      <c r="H905" s="241"/>
      <c r="I905"/>
      <c r="J905" s="286"/>
      <c r="K905" s="286"/>
      <c r="L905" s="286"/>
      <c r="M905" s="286"/>
      <c r="N905" s="286"/>
      <c r="O905" s="241"/>
      <c r="P905" s="241"/>
      <c r="Q905" s="241"/>
    </row>
    <row r="906" spans="1:17" ht="13.5" customHeight="1" x14ac:dyDescent="0.3">
      <c r="A906"/>
      <c r="B906" s="286"/>
      <c r="C906" s="286"/>
      <c r="D906" s="286"/>
      <c r="E906" s="286"/>
      <c r="F906" s="241"/>
      <c r="G906" s="241"/>
      <c r="H906" s="241"/>
      <c r="I906"/>
      <c r="J906" s="286"/>
      <c r="K906" s="286"/>
      <c r="L906" s="286"/>
      <c r="M906" s="286"/>
      <c r="N906" s="286"/>
      <c r="O906" s="241"/>
      <c r="P906" s="241"/>
      <c r="Q906" s="241"/>
    </row>
    <row r="907" spans="1:17" ht="13.5" customHeight="1" x14ac:dyDescent="0.3">
      <c r="A907"/>
      <c r="B907" s="286"/>
      <c r="C907" s="286"/>
      <c r="D907" s="286"/>
      <c r="E907" s="286"/>
      <c r="F907" s="241"/>
      <c r="G907" s="241"/>
      <c r="H907" s="241"/>
      <c r="I907"/>
      <c r="J907" s="286"/>
      <c r="K907" s="286"/>
      <c r="L907" s="286"/>
      <c r="M907" s="286"/>
      <c r="N907" s="286"/>
      <c r="O907" s="241"/>
      <c r="P907" s="241"/>
      <c r="Q907" s="241"/>
    </row>
    <row r="908" spans="1:17" ht="13.5" customHeight="1" x14ac:dyDescent="0.3">
      <c r="A908"/>
      <c r="B908" s="286"/>
      <c r="C908" s="286"/>
      <c r="D908" s="286"/>
      <c r="E908" s="286"/>
      <c r="F908" s="241"/>
      <c r="G908" s="241"/>
      <c r="H908" s="241"/>
      <c r="I908"/>
      <c r="J908" s="286"/>
      <c r="K908" s="286"/>
      <c r="L908" s="286"/>
      <c r="M908" s="286"/>
      <c r="N908" s="286"/>
      <c r="O908" s="241"/>
      <c r="P908" s="241"/>
      <c r="Q908" s="241"/>
    </row>
    <row r="909" spans="1:17" ht="13.5" customHeight="1" x14ac:dyDescent="0.3">
      <c r="A909"/>
      <c r="B909" s="286"/>
      <c r="C909" s="286"/>
      <c r="D909" s="286"/>
      <c r="E909" s="286"/>
      <c r="F909" s="241"/>
      <c r="G909" s="241"/>
      <c r="H909" s="241"/>
      <c r="I909"/>
      <c r="J909" s="286"/>
      <c r="K909" s="286"/>
      <c r="L909" s="286"/>
      <c r="M909" s="286"/>
      <c r="N909" s="286"/>
      <c r="O909" s="241"/>
      <c r="P909" s="241"/>
      <c r="Q909" s="241"/>
    </row>
    <row r="910" spans="1:17" ht="13.5" customHeight="1" x14ac:dyDescent="0.3">
      <c r="A910"/>
      <c r="B910" s="286"/>
      <c r="C910" s="286"/>
      <c r="D910" s="286"/>
      <c r="E910" s="286"/>
      <c r="F910" s="241"/>
      <c r="G910" s="241"/>
      <c r="H910" s="241"/>
      <c r="I910"/>
      <c r="J910" s="286"/>
      <c r="K910" s="286"/>
      <c r="L910" s="286"/>
      <c r="M910" s="286"/>
      <c r="N910" s="286"/>
      <c r="O910" s="241"/>
      <c r="P910" s="241"/>
      <c r="Q910" s="241"/>
    </row>
    <row r="911" spans="1:17" ht="13.5" customHeight="1" x14ac:dyDescent="0.3">
      <c r="A911"/>
      <c r="B911" s="286"/>
      <c r="C911" s="286"/>
      <c r="D911" s="286"/>
      <c r="E911" s="286"/>
      <c r="F911" s="241"/>
      <c r="G911" s="241"/>
      <c r="H911" s="241"/>
      <c r="I911"/>
      <c r="J911" s="286"/>
      <c r="K911" s="286"/>
      <c r="L911" s="286"/>
      <c r="M911" s="286"/>
      <c r="N911" s="286"/>
      <c r="O911" s="241"/>
      <c r="P911" s="241"/>
      <c r="Q911" s="241"/>
    </row>
    <row r="912" spans="1:17" ht="13.5" customHeight="1" x14ac:dyDescent="0.3">
      <c r="A912"/>
      <c r="B912" s="286"/>
      <c r="C912" s="286"/>
      <c r="D912" s="286"/>
      <c r="E912" s="286"/>
      <c r="F912" s="241"/>
      <c r="G912" s="241"/>
      <c r="H912" s="241"/>
      <c r="I912"/>
      <c r="J912" s="286"/>
      <c r="K912" s="286"/>
      <c r="L912" s="286"/>
      <c r="M912" s="286"/>
      <c r="N912" s="286"/>
      <c r="O912" s="241"/>
      <c r="P912" s="241"/>
      <c r="Q912" s="241"/>
    </row>
    <row r="913" spans="1:17" ht="13.5" customHeight="1" x14ac:dyDescent="0.3">
      <c r="A913"/>
      <c r="B913" s="286"/>
      <c r="C913" s="286"/>
      <c r="D913" s="286"/>
      <c r="E913" s="286"/>
      <c r="F913" s="241"/>
      <c r="G913" s="241"/>
      <c r="H913" s="241"/>
      <c r="I913"/>
      <c r="J913" s="286"/>
      <c r="K913" s="286"/>
      <c r="L913" s="286"/>
      <c r="M913" s="286"/>
      <c r="N913" s="286"/>
      <c r="O913" s="241"/>
      <c r="P913" s="241"/>
      <c r="Q913" s="241"/>
    </row>
    <row r="914" spans="1:17" ht="13.5" customHeight="1" x14ac:dyDescent="0.3">
      <c r="A914"/>
      <c r="B914" s="286"/>
      <c r="C914" s="286"/>
      <c r="D914" s="286"/>
      <c r="E914" s="286"/>
      <c r="F914" s="241"/>
      <c r="G914" s="241"/>
      <c r="H914" s="241"/>
      <c r="I914"/>
      <c r="J914" s="286"/>
      <c r="K914" s="286"/>
      <c r="L914" s="286"/>
      <c r="M914" s="286"/>
      <c r="N914" s="286"/>
      <c r="O914" s="241"/>
      <c r="P914" s="241"/>
      <c r="Q914" s="241"/>
    </row>
    <row r="915" spans="1:17" ht="13.5" customHeight="1" x14ac:dyDescent="0.3">
      <c r="A915"/>
      <c r="B915" s="286"/>
      <c r="C915" s="286"/>
      <c r="D915" s="286"/>
      <c r="E915" s="286"/>
      <c r="F915" s="241"/>
      <c r="G915" s="241"/>
      <c r="H915" s="241"/>
      <c r="I915"/>
      <c r="J915" s="286"/>
      <c r="K915" s="286"/>
      <c r="L915" s="286"/>
      <c r="M915" s="286"/>
      <c r="N915" s="286"/>
      <c r="O915" s="241"/>
      <c r="P915" s="241"/>
      <c r="Q915" s="241"/>
    </row>
    <row r="916" spans="1:17" ht="13.5" customHeight="1" x14ac:dyDescent="0.3">
      <c r="A916"/>
      <c r="B916" s="286"/>
      <c r="C916" s="286"/>
      <c r="D916" s="286"/>
      <c r="E916" s="286"/>
      <c r="F916" s="241"/>
      <c r="G916" s="241"/>
      <c r="H916" s="241"/>
      <c r="I916"/>
      <c r="J916" s="286"/>
      <c r="K916" s="286"/>
      <c r="L916" s="286"/>
      <c r="M916" s="286"/>
      <c r="N916" s="286"/>
      <c r="O916" s="241"/>
      <c r="P916" s="241"/>
      <c r="Q916" s="241"/>
    </row>
    <row r="917" spans="1:17" ht="13.5" customHeight="1" x14ac:dyDescent="0.3">
      <c r="A917"/>
      <c r="B917" s="286"/>
      <c r="C917" s="286"/>
      <c r="D917" s="286"/>
      <c r="E917" s="286"/>
      <c r="F917" s="241"/>
      <c r="G917" s="241"/>
      <c r="H917" s="241"/>
      <c r="I917"/>
      <c r="J917" s="286"/>
      <c r="K917" s="286"/>
      <c r="L917" s="286"/>
      <c r="M917" s="286"/>
      <c r="N917" s="286"/>
      <c r="O917" s="241"/>
      <c r="P917" s="241"/>
      <c r="Q917" s="241"/>
    </row>
    <row r="918" spans="1:17" ht="13.5" customHeight="1" x14ac:dyDescent="0.3">
      <c r="A918"/>
      <c r="B918" s="286"/>
      <c r="C918" s="286"/>
      <c r="D918" s="286"/>
      <c r="E918" s="286"/>
      <c r="F918" s="241"/>
      <c r="G918" s="241"/>
      <c r="H918" s="241"/>
      <c r="I918"/>
      <c r="J918" s="286"/>
      <c r="K918" s="286"/>
      <c r="L918" s="286"/>
      <c r="M918" s="286"/>
      <c r="N918" s="286"/>
      <c r="O918" s="241"/>
      <c r="P918" s="241"/>
      <c r="Q918" s="241"/>
    </row>
    <row r="919" spans="1:17" ht="13.5" customHeight="1" x14ac:dyDescent="0.3">
      <c r="A919"/>
      <c r="B919" s="286"/>
      <c r="C919" s="286"/>
      <c r="D919" s="286"/>
      <c r="E919" s="286"/>
      <c r="F919" s="241"/>
      <c r="G919" s="241"/>
      <c r="H919" s="241"/>
      <c r="I919"/>
      <c r="J919" s="286"/>
      <c r="K919" s="286"/>
      <c r="L919" s="286"/>
      <c r="M919" s="286"/>
      <c r="N919" s="286"/>
      <c r="O919" s="241"/>
      <c r="P919" s="241"/>
      <c r="Q919" s="241"/>
    </row>
    <row r="920" spans="1:17" ht="13.5" customHeight="1" x14ac:dyDescent="0.3">
      <c r="A920"/>
      <c r="B920" s="286"/>
      <c r="C920" s="286"/>
      <c r="D920" s="286"/>
      <c r="E920" s="286"/>
      <c r="F920" s="241"/>
      <c r="G920" s="241"/>
      <c r="H920" s="241"/>
      <c r="I920"/>
      <c r="J920" s="286"/>
      <c r="K920" s="286"/>
      <c r="L920" s="286"/>
      <c r="M920" s="286"/>
      <c r="N920" s="286"/>
      <c r="O920" s="241"/>
      <c r="P920" s="241"/>
      <c r="Q920" s="241"/>
    </row>
    <row r="921" spans="1:17" ht="13.5" customHeight="1" x14ac:dyDescent="0.3">
      <c r="A921"/>
      <c r="B921" s="286"/>
      <c r="C921" s="286"/>
      <c r="D921" s="286"/>
      <c r="E921" s="286"/>
      <c r="F921" s="241"/>
      <c r="G921" s="241"/>
      <c r="H921" s="241"/>
      <c r="I921"/>
      <c r="J921" s="286"/>
      <c r="K921" s="286"/>
      <c r="L921" s="286"/>
      <c r="M921" s="286"/>
      <c r="N921" s="286"/>
      <c r="O921" s="241"/>
      <c r="P921" s="241"/>
      <c r="Q921" s="241"/>
    </row>
    <row r="922" spans="1:17" ht="13.5" customHeight="1" x14ac:dyDescent="0.3">
      <c r="A922"/>
      <c r="B922" s="286"/>
      <c r="C922" s="286"/>
      <c r="D922" s="286"/>
      <c r="E922" s="286"/>
      <c r="F922" s="241"/>
      <c r="G922" s="241"/>
      <c r="H922" s="241"/>
      <c r="I922"/>
      <c r="J922" s="286"/>
      <c r="K922" s="286"/>
      <c r="L922" s="286"/>
      <c r="M922" s="286"/>
      <c r="N922" s="286"/>
      <c r="O922" s="241"/>
      <c r="P922" s="241"/>
      <c r="Q922" s="241"/>
    </row>
    <row r="923" spans="1:17" ht="13.5" customHeight="1" x14ac:dyDescent="0.3">
      <c r="A923"/>
      <c r="B923" s="286"/>
      <c r="C923" s="286"/>
      <c r="D923" s="286"/>
      <c r="E923" s="286"/>
      <c r="F923" s="241"/>
      <c r="G923" s="241"/>
      <c r="H923" s="241"/>
      <c r="I923"/>
      <c r="J923" s="286"/>
      <c r="K923" s="286"/>
      <c r="L923" s="286"/>
      <c r="M923" s="286"/>
      <c r="N923" s="286"/>
      <c r="O923" s="241"/>
      <c r="P923" s="241"/>
      <c r="Q923" s="241"/>
    </row>
    <row r="924" spans="1:17" ht="13.5" customHeight="1" x14ac:dyDescent="0.3">
      <c r="A924"/>
      <c r="B924" s="286"/>
      <c r="C924" s="286"/>
      <c r="D924" s="286"/>
      <c r="E924" s="286"/>
      <c r="F924" s="241"/>
      <c r="G924" s="241"/>
      <c r="H924" s="241"/>
      <c r="I924"/>
      <c r="J924" s="286"/>
      <c r="K924" s="286"/>
      <c r="L924" s="286"/>
      <c r="M924" s="286"/>
      <c r="N924" s="286"/>
      <c r="O924" s="241"/>
      <c r="P924" s="241"/>
      <c r="Q924" s="241"/>
    </row>
    <row r="925" spans="1:17" ht="13.5" customHeight="1" x14ac:dyDescent="0.3">
      <c r="A925"/>
      <c r="B925" s="286"/>
      <c r="C925" s="286"/>
      <c r="D925" s="286"/>
      <c r="E925" s="286"/>
      <c r="F925" s="241"/>
      <c r="G925" s="241"/>
      <c r="H925" s="241"/>
      <c r="I925"/>
      <c r="J925" s="286"/>
      <c r="K925" s="286"/>
      <c r="L925" s="286"/>
      <c r="M925" s="286"/>
      <c r="N925" s="286"/>
      <c r="O925" s="241"/>
      <c r="P925" s="241"/>
      <c r="Q925" s="241"/>
    </row>
    <row r="926" spans="1:17" ht="13.5" customHeight="1" x14ac:dyDescent="0.3">
      <c r="A926"/>
      <c r="B926" s="286"/>
      <c r="C926" s="286"/>
      <c r="D926" s="286"/>
      <c r="E926" s="286"/>
      <c r="F926" s="241"/>
      <c r="G926" s="241"/>
      <c r="H926" s="241"/>
      <c r="I926"/>
      <c r="J926" s="286"/>
      <c r="K926" s="286"/>
      <c r="L926" s="286"/>
      <c r="M926" s="286"/>
      <c r="N926" s="286"/>
      <c r="O926" s="241"/>
      <c r="P926" s="241"/>
      <c r="Q926" s="241"/>
    </row>
    <row r="927" spans="1:17" ht="13.5" customHeight="1" x14ac:dyDescent="0.3">
      <c r="A927"/>
      <c r="B927" s="286"/>
      <c r="C927" s="286"/>
      <c r="D927" s="286"/>
      <c r="E927" s="286"/>
      <c r="F927" s="241"/>
      <c r="G927" s="241"/>
      <c r="H927" s="241"/>
      <c r="I927"/>
      <c r="J927" s="286"/>
      <c r="K927" s="286"/>
      <c r="L927" s="286"/>
      <c r="M927" s="286"/>
      <c r="N927" s="286"/>
      <c r="O927" s="241"/>
      <c r="P927" s="241"/>
      <c r="Q927" s="241"/>
    </row>
    <row r="928" spans="1:17" ht="13.5" customHeight="1" x14ac:dyDescent="0.3">
      <c r="A928"/>
      <c r="B928" s="286"/>
      <c r="C928" s="286"/>
      <c r="D928" s="286"/>
      <c r="E928" s="286"/>
      <c r="F928" s="241"/>
      <c r="G928" s="241"/>
      <c r="H928" s="241"/>
      <c r="I928"/>
      <c r="J928" s="286"/>
      <c r="K928" s="286"/>
      <c r="L928" s="286"/>
      <c r="M928" s="286"/>
      <c r="N928" s="286"/>
      <c r="O928" s="241"/>
      <c r="P928" s="241"/>
      <c r="Q928" s="241"/>
    </row>
    <row r="929" spans="1:17" ht="13.5" customHeight="1" x14ac:dyDescent="0.3">
      <c r="A929"/>
      <c r="B929" s="286"/>
      <c r="C929" s="286"/>
      <c r="D929" s="286"/>
      <c r="E929" s="286"/>
      <c r="F929" s="241"/>
      <c r="G929" s="241"/>
      <c r="H929" s="241"/>
      <c r="I929"/>
      <c r="J929" s="286"/>
      <c r="K929" s="286"/>
      <c r="L929" s="286"/>
      <c r="M929" s="286"/>
      <c r="N929" s="286"/>
      <c r="O929" s="241"/>
      <c r="P929" s="241"/>
      <c r="Q929" s="241"/>
    </row>
    <row r="930" spans="1:17" ht="13.5" customHeight="1" x14ac:dyDescent="0.3">
      <c r="A930"/>
      <c r="B930" s="286"/>
      <c r="C930" s="286"/>
      <c r="D930" s="286"/>
      <c r="E930" s="286"/>
      <c r="F930" s="241"/>
      <c r="G930" s="241"/>
      <c r="H930" s="241"/>
      <c r="I930"/>
      <c r="J930" s="286"/>
      <c r="K930" s="286"/>
      <c r="L930" s="286"/>
      <c r="M930" s="286"/>
      <c r="N930" s="286"/>
      <c r="O930" s="241"/>
      <c r="P930" s="241"/>
      <c r="Q930" s="241"/>
    </row>
    <row r="931" spans="1:17" ht="13.5" customHeight="1" x14ac:dyDescent="0.3">
      <c r="A931"/>
      <c r="B931" s="286"/>
      <c r="C931" s="286"/>
      <c r="D931" s="286"/>
      <c r="E931" s="286"/>
      <c r="F931" s="241"/>
      <c r="G931" s="241"/>
      <c r="H931" s="241"/>
      <c r="I931"/>
      <c r="J931" s="286"/>
      <c r="K931" s="286"/>
      <c r="L931" s="286"/>
      <c r="M931" s="286"/>
      <c r="N931" s="286"/>
      <c r="O931" s="241"/>
      <c r="P931" s="241"/>
      <c r="Q931" s="241"/>
    </row>
    <row r="932" spans="1:17" ht="13.5" customHeight="1" x14ac:dyDescent="0.3">
      <c r="A932"/>
      <c r="B932" s="286"/>
      <c r="C932" s="286"/>
      <c r="D932" s="286"/>
      <c r="E932" s="286"/>
      <c r="F932" s="241"/>
      <c r="G932" s="241"/>
      <c r="H932" s="241"/>
      <c r="I932"/>
      <c r="J932" s="286"/>
      <c r="K932" s="286"/>
      <c r="L932" s="286"/>
      <c r="M932" s="286"/>
      <c r="N932" s="286"/>
      <c r="O932" s="241"/>
      <c r="P932" s="241"/>
      <c r="Q932" s="241"/>
    </row>
    <row r="933" spans="1:17" ht="13.5" customHeight="1" x14ac:dyDescent="0.3">
      <c r="A933"/>
      <c r="B933" s="286"/>
      <c r="C933" s="286"/>
      <c r="D933" s="286"/>
      <c r="E933" s="286"/>
      <c r="F933" s="241"/>
      <c r="G933" s="241"/>
      <c r="H933" s="241"/>
      <c r="I933"/>
      <c r="J933" s="286"/>
      <c r="K933" s="286"/>
      <c r="L933" s="286"/>
      <c r="M933" s="286"/>
      <c r="N933" s="286"/>
      <c r="O933" s="241"/>
      <c r="P933" s="241"/>
      <c r="Q933" s="241"/>
    </row>
    <row r="934" spans="1:17" ht="13.5" customHeight="1" x14ac:dyDescent="0.3">
      <c r="A934"/>
      <c r="B934" s="286"/>
      <c r="C934" s="286"/>
      <c r="D934" s="286"/>
      <c r="E934" s="286"/>
      <c r="F934" s="241"/>
      <c r="G934" s="241"/>
      <c r="H934" s="241"/>
      <c r="I934"/>
      <c r="J934" s="286"/>
      <c r="K934" s="286"/>
      <c r="L934" s="286"/>
      <c r="M934" s="286"/>
      <c r="N934" s="286"/>
      <c r="O934" s="241"/>
      <c r="P934" s="241"/>
      <c r="Q934" s="241"/>
    </row>
    <row r="935" spans="1:17" ht="13.5" customHeight="1" x14ac:dyDescent="0.3">
      <c r="A935"/>
      <c r="B935" s="286"/>
      <c r="C935" s="286"/>
      <c r="D935" s="286"/>
      <c r="E935" s="286"/>
      <c r="F935" s="241"/>
      <c r="G935" s="241"/>
      <c r="H935" s="241"/>
      <c r="I935"/>
      <c r="J935" s="286"/>
      <c r="K935" s="286"/>
      <c r="L935" s="286"/>
      <c r="M935" s="286"/>
      <c r="N935" s="286"/>
      <c r="O935" s="241"/>
      <c r="P935" s="241"/>
      <c r="Q935" s="241"/>
    </row>
    <row r="936" spans="1:17" ht="13.5" customHeight="1" x14ac:dyDescent="0.3">
      <c r="A936"/>
      <c r="B936" s="286"/>
      <c r="C936" s="286"/>
      <c r="D936" s="286"/>
      <c r="E936" s="286"/>
      <c r="F936" s="241"/>
      <c r="G936" s="241"/>
      <c r="H936" s="241"/>
      <c r="I936"/>
      <c r="J936" s="286"/>
      <c r="K936" s="286"/>
      <c r="L936" s="286"/>
      <c r="M936" s="286"/>
      <c r="N936" s="286"/>
      <c r="O936" s="241"/>
      <c r="P936" s="241"/>
      <c r="Q936" s="241"/>
    </row>
    <row r="937" spans="1:17" ht="13.5" customHeight="1" x14ac:dyDescent="0.3">
      <c r="A937"/>
      <c r="B937" s="286"/>
      <c r="C937" s="286"/>
      <c r="D937" s="286"/>
      <c r="E937" s="286"/>
      <c r="F937" s="241"/>
      <c r="G937" s="241"/>
      <c r="H937" s="241"/>
      <c r="I937"/>
      <c r="J937" s="286"/>
      <c r="K937" s="286"/>
      <c r="L937" s="286"/>
      <c r="M937" s="286"/>
      <c r="N937" s="286"/>
      <c r="O937" s="241"/>
      <c r="P937" s="241"/>
      <c r="Q937" s="241"/>
    </row>
    <row r="938" spans="1:17" ht="13.5" customHeight="1" x14ac:dyDescent="0.3">
      <c r="A938"/>
      <c r="B938" s="286"/>
      <c r="C938" s="286"/>
      <c r="D938" s="286"/>
      <c r="E938" s="286"/>
      <c r="F938" s="241"/>
      <c r="G938" s="241"/>
      <c r="H938" s="241"/>
      <c r="I938"/>
      <c r="J938" s="286"/>
      <c r="K938" s="286"/>
      <c r="L938" s="286"/>
      <c r="M938" s="286"/>
      <c r="N938" s="286"/>
      <c r="O938" s="241"/>
      <c r="P938" s="241"/>
      <c r="Q938" s="241"/>
    </row>
    <row r="939" spans="1:17" ht="13.5" customHeight="1" x14ac:dyDescent="0.3">
      <c r="A939"/>
      <c r="B939" s="286"/>
      <c r="C939" s="286"/>
      <c r="D939" s="286"/>
      <c r="E939" s="286"/>
      <c r="F939" s="241"/>
      <c r="G939" s="241"/>
      <c r="H939" s="241"/>
      <c r="I939"/>
      <c r="J939" s="286"/>
      <c r="K939" s="286"/>
      <c r="L939" s="286"/>
      <c r="M939" s="286"/>
      <c r="N939" s="286"/>
      <c r="O939" s="241"/>
      <c r="P939" s="241"/>
      <c r="Q939" s="241"/>
    </row>
    <row r="940" spans="1:17" ht="13.5" customHeight="1" x14ac:dyDescent="0.3">
      <c r="A940"/>
      <c r="B940" s="286"/>
      <c r="C940" s="286"/>
      <c r="D940" s="286"/>
      <c r="E940" s="286"/>
      <c r="F940" s="241"/>
      <c r="G940" s="241"/>
      <c r="H940" s="241"/>
      <c r="I940"/>
      <c r="J940" s="286"/>
      <c r="K940" s="286"/>
      <c r="L940" s="286"/>
      <c r="M940" s="286"/>
      <c r="N940" s="286"/>
      <c r="O940" s="241"/>
      <c r="P940" s="241"/>
      <c r="Q940" s="241"/>
    </row>
    <row r="941" spans="1:17" ht="13.5" customHeight="1" x14ac:dyDescent="0.3">
      <c r="A941"/>
      <c r="B941" s="286"/>
      <c r="C941" s="286"/>
      <c r="D941" s="286"/>
      <c r="E941" s="286"/>
      <c r="F941" s="241"/>
      <c r="G941" s="241"/>
      <c r="H941" s="241"/>
      <c r="I941"/>
      <c r="J941" s="286"/>
      <c r="K941" s="286"/>
      <c r="L941" s="286"/>
      <c r="M941" s="286"/>
      <c r="N941" s="286"/>
      <c r="O941" s="241"/>
      <c r="P941" s="241"/>
      <c r="Q941" s="241"/>
    </row>
    <row r="942" spans="1:17" ht="13.5" customHeight="1" x14ac:dyDescent="0.3">
      <c r="A942"/>
      <c r="B942" s="286"/>
      <c r="C942" s="286"/>
      <c r="D942" s="286"/>
      <c r="E942" s="286"/>
      <c r="F942" s="241"/>
      <c r="G942" s="241"/>
      <c r="H942" s="241"/>
      <c r="I942"/>
      <c r="J942" s="286"/>
      <c r="K942" s="286"/>
      <c r="L942" s="286"/>
      <c r="M942" s="286"/>
      <c r="N942" s="286"/>
      <c r="O942" s="241"/>
      <c r="P942" s="241"/>
      <c r="Q942" s="241"/>
    </row>
    <row r="943" spans="1:17" ht="13.5" customHeight="1" x14ac:dyDescent="0.3">
      <c r="A943"/>
      <c r="B943" s="286"/>
      <c r="C943" s="286"/>
      <c r="D943" s="286"/>
      <c r="E943" s="286"/>
      <c r="F943" s="241"/>
      <c r="G943" s="241"/>
      <c r="H943" s="241"/>
      <c r="I943"/>
      <c r="J943" s="286"/>
      <c r="K943" s="286"/>
      <c r="L943" s="286"/>
      <c r="M943" s="286"/>
      <c r="N943" s="286"/>
      <c r="O943" s="241"/>
      <c r="P943" s="241"/>
      <c r="Q943" s="241"/>
    </row>
    <row r="944" spans="1:17" ht="13.5" customHeight="1" x14ac:dyDescent="0.3">
      <c r="A944"/>
      <c r="B944" s="286"/>
      <c r="C944" s="286"/>
      <c r="D944" s="286"/>
      <c r="E944" s="286"/>
      <c r="F944" s="241"/>
      <c r="G944" s="241"/>
      <c r="H944" s="241"/>
      <c r="I944"/>
      <c r="J944" s="286"/>
      <c r="K944" s="286"/>
      <c r="L944" s="286"/>
      <c r="M944" s="286"/>
      <c r="N944" s="286"/>
      <c r="O944" s="241"/>
      <c r="P944" s="241"/>
      <c r="Q944" s="241"/>
    </row>
    <row r="945" spans="1:17" ht="13.5" customHeight="1" x14ac:dyDescent="0.3">
      <c r="A945"/>
      <c r="B945" s="286"/>
      <c r="C945" s="286"/>
      <c r="D945" s="286"/>
      <c r="E945" s="286"/>
      <c r="F945" s="241"/>
      <c r="G945" s="241"/>
      <c r="H945" s="241"/>
      <c r="I945"/>
      <c r="J945" s="286"/>
      <c r="K945" s="286"/>
      <c r="L945" s="286"/>
      <c r="M945" s="286"/>
      <c r="N945" s="286"/>
      <c r="O945" s="241"/>
      <c r="P945" s="241"/>
      <c r="Q945" s="241"/>
    </row>
    <row r="946" spans="1:17" ht="13.5" customHeight="1" x14ac:dyDescent="0.3">
      <c r="A946"/>
      <c r="B946" s="286"/>
      <c r="C946" s="286"/>
      <c r="D946" s="286"/>
      <c r="E946" s="286"/>
      <c r="F946" s="241"/>
      <c r="G946" s="241"/>
      <c r="H946" s="241"/>
      <c r="I946"/>
      <c r="J946" s="286"/>
      <c r="K946" s="286"/>
      <c r="L946" s="286"/>
      <c r="M946" s="286"/>
      <c r="N946" s="286"/>
      <c r="O946" s="241"/>
      <c r="P946" s="241"/>
      <c r="Q946" s="241"/>
    </row>
    <row r="947" spans="1:17" ht="13.5" customHeight="1" x14ac:dyDescent="0.3">
      <c r="A947"/>
      <c r="B947" s="286"/>
      <c r="C947" s="286"/>
      <c r="D947" s="286"/>
      <c r="E947" s="286"/>
      <c r="F947" s="241"/>
      <c r="G947" s="241"/>
      <c r="H947" s="241"/>
      <c r="I947"/>
      <c r="J947" s="286"/>
      <c r="K947" s="286"/>
      <c r="L947" s="286"/>
      <c r="M947" s="286"/>
      <c r="N947" s="286"/>
      <c r="O947" s="241"/>
      <c r="P947" s="241"/>
      <c r="Q947" s="241"/>
    </row>
    <row r="948" spans="1:17" ht="13.5" customHeight="1" x14ac:dyDescent="0.3">
      <c r="A948"/>
      <c r="B948" s="286"/>
      <c r="C948" s="286"/>
      <c r="D948" s="286"/>
      <c r="E948" s="286"/>
      <c r="F948" s="241"/>
      <c r="G948" s="241"/>
      <c r="H948" s="241"/>
      <c r="I948"/>
      <c r="J948" s="286"/>
      <c r="K948" s="286"/>
      <c r="L948" s="286"/>
      <c r="M948" s="286"/>
      <c r="N948" s="286"/>
      <c r="O948" s="241"/>
      <c r="P948" s="241"/>
      <c r="Q948" s="241"/>
    </row>
    <row r="949" spans="1:17" ht="13.5" customHeight="1" x14ac:dyDescent="0.3">
      <c r="A949"/>
      <c r="B949" s="286"/>
      <c r="C949" s="286"/>
      <c r="D949" s="286"/>
      <c r="E949" s="286"/>
      <c r="F949" s="241"/>
      <c r="G949" s="241"/>
      <c r="H949" s="241"/>
      <c r="I949"/>
      <c r="J949" s="286"/>
      <c r="K949" s="286"/>
      <c r="L949" s="286"/>
      <c r="M949" s="286"/>
      <c r="N949" s="286"/>
      <c r="O949" s="241"/>
      <c r="P949" s="241"/>
      <c r="Q949" s="241"/>
    </row>
    <row r="950" spans="1:17" ht="13.5" customHeight="1" x14ac:dyDescent="0.3">
      <c r="A950"/>
      <c r="B950" s="286"/>
      <c r="C950" s="286"/>
      <c r="D950" s="286"/>
      <c r="E950" s="286"/>
      <c r="F950" s="241"/>
      <c r="G950" s="241"/>
      <c r="H950" s="241"/>
      <c r="I950"/>
      <c r="J950" s="286"/>
      <c r="K950" s="286"/>
      <c r="L950" s="286"/>
      <c r="M950" s="286"/>
      <c r="N950" s="286"/>
      <c r="O950" s="241"/>
      <c r="P950" s="241"/>
      <c r="Q950" s="241"/>
    </row>
    <row r="951" spans="1:17" ht="13.5" customHeight="1" x14ac:dyDescent="0.3">
      <c r="A951"/>
      <c r="B951" s="286"/>
      <c r="C951" s="286"/>
      <c r="D951" s="286"/>
      <c r="E951" s="286"/>
      <c r="F951" s="241"/>
      <c r="G951" s="241"/>
      <c r="H951" s="241"/>
      <c r="I951"/>
      <c r="J951" s="286"/>
      <c r="K951" s="286"/>
      <c r="L951" s="286"/>
      <c r="M951" s="286"/>
      <c r="N951" s="286"/>
      <c r="O951" s="241"/>
      <c r="P951" s="241"/>
      <c r="Q951" s="241"/>
    </row>
    <row r="952" spans="1:17" ht="13.5" customHeight="1" x14ac:dyDescent="0.3">
      <c r="A952"/>
      <c r="B952" s="286"/>
      <c r="C952" s="286"/>
      <c r="D952" s="286"/>
      <c r="E952" s="286"/>
      <c r="F952" s="241"/>
      <c r="G952" s="241"/>
      <c r="H952" s="241"/>
      <c r="I952"/>
      <c r="J952" s="286"/>
      <c r="K952" s="286"/>
      <c r="L952" s="286"/>
      <c r="M952" s="286"/>
      <c r="N952" s="286"/>
      <c r="O952" s="241"/>
      <c r="P952" s="241"/>
      <c r="Q952" s="241"/>
    </row>
    <row r="953" spans="1:17" ht="13.5" customHeight="1" x14ac:dyDescent="0.3">
      <c r="A953"/>
      <c r="B953" s="286"/>
      <c r="C953" s="286"/>
      <c r="D953" s="286"/>
      <c r="E953" s="286"/>
      <c r="F953" s="241"/>
      <c r="G953" s="241"/>
      <c r="H953" s="241"/>
      <c r="I953"/>
      <c r="J953" s="286"/>
      <c r="K953" s="286"/>
      <c r="L953" s="286"/>
      <c r="M953" s="286"/>
      <c r="N953" s="286"/>
      <c r="O953" s="241"/>
      <c r="P953" s="241"/>
      <c r="Q953" s="241"/>
    </row>
    <row r="954" spans="1:17" ht="13.5" customHeight="1" x14ac:dyDescent="0.3">
      <c r="A954"/>
      <c r="B954" s="286"/>
      <c r="C954" s="286"/>
      <c r="D954" s="286"/>
      <c r="E954" s="286"/>
      <c r="F954" s="241"/>
      <c r="G954" s="241"/>
      <c r="H954" s="241"/>
      <c r="I954"/>
      <c r="J954" s="286"/>
      <c r="K954" s="286"/>
      <c r="L954" s="286"/>
      <c r="M954" s="286"/>
      <c r="N954" s="286"/>
      <c r="O954" s="241"/>
      <c r="P954" s="241"/>
      <c r="Q954" s="241"/>
    </row>
    <row r="955" spans="1:17" ht="13.5" customHeight="1" x14ac:dyDescent="0.3">
      <c r="A955"/>
      <c r="B955" s="286"/>
      <c r="C955" s="286"/>
      <c r="D955" s="286"/>
      <c r="E955" s="286"/>
      <c r="F955" s="241"/>
      <c r="G955" s="241"/>
      <c r="H955" s="241"/>
      <c r="I955"/>
      <c r="J955" s="286"/>
      <c r="K955" s="286"/>
      <c r="L955" s="286"/>
      <c r="M955" s="286"/>
      <c r="N955" s="286"/>
      <c r="O955" s="241"/>
      <c r="P955" s="241"/>
      <c r="Q955" s="241"/>
    </row>
    <row r="956" spans="1:17" ht="13.5" customHeight="1" x14ac:dyDescent="0.3">
      <c r="A956"/>
      <c r="B956" s="286"/>
      <c r="C956" s="286"/>
      <c r="D956" s="286"/>
      <c r="E956" s="286"/>
      <c r="F956" s="241"/>
      <c r="G956" s="241"/>
      <c r="H956" s="241"/>
      <c r="I956"/>
      <c r="J956" s="286"/>
      <c r="K956" s="286"/>
      <c r="L956" s="286"/>
      <c r="M956" s="286"/>
      <c r="N956" s="286"/>
      <c r="O956" s="241"/>
      <c r="P956" s="241"/>
      <c r="Q956" s="241"/>
    </row>
    <row r="957" spans="1:17" ht="13.5" customHeight="1" x14ac:dyDescent="0.3">
      <c r="A957"/>
      <c r="B957" s="286"/>
      <c r="C957" s="286"/>
      <c r="D957" s="286"/>
      <c r="E957" s="286"/>
      <c r="F957" s="241"/>
      <c r="G957" s="241"/>
      <c r="H957" s="241"/>
      <c r="I957"/>
      <c r="J957" s="286"/>
      <c r="K957" s="286"/>
      <c r="L957" s="286"/>
      <c r="M957" s="286"/>
      <c r="N957" s="286"/>
      <c r="O957" s="241"/>
      <c r="P957" s="241"/>
      <c r="Q957" s="241"/>
    </row>
    <row r="958" spans="1:17" ht="13.5" customHeight="1" x14ac:dyDescent="0.3">
      <c r="A958"/>
      <c r="B958" s="286"/>
      <c r="C958" s="286"/>
      <c r="D958" s="286"/>
      <c r="E958" s="286"/>
      <c r="F958" s="241"/>
      <c r="G958" s="241"/>
      <c r="H958" s="241"/>
      <c r="I958"/>
      <c r="J958" s="286"/>
      <c r="K958" s="286"/>
      <c r="L958" s="286"/>
      <c r="M958" s="286"/>
      <c r="N958" s="286"/>
      <c r="O958" s="241"/>
      <c r="P958" s="241"/>
      <c r="Q958" s="241"/>
    </row>
    <row r="959" spans="1:17" ht="13.5" customHeight="1" x14ac:dyDescent="0.3">
      <c r="A959"/>
      <c r="B959" s="286"/>
      <c r="C959" s="286"/>
      <c r="D959" s="286"/>
      <c r="E959" s="286"/>
      <c r="F959" s="241"/>
      <c r="G959" s="241"/>
      <c r="H959" s="241"/>
      <c r="I959"/>
      <c r="J959" s="286"/>
      <c r="K959" s="286"/>
      <c r="L959" s="286"/>
      <c r="M959" s="286"/>
      <c r="N959" s="286"/>
      <c r="O959" s="241"/>
      <c r="P959" s="241"/>
      <c r="Q959" s="241"/>
    </row>
    <row r="960" spans="1:17" ht="13.5" customHeight="1" x14ac:dyDescent="0.3">
      <c r="A960"/>
      <c r="B960" s="286"/>
      <c r="C960" s="286"/>
      <c r="D960" s="286"/>
      <c r="E960" s="286"/>
      <c r="F960" s="241"/>
      <c r="G960" s="241"/>
      <c r="H960" s="241"/>
      <c r="I960"/>
      <c r="J960" s="286"/>
      <c r="K960" s="286"/>
      <c r="L960" s="286"/>
      <c r="M960" s="286"/>
      <c r="N960" s="286"/>
      <c r="O960" s="241"/>
      <c r="P960" s="241"/>
      <c r="Q960" s="241"/>
    </row>
    <row r="961" spans="1:17" ht="13.5" customHeight="1" x14ac:dyDescent="0.3">
      <c r="A961"/>
      <c r="B961" s="286"/>
      <c r="C961" s="286"/>
      <c r="D961" s="286"/>
      <c r="E961" s="286"/>
      <c r="F961" s="241"/>
      <c r="G961" s="241"/>
      <c r="H961" s="241"/>
      <c r="I961"/>
      <c r="J961" s="286"/>
      <c r="K961" s="286"/>
      <c r="L961" s="286"/>
      <c r="M961" s="286"/>
      <c r="N961" s="286"/>
      <c r="O961" s="241"/>
      <c r="P961" s="241"/>
      <c r="Q961" s="241"/>
    </row>
    <row r="962" spans="1:17" ht="13.5" customHeight="1" x14ac:dyDescent="0.3">
      <c r="A962"/>
      <c r="B962" s="286"/>
      <c r="C962" s="286"/>
      <c r="D962" s="286"/>
      <c r="E962" s="286"/>
      <c r="F962" s="241"/>
      <c r="G962" s="241"/>
      <c r="H962" s="241"/>
      <c r="I962"/>
      <c r="J962" s="286"/>
      <c r="K962" s="286"/>
      <c r="L962" s="286"/>
      <c r="M962" s="286"/>
      <c r="N962" s="286"/>
      <c r="O962" s="241"/>
      <c r="P962" s="241"/>
      <c r="Q962" s="241"/>
    </row>
    <row r="963" spans="1:17" ht="13.5" customHeight="1" x14ac:dyDescent="0.3">
      <c r="A963"/>
      <c r="B963" s="286"/>
      <c r="C963" s="286"/>
      <c r="D963" s="286"/>
      <c r="E963" s="286"/>
      <c r="F963" s="241"/>
      <c r="G963" s="241"/>
      <c r="H963" s="241"/>
      <c r="I963"/>
      <c r="J963" s="286"/>
      <c r="K963" s="286"/>
      <c r="L963" s="286"/>
      <c r="M963" s="286"/>
      <c r="N963" s="286"/>
      <c r="O963" s="241"/>
      <c r="P963" s="241"/>
      <c r="Q963" s="241"/>
    </row>
    <row r="964" spans="1:17" ht="13.5" customHeight="1" x14ac:dyDescent="0.3">
      <c r="A964"/>
      <c r="B964" s="286"/>
      <c r="C964" s="286"/>
      <c r="D964" s="286"/>
      <c r="E964" s="286"/>
      <c r="F964" s="241"/>
      <c r="G964" s="241"/>
      <c r="H964" s="241"/>
      <c r="I964"/>
      <c r="J964" s="286"/>
      <c r="K964" s="286"/>
      <c r="L964" s="286"/>
      <c r="M964" s="286"/>
      <c r="N964" s="286"/>
      <c r="O964" s="241"/>
      <c r="P964" s="241"/>
      <c r="Q964" s="241"/>
    </row>
    <row r="965" spans="1:17" ht="13.5" customHeight="1" x14ac:dyDescent="0.3">
      <c r="A965"/>
      <c r="B965" s="286"/>
      <c r="C965" s="286"/>
      <c r="D965" s="286"/>
      <c r="E965" s="286"/>
      <c r="F965" s="241"/>
      <c r="G965" s="241"/>
      <c r="H965" s="241"/>
      <c r="I965"/>
      <c r="J965" s="286"/>
      <c r="K965" s="286"/>
      <c r="L965" s="286"/>
      <c r="M965" s="286"/>
      <c r="N965" s="286"/>
      <c r="O965" s="241"/>
      <c r="P965" s="241"/>
      <c r="Q965" s="241"/>
    </row>
    <row r="966" spans="1:17" ht="13.5" customHeight="1" x14ac:dyDescent="0.3">
      <c r="A966"/>
      <c r="B966" s="286"/>
      <c r="C966" s="286"/>
      <c r="D966" s="286"/>
      <c r="E966" s="286"/>
      <c r="F966" s="241"/>
      <c r="G966" s="241"/>
      <c r="H966" s="241"/>
      <c r="I966"/>
      <c r="J966" s="286"/>
      <c r="K966" s="286"/>
      <c r="L966" s="286"/>
      <c r="M966" s="286"/>
      <c r="N966" s="286"/>
      <c r="O966" s="241"/>
      <c r="P966" s="241"/>
      <c r="Q966" s="241"/>
    </row>
    <row r="967" spans="1:17" ht="13.5" customHeight="1" x14ac:dyDescent="0.3">
      <c r="A967"/>
      <c r="B967" s="286"/>
      <c r="C967" s="286"/>
      <c r="D967" s="286"/>
      <c r="E967" s="286"/>
      <c r="F967" s="241"/>
      <c r="G967" s="241"/>
      <c r="H967" s="241"/>
      <c r="I967"/>
      <c r="J967" s="286"/>
      <c r="K967" s="286"/>
      <c r="L967" s="286"/>
      <c r="M967" s="286"/>
      <c r="N967" s="286"/>
      <c r="O967" s="241"/>
      <c r="P967" s="241"/>
      <c r="Q967" s="241"/>
    </row>
    <row r="968" spans="1:17" ht="13.5" customHeight="1" x14ac:dyDescent="0.3">
      <c r="A968"/>
      <c r="B968" s="286"/>
      <c r="C968" s="286"/>
      <c r="D968" s="286"/>
      <c r="E968" s="286"/>
      <c r="F968" s="241"/>
      <c r="G968" s="241"/>
      <c r="H968" s="241"/>
      <c r="I968"/>
      <c r="J968" s="286"/>
      <c r="K968" s="286"/>
      <c r="L968" s="286"/>
      <c r="M968" s="286"/>
      <c r="N968" s="286"/>
      <c r="O968" s="241"/>
      <c r="P968" s="241"/>
      <c r="Q968" s="241"/>
    </row>
    <row r="969" spans="1:17" ht="13.5" customHeight="1" x14ac:dyDescent="0.3">
      <c r="A969"/>
      <c r="B969" s="286"/>
      <c r="C969" s="286"/>
      <c r="D969" s="286"/>
      <c r="E969" s="286"/>
      <c r="F969" s="241"/>
      <c r="G969" s="241"/>
      <c r="H969" s="241"/>
      <c r="I969"/>
      <c r="J969" s="286"/>
      <c r="K969" s="286"/>
      <c r="L969" s="286"/>
      <c r="M969" s="286"/>
      <c r="N969" s="286"/>
      <c r="O969" s="241"/>
      <c r="P969" s="241"/>
      <c r="Q969" s="241"/>
    </row>
    <row r="970" spans="1:17" ht="13.5" customHeight="1" x14ac:dyDescent="0.3">
      <c r="A970"/>
      <c r="B970" s="286"/>
      <c r="C970" s="286"/>
      <c r="D970" s="286"/>
      <c r="E970" s="286"/>
      <c r="F970" s="241"/>
      <c r="G970" s="241"/>
      <c r="H970" s="241"/>
      <c r="I970"/>
      <c r="J970" s="286"/>
      <c r="K970" s="286"/>
      <c r="L970" s="286"/>
      <c r="M970" s="286"/>
      <c r="N970" s="286"/>
      <c r="O970" s="241"/>
      <c r="P970" s="241"/>
      <c r="Q970" s="241"/>
    </row>
    <row r="971" spans="1:17" ht="13.5" customHeight="1" x14ac:dyDescent="0.3">
      <c r="A971"/>
      <c r="B971" s="286"/>
      <c r="C971" s="286"/>
      <c r="D971" s="286"/>
      <c r="E971" s="286"/>
      <c r="F971" s="241"/>
      <c r="G971" s="241"/>
      <c r="H971" s="241"/>
      <c r="I971"/>
      <c r="J971" s="286"/>
      <c r="K971" s="286"/>
      <c r="L971" s="286"/>
      <c r="M971" s="286"/>
      <c r="N971" s="286"/>
      <c r="O971" s="241"/>
      <c r="P971" s="241"/>
      <c r="Q971" s="241"/>
    </row>
    <row r="972" spans="1:17" ht="13.5" customHeight="1" x14ac:dyDescent="0.3">
      <c r="A972"/>
      <c r="B972" s="286"/>
      <c r="C972" s="286"/>
      <c r="D972" s="286"/>
      <c r="E972" s="286"/>
      <c r="F972" s="241"/>
      <c r="G972" s="241"/>
      <c r="H972" s="241"/>
      <c r="I972"/>
      <c r="J972" s="286"/>
      <c r="K972" s="286"/>
      <c r="L972" s="286"/>
      <c r="M972" s="286"/>
      <c r="N972" s="286"/>
      <c r="O972" s="241"/>
      <c r="P972" s="241"/>
      <c r="Q972" s="241"/>
    </row>
    <row r="973" spans="1:17" ht="13.5" customHeight="1" x14ac:dyDescent="0.3">
      <c r="A973"/>
      <c r="B973" s="286"/>
      <c r="C973" s="286"/>
      <c r="D973" s="286"/>
      <c r="E973" s="286"/>
      <c r="F973" s="241"/>
      <c r="G973" s="241"/>
      <c r="H973" s="241"/>
      <c r="I973"/>
      <c r="J973" s="286"/>
      <c r="K973" s="286"/>
      <c r="L973" s="286"/>
      <c r="M973" s="286"/>
      <c r="N973" s="286"/>
      <c r="O973" s="241"/>
      <c r="P973" s="241"/>
      <c r="Q973" s="241"/>
    </row>
    <row r="974" spans="1:17" ht="13.5" customHeight="1" x14ac:dyDescent="0.3">
      <c r="A974"/>
      <c r="B974" s="286"/>
      <c r="C974" s="286"/>
      <c r="D974" s="286"/>
      <c r="E974" s="286"/>
      <c r="F974" s="241"/>
      <c r="G974" s="241"/>
      <c r="H974" s="241"/>
      <c r="I974"/>
      <c r="J974" s="286"/>
      <c r="K974" s="286"/>
      <c r="L974" s="286"/>
      <c r="M974" s="286"/>
      <c r="N974" s="286"/>
      <c r="O974" s="241"/>
      <c r="P974" s="241"/>
      <c r="Q974" s="241"/>
    </row>
    <row r="975" spans="1:17" ht="13.5" customHeight="1" x14ac:dyDescent="0.3">
      <c r="A975"/>
      <c r="B975" s="286"/>
      <c r="C975" s="286"/>
      <c r="D975" s="286"/>
      <c r="E975" s="286"/>
      <c r="F975" s="241"/>
      <c r="G975" s="241"/>
      <c r="H975" s="241"/>
      <c r="I975"/>
      <c r="J975" s="286"/>
      <c r="K975" s="286"/>
      <c r="L975" s="286"/>
      <c r="M975" s="286"/>
      <c r="N975" s="286"/>
      <c r="O975" s="241"/>
      <c r="P975" s="241"/>
      <c r="Q975" s="241"/>
    </row>
    <row r="976" spans="1:17" ht="13.5" customHeight="1" x14ac:dyDescent="0.3">
      <c r="A976"/>
      <c r="B976" s="286"/>
      <c r="C976" s="286"/>
      <c r="D976" s="286"/>
      <c r="E976" s="286"/>
      <c r="F976" s="241"/>
      <c r="G976" s="241"/>
      <c r="H976" s="241"/>
      <c r="I976"/>
      <c r="J976" s="286"/>
      <c r="K976" s="286"/>
      <c r="L976" s="286"/>
      <c r="M976" s="286"/>
      <c r="N976" s="286"/>
      <c r="O976" s="241"/>
      <c r="P976" s="241"/>
      <c r="Q976" s="241"/>
    </row>
    <row r="977" spans="1:17" ht="13.5" customHeight="1" x14ac:dyDescent="0.3">
      <c r="A977"/>
      <c r="B977" s="286"/>
      <c r="C977" s="286"/>
      <c r="D977" s="286"/>
      <c r="E977" s="286"/>
      <c r="F977" s="241"/>
      <c r="G977" s="241"/>
      <c r="H977" s="241"/>
      <c r="I977"/>
      <c r="J977" s="286"/>
      <c r="K977" s="286"/>
      <c r="L977" s="286"/>
      <c r="M977" s="286"/>
      <c r="N977" s="286"/>
      <c r="O977" s="241"/>
      <c r="P977" s="241"/>
      <c r="Q977" s="241"/>
    </row>
    <row r="978" spans="1:17" ht="13.5" customHeight="1" x14ac:dyDescent="0.3">
      <c r="A978"/>
      <c r="B978" s="286"/>
      <c r="C978" s="286"/>
      <c r="D978" s="286"/>
      <c r="E978" s="286"/>
      <c r="F978" s="241"/>
      <c r="G978" s="241"/>
      <c r="H978" s="241"/>
      <c r="I978"/>
      <c r="J978" s="286"/>
      <c r="K978" s="286"/>
      <c r="L978" s="286"/>
      <c r="M978" s="286"/>
      <c r="N978" s="286"/>
      <c r="O978" s="241"/>
      <c r="P978" s="241"/>
      <c r="Q978" s="241"/>
    </row>
    <row r="979" spans="1:17" ht="13.5" customHeight="1" x14ac:dyDescent="0.3">
      <c r="A979"/>
      <c r="B979" s="286"/>
      <c r="C979" s="286"/>
      <c r="D979" s="286"/>
      <c r="E979" s="286"/>
      <c r="F979" s="241"/>
      <c r="G979" s="241"/>
      <c r="H979" s="241"/>
      <c r="I979"/>
      <c r="J979" s="286"/>
      <c r="K979" s="286"/>
      <c r="L979" s="286"/>
      <c r="M979" s="286"/>
      <c r="N979" s="286"/>
      <c r="O979" s="241"/>
      <c r="P979" s="241"/>
      <c r="Q979" s="241"/>
    </row>
    <row r="980" spans="1:17" ht="13.5" customHeight="1" x14ac:dyDescent="0.3">
      <c r="A980"/>
      <c r="B980" s="286"/>
      <c r="C980" s="286"/>
      <c r="D980" s="286"/>
      <c r="E980" s="286"/>
      <c r="F980" s="241"/>
      <c r="G980" s="241"/>
      <c r="H980" s="241"/>
      <c r="I980"/>
      <c r="J980" s="286"/>
      <c r="K980" s="286"/>
      <c r="L980" s="286"/>
      <c r="M980" s="286"/>
      <c r="N980" s="286"/>
      <c r="O980" s="241"/>
      <c r="P980" s="241"/>
      <c r="Q980" s="241"/>
    </row>
    <row r="981" spans="1:17" ht="13.5" customHeight="1" x14ac:dyDescent="0.3">
      <c r="A981"/>
      <c r="B981" s="286"/>
      <c r="C981" s="286"/>
      <c r="D981" s="286"/>
      <c r="E981" s="286"/>
      <c r="F981" s="241"/>
      <c r="G981" s="241"/>
      <c r="H981" s="241"/>
      <c r="I981"/>
      <c r="J981" s="286"/>
      <c r="K981" s="286"/>
      <c r="L981" s="286"/>
      <c r="M981" s="286"/>
      <c r="N981" s="286"/>
      <c r="O981" s="241"/>
      <c r="P981" s="241"/>
      <c r="Q981" s="241"/>
    </row>
    <row r="982" spans="1:17" ht="13.5" customHeight="1" x14ac:dyDescent="0.3">
      <c r="A982"/>
      <c r="B982" s="286"/>
      <c r="C982" s="286"/>
      <c r="D982" s="286"/>
      <c r="E982" s="286"/>
      <c r="F982" s="241"/>
      <c r="G982" s="241"/>
      <c r="H982" s="241"/>
      <c r="I982"/>
      <c r="J982" s="286"/>
      <c r="K982" s="286"/>
      <c r="L982" s="286"/>
      <c r="M982" s="286"/>
      <c r="N982" s="286"/>
      <c r="O982" s="241"/>
      <c r="P982" s="241"/>
      <c r="Q982" s="241"/>
    </row>
    <row r="983" spans="1:17" ht="13.5" customHeight="1" x14ac:dyDescent="0.3">
      <c r="A983"/>
      <c r="B983" s="286"/>
      <c r="C983" s="286"/>
      <c r="D983" s="286"/>
      <c r="E983" s="286"/>
      <c r="F983" s="241"/>
      <c r="G983" s="241"/>
      <c r="H983" s="241"/>
      <c r="I983"/>
      <c r="J983" s="286"/>
      <c r="K983" s="286"/>
      <c r="L983" s="286"/>
      <c r="M983" s="286"/>
      <c r="N983" s="286"/>
      <c r="O983" s="241"/>
      <c r="P983" s="241"/>
      <c r="Q983" s="241"/>
    </row>
    <row r="984" spans="1:17" ht="13.5" customHeight="1" x14ac:dyDescent="0.3">
      <c r="A984"/>
      <c r="B984" s="286"/>
      <c r="C984" s="286"/>
      <c r="D984" s="286"/>
      <c r="E984" s="286"/>
      <c r="F984" s="241"/>
      <c r="G984" s="241"/>
      <c r="H984" s="241"/>
      <c r="I984"/>
      <c r="J984" s="286"/>
      <c r="K984" s="286"/>
      <c r="L984" s="286"/>
      <c r="M984" s="286"/>
      <c r="N984" s="286"/>
      <c r="O984" s="241"/>
      <c r="P984" s="241"/>
      <c r="Q984" s="241"/>
    </row>
    <row r="985" spans="1:17" ht="13.5" customHeight="1" x14ac:dyDescent="0.3">
      <c r="A985"/>
      <c r="B985" s="286"/>
      <c r="C985" s="286"/>
      <c r="D985" s="286"/>
      <c r="E985" s="286"/>
      <c r="F985" s="241"/>
      <c r="G985" s="241"/>
      <c r="H985" s="241"/>
      <c r="I985"/>
      <c r="J985" s="286"/>
      <c r="K985" s="286"/>
      <c r="L985" s="286"/>
      <c r="M985" s="286"/>
      <c r="N985" s="286"/>
      <c r="O985" s="241"/>
      <c r="P985" s="241"/>
      <c r="Q985" s="241"/>
    </row>
    <row r="986" spans="1:17" ht="13.5" customHeight="1" x14ac:dyDescent="0.3">
      <c r="A986"/>
      <c r="B986" s="286"/>
      <c r="C986" s="286"/>
      <c r="D986" s="286"/>
      <c r="E986" s="286"/>
      <c r="F986" s="241"/>
      <c r="G986" s="241"/>
      <c r="H986" s="241"/>
      <c r="I986"/>
      <c r="J986" s="286"/>
      <c r="K986" s="286"/>
      <c r="L986" s="286"/>
      <c r="M986" s="286"/>
      <c r="N986" s="286"/>
      <c r="O986" s="241"/>
      <c r="P986" s="241"/>
      <c r="Q986" s="241"/>
    </row>
    <row r="987" spans="1:17" ht="13.5" customHeight="1" x14ac:dyDescent="0.3">
      <c r="A987"/>
      <c r="B987" s="286"/>
      <c r="C987" s="286"/>
      <c r="D987" s="286"/>
      <c r="E987" s="286"/>
      <c r="F987" s="241"/>
      <c r="G987" s="241"/>
      <c r="H987" s="241"/>
      <c r="I987"/>
      <c r="J987" s="286"/>
      <c r="K987" s="286"/>
      <c r="L987" s="286"/>
      <c r="M987" s="286"/>
      <c r="N987" s="286"/>
      <c r="O987" s="241"/>
      <c r="P987" s="241"/>
      <c r="Q987" s="241"/>
    </row>
    <row r="988" spans="1:17" ht="13.5" customHeight="1" x14ac:dyDescent="0.3">
      <c r="A988"/>
      <c r="B988" s="286"/>
      <c r="C988" s="286"/>
      <c r="D988" s="286"/>
      <c r="E988" s="286"/>
      <c r="F988" s="241"/>
      <c r="G988" s="241"/>
      <c r="H988" s="241"/>
      <c r="I988"/>
      <c r="J988" s="286"/>
      <c r="K988" s="286"/>
      <c r="L988" s="286"/>
      <c r="M988" s="286"/>
      <c r="N988" s="286"/>
      <c r="O988" s="241"/>
      <c r="P988" s="241"/>
      <c r="Q988" s="241"/>
    </row>
    <row r="989" spans="1:17" ht="13.5" customHeight="1" x14ac:dyDescent="0.3">
      <c r="A989"/>
      <c r="B989" s="286"/>
      <c r="C989" s="286"/>
      <c r="D989" s="286"/>
      <c r="E989" s="286"/>
      <c r="F989" s="241"/>
      <c r="G989" s="241"/>
      <c r="H989" s="241"/>
      <c r="I989"/>
      <c r="J989" s="286"/>
      <c r="K989" s="286"/>
      <c r="L989" s="286"/>
      <c r="M989" s="286"/>
      <c r="N989" s="286"/>
      <c r="O989" s="241"/>
      <c r="P989" s="241"/>
      <c r="Q989" s="241"/>
    </row>
    <row r="990" spans="1:17" ht="13.5" customHeight="1" x14ac:dyDescent="0.3">
      <c r="A990"/>
      <c r="B990" s="286"/>
      <c r="C990" s="286"/>
      <c r="D990" s="286"/>
      <c r="E990" s="286"/>
      <c r="F990" s="241"/>
      <c r="G990" s="241"/>
      <c r="H990" s="241"/>
      <c r="I990"/>
      <c r="J990" s="286"/>
      <c r="K990" s="286"/>
      <c r="L990" s="286"/>
      <c r="M990" s="286"/>
      <c r="N990" s="286"/>
      <c r="O990" s="241"/>
      <c r="P990" s="241"/>
      <c r="Q990" s="241"/>
    </row>
    <row r="991" spans="1:17" ht="13.5" customHeight="1" x14ac:dyDescent="0.3">
      <c r="A991"/>
      <c r="B991" s="286"/>
      <c r="C991" s="286"/>
      <c r="D991" s="286"/>
      <c r="E991" s="286"/>
      <c r="F991" s="241"/>
      <c r="G991" s="241"/>
      <c r="H991" s="241"/>
      <c r="I991"/>
      <c r="J991" s="286"/>
      <c r="K991" s="286"/>
      <c r="L991" s="286"/>
      <c r="M991" s="286"/>
      <c r="N991" s="286"/>
      <c r="O991" s="241"/>
      <c r="P991" s="241"/>
      <c r="Q991" s="241"/>
    </row>
    <row r="992" spans="1:17" ht="13.5" customHeight="1" x14ac:dyDescent="0.3">
      <c r="A992"/>
      <c r="B992" s="286"/>
      <c r="C992" s="286"/>
      <c r="D992" s="286"/>
      <c r="E992" s="286"/>
      <c r="F992" s="241"/>
      <c r="G992" s="241"/>
      <c r="H992" s="241"/>
      <c r="I992"/>
      <c r="J992" s="286"/>
      <c r="K992" s="286"/>
      <c r="L992" s="286"/>
      <c r="M992" s="286"/>
      <c r="N992" s="286"/>
      <c r="O992" s="241"/>
      <c r="P992" s="241"/>
      <c r="Q992" s="241"/>
    </row>
    <row r="993" spans="1:17" ht="13.5" customHeight="1" x14ac:dyDescent="0.3">
      <c r="A993"/>
      <c r="B993" s="286"/>
      <c r="C993" s="286"/>
      <c r="D993" s="286"/>
      <c r="E993" s="286"/>
      <c r="F993" s="241"/>
      <c r="G993" s="241"/>
      <c r="H993" s="241"/>
      <c r="I993"/>
      <c r="J993" s="286"/>
      <c r="K993" s="286"/>
      <c r="L993" s="286"/>
      <c r="M993" s="286"/>
      <c r="N993" s="286"/>
      <c r="O993" s="241"/>
      <c r="P993" s="241"/>
      <c r="Q993" s="241"/>
    </row>
    <row r="994" spans="1:17" ht="13.5" customHeight="1" x14ac:dyDescent="0.3">
      <c r="A994"/>
      <c r="B994" s="286"/>
      <c r="C994" s="286"/>
      <c r="D994" s="286"/>
      <c r="E994" s="286"/>
      <c r="F994" s="241"/>
      <c r="G994" s="241"/>
      <c r="H994" s="241"/>
      <c r="I994"/>
      <c r="J994" s="286"/>
      <c r="K994" s="286"/>
      <c r="L994" s="286"/>
      <c r="M994" s="286"/>
      <c r="N994" s="286"/>
      <c r="O994" s="241"/>
      <c r="P994" s="241"/>
      <c r="Q994" s="241"/>
    </row>
    <row r="995" spans="1:17" ht="13.5" customHeight="1" x14ac:dyDescent="0.3">
      <c r="A995"/>
      <c r="B995" s="286"/>
      <c r="C995" s="286"/>
      <c r="D995" s="286"/>
      <c r="E995" s="286"/>
      <c r="F995" s="241"/>
      <c r="G995" s="241"/>
      <c r="H995" s="241"/>
      <c r="I995"/>
      <c r="J995" s="286"/>
      <c r="K995" s="286"/>
      <c r="L995" s="286"/>
      <c r="M995" s="286"/>
      <c r="N995" s="286"/>
      <c r="O995" s="241"/>
      <c r="P995" s="241"/>
      <c r="Q995" s="241"/>
    </row>
    <row r="996" spans="1:17" ht="13.5" customHeight="1" x14ac:dyDescent="0.3">
      <c r="A996"/>
      <c r="B996" s="286"/>
      <c r="C996" s="286"/>
      <c r="D996" s="286"/>
      <c r="E996" s="286"/>
      <c r="F996" s="241"/>
      <c r="G996" s="241"/>
      <c r="H996" s="241"/>
      <c r="I996"/>
      <c r="J996" s="286"/>
      <c r="K996" s="286"/>
      <c r="L996" s="286"/>
      <c r="M996" s="286"/>
      <c r="N996" s="286"/>
      <c r="O996" s="241"/>
      <c r="P996" s="241"/>
      <c r="Q996" s="241"/>
    </row>
    <row r="997" spans="1:17" ht="13.5" customHeight="1" x14ac:dyDescent="0.3">
      <c r="A997"/>
      <c r="B997" s="286"/>
      <c r="C997" s="286"/>
      <c r="D997" s="286"/>
      <c r="E997" s="286"/>
      <c r="F997" s="241"/>
      <c r="G997" s="241"/>
      <c r="H997" s="241"/>
      <c r="I997"/>
      <c r="J997" s="286"/>
      <c r="K997" s="286"/>
      <c r="L997" s="286"/>
      <c r="M997" s="286"/>
      <c r="N997" s="286"/>
      <c r="O997" s="241"/>
      <c r="P997" s="241"/>
      <c r="Q997" s="241"/>
    </row>
    <row r="998" spans="1:17" ht="13.5" customHeight="1" x14ac:dyDescent="0.3">
      <c r="A998"/>
      <c r="B998" s="286"/>
      <c r="C998" s="286"/>
      <c r="D998" s="286"/>
      <c r="E998" s="286"/>
      <c r="F998" s="241"/>
      <c r="G998" s="241"/>
      <c r="H998" s="241"/>
      <c r="I998"/>
      <c r="J998" s="286"/>
      <c r="K998" s="286"/>
      <c r="L998" s="286"/>
      <c r="M998" s="286"/>
      <c r="N998" s="286"/>
      <c r="O998" s="241"/>
      <c r="P998" s="241"/>
      <c r="Q998" s="241"/>
    </row>
    <row r="999" spans="1:17" ht="13.5" customHeight="1" x14ac:dyDescent="0.3">
      <c r="A999"/>
      <c r="B999" s="286"/>
      <c r="C999" s="286"/>
      <c r="D999" s="286"/>
      <c r="E999" s="286"/>
      <c r="F999" s="241"/>
      <c r="G999" s="241"/>
      <c r="H999" s="241"/>
      <c r="I999"/>
      <c r="J999" s="286"/>
      <c r="K999" s="286"/>
      <c r="L999" s="286"/>
      <c r="M999" s="286"/>
      <c r="N999" s="286"/>
      <c r="O999" s="241"/>
      <c r="P999" s="241"/>
      <c r="Q999" s="241"/>
    </row>
    <row r="1000" spans="1:17" ht="13.5" customHeight="1" x14ac:dyDescent="0.3">
      <c r="A1000"/>
      <c r="B1000" s="286"/>
      <c r="C1000" s="286"/>
      <c r="D1000" s="286"/>
      <c r="E1000" s="286"/>
      <c r="F1000" s="241"/>
      <c r="G1000" s="241"/>
      <c r="H1000" s="241"/>
      <c r="I1000"/>
      <c r="J1000" s="286"/>
      <c r="K1000" s="286"/>
      <c r="L1000" s="286"/>
      <c r="M1000" s="286"/>
      <c r="N1000" s="286"/>
      <c r="O1000" s="241"/>
      <c r="P1000" s="241"/>
      <c r="Q1000" s="241"/>
    </row>
    <row r="1001" spans="1:17" ht="13.5" customHeight="1" x14ac:dyDescent="0.3">
      <c r="A1001"/>
      <c r="B1001" s="286"/>
      <c r="C1001" s="286"/>
      <c r="D1001" s="286"/>
      <c r="E1001" s="286"/>
      <c r="F1001" s="241"/>
      <c r="G1001" s="241"/>
      <c r="H1001" s="241"/>
      <c r="I1001"/>
      <c r="J1001" s="286"/>
      <c r="K1001" s="286"/>
      <c r="L1001" s="286"/>
      <c r="M1001" s="286"/>
      <c r="N1001" s="286"/>
      <c r="O1001" s="241"/>
      <c r="P1001" s="241"/>
      <c r="Q1001" s="241"/>
    </row>
    <row r="1002" spans="1:17" ht="13.5" customHeight="1" x14ac:dyDescent="0.3">
      <c r="A1002"/>
      <c r="B1002" s="286"/>
      <c r="C1002" s="286"/>
      <c r="D1002" s="286"/>
      <c r="E1002" s="286"/>
      <c r="F1002" s="241"/>
      <c r="G1002" s="241"/>
      <c r="H1002" s="241"/>
      <c r="I1002"/>
      <c r="J1002" s="286"/>
      <c r="K1002" s="286"/>
      <c r="L1002" s="286"/>
      <c r="M1002" s="286"/>
      <c r="N1002" s="286"/>
      <c r="O1002" s="241"/>
      <c r="P1002" s="241"/>
      <c r="Q1002" s="241"/>
    </row>
    <row r="1003" spans="1:17" ht="13.5" customHeight="1" x14ac:dyDescent="0.3">
      <c r="A1003"/>
      <c r="B1003" s="286"/>
      <c r="C1003" s="286"/>
      <c r="D1003" s="286"/>
      <c r="E1003" s="286"/>
      <c r="F1003" s="241"/>
      <c r="G1003" s="241"/>
      <c r="H1003" s="241"/>
      <c r="I1003"/>
      <c r="J1003" s="286"/>
      <c r="K1003" s="286"/>
      <c r="L1003" s="286"/>
      <c r="M1003" s="286"/>
      <c r="N1003" s="286"/>
      <c r="O1003" s="241"/>
      <c r="P1003" s="241"/>
      <c r="Q1003" s="241"/>
    </row>
    <row r="1004" spans="1:17" ht="13.5" customHeight="1" x14ac:dyDescent="0.3">
      <c r="A1004"/>
      <c r="B1004" s="286"/>
      <c r="C1004" s="286"/>
      <c r="D1004" s="286"/>
      <c r="E1004" s="286"/>
      <c r="F1004" s="241"/>
      <c r="G1004" s="241"/>
      <c r="H1004" s="241"/>
      <c r="I1004"/>
      <c r="J1004" s="286"/>
      <c r="K1004" s="286"/>
      <c r="L1004" s="286"/>
      <c r="M1004" s="286"/>
      <c r="N1004" s="286"/>
      <c r="O1004" s="241"/>
      <c r="P1004" s="241"/>
      <c r="Q1004" s="241"/>
    </row>
    <row r="1005" spans="1:17" ht="13.5" customHeight="1" x14ac:dyDescent="0.3">
      <c r="A1005"/>
      <c r="B1005" s="286"/>
      <c r="C1005" s="286"/>
      <c r="D1005" s="286"/>
      <c r="E1005" s="286"/>
      <c r="F1005" s="241"/>
      <c r="G1005" s="241"/>
      <c r="H1005" s="241"/>
      <c r="I1005"/>
      <c r="J1005" s="286"/>
      <c r="K1005" s="286"/>
      <c r="L1005" s="286"/>
      <c r="M1005" s="286"/>
      <c r="N1005" s="286"/>
      <c r="O1005" s="241"/>
      <c r="P1005" s="241"/>
      <c r="Q1005" s="241"/>
    </row>
    <row r="1006" spans="1:17" ht="13.5" customHeight="1" x14ac:dyDescent="0.3">
      <c r="A1006"/>
      <c r="B1006" s="286"/>
      <c r="C1006" s="286"/>
      <c r="D1006" s="286"/>
      <c r="E1006" s="286"/>
      <c r="F1006" s="241"/>
      <c r="G1006" s="241"/>
      <c r="H1006" s="241"/>
      <c r="I1006"/>
      <c r="J1006" s="286"/>
      <c r="K1006" s="286"/>
      <c r="L1006" s="286"/>
      <c r="M1006" s="286"/>
      <c r="N1006" s="286"/>
      <c r="O1006" s="241"/>
      <c r="P1006" s="241"/>
      <c r="Q1006" s="241"/>
    </row>
    <row r="1007" spans="1:17" ht="13.5" customHeight="1" x14ac:dyDescent="0.3">
      <c r="A1007"/>
      <c r="B1007" s="286"/>
      <c r="C1007" s="286"/>
      <c r="D1007" s="286"/>
      <c r="E1007" s="286"/>
      <c r="F1007" s="241"/>
      <c r="G1007" s="241"/>
      <c r="H1007" s="241"/>
      <c r="I1007"/>
      <c r="J1007" s="286"/>
      <c r="K1007" s="286"/>
      <c r="L1007" s="286"/>
      <c r="M1007" s="286"/>
      <c r="N1007" s="286"/>
      <c r="O1007" s="241"/>
      <c r="P1007" s="241"/>
      <c r="Q1007" s="241"/>
    </row>
    <row r="1008" spans="1:17" ht="13.5" customHeight="1" x14ac:dyDescent="0.3">
      <c r="A1008"/>
      <c r="B1008" s="286"/>
      <c r="C1008" s="286"/>
      <c r="D1008" s="286"/>
      <c r="E1008" s="286"/>
      <c r="F1008" s="241"/>
      <c r="G1008" s="241"/>
      <c r="H1008" s="241"/>
      <c r="I1008"/>
      <c r="J1008" s="286"/>
      <c r="K1008" s="286"/>
      <c r="L1008" s="286"/>
      <c r="M1008" s="286"/>
      <c r="N1008" s="286"/>
      <c r="O1008" s="241"/>
      <c r="P1008" s="241"/>
      <c r="Q1008" s="241"/>
    </row>
    <row r="1009" spans="1:17" ht="13.5" customHeight="1" x14ac:dyDescent="0.3">
      <c r="A1009"/>
      <c r="B1009" s="286"/>
      <c r="C1009" s="286"/>
      <c r="D1009" s="286"/>
      <c r="E1009" s="286"/>
      <c r="F1009" s="241"/>
      <c r="G1009" s="241"/>
      <c r="H1009" s="241"/>
      <c r="I1009"/>
      <c r="J1009" s="286"/>
      <c r="K1009" s="286"/>
      <c r="L1009" s="286"/>
      <c r="M1009" s="286"/>
      <c r="N1009" s="286"/>
      <c r="O1009" s="241"/>
      <c r="P1009" s="241"/>
      <c r="Q1009" s="241"/>
    </row>
    <row r="1010" spans="1:17" ht="13.5" customHeight="1" x14ac:dyDescent="0.3">
      <c r="A1010"/>
      <c r="B1010" s="286"/>
      <c r="C1010" s="286"/>
      <c r="D1010" s="286"/>
      <c r="E1010" s="286"/>
      <c r="F1010" s="241"/>
      <c r="G1010" s="241"/>
      <c r="H1010" s="241"/>
      <c r="I1010"/>
      <c r="J1010" s="286"/>
      <c r="K1010" s="286"/>
      <c r="L1010" s="286"/>
      <c r="M1010" s="286"/>
      <c r="N1010" s="286"/>
      <c r="O1010" s="241"/>
      <c r="P1010" s="241"/>
      <c r="Q1010" s="241"/>
    </row>
    <row r="1011" spans="1:17" ht="13.5" customHeight="1" x14ac:dyDescent="0.3">
      <c r="A1011"/>
      <c r="B1011" s="286"/>
      <c r="C1011" s="286"/>
      <c r="D1011" s="286"/>
      <c r="E1011" s="286"/>
      <c r="F1011" s="241"/>
      <c r="G1011" s="241"/>
      <c r="H1011" s="241"/>
      <c r="I1011"/>
      <c r="J1011" s="286"/>
      <c r="K1011" s="286"/>
      <c r="L1011" s="286"/>
      <c r="M1011" s="286"/>
      <c r="N1011" s="286"/>
      <c r="O1011" s="241"/>
      <c r="P1011" s="241"/>
      <c r="Q1011" s="241"/>
    </row>
    <row r="1012" spans="1:17" ht="13.5" customHeight="1" x14ac:dyDescent="0.3">
      <c r="A1012"/>
      <c r="B1012" s="286"/>
      <c r="C1012" s="286"/>
      <c r="D1012" s="286"/>
      <c r="E1012" s="286"/>
      <c r="F1012" s="241"/>
      <c r="G1012" s="241"/>
      <c r="H1012" s="241"/>
      <c r="I1012"/>
      <c r="J1012" s="286"/>
      <c r="K1012" s="286"/>
      <c r="L1012" s="286"/>
      <c r="M1012" s="286"/>
      <c r="N1012" s="286"/>
      <c r="O1012" s="241"/>
      <c r="P1012" s="241"/>
      <c r="Q1012" s="241"/>
    </row>
    <row r="1013" spans="1:17" ht="13.5" customHeight="1" x14ac:dyDescent="0.3">
      <c r="A1013"/>
      <c r="B1013" s="286"/>
      <c r="C1013" s="286"/>
      <c r="D1013" s="286"/>
      <c r="E1013" s="286"/>
      <c r="F1013" s="241"/>
      <c r="G1013" s="241"/>
      <c r="H1013" s="241"/>
      <c r="I1013"/>
      <c r="J1013" s="286"/>
      <c r="K1013" s="286"/>
      <c r="L1013" s="286"/>
      <c r="M1013" s="286"/>
      <c r="N1013" s="286"/>
      <c r="O1013" s="241"/>
      <c r="P1013" s="241"/>
      <c r="Q1013" s="241"/>
    </row>
    <row r="1014" spans="1:17" ht="13.5" customHeight="1" x14ac:dyDescent="0.3">
      <c r="A1014"/>
      <c r="B1014" s="286"/>
      <c r="C1014" s="286"/>
      <c r="D1014" s="286"/>
      <c r="E1014" s="286"/>
      <c r="F1014" s="241"/>
      <c r="G1014" s="241"/>
      <c r="H1014" s="241"/>
      <c r="I1014"/>
      <c r="J1014" s="286"/>
      <c r="K1014" s="286"/>
      <c r="L1014" s="286"/>
      <c r="M1014" s="286"/>
      <c r="N1014" s="286"/>
      <c r="O1014" s="241"/>
      <c r="P1014" s="241"/>
      <c r="Q1014" s="241"/>
    </row>
    <row r="1015" spans="1:17" ht="13.5" customHeight="1" x14ac:dyDescent="0.3">
      <c r="A1015"/>
      <c r="B1015" s="286"/>
      <c r="C1015" s="286"/>
      <c r="D1015" s="286"/>
      <c r="E1015" s="286"/>
      <c r="F1015" s="241"/>
      <c r="G1015" s="241"/>
      <c r="H1015" s="241"/>
      <c r="I1015"/>
      <c r="J1015" s="286"/>
      <c r="K1015" s="286"/>
      <c r="L1015" s="286"/>
      <c r="M1015" s="286"/>
      <c r="N1015" s="286"/>
      <c r="O1015" s="241"/>
      <c r="P1015" s="241"/>
      <c r="Q1015" s="241"/>
    </row>
    <row r="1016" spans="1:17" ht="13.5" customHeight="1" x14ac:dyDescent="0.3">
      <c r="A1016"/>
      <c r="B1016" s="286"/>
      <c r="C1016" s="286"/>
      <c r="D1016" s="286"/>
      <c r="E1016" s="286"/>
      <c r="F1016" s="241"/>
      <c r="G1016" s="241"/>
      <c r="H1016" s="241"/>
      <c r="I1016"/>
      <c r="J1016" s="286"/>
      <c r="K1016" s="286"/>
      <c r="L1016" s="286"/>
      <c r="M1016" s="286"/>
      <c r="N1016" s="286"/>
      <c r="O1016" s="241"/>
      <c r="P1016" s="241"/>
      <c r="Q1016" s="241"/>
    </row>
    <row r="1017" spans="1:17" ht="13.5" customHeight="1" x14ac:dyDescent="0.3">
      <c r="A1017"/>
      <c r="B1017" s="286"/>
      <c r="C1017" s="286"/>
      <c r="D1017" s="286"/>
      <c r="E1017" s="286"/>
      <c r="F1017" s="241"/>
      <c r="G1017" s="241"/>
      <c r="H1017" s="241"/>
      <c r="I1017"/>
      <c r="J1017" s="286"/>
      <c r="K1017" s="286"/>
      <c r="L1017" s="286"/>
      <c r="M1017" s="286"/>
      <c r="N1017" s="286"/>
      <c r="O1017" s="241"/>
      <c r="P1017" s="241"/>
      <c r="Q1017" s="241"/>
    </row>
    <row r="1018" spans="1:17" ht="13.5" customHeight="1" x14ac:dyDescent="0.3">
      <c r="A1018"/>
      <c r="B1018" s="286"/>
      <c r="C1018" s="286"/>
      <c r="D1018" s="286"/>
      <c r="E1018" s="286"/>
      <c r="F1018" s="241"/>
      <c r="G1018" s="241"/>
      <c r="H1018" s="241"/>
      <c r="I1018"/>
      <c r="J1018" s="286"/>
      <c r="K1018" s="286"/>
      <c r="L1018" s="286"/>
      <c r="M1018" s="286"/>
      <c r="N1018" s="286"/>
      <c r="O1018" s="241"/>
      <c r="P1018" s="241"/>
      <c r="Q1018" s="241"/>
    </row>
    <row r="1019" spans="1:17" ht="13.5" customHeight="1" x14ac:dyDescent="0.3">
      <c r="A1019"/>
      <c r="B1019" s="286"/>
      <c r="C1019" s="286"/>
      <c r="D1019" s="286"/>
      <c r="E1019" s="286"/>
      <c r="F1019" s="241"/>
      <c r="G1019" s="241"/>
      <c r="H1019" s="241"/>
      <c r="I1019"/>
      <c r="J1019" s="286"/>
      <c r="K1019" s="286"/>
      <c r="L1019" s="286"/>
      <c r="M1019" s="286"/>
      <c r="N1019" s="286"/>
      <c r="O1019" s="241"/>
      <c r="P1019" s="241"/>
      <c r="Q1019" s="241"/>
    </row>
    <row r="1020" spans="1:17" ht="13.5" customHeight="1" x14ac:dyDescent="0.3">
      <c r="A1020"/>
      <c r="B1020" s="286"/>
      <c r="C1020" s="286"/>
      <c r="D1020" s="286"/>
      <c r="E1020" s="286"/>
      <c r="F1020" s="241"/>
      <c r="G1020" s="241"/>
      <c r="H1020" s="241"/>
      <c r="I1020"/>
      <c r="J1020" s="286"/>
      <c r="K1020" s="286"/>
      <c r="L1020" s="286"/>
      <c r="M1020" s="286"/>
      <c r="N1020" s="286"/>
      <c r="O1020" s="241"/>
      <c r="P1020" s="241"/>
      <c r="Q1020" s="241"/>
    </row>
    <row r="1021" spans="1:17" ht="13.5" customHeight="1" x14ac:dyDescent="0.3">
      <c r="A1021"/>
      <c r="B1021" s="286"/>
      <c r="C1021" s="286"/>
      <c r="D1021" s="286"/>
      <c r="E1021" s="286"/>
      <c r="F1021" s="241"/>
      <c r="G1021" s="241"/>
      <c r="H1021" s="241"/>
      <c r="I1021"/>
      <c r="J1021" s="286"/>
      <c r="K1021" s="286"/>
      <c r="L1021" s="286"/>
      <c r="M1021" s="286"/>
      <c r="N1021" s="286"/>
      <c r="O1021" s="241"/>
      <c r="P1021" s="241"/>
      <c r="Q1021" s="241"/>
    </row>
    <row r="1022" spans="1:17" ht="13.5" customHeight="1" x14ac:dyDescent="0.3">
      <c r="A1022"/>
      <c r="B1022" s="286"/>
      <c r="C1022" s="286"/>
      <c r="D1022" s="286"/>
      <c r="E1022" s="286"/>
      <c r="F1022" s="241"/>
      <c r="G1022" s="241"/>
      <c r="H1022" s="241"/>
      <c r="I1022"/>
      <c r="J1022" s="286"/>
      <c r="K1022" s="286"/>
      <c r="L1022" s="286"/>
      <c r="M1022" s="286"/>
      <c r="N1022" s="286"/>
      <c r="O1022" s="241"/>
      <c r="P1022" s="241"/>
      <c r="Q1022" s="241"/>
    </row>
    <row r="1023" spans="1:17" ht="13.5" customHeight="1" x14ac:dyDescent="0.3">
      <c r="A1023"/>
      <c r="B1023" s="286"/>
      <c r="C1023" s="286"/>
      <c r="D1023" s="286"/>
      <c r="E1023" s="286"/>
      <c r="F1023" s="241"/>
      <c r="G1023" s="241"/>
      <c r="H1023" s="241"/>
      <c r="I1023"/>
      <c r="J1023" s="286"/>
      <c r="K1023" s="286"/>
      <c r="L1023" s="286"/>
      <c r="M1023" s="286"/>
      <c r="N1023" s="286"/>
      <c r="O1023" s="241"/>
      <c r="P1023" s="241"/>
      <c r="Q1023" s="241"/>
    </row>
    <row r="1024" spans="1:17" ht="13.5" customHeight="1" x14ac:dyDescent="0.3">
      <c r="A1024"/>
      <c r="B1024" s="286"/>
      <c r="C1024" s="286"/>
      <c r="D1024" s="286"/>
      <c r="E1024" s="286"/>
      <c r="F1024" s="241"/>
      <c r="G1024" s="241"/>
      <c r="H1024" s="241"/>
      <c r="I1024"/>
      <c r="J1024" s="286"/>
      <c r="K1024" s="286"/>
      <c r="L1024" s="286"/>
      <c r="M1024" s="286"/>
      <c r="N1024" s="286"/>
      <c r="O1024" s="241"/>
      <c r="P1024" s="241"/>
      <c r="Q1024" s="241"/>
    </row>
    <row r="1025" spans="1:17" ht="13.5" customHeight="1" x14ac:dyDescent="0.3">
      <c r="A1025"/>
      <c r="B1025" s="286"/>
      <c r="C1025" s="286"/>
      <c r="D1025" s="286"/>
      <c r="E1025" s="286"/>
      <c r="F1025" s="241"/>
      <c r="G1025" s="241"/>
      <c r="H1025" s="241"/>
      <c r="I1025"/>
      <c r="J1025" s="286"/>
      <c r="K1025" s="286"/>
      <c r="L1025" s="286"/>
      <c r="M1025" s="286"/>
      <c r="N1025" s="286"/>
      <c r="O1025" s="241"/>
      <c r="P1025" s="241"/>
      <c r="Q1025" s="241"/>
    </row>
    <row r="1026" spans="1:17" ht="13.5" customHeight="1" x14ac:dyDescent="0.3">
      <c r="A1026"/>
      <c r="B1026" s="286"/>
      <c r="C1026" s="286"/>
      <c r="D1026" s="286"/>
      <c r="E1026" s="286"/>
      <c r="F1026" s="241"/>
      <c r="G1026" s="241"/>
      <c r="H1026" s="241"/>
      <c r="I1026"/>
      <c r="J1026" s="286"/>
      <c r="K1026" s="286"/>
      <c r="L1026" s="286"/>
      <c r="M1026" s="286"/>
      <c r="N1026" s="286"/>
      <c r="O1026" s="241"/>
      <c r="P1026" s="241"/>
      <c r="Q1026" s="241"/>
    </row>
    <row r="1027" spans="1:17" ht="13.5" customHeight="1" x14ac:dyDescent="0.3">
      <c r="A1027"/>
      <c r="B1027" s="286"/>
      <c r="C1027" s="286"/>
      <c r="D1027" s="286"/>
      <c r="E1027" s="286"/>
      <c r="F1027" s="241"/>
      <c r="G1027" s="241"/>
      <c r="H1027" s="241"/>
      <c r="I1027"/>
      <c r="J1027" s="286"/>
      <c r="K1027" s="286"/>
      <c r="L1027" s="286"/>
      <c r="M1027" s="286"/>
      <c r="N1027" s="286"/>
      <c r="O1027" s="241"/>
      <c r="P1027" s="241"/>
      <c r="Q1027" s="241"/>
    </row>
    <row r="1028" spans="1:17" ht="13.5" customHeight="1" x14ac:dyDescent="0.3">
      <c r="A1028"/>
      <c r="B1028" s="286"/>
      <c r="C1028" s="286"/>
      <c r="D1028" s="286"/>
      <c r="E1028" s="286"/>
      <c r="F1028" s="241"/>
      <c r="G1028" s="241"/>
      <c r="H1028" s="241"/>
      <c r="I1028"/>
      <c r="J1028" s="286"/>
      <c r="K1028" s="286"/>
      <c r="L1028" s="286"/>
      <c r="M1028" s="286"/>
      <c r="N1028" s="286"/>
      <c r="O1028" s="241"/>
      <c r="P1028" s="241"/>
      <c r="Q1028" s="241"/>
    </row>
    <row r="1029" spans="1:17" ht="13.5" customHeight="1" x14ac:dyDescent="0.3">
      <c r="A1029"/>
      <c r="B1029" s="286"/>
      <c r="C1029" s="286"/>
      <c r="D1029" s="286"/>
      <c r="E1029" s="286"/>
      <c r="F1029" s="241"/>
      <c r="G1029" s="241"/>
      <c r="H1029" s="241"/>
      <c r="I1029"/>
      <c r="J1029" s="286"/>
      <c r="K1029" s="286"/>
      <c r="L1029" s="286"/>
      <c r="M1029" s="286"/>
      <c r="N1029" s="286"/>
      <c r="O1029" s="241"/>
      <c r="P1029" s="241"/>
      <c r="Q1029" s="241"/>
    </row>
    <row r="1030" spans="1:17" ht="13.5" customHeight="1" x14ac:dyDescent="0.3">
      <c r="A1030"/>
      <c r="B1030" s="286"/>
      <c r="C1030" s="286"/>
      <c r="D1030" s="286"/>
      <c r="E1030" s="286"/>
      <c r="F1030" s="241"/>
      <c r="G1030" s="241"/>
      <c r="H1030" s="241"/>
      <c r="I1030"/>
      <c r="J1030" s="286"/>
      <c r="K1030" s="286"/>
      <c r="L1030" s="286"/>
      <c r="M1030" s="286"/>
      <c r="N1030" s="286"/>
      <c r="O1030" s="241"/>
      <c r="P1030" s="241"/>
      <c r="Q1030" s="241"/>
    </row>
    <row r="1031" spans="1:17" ht="13.5" customHeight="1" x14ac:dyDescent="0.3">
      <c r="A1031"/>
      <c r="B1031" s="286"/>
      <c r="C1031" s="286"/>
      <c r="D1031" s="286"/>
      <c r="E1031" s="286"/>
      <c r="F1031" s="241"/>
      <c r="G1031" s="241"/>
      <c r="H1031" s="241"/>
      <c r="I1031"/>
      <c r="J1031" s="286"/>
      <c r="K1031" s="286"/>
      <c r="L1031" s="286"/>
      <c r="M1031" s="286"/>
      <c r="N1031" s="286"/>
      <c r="O1031" s="241"/>
      <c r="P1031" s="241"/>
      <c r="Q1031" s="241"/>
    </row>
    <row r="1032" spans="1:17" ht="13.5" customHeight="1" x14ac:dyDescent="0.3">
      <c r="A1032"/>
      <c r="B1032" s="286"/>
      <c r="C1032" s="286"/>
      <c r="D1032" s="286"/>
      <c r="E1032" s="286"/>
      <c r="F1032" s="241"/>
      <c r="G1032" s="241"/>
      <c r="H1032" s="241"/>
      <c r="I1032"/>
      <c r="J1032" s="286"/>
      <c r="K1032" s="286"/>
      <c r="L1032" s="286"/>
      <c r="M1032" s="286"/>
      <c r="N1032" s="286"/>
      <c r="O1032" s="241"/>
      <c r="P1032" s="241"/>
      <c r="Q1032" s="241"/>
    </row>
    <row r="1033" spans="1:17" ht="13.5" customHeight="1" x14ac:dyDescent="0.3">
      <c r="A1033"/>
      <c r="B1033" s="286"/>
      <c r="C1033" s="286"/>
      <c r="D1033" s="286"/>
      <c r="E1033" s="286"/>
      <c r="F1033" s="241"/>
      <c r="G1033" s="241"/>
      <c r="H1033" s="241"/>
      <c r="I1033"/>
      <c r="J1033" s="286"/>
      <c r="K1033" s="286"/>
      <c r="L1033" s="286"/>
      <c r="M1033" s="286"/>
      <c r="N1033" s="286"/>
      <c r="O1033" s="241"/>
      <c r="P1033" s="241"/>
      <c r="Q1033" s="241"/>
    </row>
    <row r="1034" spans="1:17" ht="13.5" customHeight="1" x14ac:dyDescent="0.3">
      <c r="A1034"/>
      <c r="B1034" s="286"/>
      <c r="C1034" s="286"/>
      <c r="D1034" s="286"/>
      <c r="E1034" s="286"/>
      <c r="F1034" s="241"/>
      <c r="G1034" s="241"/>
      <c r="H1034" s="241"/>
      <c r="I1034"/>
      <c r="J1034" s="286"/>
      <c r="K1034" s="286"/>
      <c r="L1034" s="286"/>
      <c r="M1034" s="286"/>
      <c r="N1034" s="286"/>
      <c r="O1034" s="241"/>
      <c r="P1034" s="241"/>
      <c r="Q1034" s="241"/>
    </row>
    <row r="1035" spans="1:17" ht="13.5" customHeight="1" x14ac:dyDescent="0.3">
      <c r="A1035"/>
      <c r="B1035" s="286"/>
      <c r="C1035" s="286"/>
      <c r="D1035" s="286"/>
      <c r="E1035" s="286"/>
      <c r="F1035" s="241"/>
      <c r="G1035" s="241"/>
      <c r="H1035" s="241"/>
      <c r="I1035"/>
      <c r="J1035" s="286"/>
      <c r="K1035" s="286"/>
      <c r="L1035" s="286"/>
      <c r="M1035" s="286"/>
      <c r="N1035" s="286"/>
      <c r="O1035" s="241"/>
      <c r="P1035" s="241"/>
      <c r="Q1035" s="241"/>
    </row>
    <row r="1036" spans="1:17" ht="13.5" customHeight="1" x14ac:dyDescent="0.3">
      <c r="A1036"/>
      <c r="B1036" s="286"/>
      <c r="C1036" s="286"/>
      <c r="D1036" s="286"/>
      <c r="E1036" s="286"/>
      <c r="F1036" s="241"/>
      <c r="G1036" s="241"/>
      <c r="H1036" s="241"/>
      <c r="I1036"/>
      <c r="J1036" s="286"/>
      <c r="K1036" s="286"/>
      <c r="L1036" s="286"/>
      <c r="M1036" s="286"/>
      <c r="N1036" s="286"/>
      <c r="O1036" s="241"/>
      <c r="P1036" s="241"/>
      <c r="Q1036" s="241"/>
    </row>
    <row r="1037" spans="1:17" ht="13.5" customHeight="1" x14ac:dyDescent="0.3">
      <c r="A1037"/>
      <c r="B1037" s="286"/>
      <c r="C1037" s="286"/>
      <c r="D1037" s="286"/>
      <c r="E1037" s="286"/>
      <c r="F1037" s="241"/>
      <c r="G1037" s="241"/>
      <c r="H1037" s="241"/>
      <c r="I1037"/>
      <c r="J1037" s="286"/>
      <c r="K1037" s="286"/>
      <c r="L1037" s="286"/>
      <c r="M1037" s="286"/>
      <c r="N1037" s="286"/>
      <c r="O1037" s="241"/>
      <c r="P1037" s="241"/>
      <c r="Q1037" s="241"/>
    </row>
    <row r="1038" spans="1:17" ht="13.5" customHeight="1" x14ac:dyDescent="0.3">
      <c r="A1038"/>
      <c r="B1038" s="286"/>
      <c r="C1038" s="286"/>
      <c r="D1038" s="286"/>
      <c r="E1038" s="286"/>
      <c r="F1038" s="241"/>
      <c r="G1038" s="241"/>
      <c r="H1038" s="241"/>
      <c r="I1038"/>
      <c r="J1038" s="286"/>
      <c r="K1038" s="286"/>
      <c r="L1038" s="286"/>
      <c r="M1038" s="286"/>
      <c r="N1038" s="286"/>
      <c r="O1038" s="241"/>
      <c r="P1038" s="241"/>
      <c r="Q1038" s="241"/>
    </row>
    <row r="1039" spans="1:17" ht="13.5" customHeight="1" x14ac:dyDescent="0.3">
      <c r="A1039"/>
      <c r="B1039" s="286"/>
      <c r="C1039" s="286"/>
      <c r="D1039" s="286"/>
      <c r="E1039" s="286"/>
      <c r="F1039" s="241"/>
      <c r="G1039" s="241"/>
      <c r="H1039" s="241"/>
      <c r="I1039"/>
      <c r="J1039" s="286"/>
      <c r="K1039" s="286"/>
      <c r="L1039" s="286"/>
      <c r="M1039" s="286"/>
      <c r="N1039" s="286"/>
      <c r="O1039" s="241"/>
      <c r="P1039" s="241"/>
      <c r="Q1039" s="241"/>
    </row>
    <row r="1040" spans="1:17" ht="13.5" customHeight="1" x14ac:dyDescent="0.3">
      <c r="A1040"/>
      <c r="B1040" s="286"/>
      <c r="C1040" s="286"/>
      <c r="D1040" s="286"/>
      <c r="E1040" s="286"/>
      <c r="F1040" s="241"/>
      <c r="G1040" s="241"/>
      <c r="H1040" s="241"/>
      <c r="I1040"/>
      <c r="J1040" s="286"/>
      <c r="K1040" s="286"/>
      <c r="L1040" s="286"/>
      <c r="M1040" s="286"/>
      <c r="N1040" s="286"/>
      <c r="O1040" s="241"/>
      <c r="P1040" s="241"/>
      <c r="Q1040" s="241"/>
    </row>
    <row r="1041" spans="1:17" ht="13.5" customHeight="1" x14ac:dyDescent="0.3">
      <c r="A1041"/>
      <c r="B1041" s="286"/>
      <c r="C1041" s="286"/>
      <c r="D1041" s="286"/>
      <c r="E1041" s="286"/>
      <c r="F1041" s="241"/>
      <c r="G1041" s="241"/>
      <c r="H1041" s="241"/>
      <c r="I1041"/>
      <c r="J1041" s="286"/>
      <c r="K1041" s="286"/>
      <c r="L1041" s="286"/>
      <c r="M1041" s="286"/>
      <c r="N1041" s="286"/>
      <c r="O1041" s="241"/>
      <c r="P1041" s="241"/>
      <c r="Q1041" s="241"/>
    </row>
    <row r="1042" spans="1:17" ht="13.5" customHeight="1" x14ac:dyDescent="0.3">
      <c r="A1042"/>
      <c r="B1042" s="286"/>
      <c r="C1042" s="286"/>
      <c r="D1042" s="286"/>
      <c r="E1042" s="286"/>
      <c r="F1042" s="241"/>
      <c r="G1042" s="241"/>
      <c r="H1042" s="241"/>
      <c r="I1042"/>
      <c r="J1042" s="286"/>
      <c r="K1042" s="286"/>
      <c r="L1042" s="286"/>
      <c r="M1042" s="286"/>
      <c r="N1042" s="286"/>
      <c r="O1042" s="241"/>
      <c r="P1042" s="241"/>
      <c r="Q1042" s="241"/>
    </row>
    <row r="1043" spans="1:17" ht="13.5" customHeight="1" x14ac:dyDescent="0.3">
      <c r="A1043"/>
      <c r="B1043" s="286"/>
      <c r="C1043" s="286"/>
      <c r="D1043" s="286"/>
      <c r="E1043" s="286"/>
      <c r="F1043" s="241"/>
      <c r="G1043" s="241"/>
      <c r="H1043" s="241"/>
      <c r="I1043"/>
      <c r="J1043" s="286"/>
      <c r="K1043" s="286"/>
      <c r="L1043" s="286"/>
      <c r="M1043" s="286"/>
      <c r="N1043" s="286"/>
      <c r="O1043" s="241"/>
      <c r="P1043" s="241"/>
      <c r="Q1043" s="241"/>
    </row>
    <row r="1044" spans="1:17" ht="13.5" customHeight="1" x14ac:dyDescent="0.3">
      <c r="A1044"/>
      <c r="B1044" s="286"/>
      <c r="C1044" s="286"/>
      <c r="D1044" s="286"/>
      <c r="E1044" s="286"/>
      <c r="F1044" s="241"/>
      <c r="G1044" s="241"/>
      <c r="H1044" s="241"/>
      <c r="I1044"/>
      <c r="J1044" s="286"/>
      <c r="K1044" s="286"/>
      <c r="L1044" s="286"/>
      <c r="M1044" s="286"/>
      <c r="N1044" s="286"/>
      <c r="O1044" s="241"/>
      <c r="P1044" s="241"/>
      <c r="Q1044" s="241"/>
    </row>
    <row r="1045" spans="1:17" ht="13.5" customHeight="1" x14ac:dyDescent="0.3">
      <c r="A1045"/>
      <c r="B1045" s="286"/>
      <c r="C1045" s="286"/>
      <c r="D1045" s="286"/>
      <c r="E1045" s="286"/>
      <c r="F1045" s="241"/>
      <c r="G1045" s="241"/>
      <c r="H1045" s="241"/>
      <c r="I1045"/>
      <c r="J1045" s="286"/>
      <c r="K1045" s="286"/>
      <c r="L1045" s="286"/>
      <c r="M1045" s="286"/>
      <c r="N1045" s="286"/>
      <c r="O1045" s="241"/>
      <c r="P1045" s="241"/>
      <c r="Q1045" s="241"/>
    </row>
    <row r="1046" spans="1:17" ht="13.5" customHeight="1" x14ac:dyDescent="0.3">
      <c r="A1046"/>
      <c r="B1046" s="286"/>
      <c r="C1046" s="286"/>
      <c r="D1046" s="286"/>
      <c r="E1046" s="286"/>
      <c r="F1046" s="241"/>
      <c r="G1046" s="241"/>
      <c r="H1046" s="241"/>
      <c r="I1046"/>
      <c r="J1046" s="286"/>
      <c r="K1046" s="286"/>
      <c r="L1046" s="286"/>
      <c r="M1046" s="286"/>
      <c r="N1046" s="286"/>
      <c r="O1046" s="241"/>
      <c r="P1046" s="241"/>
      <c r="Q1046" s="241"/>
    </row>
    <row r="1047" spans="1:17" ht="13.5" customHeight="1" x14ac:dyDescent="0.3">
      <c r="A1047"/>
      <c r="B1047" s="286"/>
      <c r="C1047" s="286"/>
      <c r="D1047" s="286"/>
      <c r="E1047" s="286"/>
      <c r="F1047" s="241"/>
      <c r="G1047" s="241"/>
      <c r="H1047" s="241"/>
      <c r="I1047"/>
      <c r="J1047" s="286"/>
      <c r="K1047" s="286"/>
      <c r="L1047" s="286"/>
      <c r="M1047" s="286"/>
      <c r="N1047" s="286"/>
      <c r="O1047" s="241"/>
      <c r="P1047" s="241"/>
      <c r="Q1047" s="241"/>
    </row>
    <row r="1048" spans="1:17" ht="13.5" customHeight="1" x14ac:dyDescent="0.3">
      <c r="A1048"/>
      <c r="B1048" s="286"/>
      <c r="C1048" s="286"/>
      <c r="D1048" s="286"/>
      <c r="E1048" s="286"/>
      <c r="F1048" s="241"/>
      <c r="G1048" s="241"/>
      <c r="H1048" s="241"/>
      <c r="I1048"/>
      <c r="J1048" s="286"/>
      <c r="K1048" s="286"/>
      <c r="L1048" s="286"/>
      <c r="M1048" s="286"/>
      <c r="N1048" s="286"/>
      <c r="O1048" s="241"/>
      <c r="P1048" s="241"/>
      <c r="Q1048" s="241"/>
    </row>
    <row r="1049" spans="1:17" ht="13.5" customHeight="1" x14ac:dyDescent="0.3">
      <c r="A1049"/>
      <c r="B1049" s="286"/>
      <c r="C1049" s="286"/>
      <c r="D1049" s="286"/>
      <c r="E1049" s="286"/>
      <c r="F1049" s="241"/>
      <c r="G1049" s="241"/>
      <c r="H1049" s="241"/>
      <c r="I1049"/>
      <c r="J1049" s="286"/>
      <c r="K1049" s="286"/>
      <c r="L1049" s="286"/>
      <c r="M1049" s="286"/>
      <c r="N1049" s="286"/>
      <c r="O1049" s="241"/>
      <c r="P1049" s="241"/>
      <c r="Q1049" s="241"/>
    </row>
    <row r="1050" spans="1:17" ht="13.5" customHeight="1" x14ac:dyDescent="0.3">
      <c r="A1050"/>
      <c r="B1050" s="286"/>
      <c r="C1050" s="286"/>
      <c r="D1050" s="286"/>
      <c r="E1050" s="286"/>
      <c r="F1050" s="241"/>
      <c r="G1050" s="241"/>
      <c r="H1050" s="241"/>
      <c r="I1050"/>
      <c r="J1050" s="286"/>
      <c r="K1050" s="286"/>
      <c r="L1050" s="286"/>
      <c r="M1050" s="286"/>
      <c r="N1050" s="286"/>
      <c r="O1050" s="241"/>
      <c r="P1050" s="241"/>
      <c r="Q1050" s="241"/>
    </row>
    <row r="1051" spans="1:17" ht="13.5" customHeight="1" x14ac:dyDescent="0.3">
      <c r="A1051"/>
      <c r="B1051" s="286"/>
      <c r="C1051" s="286"/>
      <c r="D1051" s="286"/>
      <c r="E1051" s="286"/>
      <c r="F1051" s="241"/>
      <c r="G1051" s="241"/>
      <c r="H1051" s="241"/>
      <c r="I1051"/>
      <c r="J1051" s="286"/>
      <c r="K1051" s="286"/>
      <c r="L1051" s="286"/>
      <c r="M1051" s="286"/>
      <c r="N1051" s="286"/>
      <c r="O1051" s="241"/>
      <c r="P1051" s="241"/>
      <c r="Q1051" s="241"/>
    </row>
    <row r="1052" spans="1:17" ht="13.5" customHeight="1" x14ac:dyDescent="0.3">
      <c r="A1052"/>
      <c r="B1052" s="286"/>
      <c r="C1052" s="286"/>
      <c r="D1052" s="286"/>
      <c r="E1052" s="286"/>
      <c r="F1052" s="241"/>
      <c r="G1052" s="241"/>
      <c r="H1052" s="241"/>
      <c r="I1052"/>
      <c r="J1052" s="286"/>
      <c r="K1052" s="286"/>
      <c r="L1052" s="286"/>
      <c r="M1052" s="286"/>
      <c r="N1052" s="286"/>
      <c r="O1052" s="241"/>
      <c r="P1052" s="241"/>
      <c r="Q1052" s="241"/>
    </row>
    <row r="1053" spans="1:17" ht="13.5" customHeight="1" x14ac:dyDescent="0.3">
      <c r="A1053"/>
      <c r="B1053" s="286"/>
      <c r="C1053" s="286"/>
      <c r="D1053" s="286"/>
      <c r="E1053" s="286"/>
      <c r="F1053" s="241"/>
      <c r="G1053" s="241"/>
      <c r="H1053" s="241"/>
      <c r="I1053"/>
      <c r="J1053" s="286"/>
      <c r="K1053" s="286"/>
      <c r="L1053" s="286"/>
      <c r="M1053" s="286"/>
      <c r="N1053" s="286"/>
      <c r="O1053" s="241"/>
      <c r="P1053" s="241"/>
      <c r="Q1053" s="241"/>
    </row>
    <row r="1054" spans="1:17" ht="13.5" customHeight="1" x14ac:dyDescent="0.3">
      <c r="A1054"/>
      <c r="B1054" s="286"/>
      <c r="C1054" s="286"/>
      <c r="D1054" s="286"/>
      <c r="E1054" s="286"/>
      <c r="F1054" s="241"/>
      <c r="G1054" s="241"/>
      <c r="H1054" s="241"/>
      <c r="I1054"/>
      <c r="J1054" s="286"/>
      <c r="K1054" s="286"/>
      <c r="L1054" s="286"/>
      <c r="M1054" s="286"/>
      <c r="N1054" s="286"/>
      <c r="O1054" s="241"/>
      <c r="P1054" s="241"/>
      <c r="Q1054" s="241"/>
    </row>
    <row r="1055" spans="1:17" ht="13.5" customHeight="1" x14ac:dyDescent="0.3">
      <c r="A1055"/>
      <c r="B1055" s="241"/>
      <c r="C1055" s="241"/>
      <c r="D1055" s="241"/>
      <c r="E1055" s="241"/>
      <c r="F1055" s="241"/>
      <c r="G1055" s="241"/>
      <c r="H1055" s="241"/>
      <c r="I1055"/>
      <c r="J1055" s="286"/>
      <c r="K1055" s="286"/>
      <c r="L1055" s="286"/>
      <c r="M1055" s="286"/>
      <c r="N1055" s="286"/>
      <c r="O1055" s="241"/>
      <c r="P1055" s="241"/>
      <c r="Q1055" s="241"/>
    </row>
    <row r="1056" spans="1:17" ht="13.5" customHeight="1" x14ac:dyDescent="0.3">
      <c r="A1056"/>
      <c r="B1056" s="241"/>
      <c r="C1056" s="241"/>
      <c r="D1056" s="241"/>
      <c r="E1056" s="241"/>
      <c r="F1056" s="241"/>
      <c r="G1056" s="241"/>
      <c r="H1056" s="241"/>
      <c r="I1056"/>
      <c r="J1056" s="286"/>
      <c r="K1056" s="286"/>
      <c r="L1056" s="286"/>
      <c r="M1056" s="286"/>
      <c r="N1056" s="286"/>
      <c r="O1056" s="241"/>
      <c r="P1056" s="241"/>
      <c r="Q1056" s="241"/>
    </row>
    <row r="1057" spans="1:17" ht="13.5" customHeight="1" x14ac:dyDescent="0.3">
      <c r="A1057"/>
      <c r="B1057" s="241"/>
      <c r="C1057" s="241"/>
      <c r="D1057" s="241"/>
      <c r="E1057" s="241"/>
      <c r="F1057" s="241"/>
      <c r="G1057" s="241"/>
      <c r="H1057" s="241"/>
      <c r="I1057"/>
      <c r="J1057" s="286"/>
      <c r="K1057" s="286"/>
      <c r="L1057" s="286"/>
      <c r="M1057" s="286"/>
      <c r="N1057" s="286"/>
      <c r="O1057" s="241"/>
      <c r="P1057" s="241"/>
      <c r="Q1057" s="241"/>
    </row>
    <row r="1058" spans="1:17" ht="13.5" customHeight="1" x14ac:dyDescent="0.3">
      <c r="A1058"/>
      <c r="B1058" s="241"/>
      <c r="C1058" s="241"/>
      <c r="D1058" s="241"/>
      <c r="E1058" s="241"/>
      <c r="F1058" s="241"/>
      <c r="G1058" s="241"/>
      <c r="H1058" s="241"/>
      <c r="I1058"/>
      <c r="J1058" s="286"/>
      <c r="K1058" s="286"/>
      <c r="L1058" s="286"/>
      <c r="M1058" s="286"/>
      <c r="N1058" s="286"/>
      <c r="O1058" s="241"/>
      <c r="P1058" s="241"/>
      <c r="Q1058" s="241"/>
    </row>
    <row r="1059" spans="1:17" ht="13.5" customHeight="1" x14ac:dyDescent="0.3">
      <c r="A1059"/>
      <c r="B1059" s="241"/>
      <c r="C1059" s="241"/>
      <c r="D1059" s="241"/>
      <c r="E1059" s="241"/>
      <c r="F1059" s="241"/>
      <c r="G1059" s="241"/>
      <c r="H1059" s="241"/>
      <c r="I1059"/>
      <c r="J1059" s="286"/>
      <c r="K1059" s="286"/>
      <c r="L1059" s="286"/>
      <c r="M1059" s="286"/>
      <c r="N1059" s="286"/>
      <c r="O1059" s="241"/>
      <c r="P1059" s="241"/>
      <c r="Q1059" s="241"/>
    </row>
    <row r="1060" spans="1:17" ht="13.5" customHeight="1" x14ac:dyDescent="0.3">
      <c r="A1060"/>
      <c r="B1060" s="241"/>
      <c r="C1060" s="241"/>
      <c r="D1060" s="241"/>
      <c r="E1060" s="241"/>
      <c r="F1060" s="241"/>
      <c r="G1060" s="241"/>
      <c r="H1060" s="241"/>
      <c r="I1060"/>
      <c r="J1060" s="286"/>
      <c r="K1060" s="286"/>
      <c r="L1060" s="286"/>
      <c r="M1060" s="286"/>
      <c r="N1060" s="286"/>
      <c r="O1060" s="241"/>
      <c r="P1060" s="241"/>
      <c r="Q1060" s="241"/>
    </row>
    <row r="1061" spans="1:17" ht="13.5" customHeight="1" x14ac:dyDescent="0.3">
      <c r="A1061"/>
      <c r="B1061" s="241"/>
      <c r="C1061" s="241"/>
      <c r="D1061" s="241"/>
      <c r="E1061" s="241"/>
      <c r="F1061" s="241"/>
      <c r="G1061" s="241"/>
      <c r="H1061" s="241"/>
      <c r="I1061"/>
      <c r="J1061" s="286"/>
      <c r="K1061" s="286"/>
      <c r="L1061" s="286"/>
      <c r="M1061" s="286"/>
      <c r="N1061" s="286"/>
      <c r="O1061" s="241"/>
      <c r="P1061" s="241"/>
      <c r="Q1061" s="241"/>
    </row>
    <row r="1062" spans="1:17" ht="13.5" customHeight="1" x14ac:dyDescent="0.3">
      <c r="A1062"/>
      <c r="B1062" s="241"/>
      <c r="C1062" s="241"/>
      <c r="D1062" s="241"/>
      <c r="E1062" s="241"/>
      <c r="F1062" s="241"/>
      <c r="G1062" s="241"/>
      <c r="H1062" s="241"/>
      <c r="I1062"/>
      <c r="J1062" s="286"/>
      <c r="K1062" s="286"/>
      <c r="L1062" s="286"/>
      <c r="M1062" s="286"/>
      <c r="N1062" s="286"/>
      <c r="O1062" s="241"/>
      <c r="P1062" s="241"/>
      <c r="Q1062" s="241"/>
    </row>
    <row r="1063" spans="1:17" ht="13.5" customHeight="1" x14ac:dyDescent="0.3">
      <c r="A1063"/>
      <c r="B1063" s="241"/>
      <c r="C1063" s="241"/>
      <c r="D1063" s="241"/>
      <c r="E1063" s="241"/>
      <c r="F1063" s="241"/>
      <c r="G1063" s="241"/>
      <c r="H1063" s="241"/>
      <c r="I1063"/>
      <c r="J1063" s="286"/>
      <c r="K1063" s="286"/>
      <c r="L1063" s="286"/>
      <c r="M1063" s="286"/>
      <c r="N1063" s="286"/>
      <c r="O1063" s="241"/>
      <c r="P1063" s="241"/>
      <c r="Q1063" s="241"/>
    </row>
    <row r="1064" spans="1:17" ht="13.5" customHeight="1" x14ac:dyDescent="0.3">
      <c r="A1064"/>
      <c r="B1064" s="241"/>
      <c r="C1064" s="241"/>
      <c r="D1064" s="241"/>
      <c r="E1064" s="241"/>
      <c r="F1064" s="241"/>
      <c r="G1064" s="241"/>
      <c r="H1064" s="241"/>
      <c r="I1064"/>
      <c r="J1064" s="286"/>
      <c r="K1064" s="286"/>
      <c r="L1064" s="286"/>
      <c r="M1064" s="286"/>
      <c r="N1064" s="286"/>
      <c r="O1064" s="241"/>
      <c r="P1064" s="241"/>
      <c r="Q1064" s="241"/>
    </row>
    <row r="1065" spans="1:17" ht="13.5" customHeight="1" x14ac:dyDescent="0.3">
      <c r="A1065"/>
      <c r="B1065" s="241"/>
      <c r="C1065" s="241"/>
      <c r="D1065" s="241"/>
      <c r="E1065" s="241"/>
      <c r="F1065" s="241"/>
      <c r="G1065" s="241"/>
      <c r="H1065" s="241"/>
      <c r="I1065"/>
      <c r="J1065" s="286"/>
      <c r="K1065" s="286"/>
      <c r="L1065" s="286"/>
      <c r="M1065" s="286"/>
      <c r="N1065" s="286"/>
      <c r="O1065" s="241"/>
      <c r="P1065" s="241"/>
      <c r="Q1065" s="241"/>
    </row>
    <row r="1066" spans="1:17" ht="13.5" customHeight="1" x14ac:dyDescent="0.3">
      <c r="A1066"/>
      <c r="B1066" s="241"/>
      <c r="C1066" s="241"/>
      <c r="D1066" s="241"/>
      <c r="E1066" s="241"/>
      <c r="F1066" s="241"/>
      <c r="G1066" s="241"/>
      <c r="H1066" s="241"/>
      <c r="I1066"/>
      <c r="J1066" s="286"/>
      <c r="K1066" s="286"/>
      <c r="L1066" s="286"/>
      <c r="M1066" s="286"/>
      <c r="N1066" s="286"/>
      <c r="O1066" s="241"/>
      <c r="P1066" s="241"/>
      <c r="Q1066" s="241"/>
    </row>
    <row r="1067" spans="1:17" ht="13.5" customHeight="1" x14ac:dyDescent="0.3">
      <c r="A1067"/>
      <c r="B1067" s="241"/>
      <c r="C1067" s="241"/>
      <c r="D1067" s="241"/>
      <c r="E1067" s="241"/>
      <c r="F1067" s="241"/>
      <c r="G1067" s="241"/>
      <c r="H1067" s="241"/>
      <c r="I1067"/>
      <c r="J1067" s="286"/>
      <c r="K1067" s="286"/>
      <c r="L1067" s="286"/>
      <c r="M1067" s="286"/>
      <c r="N1067" s="286"/>
      <c r="O1067" s="241"/>
      <c r="P1067" s="241"/>
      <c r="Q1067" s="241"/>
    </row>
    <row r="1068" spans="1:17" ht="13.5" customHeight="1" x14ac:dyDescent="0.3">
      <c r="A1068"/>
      <c r="B1068" s="241"/>
      <c r="C1068" s="241"/>
      <c r="D1068" s="241"/>
      <c r="E1068" s="241"/>
      <c r="F1068" s="241"/>
      <c r="G1068" s="241"/>
      <c r="H1068" s="241"/>
      <c r="I1068"/>
      <c r="J1068" s="241"/>
      <c r="K1068" s="241"/>
      <c r="L1068" s="241"/>
      <c r="M1068" s="241"/>
      <c r="N1068" s="241"/>
      <c r="O1068" s="241"/>
      <c r="P1068" s="241"/>
      <c r="Q1068" s="241"/>
    </row>
    <row r="1069" spans="1:17" ht="13.5" customHeight="1" x14ac:dyDescent="0.3">
      <c r="A1069"/>
      <c r="B1069" s="241"/>
      <c r="C1069" s="241"/>
      <c r="D1069" s="241"/>
      <c r="E1069" s="241"/>
      <c r="F1069" s="241"/>
      <c r="G1069" s="241"/>
      <c r="H1069" s="241"/>
      <c r="I1069"/>
      <c r="J1069" s="241"/>
      <c r="K1069" s="241"/>
      <c r="L1069" s="241"/>
      <c r="M1069" s="241"/>
      <c r="N1069" s="241"/>
      <c r="O1069" s="241"/>
      <c r="P1069" s="241"/>
      <c r="Q1069" s="241"/>
    </row>
    <row r="1070" spans="1:17" ht="13.5" customHeight="1" x14ac:dyDescent="0.3">
      <c r="A1070"/>
      <c r="B1070" s="241"/>
      <c r="C1070" s="241"/>
      <c r="D1070" s="241"/>
      <c r="E1070" s="241"/>
      <c r="F1070" s="241"/>
      <c r="G1070" s="241"/>
      <c r="H1070" s="241"/>
      <c r="I1070"/>
      <c r="J1070" s="241"/>
      <c r="K1070" s="241"/>
      <c r="L1070" s="241"/>
      <c r="M1070" s="241"/>
      <c r="N1070" s="241"/>
      <c r="O1070" s="241"/>
      <c r="P1070" s="241"/>
      <c r="Q1070" s="241"/>
    </row>
    <row r="1071" spans="1:17" ht="13.5" customHeight="1" x14ac:dyDescent="0.3">
      <c r="A1071"/>
      <c r="B1071" s="241"/>
      <c r="C1071" s="241"/>
      <c r="D1071" s="241"/>
      <c r="E1071" s="241"/>
      <c r="F1071" s="241"/>
      <c r="G1071" s="241"/>
      <c r="H1071" s="241"/>
      <c r="I1071"/>
      <c r="J1071" s="241"/>
      <c r="K1071" s="241"/>
      <c r="L1071" s="241"/>
      <c r="M1071" s="241"/>
      <c r="N1071" s="241"/>
      <c r="O1071" s="241"/>
      <c r="P1071" s="241"/>
      <c r="Q1071" s="241"/>
    </row>
    <row r="1072" spans="1:17" ht="13.5" customHeight="1" x14ac:dyDescent="0.3">
      <c r="A1072"/>
      <c r="B1072" s="241"/>
      <c r="C1072" s="241"/>
      <c r="D1072" s="241"/>
      <c r="E1072" s="241"/>
      <c r="F1072" s="241"/>
      <c r="G1072" s="241"/>
      <c r="H1072" s="241"/>
      <c r="I1072"/>
      <c r="J1072" s="241"/>
      <c r="K1072" s="241"/>
      <c r="L1072" s="241"/>
      <c r="M1072" s="241"/>
      <c r="N1072" s="241"/>
      <c r="O1072" s="241"/>
      <c r="P1072" s="241"/>
      <c r="Q1072" s="241"/>
    </row>
    <row r="1073" spans="1:17" ht="13.5" customHeight="1" x14ac:dyDescent="0.3">
      <c r="A1073"/>
      <c r="B1073" s="241"/>
      <c r="C1073" s="241"/>
      <c r="D1073" s="241"/>
      <c r="E1073" s="241"/>
      <c r="F1073" s="241"/>
      <c r="G1073" s="241"/>
      <c r="H1073" s="241"/>
      <c r="I1073"/>
      <c r="J1073" s="241"/>
      <c r="K1073" s="241"/>
      <c r="L1073" s="241"/>
      <c r="M1073" s="241"/>
      <c r="N1073" s="241"/>
      <c r="O1073" s="241"/>
      <c r="P1073" s="241"/>
      <c r="Q1073" s="241"/>
    </row>
    <row r="1074" spans="1:17" ht="13.5" customHeight="1" x14ac:dyDescent="0.3">
      <c r="A1074"/>
      <c r="B1074" s="241"/>
      <c r="C1074" s="241"/>
      <c r="D1074" s="241"/>
      <c r="E1074" s="241"/>
      <c r="F1074" s="241"/>
      <c r="G1074" s="241"/>
      <c r="H1074" s="241"/>
      <c r="I1074"/>
      <c r="J1074" s="241"/>
      <c r="K1074" s="241"/>
      <c r="L1074" s="241"/>
      <c r="M1074" s="241"/>
      <c r="N1074" s="241"/>
      <c r="O1074" s="241"/>
      <c r="P1074" s="241"/>
      <c r="Q1074" s="241"/>
    </row>
    <row r="1075" spans="1:17" ht="13.5" customHeight="1" x14ac:dyDescent="0.3">
      <c r="A1075"/>
      <c r="B1075" s="241"/>
      <c r="C1075" s="241"/>
      <c r="D1075" s="241"/>
      <c r="E1075" s="241"/>
      <c r="F1075" s="241"/>
      <c r="G1075" s="241"/>
      <c r="H1075" s="241"/>
      <c r="I1075"/>
      <c r="J1075" s="241"/>
      <c r="K1075" s="241"/>
      <c r="L1075" s="241"/>
      <c r="M1075" s="241"/>
      <c r="N1075" s="241"/>
      <c r="O1075" s="241"/>
      <c r="P1075" s="241"/>
      <c r="Q1075" s="241"/>
    </row>
    <row r="1076" spans="1:17" ht="13.5" customHeight="1" x14ac:dyDescent="0.3">
      <c r="A1076"/>
      <c r="B1076" s="241"/>
      <c r="C1076" s="241"/>
      <c r="D1076" s="241"/>
      <c r="E1076" s="241"/>
      <c r="F1076" s="241"/>
      <c r="G1076" s="241"/>
      <c r="H1076" s="241"/>
      <c r="I1076"/>
      <c r="J1076" s="241"/>
      <c r="K1076" s="241"/>
      <c r="L1076" s="241"/>
      <c r="M1076" s="241"/>
      <c r="N1076" s="241"/>
      <c r="O1076" s="241"/>
      <c r="P1076" s="241"/>
      <c r="Q1076" s="241"/>
    </row>
    <row r="1077" spans="1:17" ht="13.5" customHeight="1" x14ac:dyDescent="0.3">
      <c r="A1077"/>
      <c r="B1077" s="241"/>
      <c r="C1077" s="241"/>
      <c r="D1077" s="241"/>
      <c r="E1077" s="241"/>
      <c r="F1077" s="241"/>
      <c r="G1077" s="241"/>
      <c r="H1077" s="241"/>
      <c r="I1077"/>
      <c r="J1077" s="241"/>
      <c r="K1077" s="241"/>
      <c r="L1077" s="241"/>
      <c r="M1077" s="241"/>
      <c r="N1077" s="241"/>
      <c r="O1077" s="241"/>
      <c r="P1077" s="241"/>
      <c r="Q1077" s="241"/>
    </row>
    <row r="1078" spans="1:17" ht="13.5" customHeight="1" x14ac:dyDescent="0.3">
      <c r="A1078"/>
      <c r="B1078" s="241"/>
      <c r="C1078" s="241"/>
      <c r="D1078" s="241"/>
      <c r="E1078" s="241"/>
      <c r="F1078" s="241"/>
      <c r="G1078" s="241"/>
      <c r="H1078" s="241"/>
      <c r="I1078"/>
      <c r="J1078" s="241"/>
      <c r="K1078" s="241"/>
      <c r="L1078" s="241"/>
      <c r="M1078" s="241"/>
      <c r="N1078" s="241"/>
      <c r="O1078" s="241"/>
      <c r="P1078" s="241"/>
      <c r="Q1078" s="241"/>
    </row>
    <row r="1079" spans="1:17" ht="13.5" customHeight="1" x14ac:dyDescent="0.3">
      <c r="A1079"/>
      <c r="B1079" s="241"/>
      <c r="C1079" s="241"/>
      <c r="D1079" s="241"/>
      <c r="E1079" s="241"/>
      <c r="F1079" s="241"/>
      <c r="G1079" s="241"/>
      <c r="H1079" s="241"/>
      <c r="I1079"/>
      <c r="J1079" s="241"/>
      <c r="K1079" s="241"/>
      <c r="L1079" s="241"/>
      <c r="M1079" s="241"/>
      <c r="N1079" s="241"/>
      <c r="O1079" s="241"/>
      <c r="P1079" s="241"/>
      <c r="Q1079" s="241"/>
    </row>
    <row r="1080" spans="1:17" ht="13.5" customHeight="1" x14ac:dyDescent="0.3">
      <c r="A1080"/>
      <c r="B1080" s="241"/>
      <c r="C1080" s="241"/>
      <c r="D1080" s="241"/>
      <c r="E1080" s="241"/>
      <c r="F1080" s="241"/>
      <c r="G1080" s="241"/>
      <c r="H1080" s="241"/>
      <c r="I1080"/>
      <c r="J1080" s="241"/>
      <c r="K1080" s="241"/>
      <c r="L1080" s="241"/>
      <c r="M1080" s="241"/>
      <c r="N1080" s="241"/>
      <c r="O1080" s="241"/>
      <c r="P1080" s="241"/>
      <c r="Q1080" s="241"/>
    </row>
    <row r="1081" spans="1:17" ht="13.5" customHeight="1" x14ac:dyDescent="0.3">
      <c r="A1081"/>
      <c r="B1081" s="241"/>
      <c r="C1081" s="241"/>
      <c r="D1081" s="241"/>
      <c r="E1081" s="241"/>
      <c r="F1081" s="241"/>
      <c r="G1081" s="241"/>
      <c r="H1081" s="241"/>
      <c r="I1081"/>
      <c r="J1081" s="241"/>
      <c r="K1081" s="241"/>
      <c r="L1081" s="241"/>
      <c r="M1081" s="241"/>
      <c r="N1081" s="241"/>
      <c r="O1081" s="241"/>
      <c r="P1081" s="241"/>
      <c r="Q1081" s="241"/>
    </row>
    <row r="1082" spans="1:17" ht="13.5" customHeight="1" x14ac:dyDescent="0.3">
      <c r="A1082"/>
      <c r="B1082" s="241"/>
      <c r="C1082" s="241"/>
      <c r="D1082" s="241"/>
      <c r="E1082" s="241"/>
      <c r="F1082" s="241"/>
      <c r="G1082" s="241"/>
      <c r="H1082" s="241"/>
      <c r="I1082"/>
      <c r="J1082" s="241"/>
      <c r="K1082" s="241"/>
      <c r="L1082" s="241"/>
      <c r="M1082" s="241"/>
      <c r="N1082" s="241"/>
      <c r="O1082" s="241"/>
      <c r="P1082" s="241"/>
      <c r="Q1082" s="241"/>
    </row>
    <row r="1083" spans="1:17" ht="13.5" customHeight="1" x14ac:dyDescent="0.3">
      <c r="A1083"/>
      <c r="B1083" s="241"/>
      <c r="C1083" s="241"/>
      <c r="D1083" s="241"/>
      <c r="E1083" s="241"/>
      <c r="F1083" s="241"/>
      <c r="G1083" s="241"/>
      <c r="H1083" s="241"/>
      <c r="I1083"/>
      <c r="J1083" s="241"/>
      <c r="K1083" s="241"/>
      <c r="L1083" s="241"/>
      <c r="M1083" s="241"/>
      <c r="N1083" s="241"/>
      <c r="O1083" s="241"/>
      <c r="P1083" s="241"/>
      <c r="Q1083" s="241"/>
    </row>
    <row r="1084" spans="1:17" ht="13.5" customHeight="1" x14ac:dyDescent="0.3">
      <c r="A1084"/>
      <c r="B1084" s="241"/>
      <c r="C1084" s="241"/>
      <c r="D1084" s="241"/>
      <c r="E1084" s="241"/>
      <c r="F1084" s="241"/>
      <c r="G1084" s="241"/>
      <c r="H1084" s="241"/>
      <c r="I1084"/>
      <c r="J1084" s="241"/>
      <c r="K1084" s="241"/>
      <c r="L1084" s="241"/>
      <c r="M1084" s="241"/>
      <c r="N1084" s="241"/>
      <c r="O1084" s="241"/>
      <c r="P1084" s="241"/>
      <c r="Q1084" s="241"/>
    </row>
    <row r="1085" spans="1:17" ht="13.5" customHeight="1" x14ac:dyDescent="0.3">
      <c r="A1085"/>
      <c r="B1085" s="241"/>
      <c r="C1085" s="241"/>
      <c r="D1085" s="241"/>
      <c r="E1085" s="241"/>
      <c r="F1085" s="241"/>
      <c r="G1085" s="241"/>
      <c r="H1085" s="241"/>
      <c r="I1085"/>
      <c r="J1085" s="241"/>
      <c r="K1085" s="241"/>
      <c r="L1085" s="241"/>
      <c r="M1085" s="241"/>
      <c r="N1085" s="241"/>
      <c r="O1085" s="241"/>
      <c r="P1085" s="241"/>
      <c r="Q1085" s="241"/>
    </row>
    <row r="1086" spans="1:17" ht="13.5" customHeight="1" x14ac:dyDescent="0.3">
      <c r="A1086"/>
      <c r="B1086" s="241"/>
      <c r="C1086" s="241"/>
      <c r="D1086" s="241"/>
      <c r="E1086" s="241"/>
      <c r="F1086" s="241"/>
      <c r="G1086" s="241"/>
      <c r="H1086" s="241"/>
      <c r="I1086"/>
      <c r="J1086" s="241"/>
      <c r="K1086" s="241"/>
      <c r="L1086" s="241"/>
      <c r="M1086" s="241"/>
      <c r="N1086" s="241"/>
      <c r="O1086" s="241"/>
      <c r="P1086" s="241"/>
      <c r="Q1086" s="241"/>
    </row>
    <row r="1087" spans="1:17" ht="13.5" customHeight="1" x14ac:dyDescent="0.3">
      <c r="A1087"/>
      <c r="B1087" s="241"/>
      <c r="C1087" s="241"/>
      <c r="D1087" s="241"/>
      <c r="E1087" s="241"/>
      <c r="F1087" s="241"/>
      <c r="G1087" s="241"/>
      <c r="H1087" s="241"/>
      <c r="I1087"/>
      <c r="J1087" s="241"/>
      <c r="K1087" s="241"/>
      <c r="L1087" s="241"/>
      <c r="M1087" s="241"/>
      <c r="N1087" s="241"/>
      <c r="O1087" s="241"/>
      <c r="P1087" s="241"/>
      <c r="Q1087" s="241"/>
    </row>
    <row r="1088" spans="1:17" ht="13.5" customHeight="1" x14ac:dyDescent="0.3">
      <c r="A1088"/>
      <c r="B1088" s="241"/>
      <c r="C1088" s="241"/>
      <c r="D1088" s="241"/>
      <c r="E1088" s="241"/>
      <c r="F1088" s="241"/>
      <c r="G1088" s="241"/>
      <c r="H1088" s="241"/>
      <c r="I1088"/>
      <c r="J1088" s="241"/>
      <c r="K1088" s="241"/>
      <c r="L1088" s="241"/>
      <c r="M1088" s="241"/>
      <c r="N1088" s="241"/>
      <c r="O1088" s="241"/>
      <c r="P1088" s="241"/>
      <c r="Q1088" s="241"/>
    </row>
    <row r="1089" spans="1:17" ht="13.5" customHeight="1" x14ac:dyDescent="0.3">
      <c r="A1089"/>
      <c r="B1089" s="241"/>
      <c r="C1089" s="241"/>
      <c r="D1089" s="241"/>
      <c r="E1089" s="241"/>
      <c r="F1089" s="241"/>
      <c r="G1089" s="241"/>
      <c r="H1089" s="241"/>
      <c r="I1089"/>
      <c r="J1089" s="241"/>
      <c r="K1089" s="241"/>
      <c r="L1089" s="241"/>
      <c r="M1089" s="241"/>
      <c r="N1089" s="241"/>
      <c r="O1089" s="241"/>
      <c r="P1089" s="241"/>
      <c r="Q1089" s="241"/>
    </row>
    <row r="1090" spans="1:17" ht="13.5" customHeight="1" x14ac:dyDescent="0.3">
      <c r="A1090"/>
      <c r="B1090" s="241"/>
      <c r="C1090" s="241"/>
      <c r="D1090" s="241"/>
      <c r="E1090" s="241"/>
      <c r="F1090" s="241"/>
      <c r="G1090" s="241"/>
      <c r="H1090" s="241"/>
      <c r="I1090"/>
      <c r="J1090" s="241"/>
      <c r="K1090" s="241"/>
      <c r="L1090" s="241"/>
      <c r="M1090" s="241"/>
      <c r="N1090" s="241"/>
      <c r="O1090" s="241"/>
      <c r="P1090" s="241"/>
      <c r="Q1090" s="241"/>
    </row>
    <row r="1091" spans="1:17" ht="13.5" customHeight="1" x14ac:dyDescent="0.3">
      <c r="A1091"/>
      <c r="B1091" s="241"/>
      <c r="C1091" s="241"/>
      <c r="D1091" s="241"/>
      <c r="E1091" s="241"/>
      <c r="F1091" s="241"/>
      <c r="G1091" s="241"/>
      <c r="H1091" s="241"/>
      <c r="I1091"/>
      <c r="J1091" s="241"/>
      <c r="K1091" s="241"/>
      <c r="L1091" s="241"/>
      <c r="M1091" s="241"/>
      <c r="N1091" s="241"/>
      <c r="O1091" s="241"/>
      <c r="P1091" s="241"/>
      <c r="Q1091" s="241"/>
    </row>
    <row r="1092" spans="1:17" ht="13.5" customHeight="1" x14ac:dyDescent="0.3">
      <c r="A1092"/>
      <c r="B1092" s="241"/>
      <c r="C1092" s="241"/>
      <c r="D1092" s="241"/>
      <c r="E1092" s="241"/>
      <c r="F1092" s="241"/>
      <c r="G1092" s="241"/>
      <c r="H1092" s="241"/>
      <c r="I1092"/>
      <c r="J1092" s="241"/>
      <c r="K1092" s="241"/>
      <c r="L1092" s="241"/>
      <c r="M1092" s="241"/>
      <c r="N1092" s="241"/>
      <c r="O1092" s="241"/>
      <c r="P1092" s="241"/>
      <c r="Q1092" s="241"/>
    </row>
    <row r="1093" spans="1:17" ht="13.5" customHeight="1" x14ac:dyDescent="0.3">
      <c r="A1093"/>
      <c r="B1093" s="241"/>
      <c r="C1093" s="241"/>
      <c r="D1093" s="241"/>
      <c r="E1093" s="241"/>
      <c r="F1093" s="241"/>
      <c r="G1093" s="241"/>
      <c r="H1093" s="241"/>
      <c r="I1093"/>
      <c r="J1093" s="241"/>
      <c r="K1093" s="241"/>
      <c r="L1093" s="241"/>
      <c r="M1093" s="241"/>
      <c r="N1093" s="241"/>
      <c r="O1093" s="241"/>
      <c r="P1093" s="241"/>
      <c r="Q1093" s="241"/>
    </row>
    <row r="1094" spans="1:17" ht="13.5" customHeight="1" x14ac:dyDescent="0.3">
      <c r="A1094"/>
      <c r="B1094" s="241"/>
      <c r="C1094" s="241"/>
      <c r="D1094" s="241"/>
      <c r="E1094" s="241"/>
      <c r="F1094" s="241"/>
      <c r="G1094" s="241"/>
      <c r="H1094" s="241"/>
      <c r="I1094"/>
      <c r="J1094" s="241"/>
      <c r="K1094" s="241"/>
      <c r="L1094" s="241"/>
      <c r="M1094" s="241"/>
      <c r="N1094" s="241"/>
      <c r="O1094" s="241"/>
      <c r="P1094" s="241"/>
      <c r="Q1094" s="241"/>
    </row>
    <row r="1095" spans="1:17" ht="13.5" customHeight="1" x14ac:dyDescent="0.3">
      <c r="A1095"/>
      <c r="B1095" s="241"/>
      <c r="C1095" s="241"/>
      <c r="D1095" s="241"/>
      <c r="E1095" s="241"/>
      <c r="F1095" s="241"/>
      <c r="G1095" s="241"/>
      <c r="H1095" s="241"/>
      <c r="I1095"/>
      <c r="J1095" s="241"/>
      <c r="K1095" s="241"/>
      <c r="L1095" s="241"/>
      <c r="M1095" s="241"/>
      <c r="N1095" s="241"/>
      <c r="O1095" s="241"/>
      <c r="P1095" s="241"/>
      <c r="Q1095" s="241"/>
    </row>
    <row r="1096" spans="1:17" ht="13.5" customHeight="1" x14ac:dyDescent="0.3">
      <c r="A1096"/>
      <c r="B1096" s="241"/>
      <c r="C1096" s="241"/>
      <c r="D1096" s="241"/>
      <c r="E1096" s="241"/>
      <c r="F1096" s="241"/>
      <c r="G1096" s="241"/>
      <c r="H1096" s="241"/>
      <c r="I1096"/>
      <c r="J1096" s="241"/>
      <c r="K1096" s="241"/>
      <c r="L1096" s="241"/>
      <c r="M1096" s="241"/>
      <c r="N1096" s="241"/>
      <c r="O1096" s="241"/>
      <c r="P1096" s="241"/>
      <c r="Q1096" s="241"/>
    </row>
    <row r="1097" spans="1:17" ht="13.5" customHeight="1" x14ac:dyDescent="0.3">
      <c r="A1097"/>
      <c r="B1097" s="241"/>
      <c r="C1097" s="241"/>
      <c r="D1097" s="241"/>
      <c r="E1097" s="241"/>
      <c r="F1097" s="241"/>
      <c r="G1097" s="241"/>
      <c r="H1097" s="241"/>
      <c r="I1097"/>
      <c r="J1097" s="241"/>
      <c r="K1097" s="241"/>
      <c r="L1097" s="241"/>
      <c r="M1097" s="241"/>
      <c r="N1097" s="241"/>
      <c r="O1097" s="241"/>
      <c r="P1097" s="241"/>
      <c r="Q1097" s="241"/>
    </row>
    <row r="1098" spans="1:17" ht="13.5" customHeight="1" x14ac:dyDescent="0.3">
      <c r="A1098"/>
      <c r="B1098" s="241"/>
      <c r="C1098" s="241"/>
      <c r="D1098" s="241"/>
      <c r="E1098" s="241"/>
      <c r="F1098" s="241"/>
      <c r="G1098" s="241"/>
      <c r="H1098" s="241"/>
      <c r="I1098"/>
      <c r="J1098" s="241"/>
      <c r="K1098" s="241"/>
      <c r="L1098" s="241"/>
      <c r="M1098" s="241"/>
      <c r="N1098" s="241"/>
      <c r="O1098" s="241"/>
      <c r="P1098" s="241"/>
      <c r="Q1098" s="241"/>
    </row>
    <row r="1099" spans="1:17" ht="13.5" customHeight="1" x14ac:dyDescent="0.3">
      <c r="A1099"/>
      <c r="B1099" s="241"/>
      <c r="C1099" s="241"/>
      <c r="D1099" s="241"/>
      <c r="E1099" s="241"/>
      <c r="F1099" s="241"/>
      <c r="G1099" s="241"/>
      <c r="H1099" s="241"/>
      <c r="I1099"/>
      <c r="J1099" s="241"/>
      <c r="K1099" s="241"/>
      <c r="L1099" s="241"/>
      <c r="M1099" s="241"/>
      <c r="N1099" s="241"/>
      <c r="O1099" s="241"/>
      <c r="P1099" s="241"/>
      <c r="Q1099" s="241"/>
    </row>
    <row r="1100" spans="1:17" ht="13.5" customHeight="1" x14ac:dyDescent="0.3">
      <c r="A1100"/>
      <c r="B1100" s="241"/>
      <c r="C1100" s="241"/>
      <c r="D1100" s="241"/>
      <c r="E1100" s="241"/>
      <c r="F1100" s="241"/>
      <c r="G1100" s="241"/>
      <c r="H1100" s="241"/>
      <c r="I1100"/>
      <c r="J1100" s="241"/>
      <c r="K1100" s="241"/>
      <c r="L1100" s="241"/>
      <c r="M1100" s="241"/>
      <c r="N1100" s="241"/>
      <c r="O1100" s="241"/>
      <c r="P1100" s="241"/>
      <c r="Q1100" s="241"/>
    </row>
    <row r="1101" spans="1:17" ht="13.5" customHeight="1" x14ac:dyDescent="0.3">
      <c r="A1101"/>
      <c r="B1101" s="241"/>
      <c r="C1101" s="241"/>
      <c r="D1101" s="241"/>
      <c r="E1101" s="241"/>
      <c r="F1101" s="241"/>
      <c r="G1101" s="241"/>
      <c r="H1101" s="241"/>
      <c r="I1101"/>
      <c r="J1101" s="241"/>
      <c r="K1101" s="241"/>
      <c r="L1101" s="241"/>
      <c r="M1101" s="241"/>
      <c r="N1101" s="241"/>
      <c r="O1101" s="241"/>
      <c r="P1101" s="241"/>
      <c r="Q1101" s="241"/>
    </row>
    <row r="1102" spans="1:17" ht="13.5" customHeight="1" x14ac:dyDescent="0.3">
      <c r="A1102"/>
      <c r="B1102" s="241"/>
      <c r="C1102" s="241"/>
      <c r="D1102" s="241"/>
      <c r="E1102" s="241"/>
      <c r="F1102" s="241"/>
      <c r="G1102" s="241"/>
      <c r="H1102" s="241"/>
      <c r="I1102"/>
      <c r="J1102" s="241"/>
      <c r="K1102" s="241"/>
      <c r="L1102" s="241"/>
      <c r="M1102" s="241"/>
      <c r="N1102" s="241"/>
      <c r="O1102" s="241"/>
      <c r="P1102" s="241"/>
      <c r="Q1102" s="241"/>
    </row>
    <row r="1103" spans="1:17" ht="13.5" customHeight="1" x14ac:dyDescent="0.3">
      <c r="A1103"/>
      <c r="B1103" s="241"/>
      <c r="C1103" s="241"/>
      <c r="D1103" s="241"/>
      <c r="E1103" s="241"/>
      <c r="F1103" s="241"/>
      <c r="G1103" s="241"/>
      <c r="H1103" s="241"/>
      <c r="I1103"/>
      <c r="J1103" s="241"/>
      <c r="K1103" s="241"/>
      <c r="L1103" s="241"/>
      <c r="M1103" s="241"/>
      <c r="N1103" s="241"/>
      <c r="O1103" s="241"/>
      <c r="P1103" s="241"/>
      <c r="Q1103" s="241"/>
    </row>
    <row r="1104" spans="1:17" ht="13.5" customHeight="1" x14ac:dyDescent="0.3">
      <c r="A1104"/>
      <c r="B1104" s="241"/>
      <c r="C1104" s="241"/>
      <c r="D1104" s="241"/>
      <c r="E1104" s="241"/>
      <c r="F1104" s="241"/>
      <c r="G1104" s="241"/>
      <c r="H1104" s="241"/>
      <c r="I1104"/>
      <c r="J1104" s="241"/>
      <c r="K1104" s="241"/>
      <c r="L1104" s="241"/>
      <c r="M1104" s="241"/>
      <c r="N1104" s="241"/>
      <c r="O1104" s="241"/>
      <c r="P1104" s="241"/>
      <c r="Q1104" s="241"/>
    </row>
    <row r="1105" spans="1:17" ht="13.5" customHeight="1" x14ac:dyDescent="0.3">
      <c r="A1105"/>
      <c r="B1105" s="241"/>
      <c r="C1105" s="241"/>
      <c r="D1105" s="241"/>
      <c r="E1105" s="241"/>
      <c r="F1105" s="241"/>
      <c r="G1105" s="241"/>
      <c r="H1105" s="241"/>
      <c r="I1105"/>
      <c r="J1105" s="241"/>
      <c r="K1105" s="241"/>
      <c r="L1105" s="241"/>
      <c r="M1105" s="241"/>
      <c r="N1105" s="241"/>
      <c r="O1105" s="241"/>
      <c r="P1105" s="241"/>
      <c r="Q1105" s="241"/>
    </row>
    <row r="1106" spans="1:17" ht="13.5" customHeight="1" x14ac:dyDescent="0.3">
      <c r="A1106"/>
      <c r="B1106" s="241"/>
      <c r="C1106" s="241"/>
      <c r="D1106" s="241"/>
      <c r="E1106" s="241"/>
      <c r="F1106" s="241"/>
      <c r="G1106" s="241"/>
      <c r="H1106" s="241"/>
      <c r="I1106"/>
      <c r="J1106" s="241"/>
      <c r="K1106" s="241"/>
      <c r="L1106" s="241"/>
      <c r="M1106" s="241"/>
      <c r="N1106" s="241"/>
      <c r="O1106" s="241"/>
      <c r="P1106" s="241"/>
      <c r="Q1106" s="241"/>
    </row>
    <row r="1107" spans="1:17" ht="13.5" customHeight="1" x14ac:dyDescent="0.3">
      <c r="A1107"/>
      <c r="B1107" s="241"/>
      <c r="C1107" s="241"/>
      <c r="D1107" s="241"/>
      <c r="E1107" s="241"/>
      <c r="F1107" s="241"/>
      <c r="G1107" s="241"/>
      <c r="H1107" s="241"/>
      <c r="I1107"/>
      <c r="J1107" s="241"/>
      <c r="K1107" s="241"/>
      <c r="L1107" s="241"/>
      <c r="M1107" s="241"/>
      <c r="N1107" s="241"/>
      <c r="O1107" s="241"/>
      <c r="P1107" s="241"/>
      <c r="Q1107" s="241"/>
    </row>
    <row r="1108" spans="1:17" ht="13.5" customHeight="1" x14ac:dyDescent="0.3">
      <c r="A1108"/>
      <c r="B1108" s="241"/>
      <c r="C1108" s="241"/>
      <c r="D1108" s="241"/>
      <c r="E1108" s="241"/>
      <c r="F1108" s="241"/>
      <c r="G1108" s="241"/>
      <c r="H1108" s="241"/>
      <c r="I1108"/>
      <c r="J1108" s="241"/>
      <c r="K1108" s="241"/>
      <c r="L1108" s="241"/>
      <c r="M1108" s="241"/>
      <c r="N1108" s="241"/>
      <c r="O1108" s="241"/>
      <c r="P1108" s="241"/>
      <c r="Q1108" s="241"/>
    </row>
    <row r="1109" spans="1:17" ht="13.5" customHeight="1" x14ac:dyDescent="0.3">
      <c r="A1109"/>
      <c r="B1109" s="241"/>
      <c r="C1109" s="241"/>
      <c r="D1109" s="241"/>
      <c r="E1109" s="241"/>
      <c r="F1109" s="241"/>
      <c r="G1109" s="241"/>
      <c r="H1109" s="241"/>
      <c r="I1109"/>
      <c r="J1109" s="241"/>
      <c r="K1109" s="241"/>
      <c r="L1109" s="241"/>
      <c r="M1109" s="241"/>
      <c r="N1109" s="241"/>
      <c r="O1109" s="241"/>
      <c r="P1109" s="241"/>
      <c r="Q1109" s="241"/>
    </row>
    <row r="1110" spans="1:17" ht="13.5" customHeight="1" x14ac:dyDescent="0.3">
      <c r="A1110"/>
      <c r="B1110" s="241"/>
      <c r="C1110" s="241"/>
      <c r="D1110" s="241"/>
      <c r="E1110" s="241"/>
      <c r="F1110" s="241"/>
      <c r="G1110" s="241"/>
      <c r="H1110" s="241"/>
      <c r="I1110"/>
      <c r="J1110" s="241"/>
      <c r="K1110" s="241"/>
      <c r="L1110" s="241"/>
      <c r="M1110" s="241"/>
      <c r="N1110" s="241"/>
      <c r="O1110" s="241"/>
      <c r="P1110" s="241"/>
      <c r="Q1110" s="241"/>
    </row>
    <row r="1111" spans="1:17" ht="13.5" customHeight="1" x14ac:dyDescent="0.3">
      <c r="A1111"/>
      <c r="B1111" s="241"/>
      <c r="C1111" s="241"/>
      <c r="D1111" s="241"/>
      <c r="E1111" s="241"/>
      <c r="F1111" s="241"/>
      <c r="G1111" s="241"/>
      <c r="H1111" s="241"/>
      <c r="I1111"/>
      <c r="J1111" s="241"/>
      <c r="K1111" s="241"/>
      <c r="L1111" s="241"/>
      <c r="M1111" s="241"/>
      <c r="N1111" s="241"/>
      <c r="O1111" s="241"/>
      <c r="P1111" s="241"/>
      <c r="Q1111" s="241"/>
    </row>
    <row r="1112" spans="1:17" ht="13.5" customHeight="1" x14ac:dyDescent="0.3">
      <c r="A1112"/>
      <c r="B1112" s="241"/>
      <c r="C1112" s="241"/>
      <c r="D1112" s="241"/>
      <c r="E1112" s="241"/>
      <c r="F1112" s="241"/>
      <c r="G1112" s="241"/>
      <c r="H1112" s="241"/>
      <c r="I1112"/>
      <c r="J1112" s="241"/>
      <c r="K1112" s="241"/>
      <c r="L1112" s="241"/>
      <c r="M1112" s="241"/>
      <c r="N1112" s="241"/>
      <c r="O1112" s="241"/>
      <c r="P1112" s="241"/>
      <c r="Q1112" s="241"/>
    </row>
    <row r="1113" spans="1:17" ht="13.5" customHeight="1" x14ac:dyDescent="0.3">
      <c r="A1113"/>
      <c r="B1113" s="241"/>
      <c r="C1113" s="241"/>
      <c r="D1113" s="241"/>
      <c r="E1113" s="241"/>
      <c r="F1113" s="241"/>
      <c r="G1113" s="241"/>
      <c r="H1113" s="241"/>
      <c r="I1113"/>
      <c r="J1113" s="241"/>
      <c r="K1113" s="241"/>
      <c r="L1113" s="241"/>
      <c r="M1113" s="241"/>
      <c r="N1113" s="241"/>
      <c r="O1113" s="241"/>
      <c r="P1113" s="241"/>
      <c r="Q1113" s="241"/>
    </row>
    <row r="1114" spans="1:17" ht="13.5" customHeight="1" x14ac:dyDescent="0.3">
      <c r="A1114"/>
      <c r="B1114" s="241"/>
      <c r="C1114" s="241"/>
      <c r="D1114" s="241"/>
      <c r="E1114" s="241"/>
      <c r="F1114" s="241"/>
      <c r="G1114" s="241"/>
      <c r="H1114" s="241"/>
      <c r="I1114"/>
      <c r="J1114" s="241"/>
      <c r="K1114" s="241"/>
      <c r="L1114" s="241"/>
      <c r="M1114" s="241"/>
      <c r="N1114" s="241"/>
      <c r="O1114" s="241"/>
      <c r="P1114" s="241"/>
      <c r="Q1114" s="241"/>
    </row>
    <row r="1115" spans="1:17" ht="13.5" customHeight="1" x14ac:dyDescent="0.3">
      <c r="A1115"/>
      <c r="B1115" s="241"/>
      <c r="C1115" s="241"/>
      <c r="D1115" s="241"/>
      <c r="E1115" s="241"/>
      <c r="F1115" s="241"/>
      <c r="G1115" s="241"/>
      <c r="H1115" s="241"/>
      <c r="I1115"/>
      <c r="J1115" s="241"/>
      <c r="K1115" s="241"/>
      <c r="L1115" s="241"/>
      <c r="M1115" s="241"/>
      <c r="N1115" s="241"/>
      <c r="O1115" s="241"/>
      <c r="P1115" s="241"/>
      <c r="Q1115" s="241"/>
    </row>
    <row r="1116" spans="1:17" ht="13.5" customHeight="1" x14ac:dyDescent="0.3">
      <c r="A1116"/>
      <c r="B1116" s="241"/>
      <c r="C1116" s="241"/>
      <c r="D1116" s="241"/>
      <c r="E1116" s="241"/>
      <c r="F1116" s="241"/>
      <c r="G1116" s="241"/>
      <c r="H1116" s="241"/>
      <c r="I1116"/>
      <c r="J1116" s="241"/>
      <c r="K1116" s="241"/>
      <c r="L1116" s="241"/>
      <c r="M1116" s="241"/>
      <c r="N1116" s="241"/>
      <c r="O1116" s="241"/>
      <c r="P1116" s="241"/>
      <c r="Q1116" s="241"/>
    </row>
    <row r="1117" spans="1:17" ht="13.5" customHeight="1" x14ac:dyDescent="0.3">
      <c r="A1117"/>
      <c r="B1117" s="241"/>
      <c r="C1117" s="241"/>
      <c r="D1117" s="241"/>
      <c r="E1117" s="241"/>
      <c r="F1117" s="241"/>
      <c r="G1117" s="241"/>
      <c r="H1117" s="241"/>
      <c r="I1117"/>
      <c r="J1117" s="241"/>
      <c r="K1117" s="241"/>
      <c r="L1117" s="241"/>
      <c r="M1117" s="241"/>
      <c r="N1117" s="241"/>
      <c r="O1117" s="241"/>
      <c r="P1117" s="241"/>
      <c r="Q1117" s="241"/>
    </row>
    <row r="1118" spans="1:17" ht="13.5" customHeight="1" x14ac:dyDescent="0.3">
      <c r="A1118"/>
      <c r="B1118" s="241"/>
      <c r="C1118" s="241"/>
      <c r="D1118" s="241"/>
      <c r="E1118" s="241"/>
      <c r="F1118" s="241"/>
      <c r="G1118" s="241"/>
      <c r="H1118" s="241"/>
      <c r="I1118"/>
      <c r="J1118" s="241"/>
      <c r="K1118" s="241"/>
      <c r="L1118" s="241"/>
      <c r="M1118" s="241"/>
      <c r="N1118" s="241"/>
      <c r="O1118" s="241"/>
      <c r="P1118" s="241"/>
      <c r="Q1118" s="241"/>
    </row>
    <row r="1119" spans="1:17" ht="13.5" customHeight="1" x14ac:dyDescent="0.3">
      <c r="A1119"/>
      <c r="B1119" s="241"/>
      <c r="C1119" s="241"/>
      <c r="D1119" s="241"/>
      <c r="E1119" s="241"/>
      <c r="F1119" s="241"/>
      <c r="G1119" s="241"/>
      <c r="H1119" s="241"/>
      <c r="I1119"/>
      <c r="J1119" s="241"/>
      <c r="K1119" s="241"/>
      <c r="L1119" s="241"/>
      <c r="M1119" s="241"/>
      <c r="N1119" s="241"/>
      <c r="O1119" s="241"/>
      <c r="P1119" s="241"/>
      <c r="Q1119" s="241"/>
    </row>
    <row r="1120" spans="1:17" ht="13.5" customHeight="1" x14ac:dyDescent="0.3">
      <c r="A1120"/>
      <c r="B1120" s="241"/>
      <c r="C1120" s="241"/>
      <c r="D1120" s="241"/>
      <c r="E1120" s="241"/>
      <c r="F1120" s="241"/>
      <c r="G1120" s="241"/>
      <c r="H1120" s="241"/>
      <c r="I1120"/>
      <c r="J1120" s="241"/>
      <c r="K1120" s="241"/>
      <c r="L1120" s="241"/>
      <c r="M1120" s="241"/>
      <c r="N1120" s="241"/>
      <c r="O1120" s="241"/>
      <c r="P1120" s="241"/>
      <c r="Q1120" s="241"/>
    </row>
    <row r="1121" spans="1:17" ht="13.5" customHeight="1" x14ac:dyDescent="0.3">
      <c r="A1121"/>
      <c r="B1121" s="241"/>
      <c r="C1121" s="241"/>
      <c r="D1121" s="241"/>
      <c r="E1121" s="241"/>
      <c r="F1121" s="241"/>
      <c r="G1121" s="241"/>
      <c r="H1121" s="241"/>
      <c r="I1121"/>
      <c r="J1121" s="241"/>
      <c r="K1121" s="241"/>
      <c r="L1121" s="241"/>
      <c r="M1121" s="241"/>
      <c r="N1121" s="241"/>
      <c r="O1121" s="241"/>
      <c r="P1121" s="241"/>
      <c r="Q1121" s="241"/>
    </row>
    <row r="1122" spans="1:17" ht="13.5" customHeight="1" x14ac:dyDescent="0.3">
      <c r="A1122"/>
      <c r="B1122" s="241"/>
      <c r="C1122" s="241"/>
      <c r="D1122" s="241"/>
      <c r="E1122" s="241"/>
      <c r="F1122" s="241"/>
      <c r="G1122" s="241"/>
      <c r="H1122" s="241"/>
      <c r="I1122"/>
      <c r="J1122" s="241"/>
      <c r="K1122" s="241"/>
      <c r="L1122" s="241"/>
      <c r="M1122" s="241"/>
      <c r="N1122" s="241"/>
      <c r="O1122" s="241"/>
      <c r="P1122" s="241"/>
      <c r="Q1122" s="241"/>
    </row>
    <row r="1123" spans="1:17" ht="13.5" customHeight="1" x14ac:dyDescent="0.3">
      <c r="A1123"/>
      <c r="B1123" s="241"/>
      <c r="C1123" s="241"/>
      <c r="D1123" s="241"/>
      <c r="E1123" s="241"/>
      <c r="F1123" s="241"/>
      <c r="G1123" s="241"/>
      <c r="H1123" s="241"/>
      <c r="I1123"/>
      <c r="J1123" s="241"/>
      <c r="K1123" s="241"/>
      <c r="L1123" s="241"/>
      <c r="M1123" s="241"/>
      <c r="N1123" s="241"/>
      <c r="O1123" s="241"/>
      <c r="P1123" s="241"/>
      <c r="Q1123" s="241"/>
    </row>
    <row r="1124" spans="1:17" ht="13.5" customHeight="1" x14ac:dyDescent="0.3">
      <c r="A1124"/>
      <c r="B1124" s="241"/>
      <c r="C1124" s="241"/>
      <c r="D1124" s="241"/>
      <c r="E1124" s="241"/>
      <c r="F1124" s="241"/>
      <c r="G1124" s="241"/>
      <c r="H1124" s="241"/>
      <c r="I1124"/>
      <c r="J1124" s="241"/>
      <c r="K1124" s="241"/>
      <c r="L1124" s="241"/>
      <c r="M1124" s="241"/>
      <c r="N1124" s="241"/>
      <c r="O1124" s="241"/>
      <c r="P1124" s="241"/>
      <c r="Q1124" s="241"/>
    </row>
    <row r="1125" spans="1:17" ht="13.5" customHeight="1" x14ac:dyDescent="0.3">
      <c r="A1125"/>
      <c r="B1125" s="241"/>
      <c r="C1125" s="241"/>
      <c r="D1125" s="241"/>
      <c r="E1125" s="241"/>
      <c r="F1125" s="241"/>
      <c r="G1125" s="241"/>
      <c r="H1125" s="241"/>
      <c r="I1125"/>
      <c r="J1125" s="241"/>
      <c r="K1125" s="241"/>
      <c r="L1125" s="241"/>
      <c r="M1125" s="241"/>
      <c r="N1125" s="241"/>
      <c r="O1125" s="241"/>
      <c r="P1125" s="241"/>
      <c r="Q1125" s="241"/>
    </row>
    <row r="1126" spans="1:17" ht="13.5" customHeight="1" x14ac:dyDescent="0.3">
      <c r="A1126"/>
      <c r="B1126" s="241"/>
      <c r="C1126" s="241"/>
      <c r="D1126" s="241"/>
      <c r="E1126" s="241"/>
      <c r="F1126" s="241"/>
      <c r="G1126" s="241"/>
      <c r="H1126" s="241"/>
      <c r="I1126"/>
      <c r="J1126" s="241"/>
      <c r="K1126" s="241"/>
      <c r="L1126" s="241"/>
      <c r="M1126" s="241"/>
      <c r="N1126" s="241"/>
      <c r="O1126" s="241"/>
      <c r="P1126" s="241"/>
      <c r="Q1126" s="241"/>
    </row>
    <row r="1127" spans="1:17" ht="13.5" customHeight="1" x14ac:dyDescent="0.3">
      <c r="A1127"/>
      <c r="B1127" s="241"/>
      <c r="C1127" s="241"/>
      <c r="D1127" s="241"/>
      <c r="E1127" s="241"/>
      <c r="F1127" s="241"/>
      <c r="G1127" s="241"/>
      <c r="H1127" s="241"/>
      <c r="I1127"/>
      <c r="J1127" s="241"/>
      <c r="K1127" s="241"/>
      <c r="L1127" s="241"/>
      <c r="M1127" s="241"/>
      <c r="N1127" s="241"/>
      <c r="O1127" s="241"/>
      <c r="P1127" s="241"/>
      <c r="Q1127" s="241"/>
    </row>
    <row r="1128" spans="1:17" ht="13.5" customHeight="1" x14ac:dyDescent="0.3">
      <c r="A1128"/>
      <c r="B1128" s="241"/>
      <c r="C1128" s="241"/>
      <c r="D1128" s="241"/>
      <c r="E1128" s="241"/>
      <c r="F1128" s="241"/>
      <c r="G1128" s="241"/>
      <c r="H1128" s="241"/>
      <c r="I1128"/>
      <c r="J1128" s="241"/>
      <c r="K1128" s="241"/>
      <c r="L1128" s="241"/>
      <c r="M1128" s="241"/>
      <c r="N1128" s="241"/>
      <c r="O1128" s="241"/>
      <c r="P1128" s="241"/>
      <c r="Q1128" s="241"/>
    </row>
    <row r="1129" spans="1:17" ht="13.5" customHeight="1" x14ac:dyDescent="0.3">
      <c r="A1129"/>
      <c r="B1129" s="241"/>
      <c r="C1129" s="241"/>
      <c r="D1129" s="241"/>
      <c r="E1129" s="241"/>
      <c r="F1129" s="241"/>
      <c r="G1129" s="241"/>
      <c r="H1129" s="241"/>
      <c r="I1129"/>
      <c r="J1129" s="241"/>
      <c r="K1129" s="241"/>
      <c r="L1129" s="241"/>
      <c r="M1129" s="241"/>
      <c r="N1129" s="241"/>
      <c r="O1129" s="241"/>
      <c r="P1129" s="241"/>
      <c r="Q1129" s="241"/>
    </row>
    <row r="1130" spans="1:17" ht="13.5" customHeight="1" x14ac:dyDescent="0.3">
      <c r="A1130"/>
      <c r="B1130" s="241"/>
      <c r="C1130" s="241"/>
      <c r="D1130" s="241"/>
      <c r="E1130" s="241"/>
      <c r="F1130" s="241"/>
      <c r="G1130" s="241"/>
      <c r="H1130" s="241"/>
      <c r="I1130"/>
      <c r="J1130" s="241"/>
      <c r="K1130" s="241"/>
      <c r="L1130" s="241"/>
      <c r="M1130" s="241"/>
      <c r="N1130" s="241"/>
      <c r="O1130" s="241"/>
      <c r="P1130" s="241"/>
      <c r="Q1130" s="241"/>
    </row>
    <row r="1131" spans="1:17" ht="13.5" customHeight="1" x14ac:dyDescent="0.3">
      <c r="A1131"/>
      <c r="B1131" s="241"/>
      <c r="C1131" s="241"/>
      <c r="D1131" s="241"/>
      <c r="E1131" s="241"/>
      <c r="F1131" s="241"/>
      <c r="G1131" s="241"/>
      <c r="H1131" s="241"/>
      <c r="I1131"/>
      <c r="J1131" s="241"/>
      <c r="K1131" s="241"/>
      <c r="L1131" s="241"/>
      <c r="M1131" s="241"/>
      <c r="N1131" s="241"/>
      <c r="O1131" s="241"/>
      <c r="P1131" s="241"/>
      <c r="Q1131" s="241"/>
    </row>
    <row r="1132" spans="1:17" ht="13.5" customHeight="1" x14ac:dyDescent="0.3">
      <c r="A1132"/>
      <c r="B1132" s="241"/>
      <c r="C1132" s="241"/>
      <c r="D1132" s="241"/>
      <c r="E1132" s="241"/>
      <c r="F1132" s="241"/>
      <c r="G1132" s="241"/>
      <c r="H1132" s="241"/>
      <c r="I1132"/>
      <c r="J1132" s="241"/>
      <c r="K1132" s="241"/>
      <c r="L1132" s="241"/>
      <c r="M1132" s="241"/>
      <c r="N1132" s="241"/>
      <c r="O1132" s="241"/>
      <c r="P1132" s="241"/>
      <c r="Q1132" s="241"/>
    </row>
    <row r="1133" spans="1:17" ht="13.5" customHeight="1" x14ac:dyDescent="0.3">
      <c r="A1133"/>
      <c r="B1133" s="241"/>
      <c r="C1133" s="241"/>
      <c r="D1133" s="241"/>
      <c r="E1133" s="241"/>
      <c r="F1133" s="241"/>
      <c r="G1133" s="241"/>
      <c r="H1133" s="241"/>
      <c r="I1133"/>
      <c r="J1133" s="241"/>
      <c r="K1133" s="241"/>
      <c r="L1133" s="241"/>
      <c r="M1133" s="241"/>
      <c r="N1133" s="241"/>
      <c r="O1133" s="241"/>
      <c r="P1133" s="241"/>
      <c r="Q1133" s="241"/>
    </row>
    <row r="1134" spans="1:17" ht="13.5" customHeight="1" x14ac:dyDescent="0.3">
      <c r="A1134"/>
      <c r="B1134" s="241"/>
      <c r="C1134" s="241"/>
      <c r="D1134" s="241"/>
      <c r="E1134" s="241"/>
      <c r="F1134" s="241"/>
      <c r="G1134" s="241"/>
      <c r="H1134" s="241"/>
      <c r="I1134"/>
      <c r="J1134" s="241"/>
      <c r="K1134" s="241"/>
      <c r="L1134" s="241"/>
      <c r="M1134" s="241"/>
      <c r="N1134" s="241"/>
      <c r="O1134" s="241"/>
      <c r="P1134" s="241"/>
      <c r="Q1134" s="241"/>
    </row>
    <row r="1135" spans="1:17" ht="13.5" customHeight="1" x14ac:dyDescent="0.3">
      <c r="A1135"/>
      <c r="B1135" s="241"/>
      <c r="C1135" s="241"/>
      <c r="D1135" s="241"/>
      <c r="E1135" s="241"/>
      <c r="F1135" s="241"/>
      <c r="G1135" s="241"/>
      <c r="H1135" s="241"/>
      <c r="I1135"/>
      <c r="J1135" s="241"/>
      <c r="K1135" s="241"/>
      <c r="L1135" s="241"/>
      <c r="M1135" s="241"/>
      <c r="N1135" s="241"/>
      <c r="O1135" s="241"/>
      <c r="P1135" s="241"/>
      <c r="Q1135" s="241"/>
    </row>
    <row r="1136" spans="1:17" ht="13.5" customHeight="1" x14ac:dyDescent="0.3">
      <c r="A1136"/>
      <c r="B1136" s="241"/>
      <c r="C1136" s="241"/>
      <c r="D1136" s="241"/>
      <c r="E1136" s="241"/>
      <c r="F1136" s="241"/>
      <c r="G1136" s="241"/>
      <c r="H1136" s="241"/>
      <c r="I1136"/>
      <c r="J1136" s="241"/>
      <c r="K1136" s="241"/>
      <c r="L1136" s="241"/>
      <c r="M1136" s="241"/>
      <c r="N1136" s="241"/>
      <c r="O1136" s="241"/>
      <c r="P1136" s="241"/>
      <c r="Q1136" s="241"/>
    </row>
    <row r="1137" spans="1:17" ht="13.5" customHeight="1" x14ac:dyDescent="0.3">
      <c r="A1137"/>
      <c r="B1137" s="241"/>
      <c r="C1137" s="241"/>
      <c r="D1137" s="241"/>
      <c r="E1137" s="241"/>
      <c r="F1137" s="241"/>
      <c r="G1137" s="241"/>
      <c r="H1137" s="241"/>
      <c r="I1137"/>
      <c r="J1137" s="241"/>
      <c r="K1137" s="241"/>
      <c r="L1137" s="241"/>
      <c r="M1137" s="241"/>
      <c r="N1137" s="241"/>
      <c r="O1137" s="241"/>
      <c r="P1137" s="241"/>
      <c r="Q1137" s="241"/>
    </row>
    <row r="1138" spans="1:17" ht="13.5" customHeight="1" x14ac:dyDescent="0.3">
      <c r="A1138"/>
      <c r="B1138" s="241"/>
      <c r="C1138" s="241"/>
      <c r="D1138" s="241"/>
      <c r="E1138" s="241"/>
      <c r="F1138" s="241"/>
      <c r="G1138" s="241"/>
      <c r="H1138" s="241"/>
      <c r="I1138"/>
      <c r="J1138" s="241"/>
      <c r="K1138" s="241"/>
      <c r="L1138" s="241"/>
      <c r="M1138" s="241"/>
      <c r="N1138" s="241"/>
      <c r="O1138" s="241"/>
      <c r="P1138" s="241"/>
      <c r="Q1138" s="241"/>
    </row>
    <row r="1139" spans="1:17" ht="13.5" customHeight="1" x14ac:dyDescent="0.3">
      <c r="A1139"/>
      <c r="B1139" s="241"/>
      <c r="C1139" s="241"/>
      <c r="D1139" s="241"/>
      <c r="E1139" s="241"/>
      <c r="F1139" s="241"/>
      <c r="G1139" s="241"/>
      <c r="H1139" s="241"/>
      <c r="I1139"/>
      <c r="J1139" s="241"/>
      <c r="K1139" s="241"/>
      <c r="L1139" s="241"/>
      <c r="M1139" s="241"/>
      <c r="N1139" s="241"/>
      <c r="O1139" s="241"/>
      <c r="P1139" s="241"/>
      <c r="Q1139" s="241"/>
    </row>
    <row r="1140" spans="1:17" ht="13.5" customHeight="1" x14ac:dyDescent="0.3">
      <c r="A1140"/>
      <c r="B1140" s="241"/>
      <c r="C1140" s="241"/>
      <c r="D1140" s="241"/>
      <c r="E1140" s="241"/>
      <c r="F1140" s="241"/>
      <c r="G1140" s="241"/>
      <c r="H1140" s="241"/>
      <c r="I1140"/>
      <c r="J1140" s="241"/>
      <c r="K1140" s="241"/>
      <c r="L1140" s="241"/>
      <c r="M1140" s="241"/>
      <c r="N1140" s="241"/>
      <c r="O1140" s="241"/>
      <c r="P1140" s="241"/>
      <c r="Q1140" s="241"/>
    </row>
    <row r="1141" spans="1:17" ht="13.5" customHeight="1" x14ac:dyDescent="0.3">
      <c r="A1141"/>
      <c r="B1141" s="241"/>
      <c r="C1141" s="241"/>
      <c r="D1141" s="241"/>
      <c r="E1141" s="241"/>
      <c r="F1141" s="241"/>
      <c r="G1141" s="241"/>
      <c r="H1141" s="241"/>
      <c r="I1141"/>
      <c r="J1141" s="241"/>
      <c r="K1141" s="241"/>
      <c r="L1141" s="241"/>
      <c r="M1141" s="241"/>
      <c r="N1141" s="241"/>
      <c r="O1141" s="241"/>
      <c r="P1141" s="241"/>
      <c r="Q1141" s="241"/>
    </row>
    <row r="1142" spans="1:17" ht="13.5" customHeight="1" x14ac:dyDescent="0.3">
      <c r="A1142"/>
      <c r="B1142" s="241"/>
      <c r="C1142" s="241"/>
      <c r="D1142" s="241"/>
      <c r="E1142" s="241"/>
      <c r="F1142" s="241"/>
      <c r="G1142" s="241"/>
      <c r="H1142" s="241"/>
      <c r="I1142"/>
      <c r="J1142" s="241"/>
      <c r="K1142" s="241"/>
      <c r="L1142" s="241"/>
      <c r="M1142" s="241"/>
      <c r="N1142" s="241"/>
      <c r="O1142" s="241"/>
      <c r="P1142" s="241"/>
      <c r="Q1142" s="241"/>
    </row>
    <row r="1143" spans="1:17" ht="13.5" customHeight="1" x14ac:dyDescent="0.3">
      <c r="A1143"/>
      <c r="B1143" s="241"/>
      <c r="C1143" s="241"/>
      <c r="D1143" s="241"/>
      <c r="E1143" s="241"/>
      <c r="F1143" s="241"/>
      <c r="G1143" s="241"/>
      <c r="H1143" s="241"/>
      <c r="I1143"/>
      <c r="J1143" s="241"/>
      <c r="K1143" s="241"/>
      <c r="L1143" s="241"/>
      <c r="M1143" s="241"/>
      <c r="N1143" s="241"/>
      <c r="O1143" s="241"/>
      <c r="P1143" s="241"/>
      <c r="Q1143" s="241"/>
    </row>
    <row r="1144" spans="1:17" ht="13.5" customHeight="1" x14ac:dyDescent="0.3">
      <c r="A1144"/>
      <c r="B1144" s="241"/>
      <c r="C1144" s="241"/>
      <c r="D1144" s="241"/>
      <c r="E1144" s="241"/>
      <c r="F1144" s="241"/>
      <c r="G1144" s="241"/>
      <c r="H1144" s="241"/>
      <c r="I1144"/>
      <c r="J1144" s="241"/>
      <c r="K1144" s="241"/>
      <c r="L1144" s="241"/>
      <c r="M1144" s="241"/>
      <c r="N1144" s="241"/>
      <c r="O1144" s="241"/>
      <c r="P1144" s="241"/>
      <c r="Q1144" s="241"/>
    </row>
    <row r="1145" spans="1:17" ht="13.5" customHeight="1" x14ac:dyDescent="0.3">
      <c r="A1145"/>
      <c r="B1145" s="241"/>
      <c r="C1145" s="241"/>
      <c r="D1145" s="241"/>
      <c r="E1145" s="241"/>
      <c r="F1145" s="241"/>
      <c r="G1145" s="241"/>
      <c r="H1145" s="241"/>
      <c r="I1145"/>
      <c r="J1145" s="241"/>
      <c r="K1145" s="241"/>
      <c r="L1145" s="241"/>
      <c r="M1145" s="241"/>
      <c r="N1145" s="241"/>
      <c r="O1145" s="241"/>
      <c r="P1145" s="241"/>
      <c r="Q1145" s="241"/>
    </row>
    <row r="1146" spans="1:17" ht="13.5" customHeight="1" x14ac:dyDescent="0.3">
      <c r="A1146"/>
      <c r="B1146" s="241"/>
      <c r="C1146" s="241"/>
      <c r="D1146" s="241"/>
      <c r="E1146" s="241"/>
      <c r="F1146" s="241"/>
      <c r="G1146" s="241"/>
      <c r="H1146" s="241"/>
      <c r="I1146"/>
      <c r="J1146" s="241"/>
      <c r="K1146" s="241"/>
      <c r="L1146" s="241"/>
      <c r="M1146" s="241"/>
      <c r="N1146" s="241"/>
      <c r="O1146" s="241"/>
      <c r="P1146" s="241"/>
      <c r="Q1146" s="241"/>
    </row>
    <row r="1147" spans="1:17" ht="13.5" customHeight="1" x14ac:dyDescent="0.3">
      <c r="A1147"/>
      <c r="B1147" s="241"/>
      <c r="C1147" s="241"/>
      <c r="D1147" s="241"/>
      <c r="E1147" s="241"/>
      <c r="F1147" s="241"/>
      <c r="G1147" s="241"/>
      <c r="H1147" s="241"/>
      <c r="I1147"/>
      <c r="J1147" s="241"/>
      <c r="K1147" s="241"/>
      <c r="L1147" s="241"/>
      <c r="M1147" s="241"/>
      <c r="N1147" s="241"/>
      <c r="O1147" s="241"/>
      <c r="P1147" s="241"/>
      <c r="Q1147" s="241"/>
    </row>
    <row r="1148" spans="1:17" ht="13.5" customHeight="1" x14ac:dyDescent="0.3">
      <c r="A1148"/>
      <c r="B1148" s="241"/>
      <c r="C1148" s="241"/>
      <c r="D1148" s="241"/>
      <c r="E1148" s="241"/>
      <c r="F1148" s="241"/>
      <c r="G1148" s="241"/>
      <c r="H1148" s="241"/>
      <c r="I1148"/>
      <c r="J1148" s="241"/>
      <c r="K1148" s="241"/>
      <c r="L1148" s="241"/>
      <c r="M1148" s="241"/>
      <c r="N1148" s="241"/>
      <c r="O1148" s="241"/>
      <c r="P1148" s="241"/>
      <c r="Q1148" s="241"/>
    </row>
    <row r="1149" spans="1:17" ht="13.5" customHeight="1" x14ac:dyDescent="0.3">
      <c r="A1149"/>
      <c r="B1149" s="241"/>
      <c r="C1149" s="241"/>
      <c r="D1149" s="241"/>
      <c r="E1149" s="241"/>
      <c r="F1149" s="241"/>
      <c r="G1149" s="241"/>
      <c r="H1149" s="241"/>
      <c r="I1149"/>
      <c r="J1149" s="241"/>
      <c r="K1149" s="241"/>
      <c r="L1149" s="241"/>
      <c r="M1149" s="241"/>
      <c r="N1149" s="241"/>
      <c r="O1149" s="241"/>
      <c r="P1149" s="241"/>
      <c r="Q1149" s="241"/>
    </row>
    <row r="1150" spans="1:17" ht="13.5" customHeight="1" x14ac:dyDescent="0.3">
      <c r="A1150"/>
      <c r="B1150" s="241"/>
      <c r="C1150" s="241"/>
      <c r="D1150" s="241"/>
      <c r="E1150" s="241"/>
      <c r="F1150" s="241"/>
      <c r="G1150" s="241"/>
      <c r="H1150" s="241"/>
      <c r="I1150"/>
      <c r="J1150" s="241"/>
      <c r="K1150" s="241"/>
      <c r="L1150" s="241"/>
      <c r="M1150" s="241"/>
      <c r="N1150" s="241"/>
      <c r="O1150" s="241"/>
      <c r="P1150" s="241"/>
      <c r="Q1150" s="241"/>
    </row>
    <row r="1151" spans="1:17" ht="13.5" customHeight="1" x14ac:dyDescent="0.3">
      <c r="A1151"/>
      <c r="B1151" s="241"/>
      <c r="C1151" s="241"/>
      <c r="D1151" s="241"/>
      <c r="E1151" s="241"/>
      <c r="F1151" s="241"/>
      <c r="G1151" s="241"/>
      <c r="H1151" s="241"/>
      <c r="I1151"/>
      <c r="J1151" s="241"/>
      <c r="K1151" s="241"/>
      <c r="L1151" s="241"/>
      <c r="M1151" s="241"/>
      <c r="N1151" s="241"/>
      <c r="O1151" s="241"/>
      <c r="P1151" s="241"/>
      <c r="Q1151" s="241"/>
    </row>
    <row r="1152" spans="1:17" ht="13.5" customHeight="1" x14ac:dyDescent="0.3">
      <c r="A1152"/>
      <c r="B1152" s="241"/>
      <c r="C1152" s="241"/>
      <c r="D1152" s="241"/>
      <c r="E1152" s="241"/>
      <c r="F1152" s="241"/>
      <c r="G1152" s="241"/>
      <c r="H1152" s="241"/>
      <c r="I1152"/>
      <c r="J1152" s="241"/>
      <c r="K1152" s="241"/>
      <c r="L1152" s="241"/>
      <c r="M1152" s="241"/>
      <c r="N1152" s="241"/>
      <c r="O1152" s="241"/>
      <c r="P1152" s="241"/>
      <c r="Q1152" s="241"/>
    </row>
    <row r="1153" spans="1:17" ht="13.5" customHeight="1" x14ac:dyDescent="0.3">
      <c r="A1153"/>
      <c r="B1153" s="241"/>
      <c r="C1153" s="241"/>
      <c r="D1153" s="241"/>
      <c r="E1153" s="241"/>
      <c r="F1153" s="241"/>
      <c r="G1153" s="241"/>
      <c r="H1153" s="241"/>
      <c r="I1153"/>
      <c r="J1153" s="241"/>
      <c r="K1153" s="241"/>
      <c r="L1153" s="241"/>
      <c r="M1153" s="241"/>
      <c r="N1153" s="241"/>
      <c r="O1153" s="241"/>
      <c r="P1153" s="241"/>
      <c r="Q1153" s="241"/>
    </row>
    <row r="1154" spans="1:17" ht="13.5" customHeight="1" x14ac:dyDescent="0.3">
      <c r="A1154"/>
      <c r="B1154" s="241"/>
      <c r="C1154" s="241"/>
      <c r="D1154" s="241"/>
      <c r="E1154" s="241"/>
      <c r="F1154" s="241"/>
      <c r="G1154" s="241"/>
      <c r="H1154" s="241"/>
      <c r="I1154"/>
      <c r="J1154" s="241"/>
      <c r="K1154" s="241"/>
      <c r="L1154" s="241"/>
      <c r="M1154" s="241"/>
      <c r="N1154" s="241"/>
      <c r="O1154" s="241"/>
      <c r="P1154" s="241"/>
      <c r="Q1154" s="241"/>
    </row>
    <row r="1155" spans="1:17" ht="13.5" customHeight="1" x14ac:dyDescent="0.3">
      <c r="A1155"/>
      <c r="B1155" s="241"/>
      <c r="C1155" s="241"/>
      <c r="D1155" s="241"/>
      <c r="E1155" s="241"/>
      <c r="F1155" s="241"/>
      <c r="G1155" s="241"/>
      <c r="H1155" s="241"/>
      <c r="I1155"/>
      <c r="J1155" s="241"/>
      <c r="K1155" s="241"/>
      <c r="L1155" s="241"/>
      <c r="M1155" s="241"/>
      <c r="N1155" s="241"/>
      <c r="O1155" s="241"/>
      <c r="P1155" s="241"/>
      <c r="Q1155" s="241"/>
    </row>
    <row r="1156" spans="1:17" ht="13.5" customHeight="1" x14ac:dyDescent="0.3">
      <c r="A1156"/>
      <c r="B1156" s="241"/>
      <c r="C1156" s="241"/>
      <c r="D1156" s="241"/>
      <c r="E1156" s="241"/>
      <c r="F1156" s="241"/>
      <c r="G1156" s="241"/>
      <c r="H1156" s="241"/>
      <c r="I1156"/>
      <c r="J1156" s="241"/>
      <c r="K1156" s="241"/>
      <c r="L1156" s="241"/>
      <c r="M1156" s="241"/>
      <c r="N1156" s="241"/>
      <c r="O1156" s="241"/>
      <c r="P1156" s="241"/>
      <c r="Q1156" s="241"/>
    </row>
    <row r="1157" spans="1:17" ht="13.5" customHeight="1" x14ac:dyDescent="0.3">
      <c r="A1157"/>
      <c r="B1157" s="241"/>
      <c r="C1157" s="241"/>
      <c r="D1157" s="241"/>
      <c r="E1157" s="241"/>
      <c r="F1157" s="241"/>
      <c r="G1157" s="241"/>
      <c r="H1157" s="241"/>
      <c r="I1157"/>
      <c r="J1157" s="241"/>
      <c r="K1157" s="241"/>
      <c r="L1157" s="241"/>
      <c r="M1157" s="241"/>
      <c r="N1157" s="241"/>
      <c r="O1157" s="241"/>
      <c r="P1157" s="241"/>
      <c r="Q1157" s="241"/>
    </row>
    <row r="1158" spans="1:17" ht="13.5" customHeight="1" x14ac:dyDescent="0.3">
      <c r="A1158"/>
      <c r="B1158" s="241"/>
      <c r="C1158" s="241"/>
      <c r="D1158" s="241"/>
      <c r="E1158" s="241"/>
      <c r="F1158" s="241"/>
      <c r="G1158" s="241"/>
      <c r="H1158" s="241"/>
      <c r="I1158"/>
      <c r="J1158" s="241"/>
      <c r="K1158" s="241"/>
      <c r="L1158" s="241"/>
      <c r="M1158" s="241"/>
      <c r="N1158" s="241"/>
      <c r="O1158" s="241"/>
      <c r="P1158" s="241"/>
      <c r="Q1158" s="241"/>
    </row>
    <row r="1159" spans="1:17" ht="13.5" customHeight="1" x14ac:dyDescent="0.3">
      <c r="A1159"/>
      <c r="B1159" s="241"/>
      <c r="C1159" s="241"/>
      <c r="D1159" s="241"/>
      <c r="E1159" s="241"/>
      <c r="F1159" s="241"/>
      <c r="G1159" s="241"/>
      <c r="H1159" s="241"/>
      <c r="I1159"/>
      <c r="J1159" s="241"/>
      <c r="K1159" s="241"/>
      <c r="L1159" s="241"/>
      <c r="M1159" s="241"/>
      <c r="N1159" s="241"/>
      <c r="O1159" s="241"/>
      <c r="P1159" s="241"/>
      <c r="Q1159" s="241"/>
    </row>
    <row r="1160" spans="1:17" ht="13.5" customHeight="1" x14ac:dyDescent="0.3">
      <c r="A1160"/>
      <c r="B1160" s="241"/>
      <c r="C1160" s="241"/>
      <c r="D1160" s="241"/>
      <c r="E1160" s="241"/>
      <c r="F1160" s="241"/>
      <c r="G1160" s="241"/>
      <c r="H1160" s="241"/>
      <c r="I1160"/>
      <c r="J1160" s="241"/>
      <c r="K1160" s="241"/>
      <c r="L1160" s="241"/>
      <c r="M1160" s="241"/>
      <c r="N1160" s="241"/>
      <c r="O1160" s="241"/>
      <c r="P1160" s="241"/>
      <c r="Q1160" s="241"/>
    </row>
    <row r="1161" spans="1:17" ht="13.5" customHeight="1" x14ac:dyDescent="0.3">
      <c r="A1161"/>
      <c r="B1161" s="241"/>
      <c r="C1161" s="241"/>
      <c r="D1161" s="241"/>
      <c r="E1161" s="241"/>
      <c r="F1161" s="241"/>
      <c r="G1161" s="241"/>
      <c r="H1161" s="241"/>
      <c r="I1161"/>
      <c r="J1161" s="241"/>
      <c r="K1161" s="241"/>
      <c r="L1161" s="241"/>
      <c r="M1161" s="241"/>
      <c r="N1161" s="241"/>
      <c r="O1161" s="241"/>
      <c r="P1161" s="241"/>
      <c r="Q1161" s="241"/>
    </row>
    <row r="1162" spans="1:17" ht="13.5" customHeight="1" x14ac:dyDescent="0.3">
      <c r="A1162"/>
      <c r="B1162" s="241"/>
      <c r="C1162" s="241"/>
      <c r="D1162" s="241"/>
      <c r="E1162" s="241"/>
      <c r="F1162" s="241"/>
      <c r="G1162" s="241"/>
      <c r="H1162" s="241"/>
      <c r="I1162"/>
      <c r="J1162" s="241"/>
      <c r="K1162" s="241"/>
      <c r="L1162" s="241"/>
      <c r="M1162" s="241"/>
      <c r="N1162" s="241"/>
      <c r="O1162" s="241"/>
      <c r="P1162" s="241"/>
      <c r="Q1162" s="241"/>
    </row>
    <row r="1163" spans="1:17" ht="13.5" customHeight="1" x14ac:dyDescent="0.3">
      <c r="A1163"/>
      <c r="B1163" s="241"/>
      <c r="C1163" s="241"/>
      <c r="D1163" s="241"/>
      <c r="E1163" s="241"/>
      <c r="F1163" s="241"/>
      <c r="G1163" s="241"/>
      <c r="H1163" s="241"/>
      <c r="I1163"/>
      <c r="J1163" s="241"/>
      <c r="K1163" s="241"/>
      <c r="L1163" s="241"/>
      <c r="M1163" s="241"/>
      <c r="N1163" s="241"/>
      <c r="O1163" s="241"/>
      <c r="P1163" s="241"/>
      <c r="Q1163" s="241"/>
    </row>
    <row r="1164" spans="1:17" ht="13.5" customHeight="1" x14ac:dyDescent="0.3">
      <c r="A1164"/>
      <c r="B1164" s="241"/>
      <c r="C1164" s="241"/>
      <c r="D1164" s="241"/>
      <c r="E1164" s="241"/>
      <c r="F1164" s="241"/>
      <c r="G1164" s="241"/>
      <c r="H1164" s="241"/>
      <c r="I1164"/>
      <c r="J1164" s="241"/>
      <c r="K1164" s="241"/>
      <c r="L1164" s="241"/>
      <c r="M1164" s="241"/>
      <c r="N1164" s="241"/>
      <c r="O1164" s="241"/>
      <c r="P1164" s="241"/>
      <c r="Q1164" s="241"/>
    </row>
    <row r="1165" spans="1:17" ht="13.5" customHeight="1" x14ac:dyDescent="0.3">
      <c r="A1165"/>
      <c r="B1165" s="241"/>
      <c r="C1165" s="241"/>
      <c r="D1165" s="241"/>
      <c r="E1165" s="241"/>
      <c r="F1165" s="241"/>
      <c r="G1165" s="241"/>
      <c r="H1165" s="241"/>
      <c r="I1165"/>
      <c r="J1165" s="241"/>
      <c r="K1165" s="241"/>
      <c r="L1165" s="241"/>
      <c r="M1165" s="241"/>
      <c r="N1165" s="241"/>
      <c r="O1165" s="241"/>
      <c r="P1165" s="241"/>
      <c r="Q1165" s="241"/>
    </row>
    <row r="1166" spans="1:17" ht="13.5" customHeight="1" x14ac:dyDescent="0.3">
      <c r="A1166"/>
      <c r="B1166" s="241"/>
      <c r="C1166" s="241"/>
      <c r="D1166" s="241"/>
      <c r="E1166" s="241"/>
      <c r="F1166" s="241"/>
      <c r="G1166" s="241"/>
      <c r="H1166" s="241"/>
      <c r="I1166"/>
      <c r="J1166" s="241"/>
      <c r="K1166" s="241"/>
      <c r="L1166" s="241"/>
      <c r="M1166" s="241"/>
      <c r="N1166" s="241"/>
      <c r="O1166" s="241"/>
      <c r="P1166" s="241"/>
      <c r="Q1166" s="241"/>
    </row>
    <row r="1167" spans="1:17" ht="13.5" customHeight="1" x14ac:dyDescent="0.3">
      <c r="A1167"/>
      <c r="B1167" s="241"/>
      <c r="C1167" s="241"/>
      <c r="D1167" s="241"/>
      <c r="E1167" s="241"/>
      <c r="F1167" s="241"/>
      <c r="G1167" s="241"/>
      <c r="H1167" s="241"/>
      <c r="I1167"/>
      <c r="J1167" s="241"/>
      <c r="K1167" s="241"/>
      <c r="L1167" s="241"/>
      <c r="M1167" s="241"/>
      <c r="N1167" s="241"/>
      <c r="O1167" s="241"/>
      <c r="P1167" s="241"/>
      <c r="Q1167" s="241"/>
    </row>
    <row r="1168" spans="1:17" ht="13.5" customHeight="1" x14ac:dyDescent="0.3">
      <c r="A1168"/>
      <c r="B1168" s="241"/>
      <c r="C1168" s="241"/>
      <c r="D1168" s="241"/>
      <c r="E1168" s="241"/>
      <c r="F1168" s="241"/>
      <c r="G1168" s="241"/>
      <c r="H1168" s="241"/>
      <c r="I1168"/>
      <c r="J1168" s="241"/>
      <c r="K1168" s="241"/>
      <c r="L1168" s="241"/>
      <c r="M1168" s="241"/>
      <c r="N1168" s="241"/>
      <c r="O1168" s="241"/>
      <c r="P1168" s="241"/>
      <c r="Q1168" s="241"/>
    </row>
    <row r="1169" spans="1:17" ht="13.5" customHeight="1" x14ac:dyDescent="0.3">
      <c r="A1169"/>
      <c r="B1169" s="241"/>
      <c r="C1169" s="241"/>
      <c r="D1169" s="241"/>
      <c r="E1169" s="241"/>
      <c r="F1169" s="241"/>
      <c r="G1169" s="241"/>
      <c r="H1169" s="241"/>
      <c r="I1169"/>
      <c r="J1169" s="241"/>
      <c r="K1169" s="241"/>
      <c r="L1169" s="241"/>
      <c r="M1169" s="241"/>
      <c r="N1169" s="241"/>
      <c r="O1169" s="241"/>
      <c r="P1169" s="241"/>
      <c r="Q1169" s="241"/>
    </row>
    <row r="1170" spans="1:17" ht="13.5" customHeight="1" x14ac:dyDescent="0.3">
      <c r="A1170"/>
      <c r="B1170" s="241"/>
      <c r="C1170" s="241"/>
      <c r="D1170" s="241"/>
      <c r="E1170" s="241"/>
      <c r="F1170" s="241"/>
      <c r="G1170" s="241"/>
      <c r="H1170" s="241"/>
      <c r="I1170"/>
      <c r="J1170" s="241"/>
      <c r="K1170" s="241"/>
      <c r="L1170" s="241"/>
      <c r="M1170" s="241"/>
      <c r="N1170" s="241"/>
      <c r="O1170" s="241"/>
      <c r="P1170" s="241"/>
      <c r="Q1170" s="241"/>
    </row>
    <row r="1171" spans="1:17" ht="13.5" customHeight="1" x14ac:dyDescent="0.3">
      <c r="A1171"/>
      <c r="B1171" s="241"/>
      <c r="C1171" s="241"/>
      <c r="D1171" s="241"/>
      <c r="E1171" s="241"/>
      <c r="F1171" s="241"/>
      <c r="G1171" s="241"/>
      <c r="H1171" s="241"/>
      <c r="I1171"/>
      <c r="J1171" s="241"/>
      <c r="K1171" s="241"/>
      <c r="L1171" s="241"/>
      <c r="M1171" s="241"/>
      <c r="N1171" s="241"/>
      <c r="O1171" s="241"/>
      <c r="P1171" s="241"/>
      <c r="Q1171" s="241"/>
    </row>
    <row r="1172" spans="1:17" ht="13.5" customHeight="1" x14ac:dyDescent="0.3">
      <c r="A1172"/>
      <c r="B1172" s="241"/>
      <c r="C1172" s="241"/>
      <c r="D1172" s="241"/>
      <c r="E1172" s="241"/>
      <c r="F1172" s="241"/>
      <c r="G1172" s="241"/>
      <c r="H1172" s="241"/>
      <c r="I1172"/>
      <c r="J1172" s="241"/>
      <c r="K1172" s="241"/>
      <c r="L1172" s="241"/>
      <c r="M1172" s="241"/>
      <c r="N1172" s="241"/>
      <c r="O1172" s="241"/>
      <c r="P1172" s="241"/>
      <c r="Q1172" s="241"/>
    </row>
    <row r="1173" spans="1:17" ht="13.5" customHeight="1" x14ac:dyDescent="0.3">
      <c r="A1173"/>
      <c r="B1173" s="241"/>
      <c r="C1173" s="241"/>
      <c r="D1173" s="241"/>
      <c r="E1173" s="241"/>
      <c r="F1173" s="241"/>
      <c r="G1173" s="241"/>
      <c r="H1173" s="241"/>
      <c r="I1173"/>
      <c r="J1173" s="241"/>
      <c r="K1173" s="241"/>
      <c r="L1173" s="241"/>
      <c r="M1173" s="241"/>
      <c r="N1173" s="241"/>
      <c r="O1173" s="241"/>
      <c r="P1173" s="241"/>
      <c r="Q1173" s="241"/>
    </row>
    <row r="1174" spans="1:17" ht="13.5" customHeight="1" x14ac:dyDescent="0.3">
      <c r="A1174"/>
      <c r="B1174" s="241"/>
      <c r="C1174" s="241"/>
      <c r="D1174" s="241"/>
      <c r="E1174" s="241"/>
      <c r="F1174" s="241"/>
      <c r="G1174" s="241"/>
      <c r="H1174" s="241"/>
      <c r="I1174"/>
      <c r="J1174" s="241"/>
      <c r="K1174" s="241"/>
      <c r="L1174" s="241"/>
      <c r="M1174" s="241"/>
      <c r="N1174" s="241"/>
      <c r="O1174" s="241"/>
      <c r="P1174" s="241"/>
      <c r="Q1174" s="241"/>
    </row>
    <row r="1175" spans="1:17" ht="13.5" customHeight="1" x14ac:dyDescent="0.3">
      <c r="A1175"/>
      <c r="B1175" s="241"/>
      <c r="C1175" s="241"/>
      <c r="D1175" s="241"/>
      <c r="E1175" s="241"/>
      <c r="F1175" s="241"/>
      <c r="G1175" s="241"/>
      <c r="H1175" s="241"/>
      <c r="I1175"/>
      <c r="J1175" s="241"/>
      <c r="K1175" s="241"/>
      <c r="L1175" s="241"/>
      <c r="M1175" s="241"/>
      <c r="N1175" s="241"/>
      <c r="O1175" s="241"/>
      <c r="P1175" s="241"/>
      <c r="Q1175" s="241"/>
    </row>
    <row r="1176" spans="1:17" ht="13.5" customHeight="1" x14ac:dyDescent="0.3">
      <c r="A1176"/>
      <c r="B1176" s="241"/>
      <c r="C1176" s="241"/>
      <c r="D1176" s="241"/>
      <c r="E1176" s="241"/>
      <c r="F1176" s="241"/>
      <c r="G1176" s="241"/>
      <c r="H1176" s="241"/>
      <c r="I1176"/>
      <c r="J1176" s="241"/>
      <c r="K1176" s="241"/>
      <c r="L1176" s="241"/>
      <c r="M1176" s="241"/>
      <c r="N1176" s="241"/>
      <c r="O1176" s="241"/>
      <c r="P1176" s="241"/>
      <c r="Q1176" s="241"/>
    </row>
    <row r="1177" spans="1:17" ht="13.5" customHeight="1" x14ac:dyDescent="0.3">
      <c r="A1177"/>
      <c r="B1177" s="241"/>
      <c r="C1177" s="241"/>
      <c r="D1177" s="241"/>
      <c r="E1177" s="241"/>
      <c r="F1177" s="241"/>
      <c r="G1177" s="241"/>
      <c r="H1177" s="241"/>
      <c r="I1177"/>
      <c r="J1177" s="241"/>
      <c r="K1177" s="241"/>
      <c r="L1177" s="241"/>
      <c r="M1177" s="241"/>
      <c r="N1177" s="241"/>
      <c r="O1177" s="241"/>
      <c r="P1177" s="241"/>
      <c r="Q1177" s="241"/>
    </row>
    <row r="1178" spans="1:17" ht="13.5" customHeight="1" x14ac:dyDescent="0.3">
      <c r="A1178"/>
      <c r="B1178" s="241"/>
      <c r="C1178" s="241"/>
      <c r="D1178" s="241"/>
      <c r="E1178" s="241"/>
      <c r="F1178" s="241"/>
      <c r="G1178" s="241"/>
      <c r="H1178" s="241"/>
      <c r="I1178"/>
      <c r="J1178" s="241"/>
      <c r="K1178" s="241"/>
      <c r="L1178" s="241"/>
      <c r="M1178" s="241"/>
      <c r="N1178" s="241"/>
      <c r="O1178" s="241"/>
      <c r="P1178" s="241"/>
      <c r="Q1178" s="241"/>
    </row>
    <row r="1179" spans="1:17" ht="13.5" customHeight="1" x14ac:dyDescent="0.3">
      <c r="A1179"/>
      <c r="B1179" s="241"/>
      <c r="C1179" s="241"/>
      <c r="D1179" s="241"/>
      <c r="E1179" s="241"/>
      <c r="F1179" s="241"/>
      <c r="G1179" s="241"/>
      <c r="H1179" s="241"/>
      <c r="I1179"/>
      <c r="J1179" s="241"/>
      <c r="K1179" s="241"/>
      <c r="L1179" s="241"/>
      <c r="M1179" s="241"/>
      <c r="N1179" s="241"/>
      <c r="O1179" s="241"/>
      <c r="P1179" s="241"/>
      <c r="Q1179" s="241"/>
    </row>
    <row r="1180" spans="1:17" ht="13.5" customHeight="1" x14ac:dyDescent="0.3">
      <c r="A1180"/>
      <c r="B1180" s="241"/>
      <c r="C1180" s="241"/>
      <c r="D1180" s="241"/>
      <c r="E1180" s="241"/>
      <c r="F1180" s="241"/>
      <c r="G1180" s="241"/>
      <c r="H1180" s="241"/>
      <c r="I1180"/>
      <c r="J1180" s="241"/>
      <c r="K1180" s="241"/>
      <c r="L1180" s="241"/>
      <c r="M1180" s="241"/>
      <c r="N1180" s="241"/>
      <c r="O1180" s="241"/>
      <c r="P1180" s="241"/>
      <c r="Q1180" s="241"/>
    </row>
    <row r="1181" spans="1:17" ht="13.5" customHeight="1" x14ac:dyDescent="0.3">
      <c r="A1181"/>
      <c r="B1181" s="241"/>
      <c r="C1181" s="241"/>
      <c r="D1181" s="241"/>
      <c r="E1181" s="241"/>
      <c r="F1181" s="241"/>
      <c r="G1181" s="241"/>
      <c r="H1181" s="241"/>
      <c r="I1181"/>
      <c r="J1181" s="241"/>
      <c r="K1181" s="241"/>
      <c r="L1181" s="241"/>
      <c r="M1181" s="241"/>
      <c r="N1181" s="241"/>
      <c r="O1181" s="241"/>
      <c r="P1181" s="241"/>
      <c r="Q1181" s="241"/>
    </row>
    <row r="1182" spans="1:17" ht="13.5" customHeight="1" x14ac:dyDescent="0.3">
      <c r="A1182"/>
      <c r="B1182" s="241"/>
      <c r="C1182" s="241"/>
      <c r="D1182" s="241"/>
      <c r="E1182" s="241"/>
      <c r="F1182" s="241"/>
      <c r="G1182" s="241"/>
      <c r="H1182" s="241"/>
      <c r="I1182"/>
      <c r="J1182" s="241"/>
      <c r="K1182" s="241"/>
      <c r="L1182" s="241"/>
      <c r="M1182" s="241"/>
      <c r="N1182" s="241"/>
      <c r="O1182" s="241"/>
      <c r="P1182" s="241"/>
      <c r="Q1182" s="241"/>
    </row>
    <row r="1183" spans="1:17" ht="13.5" customHeight="1" x14ac:dyDescent="0.3">
      <c r="A1183"/>
      <c r="B1183" s="241"/>
      <c r="C1183" s="241"/>
      <c r="D1183" s="241"/>
      <c r="E1183" s="241"/>
      <c r="F1183" s="241"/>
      <c r="G1183" s="241"/>
      <c r="H1183" s="241"/>
      <c r="I1183"/>
      <c r="J1183" s="241"/>
      <c r="K1183" s="241"/>
      <c r="L1183" s="241"/>
      <c r="M1183" s="241"/>
      <c r="N1183" s="241"/>
      <c r="O1183" s="241"/>
      <c r="P1183" s="241"/>
      <c r="Q1183" s="241"/>
    </row>
    <row r="1184" spans="1:17" ht="13.5" customHeight="1" x14ac:dyDescent="0.3">
      <c r="A1184"/>
      <c r="B1184" s="241"/>
      <c r="C1184" s="241"/>
      <c r="D1184" s="241"/>
      <c r="E1184" s="241"/>
      <c r="F1184" s="241"/>
      <c r="G1184" s="241"/>
      <c r="H1184" s="241"/>
      <c r="I1184"/>
      <c r="J1184" s="241"/>
      <c r="K1184" s="241"/>
      <c r="L1184" s="241"/>
      <c r="M1184" s="241"/>
      <c r="N1184" s="241"/>
      <c r="O1184" s="241"/>
      <c r="P1184" s="241"/>
      <c r="Q1184" s="241"/>
    </row>
    <row r="1185" spans="1:17" ht="13.5" customHeight="1" x14ac:dyDescent="0.3">
      <c r="A1185"/>
      <c r="B1185" s="241"/>
      <c r="C1185" s="241"/>
      <c r="D1185" s="241"/>
      <c r="E1185" s="241"/>
      <c r="F1185" s="241"/>
      <c r="G1185" s="241"/>
      <c r="H1185" s="241"/>
      <c r="I1185"/>
      <c r="J1185" s="241"/>
      <c r="K1185" s="241"/>
      <c r="L1185" s="241"/>
      <c r="M1185" s="241"/>
      <c r="N1185" s="241"/>
      <c r="O1185" s="241"/>
      <c r="P1185" s="241"/>
      <c r="Q1185" s="241"/>
    </row>
    <row r="1186" spans="1:17" ht="13.5" customHeight="1" x14ac:dyDescent="0.3">
      <c r="A1186"/>
      <c r="B1186" s="241"/>
      <c r="C1186" s="241"/>
      <c r="D1186" s="241"/>
      <c r="E1186" s="241"/>
      <c r="F1186" s="241"/>
      <c r="G1186" s="241"/>
      <c r="H1186" s="241"/>
      <c r="I1186"/>
      <c r="J1186" s="241"/>
      <c r="K1186" s="241"/>
      <c r="L1186" s="241"/>
      <c r="M1186" s="241"/>
      <c r="N1186" s="241"/>
      <c r="O1186" s="241"/>
      <c r="P1186" s="241"/>
      <c r="Q1186" s="241"/>
    </row>
    <row r="1187" spans="1:17" ht="13.5" customHeight="1" x14ac:dyDescent="0.3">
      <c r="A1187"/>
      <c r="B1187" s="241"/>
      <c r="C1187" s="241"/>
      <c r="D1187" s="241"/>
      <c r="E1187" s="241"/>
      <c r="F1187" s="241"/>
      <c r="G1187" s="241"/>
      <c r="H1187" s="241"/>
      <c r="I1187"/>
      <c r="J1187" s="241"/>
      <c r="K1187" s="241"/>
      <c r="L1187" s="241"/>
      <c r="M1187" s="241"/>
      <c r="N1187" s="241"/>
      <c r="O1187" s="241"/>
      <c r="P1187" s="241"/>
      <c r="Q1187" s="241"/>
    </row>
    <row r="1188" spans="1:17" ht="13.5" customHeight="1" x14ac:dyDescent="0.3">
      <c r="A1188"/>
      <c r="B1188" s="241"/>
      <c r="C1188" s="241"/>
      <c r="D1188" s="241"/>
      <c r="E1188" s="241"/>
      <c r="F1188" s="241"/>
      <c r="G1188" s="241"/>
      <c r="H1188" s="241"/>
      <c r="I1188"/>
      <c r="J1188" s="241"/>
      <c r="K1188" s="241"/>
      <c r="L1188" s="241"/>
      <c r="M1188" s="241"/>
      <c r="N1188" s="241"/>
      <c r="O1188" s="241"/>
      <c r="P1188" s="241"/>
      <c r="Q1188" s="241"/>
    </row>
    <row r="1189" spans="1:17" ht="13.5" customHeight="1" x14ac:dyDescent="0.3">
      <c r="A1189"/>
      <c r="B1189" s="241"/>
      <c r="C1189" s="241"/>
      <c r="D1189" s="241"/>
      <c r="E1189" s="241"/>
      <c r="F1189" s="241"/>
      <c r="G1189" s="241"/>
      <c r="H1189" s="241"/>
      <c r="I1189"/>
      <c r="J1189" s="241"/>
      <c r="K1189" s="241"/>
      <c r="L1189" s="241"/>
      <c r="M1189" s="241"/>
      <c r="N1189" s="241"/>
      <c r="O1189" s="241"/>
      <c r="P1189" s="241"/>
      <c r="Q1189" s="241"/>
    </row>
    <row r="1190" spans="1:17" ht="13.5" customHeight="1" x14ac:dyDescent="0.3">
      <c r="A1190"/>
      <c r="B1190" s="241"/>
      <c r="C1190" s="241"/>
      <c r="D1190" s="241"/>
      <c r="E1190" s="241"/>
      <c r="F1190" s="241"/>
      <c r="G1190" s="241"/>
      <c r="H1190" s="241"/>
      <c r="I1190"/>
      <c r="J1190" s="241"/>
      <c r="K1190" s="241"/>
      <c r="L1190" s="241"/>
      <c r="M1190" s="241"/>
      <c r="N1190" s="241"/>
      <c r="O1190" s="241"/>
      <c r="P1190" s="241"/>
      <c r="Q1190" s="241"/>
    </row>
    <row r="1191" spans="1:17" ht="13.5" customHeight="1" x14ac:dyDescent="0.3">
      <c r="A1191"/>
      <c r="B1191" s="241"/>
      <c r="C1191" s="241"/>
      <c r="D1191" s="241"/>
      <c r="E1191" s="241"/>
      <c r="F1191" s="241"/>
      <c r="G1191" s="241"/>
      <c r="H1191" s="241"/>
      <c r="I1191"/>
      <c r="J1191" s="241"/>
      <c r="K1191" s="241"/>
      <c r="L1191" s="241"/>
      <c r="M1191" s="241"/>
      <c r="N1191" s="241"/>
      <c r="O1191" s="241"/>
      <c r="P1191" s="241"/>
      <c r="Q1191" s="241"/>
    </row>
    <row r="1192" spans="1:17" ht="13.5" customHeight="1" x14ac:dyDescent="0.3">
      <c r="A1192"/>
      <c r="B1192" s="241"/>
      <c r="C1192" s="241"/>
      <c r="D1192" s="241"/>
      <c r="E1192" s="241"/>
      <c r="F1192" s="241"/>
      <c r="G1192" s="241"/>
      <c r="H1192" s="241"/>
      <c r="I1192"/>
      <c r="J1192" s="241"/>
      <c r="K1192" s="241"/>
      <c r="L1192" s="241"/>
      <c r="M1192" s="241"/>
      <c r="N1192" s="241"/>
      <c r="O1192" s="241"/>
      <c r="P1192" s="241"/>
      <c r="Q1192" s="241"/>
    </row>
    <row r="1193" spans="1:17" ht="13.5" customHeight="1" x14ac:dyDescent="0.3">
      <c r="A1193"/>
      <c r="B1193" s="241"/>
      <c r="C1193" s="241"/>
      <c r="D1193" s="241"/>
      <c r="E1193" s="241"/>
      <c r="F1193" s="241"/>
      <c r="G1193" s="241"/>
      <c r="H1193" s="241"/>
      <c r="I1193"/>
      <c r="J1193" s="241"/>
      <c r="K1193" s="241"/>
      <c r="L1193" s="241"/>
      <c r="M1193" s="241"/>
      <c r="N1193" s="241"/>
      <c r="O1193" s="241"/>
      <c r="P1193" s="241"/>
      <c r="Q1193" s="241"/>
    </row>
    <row r="1194" spans="1:17" ht="13.5" customHeight="1" x14ac:dyDescent="0.3">
      <c r="A1194"/>
      <c r="B1194" s="241"/>
      <c r="C1194" s="241"/>
      <c r="D1194" s="241"/>
      <c r="E1194" s="241"/>
      <c r="F1194" s="241"/>
      <c r="G1194" s="241"/>
      <c r="H1194" s="241"/>
      <c r="I1194"/>
      <c r="J1194" s="241"/>
      <c r="K1194" s="241"/>
      <c r="L1194" s="241"/>
      <c r="M1194" s="241"/>
      <c r="N1194" s="241"/>
      <c r="O1194" s="241"/>
      <c r="P1194" s="241"/>
      <c r="Q1194" s="241"/>
    </row>
    <row r="1195" spans="1:17" ht="13.5" customHeight="1" x14ac:dyDescent="0.3">
      <c r="A1195"/>
      <c r="B1195" s="241"/>
      <c r="C1195" s="241"/>
      <c r="D1195" s="241"/>
      <c r="E1195" s="241"/>
      <c r="F1195" s="241"/>
      <c r="G1195" s="241"/>
      <c r="H1195" s="241"/>
      <c r="I1195"/>
      <c r="J1195" s="241"/>
      <c r="K1195" s="241"/>
      <c r="L1195" s="241"/>
      <c r="M1195" s="241"/>
      <c r="N1195" s="241"/>
      <c r="O1195" s="241"/>
      <c r="P1195" s="241"/>
      <c r="Q1195" s="241"/>
    </row>
    <row r="1196" spans="1:17" ht="13.5" customHeight="1" x14ac:dyDescent="0.3">
      <c r="A1196"/>
      <c r="B1196" s="241"/>
      <c r="C1196" s="241"/>
      <c r="D1196" s="241"/>
      <c r="E1196" s="241"/>
      <c r="F1196" s="241"/>
      <c r="G1196" s="241"/>
      <c r="H1196" s="241"/>
      <c r="I1196"/>
      <c r="J1196" s="241"/>
      <c r="K1196" s="241"/>
      <c r="L1196" s="241"/>
      <c r="M1196" s="241"/>
      <c r="N1196" s="241"/>
      <c r="O1196" s="241"/>
      <c r="P1196" s="241"/>
      <c r="Q1196" s="241"/>
    </row>
    <row r="1197" spans="1:17" ht="13.5" customHeight="1" x14ac:dyDescent="0.3">
      <c r="A1197"/>
      <c r="B1197" s="241"/>
      <c r="C1197" s="241"/>
      <c r="D1197" s="241"/>
      <c r="E1197" s="241"/>
      <c r="F1197" s="241"/>
      <c r="G1197" s="241"/>
      <c r="H1197" s="241"/>
      <c r="I1197"/>
      <c r="J1197" s="241"/>
      <c r="K1197" s="241"/>
      <c r="L1197" s="241"/>
      <c r="M1197" s="241"/>
      <c r="N1197" s="241"/>
      <c r="O1197" s="241"/>
      <c r="P1197" s="241"/>
      <c r="Q1197" s="241"/>
    </row>
    <row r="1198" spans="1:17" ht="13.5" customHeight="1" x14ac:dyDescent="0.3">
      <c r="A1198"/>
      <c r="B1198" s="241"/>
      <c r="C1198" s="241"/>
      <c r="D1198" s="241"/>
      <c r="E1198" s="241"/>
      <c r="F1198" s="241"/>
      <c r="G1198" s="241"/>
      <c r="H1198" s="241"/>
      <c r="I1198"/>
      <c r="J1198" s="241"/>
      <c r="K1198" s="241"/>
      <c r="L1198" s="241"/>
      <c r="M1198" s="241"/>
      <c r="N1198" s="241"/>
      <c r="O1198" s="241"/>
      <c r="P1198" s="241"/>
      <c r="Q1198" s="241"/>
    </row>
    <row r="1199" spans="1:17" ht="13.5" customHeight="1" x14ac:dyDescent="0.3">
      <c r="A1199"/>
      <c r="B1199" s="241"/>
      <c r="C1199" s="241"/>
      <c r="D1199" s="241"/>
      <c r="E1199" s="241"/>
      <c r="F1199" s="241"/>
      <c r="G1199" s="241"/>
      <c r="H1199" s="241"/>
      <c r="I1199"/>
      <c r="J1199" s="241"/>
      <c r="K1199" s="241"/>
      <c r="L1199" s="241"/>
      <c r="M1199" s="241"/>
      <c r="N1199" s="241"/>
      <c r="O1199" s="241"/>
      <c r="P1199" s="241"/>
      <c r="Q1199" s="241"/>
    </row>
    <row r="1200" spans="1:17" ht="13.5" customHeight="1" x14ac:dyDescent="0.3">
      <c r="A1200"/>
      <c r="B1200" s="241"/>
      <c r="C1200" s="241"/>
      <c r="D1200" s="241"/>
      <c r="E1200" s="241"/>
      <c r="F1200" s="241"/>
      <c r="G1200" s="241"/>
      <c r="H1200" s="241"/>
      <c r="I1200"/>
      <c r="J1200" s="241"/>
      <c r="K1200" s="241"/>
      <c r="L1200" s="241"/>
      <c r="M1200" s="241"/>
      <c r="N1200" s="241"/>
      <c r="O1200" s="241"/>
      <c r="P1200" s="241"/>
      <c r="Q1200" s="241"/>
    </row>
    <row r="1201" spans="1:17" ht="13.5" customHeight="1" x14ac:dyDescent="0.3">
      <c r="A1201"/>
      <c r="B1201" s="241"/>
      <c r="C1201" s="241"/>
      <c r="D1201" s="241"/>
      <c r="E1201" s="241"/>
      <c r="F1201" s="241"/>
      <c r="G1201" s="241"/>
      <c r="H1201" s="241"/>
      <c r="I1201"/>
      <c r="J1201" s="241"/>
      <c r="K1201" s="241"/>
      <c r="L1201" s="241"/>
      <c r="M1201" s="241"/>
      <c r="N1201" s="241"/>
      <c r="O1201" s="241"/>
      <c r="P1201" s="241"/>
      <c r="Q1201" s="241"/>
    </row>
    <row r="1202" spans="1:17" ht="13.5" customHeight="1" x14ac:dyDescent="0.3">
      <c r="A1202"/>
      <c r="B1202" s="241"/>
      <c r="C1202" s="241"/>
      <c r="D1202" s="241"/>
      <c r="E1202" s="241"/>
      <c r="F1202" s="241"/>
      <c r="G1202" s="241"/>
      <c r="H1202" s="241"/>
      <c r="I1202"/>
      <c r="J1202" s="241"/>
      <c r="K1202" s="241"/>
      <c r="L1202" s="241"/>
      <c r="M1202" s="241"/>
      <c r="N1202" s="241"/>
      <c r="O1202" s="241"/>
      <c r="P1202" s="241"/>
      <c r="Q1202" s="241"/>
    </row>
    <row r="1203" spans="1:17" ht="13.5" customHeight="1" x14ac:dyDescent="0.3">
      <c r="A1203"/>
      <c r="B1203" s="241"/>
      <c r="C1203" s="241"/>
      <c r="D1203" s="241"/>
      <c r="E1203" s="241"/>
      <c r="F1203" s="241"/>
      <c r="G1203" s="241"/>
      <c r="H1203" s="241"/>
      <c r="I1203"/>
      <c r="J1203" s="241"/>
      <c r="K1203" s="241"/>
      <c r="L1203" s="241"/>
      <c r="M1203" s="241"/>
      <c r="N1203" s="241"/>
      <c r="O1203" s="241"/>
      <c r="P1203" s="241"/>
      <c r="Q1203" s="241"/>
    </row>
    <row r="1204" spans="1:17" ht="13.5" customHeight="1" x14ac:dyDescent="0.3">
      <c r="A1204"/>
      <c r="B1204" s="241"/>
      <c r="C1204" s="241"/>
      <c r="D1204" s="241"/>
      <c r="E1204" s="241"/>
      <c r="F1204" s="241"/>
      <c r="G1204" s="241"/>
      <c r="H1204" s="241"/>
      <c r="I1204"/>
      <c r="J1204" s="241"/>
      <c r="K1204" s="241"/>
      <c r="L1204" s="241"/>
      <c r="M1204" s="241"/>
      <c r="N1204" s="241"/>
      <c r="O1204" s="241"/>
      <c r="P1204" s="241"/>
      <c r="Q1204" s="241"/>
    </row>
    <row r="1205" spans="1:17" ht="13.5" customHeight="1" x14ac:dyDescent="0.3">
      <c r="A1205"/>
      <c r="B1205" s="241"/>
      <c r="C1205" s="241"/>
      <c r="D1205" s="241"/>
      <c r="E1205" s="241"/>
      <c r="F1205" s="241"/>
      <c r="G1205" s="241"/>
      <c r="H1205" s="241"/>
      <c r="I1205"/>
      <c r="J1205" s="241"/>
      <c r="K1205" s="241"/>
      <c r="L1205" s="241"/>
      <c r="M1205" s="241"/>
      <c r="N1205" s="241"/>
      <c r="O1205" s="241"/>
      <c r="P1205" s="241"/>
      <c r="Q1205" s="241"/>
    </row>
    <row r="1206" spans="1:17" ht="13.5" customHeight="1" x14ac:dyDescent="0.3">
      <c r="A1206"/>
      <c r="B1206" s="241"/>
      <c r="C1206" s="241"/>
      <c r="D1206" s="241"/>
      <c r="E1206" s="241"/>
      <c r="F1206" s="241"/>
      <c r="G1206" s="241"/>
      <c r="H1206" s="241"/>
      <c r="I1206"/>
      <c r="J1206" s="241"/>
      <c r="K1206" s="241"/>
      <c r="L1206" s="241"/>
      <c r="M1206" s="241"/>
      <c r="N1206" s="241"/>
      <c r="O1206" s="241"/>
      <c r="P1206" s="241"/>
      <c r="Q1206" s="241"/>
    </row>
    <row r="1207" spans="1:17" ht="13.5" customHeight="1" x14ac:dyDescent="0.3">
      <c r="A1207"/>
      <c r="B1207" s="241"/>
      <c r="C1207" s="241"/>
      <c r="D1207" s="241"/>
      <c r="E1207" s="241"/>
      <c r="F1207" s="241"/>
      <c r="G1207" s="241"/>
      <c r="H1207" s="241"/>
      <c r="I1207"/>
      <c r="J1207" s="241"/>
      <c r="K1207" s="241"/>
      <c r="L1207" s="241"/>
      <c r="M1207" s="241"/>
      <c r="N1207" s="241"/>
      <c r="O1207" s="241"/>
      <c r="P1207" s="241"/>
      <c r="Q1207" s="241"/>
    </row>
    <row r="1208" spans="1:17" ht="13.5" customHeight="1" x14ac:dyDescent="0.3">
      <c r="A1208"/>
      <c r="B1208" s="241"/>
      <c r="C1208" s="241"/>
      <c r="D1208" s="241"/>
      <c r="E1208" s="241"/>
      <c r="F1208" s="241"/>
      <c r="G1208" s="241"/>
      <c r="H1208" s="241"/>
      <c r="I1208"/>
      <c r="J1208" s="241"/>
      <c r="K1208" s="241"/>
      <c r="L1208" s="241"/>
      <c r="M1208" s="241"/>
      <c r="N1208" s="241"/>
      <c r="O1208" s="241"/>
      <c r="P1208" s="241"/>
      <c r="Q1208" s="241"/>
    </row>
    <row r="1209" spans="1:17" ht="13.5" customHeight="1" x14ac:dyDescent="0.3">
      <c r="A1209"/>
      <c r="B1209" s="241"/>
      <c r="C1209" s="241"/>
      <c r="D1209" s="241"/>
      <c r="E1209" s="241"/>
      <c r="F1209" s="241"/>
      <c r="G1209" s="241"/>
      <c r="H1209" s="241"/>
      <c r="I1209"/>
      <c r="J1209" s="241"/>
      <c r="K1209" s="241"/>
      <c r="L1209" s="241"/>
      <c r="M1209" s="241"/>
      <c r="N1209" s="241"/>
      <c r="O1209" s="241"/>
      <c r="P1209" s="241"/>
      <c r="Q1209" s="241"/>
    </row>
    <row r="1210" spans="1:17" ht="13.5" customHeight="1" x14ac:dyDescent="0.3">
      <c r="A1210"/>
      <c r="B1210" s="241"/>
      <c r="C1210" s="241"/>
      <c r="D1210" s="241"/>
      <c r="E1210" s="241"/>
      <c r="F1210" s="241"/>
      <c r="G1210" s="241"/>
      <c r="H1210" s="241"/>
      <c r="I1210"/>
      <c r="J1210" s="241"/>
      <c r="K1210" s="241"/>
      <c r="L1210" s="241"/>
      <c r="M1210" s="241"/>
      <c r="N1210" s="241"/>
      <c r="O1210" s="241"/>
      <c r="P1210" s="241"/>
      <c r="Q1210" s="241"/>
    </row>
    <row r="1211" spans="1:17" ht="13.5" customHeight="1" x14ac:dyDescent="0.3">
      <c r="A1211"/>
      <c r="B1211" s="241"/>
      <c r="C1211" s="241"/>
      <c r="D1211" s="241"/>
      <c r="E1211" s="241"/>
      <c r="F1211" s="241"/>
      <c r="G1211" s="241"/>
      <c r="H1211" s="241"/>
      <c r="I1211"/>
      <c r="J1211" s="241"/>
      <c r="K1211" s="241"/>
      <c r="L1211" s="241"/>
      <c r="M1211" s="241"/>
      <c r="N1211" s="241"/>
      <c r="O1211" s="241"/>
      <c r="P1211" s="241"/>
      <c r="Q1211" s="241"/>
    </row>
    <row r="1212" spans="1:17" ht="13.5" customHeight="1" x14ac:dyDescent="0.3">
      <c r="A1212"/>
      <c r="B1212" s="241"/>
      <c r="C1212" s="241"/>
      <c r="D1212" s="241"/>
      <c r="E1212" s="241"/>
      <c r="F1212" s="241"/>
      <c r="G1212" s="241"/>
      <c r="H1212" s="241"/>
      <c r="I1212"/>
      <c r="J1212" s="241"/>
      <c r="K1212" s="241"/>
      <c r="L1212" s="241"/>
      <c r="M1212" s="241"/>
      <c r="N1212" s="241"/>
      <c r="O1212" s="241"/>
      <c r="P1212" s="241"/>
      <c r="Q1212" s="241"/>
    </row>
    <row r="1213" spans="1:17" ht="13.5" customHeight="1" x14ac:dyDescent="0.3">
      <c r="A1213"/>
      <c r="B1213" s="241"/>
      <c r="C1213" s="241"/>
      <c r="D1213" s="241"/>
      <c r="E1213" s="241"/>
      <c r="F1213" s="241"/>
      <c r="G1213" s="241"/>
      <c r="H1213" s="241"/>
      <c r="I1213"/>
      <c r="J1213" s="241"/>
      <c r="K1213" s="241"/>
      <c r="L1213" s="241"/>
      <c r="M1213" s="241"/>
      <c r="N1213" s="241"/>
      <c r="O1213" s="241"/>
      <c r="P1213" s="241"/>
      <c r="Q1213" s="241"/>
    </row>
    <row r="1214" spans="1:17" ht="13.5" customHeight="1" x14ac:dyDescent="0.3">
      <c r="A1214"/>
      <c r="B1214" s="241"/>
      <c r="C1214" s="241"/>
      <c r="D1214" s="241"/>
      <c r="E1214" s="241"/>
      <c r="F1214" s="241"/>
      <c r="G1214" s="241"/>
      <c r="H1214" s="241"/>
      <c r="I1214"/>
      <c r="J1214" s="241"/>
      <c r="K1214" s="241"/>
      <c r="L1214" s="241"/>
      <c r="M1214" s="241"/>
      <c r="N1214" s="241"/>
      <c r="O1214" s="241"/>
      <c r="P1214" s="241"/>
      <c r="Q1214" s="241"/>
    </row>
    <row r="1215" spans="1:17" ht="13.5" customHeight="1" x14ac:dyDescent="0.3">
      <c r="A1215"/>
      <c r="B1215" s="241"/>
      <c r="C1215" s="241"/>
      <c r="D1215" s="241"/>
      <c r="E1215" s="241"/>
      <c r="F1215" s="241"/>
      <c r="G1215" s="241"/>
      <c r="H1215" s="241"/>
      <c r="I1215"/>
      <c r="J1215" s="241"/>
      <c r="K1215" s="241"/>
      <c r="L1215" s="241"/>
      <c r="M1215" s="241"/>
      <c r="N1215" s="241"/>
      <c r="O1215" s="241"/>
      <c r="P1215" s="241"/>
      <c r="Q1215" s="241"/>
    </row>
    <row r="1216" spans="1:17" ht="13.5" customHeight="1" x14ac:dyDescent="0.3">
      <c r="A1216"/>
      <c r="B1216" s="241"/>
      <c r="C1216" s="241"/>
      <c r="D1216" s="241"/>
      <c r="E1216" s="241"/>
      <c r="F1216" s="241"/>
      <c r="G1216" s="241"/>
      <c r="H1216" s="241"/>
      <c r="I1216"/>
      <c r="J1216" s="241"/>
      <c r="K1216" s="241"/>
      <c r="L1216" s="241"/>
      <c r="M1216" s="241"/>
      <c r="N1216" s="241"/>
      <c r="O1216" s="241"/>
      <c r="P1216" s="241"/>
      <c r="Q1216" s="241"/>
    </row>
    <row r="1217" spans="1:17" ht="13.5" customHeight="1" x14ac:dyDescent="0.3">
      <c r="A1217"/>
      <c r="B1217" s="241"/>
      <c r="C1217" s="241"/>
      <c r="D1217" s="241"/>
      <c r="E1217" s="241"/>
      <c r="F1217" s="241"/>
      <c r="G1217" s="241"/>
      <c r="H1217" s="241"/>
      <c r="I1217"/>
      <c r="J1217" s="241"/>
      <c r="K1217" s="241"/>
      <c r="L1217" s="241"/>
      <c r="M1217" s="241"/>
      <c r="N1217" s="241"/>
      <c r="O1217" s="241"/>
      <c r="P1217" s="241"/>
      <c r="Q1217" s="241"/>
    </row>
    <row r="1218" spans="1:17" ht="13.5" customHeight="1" x14ac:dyDescent="0.3">
      <c r="A1218"/>
      <c r="B1218" s="241"/>
      <c r="C1218" s="241"/>
      <c r="D1218" s="241"/>
      <c r="E1218" s="241"/>
      <c r="F1218" s="241"/>
      <c r="G1218" s="241"/>
      <c r="H1218" s="241"/>
      <c r="I1218"/>
      <c r="J1218" s="241"/>
      <c r="K1218" s="241"/>
      <c r="L1218" s="241"/>
      <c r="M1218" s="241"/>
      <c r="N1218" s="241"/>
      <c r="O1218" s="241"/>
      <c r="P1218" s="241"/>
      <c r="Q1218" s="241"/>
    </row>
    <row r="1219" spans="1:17" ht="13.5" customHeight="1" x14ac:dyDescent="0.3">
      <c r="A1219"/>
      <c r="B1219" s="241"/>
      <c r="C1219" s="241"/>
      <c r="D1219" s="241"/>
      <c r="E1219" s="241"/>
      <c r="F1219" s="241"/>
      <c r="G1219" s="241"/>
      <c r="H1219" s="241"/>
      <c r="I1219"/>
      <c r="J1219" s="241"/>
      <c r="K1219" s="241"/>
      <c r="L1219" s="241"/>
      <c r="M1219" s="241"/>
      <c r="N1219" s="241"/>
      <c r="O1219" s="241"/>
      <c r="P1219" s="241"/>
      <c r="Q1219" s="241"/>
    </row>
    <row r="1220" spans="1:17" ht="13.5" customHeight="1" x14ac:dyDescent="0.3">
      <c r="A1220"/>
      <c r="B1220" s="241"/>
      <c r="C1220" s="241"/>
      <c r="D1220" s="241"/>
      <c r="E1220" s="241"/>
      <c r="F1220" s="241"/>
      <c r="G1220" s="241"/>
      <c r="H1220" s="241"/>
      <c r="I1220"/>
      <c r="J1220" s="241"/>
      <c r="K1220" s="241"/>
      <c r="L1220" s="241"/>
      <c r="M1220" s="241"/>
      <c r="N1220" s="241"/>
      <c r="O1220" s="241"/>
      <c r="P1220" s="241"/>
      <c r="Q1220" s="241"/>
    </row>
    <row r="1221" spans="1:17" ht="13.5" customHeight="1" x14ac:dyDescent="0.3">
      <c r="A1221"/>
      <c r="B1221" s="241"/>
      <c r="C1221" s="241"/>
      <c r="D1221" s="241"/>
      <c r="E1221" s="241"/>
      <c r="F1221" s="241"/>
      <c r="G1221" s="241"/>
      <c r="H1221" s="241"/>
      <c r="I1221"/>
      <c r="J1221" s="241"/>
      <c r="K1221" s="241"/>
      <c r="L1221" s="241"/>
      <c r="M1221" s="241"/>
      <c r="N1221" s="241"/>
      <c r="O1221" s="241"/>
      <c r="P1221" s="241"/>
      <c r="Q1221" s="241"/>
    </row>
    <row r="1222" spans="1:17" ht="13.5" customHeight="1" x14ac:dyDescent="0.3">
      <c r="A1222"/>
      <c r="B1222" s="241"/>
      <c r="C1222" s="241"/>
      <c r="D1222" s="241"/>
      <c r="E1222" s="241"/>
      <c r="F1222" s="241"/>
      <c r="G1222" s="241"/>
      <c r="H1222" s="241"/>
      <c r="I1222"/>
      <c r="J1222" s="241"/>
      <c r="K1222" s="241"/>
      <c r="L1222" s="241"/>
      <c r="M1222" s="241"/>
      <c r="N1222" s="241"/>
      <c r="O1222" s="241"/>
      <c r="P1222" s="241"/>
      <c r="Q1222" s="241"/>
    </row>
    <row r="1223" spans="1:17" ht="13.5" customHeight="1" x14ac:dyDescent="0.3">
      <c r="A1223"/>
      <c r="B1223" s="241"/>
      <c r="C1223" s="241"/>
      <c r="D1223" s="241"/>
      <c r="E1223" s="241"/>
      <c r="F1223" s="241"/>
      <c r="G1223" s="241"/>
      <c r="H1223" s="241"/>
      <c r="I1223"/>
      <c r="J1223" s="241"/>
      <c r="K1223" s="241"/>
      <c r="L1223" s="241"/>
      <c r="M1223" s="241"/>
      <c r="N1223" s="241"/>
      <c r="O1223" s="241"/>
      <c r="P1223" s="241"/>
      <c r="Q1223" s="241"/>
    </row>
    <row r="1224" spans="1:17" ht="13.5" customHeight="1" x14ac:dyDescent="0.3">
      <c r="A1224"/>
      <c r="B1224" s="241"/>
      <c r="C1224" s="241"/>
      <c r="D1224" s="241"/>
      <c r="E1224" s="241"/>
      <c r="F1224" s="241"/>
      <c r="G1224" s="241"/>
      <c r="H1224" s="241"/>
      <c r="I1224"/>
      <c r="J1224" s="241"/>
      <c r="K1224" s="241"/>
      <c r="L1224" s="241"/>
      <c r="M1224" s="241"/>
      <c r="N1224" s="241"/>
      <c r="O1224" s="241"/>
      <c r="P1224" s="241"/>
      <c r="Q1224" s="241"/>
    </row>
    <row r="1225" spans="1:17" ht="13.5" customHeight="1" x14ac:dyDescent="0.3">
      <c r="A1225"/>
      <c r="B1225" s="241"/>
      <c r="C1225" s="241"/>
      <c r="D1225" s="241"/>
      <c r="E1225" s="241"/>
      <c r="F1225" s="241"/>
      <c r="G1225" s="241"/>
      <c r="H1225" s="241"/>
      <c r="I1225"/>
      <c r="J1225" s="241"/>
      <c r="K1225" s="241"/>
      <c r="L1225" s="241"/>
      <c r="M1225" s="241"/>
      <c r="N1225" s="241"/>
      <c r="O1225" s="241"/>
      <c r="P1225" s="241"/>
      <c r="Q1225" s="241"/>
    </row>
    <row r="1226" spans="1:17" ht="13.5" customHeight="1" x14ac:dyDescent="0.3">
      <c r="A1226"/>
      <c r="B1226" s="241"/>
      <c r="C1226" s="241"/>
      <c r="D1226" s="241"/>
      <c r="E1226" s="241"/>
      <c r="F1226" s="241"/>
      <c r="G1226" s="241"/>
      <c r="H1226" s="241"/>
      <c r="I1226"/>
      <c r="J1226" s="241"/>
      <c r="K1226" s="241"/>
      <c r="L1226" s="241"/>
      <c r="M1226" s="241"/>
      <c r="N1226" s="241"/>
      <c r="O1226" s="241"/>
      <c r="P1226" s="241"/>
      <c r="Q1226" s="241"/>
    </row>
    <row r="1227" spans="1:17" ht="13.5" customHeight="1" x14ac:dyDescent="0.3">
      <c r="A1227"/>
      <c r="B1227" s="241"/>
      <c r="C1227" s="241"/>
      <c r="D1227" s="241"/>
      <c r="E1227" s="241"/>
      <c r="F1227" s="241"/>
      <c r="G1227" s="241"/>
      <c r="H1227" s="241"/>
      <c r="I1227"/>
      <c r="J1227" s="241"/>
      <c r="K1227" s="241"/>
      <c r="L1227" s="241"/>
      <c r="M1227" s="241"/>
      <c r="N1227" s="241"/>
      <c r="O1227" s="241"/>
      <c r="P1227" s="241"/>
      <c r="Q1227" s="241"/>
    </row>
    <row r="1228" spans="1:17" ht="13.5" customHeight="1" x14ac:dyDescent="0.3">
      <c r="A1228"/>
      <c r="B1228" s="241"/>
      <c r="C1228" s="241"/>
      <c r="D1228" s="241"/>
      <c r="E1228" s="241"/>
      <c r="F1228" s="241"/>
      <c r="G1228" s="241"/>
      <c r="H1228" s="241"/>
      <c r="I1228"/>
      <c r="J1228" s="241"/>
      <c r="K1228" s="241"/>
      <c r="L1228" s="241"/>
      <c r="M1228" s="241"/>
      <c r="N1228" s="241"/>
      <c r="O1228" s="241"/>
      <c r="P1228" s="241"/>
      <c r="Q1228" s="241"/>
    </row>
    <row r="1229" spans="1:17" ht="13.5" customHeight="1" x14ac:dyDescent="0.3">
      <c r="A1229"/>
      <c r="B1229" s="241"/>
      <c r="C1229" s="241"/>
      <c r="D1229" s="241"/>
      <c r="E1229" s="241"/>
      <c r="F1229" s="241"/>
      <c r="G1229" s="241"/>
      <c r="H1229" s="241"/>
      <c r="I1229"/>
      <c r="J1229" s="241"/>
      <c r="K1229" s="241"/>
      <c r="L1229" s="241"/>
      <c r="M1229" s="241"/>
      <c r="N1229" s="241"/>
      <c r="O1229" s="241"/>
      <c r="P1229" s="241"/>
      <c r="Q1229" s="241"/>
    </row>
    <row r="1230" spans="1:17" ht="13.5" customHeight="1" x14ac:dyDescent="0.3">
      <c r="A1230"/>
      <c r="B1230" s="241"/>
      <c r="C1230" s="241"/>
      <c r="D1230" s="241"/>
      <c r="E1230" s="241"/>
      <c r="F1230" s="241"/>
      <c r="G1230" s="241"/>
      <c r="H1230" s="241"/>
      <c r="I1230"/>
      <c r="J1230" s="241"/>
      <c r="K1230" s="241"/>
      <c r="L1230" s="241"/>
      <c r="M1230" s="241"/>
      <c r="N1230" s="241"/>
      <c r="O1230" s="241"/>
      <c r="P1230" s="241"/>
      <c r="Q1230" s="241"/>
    </row>
    <row r="1231" spans="1:17" ht="13.5" customHeight="1" x14ac:dyDescent="0.3">
      <c r="A1231"/>
      <c r="B1231" s="241"/>
      <c r="C1231" s="241"/>
      <c r="D1231" s="241"/>
      <c r="E1231" s="241"/>
      <c r="F1231" s="241"/>
      <c r="G1231" s="241"/>
      <c r="H1231" s="241"/>
      <c r="I1231"/>
      <c r="J1231" s="241"/>
      <c r="K1231" s="241"/>
      <c r="L1231" s="241"/>
      <c r="M1231" s="241"/>
      <c r="N1231" s="241"/>
      <c r="O1231" s="241"/>
      <c r="P1231" s="241"/>
      <c r="Q1231" s="241"/>
    </row>
    <row r="1232" spans="1:17" ht="13.5" customHeight="1" x14ac:dyDescent="0.3">
      <c r="A1232"/>
      <c r="B1232" s="241"/>
      <c r="C1232" s="241"/>
      <c r="D1232" s="241"/>
      <c r="E1232" s="241"/>
      <c r="F1232" s="241"/>
      <c r="G1232" s="241"/>
      <c r="H1232" s="241"/>
      <c r="I1232"/>
      <c r="J1232" s="241"/>
      <c r="K1232" s="241"/>
      <c r="L1232" s="241"/>
      <c r="M1232" s="241"/>
      <c r="N1232" s="241"/>
      <c r="O1232" s="241"/>
      <c r="P1232" s="241"/>
      <c r="Q1232" s="241"/>
    </row>
    <row r="1233" spans="1:17" ht="13.5" customHeight="1" x14ac:dyDescent="0.3">
      <c r="A1233"/>
      <c r="B1233" s="241"/>
      <c r="C1233" s="241"/>
      <c r="D1233" s="241"/>
      <c r="E1233" s="241"/>
      <c r="F1233" s="241"/>
      <c r="G1233" s="241"/>
      <c r="H1233" s="241"/>
      <c r="I1233"/>
      <c r="J1233" s="241"/>
      <c r="K1233" s="241"/>
      <c r="L1233" s="241"/>
      <c r="M1233" s="241"/>
      <c r="N1233" s="241"/>
      <c r="O1233" s="241"/>
      <c r="P1233" s="241"/>
      <c r="Q1233" s="241"/>
    </row>
    <row r="1234" spans="1:17" ht="13.5" customHeight="1" x14ac:dyDescent="0.3">
      <c r="A1234"/>
      <c r="B1234" s="241"/>
      <c r="C1234" s="241"/>
      <c r="D1234" s="241"/>
      <c r="E1234" s="241"/>
      <c r="F1234" s="241"/>
      <c r="G1234" s="241"/>
      <c r="H1234" s="241"/>
      <c r="I1234"/>
      <c r="J1234" s="241"/>
      <c r="K1234" s="241"/>
      <c r="L1234" s="241"/>
      <c r="M1234" s="241"/>
      <c r="N1234" s="241"/>
      <c r="O1234" s="241"/>
      <c r="P1234" s="241"/>
      <c r="Q1234" s="241"/>
    </row>
    <row r="1235" spans="1:17" ht="13.5" customHeight="1" x14ac:dyDescent="0.3">
      <c r="A1235"/>
      <c r="B1235" s="241"/>
      <c r="C1235" s="241"/>
      <c r="D1235" s="241"/>
      <c r="E1235" s="241"/>
      <c r="F1235" s="241"/>
      <c r="G1235" s="241"/>
      <c r="H1235" s="241"/>
      <c r="I1235"/>
      <c r="J1235" s="241"/>
      <c r="K1235" s="241"/>
      <c r="L1235" s="241"/>
      <c r="M1235" s="241"/>
      <c r="N1235" s="241"/>
      <c r="O1235" s="241"/>
      <c r="P1235" s="241"/>
      <c r="Q1235" s="241"/>
    </row>
    <row r="1236" spans="1:17" ht="13.5" customHeight="1" x14ac:dyDescent="0.3">
      <c r="A1236"/>
      <c r="B1236" s="241"/>
      <c r="C1236" s="241"/>
      <c r="D1236" s="241"/>
      <c r="E1236" s="241"/>
      <c r="F1236" s="241"/>
      <c r="G1236" s="241"/>
      <c r="H1236" s="241"/>
      <c r="I1236"/>
      <c r="J1236" s="241"/>
      <c r="K1236" s="241"/>
      <c r="L1236" s="241"/>
      <c r="M1236" s="241"/>
      <c r="N1236" s="241"/>
      <c r="O1236" s="241"/>
      <c r="P1236" s="241"/>
      <c r="Q1236" s="241"/>
    </row>
    <row r="1237" spans="1:17" ht="13.5" customHeight="1" x14ac:dyDescent="0.3">
      <c r="A1237"/>
      <c r="B1237" s="241"/>
      <c r="C1237" s="241"/>
      <c r="D1237" s="241"/>
      <c r="E1237" s="241"/>
      <c r="F1237" s="241"/>
      <c r="G1237" s="241"/>
      <c r="H1237" s="241"/>
      <c r="I1237"/>
      <c r="J1237" s="241"/>
      <c r="K1237" s="241"/>
      <c r="L1237" s="241"/>
      <c r="M1237" s="241"/>
      <c r="N1237" s="241"/>
      <c r="O1237" s="241"/>
      <c r="P1237" s="241"/>
      <c r="Q1237" s="241"/>
    </row>
    <row r="1238" spans="1:17" ht="13.5" customHeight="1" x14ac:dyDescent="0.3">
      <c r="A1238"/>
      <c r="B1238" s="241"/>
      <c r="C1238" s="241"/>
      <c r="D1238" s="241"/>
      <c r="E1238" s="241"/>
      <c r="F1238" s="241"/>
      <c r="G1238" s="241"/>
      <c r="H1238" s="241"/>
      <c r="I1238"/>
      <c r="J1238" s="241"/>
      <c r="K1238" s="241"/>
      <c r="L1238" s="241"/>
      <c r="M1238" s="241"/>
      <c r="N1238" s="241"/>
      <c r="O1238" s="241"/>
      <c r="P1238" s="241"/>
      <c r="Q1238" s="241"/>
    </row>
    <row r="1239" spans="1:17" ht="13.5" customHeight="1" x14ac:dyDescent="0.3">
      <c r="A1239"/>
      <c r="B1239" s="241"/>
      <c r="C1239" s="241"/>
      <c r="D1239" s="241"/>
      <c r="E1239" s="241"/>
      <c r="F1239" s="241"/>
      <c r="G1239" s="241"/>
      <c r="H1239" s="241"/>
      <c r="I1239"/>
      <c r="J1239" s="241"/>
      <c r="K1239" s="241"/>
      <c r="L1239" s="241"/>
      <c r="M1239" s="241"/>
      <c r="N1239" s="241"/>
      <c r="O1239" s="241"/>
      <c r="P1239" s="241"/>
      <c r="Q1239" s="241"/>
    </row>
    <row r="1240" spans="1:17" ht="13.5" customHeight="1" x14ac:dyDescent="0.3">
      <c r="A1240"/>
      <c r="B1240" s="241"/>
      <c r="C1240" s="241"/>
      <c r="D1240" s="241"/>
      <c r="E1240" s="241"/>
      <c r="F1240" s="241"/>
      <c r="G1240" s="241"/>
      <c r="H1240" s="241"/>
      <c r="I1240"/>
      <c r="J1240" s="241"/>
      <c r="K1240" s="241"/>
      <c r="L1240" s="241"/>
      <c r="M1240" s="241"/>
      <c r="N1240" s="241"/>
      <c r="O1240" s="241"/>
      <c r="P1240" s="241"/>
      <c r="Q1240" s="241"/>
    </row>
    <row r="1241" spans="1:17" ht="13.5" customHeight="1" x14ac:dyDescent="0.3">
      <c r="A1241"/>
      <c r="B1241" s="241"/>
      <c r="C1241" s="241"/>
      <c r="D1241" s="241"/>
      <c r="E1241" s="241"/>
      <c r="F1241" s="241"/>
      <c r="G1241" s="241"/>
      <c r="H1241" s="241"/>
      <c r="I1241"/>
      <c r="J1241" s="241"/>
      <c r="K1241" s="241"/>
      <c r="L1241" s="241"/>
      <c r="M1241" s="241"/>
      <c r="N1241" s="241"/>
      <c r="O1241" s="241"/>
      <c r="P1241" s="241"/>
      <c r="Q1241" s="241"/>
    </row>
    <row r="1242" spans="1:17" ht="13.5" customHeight="1" x14ac:dyDescent="0.3">
      <c r="A1242"/>
      <c r="B1242" s="241"/>
      <c r="C1242" s="241"/>
      <c r="D1242" s="241"/>
      <c r="E1242" s="241"/>
      <c r="F1242" s="241"/>
      <c r="G1242" s="241"/>
      <c r="H1242" s="241"/>
      <c r="I1242"/>
      <c r="J1242" s="241"/>
      <c r="K1242" s="241"/>
      <c r="L1242" s="241"/>
      <c r="M1242" s="241"/>
      <c r="N1242" s="241"/>
      <c r="O1242" s="241"/>
      <c r="P1242" s="241"/>
      <c r="Q1242" s="241"/>
    </row>
    <row r="1243" spans="1:17" ht="13.5" customHeight="1" x14ac:dyDescent="0.3">
      <c r="A1243"/>
      <c r="B1243" s="241"/>
      <c r="C1243" s="241"/>
      <c r="D1243" s="241"/>
      <c r="E1243" s="241"/>
      <c r="F1243" s="241"/>
      <c r="G1243" s="241"/>
      <c r="H1243" s="241"/>
      <c r="I1243"/>
      <c r="J1243" s="241"/>
      <c r="K1243" s="241"/>
      <c r="L1243" s="241"/>
      <c r="M1243" s="241"/>
      <c r="N1243" s="241"/>
      <c r="O1243" s="241"/>
      <c r="P1243" s="241"/>
      <c r="Q1243" s="241"/>
    </row>
    <row r="1244" spans="1:17" ht="13.5" customHeight="1" x14ac:dyDescent="0.3">
      <c r="A1244"/>
      <c r="B1244" s="241"/>
      <c r="C1244" s="241"/>
      <c r="D1244" s="241"/>
      <c r="E1244" s="241"/>
      <c r="F1244" s="241"/>
      <c r="G1244" s="241"/>
      <c r="H1244" s="241"/>
      <c r="I1244"/>
      <c r="J1244" s="241"/>
      <c r="K1244" s="241"/>
      <c r="L1244" s="241"/>
      <c r="M1244" s="241"/>
      <c r="N1244" s="241"/>
      <c r="O1244" s="241"/>
      <c r="P1244" s="241"/>
      <c r="Q1244" s="241"/>
    </row>
    <row r="1245" spans="1:17" ht="13.5" customHeight="1" x14ac:dyDescent="0.3">
      <c r="A1245"/>
      <c r="B1245" s="241"/>
      <c r="C1245" s="241"/>
      <c r="D1245" s="241"/>
      <c r="E1245" s="241"/>
      <c r="F1245" s="241"/>
      <c r="G1245" s="241"/>
      <c r="H1245" s="241"/>
      <c r="I1245"/>
      <c r="J1245" s="241"/>
      <c r="K1245" s="241"/>
      <c r="L1245" s="241"/>
      <c r="M1245" s="241"/>
      <c r="N1245" s="241"/>
      <c r="O1245" s="241"/>
      <c r="P1245" s="241"/>
      <c r="Q1245" s="241"/>
    </row>
    <row r="1246" spans="1:17" ht="13.5" customHeight="1" x14ac:dyDescent="0.3">
      <c r="A1246"/>
      <c r="B1246" s="241"/>
      <c r="C1246" s="241"/>
      <c r="D1246" s="241"/>
      <c r="E1246" s="241"/>
      <c r="F1246" s="241"/>
      <c r="G1246" s="241"/>
      <c r="H1246" s="241"/>
      <c r="I1246"/>
      <c r="J1246" s="241"/>
      <c r="K1246" s="241"/>
      <c r="L1246" s="241"/>
      <c r="M1246" s="241"/>
      <c r="N1246" s="241"/>
      <c r="O1246" s="241"/>
      <c r="P1246" s="241"/>
      <c r="Q1246" s="241"/>
    </row>
    <row r="1247" spans="1:17" ht="13.5" customHeight="1" x14ac:dyDescent="0.3">
      <c r="A1247"/>
      <c r="B1247" s="241"/>
      <c r="C1247" s="241"/>
      <c r="D1247" s="241"/>
      <c r="E1247" s="241"/>
      <c r="F1247" s="241"/>
      <c r="G1247" s="241"/>
      <c r="H1247" s="241"/>
      <c r="I1247"/>
      <c r="J1247" s="241"/>
      <c r="K1247" s="241"/>
      <c r="L1247" s="241"/>
      <c r="M1247" s="241"/>
      <c r="N1247" s="241"/>
      <c r="O1247" s="241"/>
      <c r="P1247" s="241"/>
      <c r="Q1247" s="241"/>
    </row>
    <row r="1248" spans="1:17" ht="13.5" customHeight="1" x14ac:dyDescent="0.3">
      <c r="A1248"/>
      <c r="B1248" s="241"/>
      <c r="C1248" s="241"/>
      <c r="D1248" s="241"/>
      <c r="E1248" s="241"/>
      <c r="F1248" s="241"/>
      <c r="G1248" s="241"/>
      <c r="H1248" s="241"/>
      <c r="I1248"/>
      <c r="J1248" s="241"/>
      <c r="K1248" s="241"/>
      <c r="L1248" s="241"/>
      <c r="M1248" s="241"/>
      <c r="N1248" s="241"/>
      <c r="O1248" s="241"/>
      <c r="P1248" s="241"/>
      <c r="Q1248" s="241"/>
    </row>
    <row r="1249" spans="1:17" ht="13.5" customHeight="1" x14ac:dyDescent="0.3">
      <c r="A1249"/>
      <c r="B1249" s="241"/>
      <c r="C1249" s="241"/>
      <c r="D1249" s="241"/>
      <c r="E1249" s="241"/>
      <c r="F1249" s="241"/>
      <c r="G1249" s="241"/>
      <c r="H1249" s="241"/>
      <c r="I1249"/>
      <c r="J1249" s="241"/>
      <c r="K1249" s="241"/>
      <c r="L1249" s="241"/>
      <c r="M1249" s="241"/>
      <c r="N1249" s="241"/>
      <c r="O1249" s="241"/>
      <c r="P1249" s="241"/>
      <c r="Q1249" s="241"/>
    </row>
    <row r="1250" spans="1:17" ht="13.5" customHeight="1" x14ac:dyDescent="0.3">
      <c r="A1250"/>
      <c r="B1250" s="241"/>
      <c r="C1250" s="241"/>
      <c r="D1250" s="241"/>
      <c r="E1250" s="241"/>
      <c r="F1250" s="241"/>
      <c r="G1250" s="241"/>
      <c r="H1250" s="241"/>
      <c r="I1250"/>
      <c r="J1250" s="241"/>
      <c r="K1250" s="241"/>
      <c r="L1250" s="241"/>
      <c r="M1250" s="241"/>
      <c r="N1250" s="241"/>
      <c r="O1250" s="241"/>
      <c r="P1250" s="241"/>
      <c r="Q1250" s="241"/>
    </row>
    <row r="1251" spans="1:17" ht="13.5" customHeight="1" x14ac:dyDescent="0.3">
      <c r="A1251"/>
      <c r="B1251" s="241"/>
      <c r="C1251" s="241"/>
      <c r="D1251" s="241"/>
      <c r="E1251" s="241"/>
      <c r="F1251" s="241"/>
      <c r="G1251" s="241"/>
      <c r="H1251" s="241"/>
      <c r="I1251"/>
      <c r="J1251" s="241"/>
      <c r="K1251" s="241"/>
      <c r="L1251" s="241"/>
      <c r="M1251" s="241"/>
      <c r="N1251" s="241"/>
      <c r="O1251" s="241"/>
      <c r="P1251" s="241"/>
      <c r="Q1251" s="241"/>
    </row>
    <row r="1252" spans="1:17" ht="13.5" customHeight="1" x14ac:dyDescent="0.3">
      <c r="A1252"/>
      <c r="B1252" s="241"/>
      <c r="C1252" s="241"/>
      <c r="D1252" s="241"/>
      <c r="E1252" s="241"/>
      <c r="F1252" s="241"/>
      <c r="G1252" s="241"/>
      <c r="H1252" s="241"/>
      <c r="I1252"/>
      <c r="J1252" s="241"/>
      <c r="K1252" s="241"/>
      <c r="L1252" s="241"/>
      <c r="M1252" s="241"/>
      <c r="N1252" s="241"/>
      <c r="O1252" s="241"/>
      <c r="P1252" s="241"/>
      <c r="Q1252" s="241"/>
    </row>
    <row r="1253" spans="1:17" ht="13.5" customHeight="1" x14ac:dyDescent="0.3">
      <c r="A1253"/>
      <c r="B1253" s="241"/>
      <c r="C1253" s="241"/>
      <c r="D1253" s="241"/>
      <c r="E1253" s="241"/>
      <c r="F1253" s="241"/>
      <c r="G1253" s="241"/>
      <c r="H1253" s="241"/>
      <c r="I1253"/>
      <c r="J1253" s="241"/>
      <c r="K1253" s="241"/>
      <c r="L1253" s="241"/>
      <c r="M1253" s="241"/>
      <c r="N1253" s="241"/>
      <c r="O1253" s="241"/>
      <c r="P1253" s="241"/>
      <c r="Q1253" s="241"/>
    </row>
    <row r="1254" spans="1:17" ht="13.5" customHeight="1" x14ac:dyDescent="0.3">
      <c r="A1254"/>
      <c r="B1254" s="241"/>
      <c r="C1254" s="241"/>
      <c r="D1254" s="241"/>
      <c r="E1254" s="241"/>
      <c r="F1254" s="241"/>
      <c r="G1254" s="241"/>
      <c r="H1254" s="241"/>
      <c r="I1254"/>
      <c r="J1254" s="241"/>
      <c r="K1254" s="241"/>
      <c r="L1254" s="241"/>
      <c r="M1254" s="241"/>
      <c r="N1254" s="241"/>
      <c r="O1254" s="241"/>
      <c r="P1254" s="241"/>
      <c r="Q1254" s="241"/>
    </row>
    <row r="1255" spans="1:17" ht="13.5" customHeight="1" x14ac:dyDescent="0.3">
      <c r="A1255"/>
      <c r="B1255" s="241"/>
      <c r="C1255" s="241"/>
      <c r="D1255" s="241"/>
      <c r="E1255" s="241"/>
      <c r="F1255" s="241"/>
      <c r="G1255" s="241"/>
      <c r="H1255" s="241"/>
      <c r="I1255"/>
      <c r="J1255" s="241"/>
      <c r="K1255" s="241"/>
      <c r="L1255" s="241"/>
      <c r="M1255" s="241"/>
      <c r="N1255" s="241"/>
      <c r="O1255" s="241"/>
      <c r="P1255" s="241"/>
      <c r="Q1255" s="241"/>
    </row>
    <row r="1256" spans="1:17" ht="13.5" customHeight="1" x14ac:dyDescent="0.3">
      <c r="A1256"/>
      <c r="B1256" s="241"/>
      <c r="C1256" s="241"/>
      <c r="D1256" s="241"/>
      <c r="E1256" s="241"/>
      <c r="F1256" s="241"/>
      <c r="G1256" s="241"/>
      <c r="H1256" s="241"/>
      <c r="I1256"/>
      <c r="J1256" s="241"/>
      <c r="K1256" s="241"/>
      <c r="L1256" s="241"/>
      <c r="M1256" s="241"/>
      <c r="N1256" s="241"/>
      <c r="O1256" s="241"/>
      <c r="P1256" s="241"/>
      <c r="Q1256" s="241"/>
    </row>
    <row r="1257" spans="1:17" ht="13.5" customHeight="1" x14ac:dyDescent="0.3">
      <c r="A1257"/>
      <c r="B1257" s="241"/>
      <c r="C1257" s="241"/>
      <c r="D1257" s="241"/>
      <c r="E1257" s="241"/>
      <c r="F1257" s="241"/>
      <c r="G1257" s="241"/>
      <c r="H1257" s="241"/>
      <c r="I1257"/>
      <c r="J1257" s="241"/>
      <c r="K1257" s="241"/>
      <c r="L1257" s="241"/>
      <c r="M1257" s="241"/>
      <c r="N1257" s="241"/>
      <c r="O1257" s="241"/>
      <c r="P1257" s="241"/>
      <c r="Q1257" s="241"/>
    </row>
    <row r="1258" spans="1:17" ht="13.5" customHeight="1" x14ac:dyDescent="0.3">
      <c r="A1258"/>
      <c r="B1258" s="241"/>
      <c r="C1258" s="241"/>
      <c r="D1258" s="241"/>
      <c r="E1258" s="241"/>
      <c r="F1258" s="241"/>
      <c r="G1258" s="241"/>
      <c r="H1258" s="241"/>
      <c r="I1258"/>
      <c r="J1258" s="241"/>
      <c r="K1258" s="241"/>
      <c r="L1258" s="241"/>
      <c r="M1258" s="241"/>
      <c r="N1258" s="241"/>
      <c r="O1258" s="241"/>
      <c r="P1258" s="241"/>
      <c r="Q1258" s="241"/>
    </row>
    <row r="1259" spans="1:17" ht="13.5" customHeight="1" x14ac:dyDescent="0.3">
      <c r="A1259"/>
      <c r="B1259" s="241"/>
      <c r="C1259" s="241"/>
      <c r="D1259" s="241"/>
      <c r="E1259" s="241"/>
      <c r="F1259" s="241"/>
      <c r="G1259" s="241"/>
      <c r="H1259" s="241"/>
      <c r="I1259"/>
      <c r="J1259" s="241"/>
      <c r="K1259" s="241"/>
      <c r="L1259" s="241"/>
      <c r="M1259" s="241"/>
      <c r="N1259" s="241"/>
      <c r="O1259" s="241"/>
      <c r="P1259" s="241"/>
      <c r="Q1259" s="241"/>
    </row>
    <row r="1260" spans="1:17" ht="13.5" customHeight="1" x14ac:dyDescent="0.3">
      <c r="A1260"/>
      <c r="B1260" s="241"/>
      <c r="C1260" s="241"/>
      <c r="D1260" s="241"/>
      <c r="E1260" s="241"/>
      <c r="F1260" s="241"/>
      <c r="G1260" s="241"/>
      <c r="H1260" s="241"/>
      <c r="I1260"/>
      <c r="J1260" s="241"/>
      <c r="K1260" s="241"/>
      <c r="L1260" s="241"/>
      <c r="M1260" s="241"/>
      <c r="N1260" s="241"/>
      <c r="O1260" s="241"/>
      <c r="P1260" s="241"/>
      <c r="Q1260" s="241"/>
    </row>
    <row r="1261" spans="1:17" ht="13.5" customHeight="1" x14ac:dyDescent="0.3">
      <c r="A1261"/>
      <c r="B1261" s="241"/>
      <c r="C1261" s="241"/>
      <c r="D1261" s="241"/>
      <c r="E1261" s="241"/>
      <c r="F1261" s="241"/>
      <c r="G1261" s="241"/>
      <c r="H1261" s="241"/>
      <c r="I1261"/>
      <c r="J1261" s="241"/>
      <c r="K1261" s="241"/>
      <c r="L1261" s="241"/>
      <c r="M1261" s="241"/>
      <c r="N1261" s="241"/>
      <c r="O1261" s="241"/>
      <c r="P1261" s="241"/>
      <c r="Q1261" s="241"/>
    </row>
    <row r="1262" spans="1:17" ht="13.5" customHeight="1" x14ac:dyDescent="0.3">
      <c r="A1262"/>
      <c r="B1262" s="241"/>
      <c r="C1262" s="241"/>
      <c r="D1262" s="241"/>
      <c r="E1262" s="241"/>
      <c r="F1262" s="241"/>
      <c r="G1262" s="241"/>
      <c r="H1262" s="241"/>
      <c r="I1262"/>
      <c r="J1262" s="241"/>
      <c r="K1262" s="241"/>
      <c r="L1262" s="241"/>
      <c r="M1262" s="241"/>
      <c r="N1262" s="241"/>
      <c r="O1262" s="241"/>
      <c r="P1262" s="241"/>
      <c r="Q1262" s="241"/>
    </row>
    <row r="1263" spans="1:17" ht="13.5" customHeight="1" x14ac:dyDescent="0.3">
      <c r="A1263"/>
      <c r="B1263" s="241"/>
      <c r="C1263" s="241"/>
      <c r="D1263" s="241"/>
      <c r="E1263" s="241"/>
      <c r="F1263" s="241"/>
      <c r="G1263" s="241"/>
      <c r="H1263" s="241"/>
      <c r="I1263"/>
      <c r="J1263" s="241"/>
      <c r="K1263" s="241"/>
      <c r="L1263" s="241"/>
      <c r="M1263" s="241"/>
      <c r="N1263" s="241"/>
      <c r="O1263" s="241"/>
      <c r="P1263" s="241"/>
      <c r="Q1263" s="241"/>
    </row>
    <row r="1264" spans="1:17" ht="13.5" customHeight="1" x14ac:dyDescent="0.3">
      <c r="A1264"/>
      <c r="B1264" s="241"/>
      <c r="C1264" s="241"/>
      <c r="D1264" s="241"/>
      <c r="E1264" s="241"/>
      <c r="F1264" s="241"/>
      <c r="G1264" s="241"/>
      <c r="H1264" s="241"/>
      <c r="I1264"/>
      <c r="J1264" s="241"/>
      <c r="K1264" s="241"/>
      <c r="L1264" s="241"/>
      <c r="M1264" s="241"/>
      <c r="N1264" s="241"/>
      <c r="O1264" s="241"/>
      <c r="P1264" s="241"/>
      <c r="Q1264" s="241"/>
    </row>
    <row r="1265" spans="1:17" ht="13.5" customHeight="1" x14ac:dyDescent="0.3">
      <c r="A1265"/>
      <c r="B1265" s="241"/>
      <c r="C1265" s="241"/>
      <c r="D1265" s="241"/>
      <c r="E1265" s="241"/>
      <c r="F1265" s="241"/>
      <c r="G1265" s="241"/>
      <c r="H1265" s="241"/>
      <c r="I1265"/>
      <c r="J1265" s="241"/>
      <c r="K1265" s="241"/>
      <c r="L1265" s="241"/>
      <c r="M1265" s="241"/>
      <c r="N1265" s="241"/>
      <c r="O1265" s="241"/>
      <c r="P1265" s="241"/>
      <c r="Q1265" s="241"/>
    </row>
    <row r="1266" spans="1:17" ht="13.5" customHeight="1" x14ac:dyDescent="0.3">
      <c r="A1266"/>
      <c r="B1266" s="241"/>
      <c r="C1266" s="241"/>
      <c r="D1266" s="241"/>
      <c r="E1266" s="241"/>
      <c r="F1266" s="241"/>
      <c r="G1266" s="241"/>
      <c r="H1266" s="241"/>
      <c r="I1266"/>
      <c r="J1266" s="241"/>
      <c r="K1266" s="241"/>
      <c r="L1266" s="241"/>
      <c r="M1266" s="241"/>
      <c r="N1266" s="241"/>
      <c r="O1266" s="241"/>
      <c r="P1266" s="241"/>
      <c r="Q1266" s="241"/>
    </row>
    <row r="1267" spans="1:17" ht="13.5" customHeight="1" x14ac:dyDescent="0.3">
      <c r="A1267"/>
      <c r="B1267" s="241"/>
      <c r="C1267" s="241"/>
      <c r="D1267" s="241"/>
      <c r="E1267" s="241"/>
      <c r="F1267" s="241"/>
      <c r="G1267" s="241"/>
      <c r="H1267" s="241"/>
      <c r="I1267"/>
      <c r="J1267" s="241"/>
      <c r="K1267" s="241"/>
      <c r="L1267" s="241"/>
      <c r="M1267" s="241"/>
      <c r="N1267" s="241"/>
      <c r="O1267" s="241"/>
      <c r="P1267" s="241"/>
      <c r="Q1267" s="241"/>
    </row>
    <row r="1268" spans="1:17" ht="13.5" customHeight="1" x14ac:dyDescent="0.3">
      <c r="A1268"/>
      <c r="B1268" s="241"/>
      <c r="C1268" s="241"/>
      <c r="D1268" s="241"/>
      <c r="E1268" s="241"/>
      <c r="F1268" s="241"/>
      <c r="G1268" s="241"/>
      <c r="H1268" s="241"/>
      <c r="I1268"/>
      <c r="J1268" s="241"/>
      <c r="K1268" s="241"/>
      <c r="L1268" s="241"/>
      <c r="M1268" s="241"/>
      <c r="N1268" s="241"/>
      <c r="O1268" s="241"/>
      <c r="P1268" s="241"/>
      <c r="Q1268" s="241"/>
    </row>
    <row r="1269" spans="1:17" ht="13.5" customHeight="1" x14ac:dyDescent="0.3">
      <c r="A1269"/>
      <c r="B1269" s="241"/>
      <c r="C1269" s="241"/>
      <c r="D1269" s="241"/>
      <c r="E1269" s="241"/>
      <c r="F1269" s="241"/>
      <c r="G1269" s="241"/>
      <c r="H1269" s="241"/>
      <c r="I1269"/>
      <c r="J1269" s="241"/>
      <c r="K1269" s="241"/>
      <c r="L1269" s="241"/>
      <c r="M1269" s="241"/>
      <c r="N1269" s="241"/>
      <c r="O1269" s="241"/>
      <c r="P1269" s="241"/>
      <c r="Q1269" s="241"/>
    </row>
    <row r="1270" spans="1:17" ht="13.5" customHeight="1" x14ac:dyDescent="0.3">
      <c r="A1270"/>
      <c r="B1270" s="241"/>
      <c r="C1270" s="241"/>
      <c r="D1270" s="241"/>
      <c r="E1270" s="241"/>
      <c r="F1270" s="241"/>
      <c r="G1270" s="241"/>
      <c r="H1270" s="241"/>
      <c r="I1270"/>
      <c r="J1270" s="241"/>
      <c r="K1270" s="241"/>
      <c r="L1270" s="241"/>
      <c r="M1270" s="241"/>
      <c r="N1270" s="241"/>
      <c r="O1270" s="241"/>
      <c r="P1270" s="241"/>
      <c r="Q1270" s="241"/>
    </row>
    <row r="1271" spans="1:17" ht="13.5" customHeight="1" x14ac:dyDescent="0.3">
      <c r="A1271"/>
      <c r="B1271" s="241"/>
      <c r="C1271" s="241"/>
      <c r="D1271" s="241"/>
      <c r="E1271" s="241"/>
      <c r="F1271" s="241"/>
      <c r="G1271" s="241"/>
      <c r="H1271" s="241"/>
      <c r="I1271"/>
      <c r="J1271" s="241"/>
      <c r="K1271" s="241"/>
      <c r="L1271" s="241"/>
      <c r="M1271" s="241"/>
      <c r="N1271" s="241"/>
      <c r="O1271" s="241"/>
      <c r="P1271" s="241"/>
      <c r="Q1271" s="241"/>
    </row>
    <row r="1272" spans="1:17" ht="13.5" customHeight="1" x14ac:dyDescent="0.3">
      <c r="A1272"/>
      <c r="B1272" s="241"/>
      <c r="C1272" s="241"/>
      <c r="D1272" s="241"/>
      <c r="E1272" s="241"/>
      <c r="F1272" s="241"/>
      <c r="G1272" s="241"/>
      <c r="H1272" s="241"/>
      <c r="I1272"/>
      <c r="J1272" s="241"/>
      <c r="K1272" s="241"/>
      <c r="L1272" s="241"/>
      <c r="M1272" s="241"/>
      <c r="N1272" s="241"/>
      <c r="O1272" s="241"/>
      <c r="P1272" s="241"/>
      <c r="Q1272" s="241"/>
    </row>
    <row r="1273" spans="1:17" ht="13.5" customHeight="1" x14ac:dyDescent="0.3">
      <c r="A1273"/>
      <c r="B1273" s="241"/>
      <c r="C1273" s="241"/>
      <c r="D1273" s="241"/>
      <c r="E1273" s="241"/>
      <c r="F1273" s="241"/>
      <c r="G1273" s="241"/>
      <c r="H1273" s="241"/>
      <c r="I1273"/>
      <c r="J1273" s="241"/>
      <c r="K1273" s="241"/>
      <c r="L1273" s="241"/>
      <c r="M1273" s="241"/>
      <c r="N1273" s="241"/>
      <c r="O1273" s="241"/>
      <c r="P1273" s="241"/>
      <c r="Q1273" s="241"/>
    </row>
    <row r="1274" spans="1:17" ht="13.5" customHeight="1" x14ac:dyDescent="0.3">
      <c r="A1274"/>
      <c r="B1274" s="241"/>
      <c r="C1274" s="241"/>
      <c r="D1274" s="241"/>
      <c r="E1274" s="241"/>
      <c r="F1274" s="241"/>
      <c r="G1274" s="241"/>
      <c r="H1274" s="241"/>
      <c r="I1274"/>
      <c r="J1274" s="241"/>
      <c r="K1274" s="241"/>
      <c r="L1274" s="241"/>
      <c r="M1274" s="241"/>
      <c r="N1274" s="241"/>
      <c r="O1274" s="241"/>
      <c r="P1274" s="241"/>
      <c r="Q1274" s="241"/>
    </row>
    <row r="1275" spans="1:17" ht="13.5" customHeight="1" x14ac:dyDescent="0.3">
      <c r="A1275"/>
      <c r="B1275" s="241"/>
      <c r="C1275" s="241"/>
      <c r="D1275" s="241"/>
      <c r="E1275" s="241"/>
      <c r="F1275" s="241"/>
      <c r="G1275" s="241"/>
      <c r="H1275" s="241"/>
      <c r="I1275"/>
      <c r="J1275" s="241"/>
      <c r="K1275" s="241"/>
      <c r="L1275" s="241"/>
      <c r="M1275" s="241"/>
      <c r="N1275" s="241"/>
      <c r="O1275" s="241"/>
      <c r="P1275" s="241"/>
      <c r="Q1275" s="241"/>
    </row>
    <row r="1276" spans="1:17" ht="13.5" customHeight="1" x14ac:dyDescent="0.3">
      <c r="A1276"/>
      <c r="B1276" s="241"/>
      <c r="C1276" s="241"/>
      <c r="D1276" s="241"/>
      <c r="E1276" s="241"/>
      <c r="F1276" s="241"/>
      <c r="G1276" s="241"/>
      <c r="H1276" s="241"/>
      <c r="I1276"/>
      <c r="J1276" s="241"/>
      <c r="K1276" s="241"/>
      <c r="L1276" s="241"/>
      <c r="M1276" s="241"/>
      <c r="N1276" s="241"/>
      <c r="O1276" s="241"/>
      <c r="P1276" s="241"/>
      <c r="Q1276" s="241"/>
    </row>
    <row r="1277" spans="1:17" ht="13.5" customHeight="1" x14ac:dyDescent="0.3">
      <c r="A1277"/>
      <c r="B1277" s="241"/>
      <c r="C1277" s="241"/>
      <c r="D1277" s="241"/>
      <c r="E1277" s="241"/>
      <c r="F1277" s="241"/>
      <c r="G1277" s="241"/>
      <c r="H1277" s="241"/>
      <c r="I1277"/>
      <c r="J1277" s="241"/>
      <c r="K1277" s="241"/>
      <c r="L1277" s="241"/>
      <c r="M1277" s="241"/>
      <c r="N1277" s="241"/>
      <c r="O1277" s="241"/>
      <c r="P1277" s="241"/>
      <c r="Q1277" s="241"/>
    </row>
    <row r="1278" spans="1:17" ht="13.5" customHeight="1" x14ac:dyDescent="0.3">
      <c r="A1278"/>
      <c r="B1278" s="241"/>
      <c r="C1278" s="241"/>
      <c r="D1278" s="241"/>
      <c r="E1278" s="241"/>
      <c r="F1278" s="241"/>
      <c r="G1278" s="241"/>
      <c r="H1278" s="241"/>
      <c r="I1278"/>
      <c r="J1278" s="241"/>
      <c r="K1278" s="241"/>
      <c r="L1278" s="241"/>
      <c r="M1278" s="241"/>
      <c r="N1278" s="241"/>
      <c r="O1278" s="241"/>
      <c r="P1278" s="241"/>
      <c r="Q1278" s="241"/>
    </row>
    <row r="1279" spans="1:17" ht="13.5" customHeight="1" x14ac:dyDescent="0.3">
      <c r="A1279"/>
      <c r="B1279" s="241"/>
      <c r="C1279" s="241"/>
      <c r="D1279" s="241"/>
      <c r="E1279" s="241"/>
      <c r="F1279" s="241"/>
      <c r="G1279" s="241"/>
      <c r="H1279" s="241"/>
      <c r="I1279"/>
      <c r="J1279" s="241"/>
      <c r="K1279" s="241"/>
      <c r="L1279" s="241"/>
      <c r="M1279" s="241"/>
      <c r="N1279" s="241"/>
      <c r="O1279" s="241"/>
      <c r="P1279" s="241"/>
      <c r="Q1279" s="241"/>
    </row>
    <row r="1280" spans="1:17" ht="13.5" customHeight="1" x14ac:dyDescent="0.3">
      <c r="A1280"/>
      <c r="B1280" s="241"/>
      <c r="C1280" s="241"/>
      <c r="D1280" s="241"/>
      <c r="E1280" s="241"/>
      <c r="F1280" s="241"/>
      <c r="G1280" s="241"/>
      <c r="H1280" s="241"/>
      <c r="I1280"/>
      <c r="J1280" s="241"/>
      <c r="K1280" s="241"/>
      <c r="L1280" s="241"/>
      <c r="M1280" s="241"/>
      <c r="N1280" s="241"/>
      <c r="O1280" s="241"/>
      <c r="P1280" s="241"/>
      <c r="Q1280" s="241"/>
    </row>
    <row r="1281" spans="1:17" ht="13.5" customHeight="1" x14ac:dyDescent="0.3">
      <c r="A1281"/>
      <c r="B1281" s="241"/>
      <c r="C1281" s="241"/>
      <c r="D1281" s="241"/>
      <c r="E1281" s="241"/>
      <c r="F1281" s="241"/>
      <c r="G1281" s="241"/>
      <c r="H1281" s="241"/>
      <c r="I1281"/>
      <c r="J1281" s="241"/>
      <c r="K1281" s="241"/>
      <c r="L1281" s="241"/>
      <c r="M1281" s="241"/>
      <c r="N1281" s="241"/>
      <c r="O1281" s="241"/>
      <c r="P1281" s="241"/>
      <c r="Q1281" s="241"/>
    </row>
    <row r="1282" spans="1:17" ht="13.5" customHeight="1" x14ac:dyDescent="0.3">
      <c r="A1282"/>
      <c r="B1282" s="241"/>
      <c r="C1282" s="241"/>
      <c r="D1282" s="241"/>
      <c r="E1282" s="241"/>
      <c r="F1282" s="241"/>
      <c r="G1282" s="241"/>
      <c r="H1282" s="241"/>
      <c r="I1282"/>
      <c r="J1282" s="241"/>
      <c r="K1282" s="241"/>
      <c r="L1282" s="241"/>
      <c r="M1282" s="241"/>
      <c r="N1282" s="241"/>
      <c r="O1282" s="241"/>
      <c r="P1282" s="241"/>
      <c r="Q1282" s="241"/>
    </row>
    <row r="1283" spans="1:17" ht="13.5" customHeight="1" x14ac:dyDescent="0.3">
      <c r="A1283"/>
      <c r="B1283" s="241"/>
      <c r="C1283" s="241"/>
      <c r="D1283" s="241"/>
      <c r="E1283" s="241"/>
      <c r="F1283" s="241"/>
      <c r="G1283" s="241"/>
      <c r="H1283" s="241"/>
      <c r="I1283"/>
      <c r="J1283" s="241"/>
      <c r="K1283" s="241"/>
      <c r="L1283" s="241"/>
      <c r="M1283" s="241"/>
      <c r="N1283" s="241"/>
      <c r="O1283" s="241"/>
      <c r="P1283" s="241"/>
      <c r="Q1283" s="241"/>
    </row>
    <row r="1284" spans="1:17" ht="13.5" customHeight="1" x14ac:dyDescent="0.3">
      <c r="A1284"/>
      <c r="B1284" s="241"/>
      <c r="C1284" s="241"/>
      <c r="D1284" s="241"/>
      <c r="E1284" s="241"/>
      <c r="F1284" s="241"/>
      <c r="G1284" s="241"/>
      <c r="H1284" s="241"/>
      <c r="I1284"/>
      <c r="J1284" s="241"/>
      <c r="K1284" s="241"/>
      <c r="L1284" s="241"/>
      <c r="M1284" s="241"/>
      <c r="N1284" s="241"/>
      <c r="O1284" s="241"/>
      <c r="P1284" s="241"/>
      <c r="Q1284" s="241"/>
    </row>
    <row r="1285" spans="1:17" ht="13.5" customHeight="1" x14ac:dyDescent="0.3">
      <c r="A1285"/>
      <c r="B1285" s="241"/>
      <c r="C1285" s="241"/>
      <c r="D1285" s="241"/>
      <c r="E1285" s="241"/>
      <c r="F1285" s="241"/>
      <c r="G1285" s="241"/>
      <c r="H1285" s="241"/>
      <c r="I1285"/>
      <c r="J1285" s="241"/>
      <c r="K1285" s="241"/>
      <c r="L1285" s="241"/>
      <c r="M1285" s="241"/>
      <c r="N1285" s="241"/>
      <c r="O1285" s="241"/>
      <c r="P1285" s="241"/>
      <c r="Q1285" s="241"/>
    </row>
    <row r="1286" spans="1:17" ht="13.5" customHeight="1" x14ac:dyDescent="0.3">
      <c r="A1286"/>
      <c r="B1286" s="241"/>
      <c r="C1286" s="241"/>
      <c r="D1286" s="241"/>
      <c r="E1286" s="241"/>
      <c r="F1286" s="241"/>
      <c r="G1286" s="241"/>
      <c r="H1286" s="241"/>
      <c r="I1286"/>
      <c r="J1286" s="241"/>
      <c r="K1286" s="241"/>
      <c r="L1286" s="241"/>
      <c r="M1286" s="241"/>
      <c r="N1286" s="241"/>
      <c r="O1286" s="241"/>
      <c r="P1286" s="241"/>
      <c r="Q1286" s="241"/>
    </row>
    <row r="1287" spans="1:17" ht="13.5" customHeight="1" x14ac:dyDescent="0.3">
      <c r="A1287"/>
      <c r="B1287" s="241"/>
      <c r="C1287" s="241"/>
      <c r="D1287" s="241"/>
      <c r="E1287" s="241"/>
      <c r="F1287" s="241"/>
      <c r="G1287" s="241"/>
      <c r="H1287" s="241"/>
      <c r="I1287"/>
      <c r="J1287" s="241"/>
      <c r="K1287" s="241"/>
      <c r="L1287" s="241"/>
      <c r="M1287" s="241"/>
      <c r="N1287" s="241"/>
      <c r="O1287" s="241"/>
      <c r="P1287" s="241"/>
      <c r="Q1287" s="241"/>
    </row>
    <row r="1288" spans="1:17" ht="13.5" customHeight="1" x14ac:dyDescent="0.3">
      <c r="A1288"/>
      <c r="B1288" s="241"/>
      <c r="C1288" s="241"/>
      <c r="D1288" s="241"/>
      <c r="E1288" s="241"/>
      <c r="F1288" s="241"/>
      <c r="G1288" s="241"/>
      <c r="H1288" s="241"/>
      <c r="I1288"/>
      <c r="J1288" s="241"/>
      <c r="K1288" s="241"/>
      <c r="L1288" s="241"/>
      <c r="M1288" s="241"/>
      <c r="N1288" s="241"/>
      <c r="O1288" s="241"/>
      <c r="P1288" s="241"/>
      <c r="Q1288" s="241"/>
    </row>
    <row r="1289" spans="1:17" ht="13.5" customHeight="1" x14ac:dyDescent="0.3">
      <c r="A1289"/>
      <c r="B1289" s="241"/>
      <c r="C1289" s="241"/>
      <c r="D1289" s="241"/>
      <c r="E1289" s="241"/>
      <c r="F1289" s="241"/>
      <c r="G1289" s="241"/>
      <c r="H1289" s="241"/>
      <c r="I1289"/>
      <c r="J1289" s="241"/>
      <c r="K1289" s="241"/>
      <c r="L1289" s="241"/>
      <c r="M1289" s="241"/>
      <c r="N1289" s="241"/>
      <c r="O1289" s="241"/>
      <c r="P1289" s="241"/>
      <c r="Q1289" s="241"/>
    </row>
    <row r="1290" spans="1:17" ht="13.5" customHeight="1" x14ac:dyDescent="0.3">
      <c r="A1290"/>
      <c r="B1290" s="241"/>
      <c r="C1290" s="241"/>
      <c r="D1290" s="241"/>
      <c r="E1290" s="241"/>
      <c r="F1290" s="241"/>
      <c r="G1290" s="241"/>
      <c r="H1290" s="241"/>
      <c r="I1290"/>
      <c r="J1290" s="241"/>
      <c r="K1290" s="241"/>
      <c r="L1290" s="241"/>
      <c r="M1290" s="241"/>
      <c r="N1290" s="241"/>
      <c r="O1290" s="241"/>
      <c r="P1290" s="241"/>
      <c r="Q1290" s="241"/>
    </row>
    <row r="1291" spans="1:17" ht="13.5" customHeight="1" x14ac:dyDescent="0.3">
      <c r="A1291"/>
      <c r="B1291" s="241"/>
      <c r="C1291" s="241"/>
      <c r="D1291" s="241"/>
      <c r="E1291" s="241"/>
      <c r="F1291" s="241"/>
      <c r="G1291" s="241"/>
      <c r="H1291" s="241"/>
      <c r="I1291"/>
      <c r="J1291" s="241"/>
      <c r="K1291" s="241"/>
      <c r="L1291" s="241"/>
      <c r="M1291" s="241"/>
      <c r="N1291" s="241"/>
      <c r="O1291" s="241"/>
      <c r="P1291" s="241"/>
      <c r="Q1291" s="241"/>
    </row>
    <row r="1292" spans="1:17" ht="13.5" customHeight="1" x14ac:dyDescent="0.3">
      <c r="A1292"/>
      <c r="B1292" s="241"/>
      <c r="C1292" s="241"/>
      <c r="D1292" s="241"/>
      <c r="E1292" s="241"/>
      <c r="F1292" s="241"/>
      <c r="G1292" s="241"/>
      <c r="H1292" s="241"/>
      <c r="I1292"/>
      <c r="J1292" s="241"/>
      <c r="K1292" s="241"/>
      <c r="L1292" s="241"/>
      <c r="M1292" s="241"/>
      <c r="N1292" s="241"/>
      <c r="O1292" s="241"/>
      <c r="P1292" s="241"/>
      <c r="Q1292" s="241"/>
    </row>
    <row r="1293" spans="1:17" ht="13.5" customHeight="1" x14ac:dyDescent="0.3">
      <c r="A1293"/>
      <c r="B1293" s="241"/>
      <c r="C1293" s="241"/>
      <c r="D1293" s="241"/>
      <c r="E1293" s="241"/>
      <c r="F1293" s="241"/>
      <c r="G1293" s="241"/>
      <c r="H1293" s="241"/>
      <c r="I1293"/>
      <c r="J1293" s="241"/>
      <c r="K1293" s="241"/>
      <c r="L1293" s="241"/>
      <c r="M1293" s="241"/>
      <c r="N1293" s="241"/>
      <c r="O1293" s="241"/>
      <c r="P1293" s="241"/>
      <c r="Q1293" s="241"/>
    </row>
    <row r="1294" spans="1:17" ht="13.5" customHeight="1" x14ac:dyDescent="0.3">
      <c r="A1294"/>
      <c r="B1294" s="241"/>
      <c r="C1294" s="241"/>
      <c r="D1294" s="241"/>
      <c r="E1294" s="241"/>
      <c r="F1294" s="241"/>
      <c r="G1294" s="241"/>
      <c r="H1294" s="241"/>
      <c r="I1294"/>
      <c r="J1294" s="241"/>
      <c r="K1294" s="241"/>
      <c r="L1294" s="241"/>
      <c r="M1294" s="241"/>
      <c r="N1294" s="241"/>
      <c r="O1294" s="241"/>
      <c r="P1294" s="241"/>
      <c r="Q1294" s="241"/>
    </row>
    <row r="1295" spans="1:17" ht="13.5" customHeight="1" x14ac:dyDescent="0.3">
      <c r="A1295"/>
      <c r="B1295" s="241"/>
      <c r="C1295" s="241"/>
      <c r="D1295" s="241"/>
      <c r="E1295" s="241"/>
      <c r="F1295" s="241"/>
      <c r="G1295" s="241"/>
      <c r="H1295" s="241"/>
      <c r="I1295"/>
      <c r="J1295" s="241"/>
      <c r="K1295" s="241"/>
      <c r="L1295" s="241"/>
      <c r="M1295" s="241"/>
      <c r="N1295" s="241"/>
      <c r="O1295" s="241"/>
      <c r="P1295" s="241"/>
      <c r="Q1295" s="241"/>
    </row>
    <row r="1296" spans="1:17" ht="13.5" customHeight="1" x14ac:dyDescent="0.3">
      <c r="A1296"/>
      <c r="B1296" s="241"/>
      <c r="C1296" s="241"/>
      <c r="D1296" s="241"/>
      <c r="E1296" s="241"/>
      <c r="F1296" s="241"/>
      <c r="G1296" s="241"/>
      <c r="H1296" s="241"/>
      <c r="I1296"/>
      <c r="J1296" s="241"/>
      <c r="K1296" s="241"/>
      <c r="L1296" s="241"/>
      <c r="M1296" s="241"/>
      <c r="N1296" s="241"/>
      <c r="O1296" s="241"/>
      <c r="P1296" s="241"/>
      <c r="Q1296" s="241"/>
    </row>
    <row r="1297" spans="1:17" ht="13.5" customHeight="1" x14ac:dyDescent="0.3">
      <c r="A1297"/>
      <c r="B1297" s="241"/>
      <c r="C1297" s="241"/>
      <c r="D1297" s="241"/>
      <c r="E1297" s="241"/>
      <c r="F1297" s="241"/>
      <c r="G1297" s="241"/>
      <c r="H1297" s="241"/>
      <c r="I1297"/>
      <c r="J1297" s="241"/>
      <c r="K1297" s="241"/>
      <c r="L1297" s="241"/>
      <c r="M1297" s="241"/>
      <c r="N1297" s="241"/>
      <c r="O1297" s="241"/>
      <c r="P1297" s="241"/>
      <c r="Q1297" s="241"/>
    </row>
    <row r="1298" spans="1:17" ht="13.5" customHeight="1" x14ac:dyDescent="0.3">
      <c r="A1298"/>
      <c r="B1298" s="241"/>
      <c r="C1298" s="241"/>
      <c r="D1298" s="241"/>
      <c r="E1298" s="241"/>
      <c r="F1298" s="241"/>
      <c r="G1298" s="241"/>
      <c r="H1298" s="241"/>
      <c r="I1298"/>
      <c r="J1298" s="241"/>
      <c r="K1298" s="241"/>
      <c r="L1298" s="241"/>
      <c r="M1298" s="241"/>
      <c r="N1298" s="241"/>
      <c r="O1298" s="241"/>
      <c r="P1298" s="241"/>
      <c r="Q1298" s="241"/>
    </row>
    <row r="1299" spans="1:17" ht="13.5" customHeight="1" x14ac:dyDescent="0.3">
      <c r="A1299"/>
      <c r="B1299" s="241"/>
      <c r="C1299" s="241"/>
      <c r="D1299" s="241"/>
      <c r="E1299" s="241"/>
      <c r="F1299" s="241"/>
      <c r="G1299" s="241"/>
      <c r="H1299" s="241"/>
      <c r="I1299"/>
      <c r="J1299" s="241"/>
      <c r="K1299" s="241"/>
      <c r="L1299" s="241"/>
      <c r="M1299" s="241"/>
      <c r="N1299" s="241"/>
      <c r="O1299" s="241"/>
      <c r="P1299" s="241"/>
      <c r="Q1299" s="241"/>
    </row>
    <row r="1300" spans="1:17" ht="13.5" customHeight="1" x14ac:dyDescent="0.3">
      <c r="A1300"/>
      <c r="B1300" s="241"/>
      <c r="C1300" s="241"/>
      <c r="D1300" s="241"/>
      <c r="E1300" s="241"/>
      <c r="F1300" s="241"/>
      <c r="G1300" s="241"/>
      <c r="H1300" s="241"/>
      <c r="I1300"/>
      <c r="J1300" s="241"/>
      <c r="K1300" s="241"/>
      <c r="L1300" s="241"/>
      <c r="M1300" s="241"/>
      <c r="N1300" s="241"/>
      <c r="O1300" s="241"/>
      <c r="P1300" s="241"/>
      <c r="Q1300" s="241"/>
    </row>
    <row r="1301" spans="1:17" ht="13.5" customHeight="1" x14ac:dyDescent="0.3">
      <c r="A1301"/>
      <c r="B1301" s="241"/>
      <c r="C1301" s="241"/>
      <c r="D1301" s="241"/>
      <c r="E1301" s="241"/>
      <c r="F1301" s="241"/>
      <c r="G1301" s="241"/>
      <c r="H1301" s="241"/>
      <c r="I1301"/>
      <c r="J1301" s="241"/>
      <c r="K1301" s="241"/>
      <c r="L1301" s="241"/>
      <c r="M1301" s="241"/>
      <c r="N1301" s="241"/>
      <c r="O1301" s="241"/>
      <c r="P1301" s="241"/>
      <c r="Q1301" s="241"/>
    </row>
    <row r="1302" spans="1:17" ht="13.5" customHeight="1" x14ac:dyDescent="0.3">
      <c r="A1302"/>
      <c r="B1302" s="241"/>
      <c r="C1302" s="241"/>
      <c r="D1302" s="241"/>
      <c r="E1302" s="241"/>
      <c r="F1302" s="241"/>
      <c r="G1302" s="241"/>
      <c r="H1302" s="241"/>
      <c r="I1302"/>
      <c r="J1302" s="241"/>
      <c r="K1302" s="241"/>
      <c r="L1302" s="241"/>
      <c r="M1302" s="241"/>
      <c r="N1302" s="241"/>
      <c r="O1302" s="241"/>
      <c r="P1302" s="241"/>
      <c r="Q1302" s="241"/>
    </row>
    <row r="1303" spans="1:17" ht="13.5" customHeight="1" x14ac:dyDescent="0.3">
      <c r="A1303"/>
      <c r="B1303" s="241"/>
      <c r="C1303" s="241"/>
      <c r="D1303" s="241"/>
      <c r="E1303" s="241"/>
      <c r="F1303" s="241"/>
      <c r="G1303" s="241"/>
      <c r="H1303" s="241"/>
      <c r="I1303"/>
      <c r="J1303" s="241"/>
      <c r="K1303" s="241"/>
      <c r="L1303" s="241"/>
      <c r="M1303" s="241"/>
      <c r="N1303" s="241"/>
      <c r="O1303" s="241"/>
      <c r="P1303" s="241"/>
      <c r="Q1303" s="241"/>
    </row>
    <row r="1304" spans="1:17" ht="13.5" customHeight="1" x14ac:dyDescent="0.3">
      <c r="A1304"/>
      <c r="B1304" s="241"/>
      <c r="C1304" s="241"/>
      <c r="D1304" s="241"/>
      <c r="E1304" s="241"/>
      <c r="F1304" s="241"/>
      <c r="G1304" s="241"/>
      <c r="H1304" s="241"/>
      <c r="I1304"/>
      <c r="J1304" s="241"/>
      <c r="K1304" s="241"/>
      <c r="L1304" s="241"/>
      <c r="M1304" s="241"/>
      <c r="N1304" s="241"/>
      <c r="O1304" s="241"/>
      <c r="P1304" s="241"/>
      <c r="Q1304" s="241"/>
    </row>
    <row r="1305" spans="1:17" ht="13.5" customHeight="1" x14ac:dyDescent="0.3">
      <c r="A1305"/>
      <c r="B1305" s="241"/>
      <c r="C1305" s="241"/>
      <c r="D1305" s="241"/>
      <c r="E1305" s="241"/>
      <c r="F1305" s="241"/>
      <c r="G1305" s="241"/>
      <c r="H1305" s="241"/>
      <c r="I1305"/>
      <c r="J1305" s="241"/>
      <c r="K1305" s="241"/>
      <c r="L1305" s="241"/>
      <c r="M1305" s="241"/>
      <c r="N1305" s="241"/>
      <c r="O1305" s="241"/>
      <c r="P1305" s="241"/>
      <c r="Q1305" s="241"/>
    </row>
    <row r="1306" spans="1:17" ht="13.5" customHeight="1" x14ac:dyDescent="0.3">
      <c r="A1306"/>
      <c r="B1306" s="241"/>
      <c r="C1306" s="241"/>
      <c r="D1306" s="241"/>
      <c r="E1306" s="241"/>
      <c r="F1306" s="241"/>
      <c r="G1306" s="241"/>
      <c r="H1306" s="241"/>
      <c r="I1306"/>
      <c r="J1306" s="241"/>
      <c r="K1306" s="241"/>
      <c r="L1306" s="241"/>
      <c r="M1306" s="241"/>
      <c r="N1306" s="241"/>
      <c r="O1306" s="241"/>
      <c r="P1306" s="241"/>
      <c r="Q1306" s="241"/>
    </row>
    <row r="1307" spans="1:17" ht="13.5" customHeight="1" x14ac:dyDescent="0.3">
      <c r="A1307"/>
      <c r="B1307" s="241"/>
      <c r="C1307" s="241"/>
      <c r="D1307" s="241"/>
      <c r="E1307" s="241"/>
      <c r="F1307" s="241"/>
      <c r="G1307" s="241"/>
      <c r="H1307" s="241"/>
      <c r="I1307"/>
      <c r="J1307" s="241"/>
      <c r="K1307" s="241"/>
      <c r="L1307" s="241"/>
      <c r="M1307" s="241"/>
      <c r="N1307" s="241"/>
      <c r="O1307" s="241"/>
      <c r="P1307" s="241"/>
      <c r="Q1307" s="241"/>
    </row>
    <row r="1308" spans="1:17" ht="13.5" customHeight="1" x14ac:dyDescent="0.3">
      <c r="A1308"/>
      <c r="B1308" s="241"/>
      <c r="C1308" s="241"/>
      <c r="D1308" s="241"/>
      <c r="E1308" s="241"/>
      <c r="F1308" s="241"/>
      <c r="G1308" s="241"/>
      <c r="H1308" s="241"/>
      <c r="I1308"/>
      <c r="J1308" s="241"/>
      <c r="K1308" s="241"/>
      <c r="L1308" s="241"/>
      <c r="M1308" s="241"/>
      <c r="N1308" s="241"/>
      <c r="O1308" s="241"/>
      <c r="P1308" s="241"/>
      <c r="Q1308" s="241"/>
    </row>
    <row r="1309" spans="1:17" ht="13.5" customHeight="1" x14ac:dyDescent="0.3">
      <c r="A1309"/>
      <c r="B1309" s="241"/>
      <c r="C1309" s="241"/>
      <c r="D1309" s="241"/>
      <c r="E1309" s="241"/>
      <c r="F1309" s="241"/>
      <c r="G1309" s="241"/>
      <c r="H1309" s="241"/>
      <c r="I1309"/>
      <c r="J1309" s="241"/>
      <c r="K1309" s="241"/>
      <c r="L1309" s="241"/>
      <c r="M1309" s="241"/>
      <c r="N1309" s="241"/>
      <c r="O1309" s="241"/>
      <c r="P1309" s="241"/>
      <c r="Q1309" s="241"/>
    </row>
    <row r="1310" spans="1:17" ht="13.5" customHeight="1" x14ac:dyDescent="0.3">
      <c r="A1310"/>
      <c r="B1310" s="241"/>
      <c r="C1310" s="241"/>
      <c r="D1310" s="241"/>
      <c r="E1310" s="241"/>
      <c r="F1310" s="241"/>
      <c r="G1310" s="241"/>
      <c r="H1310" s="241"/>
      <c r="I1310"/>
      <c r="J1310" s="241"/>
      <c r="K1310" s="241"/>
      <c r="L1310" s="241"/>
      <c r="M1310" s="241"/>
      <c r="N1310" s="241"/>
      <c r="O1310" s="241"/>
      <c r="P1310" s="241"/>
      <c r="Q1310" s="241"/>
    </row>
    <row r="1311" spans="1:17" ht="13.5" customHeight="1" x14ac:dyDescent="0.3">
      <c r="A1311"/>
      <c r="B1311" s="241"/>
      <c r="C1311" s="241"/>
      <c r="D1311" s="241"/>
      <c r="E1311" s="241"/>
      <c r="F1311" s="241"/>
      <c r="G1311" s="241"/>
      <c r="H1311" s="241"/>
      <c r="I1311"/>
      <c r="J1311" s="241"/>
      <c r="K1311" s="241"/>
      <c r="L1311" s="241"/>
      <c r="M1311" s="241"/>
      <c r="N1311" s="241"/>
      <c r="O1311" s="241"/>
      <c r="P1311" s="241"/>
      <c r="Q1311" s="241"/>
    </row>
    <row r="1312" spans="1:17" ht="13.5" customHeight="1" x14ac:dyDescent="0.3">
      <c r="A1312"/>
      <c r="B1312" s="241"/>
      <c r="C1312" s="241"/>
      <c r="D1312" s="241"/>
      <c r="E1312" s="241"/>
      <c r="F1312" s="241"/>
      <c r="G1312" s="241"/>
      <c r="H1312" s="241"/>
      <c r="I1312"/>
      <c r="J1312" s="241"/>
      <c r="K1312" s="241"/>
      <c r="L1312" s="241"/>
      <c r="M1312" s="241"/>
      <c r="N1312" s="241"/>
      <c r="O1312" s="241"/>
      <c r="P1312" s="241"/>
      <c r="Q1312" s="241"/>
    </row>
    <row r="1313" spans="1:17" ht="13.5" customHeight="1" x14ac:dyDescent="0.3">
      <c r="A1313"/>
      <c r="B1313" s="241"/>
      <c r="C1313" s="241"/>
      <c r="D1313" s="241"/>
      <c r="E1313" s="241"/>
      <c r="F1313" s="241"/>
      <c r="G1313" s="241"/>
      <c r="H1313" s="241"/>
      <c r="I1313"/>
      <c r="J1313" s="241"/>
      <c r="K1313" s="241"/>
      <c r="L1313" s="241"/>
      <c r="M1313" s="241"/>
      <c r="N1313" s="241"/>
      <c r="O1313" s="241"/>
      <c r="P1313" s="241"/>
      <c r="Q1313" s="241"/>
    </row>
    <row r="1314" spans="1:17" ht="13.5" customHeight="1" x14ac:dyDescent="0.3">
      <c r="A1314"/>
      <c r="B1314" s="241"/>
      <c r="C1314" s="241"/>
      <c r="D1314" s="241"/>
      <c r="E1314" s="241"/>
      <c r="F1314" s="241"/>
      <c r="G1314" s="241"/>
      <c r="H1314" s="241"/>
      <c r="I1314"/>
      <c r="J1314" s="241"/>
      <c r="K1314" s="241"/>
      <c r="L1314" s="241"/>
      <c r="M1314" s="241"/>
      <c r="N1314" s="241"/>
      <c r="O1314" s="241"/>
      <c r="P1314" s="241"/>
      <c r="Q1314" s="241"/>
    </row>
    <row r="1315" spans="1:17" ht="13.5" customHeight="1" x14ac:dyDescent="0.3">
      <c r="A1315"/>
      <c r="B1315" s="241"/>
      <c r="C1315" s="241"/>
      <c r="D1315" s="241"/>
      <c r="E1315" s="241"/>
      <c r="F1315" s="241"/>
      <c r="G1315" s="241"/>
      <c r="H1315" s="241"/>
      <c r="I1315"/>
      <c r="J1315" s="241"/>
      <c r="K1315" s="241"/>
      <c r="L1315" s="241"/>
      <c r="M1315" s="241"/>
      <c r="N1315" s="241"/>
      <c r="O1315" s="241"/>
      <c r="P1315" s="241"/>
      <c r="Q1315" s="241"/>
    </row>
    <row r="1316" spans="1:17" ht="13.5" customHeight="1" x14ac:dyDescent="0.3">
      <c r="A1316"/>
      <c r="B1316" s="241"/>
      <c r="C1316" s="241"/>
      <c r="D1316" s="241"/>
      <c r="E1316" s="241"/>
      <c r="F1316" s="241"/>
      <c r="G1316" s="241"/>
      <c r="H1316" s="241"/>
      <c r="I1316"/>
      <c r="J1316" s="241"/>
      <c r="K1316" s="241"/>
      <c r="L1316" s="241"/>
      <c r="M1316" s="241"/>
      <c r="N1316" s="241"/>
      <c r="O1316" s="241"/>
      <c r="P1316" s="241"/>
      <c r="Q1316" s="241"/>
    </row>
    <row r="1317" spans="1:17" ht="13.5" customHeight="1" x14ac:dyDescent="0.3">
      <c r="A1317"/>
      <c r="B1317" s="241"/>
      <c r="C1317" s="241"/>
      <c r="D1317" s="241"/>
      <c r="E1317" s="241"/>
      <c r="F1317" s="241"/>
      <c r="G1317" s="241"/>
      <c r="H1317" s="241"/>
      <c r="I1317"/>
      <c r="J1317" s="241"/>
      <c r="K1317" s="241"/>
      <c r="L1317" s="241"/>
      <c r="M1317" s="241"/>
      <c r="N1317" s="241"/>
      <c r="O1317" s="241"/>
      <c r="P1317" s="241"/>
      <c r="Q1317" s="241"/>
    </row>
    <row r="1318" spans="1:17" ht="13.5" customHeight="1" x14ac:dyDescent="0.3">
      <c r="A1318"/>
      <c r="B1318" s="241"/>
      <c r="C1318" s="241"/>
      <c r="D1318" s="241"/>
      <c r="E1318" s="241"/>
      <c r="F1318" s="241"/>
      <c r="G1318" s="241"/>
      <c r="H1318" s="241"/>
      <c r="I1318"/>
      <c r="J1318" s="241"/>
      <c r="K1318" s="241"/>
      <c r="L1318" s="241"/>
      <c r="M1318" s="241"/>
      <c r="N1318" s="241"/>
      <c r="O1318" s="241"/>
      <c r="P1318" s="241"/>
      <c r="Q1318" s="241"/>
    </row>
    <row r="1319" spans="1:17" ht="13.5" customHeight="1" x14ac:dyDescent="0.3">
      <c r="A1319"/>
      <c r="B1319" s="241"/>
      <c r="C1319" s="241"/>
      <c r="D1319" s="241"/>
      <c r="E1319" s="241"/>
      <c r="F1319" s="241"/>
      <c r="G1319" s="241"/>
      <c r="H1319" s="241"/>
      <c r="I1319"/>
      <c r="J1319" s="241"/>
      <c r="K1319" s="241"/>
      <c r="L1319" s="241"/>
      <c r="M1319" s="241"/>
      <c r="N1319" s="241"/>
      <c r="O1319" s="241"/>
      <c r="P1319" s="241"/>
      <c r="Q1319" s="241"/>
    </row>
    <row r="1320" spans="1:17" ht="13.5" customHeight="1" x14ac:dyDescent="0.3">
      <c r="A1320"/>
      <c r="B1320" s="241"/>
      <c r="C1320" s="241"/>
      <c r="D1320" s="241"/>
      <c r="E1320" s="241"/>
      <c r="F1320" s="241"/>
      <c r="G1320" s="241"/>
      <c r="H1320" s="241"/>
      <c r="I1320"/>
      <c r="J1320" s="241"/>
      <c r="K1320" s="241"/>
      <c r="L1320" s="241"/>
      <c r="M1320" s="241"/>
      <c r="N1320" s="241"/>
      <c r="O1320" s="241"/>
      <c r="P1320" s="241"/>
      <c r="Q1320" s="241"/>
    </row>
    <row r="1321" spans="1:17" ht="13.5" customHeight="1" x14ac:dyDescent="0.3">
      <c r="A1321"/>
      <c r="B1321" s="241"/>
      <c r="C1321" s="241"/>
      <c r="D1321" s="241"/>
      <c r="E1321" s="241"/>
      <c r="F1321" s="241"/>
      <c r="G1321" s="241"/>
      <c r="H1321" s="241"/>
      <c r="I1321"/>
      <c r="J1321" s="241"/>
      <c r="K1321" s="241"/>
      <c r="L1321" s="241"/>
      <c r="M1321" s="241"/>
      <c r="N1321" s="241"/>
      <c r="O1321" s="241"/>
      <c r="P1321" s="241"/>
      <c r="Q1321" s="241"/>
    </row>
    <row r="1322" spans="1:17" ht="13.5" customHeight="1" x14ac:dyDescent="0.3">
      <c r="A1322"/>
      <c r="B1322" s="241"/>
      <c r="C1322" s="241"/>
      <c r="D1322" s="241"/>
      <c r="E1322" s="241"/>
      <c r="F1322" s="241"/>
      <c r="G1322" s="241"/>
      <c r="H1322" s="241"/>
      <c r="I1322"/>
      <c r="J1322" s="241"/>
      <c r="K1322" s="241"/>
      <c r="L1322" s="241"/>
      <c r="M1322" s="241"/>
      <c r="N1322" s="241"/>
      <c r="O1322" s="241"/>
      <c r="P1322" s="241"/>
      <c r="Q1322" s="241"/>
    </row>
    <row r="1323" spans="1:17" ht="13.5" customHeight="1" x14ac:dyDescent="0.3">
      <c r="A1323"/>
      <c r="B1323" s="241"/>
      <c r="C1323" s="241"/>
      <c r="D1323" s="241"/>
      <c r="E1323" s="241"/>
      <c r="F1323" s="241"/>
      <c r="G1323" s="241"/>
      <c r="H1323" s="241"/>
      <c r="I1323"/>
      <c r="J1323" s="241"/>
      <c r="K1323" s="241"/>
      <c r="L1323" s="241"/>
      <c r="M1323" s="241"/>
      <c r="N1323" s="241"/>
      <c r="O1323" s="241"/>
      <c r="P1323" s="241"/>
      <c r="Q1323" s="241"/>
    </row>
    <row r="1324" spans="1:17" ht="13.5" customHeight="1" x14ac:dyDescent="0.3">
      <c r="A1324"/>
      <c r="B1324" s="241"/>
      <c r="C1324" s="241"/>
      <c r="D1324" s="241"/>
      <c r="E1324" s="241"/>
      <c r="F1324" s="241"/>
      <c r="G1324" s="241"/>
      <c r="H1324" s="241"/>
      <c r="I1324"/>
      <c r="J1324" s="241"/>
      <c r="K1324" s="241"/>
      <c r="L1324" s="241"/>
      <c r="M1324" s="241"/>
      <c r="N1324" s="241"/>
      <c r="O1324" s="241"/>
      <c r="P1324" s="241"/>
      <c r="Q1324" s="241"/>
    </row>
    <row r="1325" spans="1:17" ht="13.5" customHeight="1" x14ac:dyDescent="0.3">
      <c r="A1325"/>
      <c r="B1325" s="241"/>
      <c r="C1325" s="241"/>
      <c r="D1325" s="241"/>
      <c r="E1325" s="241"/>
      <c r="F1325" s="241"/>
      <c r="G1325" s="241"/>
      <c r="H1325" s="241"/>
      <c r="I1325"/>
      <c r="J1325" s="241"/>
      <c r="K1325" s="241"/>
      <c r="L1325" s="241"/>
      <c r="M1325" s="241"/>
      <c r="N1325" s="241"/>
      <c r="O1325" s="241"/>
      <c r="P1325" s="241"/>
      <c r="Q1325" s="241"/>
    </row>
    <row r="1326" spans="1:17" ht="13.5" customHeight="1" x14ac:dyDescent="0.3">
      <c r="A1326"/>
      <c r="B1326" s="241"/>
      <c r="C1326" s="241"/>
      <c r="D1326" s="241"/>
      <c r="E1326" s="241"/>
      <c r="F1326" s="241"/>
      <c r="G1326" s="241"/>
      <c r="H1326" s="241"/>
      <c r="I1326"/>
      <c r="J1326" s="241"/>
      <c r="K1326" s="241"/>
      <c r="L1326" s="241"/>
      <c r="M1326" s="241"/>
      <c r="N1326" s="241"/>
      <c r="O1326" s="241"/>
      <c r="P1326" s="241"/>
      <c r="Q1326" s="241"/>
    </row>
    <row r="1327" spans="1:17" ht="13.5" customHeight="1" x14ac:dyDescent="0.3">
      <c r="A1327"/>
      <c r="B1327" s="241"/>
      <c r="C1327" s="241"/>
      <c r="D1327" s="241"/>
      <c r="E1327" s="241"/>
      <c r="F1327" s="241"/>
      <c r="G1327" s="241"/>
      <c r="H1327" s="241"/>
      <c r="I1327"/>
      <c r="J1327" s="241"/>
      <c r="K1327" s="241"/>
      <c r="L1327" s="241"/>
      <c r="M1327" s="241"/>
      <c r="N1327" s="241"/>
      <c r="O1327" s="241"/>
      <c r="P1327" s="241"/>
      <c r="Q1327" s="241"/>
    </row>
    <row r="1328" spans="1:17" ht="13.5" customHeight="1" x14ac:dyDescent="0.3">
      <c r="A1328"/>
      <c r="B1328" s="241"/>
      <c r="C1328" s="241"/>
      <c r="D1328" s="241"/>
      <c r="E1328" s="241"/>
      <c r="F1328" s="241"/>
      <c r="G1328" s="241"/>
      <c r="H1328" s="241"/>
      <c r="I1328"/>
      <c r="J1328" s="241"/>
      <c r="K1328" s="241"/>
      <c r="L1328" s="241"/>
      <c r="M1328" s="241"/>
      <c r="N1328" s="241"/>
      <c r="O1328" s="241"/>
      <c r="P1328" s="241"/>
      <c r="Q1328" s="241"/>
    </row>
    <row r="1329" spans="1:17" ht="13.5" customHeight="1" x14ac:dyDescent="0.3">
      <c r="A1329"/>
      <c r="B1329" s="241"/>
      <c r="C1329" s="241"/>
      <c r="D1329" s="241"/>
      <c r="E1329" s="241"/>
      <c r="F1329" s="241"/>
      <c r="G1329" s="241"/>
      <c r="H1329" s="241"/>
      <c r="I1329"/>
      <c r="J1329" s="241"/>
      <c r="K1329" s="241"/>
      <c r="L1329" s="241"/>
      <c r="M1329" s="241"/>
      <c r="N1329" s="241"/>
      <c r="O1329" s="241"/>
      <c r="P1329" s="241"/>
      <c r="Q1329" s="241"/>
    </row>
    <row r="1330" spans="1:17" ht="13.5" customHeight="1" x14ac:dyDescent="0.3">
      <c r="A1330"/>
      <c r="B1330" s="241"/>
      <c r="C1330" s="241"/>
      <c r="D1330" s="241"/>
      <c r="E1330" s="241"/>
      <c r="F1330" s="241"/>
      <c r="G1330" s="241"/>
      <c r="H1330" s="241"/>
      <c r="I1330"/>
      <c r="J1330" s="241"/>
      <c r="K1330" s="241"/>
      <c r="L1330" s="241"/>
      <c r="M1330" s="241"/>
      <c r="N1330" s="241"/>
      <c r="O1330" s="241"/>
      <c r="P1330" s="241"/>
      <c r="Q1330" s="241"/>
    </row>
    <row r="1331" spans="1:17" ht="13.5" customHeight="1" x14ac:dyDescent="0.3">
      <c r="A1331"/>
      <c r="B1331" s="241"/>
      <c r="C1331" s="241"/>
      <c r="D1331" s="241"/>
      <c r="E1331" s="241"/>
      <c r="F1331" s="241"/>
      <c r="G1331" s="241"/>
      <c r="H1331" s="241"/>
      <c r="I1331"/>
      <c r="J1331" s="241"/>
      <c r="K1331" s="241"/>
      <c r="L1331" s="241"/>
      <c r="M1331" s="241"/>
      <c r="N1331" s="241"/>
      <c r="O1331" s="241"/>
      <c r="P1331" s="241"/>
      <c r="Q1331" s="241"/>
    </row>
    <row r="1332" spans="1:17" ht="13.5" customHeight="1" x14ac:dyDescent="0.3">
      <c r="A1332"/>
      <c r="B1332" s="241"/>
      <c r="C1332" s="241"/>
      <c r="D1332" s="241"/>
      <c r="E1332" s="241"/>
      <c r="F1332" s="241"/>
      <c r="G1332" s="241"/>
      <c r="H1332" s="241"/>
      <c r="I1332"/>
      <c r="J1332" s="241"/>
      <c r="K1332" s="241"/>
      <c r="L1332" s="241"/>
      <c r="M1332" s="241"/>
      <c r="N1332" s="241"/>
      <c r="O1332" s="241"/>
      <c r="P1332" s="241"/>
      <c r="Q1332" s="241"/>
    </row>
    <row r="1333" spans="1:17" ht="13.5" customHeight="1" x14ac:dyDescent="0.3">
      <c r="A1333"/>
      <c r="B1333" s="241"/>
      <c r="C1333" s="241"/>
      <c r="D1333" s="241"/>
      <c r="E1333" s="241"/>
      <c r="F1333" s="241"/>
      <c r="G1333" s="241"/>
      <c r="H1333" s="241"/>
      <c r="I1333"/>
      <c r="J1333" s="241"/>
      <c r="K1333" s="241"/>
      <c r="L1333" s="241"/>
      <c r="M1333" s="241"/>
      <c r="N1333" s="241"/>
      <c r="O1333" s="241"/>
      <c r="P1333" s="241"/>
      <c r="Q1333" s="241"/>
    </row>
    <row r="1334" spans="1:17" ht="13.5" customHeight="1" x14ac:dyDescent="0.3">
      <c r="A1334"/>
      <c r="B1334" s="241"/>
      <c r="C1334" s="241"/>
      <c r="D1334" s="241"/>
      <c r="E1334" s="241"/>
      <c r="F1334" s="241"/>
      <c r="G1334" s="241"/>
      <c r="H1334" s="241"/>
      <c r="I1334"/>
      <c r="J1334" s="241"/>
      <c r="K1334" s="241"/>
      <c r="L1334" s="241"/>
      <c r="M1334" s="241"/>
      <c r="N1334" s="241"/>
      <c r="O1334" s="241"/>
      <c r="P1334" s="241"/>
      <c r="Q1334" s="241"/>
    </row>
    <row r="1335" spans="1:17" ht="13.5" customHeight="1" x14ac:dyDescent="0.3">
      <c r="A1335"/>
      <c r="B1335" s="241"/>
      <c r="C1335" s="241"/>
      <c r="D1335" s="241"/>
      <c r="E1335" s="241"/>
      <c r="F1335" s="241"/>
      <c r="G1335" s="241"/>
      <c r="H1335" s="241"/>
      <c r="I1335"/>
      <c r="J1335" s="241"/>
      <c r="K1335" s="241"/>
      <c r="L1335" s="241"/>
      <c r="M1335" s="241"/>
      <c r="N1335" s="241"/>
      <c r="O1335" s="241"/>
      <c r="P1335" s="241"/>
      <c r="Q1335" s="241"/>
    </row>
    <row r="1336" spans="1:17" ht="13.5" customHeight="1" x14ac:dyDescent="0.3">
      <c r="A1336"/>
      <c r="B1336" s="241"/>
      <c r="C1336" s="241"/>
      <c r="D1336" s="241"/>
      <c r="E1336" s="241"/>
      <c r="F1336" s="241"/>
      <c r="G1336" s="241"/>
      <c r="H1336" s="241"/>
      <c r="I1336"/>
      <c r="J1336" s="241"/>
      <c r="K1336" s="241"/>
      <c r="L1336" s="241"/>
      <c r="M1336" s="241"/>
      <c r="N1336" s="241"/>
      <c r="O1336" s="241"/>
      <c r="P1336" s="241"/>
      <c r="Q1336" s="241"/>
    </row>
    <row r="1337" spans="1:17" ht="13.5" customHeight="1" x14ac:dyDescent="0.3">
      <c r="A1337"/>
      <c r="B1337" s="241"/>
      <c r="C1337" s="241"/>
      <c r="D1337" s="241"/>
      <c r="E1337" s="241"/>
      <c r="F1337" s="241"/>
      <c r="G1337" s="241"/>
      <c r="H1337" s="241"/>
      <c r="I1337"/>
      <c r="J1337" s="241"/>
      <c r="K1337" s="241"/>
      <c r="L1337" s="241"/>
      <c r="M1337" s="241"/>
      <c r="N1337" s="241"/>
      <c r="O1337" s="241"/>
      <c r="P1337" s="241"/>
      <c r="Q1337" s="241"/>
    </row>
    <row r="1338" spans="1:17" ht="13.5" customHeight="1" x14ac:dyDescent="0.3">
      <c r="A1338"/>
      <c r="B1338" s="241"/>
      <c r="C1338" s="241"/>
      <c r="D1338" s="241"/>
      <c r="E1338" s="241"/>
      <c r="F1338" s="241"/>
      <c r="G1338" s="241"/>
      <c r="H1338" s="241"/>
      <c r="I1338"/>
      <c r="J1338" s="241"/>
      <c r="K1338" s="241"/>
      <c r="L1338" s="241"/>
      <c r="M1338" s="241"/>
      <c r="N1338" s="241"/>
      <c r="O1338" s="241"/>
      <c r="P1338" s="241"/>
      <c r="Q1338" s="241"/>
    </row>
    <row r="1339" spans="1:17" ht="13.5" customHeight="1" x14ac:dyDescent="0.3">
      <c r="A1339"/>
      <c r="B1339" s="241"/>
      <c r="C1339" s="241"/>
      <c r="D1339" s="241"/>
      <c r="E1339" s="241"/>
      <c r="F1339" s="241"/>
      <c r="G1339" s="241"/>
      <c r="H1339" s="241"/>
      <c r="I1339"/>
      <c r="J1339" s="241"/>
      <c r="K1339" s="241"/>
      <c r="L1339" s="241"/>
      <c r="M1339" s="241"/>
      <c r="N1339" s="241"/>
      <c r="O1339" s="241"/>
      <c r="P1339" s="241"/>
      <c r="Q1339" s="241"/>
    </row>
    <row r="1340" spans="1:17" ht="13.5" customHeight="1" x14ac:dyDescent="0.3">
      <c r="A1340"/>
      <c r="B1340" s="241"/>
      <c r="C1340" s="241"/>
      <c r="D1340" s="241"/>
      <c r="E1340" s="241"/>
      <c r="F1340" s="241"/>
      <c r="G1340" s="241"/>
      <c r="H1340" s="241"/>
      <c r="I1340"/>
      <c r="J1340" s="241"/>
      <c r="K1340" s="241"/>
      <c r="L1340" s="241"/>
      <c r="M1340" s="241"/>
      <c r="N1340" s="241"/>
      <c r="O1340" s="241"/>
      <c r="P1340" s="241"/>
      <c r="Q1340" s="241"/>
    </row>
    <row r="1341" spans="1:17" ht="13.5" customHeight="1" x14ac:dyDescent="0.3">
      <c r="A1341"/>
      <c r="B1341" s="241"/>
      <c r="C1341" s="241"/>
      <c r="D1341" s="241"/>
      <c r="E1341" s="241"/>
      <c r="F1341" s="241"/>
      <c r="G1341" s="241"/>
      <c r="H1341" s="241"/>
      <c r="I1341"/>
      <c r="J1341" s="241"/>
      <c r="K1341" s="241"/>
      <c r="L1341" s="241"/>
      <c r="M1341" s="241"/>
      <c r="N1341" s="241"/>
      <c r="O1341" s="241"/>
      <c r="P1341" s="241"/>
      <c r="Q1341" s="241"/>
    </row>
    <row r="1342" spans="1:17" ht="13.5" customHeight="1" x14ac:dyDescent="0.3">
      <c r="A1342"/>
      <c r="B1342" s="241"/>
      <c r="C1342" s="241"/>
      <c r="D1342" s="241"/>
      <c r="E1342" s="241"/>
      <c r="F1342" s="241"/>
      <c r="G1342" s="241"/>
      <c r="H1342" s="241"/>
      <c r="I1342"/>
      <c r="J1342" s="241"/>
      <c r="K1342" s="241"/>
      <c r="L1342" s="241"/>
      <c r="M1342" s="241"/>
      <c r="N1342" s="241"/>
      <c r="O1342" s="241"/>
      <c r="P1342" s="241"/>
      <c r="Q1342" s="241"/>
    </row>
    <row r="1343" spans="1:17" ht="13.5" customHeight="1" x14ac:dyDescent="0.3">
      <c r="A1343"/>
      <c r="B1343" s="241"/>
      <c r="C1343" s="241"/>
      <c r="D1343" s="241"/>
      <c r="E1343" s="241"/>
      <c r="F1343" s="241"/>
      <c r="G1343" s="241"/>
      <c r="H1343" s="241"/>
      <c r="I1343"/>
      <c r="J1343" s="241"/>
      <c r="K1343" s="241"/>
      <c r="L1343" s="241"/>
      <c r="M1343" s="241"/>
      <c r="N1343" s="241"/>
      <c r="O1343" s="241"/>
      <c r="P1343" s="241"/>
      <c r="Q1343" s="241"/>
    </row>
    <row r="1344" spans="1:17" ht="13.5" customHeight="1" x14ac:dyDescent="0.3">
      <c r="A1344"/>
      <c r="B1344" s="241"/>
      <c r="C1344" s="241"/>
      <c r="D1344" s="241"/>
      <c r="E1344" s="241"/>
      <c r="F1344" s="241"/>
      <c r="G1344" s="241"/>
      <c r="H1344" s="241"/>
      <c r="I1344"/>
      <c r="J1344" s="241"/>
      <c r="K1344" s="241"/>
      <c r="L1344" s="241"/>
      <c r="M1344" s="241"/>
      <c r="N1344" s="241"/>
      <c r="O1344" s="241"/>
      <c r="P1344" s="241"/>
      <c r="Q1344" s="241"/>
    </row>
    <row r="1345" spans="1:17" ht="13.5" customHeight="1" x14ac:dyDescent="0.3">
      <c r="A1345"/>
      <c r="B1345" s="241"/>
      <c r="C1345" s="241"/>
      <c r="D1345" s="241"/>
      <c r="E1345" s="241"/>
      <c r="F1345" s="241"/>
      <c r="G1345" s="241"/>
      <c r="H1345" s="241"/>
      <c r="I1345"/>
      <c r="J1345" s="241"/>
      <c r="K1345" s="241"/>
      <c r="L1345" s="241"/>
      <c r="M1345" s="241"/>
      <c r="N1345" s="241"/>
      <c r="O1345" s="241"/>
      <c r="P1345" s="241"/>
      <c r="Q1345" s="241"/>
    </row>
    <row r="1346" spans="1:17" ht="13.5" customHeight="1" x14ac:dyDescent="0.3">
      <c r="A1346"/>
      <c r="B1346" s="241"/>
      <c r="C1346" s="241"/>
      <c r="D1346" s="241"/>
      <c r="E1346" s="241"/>
      <c r="F1346" s="241"/>
      <c r="G1346" s="241"/>
      <c r="H1346" s="241"/>
      <c r="I1346"/>
      <c r="J1346" s="241"/>
      <c r="K1346" s="241"/>
      <c r="L1346" s="241"/>
      <c r="M1346" s="241"/>
      <c r="N1346" s="241"/>
      <c r="O1346" s="241"/>
      <c r="P1346" s="241"/>
      <c r="Q1346" s="241"/>
    </row>
    <row r="1347" spans="1:17" ht="13.5" customHeight="1" x14ac:dyDescent="0.3">
      <c r="A1347"/>
      <c r="B1347" s="241"/>
      <c r="C1347" s="241"/>
      <c r="D1347" s="241"/>
      <c r="E1347" s="241"/>
      <c r="F1347" s="241"/>
      <c r="G1347" s="241"/>
      <c r="H1347" s="241"/>
      <c r="I1347"/>
      <c r="J1347" s="241"/>
      <c r="K1347" s="241"/>
      <c r="L1347" s="241"/>
      <c r="M1347" s="241"/>
      <c r="N1347" s="241"/>
      <c r="O1347" s="241"/>
      <c r="P1347" s="241"/>
      <c r="Q1347" s="241"/>
    </row>
    <row r="1348" spans="1:17" ht="13.5" customHeight="1" x14ac:dyDescent="0.3">
      <c r="A1348"/>
      <c r="B1348" s="241"/>
      <c r="C1348" s="241"/>
      <c r="D1348" s="241"/>
      <c r="E1348" s="241"/>
      <c r="F1348" s="241"/>
      <c r="G1348" s="241"/>
      <c r="H1348" s="241"/>
      <c r="I1348"/>
      <c r="J1348" s="241"/>
      <c r="K1348" s="241"/>
      <c r="L1348" s="241"/>
      <c r="M1348" s="241"/>
      <c r="N1348" s="241"/>
      <c r="O1348" s="241"/>
      <c r="P1348" s="241"/>
      <c r="Q1348" s="241"/>
    </row>
    <row r="1349" spans="1:17" ht="13.5" customHeight="1" x14ac:dyDescent="0.3">
      <c r="A1349"/>
      <c r="B1349" s="241"/>
      <c r="C1349" s="241"/>
      <c r="D1349" s="241"/>
      <c r="E1349" s="241"/>
      <c r="F1349" s="241"/>
      <c r="G1349" s="241"/>
      <c r="H1349" s="241"/>
      <c r="I1349"/>
      <c r="J1349" s="241"/>
      <c r="K1349" s="241"/>
      <c r="L1349" s="241"/>
      <c r="M1349" s="241"/>
      <c r="N1349" s="241"/>
      <c r="O1349" s="241"/>
      <c r="P1349" s="241"/>
      <c r="Q1349" s="241"/>
    </row>
    <row r="1350" spans="1:17" ht="13.5" customHeight="1" x14ac:dyDescent="0.3">
      <c r="A1350"/>
      <c r="B1350" s="241"/>
      <c r="C1350" s="241"/>
      <c r="D1350" s="241"/>
      <c r="E1350" s="241"/>
      <c r="F1350" s="241"/>
      <c r="G1350" s="241"/>
      <c r="H1350" s="241"/>
      <c r="I1350"/>
      <c r="J1350" s="241"/>
      <c r="K1350" s="241"/>
      <c r="L1350" s="241"/>
      <c r="M1350" s="241"/>
      <c r="N1350" s="241"/>
      <c r="O1350" s="241"/>
      <c r="P1350" s="241"/>
      <c r="Q1350" s="241"/>
    </row>
    <row r="1351" spans="1:17" ht="13.5" customHeight="1" x14ac:dyDescent="0.3">
      <c r="A1351"/>
      <c r="B1351" s="241"/>
      <c r="C1351" s="241"/>
      <c r="D1351" s="241"/>
      <c r="E1351" s="241"/>
      <c r="F1351" s="241"/>
      <c r="G1351" s="241"/>
      <c r="H1351" s="241"/>
      <c r="I1351"/>
      <c r="J1351" s="241"/>
      <c r="K1351" s="241"/>
      <c r="L1351" s="241"/>
      <c r="M1351" s="241"/>
      <c r="N1351" s="241"/>
      <c r="O1351" s="241"/>
      <c r="P1351" s="241"/>
      <c r="Q1351" s="241"/>
    </row>
    <row r="1352" spans="1:17" ht="13.5" customHeight="1" x14ac:dyDescent="0.3">
      <c r="A1352"/>
      <c r="B1352" s="241"/>
      <c r="C1352" s="241"/>
      <c r="D1352" s="241"/>
      <c r="E1352" s="241"/>
      <c r="F1352" s="241"/>
      <c r="G1352" s="241"/>
      <c r="H1352" s="241"/>
      <c r="I1352"/>
      <c r="J1352" s="241"/>
      <c r="K1352" s="241"/>
      <c r="L1352" s="241"/>
      <c r="M1352" s="241"/>
      <c r="N1352" s="241"/>
      <c r="O1352" s="241"/>
      <c r="P1352" s="241"/>
      <c r="Q1352" s="241"/>
    </row>
    <row r="1353" spans="1:17" ht="13.5" customHeight="1" x14ac:dyDescent="0.3">
      <c r="A1353"/>
      <c r="B1353" s="241"/>
      <c r="C1353" s="241"/>
      <c r="D1353" s="241"/>
      <c r="E1353" s="241"/>
      <c r="F1353" s="241"/>
      <c r="G1353" s="241"/>
      <c r="H1353" s="241"/>
      <c r="I1353"/>
      <c r="J1353" s="241"/>
      <c r="K1353" s="241"/>
      <c r="L1353" s="241"/>
      <c r="M1353" s="241"/>
      <c r="N1353" s="241"/>
      <c r="O1353" s="241"/>
      <c r="P1353" s="241"/>
      <c r="Q1353" s="241"/>
    </row>
    <row r="1354" spans="1:17" ht="13.5" customHeight="1" x14ac:dyDescent="0.3">
      <c r="A1354"/>
      <c r="B1354" s="241"/>
      <c r="C1354" s="241"/>
      <c r="D1354" s="241"/>
      <c r="E1354" s="241"/>
      <c r="F1354" s="241"/>
      <c r="G1354" s="241"/>
      <c r="H1354" s="241"/>
      <c r="I1354"/>
      <c r="J1354" s="241"/>
      <c r="K1354" s="241"/>
      <c r="L1354" s="241"/>
      <c r="M1354" s="241"/>
      <c r="N1354" s="241"/>
      <c r="O1354" s="241"/>
      <c r="P1354" s="241"/>
      <c r="Q1354" s="241"/>
    </row>
    <row r="1355" spans="1:17" ht="13.5" customHeight="1" x14ac:dyDescent="0.3">
      <c r="A1355"/>
      <c r="B1355" s="241"/>
      <c r="C1355" s="241"/>
      <c r="D1355" s="241"/>
      <c r="E1355" s="241"/>
      <c r="F1355" s="241"/>
      <c r="G1355" s="241"/>
      <c r="H1355" s="241"/>
      <c r="I1355"/>
      <c r="J1355" s="241"/>
      <c r="K1355" s="241"/>
      <c r="L1355" s="241"/>
      <c r="M1355" s="241"/>
      <c r="N1355" s="241"/>
      <c r="O1355" s="241"/>
      <c r="P1355" s="241"/>
      <c r="Q1355" s="241"/>
    </row>
    <row r="1356" spans="1:17" ht="13.5" customHeight="1" x14ac:dyDescent="0.3">
      <c r="A1356"/>
      <c r="B1356" s="241"/>
      <c r="C1356" s="241"/>
      <c r="D1356" s="241"/>
      <c r="E1356" s="241"/>
      <c r="F1356" s="241"/>
      <c r="G1356" s="241"/>
      <c r="H1356" s="241"/>
      <c r="I1356"/>
      <c r="J1356" s="241"/>
      <c r="K1356" s="241"/>
      <c r="L1356" s="241"/>
      <c r="M1356" s="241"/>
      <c r="N1356" s="241"/>
      <c r="O1356" s="241"/>
      <c r="P1356" s="241"/>
      <c r="Q1356" s="241"/>
    </row>
    <row r="1357" spans="1:17" ht="13.5" customHeight="1" x14ac:dyDescent="0.3">
      <c r="A1357"/>
      <c r="B1357" s="241"/>
      <c r="C1357" s="241"/>
      <c r="D1357" s="241"/>
      <c r="E1357" s="241"/>
      <c r="F1357" s="241"/>
      <c r="G1357" s="241"/>
      <c r="H1357" s="241"/>
      <c r="I1357"/>
      <c r="J1357" s="241"/>
      <c r="K1357" s="241"/>
      <c r="L1357" s="241"/>
      <c r="M1357" s="241"/>
      <c r="N1357" s="241"/>
      <c r="O1357" s="241"/>
      <c r="P1357" s="241"/>
      <c r="Q1357" s="241"/>
    </row>
    <row r="1358" spans="1:17" ht="13.5" customHeight="1" x14ac:dyDescent="0.3">
      <c r="A1358"/>
      <c r="B1358" s="241"/>
      <c r="C1358" s="241"/>
      <c r="D1358" s="241"/>
      <c r="E1358" s="241"/>
      <c r="F1358" s="241"/>
      <c r="G1358" s="241"/>
      <c r="H1358" s="241"/>
      <c r="I1358"/>
      <c r="J1358" s="241"/>
      <c r="K1358" s="241"/>
      <c r="L1358" s="241"/>
      <c r="M1358" s="241"/>
      <c r="N1358" s="241"/>
      <c r="O1358" s="241"/>
      <c r="P1358" s="241"/>
      <c r="Q1358" s="241"/>
    </row>
    <row r="1359" spans="1:17" ht="13.5" customHeight="1" x14ac:dyDescent="0.3">
      <c r="A1359"/>
      <c r="B1359" s="241"/>
      <c r="C1359" s="241"/>
      <c r="D1359" s="241"/>
      <c r="E1359" s="241"/>
      <c r="F1359" s="241"/>
      <c r="G1359" s="241"/>
      <c r="H1359" s="241"/>
      <c r="I1359"/>
      <c r="J1359" s="241"/>
      <c r="K1359" s="241"/>
      <c r="L1359" s="241"/>
      <c r="M1359" s="241"/>
      <c r="N1359" s="241"/>
      <c r="O1359" s="241"/>
      <c r="P1359" s="241"/>
      <c r="Q1359" s="241"/>
    </row>
    <row r="1360" spans="1:17" ht="13.5" customHeight="1" x14ac:dyDescent="0.3">
      <c r="A1360"/>
      <c r="B1360" s="241"/>
      <c r="C1360" s="241"/>
      <c r="D1360" s="241"/>
      <c r="E1360" s="241"/>
      <c r="F1360" s="241"/>
      <c r="G1360" s="241"/>
      <c r="H1360" s="241"/>
      <c r="I1360"/>
      <c r="J1360" s="241"/>
      <c r="K1360" s="241"/>
      <c r="L1360" s="241"/>
      <c r="M1360" s="241"/>
      <c r="N1360" s="241"/>
      <c r="O1360" s="241"/>
      <c r="P1360" s="241"/>
      <c r="Q1360" s="241"/>
    </row>
    <row r="1361" spans="1:17" ht="13.5" customHeight="1" x14ac:dyDescent="0.3">
      <c r="A1361"/>
      <c r="B1361" s="241"/>
      <c r="C1361" s="241"/>
      <c r="D1361" s="241"/>
      <c r="E1361" s="241"/>
      <c r="F1361" s="241"/>
      <c r="G1361" s="241"/>
      <c r="H1361" s="241"/>
      <c r="I1361"/>
      <c r="J1361" s="241"/>
      <c r="K1361" s="241"/>
      <c r="L1361" s="241"/>
      <c r="M1361" s="241"/>
      <c r="N1361" s="241"/>
      <c r="O1361" s="241"/>
      <c r="P1361" s="241"/>
      <c r="Q1361" s="241"/>
    </row>
    <row r="1362" spans="1:17" ht="13.5" customHeight="1" x14ac:dyDescent="0.3">
      <c r="A1362"/>
      <c r="B1362" s="241"/>
      <c r="C1362" s="241"/>
      <c r="D1362" s="241"/>
      <c r="E1362" s="241"/>
      <c r="F1362" s="241"/>
      <c r="G1362" s="241"/>
      <c r="H1362" s="241"/>
      <c r="I1362"/>
      <c r="J1362" s="241"/>
      <c r="K1362" s="241"/>
      <c r="L1362" s="241"/>
      <c r="M1362" s="241"/>
      <c r="N1362" s="241"/>
      <c r="O1362" s="241"/>
      <c r="P1362" s="241"/>
      <c r="Q1362" s="241"/>
    </row>
    <row r="1363" spans="1:17" ht="13.5" customHeight="1" x14ac:dyDescent="0.3">
      <c r="A1363"/>
      <c r="B1363" s="241"/>
      <c r="C1363" s="241"/>
      <c r="D1363" s="241"/>
      <c r="E1363" s="241"/>
      <c r="F1363" s="241"/>
      <c r="G1363" s="241"/>
      <c r="H1363" s="241"/>
      <c r="I1363"/>
      <c r="J1363" s="241"/>
      <c r="K1363" s="241"/>
      <c r="L1363" s="241"/>
      <c r="M1363" s="241"/>
      <c r="N1363" s="241"/>
      <c r="O1363" s="241"/>
      <c r="P1363" s="241"/>
      <c r="Q1363" s="241"/>
    </row>
    <row r="1364" spans="1:17" ht="13.5" customHeight="1" x14ac:dyDescent="0.3">
      <c r="A1364"/>
      <c r="B1364" s="241"/>
      <c r="C1364" s="241"/>
      <c r="D1364" s="241"/>
      <c r="E1364" s="241"/>
      <c r="F1364" s="241"/>
      <c r="G1364" s="241"/>
      <c r="H1364" s="241"/>
      <c r="I1364"/>
      <c r="J1364" s="241"/>
      <c r="K1364" s="241"/>
      <c r="L1364" s="241"/>
      <c r="M1364" s="241"/>
      <c r="N1364" s="241"/>
      <c r="O1364" s="241"/>
      <c r="P1364" s="241"/>
      <c r="Q1364" s="241"/>
    </row>
    <row r="1365" spans="1:17" ht="13.5" customHeight="1" x14ac:dyDescent="0.3">
      <c r="A1365"/>
      <c r="B1365" s="241"/>
      <c r="C1365" s="241"/>
      <c r="D1365" s="241"/>
      <c r="E1365" s="241"/>
      <c r="F1365" s="241"/>
      <c r="G1365" s="241"/>
      <c r="H1365" s="241"/>
      <c r="I1365"/>
      <c r="J1365" s="241"/>
      <c r="K1365" s="241"/>
      <c r="L1365" s="241"/>
      <c r="M1365" s="241"/>
      <c r="N1365" s="241"/>
      <c r="O1365" s="241"/>
      <c r="P1365" s="241"/>
      <c r="Q1365" s="241"/>
    </row>
    <row r="1366" spans="1:17" ht="13.5" customHeight="1" x14ac:dyDescent="0.3">
      <c r="A1366"/>
      <c r="B1366" s="241"/>
      <c r="C1366" s="241"/>
      <c r="D1366" s="241"/>
      <c r="E1366" s="241"/>
      <c r="F1366" s="241"/>
      <c r="G1366" s="241"/>
      <c r="H1366" s="241"/>
      <c r="I1366"/>
      <c r="J1366" s="241"/>
      <c r="K1366" s="241"/>
      <c r="L1366" s="241"/>
      <c r="M1366" s="241"/>
      <c r="N1366" s="241"/>
      <c r="O1366" s="241"/>
      <c r="P1366" s="241"/>
      <c r="Q1366" s="241"/>
    </row>
    <row r="1367" spans="1:17" ht="13.5" customHeight="1" x14ac:dyDescent="0.3">
      <c r="A1367"/>
      <c r="B1367" s="241"/>
      <c r="C1367" s="241"/>
      <c r="D1367" s="241"/>
      <c r="E1367" s="241"/>
      <c r="F1367" s="241"/>
      <c r="G1367" s="241"/>
      <c r="H1367" s="241"/>
      <c r="I1367"/>
      <c r="J1367" s="241"/>
      <c r="K1367" s="241"/>
      <c r="L1367" s="241"/>
      <c r="M1367" s="241"/>
      <c r="N1367" s="241"/>
      <c r="O1367" s="241"/>
      <c r="P1367" s="241"/>
      <c r="Q1367" s="241"/>
    </row>
    <row r="1368" spans="1:17" ht="13.5" customHeight="1" x14ac:dyDescent="0.3">
      <c r="A1368"/>
      <c r="B1368" s="241"/>
      <c r="C1368" s="241"/>
      <c r="D1368" s="241"/>
      <c r="E1368" s="241"/>
      <c r="F1368" s="241"/>
      <c r="G1368" s="241"/>
      <c r="H1368" s="241"/>
      <c r="I1368"/>
      <c r="J1368" s="241"/>
      <c r="K1368" s="241"/>
      <c r="L1368" s="241"/>
      <c r="M1368" s="241"/>
      <c r="N1368" s="241"/>
      <c r="O1368" s="241"/>
      <c r="P1368" s="241"/>
      <c r="Q1368" s="241"/>
    </row>
    <row r="1369" spans="1:17" ht="13.5" customHeight="1" x14ac:dyDescent="0.3">
      <c r="A1369"/>
      <c r="B1369" s="241"/>
      <c r="C1369" s="241"/>
      <c r="D1369" s="241"/>
      <c r="E1369" s="241"/>
      <c r="F1369" s="241"/>
      <c r="G1369" s="241"/>
      <c r="H1369" s="241"/>
      <c r="I1369"/>
      <c r="J1369" s="241"/>
      <c r="K1369" s="241"/>
      <c r="L1369" s="241"/>
      <c r="M1369" s="241"/>
      <c r="N1369" s="241"/>
      <c r="O1369" s="241"/>
      <c r="P1369" s="241"/>
      <c r="Q1369" s="241"/>
    </row>
    <row r="1370" spans="1:17" ht="13.5" customHeight="1" x14ac:dyDescent="0.3">
      <c r="A1370"/>
      <c r="B1370" s="241"/>
      <c r="C1370" s="241"/>
      <c r="D1370" s="241"/>
      <c r="E1370" s="241"/>
      <c r="F1370" s="241"/>
      <c r="G1370" s="241"/>
      <c r="H1370" s="241"/>
      <c r="I1370"/>
      <c r="J1370" s="241"/>
      <c r="K1370" s="241"/>
      <c r="L1370" s="241"/>
      <c r="M1370" s="241"/>
      <c r="N1370" s="241"/>
      <c r="O1370" s="241"/>
      <c r="P1370" s="241"/>
      <c r="Q1370" s="241"/>
    </row>
    <row r="1371" spans="1:17" ht="13.5" customHeight="1" x14ac:dyDescent="0.3">
      <c r="A1371"/>
      <c r="B1371" s="241"/>
      <c r="C1371" s="241"/>
      <c r="D1371" s="241"/>
      <c r="E1371" s="241"/>
      <c r="F1371" s="241"/>
      <c r="G1371" s="241"/>
      <c r="H1371" s="241"/>
      <c r="I1371"/>
      <c r="J1371" s="241"/>
      <c r="K1371" s="241"/>
      <c r="L1371" s="241"/>
      <c r="M1371" s="241"/>
      <c r="N1371" s="241"/>
      <c r="O1371" s="241"/>
      <c r="P1371" s="241"/>
      <c r="Q1371" s="241"/>
    </row>
    <row r="1372" spans="1:17" ht="13.5" customHeight="1" x14ac:dyDescent="0.3">
      <c r="A1372"/>
      <c r="B1372" s="241"/>
      <c r="C1372" s="241"/>
      <c r="D1372" s="241"/>
      <c r="E1372" s="241"/>
      <c r="F1372" s="241"/>
      <c r="G1372" s="241"/>
      <c r="H1372" s="241"/>
      <c r="I1372"/>
      <c r="J1372" s="241"/>
      <c r="K1372" s="241"/>
      <c r="L1372" s="241"/>
      <c r="M1372" s="241"/>
      <c r="N1372" s="241"/>
      <c r="O1372" s="241"/>
      <c r="P1372" s="241"/>
      <c r="Q1372" s="241"/>
    </row>
    <row r="1373" spans="1:17" ht="13.5" customHeight="1" x14ac:dyDescent="0.3">
      <c r="A1373"/>
      <c r="B1373" s="241"/>
      <c r="C1373" s="241"/>
      <c r="D1373" s="241"/>
      <c r="E1373" s="241"/>
      <c r="F1373" s="241"/>
      <c r="G1373" s="241"/>
      <c r="H1373" s="241"/>
      <c r="I1373"/>
      <c r="J1373" s="241"/>
      <c r="K1373" s="241"/>
      <c r="L1373" s="241"/>
      <c r="M1373" s="241"/>
      <c r="N1373" s="241"/>
      <c r="O1373" s="241"/>
      <c r="P1373" s="241"/>
      <c r="Q1373" s="241"/>
    </row>
    <row r="1374" spans="1:17" ht="13.5" customHeight="1" x14ac:dyDescent="0.3">
      <c r="A1374"/>
      <c r="B1374" s="241"/>
      <c r="C1374" s="241"/>
      <c r="D1374" s="241"/>
      <c r="E1374" s="241"/>
      <c r="F1374" s="241"/>
      <c r="G1374" s="241"/>
      <c r="H1374" s="241"/>
      <c r="I1374"/>
      <c r="J1374" s="241"/>
      <c r="K1374" s="241"/>
      <c r="L1374" s="241"/>
      <c r="M1374" s="241"/>
      <c r="N1374" s="241"/>
      <c r="O1374" s="241"/>
      <c r="P1374" s="241"/>
      <c r="Q1374" s="241"/>
    </row>
    <row r="1375" spans="1:17" ht="13.5" customHeight="1" x14ac:dyDescent="0.3">
      <c r="A1375"/>
      <c r="B1375" s="241"/>
      <c r="C1375" s="241"/>
      <c r="D1375" s="241"/>
      <c r="E1375" s="241"/>
      <c r="F1375" s="241"/>
      <c r="G1375" s="241"/>
      <c r="H1375" s="241"/>
      <c r="I1375"/>
      <c r="J1375" s="241"/>
      <c r="K1375" s="241"/>
      <c r="L1375" s="241"/>
      <c r="M1375" s="241"/>
      <c r="N1375" s="241"/>
      <c r="O1375" s="241"/>
      <c r="P1375" s="241"/>
      <c r="Q1375" s="241"/>
    </row>
    <row r="1376" spans="1:17" ht="13.5" customHeight="1" x14ac:dyDescent="0.3">
      <c r="A1376"/>
      <c r="B1376" s="241"/>
      <c r="C1376" s="241"/>
      <c r="D1376" s="241"/>
      <c r="E1376" s="241"/>
      <c r="F1376" s="241"/>
      <c r="G1376" s="241"/>
      <c r="H1376" s="241"/>
      <c r="I1376"/>
      <c r="J1376" s="241"/>
      <c r="K1376" s="241"/>
      <c r="L1376" s="241"/>
      <c r="M1376" s="241"/>
      <c r="N1376" s="241"/>
      <c r="O1376" s="241"/>
      <c r="P1376" s="241"/>
      <c r="Q1376" s="241"/>
    </row>
    <row r="1377" spans="1:17" ht="13.5" customHeight="1" x14ac:dyDescent="0.3">
      <c r="A1377"/>
      <c r="B1377" s="241"/>
      <c r="C1377" s="241"/>
      <c r="D1377" s="241"/>
      <c r="E1377" s="241"/>
      <c r="F1377" s="241"/>
      <c r="G1377" s="241"/>
      <c r="H1377" s="241"/>
      <c r="I1377"/>
      <c r="J1377" s="241"/>
      <c r="K1377" s="241"/>
      <c r="L1377" s="241"/>
      <c r="M1377" s="241"/>
      <c r="N1377" s="241"/>
      <c r="O1377" s="241"/>
      <c r="P1377" s="241"/>
      <c r="Q1377" s="241"/>
    </row>
    <row r="1378" spans="1:17" ht="13.5" customHeight="1" x14ac:dyDescent="0.3">
      <c r="A1378"/>
      <c r="B1378" s="241"/>
      <c r="C1378" s="241"/>
      <c r="D1378" s="241"/>
      <c r="E1378" s="241"/>
      <c r="F1378" s="241"/>
      <c r="G1378" s="241"/>
      <c r="H1378" s="241"/>
      <c r="I1378"/>
      <c r="J1378" s="241"/>
      <c r="K1378" s="241"/>
      <c r="L1378" s="241"/>
      <c r="M1378" s="241"/>
      <c r="N1378" s="241"/>
      <c r="O1378" s="241"/>
      <c r="P1378" s="241"/>
      <c r="Q1378" s="241"/>
    </row>
    <row r="1379" spans="1:17" ht="13.5" customHeight="1" x14ac:dyDescent="0.3">
      <c r="A1379"/>
      <c r="B1379" s="241"/>
      <c r="C1379" s="241"/>
      <c r="D1379" s="241"/>
      <c r="E1379" s="241"/>
      <c r="F1379" s="241"/>
      <c r="G1379" s="241"/>
      <c r="H1379" s="241"/>
      <c r="I1379"/>
      <c r="J1379" s="241"/>
      <c r="K1379" s="241"/>
      <c r="L1379" s="241"/>
      <c r="M1379" s="241"/>
      <c r="N1379" s="241"/>
      <c r="O1379" s="241"/>
      <c r="P1379" s="241"/>
      <c r="Q1379" s="241"/>
    </row>
    <row r="1380" spans="1:17" ht="13.5" customHeight="1" x14ac:dyDescent="0.3">
      <c r="A1380"/>
      <c r="B1380" s="241"/>
      <c r="C1380" s="241"/>
      <c r="D1380" s="241"/>
      <c r="E1380" s="241"/>
      <c r="F1380" s="241"/>
      <c r="G1380" s="241"/>
      <c r="H1380" s="241"/>
      <c r="I1380"/>
      <c r="J1380" s="241"/>
      <c r="K1380" s="241"/>
      <c r="L1380" s="241"/>
      <c r="M1380" s="241"/>
      <c r="N1380" s="241"/>
      <c r="O1380" s="241"/>
      <c r="P1380" s="241"/>
      <c r="Q1380" s="241"/>
    </row>
    <row r="1381" spans="1:17" ht="13.5" customHeight="1" x14ac:dyDescent="0.3">
      <c r="A1381"/>
      <c r="B1381" s="241"/>
      <c r="C1381" s="241"/>
      <c r="D1381" s="241"/>
      <c r="E1381" s="241"/>
      <c r="F1381" s="241"/>
      <c r="G1381" s="241"/>
      <c r="H1381" s="241"/>
      <c r="I1381"/>
      <c r="J1381" s="241"/>
      <c r="K1381" s="241"/>
      <c r="L1381" s="241"/>
      <c r="M1381" s="241"/>
      <c r="N1381" s="241"/>
      <c r="O1381" s="241"/>
      <c r="P1381" s="241"/>
      <c r="Q1381" s="241"/>
    </row>
    <row r="1382" spans="1:17" ht="13.5" customHeight="1" x14ac:dyDescent="0.3">
      <c r="A1382"/>
      <c r="B1382" s="241"/>
      <c r="C1382" s="241"/>
      <c r="D1382" s="241"/>
      <c r="E1382" s="241"/>
      <c r="F1382" s="241"/>
      <c r="G1382" s="241"/>
      <c r="H1382" s="241"/>
      <c r="I1382"/>
      <c r="J1382" s="241"/>
      <c r="K1382" s="241"/>
      <c r="L1382" s="241"/>
      <c r="M1382" s="241"/>
      <c r="N1382" s="241"/>
      <c r="O1382" s="241"/>
      <c r="P1382" s="241"/>
      <c r="Q1382" s="241"/>
    </row>
    <row r="1383" spans="1:17" ht="13.5" customHeight="1" x14ac:dyDescent="0.3">
      <c r="A1383"/>
      <c r="B1383" s="241"/>
      <c r="C1383" s="241"/>
      <c r="D1383" s="241"/>
      <c r="E1383" s="241"/>
      <c r="F1383" s="241"/>
      <c r="G1383" s="241"/>
      <c r="H1383" s="241"/>
      <c r="I1383"/>
      <c r="J1383" s="241"/>
      <c r="K1383" s="241"/>
      <c r="L1383" s="241"/>
      <c r="M1383" s="241"/>
      <c r="N1383" s="241"/>
      <c r="O1383" s="241"/>
      <c r="P1383" s="241"/>
      <c r="Q1383" s="241"/>
    </row>
    <row r="1384" spans="1:17" ht="13.5" customHeight="1" x14ac:dyDescent="0.3">
      <c r="A1384"/>
      <c r="B1384" s="241"/>
      <c r="C1384" s="241"/>
      <c r="D1384" s="241"/>
      <c r="E1384" s="241"/>
      <c r="F1384" s="241"/>
      <c r="G1384" s="241"/>
      <c r="H1384" s="241"/>
      <c r="I1384"/>
      <c r="J1384" s="241"/>
      <c r="K1384" s="241"/>
      <c r="L1384" s="241"/>
      <c r="M1384" s="241"/>
      <c r="N1384" s="241"/>
      <c r="O1384" s="241"/>
      <c r="P1384" s="241"/>
      <c r="Q1384" s="241"/>
    </row>
    <row r="1385" spans="1:17" ht="13.5" customHeight="1" x14ac:dyDescent="0.3">
      <c r="A1385"/>
      <c r="B1385" s="241"/>
      <c r="C1385" s="241"/>
      <c r="D1385" s="241"/>
      <c r="E1385" s="241"/>
      <c r="F1385" s="241"/>
      <c r="G1385" s="241"/>
      <c r="H1385" s="241"/>
      <c r="I1385"/>
      <c r="J1385" s="241"/>
      <c r="K1385" s="241"/>
      <c r="L1385" s="241"/>
      <c r="M1385" s="241"/>
      <c r="N1385" s="241"/>
      <c r="O1385" s="241"/>
      <c r="P1385" s="241"/>
      <c r="Q1385" s="241"/>
    </row>
    <row r="1386" spans="1:17" ht="13.5" customHeight="1" x14ac:dyDescent="0.3">
      <c r="A1386"/>
      <c r="B1386" s="241"/>
      <c r="C1386" s="241"/>
      <c r="D1386" s="241"/>
      <c r="E1386" s="241"/>
      <c r="F1386" s="241"/>
      <c r="G1386" s="241"/>
      <c r="H1386" s="241"/>
      <c r="I1386"/>
      <c r="J1386" s="241"/>
      <c r="K1386" s="241"/>
      <c r="L1386" s="241"/>
      <c r="M1386" s="241"/>
      <c r="N1386" s="241"/>
      <c r="O1386" s="241"/>
      <c r="P1386" s="241"/>
      <c r="Q1386" s="241"/>
    </row>
    <row r="1387" spans="1:17" ht="13.5" customHeight="1" x14ac:dyDescent="0.3">
      <c r="A1387"/>
      <c r="B1387" s="241"/>
      <c r="C1387" s="241"/>
      <c r="D1387" s="241"/>
      <c r="E1387" s="241"/>
      <c r="F1387" s="241"/>
      <c r="G1387" s="241"/>
      <c r="H1387" s="241"/>
      <c r="I1387"/>
      <c r="J1387" s="241"/>
      <c r="K1387" s="241"/>
      <c r="L1387" s="241"/>
      <c r="M1387" s="241"/>
      <c r="N1387" s="241"/>
      <c r="O1387" s="241"/>
      <c r="P1387" s="241"/>
      <c r="Q1387" s="241"/>
    </row>
    <row r="1388" spans="1:17" ht="13.5" customHeight="1" x14ac:dyDescent="0.3">
      <c r="A1388"/>
      <c r="B1388" s="241"/>
      <c r="C1388" s="241"/>
      <c r="D1388" s="241"/>
      <c r="E1388" s="241"/>
      <c r="F1388" s="241"/>
      <c r="G1388" s="241"/>
      <c r="H1388" s="241"/>
      <c r="I1388"/>
      <c r="J1388" s="241"/>
      <c r="K1388" s="241"/>
      <c r="L1388" s="241"/>
      <c r="M1388" s="241"/>
      <c r="N1388" s="241"/>
      <c r="O1388" s="241"/>
      <c r="P1388" s="241"/>
      <c r="Q1388" s="241"/>
    </row>
    <row r="1389" spans="1:17" ht="13.5" customHeight="1" x14ac:dyDescent="0.3">
      <c r="A1389"/>
      <c r="B1389" s="241"/>
      <c r="C1389" s="241"/>
      <c r="D1389" s="241"/>
      <c r="E1389" s="241"/>
      <c r="F1389" s="241"/>
      <c r="G1389" s="241"/>
      <c r="H1389" s="241"/>
      <c r="I1389"/>
      <c r="J1389" s="241"/>
      <c r="K1389" s="241"/>
      <c r="L1389" s="241"/>
      <c r="M1389" s="241"/>
      <c r="N1389" s="241"/>
      <c r="O1389" s="241"/>
      <c r="P1389" s="241"/>
      <c r="Q1389" s="241"/>
    </row>
    <row r="1390" spans="1:17" ht="13.5" customHeight="1" x14ac:dyDescent="0.3">
      <c r="A1390"/>
      <c r="B1390" s="241"/>
      <c r="C1390" s="241"/>
      <c r="D1390" s="241"/>
      <c r="E1390" s="241"/>
      <c r="F1390" s="241"/>
      <c r="G1390" s="241"/>
      <c r="H1390" s="241"/>
      <c r="I1390"/>
      <c r="J1390" s="241"/>
      <c r="K1390" s="241"/>
      <c r="L1390" s="241"/>
      <c r="M1390" s="241"/>
      <c r="N1390" s="241"/>
      <c r="O1390" s="241"/>
      <c r="P1390" s="241"/>
      <c r="Q1390" s="241"/>
    </row>
    <row r="1391" spans="1:17" ht="13.5" customHeight="1" x14ac:dyDescent="0.3">
      <c r="A1391"/>
      <c r="B1391" s="241"/>
      <c r="C1391" s="241"/>
      <c r="D1391" s="241"/>
      <c r="E1391" s="241"/>
      <c r="F1391" s="241"/>
      <c r="G1391" s="241"/>
      <c r="H1391" s="241"/>
      <c r="I1391"/>
      <c r="J1391" s="241"/>
      <c r="K1391" s="241"/>
      <c r="L1391" s="241"/>
      <c r="M1391" s="241"/>
      <c r="N1391" s="241"/>
      <c r="O1391" s="241"/>
      <c r="P1391" s="241"/>
      <c r="Q1391" s="241"/>
    </row>
    <row r="1392" spans="1:17" ht="13.5" customHeight="1" x14ac:dyDescent="0.3">
      <c r="A1392"/>
      <c r="B1392" s="241"/>
      <c r="C1392" s="241"/>
      <c r="D1392" s="241"/>
      <c r="E1392" s="241"/>
      <c r="F1392" s="241"/>
      <c r="G1392" s="241"/>
      <c r="H1392" s="241"/>
      <c r="I1392"/>
      <c r="J1392" s="241"/>
      <c r="K1392" s="241"/>
      <c r="L1392" s="241"/>
      <c r="M1392" s="241"/>
      <c r="N1392" s="241"/>
      <c r="O1392" s="241"/>
      <c r="P1392" s="241"/>
      <c r="Q1392" s="241"/>
    </row>
    <row r="1393" spans="1:17" ht="13.5" customHeight="1" x14ac:dyDescent="0.3">
      <c r="A1393"/>
      <c r="B1393" s="241"/>
      <c r="C1393" s="241"/>
      <c r="D1393" s="241"/>
      <c r="E1393" s="241"/>
      <c r="F1393" s="241"/>
      <c r="G1393" s="241"/>
      <c r="H1393" s="241"/>
      <c r="I1393"/>
      <c r="J1393" s="241"/>
      <c r="K1393" s="241"/>
      <c r="L1393" s="241"/>
      <c r="M1393" s="241"/>
      <c r="N1393" s="241"/>
      <c r="O1393" s="241"/>
      <c r="P1393" s="241"/>
      <c r="Q1393" s="241"/>
    </row>
    <row r="1394" spans="1:17" ht="13.5" customHeight="1" x14ac:dyDescent="0.3">
      <c r="A1394"/>
      <c r="B1394" s="241"/>
      <c r="C1394" s="241"/>
      <c r="D1394" s="241"/>
      <c r="E1394" s="241"/>
      <c r="F1394" s="241"/>
      <c r="G1394" s="241"/>
      <c r="H1394" s="241"/>
      <c r="I1394"/>
      <c r="J1394" s="241"/>
      <c r="K1394" s="241"/>
      <c r="L1394" s="241"/>
      <c r="M1394" s="241"/>
      <c r="N1394" s="241"/>
      <c r="O1394" s="241"/>
      <c r="P1394" s="241"/>
      <c r="Q1394" s="241"/>
    </row>
    <row r="1395" spans="1:17" ht="13.5" customHeight="1" x14ac:dyDescent="0.3">
      <c r="A1395"/>
      <c r="B1395" s="241"/>
      <c r="C1395" s="241"/>
      <c r="D1395" s="241"/>
      <c r="E1395" s="241"/>
      <c r="F1395" s="241"/>
      <c r="G1395" s="241"/>
      <c r="H1395" s="241"/>
      <c r="I1395"/>
      <c r="J1395" s="241"/>
      <c r="K1395" s="241"/>
      <c r="L1395" s="241"/>
      <c r="M1395" s="241"/>
      <c r="N1395" s="241"/>
      <c r="O1395" s="241"/>
      <c r="P1395" s="241"/>
      <c r="Q1395" s="241"/>
    </row>
    <row r="1396" spans="1:17" ht="13.5" customHeight="1" x14ac:dyDescent="0.3">
      <c r="A1396"/>
      <c r="B1396" s="241"/>
      <c r="C1396" s="241"/>
      <c r="D1396" s="241"/>
      <c r="E1396" s="241"/>
      <c r="F1396" s="241"/>
      <c r="G1396" s="241"/>
      <c r="H1396" s="241"/>
      <c r="I1396"/>
      <c r="J1396" s="241"/>
      <c r="K1396" s="241"/>
      <c r="L1396" s="241"/>
      <c r="M1396" s="241"/>
      <c r="N1396" s="241"/>
      <c r="O1396" s="241"/>
      <c r="P1396" s="241"/>
      <c r="Q1396" s="241"/>
    </row>
    <row r="1397" spans="1:17" ht="13.5" customHeight="1" x14ac:dyDescent="0.3">
      <c r="A1397"/>
      <c r="B1397" s="241"/>
      <c r="C1397" s="241"/>
      <c r="D1397" s="241"/>
      <c r="E1397" s="241"/>
      <c r="F1397" s="241"/>
      <c r="G1397" s="241"/>
      <c r="H1397" s="241"/>
      <c r="I1397"/>
      <c r="J1397" s="241"/>
      <c r="K1397" s="241"/>
      <c r="L1397" s="241"/>
      <c r="M1397" s="241"/>
      <c r="N1397" s="241"/>
      <c r="O1397" s="241"/>
      <c r="P1397" s="241"/>
      <c r="Q1397" s="241"/>
    </row>
    <row r="1398" spans="1:17" ht="13.5" customHeight="1" x14ac:dyDescent="0.3">
      <c r="A1398"/>
      <c r="B1398" s="241"/>
      <c r="C1398" s="241"/>
      <c r="D1398" s="241"/>
      <c r="E1398" s="241"/>
      <c r="F1398" s="241"/>
      <c r="G1398" s="241"/>
      <c r="H1398" s="241"/>
      <c r="I1398"/>
      <c r="J1398" s="241"/>
      <c r="K1398" s="241"/>
      <c r="L1398" s="241"/>
      <c r="M1398" s="241"/>
      <c r="N1398" s="241"/>
      <c r="O1398" s="241"/>
      <c r="P1398" s="241"/>
      <c r="Q1398" s="241"/>
    </row>
    <row r="1399" spans="1:17" ht="13.5" customHeight="1" x14ac:dyDescent="0.3">
      <c r="A1399"/>
      <c r="B1399" s="241"/>
      <c r="C1399" s="241"/>
      <c r="D1399" s="241"/>
      <c r="E1399" s="241"/>
      <c r="F1399" s="241"/>
      <c r="G1399" s="241"/>
      <c r="H1399" s="241"/>
      <c r="I1399"/>
      <c r="J1399" s="241"/>
      <c r="K1399" s="241"/>
      <c r="L1399" s="241"/>
      <c r="M1399" s="241"/>
      <c r="N1399" s="241"/>
      <c r="O1399" s="241"/>
      <c r="P1399" s="241"/>
      <c r="Q1399" s="241"/>
    </row>
    <row r="1400" spans="1:17" ht="13.5" customHeight="1" x14ac:dyDescent="0.3">
      <c r="A1400"/>
      <c r="B1400" s="241"/>
      <c r="C1400" s="241"/>
      <c r="D1400" s="241"/>
      <c r="E1400" s="241"/>
      <c r="F1400" s="241"/>
      <c r="G1400" s="241"/>
      <c r="H1400" s="241"/>
      <c r="I1400"/>
      <c r="J1400" s="241"/>
      <c r="K1400" s="241"/>
      <c r="L1400" s="241"/>
      <c r="M1400" s="241"/>
      <c r="N1400" s="241"/>
      <c r="O1400" s="241"/>
      <c r="P1400" s="241"/>
      <c r="Q1400" s="241"/>
    </row>
    <row r="1401" spans="1:17" ht="13.5" customHeight="1" x14ac:dyDescent="0.3">
      <c r="A1401"/>
      <c r="B1401" s="241"/>
      <c r="C1401" s="241"/>
      <c r="D1401" s="241"/>
      <c r="E1401" s="241"/>
      <c r="F1401" s="241"/>
      <c r="G1401" s="241"/>
      <c r="H1401" s="241"/>
      <c r="I1401"/>
      <c r="J1401" s="241"/>
      <c r="K1401" s="241"/>
      <c r="L1401" s="241"/>
      <c r="M1401" s="241"/>
      <c r="N1401" s="241"/>
      <c r="O1401" s="241"/>
      <c r="P1401" s="241"/>
      <c r="Q1401" s="241"/>
    </row>
    <row r="1402" spans="1:17" ht="13.5" customHeight="1" x14ac:dyDescent="0.3">
      <c r="A1402"/>
      <c r="B1402" s="241"/>
      <c r="C1402" s="241"/>
      <c r="D1402" s="241"/>
      <c r="E1402" s="241"/>
      <c r="F1402" s="241"/>
      <c r="G1402" s="241"/>
      <c r="H1402" s="241"/>
      <c r="I1402"/>
      <c r="J1402" s="241"/>
      <c r="K1402" s="241"/>
      <c r="L1402" s="241"/>
      <c r="M1402" s="241"/>
      <c r="N1402" s="241"/>
      <c r="O1402" s="241"/>
      <c r="P1402" s="241"/>
      <c r="Q1402" s="241"/>
    </row>
    <row r="1403" spans="1:17" ht="13.5" customHeight="1" x14ac:dyDescent="0.3">
      <c r="A1403"/>
      <c r="B1403" s="241"/>
      <c r="C1403" s="241"/>
      <c r="D1403" s="241"/>
      <c r="E1403" s="241"/>
      <c r="F1403" s="241"/>
      <c r="G1403" s="241"/>
      <c r="H1403" s="241"/>
      <c r="I1403"/>
      <c r="J1403" s="241"/>
      <c r="K1403" s="241"/>
      <c r="L1403" s="241"/>
      <c r="M1403" s="241"/>
      <c r="N1403" s="241"/>
      <c r="O1403" s="241"/>
      <c r="P1403" s="241"/>
      <c r="Q1403" s="241"/>
    </row>
    <row r="1404" spans="1:17" ht="13.5" customHeight="1" x14ac:dyDescent="0.3">
      <c r="A1404"/>
      <c r="B1404" s="241"/>
      <c r="C1404" s="241"/>
      <c r="D1404" s="241"/>
      <c r="E1404" s="241"/>
      <c r="F1404" s="241"/>
      <c r="G1404" s="241"/>
      <c r="H1404" s="241"/>
      <c r="I1404"/>
      <c r="J1404" s="241"/>
      <c r="K1404" s="241"/>
      <c r="L1404" s="241"/>
      <c r="M1404" s="241"/>
      <c r="N1404" s="241"/>
      <c r="O1404" s="241"/>
      <c r="P1404" s="241"/>
      <c r="Q1404" s="241"/>
    </row>
    <row r="1405" spans="1:17" ht="13.5" customHeight="1" x14ac:dyDescent="0.3">
      <c r="A1405"/>
      <c r="B1405" s="241"/>
      <c r="C1405" s="241"/>
      <c r="D1405" s="241"/>
      <c r="E1405" s="241"/>
      <c r="F1405" s="241"/>
      <c r="G1405" s="241"/>
      <c r="H1405" s="241"/>
      <c r="I1405"/>
      <c r="J1405" s="241"/>
      <c r="K1405" s="241"/>
      <c r="L1405" s="241"/>
      <c r="M1405" s="241"/>
      <c r="N1405" s="241"/>
      <c r="O1405" s="241"/>
      <c r="P1405" s="241"/>
      <c r="Q1405" s="241"/>
    </row>
    <row r="1406" spans="1:17" ht="13.5" customHeight="1" x14ac:dyDescent="0.3">
      <c r="A1406"/>
      <c r="B1406" s="241"/>
      <c r="C1406" s="241"/>
      <c r="D1406" s="241"/>
      <c r="E1406" s="241"/>
      <c r="F1406" s="241"/>
      <c r="G1406" s="241"/>
      <c r="H1406" s="241"/>
      <c r="I1406"/>
      <c r="J1406" s="241"/>
      <c r="K1406" s="241"/>
      <c r="L1406" s="241"/>
      <c r="M1406" s="241"/>
      <c r="N1406" s="241"/>
      <c r="O1406" s="241"/>
      <c r="P1406" s="241"/>
      <c r="Q1406" s="241"/>
    </row>
    <row r="1407" spans="1:17" ht="13.5" customHeight="1" x14ac:dyDescent="0.3">
      <c r="A1407"/>
      <c r="B1407" s="241"/>
      <c r="C1407" s="241"/>
      <c r="D1407" s="241"/>
      <c r="E1407" s="241"/>
      <c r="F1407" s="241"/>
      <c r="G1407" s="241"/>
      <c r="H1407" s="241"/>
      <c r="I1407"/>
      <c r="J1407" s="241"/>
      <c r="K1407" s="241"/>
      <c r="L1407" s="241"/>
      <c r="M1407" s="241"/>
      <c r="N1407" s="241"/>
      <c r="O1407" s="241"/>
      <c r="P1407" s="241"/>
      <c r="Q1407" s="241"/>
    </row>
    <row r="1408" spans="1:17" ht="13.5" customHeight="1" x14ac:dyDescent="0.3">
      <c r="A1408"/>
      <c r="B1408" s="241"/>
      <c r="C1408" s="241"/>
      <c r="D1408" s="241"/>
      <c r="E1408" s="241"/>
      <c r="F1408" s="241"/>
      <c r="G1408" s="241"/>
      <c r="H1408" s="241"/>
      <c r="I1408"/>
      <c r="J1408" s="241"/>
      <c r="K1408" s="241"/>
      <c r="L1408" s="241"/>
      <c r="M1408" s="241"/>
      <c r="N1408" s="241"/>
      <c r="O1408" s="241"/>
      <c r="P1408" s="241"/>
      <c r="Q1408" s="241"/>
    </row>
    <row r="1409" spans="1:17" ht="13.5" customHeight="1" x14ac:dyDescent="0.3">
      <c r="A1409"/>
      <c r="B1409" s="241"/>
      <c r="C1409" s="241"/>
      <c r="D1409" s="241"/>
      <c r="E1409" s="241"/>
      <c r="F1409" s="241"/>
      <c r="G1409" s="241"/>
      <c r="H1409" s="241"/>
      <c r="I1409"/>
      <c r="J1409" s="241"/>
      <c r="K1409" s="241"/>
      <c r="L1409" s="241"/>
      <c r="M1409" s="241"/>
      <c r="N1409" s="241"/>
      <c r="O1409" s="241"/>
      <c r="P1409" s="241"/>
      <c r="Q1409" s="241"/>
    </row>
    <row r="1410" spans="1:17" ht="13.5" customHeight="1" x14ac:dyDescent="0.3">
      <c r="A1410"/>
      <c r="B1410" s="241"/>
      <c r="C1410" s="241"/>
      <c r="D1410" s="241"/>
      <c r="E1410" s="241"/>
      <c r="F1410" s="241"/>
      <c r="G1410" s="241"/>
      <c r="H1410" s="241"/>
      <c r="I1410"/>
      <c r="J1410" s="241"/>
      <c r="K1410" s="241"/>
      <c r="L1410" s="241"/>
      <c r="M1410" s="241"/>
      <c r="N1410" s="241"/>
      <c r="O1410" s="241"/>
      <c r="P1410" s="241"/>
      <c r="Q1410" s="241"/>
    </row>
    <row r="1411" spans="1:17" ht="13.5" customHeight="1" x14ac:dyDescent="0.3">
      <c r="A1411"/>
      <c r="B1411" s="241"/>
      <c r="C1411" s="241"/>
      <c r="D1411" s="241"/>
      <c r="E1411" s="241"/>
      <c r="F1411" s="241"/>
      <c r="G1411" s="241"/>
      <c r="H1411" s="241"/>
      <c r="I1411"/>
      <c r="J1411" s="241"/>
      <c r="K1411" s="241"/>
      <c r="L1411" s="241"/>
      <c r="M1411" s="241"/>
      <c r="N1411" s="241"/>
      <c r="O1411" s="241"/>
      <c r="P1411" s="241"/>
      <c r="Q1411" s="241"/>
    </row>
    <row r="1412" spans="1:17" ht="13.5" customHeight="1" x14ac:dyDescent="0.3">
      <c r="A1412"/>
      <c r="B1412" s="241"/>
      <c r="C1412" s="241"/>
      <c r="D1412" s="241"/>
      <c r="E1412" s="241"/>
      <c r="F1412" s="241"/>
      <c r="G1412" s="241"/>
      <c r="H1412" s="241"/>
      <c r="I1412"/>
      <c r="J1412" s="241"/>
      <c r="K1412" s="241"/>
      <c r="L1412" s="241"/>
      <c r="M1412" s="241"/>
      <c r="N1412" s="241"/>
      <c r="O1412" s="241"/>
      <c r="P1412" s="241"/>
      <c r="Q1412" s="241"/>
    </row>
    <row r="1413" spans="1:17" ht="13.5" customHeight="1" x14ac:dyDescent="0.3">
      <c r="A1413"/>
      <c r="B1413" s="241"/>
      <c r="C1413" s="241"/>
      <c r="D1413" s="241"/>
      <c r="E1413" s="241"/>
      <c r="F1413" s="241"/>
      <c r="G1413" s="241"/>
      <c r="H1413" s="241"/>
      <c r="I1413"/>
      <c r="J1413" s="241"/>
      <c r="K1413" s="241"/>
      <c r="L1413" s="241"/>
      <c r="M1413" s="241"/>
      <c r="N1413" s="241"/>
      <c r="O1413" s="241"/>
      <c r="P1413" s="241"/>
      <c r="Q1413" s="241"/>
    </row>
    <row r="1414" spans="1:17" ht="13.5" customHeight="1" x14ac:dyDescent="0.3">
      <c r="A1414"/>
      <c r="B1414" s="241"/>
      <c r="C1414" s="241"/>
      <c r="D1414" s="241"/>
      <c r="E1414" s="241"/>
      <c r="F1414" s="241"/>
      <c r="G1414" s="241"/>
      <c r="H1414" s="241"/>
      <c r="I1414"/>
      <c r="J1414" s="241"/>
      <c r="K1414" s="241"/>
      <c r="L1414" s="241"/>
      <c r="M1414" s="241"/>
      <c r="N1414" s="241"/>
      <c r="O1414" s="241"/>
      <c r="P1414" s="241"/>
      <c r="Q1414" s="241"/>
    </row>
    <row r="1415" spans="1:17" ht="13.5" customHeight="1" x14ac:dyDescent="0.3">
      <c r="A1415"/>
      <c r="B1415" s="241"/>
      <c r="C1415" s="241"/>
      <c r="D1415" s="241"/>
      <c r="E1415" s="241"/>
      <c r="F1415" s="241"/>
      <c r="G1415" s="241"/>
      <c r="H1415" s="241"/>
      <c r="I1415"/>
      <c r="J1415" s="241"/>
      <c r="K1415" s="241"/>
      <c r="L1415" s="241"/>
      <c r="M1415" s="241"/>
      <c r="N1415" s="241"/>
      <c r="O1415" s="241"/>
      <c r="P1415" s="241"/>
      <c r="Q1415" s="241"/>
    </row>
    <row r="1416" spans="1:17" ht="13.5" customHeight="1" x14ac:dyDescent="0.3">
      <c r="A1416"/>
      <c r="B1416" s="241"/>
      <c r="C1416" s="241"/>
      <c r="D1416" s="241"/>
      <c r="E1416" s="241"/>
      <c r="F1416" s="241"/>
      <c r="G1416" s="241"/>
      <c r="H1416" s="241"/>
      <c r="I1416"/>
      <c r="J1416" s="241"/>
      <c r="K1416" s="241"/>
      <c r="L1416" s="241"/>
      <c r="M1416" s="241"/>
      <c r="N1416" s="241"/>
      <c r="O1416" s="241"/>
      <c r="P1416" s="241"/>
      <c r="Q1416" s="241"/>
    </row>
    <row r="1417" spans="1:17" ht="13.5" customHeight="1" x14ac:dyDescent="0.3">
      <c r="A1417"/>
      <c r="B1417" s="241"/>
      <c r="C1417" s="241"/>
      <c r="D1417" s="241"/>
      <c r="E1417" s="241"/>
      <c r="F1417" s="241"/>
      <c r="G1417" s="241"/>
      <c r="H1417" s="241"/>
      <c r="I1417"/>
      <c r="J1417" s="241"/>
      <c r="K1417" s="241"/>
      <c r="L1417" s="241"/>
      <c r="M1417" s="241"/>
      <c r="N1417" s="241"/>
      <c r="O1417" s="241"/>
      <c r="P1417" s="241"/>
      <c r="Q1417" s="241"/>
    </row>
    <row r="1418" spans="1:17" ht="13.5" customHeight="1" x14ac:dyDescent="0.3">
      <c r="A1418"/>
      <c r="B1418" s="241"/>
      <c r="C1418" s="241"/>
      <c r="D1418" s="241"/>
      <c r="E1418" s="241"/>
      <c r="F1418" s="241"/>
      <c r="G1418" s="241"/>
      <c r="H1418" s="241"/>
      <c r="I1418"/>
      <c r="J1418" s="241"/>
      <c r="K1418" s="241"/>
      <c r="L1418" s="241"/>
      <c r="M1418" s="241"/>
      <c r="N1418" s="241"/>
      <c r="O1418" s="241"/>
      <c r="P1418" s="241"/>
      <c r="Q1418" s="241"/>
    </row>
    <row r="1419" spans="1:17" ht="13.5" customHeight="1" x14ac:dyDescent="0.3">
      <c r="A1419"/>
      <c r="B1419" s="241"/>
      <c r="C1419" s="241"/>
      <c r="D1419" s="241"/>
      <c r="E1419" s="241"/>
      <c r="F1419" s="241"/>
      <c r="G1419" s="241"/>
      <c r="H1419" s="241"/>
      <c r="I1419"/>
      <c r="J1419" s="241"/>
      <c r="K1419" s="241"/>
      <c r="L1419" s="241"/>
      <c r="M1419" s="241"/>
      <c r="N1419" s="241"/>
      <c r="O1419" s="241"/>
      <c r="P1419" s="241"/>
      <c r="Q1419" s="241"/>
    </row>
    <row r="1420" spans="1:17" ht="13.5" customHeight="1" x14ac:dyDescent="0.3">
      <c r="A1420"/>
      <c r="B1420" s="241"/>
      <c r="C1420" s="241"/>
      <c r="D1420" s="241"/>
      <c r="E1420" s="241"/>
      <c r="F1420" s="241"/>
      <c r="G1420" s="241"/>
      <c r="H1420" s="241"/>
      <c r="I1420"/>
      <c r="J1420" s="241"/>
      <c r="K1420" s="241"/>
      <c r="L1420" s="241"/>
      <c r="M1420" s="241"/>
      <c r="N1420" s="241"/>
      <c r="O1420" s="241"/>
      <c r="P1420" s="241"/>
      <c r="Q1420" s="241"/>
    </row>
    <row r="1421" spans="1:17" ht="13.5" customHeight="1" x14ac:dyDescent="0.3">
      <c r="A1421"/>
      <c r="B1421" s="241"/>
      <c r="C1421" s="241"/>
      <c r="D1421" s="241"/>
      <c r="E1421" s="241"/>
      <c r="F1421" s="241"/>
      <c r="G1421" s="241"/>
      <c r="H1421" s="241"/>
      <c r="I1421"/>
      <c r="J1421" s="241"/>
      <c r="K1421" s="241"/>
      <c r="L1421" s="241"/>
      <c r="M1421" s="241"/>
      <c r="N1421" s="241"/>
      <c r="O1421" s="241"/>
      <c r="P1421" s="241"/>
      <c r="Q1421" s="241"/>
    </row>
    <row r="1422" spans="1:17" ht="13.5" customHeight="1" x14ac:dyDescent="0.3">
      <c r="A1422"/>
      <c r="B1422" s="241"/>
      <c r="C1422" s="241"/>
      <c r="D1422" s="241"/>
      <c r="E1422" s="241"/>
      <c r="F1422" s="241"/>
      <c r="G1422" s="241"/>
      <c r="H1422" s="241"/>
      <c r="I1422"/>
      <c r="J1422" s="241"/>
      <c r="K1422" s="241"/>
      <c r="L1422" s="241"/>
      <c r="M1422" s="241"/>
      <c r="N1422" s="241"/>
      <c r="O1422" s="241"/>
      <c r="P1422" s="241"/>
      <c r="Q1422" s="241"/>
    </row>
    <row r="1423" spans="1:17" ht="13.5" customHeight="1" x14ac:dyDescent="0.3">
      <c r="A1423"/>
      <c r="B1423" s="241"/>
      <c r="C1423" s="241"/>
      <c r="D1423" s="241"/>
      <c r="E1423" s="241"/>
      <c r="F1423" s="241"/>
      <c r="G1423" s="241"/>
      <c r="H1423" s="241"/>
      <c r="I1423"/>
      <c r="J1423" s="241"/>
      <c r="K1423" s="241"/>
      <c r="L1423" s="241"/>
      <c r="M1423" s="241"/>
      <c r="N1423" s="241"/>
      <c r="O1423" s="241"/>
      <c r="P1423" s="241"/>
      <c r="Q1423" s="241"/>
    </row>
    <row r="1424" spans="1:17" ht="13.5" customHeight="1" x14ac:dyDescent="0.3">
      <c r="A1424"/>
      <c r="B1424" s="241"/>
      <c r="C1424" s="241"/>
      <c r="D1424" s="241"/>
      <c r="E1424" s="241"/>
      <c r="F1424" s="241"/>
      <c r="G1424" s="241"/>
      <c r="H1424" s="241"/>
      <c r="I1424"/>
      <c r="J1424" s="241"/>
      <c r="K1424" s="241"/>
      <c r="L1424" s="241"/>
      <c r="M1424" s="241"/>
      <c r="N1424" s="241"/>
      <c r="O1424" s="241"/>
      <c r="P1424" s="241"/>
      <c r="Q1424" s="241"/>
    </row>
    <row r="1425" spans="1:17" ht="13.5" customHeight="1" x14ac:dyDescent="0.3">
      <c r="A1425"/>
      <c r="B1425" s="241"/>
      <c r="C1425" s="241"/>
      <c r="D1425" s="241"/>
      <c r="E1425" s="241"/>
      <c r="F1425" s="241"/>
      <c r="G1425" s="241"/>
      <c r="H1425" s="241"/>
      <c r="I1425"/>
      <c r="J1425" s="241"/>
      <c r="K1425" s="241"/>
      <c r="L1425" s="241"/>
      <c r="M1425" s="241"/>
      <c r="N1425" s="241"/>
      <c r="O1425" s="241"/>
      <c r="P1425" s="241"/>
      <c r="Q1425" s="241"/>
    </row>
    <row r="1426" spans="1:17" ht="13.5" customHeight="1" x14ac:dyDescent="0.3">
      <c r="A1426"/>
      <c r="B1426" s="241"/>
      <c r="C1426" s="241"/>
      <c r="D1426" s="241"/>
      <c r="E1426" s="241"/>
      <c r="F1426" s="241"/>
      <c r="G1426" s="241"/>
      <c r="H1426" s="241"/>
      <c r="I1426"/>
      <c r="J1426" s="241"/>
      <c r="K1426" s="241"/>
      <c r="L1426" s="241"/>
      <c r="M1426" s="241"/>
      <c r="N1426" s="241"/>
      <c r="O1426" s="241"/>
      <c r="P1426" s="241"/>
      <c r="Q1426" s="241"/>
    </row>
    <row r="1427" spans="1:17" ht="13.5" customHeight="1" x14ac:dyDescent="0.3">
      <c r="A1427"/>
      <c r="B1427" s="241"/>
      <c r="C1427" s="241"/>
      <c r="D1427" s="241"/>
      <c r="E1427" s="241"/>
      <c r="F1427" s="241"/>
      <c r="G1427" s="241"/>
      <c r="H1427" s="241"/>
      <c r="I1427"/>
      <c r="J1427" s="241"/>
      <c r="K1427" s="241"/>
      <c r="L1427" s="241"/>
      <c r="M1427" s="241"/>
      <c r="N1427" s="241"/>
      <c r="O1427" s="241"/>
      <c r="P1427" s="241"/>
      <c r="Q1427" s="241"/>
    </row>
    <row r="1428" spans="1:17" ht="13.5" customHeight="1" x14ac:dyDescent="0.3">
      <c r="A1428"/>
      <c r="B1428" s="241"/>
      <c r="C1428" s="241"/>
      <c r="D1428" s="241"/>
      <c r="E1428" s="241"/>
      <c r="F1428" s="241"/>
      <c r="G1428" s="241"/>
      <c r="H1428" s="241"/>
      <c r="I1428"/>
      <c r="J1428" s="241"/>
      <c r="K1428" s="241"/>
      <c r="L1428" s="241"/>
      <c r="M1428" s="241"/>
      <c r="N1428" s="241"/>
      <c r="O1428" s="241"/>
      <c r="P1428" s="241"/>
      <c r="Q1428" s="241"/>
    </row>
    <row r="1429" spans="1:17" ht="13.5" customHeight="1" x14ac:dyDescent="0.3">
      <c r="A1429"/>
      <c r="B1429" s="241"/>
      <c r="C1429" s="241"/>
      <c r="D1429" s="241"/>
      <c r="E1429" s="241"/>
      <c r="F1429" s="241"/>
      <c r="G1429" s="241"/>
      <c r="H1429" s="241"/>
      <c r="I1429"/>
      <c r="J1429" s="241"/>
      <c r="K1429" s="241"/>
      <c r="L1429" s="241"/>
      <c r="M1429" s="241"/>
      <c r="N1429" s="241"/>
      <c r="O1429" s="241"/>
      <c r="P1429" s="241"/>
      <c r="Q1429" s="241"/>
    </row>
    <row r="1430" spans="1:17" ht="13.5" customHeight="1" x14ac:dyDescent="0.3">
      <c r="A1430"/>
      <c r="B1430" s="241"/>
      <c r="C1430" s="241"/>
      <c r="D1430" s="241"/>
      <c r="E1430" s="241"/>
      <c r="F1430" s="241"/>
      <c r="G1430" s="241"/>
      <c r="H1430" s="241"/>
      <c r="I1430"/>
      <c r="J1430" s="241"/>
      <c r="K1430" s="241"/>
      <c r="L1430" s="241"/>
      <c r="M1430" s="241"/>
      <c r="N1430" s="241"/>
      <c r="O1430" s="241"/>
      <c r="P1430" s="241"/>
      <c r="Q1430" s="241"/>
    </row>
    <row r="1431" spans="1:17" ht="13.5" customHeight="1" x14ac:dyDescent="0.3">
      <c r="A1431"/>
      <c r="B1431" s="241"/>
      <c r="C1431" s="241"/>
      <c r="D1431" s="241"/>
      <c r="E1431" s="241"/>
      <c r="F1431" s="241"/>
      <c r="G1431" s="241"/>
      <c r="H1431" s="241"/>
      <c r="I1431"/>
      <c r="J1431" s="241"/>
      <c r="K1431" s="241"/>
      <c r="L1431" s="241"/>
      <c r="M1431" s="241"/>
      <c r="N1431" s="241"/>
      <c r="O1431" s="241"/>
      <c r="P1431" s="241"/>
      <c r="Q1431" s="241"/>
    </row>
    <row r="1432" spans="1:17" ht="13.5" customHeight="1" x14ac:dyDescent="0.3">
      <c r="A1432"/>
      <c r="B1432" s="241"/>
      <c r="C1432" s="241"/>
      <c r="D1432" s="241"/>
      <c r="E1432" s="241"/>
      <c r="F1432" s="241"/>
      <c r="G1432" s="241"/>
      <c r="H1432" s="241"/>
      <c r="I1432"/>
      <c r="J1432" s="241"/>
      <c r="K1432" s="241"/>
      <c r="L1432" s="241"/>
      <c r="M1432" s="241"/>
      <c r="N1432" s="241"/>
      <c r="O1432" s="241"/>
      <c r="P1432" s="241"/>
      <c r="Q1432" s="241"/>
    </row>
    <row r="1433" spans="1:17" ht="13.5" customHeight="1" x14ac:dyDescent="0.3">
      <c r="A1433"/>
      <c r="B1433" s="241"/>
      <c r="C1433" s="241"/>
      <c r="D1433" s="241"/>
      <c r="E1433" s="241"/>
      <c r="F1433" s="241"/>
      <c r="G1433" s="241"/>
      <c r="H1433" s="241"/>
      <c r="I1433"/>
      <c r="J1433" s="241"/>
      <c r="K1433" s="241"/>
      <c r="L1433" s="241"/>
      <c r="M1433" s="241"/>
      <c r="N1433" s="241"/>
      <c r="O1433" s="241"/>
      <c r="P1433" s="241"/>
      <c r="Q1433" s="241"/>
    </row>
    <row r="1434" spans="1:17" ht="13.5" customHeight="1" x14ac:dyDescent="0.3">
      <c r="A1434"/>
      <c r="B1434" s="241"/>
      <c r="C1434" s="241"/>
      <c r="D1434" s="241"/>
      <c r="E1434" s="241"/>
      <c r="F1434" s="241"/>
      <c r="G1434" s="241"/>
      <c r="H1434" s="241"/>
      <c r="I1434"/>
      <c r="J1434" s="241"/>
      <c r="K1434" s="241"/>
      <c r="L1434" s="241"/>
      <c r="M1434" s="241"/>
      <c r="N1434" s="241"/>
      <c r="O1434" s="241"/>
      <c r="P1434" s="241"/>
      <c r="Q1434" s="241"/>
    </row>
    <row r="1435" spans="1:17" ht="13.5" customHeight="1" x14ac:dyDescent="0.3">
      <c r="A1435"/>
      <c r="B1435" s="241"/>
      <c r="C1435" s="241"/>
      <c r="D1435" s="241"/>
      <c r="E1435" s="241"/>
      <c r="F1435" s="241"/>
      <c r="G1435" s="241"/>
      <c r="H1435" s="241"/>
      <c r="I1435"/>
      <c r="J1435" s="241"/>
      <c r="K1435" s="241"/>
      <c r="L1435" s="241"/>
      <c r="M1435" s="241"/>
      <c r="N1435" s="241"/>
      <c r="O1435" s="241"/>
      <c r="P1435" s="241"/>
      <c r="Q1435" s="241"/>
    </row>
    <row r="1436" spans="1:17" ht="13.5" customHeight="1" x14ac:dyDescent="0.3">
      <c r="A1436"/>
      <c r="B1436" s="241"/>
      <c r="C1436" s="241"/>
      <c r="D1436" s="241"/>
      <c r="E1436" s="241"/>
      <c r="F1436" s="241"/>
      <c r="G1436" s="241"/>
      <c r="H1436" s="241"/>
      <c r="I1436"/>
      <c r="J1436" s="241"/>
      <c r="K1436" s="241"/>
      <c r="L1436" s="241"/>
      <c r="M1436" s="241"/>
      <c r="N1436" s="241"/>
      <c r="O1436" s="241"/>
      <c r="P1436" s="241"/>
      <c r="Q1436" s="241"/>
    </row>
    <row r="1437" spans="1:17" ht="13.5" customHeight="1" x14ac:dyDescent="0.3">
      <c r="A1437"/>
      <c r="B1437" s="241"/>
      <c r="C1437" s="241"/>
      <c r="D1437" s="241"/>
      <c r="E1437" s="241"/>
      <c r="F1437" s="241"/>
      <c r="G1437" s="241"/>
      <c r="H1437" s="241"/>
      <c r="I1437"/>
      <c r="J1437" s="241"/>
      <c r="K1437" s="241"/>
      <c r="L1437" s="241"/>
      <c r="M1437" s="241"/>
      <c r="N1437" s="241"/>
      <c r="O1437" s="241"/>
      <c r="P1437" s="241"/>
      <c r="Q1437" s="241"/>
    </row>
    <row r="1438" spans="1:17" ht="13.5" customHeight="1" x14ac:dyDescent="0.3">
      <c r="A1438"/>
      <c r="B1438" s="241"/>
      <c r="C1438" s="241"/>
      <c r="D1438" s="241"/>
      <c r="E1438" s="241"/>
      <c r="F1438" s="241"/>
      <c r="G1438" s="241"/>
      <c r="H1438" s="241"/>
      <c r="I1438"/>
      <c r="J1438" s="241"/>
      <c r="K1438" s="241"/>
      <c r="L1438" s="241"/>
      <c r="M1438" s="241"/>
      <c r="N1438" s="241"/>
      <c r="O1438" s="241"/>
      <c r="P1438" s="241"/>
      <c r="Q1438" s="241"/>
    </row>
    <row r="1439" spans="1:17" ht="13.5" customHeight="1" x14ac:dyDescent="0.3">
      <c r="A1439"/>
      <c r="B1439" s="241"/>
      <c r="C1439" s="241"/>
      <c r="D1439" s="241"/>
      <c r="E1439" s="241"/>
      <c r="F1439" s="241"/>
      <c r="G1439" s="241"/>
      <c r="H1439" s="241"/>
      <c r="I1439"/>
      <c r="J1439" s="241"/>
      <c r="K1439" s="241"/>
      <c r="L1439" s="241"/>
      <c r="M1439" s="241"/>
      <c r="N1439" s="241"/>
      <c r="O1439" s="241"/>
      <c r="P1439" s="241"/>
      <c r="Q1439" s="241"/>
    </row>
    <row r="1440" spans="1:17" ht="13.5" customHeight="1" x14ac:dyDescent="0.3">
      <c r="A1440"/>
      <c r="B1440" s="241"/>
      <c r="C1440" s="241"/>
      <c r="D1440" s="241"/>
      <c r="E1440" s="241"/>
      <c r="F1440" s="241"/>
      <c r="G1440" s="241"/>
      <c r="H1440" s="241"/>
      <c r="I1440"/>
      <c r="J1440" s="241"/>
      <c r="K1440" s="241"/>
      <c r="L1440" s="241"/>
      <c r="M1440" s="241"/>
      <c r="N1440" s="241"/>
      <c r="O1440" s="241"/>
      <c r="P1440" s="241"/>
      <c r="Q1440" s="241"/>
    </row>
    <row r="1441" spans="1:17" ht="13.5" customHeight="1" x14ac:dyDescent="0.3">
      <c r="A1441"/>
      <c r="B1441" s="241"/>
      <c r="C1441" s="241"/>
      <c r="D1441" s="241"/>
      <c r="E1441" s="241"/>
      <c r="F1441" s="241"/>
      <c r="G1441" s="241"/>
      <c r="H1441" s="241"/>
      <c r="I1441"/>
      <c r="J1441" s="241"/>
      <c r="K1441" s="241"/>
      <c r="L1441" s="241"/>
      <c r="M1441" s="241"/>
      <c r="N1441" s="241"/>
      <c r="O1441" s="241"/>
      <c r="P1441" s="241"/>
      <c r="Q1441" s="241"/>
    </row>
    <row r="1442" spans="1:17" ht="13.5" customHeight="1" x14ac:dyDescent="0.3">
      <c r="A1442"/>
      <c r="B1442" s="241"/>
      <c r="C1442" s="241"/>
      <c r="D1442" s="241"/>
      <c r="E1442" s="241"/>
      <c r="F1442" s="241"/>
      <c r="G1442" s="241"/>
      <c r="H1442" s="241"/>
      <c r="I1442"/>
      <c r="J1442" s="241"/>
      <c r="K1442" s="241"/>
      <c r="L1442" s="241"/>
      <c r="M1442" s="241"/>
      <c r="N1442" s="241"/>
      <c r="O1442" s="241"/>
      <c r="P1442" s="241"/>
      <c r="Q1442" s="241"/>
    </row>
    <row r="1443" spans="1:17" ht="13.5" customHeight="1" x14ac:dyDescent="0.3">
      <c r="A1443"/>
      <c r="B1443" s="241"/>
      <c r="C1443" s="241"/>
      <c r="D1443" s="241"/>
      <c r="E1443" s="241"/>
      <c r="F1443" s="241"/>
      <c r="G1443" s="241"/>
      <c r="H1443" s="241"/>
      <c r="I1443"/>
      <c r="J1443" s="241"/>
      <c r="K1443" s="241"/>
      <c r="L1443" s="241"/>
      <c r="M1443" s="241"/>
      <c r="N1443" s="241"/>
      <c r="O1443" s="241"/>
      <c r="P1443" s="241"/>
      <c r="Q1443" s="241"/>
    </row>
    <row r="1444" spans="1:17" ht="13.5" customHeight="1" x14ac:dyDescent="0.3">
      <c r="A1444"/>
      <c r="B1444" s="241"/>
      <c r="C1444" s="241"/>
      <c r="D1444" s="241"/>
      <c r="E1444" s="241"/>
      <c r="F1444" s="241"/>
      <c r="G1444" s="241"/>
      <c r="H1444" s="241"/>
      <c r="I1444"/>
      <c r="J1444" s="241"/>
      <c r="K1444" s="241"/>
      <c r="L1444" s="241"/>
      <c r="M1444" s="241"/>
      <c r="N1444" s="241"/>
      <c r="O1444" s="241"/>
      <c r="P1444" s="241"/>
      <c r="Q1444" s="241"/>
    </row>
    <row r="1445" spans="1:17" ht="13.5" customHeight="1" x14ac:dyDescent="0.3">
      <c r="A1445"/>
      <c r="B1445" s="241"/>
      <c r="C1445" s="241"/>
      <c r="D1445" s="241"/>
      <c r="E1445" s="241"/>
      <c r="F1445" s="241"/>
      <c r="G1445" s="241"/>
      <c r="H1445" s="241"/>
      <c r="I1445"/>
      <c r="J1445" s="241"/>
      <c r="K1445" s="241"/>
      <c r="L1445" s="241"/>
      <c r="M1445" s="241"/>
      <c r="N1445" s="241"/>
      <c r="O1445" s="241"/>
      <c r="P1445" s="241"/>
      <c r="Q1445" s="241"/>
    </row>
    <row r="1446" spans="1:17" ht="13.5" customHeight="1" x14ac:dyDescent="0.3">
      <c r="A1446"/>
      <c r="B1446" s="241"/>
      <c r="C1446" s="241"/>
      <c r="D1446" s="241"/>
      <c r="E1446" s="241"/>
      <c r="F1446" s="241"/>
      <c r="G1446" s="241"/>
      <c r="H1446" s="241"/>
      <c r="I1446"/>
      <c r="J1446" s="241"/>
      <c r="K1446" s="241"/>
      <c r="L1446" s="241"/>
      <c r="M1446" s="241"/>
      <c r="N1446" s="241"/>
      <c r="O1446" s="241"/>
      <c r="P1446" s="241"/>
      <c r="Q1446" s="241"/>
    </row>
    <row r="1447" spans="1:17" ht="13.5" customHeight="1" x14ac:dyDescent="0.3">
      <c r="A1447"/>
      <c r="B1447" s="241"/>
      <c r="C1447" s="241"/>
      <c r="D1447" s="241"/>
      <c r="E1447" s="241"/>
      <c r="F1447" s="241"/>
      <c r="G1447" s="241"/>
      <c r="H1447" s="241"/>
      <c r="I1447"/>
      <c r="J1447" s="241"/>
      <c r="K1447" s="241"/>
      <c r="L1447" s="241"/>
      <c r="M1447" s="241"/>
      <c r="N1447" s="241"/>
      <c r="O1447" s="241"/>
      <c r="P1447" s="241"/>
      <c r="Q1447" s="241"/>
    </row>
    <row r="1448" spans="1:17" ht="13.5" customHeight="1" x14ac:dyDescent="0.3">
      <c r="A1448"/>
      <c r="B1448" s="241"/>
      <c r="C1448" s="241"/>
      <c r="D1448" s="241"/>
      <c r="E1448" s="241"/>
      <c r="F1448" s="241"/>
      <c r="G1448" s="241"/>
      <c r="H1448" s="241"/>
      <c r="I1448"/>
      <c r="J1448" s="241"/>
      <c r="K1448" s="241"/>
      <c r="L1448" s="241"/>
      <c r="M1448" s="241"/>
      <c r="N1448" s="241"/>
      <c r="O1448" s="241"/>
      <c r="P1448" s="241"/>
      <c r="Q1448" s="241"/>
    </row>
    <row r="1449" spans="1:17" ht="13.5" customHeight="1" x14ac:dyDescent="0.3">
      <c r="A1449"/>
      <c r="B1449" s="241"/>
      <c r="C1449" s="241"/>
      <c r="D1449" s="241"/>
      <c r="E1449" s="241"/>
      <c r="F1449" s="241"/>
      <c r="G1449" s="241"/>
      <c r="H1449" s="241"/>
      <c r="I1449"/>
      <c r="J1449" s="241"/>
      <c r="K1449" s="241"/>
      <c r="L1449" s="241"/>
      <c r="M1449" s="241"/>
      <c r="N1449" s="241"/>
      <c r="O1449" s="241"/>
      <c r="P1449" s="241"/>
      <c r="Q1449" s="241"/>
    </row>
    <row r="1450" spans="1:17" ht="13.5" customHeight="1" x14ac:dyDescent="0.3">
      <c r="A1450"/>
      <c r="B1450" s="241"/>
      <c r="C1450" s="241"/>
      <c r="D1450" s="241"/>
      <c r="E1450" s="241"/>
      <c r="F1450" s="241"/>
      <c r="G1450" s="241"/>
      <c r="H1450" s="241"/>
      <c r="I1450"/>
      <c r="J1450" s="241"/>
      <c r="K1450" s="241"/>
      <c r="L1450" s="241"/>
      <c r="M1450" s="241"/>
      <c r="N1450" s="241"/>
      <c r="O1450" s="241"/>
      <c r="P1450" s="241"/>
      <c r="Q1450" s="241"/>
    </row>
    <row r="1451" spans="1:17" ht="13.5" customHeight="1" x14ac:dyDescent="0.3">
      <c r="A1451"/>
      <c r="B1451" s="241"/>
      <c r="C1451" s="241"/>
      <c r="D1451" s="241"/>
      <c r="E1451" s="241"/>
      <c r="F1451" s="241"/>
      <c r="G1451" s="241"/>
      <c r="H1451" s="241"/>
      <c r="I1451"/>
      <c r="J1451" s="241"/>
      <c r="K1451" s="241"/>
      <c r="L1451" s="241"/>
      <c r="M1451" s="241"/>
      <c r="N1451" s="241"/>
      <c r="O1451" s="241"/>
      <c r="P1451" s="241"/>
      <c r="Q1451" s="241"/>
    </row>
    <row r="1452" spans="1:17" ht="13.5" customHeight="1" x14ac:dyDescent="0.3">
      <c r="A1452"/>
      <c r="B1452" s="241"/>
      <c r="C1452" s="241"/>
      <c r="D1452" s="241"/>
      <c r="E1452" s="241"/>
      <c r="F1452" s="241"/>
      <c r="G1452" s="241"/>
      <c r="H1452" s="241"/>
      <c r="I1452"/>
      <c r="J1452" s="241"/>
      <c r="K1452" s="241"/>
      <c r="L1452" s="241"/>
      <c r="M1452" s="241"/>
      <c r="N1452" s="241"/>
      <c r="O1452" s="241"/>
      <c r="P1452" s="241"/>
      <c r="Q1452" s="241"/>
    </row>
    <row r="1453" spans="1:17" ht="13.5" customHeight="1" x14ac:dyDescent="0.3">
      <c r="A1453"/>
      <c r="B1453" s="241"/>
      <c r="C1453" s="241"/>
      <c r="D1453" s="241"/>
      <c r="E1453" s="241"/>
      <c r="F1453" s="241"/>
      <c r="G1453" s="241"/>
      <c r="H1453" s="241"/>
      <c r="I1453"/>
      <c r="J1453" s="241"/>
      <c r="K1453" s="241"/>
      <c r="L1453" s="241"/>
      <c r="M1453" s="241"/>
      <c r="N1453" s="241"/>
      <c r="O1453" s="241"/>
      <c r="P1453" s="241"/>
      <c r="Q1453" s="241"/>
    </row>
    <row r="1454" spans="1:17" ht="13.5" customHeight="1" x14ac:dyDescent="0.3">
      <c r="A1454"/>
      <c r="B1454" s="241"/>
      <c r="C1454" s="241"/>
      <c r="D1454" s="241"/>
      <c r="E1454" s="241"/>
      <c r="F1454" s="241"/>
      <c r="G1454" s="241"/>
      <c r="H1454" s="241"/>
      <c r="I1454"/>
      <c r="J1454" s="241"/>
      <c r="K1454" s="241"/>
      <c r="L1454" s="241"/>
      <c r="M1454" s="241"/>
      <c r="N1454" s="241"/>
      <c r="O1454" s="241"/>
      <c r="P1454" s="241"/>
      <c r="Q1454" s="241"/>
    </row>
    <row r="1455" spans="1:17" ht="13.5" customHeight="1" x14ac:dyDescent="0.3">
      <c r="A1455"/>
      <c r="B1455" s="241"/>
      <c r="C1455" s="241"/>
      <c r="D1455" s="241"/>
      <c r="E1455" s="241"/>
      <c r="F1455" s="241"/>
      <c r="G1455" s="241"/>
      <c r="H1455" s="241"/>
      <c r="I1455"/>
      <c r="J1455" s="241"/>
      <c r="K1455" s="241"/>
      <c r="L1455" s="241"/>
      <c r="M1455" s="241"/>
      <c r="N1455" s="241"/>
      <c r="O1455" s="241"/>
      <c r="P1455" s="241"/>
      <c r="Q1455" s="241"/>
    </row>
    <row r="1456" spans="1:17" ht="13.5" customHeight="1" x14ac:dyDescent="0.3">
      <c r="A1456"/>
      <c r="B1456" s="241"/>
      <c r="C1456" s="241"/>
      <c r="D1456" s="241"/>
      <c r="E1456" s="241"/>
      <c r="F1456" s="241"/>
      <c r="G1456" s="241"/>
      <c r="H1456" s="241"/>
      <c r="I1456"/>
      <c r="J1456" s="241"/>
      <c r="K1456" s="241"/>
      <c r="L1456" s="241"/>
      <c r="M1456" s="241"/>
      <c r="N1456" s="241"/>
      <c r="O1456" s="241"/>
      <c r="P1456" s="241"/>
      <c r="Q1456" s="241"/>
    </row>
    <row r="1457" spans="1:17" ht="13.5" customHeight="1" x14ac:dyDescent="0.3">
      <c r="A1457"/>
      <c r="B1457" s="241"/>
      <c r="C1457" s="241"/>
      <c r="D1457" s="241"/>
      <c r="E1457" s="241"/>
      <c r="F1457" s="241"/>
      <c r="G1457" s="241"/>
      <c r="H1457" s="241"/>
      <c r="I1457"/>
      <c r="J1457" s="241"/>
      <c r="K1457" s="241"/>
      <c r="L1457" s="241"/>
      <c r="M1457" s="241"/>
      <c r="N1457" s="241"/>
      <c r="O1457" s="241"/>
      <c r="P1457" s="241"/>
      <c r="Q1457" s="241"/>
    </row>
    <row r="1458" spans="1:17" ht="13.5" customHeight="1" x14ac:dyDescent="0.3">
      <c r="A1458"/>
      <c r="B1458" s="241"/>
      <c r="C1458" s="241"/>
      <c r="D1458" s="241"/>
      <c r="E1458" s="241"/>
      <c r="F1458" s="241"/>
      <c r="G1458" s="241"/>
      <c r="H1458" s="241"/>
      <c r="I1458"/>
      <c r="J1458" s="241"/>
      <c r="K1458" s="241"/>
      <c r="L1458" s="241"/>
      <c r="M1458" s="241"/>
      <c r="N1458" s="241"/>
      <c r="O1458" s="241"/>
      <c r="P1458" s="241"/>
      <c r="Q1458" s="241"/>
    </row>
    <row r="1459" spans="1:17" ht="13.5" customHeight="1" x14ac:dyDescent="0.3">
      <c r="A1459"/>
      <c r="B1459" s="241"/>
      <c r="C1459" s="241"/>
      <c r="D1459" s="241"/>
      <c r="E1459" s="241"/>
      <c r="F1459" s="241"/>
      <c r="G1459" s="241"/>
      <c r="H1459" s="241"/>
      <c r="I1459"/>
      <c r="J1459" s="241"/>
      <c r="K1459" s="241"/>
      <c r="L1459" s="241"/>
      <c r="M1459" s="241"/>
      <c r="N1459" s="241"/>
      <c r="O1459" s="241"/>
      <c r="P1459" s="241"/>
      <c r="Q1459" s="241"/>
    </row>
    <row r="1460" spans="1:17" ht="13.5" customHeight="1" x14ac:dyDescent="0.3">
      <c r="A1460"/>
      <c r="B1460" s="241"/>
      <c r="C1460" s="241"/>
      <c r="D1460" s="241"/>
      <c r="E1460" s="241"/>
      <c r="F1460" s="241"/>
      <c r="G1460" s="241"/>
      <c r="H1460" s="241"/>
      <c r="I1460"/>
      <c r="J1460" s="241"/>
      <c r="K1460" s="241"/>
      <c r="L1460" s="241"/>
      <c r="M1460" s="241"/>
      <c r="N1460" s="241"/>
      <c r="O1460" s="241"/>
      <c r="P1460" s="241"/>
      <c r="Q1460" s="241"/>
    </row>
    <row r="1461" spans="1:17" ht="13.5" customHeight="1" x14ac:dyDescent="0.3">
      <c r="A1461"/>
      <c r="B1461" s="241"/>
      <c r="C1461" s="241"/>
      <c r="D1461" s="241"/>
      <c r="E1461" s="241"/>
      <c r="F1461" s="241"/>
      <c r="G1461" s="241"/>
      <c r="H1461" s="241"/>
      <c r="I1461"/>
      <c r="J1461" s="241"/>
      <c r="K1461" s="241"/>
      <c r="L1461" s="241"/>
      <c r="M1461" s="241"/>
      <c r="N1461" s="241"/>
      <c r="O1461" s="241"/>
      <c r="P1461" s="241"/>
      <c r="Q1461" s="241"/>
    </row>
    <row r="1462" spans="1:17" ht="13.5" customHeight="1" x14ac:dyDescent="0.3">
      <c r="A1462"/>
      <c r="B1462" s="241"/>
      <c r="C1462" s="241"/>
      <c r="D1462" s="241"/>
      <c r="E1462" s="241"/>
      <c r="F1462" s="241"/>
      <c r="G1462" s="241"/>
      <c r="H1462" s="241"/>
      <c r="I1462"/>
      <c r="J1462" s="241"/>
      <c r="K1462" s="241"/>
      <c r="L1462" s="241"/>
      <c r="M1462" s="241"/>
      <c r="N1462" s="241"/>
      <c r="O1462" s="241"/>
      <c r="P1462" s="241"/>
      <c r="Q1462" s="241"/>
    </row>
    <row r="1463" spans="1:17" ht="13.5" customHeight="1" x14ac:dyDescent="0.3">
      <c r="A1463"/>
      <c r="B1463" s="241"/>
      <c r="C1463" s="241"/>
      <c r="D1463" s="241"/>
      <c r="E1463" s="241"/>
      <c r="F1463" s="241"/>
      <c r="G1463" s="241"/>
      <c r="H1463" s="241"/>
      <c r="I1463"/>
      <c r="J1463" s="241"/>
      <c r="K1463" s="241"/>
      <c r="L1463" s="241"/>
      <c r="M1463" s="241"/>
      <c r="N1463" s="241"/>
      <c r="O1463" s="241"/>
      <c r="P1463" s="241"/>
      <c r="Q1463" s="241"/>
    </row>
    <row r="1464" spans="1:17" ht="13.5" customHeight="1" x14ac:dyDescent="0.3">
      <c r="A1464"/>
      <c r="B1464" s="241"/>
      <c r="C1464" s="241"/>
      <c r="D1464" s="241"/>
      <c r="E1464" s="241"/>
      <c r="F1464" s="241"/>
      <c r="G1464" s="241"/>
      <c r="H1464" s="241"/>
      <c r="I1464"/>
      <c r="J1464" s="241"/>
      <c r="K1464" s="241"/>
      <c r="L1464" s="241"/>
      <c r="M1464" s="241"/>
      <c r="N1464" s="241"/>
      <c r="O1464" s="241"/>
      <c r="P1464" s="241"/>
      <c r="Q1464" s="241"/>
    </row>
    <row r="1465" spans="1:17" ht="13.5" customHeight="1" x14ac:dyDescent="0.3">
      <c r="A1465"/>
      <c r="B1465" s="241"/>
      <c r="C1465" s="241"/>
      <c r="D1465" s="241"/>
      <c r="E1465" s="241"/>
      <c r="F1465" s="241"/>
      <c r="G1465" s="241"/>
      <c r="H1465" s="241"/>
      <c r="I1465"/>
      <c r="J1465" s="241"/>
      <c r="K1465" s="241"/>
      <c r="L1465" s="241"/>
      <c r="M1465" s="241"/>
      <c r="N1465" s="241"/>
      <c r="O1465" s="241"/>
      <c r="P1465" s="241"/>
      <c r="Q1465" s="241"/>
    </row>
    <row r="1466" spans="1:17" ht="13.5" customHeight="1" x14ac:dyDescent="0.3">
      <c r="A1466"/>
      <c r="B1466" s="241"/>
      <c r="C1466" s="241"/>
      <c r="D1466" s="241"/>
      <c r="E1466" s="241"/>
      <c r="F1466" s="241"/>
      <c r="G1466" s="241"/>
      <c r="H1466" s="241"/>
      <c r="I1466"/>
      <c r="J1466" s="241"/>
      <c r="K1466" s="241"/>
      <c r="L1466" s="241"/>
      <c r="M1466" s="241"/>
      <c r="N1466" s="241"/>
      <c r="O1466" s="241"/>
      <c r="P1466" s="241"/>
      <c r="Q1466" s="241"/>
    </row>
    <row r="1467" spans="1:17" ht="13.5" customHeight="1" x14ac:dyDescent="0.3">
      <c r="A1467"/>
      <c r="B1467" s="241"/>
      <c r="C1467" s="241"/>
      <c r="D1467" s="241"/>
      <c r="E1467" s="241"/>
      <c r="F1467" s="241"/>
      <c r="G1467" s="241"/>
      <c r="H1467" s="241"/>
      <c r="I1467"/>
      <c r="J1467" s="241"/>
      <c r="K1467" s="241"/>
      <c r="L1467" s="241"/>
      <c r="M1467" s="241"/>
      <c r="N1467" s="241"/>
      <c r="O1467" s="241"/>
      <c r="P1467" s="241"/>
      <c r="Q1467" s="241"/>
    </row>
    <row r="1468" spans="1:17" ht="13.5" customHeight="1" x14ac:dyDescent="0.3">
      <c r="A1468"/>
      <c r="B1468" s="241"/>
      <c r="C1468" s="241"/>
      <c r="D1468" s="241"/>
      <c r="E1468" s="241"/>
      <c r="F1468" s="241"/>
      <c r="G1468" s="241"/>
      <c r="H1468" s="241"/>
      <c r="I1468"/>
      <c r="J1468" s="241"/>
      <c r="K1468" s="241"/>
      <c r="L1468" s="241"/>
      <c r="M1468" s="241"/>
      <c r="N1468" s="241"/>
      <c r="O1468" s="241"/>
      <c r="P1468" s="241"/>
      <c r="Q1468" s="241"/>
    </row>
    <row r="1469" spans="1:17" ht="13.5" customHeight="1" x14ac:dyDescent="0.3">
      <c r="A1469"/>
      <c r="B1469" s="241"/>
      <c r="C1469" s="241"/>
      <c r="D1469" s="241"/>
      <c r="E1469" s="241"/>
      <c r="F1469" s="241"/>
      <c r="G1469" s="241"/>
      <c r="H1469" s="241"/>
      <c r="I1469"/>
      <c r="J1469" s="241"/>
      <c r="K1469" s="241"/>
      <c r="L1469" s="241"/>
      <c r="M1469" s="241"/>
      <c r="N1469" s="241"/>
      <c r="O1469" s="241"/>
      <c r="P1469" s="241"/>
      <c r="Q1469" s="241"/>
    </row>
    <row r="1470" spans="1:17" ht="13.5" customHeight="1" x14ac:dyDescent="0.3">
      <c r="A1470"/>
      <c r="B1470" s="241"/>
      <c r="C1470" s="241"/>
      <c r="D1470" s="241"/>
      <c r="E1470" s="241"/>
      <c r="F1470" s="241"/>
      <c r="G1470" s="241"/>
      <c r="H1470" s="241"/>
      <c r="I1470"/>
      <c r="J1470" s="241"/>
      <c r="K1470" s="241"/>
      <c r="L1470" s="241"/>
      <c r="M1470" s="241"/>
      <c r="N1470" s="241"/>
      <c r="O1470" s="241"/>
      <c r="P1470" s="241"/>
      <c r="Q1470" s="241"/>
    </row>
    <row r="1471" spans="1:17" ht="13.5" customHeight="1" x14ac:dyDescent="0.3">
      <c r="A1471"/>
      <c r="B1471" s="241"/>
      <c r="C1471" s="241"/>
      <c r="D1471" s="241"/>
      <c r="E1471" s="241"/>
      <c r="F1471" s="241"/>
      <c r="G1471" s="241"/>
      <c r="H1471" s="241"/>
      <c r="I1471"/>
      <c r="J1471" s="241"/>
      <c r="K1471" s="241"/>
      <c r="L1471" s="241"/>
      <c r="M1471" s="241"/>
      <c r="N1471" s="241"/>
      <c r="O1471" s="241"/>
      <c r="P1471" s="241"/>
      <c r="Q1471" s="241"/>
    </row>
    <row r="1472" spans="1:17" ht="13.5" customHeight="1" x14ac:dyDescent="0.3">
      <c r="A1472"/>
      <c r="B1472" s="241"/>
      <c r="C1472" s="241"/>
      <c r="D1472" s="241"/>
      <c r="E1472" s="241"/>
      <c r="F1472" s="241"/>
      <c r="G1472" s="241"/>
      <c r="H1472" s="241"/>
      <c r="I1472"/>
      <c r="J1472" s="241"/>
      <c r="K1472" s="241"/>
      <c r="L1472" s="241"/>
      <c r="M1472" s="241"/>
      <c r="N1472" s="241"/>
      <c r="O1472" s="241"/>
      <c r="P1472" s="241"/>
      <c r="Q1472" s="241"/>
    </row>
    <row r="1473" spans="1:17" ht="13.5" customHeight="1" x14ac:dyDescent="0.3">
      <c r="A1473"/>
      <c r="B1473" s="241"/>
      <c r="C1473" s="241"/>
      <c r="D1473" s="241"/>
      <c r="E1473" s="241"/>
      <c r="F1473" s="241"/>
      <c r="G1473" s="241"/>
      <c r="H1473" s="241"/>
      <c r="I1473"/>
      <c r="J1473" s="241"/>
      <c r="K1473" s="241"/>
      <c r="L1473" s="241"/>
      <c r="M1473" s="241"/>
      <c r="N1473" s="241"/>
      <c r="O1473" s="241"/>
      <c r="P1473" s="241"/>
      <c r="Q1473" s="241"/>
    </row>
    <row r="1474" spans="1:17" ht="13.5" customHeight="1" x14ac:dyDescent="0.3">
      <c r="A1474"/>
      <c r="B1474" s="241"/>
      <c r="C1474" s="241"/>
      <c r="D1474" s="241"/>
      <c r="E1474" s="241"/>
      <c r="F1474" s="241"/>
      <c r="G1474" s="241"/>
      <c r="H1474" s="241"/>
      <c r="I1474"/>
      <c r="J1474" s="241"/>
      <c r="K1474" s="241"/>
      <c r="L1474" s="241"/>
      <c r="M1474" s="241"/>
      <c r="N1474" s="241"/>
      <c r="O1474" s="241"/>
      <c r="P1474" s="241"/>
      <c r="Q1474" s="241"/>
    </row>
    <row r="1475" spans="1:17" ht="13.5" customHeight="1" x14ac:dyDescent="0.3">
      <c r="A1475"/>
      <c r="B1475" s="241"/>
      <c r="C1475" s="241"/>
      <c r="D1475" s="241"/>
      <c r="E1475" s="241"/>
      <c r="F1475" s="241"/>
      <c r="G1475" s="241"/>
      <c r="H1475" s="241"/>
      <c r="I1475"/>
      <c r="J1475" s="241"/>
      <c r="K1475" s="241"/>
      <c r="L1475" s="241"/>
      <c r="M1475" s="241"/>
      <c r="N1475" s="241"/>
      <c r="O1475" s="241"/>
      <c r="P1475" s="241"/>
      <c r="Q1475" s="241"/>
    </row>
    <row r="1476" spans="1:17" ht="13.5" customHeight="1" x14ac:dyDescent="0.3">
      <c r="A1476"/>
      <c r="B1476" s="241"/>
      <c r="C1476" s="241"/>
      <c r="D1476" s="241"/>
      <c r="E1476" s="241"/>
      <c r="F1476" s="241"/>
      <c r="G1476" s="241"/>
      <c r="H1476" s="241"/>
      <c r="I1476"/>
      <c r="J1476" s="241"/>
      <c r="K1476" s="241"/>
      <c r="L1476" s="241"/>
      <c r="M1476" s="241"/>
      <c r="N1476" s="241"/>
      <c r="O1476" s="241"/>
      <c r="P1476" s="241"/>
      <c r="Q1476" s="241"/>
    </row>
    <row r="1477" spans="1:17" ht="13.5" customHeight="1" x14ac:dyDescent="0.3">
      <c r="A1477"/>
      <c r="B1477" s="241"/>
      <c r="C1477" s="241"/>
      <c r="D1477" s="241"/>
      <c r="E1477" s="241"/>
      <c r="F1477" s="241"/>
      <c r="G1477" s="241"/>
      <c r="H1477" s="241"/>
      <c r="I1477"/>
      <c r="J1477" s="241"/>
      <c r="K1477" s="241"/>
      <c r="L1477" s="241"/>
      <c r="M1477" s="241"/>
      <c r="N1477" s="241"/>
      <c r="O1477" s="241"/>
      <c r="P1477" s="241"/>
      <c r="Q1477" s="241"/>
    </row>
    <row r="1478" spans="1:17" ht="13.5" customHeight="1" x14ac:dyDescent="0.3">
      <c r="A1478"/>
      <c r="B1478" s="241"/>
      <c r="C1478" s="241"/>
      <c r="D1478" s="241"/>
      <c r="E1478" s="241"/>
      <c r="F1478" s="241"/>
      <c r="G1478" s="241"/>
      <c r="H1478" s="241"/>
      <c r="I1478"/>
      <c r="J1478" s="241"/>
      <c r="K1478" s="241"/>
      <c r="L1478" s="241"/>
      <c r="M1478" s="241"/>
      <c r="N1478" s="241"/>
      <c r="O1478" s="241"/>
      <c r="P1478" s="241"/>
      <c r="Q1478" s="241"/>
    </row>
    <row r="1479" spans="1:17" ht="13.5" customHeight="1" x14ac:dyDescent="0.3">
      <c r="A1479"/>
      <c r="B1479" s="241"/>
      <c r="C1479" s="241"/>
      <c r="D1479" s="241"/>
      <c r="E1479" s="241"/>
      <c r="F1479" s="241"/>
      <c r="G1479" s="241"/>
      <c r="H1479" s="241"/>
      <c r="I1479"/>
      <c r="J1479" s="241"/>
      <c r="K1479" s="241"/>
      <c r="L1479" s="241"/>
      <c r="M1479" s="241"/>
      <c r="N1479" s="241"/>
      <c r="O1479" s="241"/>
      <c r="P1479" s="241"/>
      <c r="Q1479" s="241"/>
    </row>
    <row r="1480" spans="1:17" ht="13.5" customHeight="1" x14ac:dyDescent="0.3">
      <c r="A1480"/>
      <c r="B1480" s="241"/>
      <c r="C1480" s="241"/>
      <c r="D1480" s="241"/>
      <c r="E1480" s="241"/>
      <c r="F1480" s="241"/>
      <c r="G1480" s="241"/>
      <c r="H1480" s="241"/>
      <c r="I1480"/>
      <c r="J1480" s="241"/>
      <c r="K1480" s="241"/>
      <c r="L1480" s="241"/>
      <c r="M1480" s="241"/>
      <c r="N1480" s="241"/>
      <c r="O1480" s="241"/>
      <c r="P1480" s="241"/>
      <c r="Q1480" s="241"/>
    </row>
    <row r="1481" spans="1:17" ht="13.5" customHeight="1" x14ac:dyDescent="0.3">
      <c r="A1481"/>
      <c r="B1481" s="241"/>
      <c r="C1481" s="241"/>
      <c r="D1481" s="241"/>
      <c r="E1481" s="241"/>
      <c r="F1481" s="241"/>
      <c r="G1481" s="241"/>
      <c r="H1481" s="241"/>
      <c r="I1481"/>
      <c r="J1481" s="241"/>
      <c r="K1481" s="241"/>
      <c r="L1481" s="241"/>
      <c r="M1481" s="241"/>
      <c r="N1481" s="241"/>
      <c r="O1481" s="241"/>
      <c r="P1481" s="241"/>
      <c r="Q1481" s="241"/>
    </row>
    <row r="1482" spans="1:17" ht="13.5" customHeight="1" x14ac:dyDescent="0.3">
      <c r="A1482"/>
      <c r="B1482" s="241"/>
      <c r="C1482" s="241"/>
      <c r="D1482" s="241"/>
      <c r="E1482" s="241"/>
      <c r="F1482" s="241"/>
      <c r="G1482" s="241"/>
      <c r="H1482" s="241"/>
      <c r="I1482"/>
      <c r="J1482" s="241"/>
      <c r="K1482" s="241"/>
      <c r="L1482" s="241"/>
      <c r="M1482" s="241"/>
      <c r="N1482" s="241"/>
      <c r="O1482" s="241"/>
      <c r="P1482" s="241"/>
      <c r="Q1482" s="241"/>
    </row>
    <row r="1483" spans="1:17" ht="13.5" customHeight="1" x14ac:dyDescent="0.3">
      <c r="A1483"/>
      <c r="B1483" s="241"/>
      <c r="C1483" s="241"/>
      <c r="D1483" s="241"/>
      <c r="E1483" s="241"/>
      <c r="F1483" s="241"/>
      <c r="G1483" s="241"/>
      <c r="H1483" s="241"/>
      <c r="I1483"/>
      <c r="J1483" s="241"/>
      <c r="K1483" s="241"/>
      <c r="L1483" s="241"/>
      <c r="M1483" s="241"/>
      <c r="N1483" s="241"/>
      <c r="O1483" s="241"/>
      <c r="P1483" s="241"/>
      <c r="Q1483" s="241"/>
    </row>
    <row r="1484" spans="1:17" ht="13.5" customHeight="1" x14ac:dyDescent="0.3">
      <c r="A1484"/>
      <c r="B1484" s="241"/>
      <c r="C1484" s="241"/>
      <c r="D1484" s="241"/>
      <c r="E1484" s="241"/>
      <c r="F1484" s="241"/>
      <c r="G1484" s="241"/>
      <c r="H1484" s="241"/>
      <c r="I1484"/>
      <c r="J1484" s="241"/>
      <c r="K1484" s="241"/>
      <c r="L1484" s="241"/>
      <c r="M1484" s="241"/>
      <c r="N1484" s="241"/>
      <c r="O1484" s="241"/>
      <c r="P1484" s="241"/>
      <c r="Q1484" s="241"/>
    </row>
    <row r="1485" spans="1:17" ht="13.5" customHeight="1" x14ac:dyDescent="0.3">
      <c r="A1485"/>
      <c r="B1485" s="241"/>
      <c r="C1485" s="241"/>
      <c r="D1485" s="241"/>
      <c r="E1485" s="241"/>
      <c r="F1485" s="241"/>
      <c r="G1485" s="241"/>
      <c r="H1485" s="241"/>
      <c r="I1485"/>
      <c r="J1485" s="241"/>
      <c r="K1485" s="241"/>
      <c r="L1485" s="241"/>
      <c r="M1485" s="241"/>
      <c r="N1485" s="241"/>
      <c r="O1485" s="241"/>
      <c r="P1485" s="241"/>
      <c r="Q1485" s="241"/>
    </row>
    <row r="1486" spans="1:17" ht="13.5" customHeight="1" x14ac:dyDescent="0.3">
      <c r="A1486"/>
      <c r="B1486" s="241"/>
      <c r="C1486" s="241"/>
      <c r="D1486" s="241"/>
      <c r="E1486" s="241"/>
      <c r="F1486" s="241"/>
      <c r="G1486" s="241"/>
      <c r="H1486" s="241"/>
      <c r="I1486"/>
      <c r="J1486" s="241"/>
      <c r="K1486" s="241"/>
      <c r="L1486" s="241"/>
      <c r="M1486" s="241"/>
      <c r="N1486" s="241"/>
      <c r="O1486" s="241"/>
      <c r="P1486" s="241"/>
      <c r="Q1486" s="241"/>
    </row>
    <row r="1487" spans="1:17" ht="13.5" customHeight="1" x14ac:dyDescent="0.3">
      <c r="A1487"/>
      <c r="B1487" s="241"/>
      <c r="C1487" s="241"/>
      <c r="D1487" s="241"/>
      <c r="E1487" s="241"/>
      <c r="F1487" s="241"/>
      <c r="G1487" s="241"/>
      <c r="H1487" s="241"/>
      <c r="I1487"/>
      <c r="J1487" s="241"/>
      <c r="K1487" s="241"/>
      <c r="L1487" s="241"/>
      <c r="M1487" s="241"/>
      <c r="N1487" s="241"/>
      <c r="O1487" s="241"/>
      <c r="P1487" s="241"/>
      <c r="Q1487" s="241"/>
    </row>
    <row r="1488" spans="1:17" ht="13.5" customHeight="1" x14ac:dyDescent="0.3">
      <c r="A1488"/>
      <c r="B1488" s="241"/>
      <c r="C1488" s="241"/>
      <c r="D1488" s="241"/>
      <c r="E1488" s="241"/>
      <c r="F1488" s="241"/>
      <c r="G1488" s="241"/>
      <c r="H1488" s="241"/>
      <c r="I1488"/>
      <c r="J1488" s="241"/>
      <c r="K1488" s="241"/>
      <c r="L1488" s="241"/>
      <c r="M1488" s="241"/>
      <c r="N1488" s="241"/>
      <c r="O1488" s="241"/>
      <c r="P1488" s="241"/>
      <c r="Q1488" s="241"/>
    </row>
    <row r="1489" spans="1:17" ht="13.5" customHeight="1" x14ac:dyDescent="0.3">
      <c r="A1489"/>
      <c r="B1489" s="241"/>
      <c r="C1489" s="241"/>
      <c r="D1489" s="241"/>
      <c r="E1489" s="241"/>
      <c r="F1489" s="241"/>
      <c r="G1489" s="241"/>
      <c r="H1489" s="241"/>
      <c r="I1489"/>
      <c r="J1489" s="241"/>
      <c r="K1489" s="241"/>
      <c r="L1489" s="241"/>
      <c r="M1489" s="241"/>
      <c r="N1489" s="241"/>
      <c r="O1489" s="241"/>
      <c r="P1489" s="241"/>
      <c r="Q1489" s="241"/>
    </row>
    <row r="1490" spans="1:17" ht="13.5" customHeight="1" x14ac:dyDescent="0.3">
      <c r="A1490"/>
      <c r="B1490" s="241"/>
      <c r="C1490" s="241"/>
      <c r="D1490" s="241"/>
      <c r="E1490" s="241"/>
      <c r="F1490" s="241"/>
      <c r="G1490" s="241"/>
      <c r="H1490" s="241"/>
      <c r="I1490"/>
      <c r="J1490" s="241"/>
      <c r="K1490" s="241"/>
      <c r="L1490" s="241"/>
      <c r="M1490" s="241"/>
      <c r="N1490" s="241"/>
      <c r="O1490" s="241"/>
      <c r="P1490" s="241"/>
      <c r="Q1490" s="241"/>
    </row>
    <row r="1491" spans="1:17" ht="13.5" customHeight="1" x14ac:dyDescent="0.3">
      <c r="A1491"/>
      <c r="B1491" s="241"/>
      <c r="C1491" s="241"/>
      <c r="D1491" s="241"/>
      <c r="E1491" s="241"/>
      <c r="F1491" s="241"/>
      <c r="G1491" s="241"/>
      <c r="H1491" s="241"/>
      <c r="I1491"/>
      <c r="J1491" s="241"/>
      <c r="K1491" s="241"/>
      <c r="L1491" s="241"/>
      <c r="M1491" s="241"/>
      <c r="N1491" s="241"/>
      <c r="O1491" s="241"/>
      <c r="P1491" s="241"/>
      <c r="Q1491" s="241"/>
    </row>
    <row r="1492" spans="1:17" ht="13.5" customHeight="1" x14ac:dyDescent="0.3">
      <c r="A1492"/>
      <c r="B1492" s="241"/>
      <c r="C1492" s="241"/>
      <c r="D1492" s="241"/>
      <c r="E1492" s="241"/>
      <c r="F1492" s="241"/>
      <c r="G1492" s="241"/>
      <c r="H1492" s="241"/>
      <c r="I1492"/>
      <c r="J1492" s="241"/>
      <c r="K1492" s="241"/>
      <c r="L1492" s="241"/>
      <c r="M1492" s="241"/>
      <c r="N1492" s="241"/>
      <c r="O1492" s="241"/>
      <c r="P1492" s="241"/>
      <c r="Q1492" s="241"/>
    </row>
    <row r="1493" spans="1:17" ht="13.5" customHeight="1" x14ac:dyDescent="0.3">
      <c r="A1493"/>
      <c r="B1493" s="241"/>
      <c r="C1493" s="241"/>
      <c r="D1493" s="241"/>
      <c r="E1493" s="241"/>
      <c r="F1493" s="241"/>
      <c r="G1493" s="241"/>
      <c r="H1493" s="241"/>
      <c r="I1493"/>
      <c r="J1493" s="241"/>
      <c r="K1493" s="241"/>
      <c r="L1493" s="241"/>
      <c r="M1493" s="241"/>
      <c r="N1493" s="241"/>
      <c r="O1493" s="241"/>
      <c r="P1493" s="241"/>
      <c r="Q1493" s="241"/>
    </row>
    <row r="1494" spans="1:17" ht="13.5" customHeight="1" x14ac:dyDescent="0.3">
      <c r="A1494"/>
      <c r="B1494" s="241"/>
      <c r="C1494" s="241"/>
      <c r="D1494" s="241"/>
      <c r="E1494" s="241"/>
      <c r="F1494" s="241"/>
      <c r="G1494" s="241"/>
      <c r="H1494" s="241"/>
      <c r="I1494"/>
      <c r="J1494" s="241"/>
      <c r="K1494" s="241"/>
      <c r="L1494" s="241"/>
      <c r="M1494" s="241"/>
      <c r="N1494" s="241"/>
      <c r="O1494" s="241"/>
      <c r="P1494" s="241"/>
      <c r="Q1494" s="241"/>
    </row>
    <row r="1495" spans="1:17" ht="13.5" customHeight="1" x14ac:dyDescent="0.3">
      <c r="A1495"/>
      <c r="B1495" s="241"/>
      <c r="C1495" s="241"/>
      <c r="D1495" s="241"/>
      <c r="E1495" s="241"/>
      <c r="F1495" s="241"/>
      <c r="G1495" s="241"/>
      <c r="H1495" s="241"/>
      <c r="I1495"/>
      <c r="J1495" s="241"/>
      <c r="K1495" s="241"/>
      <c r="L1495" s="241"/>
      <c r="M1495" s="241"/>
      <c r="N1495" s="241"/>
      <c r="O1495" s="241"/>
      <c r="P1495" s="241"/>
      <c r="Q1495" s="241"/>
    </row>
    <row r="1496" spans="1:17" ht="13.5" customHeight="1" x14ac:dyDescent="0.3">
      <c r="A1496"/>
      <c r="B1496" s="241"/>
      <c r="C1496" s="241"/>
      <c r="D1496" s="241"/>
      <c r="E1496" s="241"/>
      <c r="F1496" s="241"/>
      <c r="G1496" s="241"/>
      <c r="H1496" s="241"/>
      <c r="I1496"/>
      <c r="J1496" s="241"/>
      <c r="K1496" s="241"/>
      <c r="L1496" s="241"/>
      <c r="M1496" s="241"/>
      <c r="N1496" s="241"/>
      <c r="O1496" s="241"/>
      <c r="P1496" s="241"/>
      <c r="Q1496" s="241"/>
    </row>
    <row r="1497" spans="1:17" ht="13.5" customHeight="1" x14ac:dyDescent="0.3">
      <c r="A1497"/>
      <c r="B1497" s="241"/>
      <c r="C1497" s="241"/>
      <c r="D1497" s="241"/>
      <c r="E1497" s="241"/>
      <c r="F1497" s="241"/>
      <c r="G1497" s="241"/>
      <c r="H1497" s="241"/>
      <c r="I1497"/>
      <c r="J1497" s="241"/>
      <c r="K1497" s="241"/>
      <c r="L1497" s="241"/>
      <c r="M1497" s="241"/>
      <c r="N1497" s="241"/>
      <c r="O1497" s="241"/>
      <c r="P1497" s="241"/>
      <c r="Q1497" s="241"/>
    </row>
    <row r="1498" spans="1:17" ht="13.5" customHeight="1" x14ac:dyDescent="0.3">
      <c r="A1498"/>
      <c r="B1498" s="241"/>
      <c r="C1498" s="241"/>
      <c r="D1498" s="241"/>
      <c r="E1498" s="241"/>
      <c r="F1498" s="241"/>
      <c r="G1498" s="241"/>
      <c r="H1498" s="241"/>
      <c r="I1498"/>
      <c r="J1498" s="241"/>
      <c r="K1498" s="241"/>
      <c r="L1498" s="241"/>
      <c r="M1498" s="241"/>
      <c r="N1498" s="241"/>
      <c r="O1498" s="241"/>
      <c r="P1498" s="241"/>
      <c r="Q1498" s="241"/>
    </row>
    <row r="1499" spans="1:17" ht="13.5" customHeight="1" x14ac:dyDescent="0.3">
      <c r="A1499"/>
      <c r="B1499" s="241"/>
      <c r="C1499" s="241"/>
      <c r="D1499" s="241"/>
      <c r="E1499" s="241"/>
      <c r="F1499" s="241"/>
      <c r="G1499" s="241"/>
      <c r="H1499" s="241"/>
      <c r="I1499"/>
      <c r="J1499" s="241"/>
      <c r="K1499" s="241"/>
      <c r="L1499" s="241"/>
      <c r="M1499" s="241"/>
      <c r="N1499" s="241"/>
      <c r="O1499" s="241"/>
      <c r="P1499" s="241"/>
      <c r="Q1499" s="241"/>
    </row>
    <row r="1500" spans="1:17" ht="13.5" customHeight="1" x14ac:dyDescent="0.3">
      <c r="A1500"/>
      <c r="B1500" s="241"/>
      <c r="C1500" s="241"/>
      <c r="D1500" s="241"/>
      <c r="E1500" s="241"/>
      <c r="F1500" s="241"/>
      <c r="G1500" s="241"/>
      <c r="H1500" s="241"/>
      <c r="I1500"/>
      <c r="J1500" s="241"/>
      <c r="K1500" s="241"/>
      <c r="L1500" s="241"/>
      <c r="M1500" s="241"/>
      <c r="N1500" s="241"/>
      <c r="O1500" s="241"/>
      <c r="P1500" s="241"/>
      <c r="Q1500" s="241"/>
    </row>
    <row r="1501" spans="1:17" ht="13.5" customHeight="1" x14ac:dyDescent="0.3">
      <c r="A1501"/>
      <c r="B1501" s="241"/>
      <c r="C1501" s="241"/>
      <c r="D1501" s="241"/>
      <c r="E1501" s="241"/>
      <c r="F1501" s="241"/>
      <c r="G1501" s="241"/>
      <c r="H1501" s="241"/>
      <c r="I1501"/>
      <c r="J1501" s="241"/>
      <c r="K1501" s="241"/>
      <c r="L1501" s="241"/>
      <c r="M1501" s="241"/>
      <c r="N1501" s="241"/>
      <c r="O1501" s="241"/>
      <c r="P1501" s="241"/>
      <c r="Q1501" s="241"/>
    </row>
    <row r="1502" spans="1:17" ht="13.5" customHeight="1" x14ac:dyDescent="0.3">
      <c r="A1502"/>
      <c r="B1502" s="241"/>
      <c r="C1502" s="241"/>
      <c r="D1502" s="241"/>
      <c r="E1502" s="241"/>
      <c r="F1502" s="241"/>
      <c r="G1502" s="241"/>
      <c r="H1502" s="241"/>
      <c r="I1502"/>
      <c r="J1502" s="241"/>
      <c r="K1502" s="241"/>
      <c r="L1502" s="241"/>
      <c r="M1502" s="241"/>
      <c r="N1502" s="241"/>
      <c r="O1502" s="241"/>
      <c r="P1502" s="241"/>
      <c r="Q1502" s="241"/>
    </row>
    <row r="1503" spans="1:17" ht="13.5" customHeight="1" x14ac:dyDescent="0.3">
      <c r="A1503"/>
      <c r="B1503" s="241"/>
      <c r="C1503" s="241"/>
      <c r="D1503" s="241"/>
      <c r="E1503" s="241"/>
      <c r="F1503" s="241"/>
      <c r="G1503" s="241"/>
      <c r="H1503" s="241"/>
      <c r="I1503"/>
      <c r="J1503" s="241"/>
      <c r="K1503" s="241"/>
      <c r="L1503" s="241"/>
      <c r="M1503" s="241"/>
      <c r="N1503" s="241"/>
      <c r="O1503" s="241"/>
      <c r="P1503" s="241"/>
      <c r="Q1503" s="241"/>
    </row>
    <row r="1504" spans="1:17" ht="13.5" customHeight="1" x14ac:dyDescent="0.3">
      <c r="A1504"/>
      <c r="B1504" s="241"/>
      <c r="C1504" s="241"/>
      <c r="D1504" s="241"/>
      <c r="E1504" s="241"/>
      <c r="F1504" s="241"/>
      <c r="G1504" s="241"/>
      <c r="H1504" s="241"/>
      <c r="I1504"/>
      <c r="J1504" s="241"/>
      <c r="K1504" s="241"/>
      <c r="L1504" s="241"/>
      <c r="M1504" s="241"/>
      <c r="N1504" s="241"/>
      <c r="O1504" s="241"/>
      <c r="P1504" s="241"/>
      <c r="Q1504" s="241"/>
    </row>
    <row r="1505" spans="1:17" ht="13.5" customHeight="1" x14ac:dyDescent="0.3">
      <c r="A1505"/>
      <c r="B1505" s="241"/>
      <c r="C1505" s="241"/>
      <c r="D1505" s="241"/>
      <c r="E1505" s="241"/>
      <c r="F1505" s="241"/>
      <c r="G1505" s="241"/>
      <c r="H1505" s="241"/>
      <c r="I1505"/>
      <c r="J1505" s="241"/>
      <c r="K1505" s="241"/>
      <c r="L1505" s="241"/>
      <c r="M1505" s="241"/>
      <c r="N1505" s="241"/>
      <c r="O1505" s="241"/>
      <c r="P1505" s="241"/>
      <c r="Q1505" s="241"/>
    </row>
    <row r="1506" spans="1:17" ht="13.5" customHeight="1" x14ac:dyDescent="0.3">
      <c r="A1506"/>
      <c r="B1506" s="241"/>
      <c r="C1506" s="241"/>
      <c r="D1506" s="241"/>
      <c r="E1506" s="241"/>
      <c r="F1506" s="241"/>
      <c r="G1506" s="241"/>
      <c r="H1506" s="241"/>
      <c r="I1506"/>
      <c r="J1506" s="241"/>
      <c r="K1506" s="241"/>
      <c r="L1506" s="241"/>
      <c r="M1506" s="241"/>
      <c r="N1506" s="241"/>
      <c r="O1506" s="241"/>
      <c r="P1506" s="241"/>
      <c r="Q1506" s="241"/>
    </row>
    <row r="1507" spans="1:17" ht="13.5" customHeight="1" x14ac:dyDescent="0.3">
      <c r="A1507"/>
      <c r="B1507" s="241"/>
      <c r="C1507" s="241"/>
      <c r="D1507" s="241"/>
      <c r="E1507" s="241"/>
      <c r="F1507" s="241"/>
      <c r="G1507" s="241"/>
      <c r="H1507" s="241"/>
      <c r="I1507"/>
      <c r="J1507" s="241"/>
      <c r="K1507" s="241"/>
      <c r="L1507" s="241"/>
      <c r="M1507" s="241"/>
      <c r="N1507" s="241"/>
      <c r="O1507" s="241"/>
      <c r="P1507" s="241"/>
      <c r="Q1507" s="241"/>
    </row>
    <row r="1508" spans="1:17" ht="13.5" customHeight="1" x14ac:dyDescent="0.3">
      <c r="A1508"/>
      <c r="B1508" s="241"/>
      <c r="C1508" s="241"/>
      <c r="D1508" s="241"/>
      <c r="E1508" s="241"/>
      <c r="F1508" s="241"/>
      <c r="G1508" s="241"/>
      <c r="H1508" s="241"/>
      <c r="I1508"/>
      <c r="J1508" s="241"/>
      <c r="K1508" s="241"/>
      <c r="L1508" s="241"/>
      <c r="M1508" s="241"/>
      <c r="N1508" s="241"/>
      <c r="O1508" s="241"/>
      <c r="P1508" s="241"/>
      <c r="Q1508" s="241"/>
    </row>
    <row r="1509" spans="1:17" ht="13.5" customHeight="1" x14ac:dyDescent="0.3">
      <c r="A1509"/>
      <c r="B1509" s="241"/>
      <c r="C1509" s="241"/>
      <c r="D1509" s="241"/>
      <c r="E1509" s="241"/>
      <c r="F1509" s="241"/>
      <c r="G1509" s="241"/>
      <c r="H1509" s="241"/>
      <c r="I1509"/>
      <c r="J1509" s="241"/>
      <c r="K1509" s="241"/>
      <c r="L1509" s="241"/>
      <c r="M1509" s="241"/>
      <c r="N1509" s="241"/>
      <c r="O1509" s="241"/>
      <c r="P1509" s="241"/>
      <c r="Q1509" s="241"/>
    </row>
    <row r="1510" spans="1:17" ht="13.5" customHeight="1" x14ac:dyDescent="0.3">
      <c r="A1510"/>
      <c r="B1510" s="241"/>
      <c r="C1510" s="241"/>
      <c r="D1510" s="241"/>
      <c r="E1510" s="241"/>
      <c r="F1510" s="241"/>
      <c r="G1510" s="241"/>
      <c r="H1510" s="241"/>
      <c r="I1510"/>
      <c r="J1510" s="241"/>
      <c r="K1510" s="241"/>
      <c r="L1510" s="241"/>
      <c r="M1510" s="241"/>
      <c r="N1510" s="241"/>
      <c r="O1510" s="241"/>
      <c r="P1510" s="241"/>
      <c r="Q1510" s="241"/>
    </row>
    <row r="1511" spans="1:17" ht="13.5" customHeight="1" x14ac:dyDescent="0.3">
      <c r="A1511"/>
      <c r="B1511" s="241"/>
      <c r="C1511" s="241"/>
      <c r="D1511" s="241"/>
      <c r="E1511" s="241"/>
      <c r="F1511" s="241"/>
      <c r="G1511" s="241"/>
      <c r="H1511" s="241"/>
      <c r="I1511"/>
      <c r="J1511" s="241"/>
      <c r="K1511" s="241"/>
      <c r="L1511" s="241"/>
      <c r="M1511" s="241"/>
      <c r="N1511" s="241"/>
      <c r="O1511" s="241"/>
      <c r="P1511" s="241"/>
      <c r="Q1511" s="241"/>
    </row>
    <row r="1512" spans="1:17" ht="13.5" customHeight="1" x14ac:dyDescent="0.3">
      <c r="A1512"/>
      <c r="B1512" s="241"/>
      <c r="C1512" s="241"/>
      <c r="D1512" s="241"/>
      <c r="E1512" s="241"/>
      <c r="F1512" s="241"/>
      <c r="G1512" s="241"/>
      <c r="H1512" s="241"/>
      <c r="I1512"/>
      <c r="J1512" s="241"/>
      <c r="K1512" s="241"/>
      <c r="L1512" s="241"/>
      <c r="M1512" s="241"/>
      <c r="N1512" s="241"/>
      <c r="O1512" s="241"/>
      <c r="P1512" s="241"/>
      <c r="Q1512" s="241"/>
    </row>
    <row r="1513" spans="1:17" ht="13.5" customHeight="1" x14ac:dyDescent="0.3">
      <c r="A1513"/>
      <c r="B1513" s="241"/>
      <c r="C1513" s="241"/>
      <c r="D1513" s="241"/>
      <c r="E1513" s="241"/>
      <c r="F1513" s="241"/>
      <c r="G1513" s="241"/>
      <c r="H1513" s="241"/>
      <c r="I1513"/>
      <c r="J1513" s="241"/>
      <c r="K1513" s="241"/>
      <c r="L1513" s="241"/>
      <c r="M1513" s="241"/>
      <c r="N1513" s="241"/>
      <c r="O1513" s="241"/>
      <c r="P1513" s="241"/>
      <c r="Q1513" s="241"/>
    </row>
    <row r="1514" spans="1:17" ht="13.5" customHeight="1" x14ac:dyDescent="0.3">
      <c r="A1514"/>
      <c r="B1514" s="241"/>
      <c r="C1514" s="241"/>
      <c r="D1514" s="241"/>
      <c r="E1514" s="241"/>
      <c r="F1514" s="241"/>
      <c r="G1514" s="241"/>
      <c r="H1514" s="241"/>
      <c r="I1514"/>
      <c r="J1514" s="241"/>
      <c r="K1514" s="241"/>
      <c r="L1514" s="241"/>
      <c r="M1514" s="241"/>
      <c r="N1514" s="241"/>
      <c r="O1514" s="241"/>
      <c r="P1514" s="241"/>
      <c r="Q1514" s="241"/>
    </row>
    <row r="1515" spans="1:17" ht="13.5" customHeight="1" x14ac:dyDescent="0.3">
      <c r="A1515"/>
      <c r="B1515" s="241"/>
      <c r="C1515" s="241"/>
      <c r="D1515" s="241"/>
      <c r="E1515" s="241"/>
      <c r="F1515" s="241"/>
      <c r="G1515" s="241"/>
      <c r="H1515" s="241"/>
      <c r="I1515"/>
      <c r="J1515" s="241"/>
      <c r="K1515" s="241"/>
      <c r="L1515" s="241"/>
      <c r="M1515" s="241"/>
      <c r="N1515" s="241"/>
      <c r="O1515" s="241"/>
      <c r="P1515" s="241"/>
      <c r="Q1515" s="241"/>
    </row>
    <row r="1516" spans="1:17" ht="13.5" customHeight="1" x14ac:dyDescent="0.3">
      <c r="A1516"/>
      <c r="B1516" s="241"/>
      <c r="C1516" s="241"/>
      <c r="D1516" s="241"/>
      <c r="E1516" s="241"/>
      <c r="F1516" s="241"/>
      <c r="G1516" s="241"/>
      <c r="H1516" s="241"/>
      <c r="I1516"/>
      <c r="J1516" s="241"/>
      <c r="K1516" s="241"/>
      <c r="L1516" s="241"/>
      <c r="M1516" s="241"/>
      <c r="N1516" s="241"/>
      <c r="O1516" s="241"/>
      <c r="P1516" s="241"/>
      <c r="Q1516" s="241"/>
    </row>
    <row r="1517" spans="1:17" ht="13.5" customHeight="1" x14ac:dyDescent="0.3">
      <c r="A1517"/>
      <c r="B1517" s="241"/>
      <c r="C1517" s="241"/>
      <c r="D1517" s="241"/>
      <c r="E1517" s="241"/>
      <c r="F1517" s="241"/>
      <c r="G1517" s="241"/>
      <c r="H1517" s="241"/>
      <c r="I1517"/>
      <c r="J1517" s="241"/>
      <c r="K1517" s="241"/>
      <c r="L1517" s="241"/>
      <c r="M1517" s="241"/>
      <c r="N1517" s="241"/>
      <c r="O1517" s="241"/>
      <c r="P1517" s="241"/>
      <c r="Q1517" s="241"/>
    </row>
    <row r="1518" spans="1:17" ht="13.5" customHeight="1" x14ac:dyDescent="0.3">
      <c r="A1518"/>
      <c r="B1518" s="241"/>
      <c r="C1518" s="241"/>
      <c r="D1518" s="241"/>
      <c r="E1518" s="241"/>
      <c r="F1518" s="241"/>
      <c r="G1518" s="241"/>
      <c r="H1518" s="241"/>
      <c r="I1518"/>
      <c r="J1518" s="241"/>
      <c r="K1518" s="241"/>
      <c r="L1518" s="241"/>
      <c r="M1518" s="241"/>
      <c r="N1518" s="241"/>
      <c r="O1518" s="241"/>
      <c r="P1518" s="241"/>
      <c r="Q1518" s="241"/>
    </row>
    <row r="1519" spans="1:17" ht="13.5" customHeight="1" x14ac:dyDescent="0.3">
      <c r="A1519"/>
      <c r="B1519" s="241"/>
      <c r="C1519" s="241"/>
      <c r="D1519" s="241"/>
      <c r="E1519" s="241"/>
      <c r="F1519" s="241"/>
      <c r="G1519" s="241"/>
      <c r="H1519" s="241"/>
      <c r="I1519"/>
      <c r="J1519" s="241"/>
      <c r="K1519" s="241"/>
      <c r="L1519" s="241"/>
      <c r="M1519" s="241"/>
      <c r="N1519" s="241"/>
      <c r="O1519" s="241"/>
      <c r="P1519" s="241"/>
      <c r="Q1519" s="241"/>
    </row>
    <row r="1520" spans="1:17" ht="13.5" customHeight="1" x14ac:dyDescent="0.3">
      <c r="A1520"/>
      <c r="B1520" s="241"/>
      <c r="C1520" s="241"/>
      <c r="D1520" s="241"/>
      <c r="E1520" s="241"/>
      <c r="F1520" s="241"/>
      <c r="G1520" s="241"/>
      <c r="H1520" s="241"/>
      <c r="I1520"/>
      <c r="J1520" s="241"/>
      <c r="K1520" s="241"/>
      <c r="L1520" s="241"/>
      <c r="M1520" s="241"/>
      <c r="N1520" s="241"/>
      <c r="O1520" s="241"/>
      <c r="P1520" s="241"/>
      <c r="Q1520" s="241"/>
    </row>
    <row r="1521" spans="1:17" ht="13.5" customHeight="1" x14ac:dyDescent="0.3">
      <c r="A1521"/>
      <c r="B1521" s="241"/>
      <c r="C1521" s="241"/>
      <c r="D1521" s="241"/>
      <c r="E1521" s="241"/>
      <c r="F1521" s="241"/>
      <c r="G1521" s="241"/>
      <c r="H1521" s="241"/>
      <c r="I1521"/>
      <c r="J1521" s="241"/>
      <c r="K1521" s="241"/>
      <c r="L1521" s="241"/>
      <c r="M1521" s="241"/>
      <c r="N1521" s="241"/>
      <c r="O1521" s="241"/>
      <c r="P1521" s="241"/>
      <c r="Q1521" s="241"/>
    </row>
    <row r="1522" spans="1:17" ht="13.5" customHeight="1" x14ac:dyDescent="0.3">
      <c r="A1522"/>
      <c r="B1522" s="241"/>
      <c r="C1522" s="241"/>
      <c r="D1522" s="241"/>
      <c r="E1522" s="241"/>
      <c r="F1522" s="241"/>
      <c r="G1522" s="241"/>
      <c r="H1522" s="241"/>
      <c r="I1522"/>
      <c r="J1522" s="241"/>
      <c r="K1522" s="241"/>
      <c r="L1522" s="241"/>
      <c r="M1522" s="241"/>
      <c r="N1522" s="241"/>
      <c r="O1522" s="241"/>
      <c r="P1522" s="241"/>
      <c r="Q1522" s="241"/>
    </row>
    <row r="1523" spans="1:17" ht="13.5" customHeight="1" x14ac:dyDescent="0.3">
      <c r="A1523"/>
      <c r="B1523" s="241"/>
      <c r="C1523" s="241"/>
      <c r="D1523" s="241"/>
      <c r="E1523" s="241"/>
      <c r="F1523" s="241"/>
      <c r="G1523" s="241"/>
      <c r="H1523" s="241"/>
      <c r="I1523"/>
      <c r="J1523" s="241"/>
      <c r="K1523" s="241"/>
      <c r="L1523" s="241"/>
      <c r="M1523" s="241"/>
      <c r="N1523" s="241"/>
      <c r="O1523" s="241"/>
      <c r="P1523" s="241"/>
      <c r="Q1523" s="241"/>
    </row>
    <row r="1524" spans="1:17" ht="13.5" customHeight="1" x14ac:dyDescent="0.3">
      <c r="A1524"/>
      <c r="B1524" s="241"/>
      <c r="C1524" s="241"/>
      <c r="D1524" s="241"/>
      <c r="E1524" s="241"/>
      <c r="F1524" s="241"/>
      <c r="G1524" s="241"/>
      <c r="H1524" s="241"/>
      <c r="I1524"/>
      <c r="J1524" s="241"/>
      <c r="K1524" s="241"/>
      <c r="L1524" s="241"/>
      <c r="M1524" s="241"/>
      <c r="N1524" s="241"/>
      <c r="O1524" s="241"/>
      <c r="P1524" s="241"/>
      <c r="Q1524" s="241"/>
    </row>
    <row r="1525" spans="1:17" ht="13.5" customHeight="1" x14ac:dyDescent="0.3">
      <c r="A1525"/>
      <c r="B1525" s="241"/>
      <c r="C1525" s="241"/>
      <c r="D1525" s="241"/>
      <c r="E1525" s="241"/>
      <c r="F1525" s="241"/>
      <c r="G1525" s="241"/>
      <c r="H1525" s="241"/>
      <c r="I1525"/>
      <c r="J1525" s="241"/>
      <c r="K1525" s="241"/>
      <c r="L1525" s="241"/>
      <c r="M1525" s="241"/>
      <c r="N1525" s="241"/>
      <c r="O1525" s="241"/>
      <c r="P1525" s="241"/>
      <c r="Q1525" s="241"/>
    </row>
    <row r="1526" spans="1:17" ht="13.5" customHeight="1" x14ac:dyDescent="0.3">
      <c r="A1526"/>
      <c r="B1526" s="241"/>
      <c r="C1526" s="241"/>
      <c r="D1526" s="241"/>
      <c r="E1526" s="241"/>
      <c r="F1526" s="241"/>
      <c r="G1526" s="241"/>
      <c r="H1526" s="241"/>
      <c r="I1526"/>
      <c r="J1526" s="241"/>
      <c r="K1526" s="241"/>
      <c r="L1526" s="241"/>
      <c r="M1526" s="241"/>
      <c r="N1526" s="241"/>
      <c r="O1526" s="241"/>
      <c r="P1526" s="241"/>
      <c r="Q1526" s="241"/>
    </row>
    <row r="1527" spans="1:17" ht="13.5" customHeight="1" x14ac:dyDescent="0.3">
      <c r="A1527"/>
      <c r="B1527" s="241"/>
      <c r="C1527" s="241"/>
      <c r="D1527" s="241"/>
      <c r="E1527" s="241"/>
      <c r="F1527" s="241"/>
      <c r="G1527" s="241"/>
      <c r="H1527" s="241"/>
      <c r="I1527"/>
      <c r="J1527" s="241"/>
      <c r="K1527" s="241"/>
      <c r="L1527" s="241"/>
      <c r="M1527" s="241"/>
      <c r="N1527" s="241"/>
      <c r="O1527" s="241"/>
      <c r="P1527" s="241"/>
      <c r="Q1527" s="241"/>
    </row>
    <row r="1528" spans="1:17" ht="13.5" customHeight="1" x14ac:dyDescent="0.3">
      <c r="A1528"/>
      <c r="B1528" s="241"/>
      <c r="C1528" s="241"/>
      <c r="D1528" s="241"/>
      <c r="E1528" s="241"/>
      <c r="F1528" s="241"/>
      <c r="G1528" s="241"/>
      <c r="H1528" s="241"/>
      <c r="I1528"/>
      <c r="J1528" s="241"/>
      <c r="K1528" s="241"/>
      <c r="L1528" s="241"/>
      <c r="M1528" s="241"/>
      <c r="N1528" s="241"/>
      <c r="O1528" s="241"/>
      <c r="P1528" s="241"/>
      <c r="Q1528" s="241"/>
    </row>
    <row r="1529" spans="1:17" ht="13.5" customHeight="1" x14ac:dyDescent="0.3">
      <c r="A1529"/>
      <c r="B1529" s="241"/>
      <c r="C1529" s="241"/>
      <c r="D1529" s="241"/>
      <c r="E1529" s="241"/>
      <c r="F1529" s="241"/>
      <c r="G1529" s="241"/>
      <c r="H1529" s="241"/>
      <c r="I1529"/>
      <c r="J1529" s="241"/>
      <c r="K1529" s="241"/>
      <c r="L1529" s="241"/>
      <c r="M1529" s="241"/>
      <c r="N1529" s="241"/>
      <c r="O1529" s="241"/>
      <c r="P1529" s="241"/>
      <c r="Q1529" s="241"/>
    </row>
    <row r="1530" spans="1:17" ht="13.5" customHeight="1" x14ac:dyDescent="0.3">
      <c r="A1530"/>
      <c r="B1530" s="241"/>
      <c r="C1530" s="241"/>
      <c r="D1530" s="241"/>
      <c r="E1530" s="241"/>
      <c r="F1530" s="241"/>
      <c r="G1530" s="241"/>
      <c r="H1530" s="241"/>
      <c r="I1530"/>
      <c r="J1530" s="241"/>
      <c r="K1530" s="241"/>
      <c r="L1530" s="241"/>
      <c r="M1530" s="241"/>
      <c r="N1530" s="241"/>
      <c r="O1530" s="241"/>
      <c r="P1530" s="241"/>
      <c r="Q1530" s="241"/>
    </row>
    <row r="1531" spans="1:17" ht="13.5" customHeight="1" x14ac:dyDescent="0.3">
      <c r="A1531"/>
      <c r="B1531" s="241"/>
      <c r="C1531" s="241"/>
      <c r="D1531" s="241"/>
      <c r="E1531" s="241"/>
      <c r="F1531" s="241"/>
      <c r="G1531" s="241"/>
      <c r="H1531" s="241"/>
      <c r="I1531"/>
      <c r="J1531" s="241"/>
      <c r="K1531" s="241"/>
      <c r="L1531" s="241"/>
      <c r="M1531" s="241"/>
      <c r="N1531" s="241"/>
      <c r="O1531" s="241"/>
      <c r="P1531" s="241"/>
      <c r="Q1531" s="241"/>
    </row>
    <row r="1532" spans="1:17" ht="13.5" customHeight="1" x14ac:dyDescent="0.3">
      <c r="A1532"/>
      <c r="B1532" s="241"/>
      <c r="C1532" s="241"/>
      <c r="D1532" s="241"/>
      <c r="E1532" s="241"/>
      <c r="F1532" s="241"/>
      <c r="G1532" s="241"/>
      <c r="H1532" s="241"/>
      <c r="I1532"/>
      <c r="J1532" s="241"/>
      <c r="K1532" s="241"/>
      <c r="L1532" s="241"/>
      <c r="M1532" s="241"/>
      <c r="N1532" s="241"/>
      <c r="O1532" s="241"/>
      <c r="P1532" s="241"/>
      <c r="Q1532" s="241"/>
    </row>
    <row r="1533" spans="1:17" ht="13.5" customHeight="1" x14ac:dyDescent="0.3">
      <c r="A1533"/>
      <c r="B1533" s="241"/>
      <c r="C1533" s="241"/>
      <c r="D1533" s="241"/>
      <c r="E1533" s="241"/>
      <c r="F1533" s="241"/>
      <c r="G1533" s="241"/>
      <c r="H1533" s="241"/>
      <c r="I1533"/>
      <c r="J1533" s="241"/>
      <c r="K1533" s="241"/>
      <c r="L1533" s="241"/>
      <c r="M1533" s="241"/>
      <c r="N1533" s="241"/>
      <c r="O1533" s="241"/>
      <c r="P1533" s="241"/>
      <c r="Q1533" s="241"/>
    </row>
    <row r="1534" spans="1:17" ht="13.5" customHeight="1" x14ac:dyDescent="0.3">
      <c r="A1534"/>
      <c r="B1534" s="241"/>
      <c r="C1534" s="241"/>
      <c r="D1534" s="241"/>
      <c r="E1534" s="241"/>
      <c r="F1534" s="241"/>
      <c r="G1534" s="241"/>
      <c r="H1534" s="241"/>
      <c r="I1534"/>
      <c r="J1534" s="241"/>
      <c r="K1534" s="241"/>
      <c r="L1534" s="241"/>
      <c r="M1534" s="241"/>
      <c r="N1534" s="241"/>
      <c r="O1534" s="241"/>
      <c r="P1534" s="241"/>
      <c r="Q1534" s="241"/>
    </row>
    <row r="1535" spans="1:17" ht="13.5" customHeight="1" x14ac:dyDescent="0.3">
      <c r="A1535"/>
      <c r="B1535" s="241"/>
      <c r="C1535" s="241"/>
      <c r="D1535" s="241"/>
      <c r="E1535" s="241"/>
      <c r="F1535" s="241"/>
      <c r="G1535" s="241"/>
      <c r="H1535" s="241"/>
      <c r="I1535"/>
      <c r="J1535" s="241"/>
      <c r="K1535" s="241"/>
      <c r="L1535" s="241"/>
      <c r="M1535" s="241"/>
      <c r="N1535" s="241"/>
      <c r="O1535" s="241"/>
      <c r="P1535" s="241"/>
      <c r="Q1535" s="241"/>
    </row>
    <row r="1536" spans="1:17" ht="13.5" customHeight="1" x14ac:dyDescent="0.3">
      <c r="A1536"/>
      <c r="B1536" s="241"/>
      <c r="C1536" s="241"/>
      <c r="D1536" s="241"/>
      <c r="E1536" s="241"/>
      <c r="F1536" s="241"/>
      <c r="G1536" s="241"/>
      <c r="H1536" s="241"/>
      <c r="I1536"/>
      <c r="J1536" s="241"/>
      <c r="K1536" s="241"/>
      <c r="L1536" s="241"/>
      <c r="M1536" s="241"/>
      <c r="N1536" s="241"/>
      <c r="O1536" s="241"/>
      <c r="P1536" s="241"/>
      <c r="Q1536" s="241"/>
    </row>
    <row r="1537" spans="1:17" ht="13.5" customHeight="1" x14ac:dyDescent="0.3">
      <c r="A1537"/>
      <c r="B1537" s="241"/>
      <c r="C1537" s="241"/>
      <c r="D1537" s="241"/>
      <c r="E1537" s="241"/>
      <c r="F1537" s="241"/>
      <c r="G1537" s="241"/>
      <c r="H1537" s="241"/>
      <c r="I1537"/>
      <c r="J1537" s="241"/>
      <c r="K1537" s="241"/>
      <c r="L1537" s="241"/>
      <c r="M1537" s="241"/>
      <c r="N1537" s="241"/>
      <c r="O1537" s="241"/>
      <c r="P1537" s="241"/>
      <c r="Q1537" s="241"/>
    </row>
    <row r="1538" spans="1:17" ht="13.5" customHeight="1" x14ac:dyDescent="0.3">
      <c r="A1538"/>
      <c r="B1538" s="241"/>
      <c r="C1538" s="241"/>
      <c r="D1538" s="241"/>
      <c r="E1538" s="241"/>
      <c r="F1538" s="241"/>
      <c r="G1538" s="241"/>
      <c r="H1538" s="241"/>
      <c r="I1538"/>
      <c r="J1538" s="241"/>
      <c r="K1538" s="241"/>
      <c r="L1538" s="241"/>
      <c r="M1538" s="241"/>
      <c r="N1538" s="241"/>
      <c r="O1538" s="241"/>
      <c r="P1538" s="241"/>
      <c r="Q1538" s="241"/>
    </row>
    <row r="1539" spans="1:17" ht="13.5" customHeight="1" x14ac:dyDescent="0.3">
      <c r="A1539"/>
      <c r="B1539" s="241"/>
      <c r="C1539" s="241"/>
      <c r="D1539" s="241"/>
      <c r="E1539" s="241"/>
      <c r="F1539" s="241"/>
      <c r="G1539" s="241"/>
      <c r="H1539" s="241"/>
      <c r="I1539"/>
      <c r="J1539" s="241"/>
      <c r="K1539" s="241"/>
      <c r="L1539" s="241"/>
      <c r="M1539" s="241"/>
      <c r="N1539" s="241"/>
      <c r="O1539" s="241"/>
      <c r="P1539" s="241"/>
      <c r="Q1539" s="241"/>
    </row>
    <row r="1540" spans="1:17" ht="13.5" customHeight="1" x14ac:dyDescent="0.3">
      <c r="A1540"/>
      <c r="B1540" s="241"/>
      <c r="C1540" s="241"/>
      <c r="D1540" s="241"/>
      <c r="E1540" s="241"/>
      <c r="F1540" s="241"/>
      <c r="G1540" s="241"/>
      <c r="H1540" s="241"/>
      <c r="I1540"/>
      <c r="J1540" s="241"/>
      <c r="K1540" s="241"/>
      <c r="L1540" s="241"/>
      <c r="M1540" s="241"/>
      <c r="N1540" s="241"/>
      <c r="O1540" s="241"/>
      <c r="P1540" s="241"/>
      <c r="Q1540" s="241"/>
    </row>
    <row r="1541" spans="1:17" ht="13.5" customHeight="1" x14ac:dyDescent="0.3">
      <c r="A1541"/>
      <c r="B1541" s="241"/>
      <c r="C1541" s="241"/>
      <c r="D1541" s="241"/>
      <c r="E1541" s="241"/>
      <c r="F1541" s="241"/>
      <c r="G1541" s="241"/>
      <c r="H1541" s="241"/>
      <c r="I1541"/>
      <c r="J1541" s="241"/>
      <c r="K1541" s="241"/>
      <c r="L1541" s="241"/>
      <c r="M1541" s="241"/>
      <c r="N1541" s="241"/>
      <c r="O1541" s="241"/>
      <c r="P1541" s="241"/>
      <c r="Q1541" s="241"/>
    </row>
    <row r="1542" spans="1:17" ht="13.5" customHeight="1" x14ac:dyDescent="0.3">
      <c r="A1542"/>
      <c r="B1542" s="241"/>
      <c r="C1542" s="241"/>
      <c r="D1542" s="241"/>
      <c r="E1542" s="241"/>
      <c r="F1542" s="241"/>
      <c r="G1542" s="241"/>
      <c r="H1542" s="241"/>
      <c r="I1542"/>
      <c r="J1542" s="241"/>
      <c r="K1542" s="241"/>
      <c r="L1542" s="241"/>
      <c r="M1542" s="241"/>
      <c r="N1542" s="241"/>
      <c r="O1542" s="241"/>
      <c r="P1542" s="241"/>
      <c r="Q1542" s="241"/>
    </row>
    <row r="1543" spans="1:17" ht="13.5" customHeight="1" x14ac:dyDescent="0.3">
      <c r="A1543"/>
      <c r="B1543" s="241"/>
      <c r="C1543" s="241"/>
      <c r="D1543" s="241"/>
      <c r="E1543" s="241"/>
      <c r="F1543" s="241"/>
      <c r="G1543" s="241"/>
      <c r="H1543" s="241"/>
      <c r="I1543"/>
      <c r="J1543" s="241"/>
      <c r="K1543" s="241"/>
      <c r="L1543" s="241"/>
      <c r="M1543" s="241"/>
      <c r="N1543" s="241"/>
      <c r="O1543" s="241"/>
      <c r="P1543" s="241"/>
      <c r="Q1543" s="241"/>
    </row>
    <row r="1544" spans="1:17" ht="13.5" customHeight="1" x14ac:dyDescent="0.3">
      <c r="A1544"/>
      <c r="B1544" s="241"/>
      <c r="C1544" s="241"/>
      <c r="D1544" s="241"/>
      <c r="E1544" s="241"/>
      <c r="F1544" s="241"/>
      <c r="G1544" s="241"/>
      <c r="H1544" s="241"/>
      <c r="I1544"/>
      <c r="J1544" s="241"/>
      <c r="K1544" s="241"/>
      <c r="L1544" s="241"/>
      <c r="M1544" s="241"/>
      <c r="N1544" s="241"/>
      <c r="O1544" s="241"/>
      <c r="P1544" s="241"/>
      <c r="Q1544" s="241"/>
    </row>
    <row r="1545" spans="1:17" ht="13.5" customHeight="1" x14ac:dyDescent="0.3">
      <c r="A1545"/>
      <c r="B1545" s="241"/>
      <c r="C1545" s="241"/>
      <c r="D1545" s="241"/>
      <c r="E1545" s="241"/>
      <c r="F1545" s="241"/>
      <c r="G1545" s="241"/>
      <c r="H1545" s="241"/>
      <c r="I1545"/>
      <c r="J1545" s="241"/>
      <c r="K1545" s="241"/>
      <c r="L1545" s="241"/>
      <c r="M1545" s="241"/>
      <c r="N1545" s="241"/>
      <c r="O1545" s="241"/>
      <c r="P1545" s="241"/>
      <c r="Q1545" s="241"/>
    </row>
    <row r="1546" spans="1:17" ht="13.5" customHeight="1" x14ac:dyDescent="0.3">
      <c r="A1546"/>
      <c r="B1546" s="241"/>
      <c r="C1546" s="241"/>
      <c r="D1546" s="241"/>
      <c r="E1546" s="241"/>
      <c r="F1546" s="241"/>
      <c r="G1546" s="241"/>
      <c r="H1546" s="241"/>
      <c r="I1546"/>
      <c r="J1546" s="241"/>
      <c r="K1546" s="241"/>
      <c r="L1546" s="241"/>
      <c r="M1546" s="241"/>
      <c r="N1546" s="241"/>
      <c r="O1546" s="241"/>
      <c r="P1546" s="241"/>
      <c r="Q1546" s="241"/>
    </row>
    <row r="1547" spans="1:17" ht="13.5" customHeight="1" x14ac:dyDescent="0.3">
      <c r="A1547"/>
      <c r="B1547" s="241"/>
      <c r="C1547" s="241"/>
      <c r="D1547" s="241"/>
      <c r="E1547" s="241"/>
      <c r="F1547" s="241"/>
      <c r="G1547" s="241"/>
      <c r="H1547" s="241"/>
      <c r="I1547"/>
      <c r="J1547" s="241"/>
      <c r="K1547" s="241"/>
      <c r="L1547" s="241"/>
      <c r="M1547" s="241"/>
      <c r="N1547" s="241"/>
      <c r="O1547" s="241"/>
      <c r="P1547" s="241"/>
      <c r="Q1547" s="241"/>
    </row>
    <row r="1548" spans="1:17" ht="13.5" customHeight="1" x14ac:dyDescent="0.3">
      <c r="A1548"/>
      <c r="B1548" s="241"/>
      <c r="C1548" s="241"/>
      <c r="D1548" s="241"/>
      <c r="E1548" s="241"/>
      <c r="F1548" s="241"/>
      <c r="G1548" s="241"/>
      <c r="H1548" s="241"/>
      <c r="I1548"/>
      <c r="J1548" s="241"/>
      <c r="K1548" s="241"/>
      <c r="L1548" s="241"/>
      <c r="M1548" s="241"/>
      <c r="N1548" s="241"/>
      <c r="O1548" s="241"/>
      <c r="P1548" s="241"/>
      <c r="Q1548" s="241"/>
    </row>
    <row r="1549" spans="1:17" ht="13.5" customHeight="1" x14ac:dyDescent="0.3">
      <c r="A1549"/>
      <c r="B1549" s="241"/>
      <c r="C1549" s="241"/>
      <c r="D1549" s="241"/>
      <c r="E1549" s="241"/>
      <c r="F1549" s="241"/>
      <c r="G1549" s="241"/>
      <c r="H1549" s="241"/>
      <c r="I1549"/>
      <c r="J1549" s="241"/>
      <c r="K1549" s="241"/>
      <c r="L1549" s="241"/>
      <c r="M1549" s="241"/>
      <c r="N1549" s="241"/>
      <c r="O1549" s="241"/>
      <c r="P1549" s="241"/>
      <c r="Q1549" s="241"/>
    </row>
    <row r="1550" spans="1:17" ht="13.5" customHeight="1" x14ac:dyDescent="0.3">
      <c r="A1550"/>
      <c r="B1550" s="241"/>
      <c r="C1550" s="241"/>
      <c r="D1550" s="241"/>
      <c r="E1550" s="241"/>
      <c r="F1550" s="241"/>
      <c r="G1550" s="241"/>
      <c r="H1550" s="241"/>
      <c r="I1550"/>
      <c r="J1550" s="241"/>
      <c r="K1550" s="241"/>
      <c r="L1550" s="241"/>
      <c r="M1550" s="241"/>
      <c r="N1550" s="241"/>
      <c r="O1550" s="241"/>
      <c r="P1550" s="241"/>
      <c r="Q1550" s="241"/>
    </row>
    <row r="1551" spans="1:17" ht="13.5" customHeight="1" x14ac:dyDescent="0.3">
      <c r="A1551"/>
      <c r="B1551" s="241"/>
      <c r="C1551" s="241"/>
      <c r="D1551" s="241"/>
      <c r="E1551" s="241"/>
      <c r="F1551" s="241"/>
      <c r="G1551" s="241"/>
      <c r="H1551" s="241"/>
      <c r="I1551"/>
      <c r="J1551" s="241"/>
      <c r="K1551" s="241"/>
      <c r="L1551" s="241"/>
      <c r="M1551" s="241"/>
      <c r="N1551" s="241"/>
      <c r="O1551" s="241"/>
      <c r="P1551" s="241"/>
      <c r="Q1551" s="241"/>
    </row>
    <row r="1552" spans="1:17" ht="13.5" customHeight="1" x14ac:dyDescent="0.3">
      <c r="A1552"/>
      <c r="B1552" s="241"/>
      <c r="C1552" s="241"/>
      <c r="D1552" s="241"/>
      <c r="E1552" s="241"/>
      <c r="F1552" s="241"/>
      <c r="G1552" s="241"/>
      <c r="H1552" s="241"/>
      <c r="I1552"/>
      <c r="J1552" s="241"/>
      <c r="K1552" s="241"/>
      <c r="L1552" s="241"/>
      <c r="M1552" s="241"/>
      <c r="N1552" s="241"/>
      <c r="O1552" s="241"/>
      <c r="P1552" s="241"/>
      <c r="Q1552" s="241"/>
    </row>
    <row r="1553" spans="1:17" ht="13.5" customHeight="1" x14ac:dyDescent="0.3">
      <c r="A1553"/>
      <c r="B1553" s="241"/>
      <c r="C1553" s="241"/>
      <c r="D1553" s="241"/>
      <c r="E1553" s="241"/>
      <c r="F1553" s="241"/>
      <c r="G1553" s="241"/>
      <c r="H1553" s="241"/>
      <c r="I1553"/>
      <c r="J1553" s="241"/>
      <c r="K1553" s="241"/>
      <c r="L1553" s="241"/>
      <c r="M1553" s="241"/>
      <c r="N1553" s="241"/>
      <c r="O1553" s="241"/>
      <c r="P1553" s="241"/>
      <c r="Q1553" s="241"/>
    </row>
    <row r="1554" spans="1:17" ht="13.5" customHeight="1" x14ac:dyDescent="0.3">
      <c r="A1554"/>
      <c r="B1554" s="241"/>
      <c r="C1554" s="241"/>
      <c r="D1554" s="241"/>
      <c r="E1554" s="241"/>
      <c r="F1554" s="241"/>
      <c r="G1554" s="241"/>
      <c r="H1554" s="241"/>
      <c r="I1554"/>
      <c r="J1554" s="241"/>
      <c r="K1554" s="241"/>
      <c r="L1554" s="241"/>
      <c r="M1554" s="241"/>
      <c r="N1554" s="241"/>
      <c r="O1554" s="241"/>
      <c r="P1554" s="241"/>
      <c r="Q1554" s="241"/>
    </row>
    <row r="1555" spans="1:17" ht="13.5" customHeight="1" x14ac:dyDescent="0.3">
      <c r="A1555"/>
      <c r="B1555" s="241"/>
      <c r="C1555" s="241"/>
      <c r="D1555" s="241"/>
      <c r="E1555" s="241"/>
      <c r="F1555" s="241"/>
      <c r="G1555" s="241"/>
      <c r="H1555" s="241"/>
      <c r="I1555"/>
      <c r="J1555" s="241"/>
      <c r="K1555" s="241"/>
      <c r="L1555" s="241"/>
      <c r="M1555" s="241"/>
      <c r="N1555" s="241"/>
      <c r="O1555" s="241"/>
      <c r="P1555" s="241"/>
      <c r="Q1555" s="241"/>
    </row>
    <row r="1556" spans="1:17" ht="13.5" customHeight="1" x14ac:dyDescent="0.3">
      <c r="A1556"/>
      <c r="B1556" s="241"/>
      <c r="C1556" s="241"/>
      <c r="D1556" s="241"/>
      <c r="E1556" s="241"/>
      <c r="F1556" s="241"/>
      <c r="G1556" s="241"/>
      <c r="H1556" s="241"/>
      <c r="I1556"/>
      <c r="J1556" s="241"/>
      <c r="K1556" s="241"/>
      <c r="L1556" s="241"/>
      <c r="M1556" s="241"/>
      <c r="N1556" s="241"/>
      <c r="O1556" s="241"/>
      <c r="P1556" s="241"/>
      <c r="Q1556" s="241"/>
    </row>
    <row r="1557" spans="1:17" ht="13.5" customHeight="1" x14ac:dyDescent="0.3">
      <c r="A1557"/>
      <c r="B1557" s="241"/>
      <c r="C1557" s="241"/>
      <c r="D1557" s="241"/>
      <c r="E1557" s="241"/>
      <c r="F1557" s="241"/>
      <c r="G1557" s="241"/>
      <c r="H1557" s="241"/>
      <c r="I1557"/>
      <c r="J1557" s="241"/>
      <c r="K1557" s="241"/>
      <c r="L1557" s="241"/>
      <c r="M1557" s="241"/>
      <c r="N1557" s="241"/>
      <c r="O1557" s="241"/>
      <c r="P1557" s="241"/>
      <c r="Q1557" s="241"/>
    </row>
    <row r="1558" spans="1:17" ht="13.5" customHeight="1" x14ac:dyDescent="0.3">
      <c r="A1558"/>
      <c r="B1558" s="241"/>
      <c r="C1558" s="241"/>
      <c r="D1558" s="241"/>
      <c r="E1558" s="241"/>
      <c r="F1558" s="241"/>
      <c r="G1558" s="241"/>
      <c r="H1558" s="241"/>
      <c r="I1558"/>
      <c r="J1558" s="241"/>
      <c r="K1558" s="241"/>
      <c r="L1558" s="241"/>
      <c r="M1558" s="241"/>
      <c r="N1558" s="241"/>
      <c r="O1558" s="241"/>
      <c r="P1558" s="241"/>
      <c r="Q1558" s="241"/>
    </row>
    <row r="1559" spans="1:17" ht="13.5" customHeight="1" x14ac:dyDescent="0.3">
      <c r="A1559"/>
      <c r="B1559" s="241"/>
      <c r="C1559" s="241"/>
      <c r="D1559" s="241"/>
      <c r="E1559" s="241"/>
      <c r="F1559" s="241"/>
      <c r="G1559" s="241"/>
      <c r="H1559" s="241"/>
      <c r="I1559"/>
      <c r="J1559" s="241"/>
      <c r="K1559" s="241"/>
      <c r="L1559" s="241"/>
      <c r="M1559" s="241"/>
      <c r="N1559" s="241"/>
      <c r="O1559" s="241"/>
      <c r="P1559" s="241"/>
      <c r="Q1559" s="241"/>
    </row>
    <row r="1560" spans="1:17" ht="13.5" customHeight="1" x14ac:dyDescent="0.3">
      <c r="A1560"/>
      <c r="B1560" s="241"/>
      <c r="C1560" s="241"/>
      <c r="D1560" s="241"/>
      <c r="E1560" s="241"/>
      <c r="F1560" s="241"/>
      <c r="G1560" s="241"/>
      <c r="H1560" s="241"/>
      <c r="I1560"/>
      <c r="J1560" s="241"/>
      <c r="K1560" s="241"/>
      <c r="L1560" s="241"/>
      <c r="M1560" s="241"/>
      <c r="N1560" s="241"/>
      <c r="O1560" s="241"/>
      <c r="P1560" s="241"/>
      <c r="Q1560" s="241"/>
    </row>
    <row r="1561" spans="1:17" ht="13.5" customHeight="1" x14ac:dyDescent="0.3">
      <c r="A1561"/>
      <c r="B1561" s="241"/>
      <c r="C1561" s="241"/>
      <c r="D1561" s="241"/>
      <c r="E1561" s="241"/>
      <c r="F1561" s="241"/>
      <c r="G1561" s="241"/>
      <c r="H1561" s="241"/>
      <c r="I1561"/>
      <c r="J1561" s="241"/>
      <c r="K1561" s="241"/>
      <c r="L1561" s="241"/>
      <c r="M1561" s="241"/>
      <c r="N1561" s="241"/>
      <c r="O1561" s="241"/>
      <c r="P1561" s="241"/>
      <c r="Q1561" s="241"/>
    </row>
    <row r="1562" spans="1:17" ht="13.5" customHeight="1" x14ac:dyDescent="0.3">
      <c r="A1562"/>
      <c r="B1562" s="241"/>
      <c r="C1562" s="241"/>
      <c r="D1562" s="241"/>
      <c r="E1562" s="241"/>
      <c r="F1562" s="241"/>
      <c r="G1562" s="241"/>
      <c r="H1562" s="241"/>
      <c r="I1562"/>
      <c r="J1562" s="241"/>
      <c r="K1562" s="241"/>
      <c r="L1562" s="241"/>
      <c r="M1562" s="241"/>
      <c r="N1562" s="241"/>
      <c r="O1562" s="241"/>
      <c r="P1562" s="241"/>
      <c r="Q1562" s="241"/>
    </row>
    <row r="1563" spans="1:17" ht="13.5" customHeight="1" x14ac:dyDescent="0.3">
      <c r="A1563"/>
      <c r="B1563" s="241"/>
      <c r="C1563" s="241"/>
      <c r="D1563" s="241"/>
      <c r="E1563" s="241"/>
      <c r="F1563" s="241"/>
      <c r="G1563" s="241"/>
      <c r="H1563" s="241"/>
      <c r="I1563"/>
      <c r="J1563" s="241"/>
      <c r="K1563" s="241"/>
      <c r="L1563" s="241"/>
      <c r="M1563" s="241"/>
      <c r="N1563" s="241"/>
      <c r="O1563" s="241"/>
      <c r="P1563" s="241"/>
      <c r="Q1563" s="241"/>
    </row>
    <row r="1564" spans="1:17" ht="13.5" customHeight="1" x14ac:dyDescent="0.3">
      <c r="A1564"/>
      <c r="B1564" s="241"/>
      <c r="C1564" s="241"/>
      <c r="D1564" s="241"/>
      <c r="E1564" s="241"/>
      <c r="F1564" s="241"/>
      <c r="G1564" s="241"/>
      <c r="H1564" s="241"/>
      <c r="I1564"/>
      <c r="J1564" s="241"/>
      <c r="K1564" s="241"/>
      <c r="L1564" s="241"/>
      <c r="M1564" s="241"/>
      <c r="N1564" s="241"/>
      <c r="O1564" s="241"/>
      <c r="P1564" s="241"/>
      <c r="Q1564" s="241"/>
    </row>
    <row r="1565" spans="1:17" ht="13.5" customHeight="1" x14ac:dyDescent="0.3">
      <c r="A1565"/>
      <c r="B1565" s="241"/>
      <c r="C1565" s="241"/>
      <c r="D1565" s="241"/>
      <c r="E1565" s="241"/>
      <c r="F1565" s="241"/>
      <c r="G1565" s="241"/>
      <c r="H1565" s="241"/>
      <c r="I1565"/>
      <c r="J1565" s="241"/>
      <c r="K1565" s="241"/>
      <c r="L1565" s="241"/>
      <c r="M1565" s="241"/>
      <c r="N1565" s="241"/>
      <c r="O1565" s="241"/>
      <c r="P1565" s="241"/>
      <c r="Q1565" s="241"/>
    </row>
    <row r="1566" spans="1:17" ht="13.5" customHeight="1" x14ac:dyDescent="0.3">
      <c r="A1566"/>
      <c r="B1566" s="241"/>
      <c r="C1566" s="241"/>
      <c r="D1566" s="241"/>
      <c r="E1566" s="241"/>
      <c r="F1566" s="241"/>
      <c r="G1566" s="241"/>
      <c r="H1566" s="241"/>
      <c r="I1566"/>
      <c r="J1566" s="241"/>
      <c r="K1566" s="241"/>
      <c r="L1566" s="241"/>
      <c r="M1566" s="241"/>
      <c r="N1566" s="241"/>
      <c r="O1566" s="241"/>
      <c r="P1566" s="241"/>
      <c r="Q1566" s="241"/>
    </row>
    <row r="1567" spans="1:17" ht="13.5" customHeight="1" x14ac:dyDescent="0.3">
      <c r="A1567"/>
      <c r="B1567" s="241"/>
      <c r="C1567" s="241"/>
      <c r="D1567" s="241"/>
      <c r="E1567" s="241"/>
      <c r="F1567" s="241"/>
      <c r="G1567" s="241"/>
      <c r="H1567" s="241"/>
      <c r="I1567"/>
      <c r="J1567" s="241"/>
      <c r="K1567" s="241"/>
      <c r="L1567" s="241"/>
      <c r="M1567" s="241"/>
      <c r="N1567" s="241"/>
      <c r="O1567" s="241"/>
      <c r="P1567" s="241"/>
      <c r="Q1567" s="241"/>
    </row>
    <row r="1568" spans="1:17" ht="13.5" customHeight="1" x14ac:dyDescent="0.3">
      <c r="A1568"/>
      <c r="B1568" s="241"/>
      <c r="C1568" s="241"/>
      <c r="D1568" s="241"/>
      <c r="E1568" s="241"/>
      <c r="F1568" s="241"/>
      <c r="G1568" s="241"/>
      <c r="H1568" s="241"/>
      <c r="I1568"/>
      <c r="J1568" s="241"/>
      <c r="K1568" s="241"/>
      <c r="L1568" s="241"/>
      <c r="M1568" s="241"/>
      <c r="N1568" s="241"/>
      <c r="O1568" s="241"/>
      <c r="P1568" s="241"/>
      <c r="Q1568" s="241"/>
    </row>
    <row r="1569" spans="1:17" ht="13.5" customHeight="1" x14ac:dyDescent="0.3">
      <c r="A1569"/>
      <c r="B1569" s="241"/>
      <c r="C1569" s="241"/>
      <c r="D1569" s="241"/>
      <c r="E1569" s="241"/>
      <c r="F1569" s="241"/>
      <c r="G1569" s="241"/>
      <c r="H1569" s="241"/>
      <c r="I1569"/>
      <c r="J1569" s="241"/>
      <c r="K1569" s="241"/>
      <c r="L1569" s="241"/>
      <c r="M1569" s="241"/>
      <c r="N1569" s="241"/>
      <c r="O1569" s="241"/>
      <c r="P1569" s="241"/>
      <c r="Q1569" s="241"/>
    </row>
    <row r="1570" spans="1:17" ht="13.5" customHeight="1" x14ac:dyDescent="0.3">
      <c r="A1570"/>
      <c r="B1570" s="241"/>
      <c r="C1570" s="241"/>
      <c r="D1570" s="241"/>
      <c r="E1570" s="241"/>
      <c r="F1570" s="241"/>
      <c r="G1570" s="241"/>
      <c r="H1570" s="241"/>
      <c r="I1570"/>
      <c r="J1570" s="241"/>
      <c r="K1570" s="241"/>
      <c r="L1570" s="241"/>
      <c r="M1570" s="241"/>
      <c r="N1570" s="241"/>
      <c r="O1570" s="241"/>
      <c r="P1570" s="241"/>
      <c r="Q1570" s="241"/>
    </row>
    <row r="1571" spans="1:17" ht="13.5" customHeight="1" x14ac:dyDescent="0.3">
      <c r="A1571"/>
      <c r="B1571" s="241"/>
      <c r="C1571" s="241"/>
      <c r="D1571" s="241"/>
      <c r="E1571" s="241"/>
      <c r="F1571" s="241"/>
      <c r="G1571" s="241"/>
      <c r="H1571" s="241"/>
      <c r="I1571"/>
      <c r="J1571" s="241"/>
      <c r="K1571" s="241"/>
      <c r="L1571" s="241"/>
      <c r="M1571" s="241"/>
      <c r="N1571" s="241"/>
      <c r="O1571" s="241"/>
      <c r="P1571" s="241"/>
      <c r="Q1571" s="241"/>
    </row>
    <row r="1572" spans="1:17" ht="13.5" customHeight="1" x14ac:dyDescent="0.3">
      <c r="A1572"/>
      <c r="B1572" s="241"/>
      <c r="C1572" s="241"/>
      <c r="D1572" s="241"/>
      <c r="E1572" s="241"/>
      <c r="F1572" s="241"/>
      <c r="G1572" s="241"/>
      <c r="H1572" s="241"/>
      <c r="I1572"/>
      <c r="J1572" s="241"/>
      <c r="K1572" s="241"/>
      <c r="L1572" s="241"/>
      <c r="M1572" s="241"/>
      <c r="N1572" s="241"/>
      <c r="O1572" s="241"/>
      <c r="P1572" s="241"/>
      <c r="Q1572" s="241"/>
    </row>
    <row r="1573" spans="1:17" ht="13.5" customHeight="1" x14ac:dyDescent="0.3">
      <c r="A1573"/>
      <c r="B1573" s="241"/>
      <c r="C1573" s="241"/>
      <c r="D1573" s="241"/>
      <c r="E1573" s="241"/>
      <c r="F1573" s="241"/>
      <c r="G1573" s="241"/>
      <c r="H1573" s="241"/>
      <c r="I1573"/>
      <c r="J1573" s="241"/>
      <c r="K1573" s="241"/>
      <c r="L1573" s="241"/>
      <c r="M1573" s="241"/>
      <c r="N1573" s="241"/>
      <c r="O1573" s="241"/>
      <c r="P1573" s="241"/>
      <c r="Q1573" s="241"/>
    </row>
    <row r="1574" spans="1:17" ht="13.5" customHeight="1" x14ac:dyDescent="0.3">
      <c r="A1574"/>
      <c r="B1574" s="241"/>
      <c r="C1574" s="241"/>
      <c r="D1574" s="241"/>
      <c r="E1574" s="241"/>
      <c r="F1574" s="241"/>
      <c r="G1574" s="241"/>
      <c r="H1574" s="241"/>
      <c r="I1574"/>
      <c r="J1574" s="241"/>
      <c r="K1574" s="241"/>
      <c r="L1574" s="241"/>
      <c r="M1574" s="241"/>
      <c r="N1574" s="241"/>
      <c r="O1574" s="241"/>
      <c r="P1574" s="241"/>
      <c r="Q1574" s="241"/>
    </row>
    <row r="1575" spans="1:17" ht="13.5" customHeight="1" x14ac:dyDescent="0.3">
      <c r="A1575"/>
      <c r="B1575" s="241"/>
      <c r="C1575" s="241"/>
      <c r="D1575" s="241"/>
      <c r="E1575" s="241"/>
      <c r="F1575" s="241"/>
      <c r="G1575" s="241"/>
      <c r="H1575" s="241"/>
      <c r="I1575"/>
      <c r="J1575" s="241"/>
      <c r="K1575" s="241"/>
      <c r="L1575" s="241"/>
      <c r="M1575" s="241"/>
      <c r="N1575" s="241"/>
      <c r="O1575" s="241"/>
      <c r="P1575" s="241"/>
      <c r="Q1575" s="241"/>
    </row>
    <row r="1576" spans="1:17" ht="13.5" customHeight="1" x14ac:dyDescent="0.3">
      <c r="A1576"/>
      <c r="B1576" s="241"/>
      <c r="C1576" s="241"/>
      <c r="D1576" s="241"/>
      <c r="E1576" s="241"/>
      <c r="F1576" s="241"/>
      <c r="G1576" s="241"/>
      <c r="H1576" s="241"/>
      <c r="I1576"/>
      <c r="J1576" s="241"/>
      <c r="K1576" s="241"/>
      <c r="L1576" s="241"/>
      <c r="M1576" s="241"/>
      <c r="N1576" s="241"/>
      <c r="O1576" s="241"/>
      <c r="P1576" s="241"/>
      <c r="Q1576" s="241"/>
    </row>
    <row r="1577" spans="1:17" ht="13.5" customHeight="1" x14ac:dyDescent="0.3">
      <c r="A1577"/>
      <c r="B1577" s="241"/>
      <c r="C1577" s="241"/>
      <c r="D1577" s="241"/>
      <c r="E1577" s="241"/>
      <c r="F1577" s="241"/>
      <c r="G1577" s="241"/>
      <c r="H1577" s="241"/>
      <c r="I1577"/>
      <c r="J1577" s="241"/>
      <c r="K1577" s="241"/>
      <c r="L1577" s="241"/>
      <c r="M1577" s="241"/>
      <c r="N1577" s="241"/>
      <c r="O1577" s="241"/>
      <c r="P1577" s="241"/>
      <c r="Q1577" s="241"/>
    </row>
    <row r="1578" spans="1:17" ht="13.5" customHeight="1" x14ac:dyDescent="0.3">
      <c r="A1578"/>
      <c r="B1578" s="241"/>
      <c r="C1578" s="241"/>
      <c r="D1578" s="241"/>
      <c r="E1578" s="241"/>
      <c r="F1578" s="241"/>
      <c r="G1578" s="241"/>
      <c r="H1578" s="241"/>
      <c r="I1578"/>
      <c r="J1578" s="241"/>
      <c r="K1578" s="241"/>
      <c r="L1578" s="241"/>
      <c r="M1578" s="241"/>
      <c r="N1578" s="241"/>
      <c r="O1578" s="241"/>
      <c r="P1578" s="241"/>
      <c r="Q1578" s="241"/>
    </row>
    <row r="1579" spans="1:17" ht="13.5" customHeight="1" x14ac:dyDescent="0.3">
      <c r="A1579"/>
      <c r="B1579" s="241"/>
      <c r="C1579" s="241"/>
      <c r="D1579" s="241"/>
      <c r="E1579" s="241"/>
      <c r="F1579" s="241"/>
      <c r="G1579" s="241"/>
      <c r="H1579" s="241"/>
      <c r="I1579"/>
      <c r="J1579" s="241"/>
      <c r="K1579" s="241"/>
      <c r="L1579" s="241"/>
      <c r="M1579" s="241"/>
      <c r="N1579" s="241"/>
      <c r="O1579" s="241"/>
      <c r="P1579" s="241"/>
      <c r="Q1579" s="241"/>
    </row>
    <row r="1580" spans="1:17" ht="13.5" customHeight="1" x14ac:dyDescent="0.3">
      <c r="A1580"/>
      <c r="B1580" s="241"/>
      <c r="C1580" s="241"/>
      <c r="D1580" s="241"/>
      <c r="E1580" s="241"/>
      <c r="F1580" s="241"/>
      <c r="G1580" s="241"/>
      <c r="H1580" s="241"/>
      <c r="I1580"/>
      <c r="J1580" s="241"/>
      <c r="K1580" s="241"/>
      <c r="L1580" s="241"/>
      <c r="M1580" s="241"/>
      <c r="N1580" s="241"/>
      <c r="O1580" s="241"/>
      <c r="P1580" s="241"/>
      <c r="Q1580" s="241"/>
    </row>
    <row r="1581" spans="1:17" ht="13.5" customHeight="1" x14ac:dyDescent="0.3">
      <c r="A1581"/>
      <c r="B1581" s="241"/>
      <c r="C1581" s="241"/>
      <c r="D1581" s="241"/>
      <c r="E1581" s="241"/>
      <c r="F1581" s="241"/>
      <c r="G1581" s="241"/>
      <c r="H1581" s="241"/>
      <c r="I1581"/>
      <c r="J1581" s="241"/>
      <c r="K1581" s="241"/>
      <c r="L1581" s="241"/>
      <c r="M1581" s="241"/>
      <c r="N1581" s="241"/>
      <c r="O1581" s="241"/>
      <c r="P1581" s="241"/>
      <c r="Q1581" s="241"/>
    </row>
    <row r="1582" spans="1:17" ht="13.5" customHeight="1" x14ac:dyDescent="0.3">
      <c r="A1582"/>
      <c r="B1582" s="241"/>
      <c r="C1582" s="241"/>
      <c r="D1582" s="241"/>
      <c r="E1582" s="241"/>
      <c r="F1582" s="241"/>
      <c r="G1582" s="241"/>
      <c r="H1582" s="241"/>
      <c r="I1582"/>
      <c r="J1582" s="241"/>
      <c r="K1582" s="241"/>
      <c r="L1582" s="241"/>
      <c r="M1582" s="241"/>
      <c r="N1582" s="241"/>
      <c r="O1582" s="241"/>
      <c r="P1582" s="241"/>
      <c r="Q1582" s="241"/>
    </row>
    <row r="1583" spans="1:17" ht="13.5" customHeight="1" x14ac:dyDescent="0.3">
      <c r="A1583"/>
      <c r="B1583" s="241"/>
      <c r="C1583" s="241"/>
      <c r="D1583" s="241"/>
      <c r="E1583" s="241"/>
      <c r="F1583" s="241"/>
      <c r="G1583" s="241"/>
      <c r="H1583" s="241"/>
      <c r="I1583"/>
      <c r="J1583" s="241"/>
      <c r="K1583" s="241"/>
      <c r="L1583" s="241"/>
      <c r="M1583" s="241"/>
      <c r="N1583" s="241"/>
      <c r="O1583" s="241"/>
      <c r="P1583" s="241"/>
      <c r="Q1583" s="241"/>
    </row>
    <row r="1584" spans="1:17" ht="13.5" customHeight="1" x14ac:dyDescent="0.3">
      <c r="A1584"/>
      <c r="B1584" s="241"/>
      <c r="C1584" s="241"/>
      <c r="D1584" s="241"/>
      <c r="E1584" s="241"/>
      <c r="F1584" s="241"/>
      <c r="G1584" s="241"/>
      <c r="H1584" s="241"/>
      <c r="I1584"/>
      <c r="J1584" s="241"/>
      <c r="K1584" s="241"/>
      <c r="L1584" s="241"/>
      <c r="M1584" s="241"/>
      <c r="N1584" s="241"/>
      <c r="O1584" s="241"/>
      <c r="P1584" s="241"/>
      <c r="Q1584" s="241"/>
    </row>
    <row r="1585" spans="1:17" ht="13.5" customHeight="1" x14ac:dyDescent="0.3">
      <c r="A1585"/>
      <c r="B1585" s="241"/>
      <c r="C1585" s="241"/>
      <c r="D1585" s="241"/>
      <c r="E1585" s="241"/>
      <c r="F1585" s="241"/>
      <c r="G1585" s="241"/>
      <c r="H1585" s="241"/>
      <c r="I1585"/>
      <c r="J1585" s="241"/>
      <c r="K1585" s="241"/>
      <c r="L1585" s="241"/>
      <c r="M1585" s="241"/>
      <c r="N1585" s="241"/>
      <c r="O1585" s="241"/>
      <c r="P1585" s="241"/>
      <c r="Q1585" s="241"/>
    </row>
    <row r="1586" spans="1:17" ht="13.5" customHeight="1" x14ac:dyDescent="0.3">
      <c r="A1586"/>
      <c r="B1586" s="241"/>
      <c r="C1586" s="241"/>
      <c r="D1586" s="241"/>
      <c r="E1586" s="241"/>
      <c r="F1586" s="241"/>
      <c r="G1586" s="241"/>
      <c r="H1586" s="241"/>
      <c r="I1586"/>
      <c r="J1586" s="241"/>
      <c r="K1586" s="241"/>
      <c r="L1586" s="241"/>
      <c r="M1586" s="241"/>
      <c r="N1586" s="241"/>
      <c r="O1586" s="241"/>
      <c r="P1586" s="241"/>
      <c r="Q1586" s="241"/>
    </row>
    <row r="1587" spans="1:17" ht="13.5" customHeight="1" x14ac:dyDescent="0.3">
      <c r="A1587"/>
      <c r="B1587" s="241"/>
      <c r="C1587" s="241"/>
      <c r="D1587" s="241"/>
      <c r="E1587" s="241"/>
      <c r="F1587" s="241"/>
      <c r="G1587" s="241"/>
      <c r="H1587" s="241"/>
      <c r="I1587"/>
      <c r="J1587" s="241"/>
      <c r="K1587" s="241"/>
      <c r="L1587" s="241"/>
      <c r="M1587" s="241"/>
      <c r="N1587" s="241"/>
      <c r="O1587" s="241"/>
      <c r="P1587" s="241"/>
      <c r="Q1587" s="241"/>
    </row>
    <row r="1588" spans="1:17" ht="13.5" customHeight="1" x14ac:dyDescent="0.3">
      <c r="A1588"/>
      <c r="B1588" s="241"/>
      <c r="C1588" s="241"/>
      <c r="D1588" s="241"/>
      <c r="E1588" s="241"/>
      <c r="F1588" s="241"/>
      <c r="G1588" s="241"/>
      <c r="H1588" s="241"/>
      <c r="I1588"/>
      <c r="J1588" s="241"/>
      <c r="K1588" s="241"/>
      <c r="L1588" s="241"/>
      <c r="M1588" s="241"/>
      <c r="N1588" s="241"/>
      <c r="O1588" s="241"/>
      <c r="P1588" s="241"/>
      <c r="Q1588" s="241"/>
    </row>
    <row r="1589" spans="1:17" ht="13.5" customHeight="1" x14ac:dyDescent="0.3">
      <c r="A1589"/>
      <c r="B1589" s="241"/>
      <c r="C1589" s="241"/>
      <c r="D1589" s="241"/>
      <c r="E1589" s="241"/>
      <c r="F1589" s="241"/>
      <c r="G1589" s="241"/>
      <c r="H1589" s="241"/>
      <c r="I1589"/>
      <c r="J1589" s="241"/>
      <c r="K1589" s="241"/>
      <c r="L1589" s="241"/>
      <c r="M1589" s="241"/>
      <c r="N1589" s="241"/>
      <c r="O1589" s="241"/>
      <c r="P1589" s="241"/>
      <c r="Q1589" s="241"/>
    </row>
    <row r="1590" spans="1:17" ht="13.5" customHeight="1" x14ac:dyDescent="0.3">
      <c r="A1590"/>
      <c r="B1590" s="241"/>
      <c r="C1590" s="241"/>
      <c r="D1590" s="241"/>
      <c r="E1590" s="241"/>
      <c r="F1590" s="241"/>
      <c r="G1590" s="241"/>
      <c r="H1590" s="241"/>
      <c r="I1590"/>
      <c r="J1590" s="241"/>
      <c r="K1590" s="241"/>
      <c r="L1590" s="241"/>
      <c r="M1590" s="241"/>
      <c r="N1590" s="241"/>
      <c r="O1590" s="241"/>
      <c r="P1590" s="241"/>
      <c r="Q1590" s="241"/>
    </row>
    <row r="1591" spans="1:17" ht="13.5" customHeight="1" x14ac:dyDescent="0.3">
      <c r="A1591"/>
      <c r="B1591" s="241"/>
      <c r="C1591" s="241"/>
      <c r="D1591" s="241"/>
      <c r="E1591" s="241"/>
      <c r="F1591" s="241"/>
      <c r="G1591" s="241"/>
      <c r="H1591" s="241"/>
      <c r="I1591"/>
      <c r="J1591" s="241"/>
      <c r="K1591" s="241"/>
      <c r="L1591" s="241"/>
      <c r="M1591" s="241"/>
      <c r="N1591" s="241"/>
      <c r="O1591" s="241"/>
      <c r="P1591" s="241"/>
      <c r="Q1591" s="241"/>
    </row>
    <row r="1592" spans="1:17" ht="13.5" customHeight="1" x14ac:dyDescent="0.3">
      <c r="A1592"/>
      <c r="B1592" s="241"/>
      <c r="C1592" s="241"/>
      <c r="D1592" s="241"/>
      <c r="E1592" s="241"/>
      <c r="F1592" s="241"/>
      <c r="G1592" s="241"/>
      <c r="H1592" s="241"/>
      <c r="I1592"/>
      <c r="J1592" s="241"/>
      <c r="K1592" s="241"/>
      <c r="L1592" s="241"/>
      <c r="M1592" s="241"/>
      <c r="N1592" s="241"/>
      <c r="O1592" s="241"/>
      <c r="P1592" s="241"/>
      <c r="Q1592" s="241"/>
    </row>
    <row r="1593" spans="1:17" ht="13.5" customHeight="1" x14ac:dyDescent="0.3">
      <c r="A1593"/>
      <c r="B1593" s="241"/>
      <c r="C1593" s="241"/>
      <c r="D1593" s="241"/>
      <c r="E1593" s="241"/>
      <c r="F1593" s="241"/>
      <c r="G1593" s="241"/>
      <c r="H1593" s="241"/>
      <c r="I1593"/>
      <c r="J1593" s="241"/>
      <c r="K1593" s="241"/>
      <c r="L1593" s="241"/>
      <c r="M1593" s="241"/>
      <c r="N1593" s="241"/>
      <c r="O1593" s="241"/>
      <c r="P1593" s="241"/>
      <c r="Q1593" s="241"/>
    </row>
    <row r="1594" spans="1:17" ht="13.5" customHeight="1" x14ac:dyDescent="0.3">
      <c r="A1594"/>
      <c r="B1594" s="241"/>
      <c r="C1594" s="241"/>
      <c r="D1594" s="241"/>
      <c r="E1594" s="241"/>
      <c r="F1594" s="241"/>
      <c r="G1594" s="241"/>
      <c r="H1594" s="241"/>
      <c r="I1594"/>
      <c r="J1594" s="241"/>
      <c r="K1594" s="241"/>
      <c r="L1594" s="241"/>
      <c r="M1594" s="241"/>
      <c r="N1594" s="241"/>
      <c r="O1594" s="241"/>
      <c r="P1594" s="241"/>
      <c r="Q1594" s="241"/>
    </row>
    <row r="1595" spans="1:17" ht="13.5" customHeight="1" x14ac:dyDescent="0.3">
      <c r="A1595"/>
      <c r="B1595" s="241"/>
      <c r="C1595" s="241"/>
      <c r="D1595" s="241"/>
      <c r="E1595" s="241"/>
      <c r="F1595" s="241"/>
      <c r="G1595" s="241"/>
      <c r="H1595" s="241"/>
      <c r="I1595"/>
      <c r="J1595" s="241"/>
      <c r="K1595" s="241"/>
      <c r="L1595" s="241"/>
      <c r="M1595" s="241"/>
      <c r="N1595" s="241"/>
      <c r="O1595" s="241"/>
      <c r="P1595" s="241"/>
      <c r="Q1595" s="241"/>
    </row>
    <row r="1596" spans="1:17" ht="13.5" customHeight="1" x14ac:dyDescent="0.3">
      <c r="A1596"/>
      <c r="B1596" s="241"/>
      <c r="C1596" s="241"/>
      <c r="D1596" s="241"/>
      <c r="E1596" s="241"/>
      <c r="F1596" s="241"/>
      <c r="G1596" s="241"/>
      <c r="H1596" s="241"/>
      <c r="I1596"/>
      <c r="J1596" s="241"/>
      <c r="K1596" s="241"/>
      <c r="L1596" s="241"/>
      <c r="M1596" s="241"/>
      <c r="N1596" s="241"/>
      <c r="O1596" s="241"/>
      <c r="P1596" s="241"/>
      <c r="Q1596" s="241"/>
    </row>
    <row r="1597" spans="1:17" ht="13.5" customHeight="1" x14ac:dyDescent="0.3">
      <c r="A1597"/>
      <c r="B1597" s="241"/>
      <c r="C1597" s="241"/>
      <c r="D1597" s="241"/>
      <c r="E1597" s="241"/>
      <c r="F1597" s="241"/>
      <c r="G1597" s="241"/>
      <c r="H1597" s="241"/>
      <c r="I1597"/>
      <c r="J1597" s="241"/>
      <c r="K1597" s="241"/>
      <c r="L1597" s="241"/>
      <c r="M1597" s="241"/>
      <c r="N1597" s="241"/>
      <c r="O1597" s="241"/>
      <c r="P1597" s="241"/>
      <c r="Q1597" s="241"/>
    </row>
    <row r="1598" spans="1:17" ht="13.5" customHeight="1" x14ac:dyDescent="0.3">
      <c r="A1598"/>
      <c r="B1598" s="241"/>
      <c r="C1598" s="241"/>
      <c r="D1598" s="241"/>
      <c r="E1598" s="241"/>
      <c r="F1598" s="241"/>
      <c r="G1598" s="241"/>
      <c r="H1598" s="241"/>
      <c r="I1598"/>
      <c r="J1598" s="241"/>
      <c r="K1598" s="241"/>
      <c r="L1598" s="241"/>
      <c r="M1598" s="241"/>
      <c r="N1598" s="241"/>
      <c r="O1598" s="241"/>
      <c r="P1598" s="241"/>
      <c r="Q1598" s="241"/>
    </row>
    <row r="1599" spans="1:17" ht="13.5" customHeight="1" x14ac:dyDescent="0.3">
      <c r="A1599"/>
      <c r="B1599" s="241"/>
      <c r="C1599" s="241"/>
      <c r="D1599" s="241"/>
      <c r="E1599" s="241"/>
      <c r="F1599" s="241"/>
      <c r="G1599" s="241"/>
      <c r="H1599" s="241"/>
      <c r="I1599"/>
      <c r="J1599" s="241"/>
      <c r="K1599" s="241"/>
      <c r="L1599" s="241"/>
      <c r="M1599" s="241"/>
      <c r="N1599" s="241"/>
      <c r="O1599" s="241"/>
      <c r="P1599" s="241"/>
      <c r="Q1599" s="241"/>
    </row>
    <row r="1600" spans="1:17" ht="13.5" customHeight="1" x14ac:dyDescent="0.3">
      <c r="A1600"/>
      <c r="B1600" s="241"/>
      <c r="C1600" s="241"/>
      <c r="D1600" s="241"/>
      <c r="E1600" s="241"/>
      <c r="F1600" s="241"/>
      <c r="G1600" s="241"/>
      <c r="H1600" s="241"/>
      <c r="I1600"/>
      <c r="J1600" s="241"/>
      <c r="K1600" s="241"/>
      <c r="L1600" s="241"/>
      <c r="M1600" s="241"/>
      <c r="N1600" s="241"/>
      <c r="O1600" s="241"/>
      <c r="P1600" s="241"/>
      <c r="Q1600" s="241"/>
    </row>
    <row r="1601" spans="1:17" ht="13.5" customHeight="1" x14ac:dyDescent="0.3">
      <c r="A1601"/>
      <c r="B1601" s="241"/>
      <c r="C1601" s="241"/>
      <c r="D1601" s="241"/>
      <c r="E1601" s="241"/>
      <c r="F1601" s="241"/>
      <c r="G1601" s="241"/>
      <c r="H1601" s="241"/>
      <c r="I1601"/>
      <c r="J1601" s="241"/>
      <c r="K1601" s="241"/>
      <c r="L1601" s="241"/>
      <c r="M1601" s="241"/>
      <c r="N1601" s="241"/>
      <c r="O1601" s="241"/>
      <c r="P1601" s="241"/>
      <c r="Q1601" s="241"/>
    </row>
    <row r="1602" spans="1:17" ht="13.5" customHeight="1" x14ac:dyDescent="0.3">
      <c r="A1602"/>
      <c r="B1602" s="241"/>
      <c r="C1602" s="241"/>
      <c r="D1602" s="241"/>
      <c r="E1602" s="241"/>
      <c r="F1602" s="241"/>
      <c r="G1602" s="241"/>
      <c r="H1602" s="241"/>
      <c r="I1602"/>
      <c r="J1602" s="241"/>
      <c r="K1602" s="241"/>
      <c r="L1602" s="241"/>
      <c r="M1602" s="241"/>
      <c r="N1602" s="241"/>
      <c r="O1602" s="241"/>
      <c r="P1602" s="241"/>
      <c r="Q1602" s="241"/>
    </row>
    <row r="1603" spans="1:17" ht="13.5" customHeight="1" x14ac:dyDescent="0.3">
      <c r="A1603"/>
      <c r="B1603" s="241"/>
      <c r="C1603" s="241"/>
      <c r="D1603" s="241"/>
      <c r="E1603" s="241"/>
      <c r="F1603" s="241"/>
      <c r="G1603" s="241"/>
      <c r="H1603" s="241"/>
      <c r="I1603"/>
      <c r="J1603" s="241"/>
      <c r="K1603" s="241"/>
      <c r="L1603" s="241"/>
      <c r="M1603" s="241"/>
      <c r="N1603" s="241"/>
      <c r="O1603" s="241"/>
      <c r="P1603" s="241"/>
      <c r="Q1603" s="241"/>
    </row>
    <row r="1604" spans="1:17" ht="13.5" customHeight="1" x14ac:dyDescent="0.3">
      <c r="A1604"/>
      <c r="B1604" s="241"/>
      <c r="C1604" s="241"/>
      <c r="D1604" s="241"/>
      <c r="E1604" s="241"/>
      <c r="F1604" s="241"/>
      <c r="G1604" s="241"/>
      <c r="H1604" s="241"/>
      <c r="I1604"/>
      <c r="J1604" s="241"/>
      <c r="K1604" s="241"/>
      <c r="L1604" s="241"/>
      <c r="M1604" s="241"/>
      <c r="N1604" s="241"/>
      <c r="O1604" s="241"/>
      <c r="P1604" s="241"/>
      <c r="Q1604" s="241"/>
    </row>
    <row r="1605" spans="1:17" ht="13.5" customHeight="1" x14ac:dyDescent="0.3">
      <c r="A1605"/>
      <c r="B1605" s="241"/>
      <c r="C1605" s="241"/>
      <c r="D1605" s="241"/>
      <c r="E1605" s="241"/>
      <c r="F1605" s="241"/>
      <c r="G1605" s="241"/>
      <c r="H1605" s="241"/>
      <c r="I1605"/>
      <c r="J1605" s="241"/>
      <c r="K1605" s="241"/>
      <c r="L1605" s="241"/>
      <c r="M1605" s="241"/>
      <c r="N1605" s="241"/>
      <c r="O1605" s="241"/>
      <c r="P1605" s="241"/>
      <c r="Q1605" s="241"/>
    </row>
    <row r="1606" spans="1:17" ht="13.5" customHeight="1" x14ac:dyDescent="0.3">
      <c r="A1606"/>
      <c r="B1606" s="241"/>
      <c r="C1606" s="241"/>
      <c r="D1606" s="241"/>
      <c r="E1606" s="241"/>
      <c r="F1606" s="241"/>
      <c r="G1606" s="241"/>
      <c r="H1606" s="241"/>
      <c r="I1606"/>
      <c r="J1606" s="241"/>
      <c r="K1606" s="241"/>
      <c r="L1606" s="241"/>
      <c r="M1606" s="241"/>
      <c r="N1606" s="241"/>
      <c r="O1606" s="241"/>
      <c r="P1606" s="241"/>
      <c r="Q1606" s="241"/>
    </row>
    <row r="1607" spans="1:17" ht="13.5" customHeight="1" x14ac:dyDescent="0.3">
      <c r="A1607"/>
      <c r="B1607" s="241"/>
      <c r="C1607" s="241"/>
      <c r="D1607" s="241"/>
      <c r="E1607" s="241"/>
      <c r="F1607" s="241"/>
      <c r="G1607" s="241"/>
      <c r="H1607" s="241"/>
      <c r="I1607"/>
      <c r="J1607" s="241"/>
      <c r="K1607" s="241"/>
      <c r="L1607" s="241"/>
      <c r="M1607" s="241"/>
      <c r="N1607" s="241"/>
      <c r="O1607" s="241"/>
      <c r="P1607" s="241"/>
      <c r="Q1607" s="241"/>
    </row>
    <row r="1608" spans="1:17" ht="13.5" customHeight="1" x14ac:dyDescent="0.3">
      <c r="A1608"/>
      <c r="B1608" s="241"/>
      <c r="C1608" s="241"/>
      <c r="D1608" s="241"/>
      <c r="E1608" s="241"/>
      <c r="F1608" s="241"/>
      <c r="G1608" s="241"/>
      <c r="H1608" s="241"/>
      <c r="I1608"/>
      <c r="J1608" s="241"/>
      <c r="K1608" s="241"/>
      <c r="L1608" s="241"/>
      <c r="M1608" s="241"/>
      <c r="N1608" s="241"/>
      <c r="O1608" s="241"/>
      <c r="P1608" s="241"/>
      <c r="Q1608" s="241"/>
    </row>
    <row r="1609" spans="1:17" ht="13.5" customHeight="1" x14ac:dyDescent="0.3">
      <c r="A1609"/>
      <c r="B1609" s="241"/>
      <c r="C1609" s="241"/>
      <c r="D1609" s="241"/>
      <c r="E1609" s="241"/>
      <c r="F1609" s="241"/>
      <c r="G1609" s="241"/>
      <c r="H1609" s="241"/>
      <c r="I1609"/>
      <c r="J1609" s="241"/>
      <c r="K1609" s="241"/>
      <c r="L1609" s="241"/>
      <c r="M1609" s="241"/>
      <c r="N1609" s="241"/>
      <c r="O1609" s="241"/>
      <c r="P1609" s="241"/>
      <c r="Q1609" s="241"/>
    </row>
    <row r="1610" spans="1:17" ht="13.5" customHeight="1" x14ac:dyDescent="0.3">
      <c r="A1610"/>
      <c r="B1610" s="241"/>
      <c r="C1610" s="241"/>
      <c r="D1610" s="241"/>
      <c r="E1610" s="241"/>
      <c r="F1610" s="241"/>
      <c r="G1610" s="241"/>
      <c r="H1610" s="241"/>
      <c r="I1610"/>
      <c r="J1610" s="241"/>
      <c r="K1610" s="241"/>
      <c r="L1610" s="241"/>
      <c r="M1610" s="241"/>
      <c r="N1610" s="241"/>
      <c r="O1610" s="241"/>
      <c r="P1610" s="241"/>
      <c r="Q1610" s="241"/>
    </row>
    <row r="1611" spans="1:17" ht="13.5" customHeight="1" x14ac:dyDescent="0.3">
      <c r="A1611"/>
      <c r="B1611" s="241"/>
      <c r="C1611" s="241"/>
      <c r="D1611" s="241"/>
      <c r="E1611" s="241"/>
      <c r="F1611" s="241"/>
      <c r="G1611" s="241"/>
      <c r="H1611" s="241"/>
      <c r="I1611"/>
      <c r="J1611" s="241"/>
      <c r="K1611" s="241"/>
      <c r="L1611" s="241"/>
      <c r="M1611" s="241"/>
      <c r="N1611" s="241"/>
      <c r="O1611" s="241"/>
      <c r="P1611" s="241"/>
      <c r="Q1611" s="241"/>
    </row>
    <row r="1612" spans="1:17" ht="13.5" customHeight="1" x14ac:dyDescent="0.3">
      <c r="A1612"/>
      <c r="B1612" s="241"/>
      <c r="C1612" s="241"/>
      <c r="D1612" s="241"/>
      <c r="E1612" s="241"/>
      <c r="F1612" s="241"/>
      <c r="G1612" s="241"/>
      <c r="H1612" s="241"/>
      <c r="I1612"/>
      <c r="J1612" s="241"/>
      <c r="K1612" s="241"/>
      <c r="L1612" s="241"/>
      <c r="M1612" s="241"/>
      <c r="N1612" s="241"/>
      <c r="O1612" s="241"/>
      <c r="P1612" s="241"/>
      <c r="Q1612" s="241"/>
    </row>
    <row r="1613" spans="1:17" ht="13.5" customHeight="1" x14ac:dyDescent="0.3">
      <c r="A1613"/>
      <c r="B1613" s="241"/>
      <c r="C1613" s="241"/>
      <c r="D1613" s="241"/>
      <c r="E1613" s="241"/>
      <c r="F1613" s="241"/>
      <c r="G1613" s="241"/>
      <c r="H1613" s="241"/>
      <c r="I1613"/>
      <c r="J1613" s="241"/>
      <c r="K1613" s="241"/>
      <c r="L1613" s="241"/>
      <c r="M1613" s="241"/>
      <c r="N1613" s="241"/>
      <c r="O1613" s="241"/>
      <c r="P1613" s="241"/>
      <c r="Q1613" s="241"/>
    </row>
    <row r="1614" spans="1:17" ht="13.5" customHeight="1" x14ac:dyDescent="0.3">
      <c r="A1614"/>
      <c r="B1614" s="241"/>
      <c r="C1614" s="241"/>
      <c r="D1614" s="241"/>
      <c r="E1614" s="241"/>
      <c r="F1614" s="241"/>
      <c r="G1614" s="241"/>
      <c r="H1614" s="241"/>
      <c r="I1614"/>
      <c r="J1614" s="241"/>
      <c r="K1614" s="241"/>
      <c r="L1614" s="241"/>
      <c r="M1614" s="241"/>
      <c r="N1614" s="241"/>
      <c r="O1614" s="241"/>
      <c r="P1614" s="241"/>
      <c r="Q1614" s="241"/>
    </row>
    <row r="1615" spans="1:17" ht="13.5" customHeight="1" x14ac:dyDescent="0.3">
      <c r="A1615"/>
      <c r="B1615" s="241"/>
      <c r="C1615" s="241"/>
      <c r="D1615" s="241"/>
      <c r="E1615" s="241"/>
      <c r="F1615" s="241"/>
      <c r="G1615" s="241"/>
      <c r="H1615" s="241"/>
      <c r="I1615"/>
      <c r="J1615" s="241"/>
      <c r="K1615" s="241"/>
      <c r="L1615" s="241"/>
      <c r="M1615" s="241"/>
      <c r="N1615" s="241"/>
      <c r="O1615" s="241"/>
      <c r="P1615" s="241"/>
      <c r="Q1615" s="241"/>
    </row>
    <row r="1616" spans="1:17" ht="13.5" customHeight="1" x14ac:dyDescent="0.3">
      <c r="A1616"/>
      <c r="B1616" s="241"/>
      <c r="C1616" s="241"/>
      <c r="D1616" s="241"/>
      <c r="E1616" s="241"/>
      <c r="F1616" s="241"/>
      <c r="G1616" s="241"/>
      <c r="H1616" s="241"/>
      <c r="I1616"/>
      <c r="J1616" s="241"/>
      <c r="K1616" s="241"/>
      <c r="L1616" s="241"/>
      <c r="M1616" s="241"/>
      <c r="N1616" s="241"/>
      <c r="O1616" s="241"/>
      <c r="P1616" s="241"/>
      <c r="Q1616" s="241"/>
    </row>
    <row r="1617" spans="1:17" ht="13.5" customHeight="1" x14ac:dyDescent="0.3">
      <c r="A1617"/>
      <c r="B1617" s="241"/>
      <c r="C1617" s="241"/>
      <c r="D1617" s="241"/>
      <c r="E1617" s="241"/>
      <c r="F1617" s="241"/>
      <c r="G1617" s="241"/>
      <c r="H1617" s="241"/>
      <c r="I1617"/>
      <c r="J1617" s="241"/>
      <c r="K1617" s="241"/>
      <c r="L1617" s="241"/>
      <c r="M1617" s="241"/>
      <c r="N1617" s="241"/>
      <c r="O1617" s="241"/>
      <c r="P1617" s="241"/>
      <c r="Q1617" s="241"/>
    </row>
    <row r="1618" spans="1:17" ht="13.5" customHeight="1" x14ac:dyDescent="0.3">
      <c r="A1618"/>
      <c r="B1618" s="241"/>
      <c r="C1618" s="241"/>
      <c r="D1618" s="241"/>
      <c r="E1618" s="241"/>
      <c r="F1618" s="241"/>
      <c r="G1618" s="241"/>
      <c r="H1618" s="241"/>
      <c r="I1618"/>
      <c r="J1618" s="241"/>
      <c r="K1618" s="241"/>
      <c r="L1618" s="241"/>
      <c r="M1618" s="241"/>
      <c r="N1618" s="241"/>
      <c r="O1618" s="241"/>
      <c r="P1618" s="241"/>
      <c r="Q1618" s="241"/>
    </row>
    <row r="1619" spans="1:17" ht="13.5" customHeight="1" x14ac:dyDescent="0.3">
      <c r="A1619"/>
      <c r="B1619" s="241"/>
      <c r="C1619" s="241"/>
      <c r="D1619" s="241"/>
      <c r="E1619" s="241"/>
      <c r="F1619" s="241"/>
      <c r="G1619" s="241"/>
      <c r="H1619" s="241"/>
      <c r="I1619"/>
      <c r="J1619" s="241"/>
      <c r="K1619" s="241"/>
      <c r="L1619" s="241"/>
      <c r="M1619" s="241"/>
      <c r="N1619" s="241"/>
      <c r="O1619" s="241"/>
      <c r="P1619" s="241"/>
      <c r="Q1619" s="241"/>
    </row>
    <row r="1620" spans="1:17" ht="13.5" customHeight="1" x14ac:dyDescent="0.3">
      <c r="A1620"/>
      <c r="B1620" s="241"/>
      <c r="C1620" s="241"/>
      <c r="D1620" s="241"/>
      <c r="E1620" s="241"/>
      <c r="F1620" s="241"/>
      <c r="G1620" s="241"/>
      <c r="H1620" s="241"/>
      <c r="I1620"/>
      <c r="J1620" s="241"/>
      <c r="K1620" s="241"/>
      <c r="L1620" s="241"/>
      <c r="M1620" s="241"/>
      <c r="N1620" s="241"/>
      <c r="O1620" s="241"/>
      <c r="P1620" s="241"/>
      <c r="Q1620" s="241"/>
    </row>
    <row r="1621" spans="1:17" ht="13.5" customHeight="1" x14ac:dyDescent="0.3">
      <c r="A1621"/>
      <c r="B1621" s="241"/>
      <c r="C1621" s="241"/>
      <c r="D1621" s="241"/>
      <c r="E1621" s="241"/>
      <c r="F1621" s="241"/>
      <c r="G1621" s="241"/>
      <c r="H1621" s="241"/>
      <c r="I1621"/>
      <c r="J1621" s="241"/>
      <c r="K1621" s="241"/>
      <c r="L1621" s="241"/>
      <c r="M1621" s="241"/>
      <c r="N1621" s="241"/>
      <c r="O1621" s="241"/>
      <c r="P1621" s="241"/>
      <c r="Q1621" s="241"/>
    </row>
    <row r="1622" spans="1:17" ht="13.5" customHeight="1" x14ac:dyDescent="0.3">
      <c r="A1622"/>
      <c r="B1622" s="241"/>
      <c r="C1622" s="241"/>
      <c r="D1622" s="241"/>
      <c r="E1622" s="241"/>
      <c r="F1622" s="241"/>
      <c r="G1622" s="241"/>
      <c r="H1622" s="241"/>
      <c r="I1622"/>
      <c r="J1622" s="241"/>
      <c r="K1622" s="241"/>
      <c r="L1622" s="241"/>
      <c r="M1622" s="241"/>
      <c r="N1622" s="241"/>
      <c r="O1622" s="241"/>
      <c r="P1622" s="241"/>
      <c r="Q1622" s="241"/>
    </row>
    <row r="1623" spans="1:17" ht="13.5" customHeight="1" x14ac:dyDescent="0.3">
      <c r="A1623"/>
      <c r="B1623" s="241"/>
      <c r="C1623" s="241"/>
      <c r="D1623" s="241"/>
      <c r="E1623" s="241"/>
      <c r="F1623" s="241"/>
      <c r="G1623" s="241"/>
      <c r="H1623" s="241"/>
      <c r="I1623"/>
      <c r="J1623" s="241"/>
      <c r="K1623" s="241"/>
      <c r="L1623" s="241"/>
      <c r="M1623" s="241"/>
      <c r="N1623" s="241"/>
      <c r="O1623" s="241"/>
      <c r="P1623" s="241"/>
      <c r="Q1623" s="241"/>
    </row>
    <row r="1624" spans="1:17" ht="13.5" customHeight="1" x14ac:dyDescent="0.3">
      <c r="A1624"/>
      <c r="B1624" s="241"/>
      <c r="C1624" s="241"/>
      <c r="D1624" s="241"/>
      <c r="E1624" s="241"/>
      <c r="F1624" s="241"/>
      <c r="G1624" s="241"/>
      <c r="H1624" s="241"/>
      <c r="I1624"/>
      <c r="J1624" s="241"/>
      <c r="K1624" s="241"/>
      <c r="L1624" s="241"/>
      <c r="M1624" s="241"/>
      <c r="N1624" s="241"/>
      <c r="O1624" s="241"/>
      <c r="P1624" s="241"/>
      <c r="Q1624" s="241"/>
    </row>
    <row r="1625" spans="1:17" ht="13.5" customHeight="1" x14ac:dyDescent="0.3">
      <c r="A1625"/>
      <c r="B1625" s="241"/>
      <c r="C1625" s="241"/>
      <c r="D1625" s="241"/>
      <c r="E1625" s="241"/>
      <c r="F1625" s="241"/>
      <c r="G1625" s="241"/>
      <c r="H1625" s="241"/>
      <c r="I1625"/>
      <c r="J1625" s="241"/>
      <c r="K1625" s="241"/>
      <c r="L1625" s="241"/>
      <c r="M1625" s="241"/>
      <c r="N1625" s="241"/>
      <c r="O1625" s="241"/>
      <c r="P1625" s="241"/>
      <c r="Q1625" s="241"/>
    </row>
    <row r="1626" spans="1:17" ht="13.5" customHeight="1" x14ac:dyDescent="0.3">
      <c r="A1626"/>
      <c r="B1626" s="241"/>
      <c r="C1626" s="241"/>
      <c r="D1626" s="241"/>
      <c r="E1626" s="241"/>
      <c r="F1626" s="241"/>
      <c r="G1626" s="241"/>
      <c r="H1626" s="241"/>
      <c r="I1626"/>
      <c r="J1626" s="241"/>
      <c r="K1626" s="241"/>
      <c r="L1626" s="241"/>
      <c r="M1626" s="241"/>
      <c r="N1626" s="241"/>
      <c r="O1626" s="241"/>
      <c r="P1626" s="241"/>
      <c r="Q1626" s="241"/>
    </row>
    <row r="1627" spans="1:17" ht="13.5" customHeight="1" x14ac:dyDescent="0.3">
      <c r="A1627"/>
      <c r="B1627" s="241"/>
      <c r="C1627" s="241"/>
      <c r="D1627" s="241"/>
      <c r="E1627" s="241"/>
      <c r="F1627" s="241"/>
      <c r="G1627" s="241"/>
      <c r="H1627" s="241"/>
      <c r="I1627"/>
      <c r="J1627" s="241"/>
      <c r="K1627" s="241"/>
      <c r="L1627" s="241"/>
      <c r="M1627" s="241"/>
      <c r="N1627" s="241"/>
      <c r="O1627" s="241"/>
      <c r="P1627" s="241"/>
      <c r="Q1627" s="241"/>
    </row>
    <row r="1628" spans="1:17" ht="13.5" customHeight="1" x14ac:dyDescent="0.3">
      <c r="A1628"/>
      <c r="B1628" s="241"/>
      <c r="C1628" s="241"/>
      <c r="D1628" s="241"/>
      <c r="E1628" s="241"/>
      <c r="F1628" s="241"/>
      <c r="G1628" s="241"/>
      <c r="H1628" s="241"/>
      <c r="I1628"/>
      <c r="J1628" s="241"/>
      <c r="K1628" s="241"/>
      <c r="L1628" s="241"/>
      <c r="M1628" s="241"/>
      <c r="N1628" s="241"/>
      <c r="O1628" s="241"/>
      <c r="P1628" s="241"/>
      <c r="Q1628" s="241"/>
    </row>
    <row r="1629" spans="1:17" ht="13.5" customHeight="1" x14ac:dyDescent="0.3">
      <c r="A1629"/>
      <c r="B1629" s="241"/>
      <c r="C1629" s="241"/>
      <c r="D1629" s="241"/>
      <c r="E1629" s="241"/>
      <c r="F1629" s="241"/>
      <c r="G1629" s="241"/>
      <c r="H1629" s="241"/>
      <c r="I1629"/>
      <c r="J1629" s="241"/>
      <c r="K1629" s="241"/>
      <c r="L1629" s="241"/>
      <c r="M1629" s="241"/>
      <c r="N1629" s="241"/>
      <c r="O1629" s="241"/>
      <c r="P1629" s="241"/>
      <c r="Q1629" s="241"/>
    </row>
    <row r="1630" spans="1:17" ht="13.5" customHeight="1" x14ac:dyDescent="0.3">
      <c r="A1630"/>
      <c r="B1630" s="241"/>
      <c r="C1630" s="241"/>
      <c r="D1630" s="241"/>
      <c r="E1630" s="241"/>
      <c r="F1630" s="241"/>
      <c r="G1630" s="241"/>
      <c r="H1630" s="241"/>
      <c r="I1630"/>
      <c r="J1630" s="241"/>
      <c r="K1630" s="241"/>
      <c r="L1630" s="241"/>
      <c r="M1630" s="241"/>
      <c r="N1630" s="241"/>
      <c r="O1630" s="241"/>
      <c r="P1630" s="241"/>
      <c r="Q1630" s="241"/>
    </row>
    <row r="1631" spans="1:17" ht="13.5" customHeight="1" x14ac:dyDescent="0.3">
      <c r="A1631"/>
      <c r="B1631" s="241"/>
      <c r="C1631" s="241"/>
      <c r="D1631" s="241"/>
      <c r="E1631" s="241"/>
      <c r="F1631" s="241"/>
      <c r="G1631" s="241"/>
      <c r="H1631" s="241"/>
      <c r="I1631"/>
      <c r="J1631" s="241"/>
      <c r="K1631" s="241"/>
      <c r="L1631" s="241"/>
      <c r="M1631" s="241"/>
      <c r="N1631" s="241"/>
      <c r="O1631" s="241"/>
      <c r="P1631" s="241"/>
      <c r="Q1631" s="241"/>
    </row>
    <row r="1632" spans="1:17" ht="13.5" customHeight="1" x14ac:dyDescent="0.3">
      <c r="A1632"/>
      <c r="B1632" s="241"/>
      <c r="C1632" s="241"/>
      <c r="D1632" s="241"/>
      <c r="E1632" s="241"/>
      <c r="F1632" s="241"/>
      <c r="G1632" s="241"/>
      <c r="H1632" s="241"/>
      <c r="I1632"/>
      <c r="J1632" s="241"/>
      <c r="K1632" s="241"/>
      <c r="L1632" s="241"/>
      <c r="M1632" s="241"/>
      <c r="N1632" s="241"/>
      <c r="O1632" s="241"/>
      <c r="P1632" s="241"/>
      <c r="Q1632" s="241"/>
    </row>
    <row r="1633" spans="1:17" ht="13.5" customHeight="1" x14ac:dyDescent="0.3">
      <c r="A1633"/>
      <c r="B1633" s="241"/>
      <c r="C1633" s="241"/>
      <c r="D1633" s="241"/>
      <c r="E1633" s="241"/>
      <c r="F1633" s="241"/>
      <c r="G1633" s="241"/>
      <c r="H1633" s="241"/>
      <c r="I1633"/>
      <c r="J1633" s="241"/>
      <c r="K1633" s="241"/>
      <c r="L1633" s="241"/>
      <c r="M1633" s="241"/>
      <c r="N1633" s="241"/>
      <c r="O1633" s="241"/>
      <c r="P1633" s="241"/>
      <c r="Q1633" s="241"/>
    </row>
    <row r="1634" spans="1:17" ht="13.5" customHeight="1" x14ac:dyDescent="0.3">
      <c r="A1634"/>
      <c r="B1634" s="241"/>
      <c r="C1634" s="241"/>
      <c r="D1634" s="241"/>
      <c r="E1634" s="241"/>
      <c r="F1634" s="241"/>
      <c r="G1634" s="241"/>
      <c r="H1634" s="241"/>
      <c r="I1634"/>
      <c r="J1634" s="241"/>
      <c r="K1634" s="241"/>
      <c r="L1634" s="241"/>
      <c r="M1634" s="241"/>
      <c r="N1634" s="241"/>
      <c r="O1634" s="241"/>
      <c r="P1634" s="241"/>
      <c r="Q1634" s="241"/>
    </row>
    <row r="1635" spans="1:17" ht="13.5" customHeight="1" x14ac:dyDescent="0.3">
      <c r="A1635"/>
      <c r="B1635" s="241"/>
      <c r="C1635" s="241"/>
      <c r="D1635" s="241"/>
      <c r="E1635" s="241"/>
      <c r="F1635" s="241"/>
      <c r="G1635" s="241"/>
      <c r="H1635" s="241"/>
      <c r="I1635"/>
      <c r="J1635" s="241"/>
      <c r="K1635" s="241"/>
      <c r="L1635" s="241"/>
      <c r="M1635" s="241"/>
      <c r="N1635" s="241"/>
      <c r="O1635" s="241"/>
      <c r="P1635" s="241"/>
      <c r="Q1635" s="241"/>
    </row>
    <row r="1636" spans="1:17" ht="13.5" customHeight="1" x14ac:dyDescent="0.3">
      <c r="A1636"/>
      <c r="B1636" s="241"/>
      <c r="C1636" s="241"/>
      <c r="D1636" s="241"/>
      <c r="E1636" s="241"/>
      <c r="F1636" s="241"/>
      <c r="G1636" s="241"/>
      <c r="H1636" s="241"/>
      <c r="I1636"/>
      <c r="J1636" s="241"/>
      <c r="K1636" s="241"/>
      <c r="L1636" s="241"/>
      <c r="M1636" s="241"/>
      <c r="N1636" s="241"/>
      <c r="O1636" s="241"/>
      <c r="P1636" s="241"/>
      <c r="Q1636" s="241"/>
    </row>
    <row r="1637" spans="1:17" ht="13.5" customHeight="1" x14ac:dyDescent="0.3">
      <c r="A1637"/>
      <c r="B1637" s="241"/>
      <c r="C1637" s="241"/>
      <c r="D1637" s="241"/>
      <c r="E1637" s="241"/>
      <c r="F1637" s="241"/>
      <c r="G1637" s="241"/>
      <c r="H1637" s="241"/>
      <c r="I1637"/>
      <c r="J1637" s="241"/>
      <c r="K1637" s="241"/>
      <c r="L1637" s="241"/>
      <c r="M1637" s="241"/>
      <c r="N1637" s="241"/>
      <c r="O1637" s="241"/>
      <c r="P1637" s="241"/>
      <c r="Q1637" s="241"/>
    </row>
    <row r="1638" spans="1:17" ht="13.5" customHeight="1" x14ac:dyDescent="0.3">
      <c r="A1638"/>
      <c r="B1638" s="241"/>
      <c r="C1638" s="241"/>
      <c r="D1638" s="241"/>
      <c r="E1638" s="241"/>
      <c r="F1638" s="241"/>
      <c r="G1638" s="241"/>
      <c r="H1638" s="241"/>
      <c r="I1638"/>
      <c r="J1638" s="241"/>
      <c r="K1638" s="241"/>
      <c r="L1638" s="241"/>
      <c r="M1638" s="241"/>
      <c r="N1638" s="241"/>
      <c r="O1638" s="241"/>
      <c r="P1638" s="241"/>
      <c r="Q1638" s="241"/>
    </row>
    <row r="1639" spans="1:17" ht="13.5" customHeight="1" x14ac:dyDescent="0.3">
      <c r="A1639"/>
      <c r="B1639" s="241"/>
      <c r="C1639" s="241"/>
      <c r="D1639" s="241"/>
      <c r="E1639" s="241"/>
      <c r="F1639" s="241"/>
      <c r="G1639" s="241"/>
      <c r="H1639" s="241"/>
      <c r="I1639"/>
      <c r="J1639" s="241"/>
      <c r="K1639" s="241"/>
      <c r="L1639" s="241"/>
      <c r="M1639" s="241"/>
      <c r="N1639" s="241"/>
      <c r="O1639" s="241"/>
      <c r="P1639" s="241"/>
      <c r="Q1639" s="241"/>
    </row>
    <row r="1640" spans="1:17" ht="13.5" customHeight="1" x14ac:dyDescent="0.3">
      <c r="A1640"/>
      <c r="B1640" s="241"/>
      <c r="C1640" s="241"/>
      <c r="D1640" s="241"/>
      <c r="E1640" s="241"/>
      <c r="F1640" s="241"/>
      <c r="G1640" s="241"/>
      <c r="H1640" s="241"/>
      <c r="I1640"/>
      <c r="J1640" s="241"/>
      <c r="K1640" s="241"/>
      <c r="L1640" s="241"/>
      <c r="M1640" s="241"/>
      <c r="N1640" s="241"/>
      <c r="O1640" s="241"/>
      <c r="P1640" s="241"/>
      <c r="Q1640" s="241"/>
    </row>
    <row r="1641" spans="1:17" ht="13.5" customHeight="1" x14ac:dyDescent="0.3">
      <c r="A1641"/>
      <c r="B1641" s="241"/>
      <c r="C1641" s="241"/>
      <c r="D1641" s="241"/>
      <c r="E1641" s="241"/>
      <c r="F1641" s="241"/>
      <c r="G1641" s="241"/>
      <c r="H1641" s="241"/>
      <c r="I1641"/>
      <c r="J1641" s="241"/>
      <c r="K1641" s="241"/>
      <c r="L1641" s="241"/>
      <c r="M1641" s="241"/>
      <c r="N1641" s="241"/>
      <c r="O1641" s="241"/>
      <c r="P1641" s="241"/>
      <c r="Q1641" s="241"/>
    </row>
    <row r="1642" spans="1:17" ht="13.5" customHeight="1" x14ac:dyDescent="0.3">
      <c r="A1642"/>
      <c r="B1642" s="241"/>
      <c r="C1642" s="241"/>
      <c r="D1642" s="241"/>
      <c r="E1642" s="241"/>
      <c r="F1642" s="241"/>
      <c r="G1642" s="241"/>
      <c r="H1642" s="241"/>
      <c r="I1642"/>
      <c r="J1642" s="241"/>
      <c r="K1642" s="241"/>
      <c r="L1642" s="241"/>
      <c r="M1642" s="241"/>
      <c r="N1642" s="241"/>
      <c r="O1642" s="241"/>
      <c r="P1642" s="241"/>
      <c r="Q1642" s="241"/>
    </row>
    <row r="1643" spans="1:17" ht="13.5" customHeight="1" x14ac:dyDescent="0.3">
      <c r="A1643"/>
      <c r="B1643" s="241"/>
      <c r="C1643" s="241"/>
      <c r="D1643" s="241"/>
      <c r="E1643" s="241"/>
      <c r="F1643" s="241"/>
      <c r="G1643" s="241"/>
      <c r="H1643" s="241"/>
      <c r="I1643"/>
      <c r="J1643" s="241"/>
      <c r="K1643" s="241"/>
      <c r="L1643" s="241"/>
      <c r="M1643" s="241"/>
      <c r="N1643" s="241"/>
      <c r="O1643" s="241"/>
      <c r="P1643" s="241"/>
      <c r="Q1643" s="241"/>
    </row>
    <row r="1644" spans="1:17" ht="13.5" customHeight="1" x14ac:dyDescent="0.3">
      <c r="A1644"/>
      <c r="B1644" s="241"/>
      <c r="C1644" s="241"/>
      <c r="D1644" s="241"/>
      <c r="E1644" s="241"/>
      <c r="F1644" s="241"/>
      <c r="G1644" s="241"/>
      <c r="H1644" s="241"/>
      <c r="I1644"/>
      <c r="J1644" s="241"/>
      <c r="K1644" s="241"/>
      <c r="L1644" s="241"/>
      <c r="M1644" s="241"/>
      <c r="N1644" s="241"/>
      <c r="O1644" s="241"/>
      <c r="P1644" s="241"/>
      <c r="Q1644" s="241"/>
    </row>
    <row r="1645" spans="1:17" ht="13.5" customHeight="1" x14ac:dyDescent="0.3">
      <c r="A1645"/>
      <c r="B1645" s="241"/>
      <c r="C1645" s="241"/>
      <c r="D1645" s="241"/>
      <c r="E1645" s="241"/>
      <c r="F1645" s="241"/>
      <c r="G1645" s="241"/>
      <c r="H1645" s="241"/>
      <c r="I1645"/>
      <c r="J1645" s="241"/>
      <c r="K1645" s="241"/>
      <c r="L1645" s="241"/>
      <c r="M1645" s="241"/>
      <c r="N1645" s="241"/>
      <c r="O1645" s="241"/>
      <c r="P1645" s="241"/>
      <c r="Q1645" s="241"/>
    </row>
    <row r="1646" spans="1:17" ht="13.5" customHeight="1" x14ac:dyDescent="0.3">
      <c r="A1646"/>
      <c r="B1646" s="241"/>
      <c r="C1646" s="241"/>
      <c r="D1646" s="241"/>
      <c r="E1646" s="241"/>
      <c r="F1646" s="241"/>
      <c r="G1646" s="241"/>
      <c r="H1646" s="241"/>
      <c r="I1646"/>
      <c r="J1646" s="241"/>
      <c r="K1646" s="241"/>
      <c r="L1646" s="241"/>
      <c r="M1646" s="241"/>
      <c r="N1646" s="241"/>
      <c r="O1646" s="241"/>
      <c r="P1646" s="241"/>
      <c r="Q1646" s="241"/>
    </row>
    <row r="1647" spans="1:17" ht="13.5" customHeight="1" x14ac:dyDescent="0.3">
      <c r="A1647"/>
      <c r="B1647" s="241"/>
      <c r="C1647" s="241"/>
      <c r="D1647" s="241"/>
      <c r="E1647" s="241"/>
      <c r="F1647" s="241"/>
      <c r="G1647" s="241"/>
      <c r="H1647" s="241"/>
      <c r="I1647"/>
      <c r="J1647" s="241"/>
      <c r="K1647" s="241"/>
      <c r="L1647" s="241"/>
      <c r="M1647" s="241"/>
      <c r="N1647" s="241"/>
      <c r="O1647" s="241"/>
      <c r="P1647" s="241"/>
      <c r="Q1647" s="241"/>
    </row>
    <row r="1648" spans="1:17" ht="13.5" customHeight="1" x14ac:dyDescent="0.3">
      <c r="A1648"/>
      <c r="B1648" s="241"/>
      <c r="C1648" s="241"/>
      <c r="D1648" s="241"/>
      <c r="E1648" s="241"/>
      <c r="F1648" s="241"/>
      <c r="G1648" s="241"/>
      <c r="H1648" s="241"/>
      <c r="I1648"/>
      <c r="J1648" s="241"/>
      <c r="K1648" s="241"/>
      <c r="L1648" s="241"/>
      <c r="M1648" s="241"/>
      <c r="N1648" s="241"/>
      <c r="O1648" s="241"/>
      <c r="P1648" s="241"/>
      <c r="Q1648" s="241"/>
    </row>
    <row r="1649" spans="1:17" ht="13.5" customHeight="1" x14ac:dyDescent="0.3">
      <c r="A1649"/>
      <c r="B1649" s="241"/>
      <c r="C1649" s="241"/>
      <c r="D1649" s="241"/>
      <c r="E1649" s="241"/>
      <c r="F1649" s="241"/>
      <c r="G1649" s="241"/>
      <c r="H1649" s="241"/>
      <c r="I1649"/>
      <c r="J1649" s="241"/>
      <c r="K1649" s="241"/>
      <c r="L1649" s="241"/>
      <c r="M1649" s="241"/>
      <c r="N1649" s="241"/>
      <c r="O1649" s="241"/>
      <c r="P1649" s="241"/>
      <c r="Q1649" s="241"/>
    </row>
    <row r="1650" spans="1:17" ht="13.5" customHeight="1" x14ac:dyDescent="0.3">
      <c r="A1650"/>
      <c r="B1650" s="241"/>
      <c r="C1650" s="241"/>
      <c r="D1650" s="241"/>
      <c r="E1650" s="241"/>
      <c r="F1650" s="241"/>
      <c r="G1650" s="241"/>
      <c r="H1650" s="241"/>
      <c r="I1650"/>
      <c r="J1650" s="241"/>
      <c r="K1650" s="241"/>
      <c r="L1650" s="241"/>
      <c r="M1650" s="241"/>
      <c r="N1650" s="241"/>
      <c r="O1650" s="241"/>
      <c r="P1650" s="241"/>
      <c r="Q1650" s="241"/>
    </row>
    <row r="1651" spans="1:17" ht="13.5" customHeight="1" x14ac:dyDescent="0.3">
      <c r="A1651"/>
      <c r="B1651" s="241"/>
      <c r="C1651" s="241"/>
      <c r="D1651" s="241"/>
      <c r="E1651" s="241"/>
      <c r="F1651" s="241"/>
      <c r="G1651" s="241"/>
      <c r="H1651" s="241"/>
      <c r="I1651"/>
      <c r="J1651" s="241"/>
      <c r="K1651" s="241"/>
      <c r="L1651" s="241"/>
      <c r="M1651" s="241"/>
      <c r="N1651" s="241"/>
      <c r="O1651" s="241"/>
      <c r="P1651" s="241"/>
      <c r="Q1651" s="241"/>
    </row>
    <row r="1652" spans="1:17" ht="13.5" customHeight="1" x14ac:dyDescent="0.3">
      <c r="A1652"/>
      <c r="B1652" s="241"/>
      <c r="C1652" s="241"/>
      <c r="D1652" s="241"/>
      <c r="E1652" s="241"/>
      <c r="F1652" s="241"/>
      <c r="G1652" s="241"/>
      <c r="H1652" s="241"/>
      <c r="I1652"/>
      <c r="J1652" s="241"/>
      <c r="K1652" s="241"/>
      <c r="L1652" s="241"/>
      <c r="M1652" s="241"/>
      <c r="N1652" s="241"/>
      <c r="O1652" s="241"/>
      <c r="P1652" s="241"/>
      <c r="Q1652" s="241"/>
    </row>
    <row r="1653" spans="1:17" ht="13.5" customHeight="1" x14ac:dyDescent="0.3">
      <c r="A1653"/>
      <c r="B1653" s="241"/>
      <c r="C1653" s="241"/>
      <c r="D1653" s="241"/>
      <c r="E1653" s="241"/>
      <c r="F1653" s="241"/>
      <c r="G1653" s="241"/>
      <c r="H1653" s="241"/>
      <c r="I1653"/>
      <c r="J1653" s="241"/>
      <c r="K1653" s="241"/>
      <c r="L1653" s="241"/>
      <c r="M1653" s="241"/>
      <c r="N1653" s="241"/>
      <c r="O1653" s="241"/>
      <c r="P1653" s="241"/>
      <c r="Q1653" s="241"/>
    </row>
    <row r="1654" spans="1:17" ht="13.5" customHeight="1" x14ac:dyDescent="0.3">
      <c r="A1654"/>
      <c r="B1654" s="241"/>
      <c r="C1654" s="241"/>
      <c r="D1654" s="241"/>
      <c r="E1654" s="241"/>
      <c r="F1654" s="241"/>
      <c r="G1654" s="241"/>
      <c r="H1654" s="241"/>
      <c r="I1654"/>
      <c r="J1654" s="241"/>
      <c r="K1654" s="241"/>
      <c r="L1654" s="241"/>
      <c r="M1654" s="241"/>
      <c r="N1654" s="241"/>
      <c r="O1654" s="241"/>
      <c r="P1654" s="241"/>
      <c r="Q1654" s="241"/>
    </row>
    <row r="1655" spans="1:17" ht="13.5" customHeight="1" x14ac:dyDescent="0.3">
      <c r="A1655"/>
      <c r="B1655" s="241"/>
      <c r="C1655" s="241"/>
      <c r="D1655" s="241"/>
      <c r="E1655" s="241"/>
      <c r="F1655" s="241"/>
      <c r="G1655" s="241"/>
      <c r="H1655" s="241"/>
      <c r="I1655"/>
      <c r="J1655" s="241"/>
      <c r="K1655" s="241"/>
      <c r="L1655" s="241"/>
      <c r="M1655" s="241"/>
      <c r="N1655" s="241"/>
      <c r="O1655" s="241"/>
      <c r="P1655" s="241"/>
      <c r="Q1655" s="241"/>
    </row>
    <row r="1656" spans="1:17" ht="13.5" customHeight="1" x14ac:dyDescent="0.3">
      <c r="A1656"/>
      <c r="B1656" s="241"/>
      <c r="C1656" s="241"/>
      <c r="D1656" s="241"/>
      <c r="E1656" s="241"/>
      <c r="F1656" s="241"/>
      <c r="G1656" s="241"/>
      <c r="H1656" s="241"/>
      <c r="I1656"/>
      <c r="J1656" s="241"/>
      <c r="K1656" s="241"/>
      <c r="L1656" s="241"/>
      <c r="M1656" s="241"/>
      <c r="N1656" s="241"/>
      <c r="O1656" s="241"/>
      <c r="P1656" s="241"/>
      <c r="Q1656" s="241"/>
    </row>
    <row r="1657" spans="1:17" ht="13.5" customHeight="1" x14ac:dyDescent="0.3">
      <c r="A1657"/>
      <c r="B1657" s="241"/>
      <c r="C1657" s="241"/>
      <c r="D1657" s="241"/>
      <c r="E1657" s="241"/>
      <c r="F1657" s="241"/>
      <c r="G1657" s="241"/>
      <c r="H1657" s="241"/>
      <c r="I1657"/>
      <c r="J1657" s="241"/>
      <c r="K1657" s="241"/>
      <c r="L1657" s="241"/>
      <c r="M1657" s="241"/>
      <c r="N1657" s="241"/>
      <c r="O1657" s="241"/>
      <c r="P1657" s="241"/>
      <c r="Q1657" s="241"/>
    </row>
    <row r="1658" spans="1:17" ht="13.5" customHeight="1" x14ac:dyDescent="0.3">
      <c r="A1658"/>
      <c r="B1658" s="241"/>
      <c r="C1658" s="241"/>
      <c r="D1658" s="241"/>
      <c r="E1658" s="241"/>
      <c r="F1658" s="241"/>
      <c r="G1658" s="241"/>
      <c r="H1658" s="241"/>
      <c r="I1658"/>
      <c r="J1658" s="241"/>
      <c r="K1658" s="241"/>
      <c r="L1658" s="241"/>
      <c r="M1658" s="241"/>
      <c r="N1658" s="241"/>
      <c r="O1658" s="241"/>
      <c r="P1658" s="241"/>
      <c r="Q1658" s="241"/>
    </row>
    <row r="1659" spans="1:17" ht="13.5" customHeight="1" x14ac:dyDescent="0.3">
      <c r="A1659"/>
      <c r="B1659" s="241"/>
      <c r="C1659" s="241"/>
      <c r="D1659" s="241"/>
      <c r="E1659" s="241"/>
      <c r="F1659" s="241"/>
      <c r="G1659" s="241"/>
      <c r="H1659" s="241"/>
      <c r="I1659"/>
      <c r="J1659" s="241"/>
      <c r="K1659" s="241"/>
      <c r="L1659" s="241"/>
      <c r="M1659" s="241"/>
      <c r="N1659" s="241"/>
      <c r="O1659" s="241"/>
      <c r="P1659" s="241"/>
      <c r="Q1659" s="241"/>
    </row>
    <row r="1660" spans="1:17" ht="13.5" customHeight="1" x14ac:dyDescent="0.3">
      <c r="A1660"/>
      <c r="B1660" s="241"/>
      <c r="C1660" s="241"/>
      <c r="D1660" s="241"/>
      <c r="E1660" s="241"/>
      <c r="F1660" s="241"/>
      <c r="G1660" s="241"/>
      <c r="H1660" s="241"/>
      <c r="I1660"/>
      <c r="J1660" s="241"/>
      <c r="K1660" s="241"/>
      <c r="L1660" s="241"/>
      <c r="M1660" s="241"/>
      <c r="N1660" s="241"/>
      <c r="O1660" s="241"/>
      <c r="P1660" s="241"/>
      <c r="Q1660" s="241"/>
    </row>
    <row r="1661" spans="1:17" ht="13.5" customHeight="1" x14ac:dyDescent="0.3">
      <c r="A1661"/>
      <c r="B1661" s="241"/>
      <c r="C1661" s="241"/>
      <c r="D1661" s="241"/>
      <c r="E1661" s="241"/>
      <c r="F1661" s="241"/>
      <c r="G1661" s="241"/>
      <c r="H1661" s="241"/>
      <c r="I1661"/>
      <c r="J1661" s="241"/>
      <c r="K1661" s="241"/>
      <c r="L1661" s="241"/>
      <c r="M1661" s="241"/>
      <c r="N1661" s="241"/>
      <c r="O1661" s="241"/>
      <c r="P1661" s="241"/>
      <c r="Q1661" s="241"/>
    </row>
    <row r="1662" spans="1:17" ht="13.5" customHeight="1" x14ac:dyDescent="0.3">
      <c r="A1662"/>
      <c r="B1662" s="241"/>
      <c r="C1662" s="241"/>
      <c r="D1662" s="241"/>
      <c r="E1662" s="241"/>
      <c r="F1662" s="241"/>
      <c r="G1662" s="241"/>
      <c r="H1662" s="241"/>
      <c r="I1662"/>
      <c r="J1662" s="241"/>
      <c r="K1662" s="241"/>
      <c r="L1662" s="241"/>
      <c r="M1662" s="241"/>
      <c r="N1662" s="241"/>
      <c r="O1662" s="241"/>
      <c r="P1662" s="241"/>
      <c r="Q1662" s="241"/>
    </row>
    <row r="1663" spans="1:17" ht="13.5" customHeight="1" x14ac:dyDescent="0.3">
      <c r="A1663"/>
      <c r="B1663" s="241"/>
      <c r="C1663" s="241"/>
      <c r="D1663" s="241"/>
      <c r="E1663" s="241"/>
      <c r="F1663" s="241"/>
      <c r="G1663" s="241"/>
      <c r="H1663" s="241"/>
      <c r="I1663"/>
      <c r="J1663" s="241"/>
      <c r="K1663" s="241"/>
      <c r="L1663" s="241"/>
      <c r="M1663" s="241"/>
      <c r="N1663" s="241"/>
      <c r="O1663" s="241"/>
      <c r="P1663" s="241"/>
      <c r="Q1663" s="241"/>
    </row>
    <row r="1664" spans="1:17" ht="13.5" customHeight="1" x14ac:dyDescent="0.3">
      <c r="A1664"/>
      <c r="B1664" s="241"/>
      <c r="C1664" s="241"/>
      <c r="D1664" s="241"/>
      <c r="E1664" s="241"/>
      <c r="F1664" s="241"/>
      <c r="G1664" s="241"/>
      <c r="H1664" s="241"/>
      <c r="I1664"/>
      <c r="J1664" s="241"/>
      <c r="K1664" s="241"/>
      <c r="L1664" s="241"/>
      <c r="M1664" s="241"/>
      <c r="N1664" s="241"/>
      <c r="O1664" s="241"/>
      <c r="P1664" s="241"/>
      <c r="Q1664" s="241"/>
    </row>
    <row r="1665" spans="1:17" ht="13.5" customHeight="1" x14ac:dyDescent="0.3">
      <c r="A1665"/>
      <c r="B1665" s="241"/>
      <c r="C1665" s="241"/>
      <c r="D1665" s="241"/>
      <c r="E1665" s="241"/>
      <c r="F1665" s="241"/>
      <c r="G1665" s="241"/>
      <c r="H1665" s="241"/>
      <c r="I1665"/>
      <c r="J1665" s="241"/>
      <c r="K1665" s="241"/>
      <c r="L1665" s="241"/>
      <c r="M1665" s="241"/>
      <c r="N1665" s="241"/>
      <c r="O1665" s="241"/>
      <c r="P1665" s="241"/>
      <c r="Q1665" s="241"/>
    </row>
    <row r="1666" spans="1:17" ht="13.5" customHeight="1" x14ac:dyDescent="0.3">
      <c r="A1666"/>
      <c r="B1666" s="241"/>
      <c r="C1666" s="241"/>
      <c r="D1666" s="241"/>
      <c r="E1666" s="241"/>
      <c r="F1666" s="241"/>
      <c r="G1666" s="241"/>
      <c r="H1666" s="241"/>
      <c r="I1666"/>
      <c r="J1666" s="241"/>
      <c r="K1666" s="241"/>
      <c r="L1666" s="241"/>
      <c r="M1666" s="241"/>
      <c r="N1666" s="241"/>
      <c r="O1666" s="241"/>
      <c r="P1666" s="241"/>
      <c r="Q1666" s="241"/>
    </row>
    <row r="1667" spans="1:17" ht="13.5" customHeight="1" x14ac:dyDescent="0.3">
      <c r="A1667"/>
      <c r="B1667" s="241"/>
      <c r="C1667" s="241"/>
      <c r="D1667" s="241"/>
      <c r="E1667" s="241"/>
      <c r="F1667" s="241"/>
      <c r="G1667" s="241"/>
      <c r="H1667" s="241"/>
      <c r="I1667"/>
      <c r="J1667" s="241"/>
      <c r="K1667" s="241"/>
      <c r="L1667" s="241"/>
      <c r="M1667" s="241"/>
      <c r="N1667" s="241"/>
      <c r="O1667" s="241"/>
      <c r="P1667" s="241"/>
      <c r="Q1667" s="241"/>
    </row>
    <row r="1668" spans="1:17" ht="13.5" customHeight="1" x14ac:dyDescent="0.3">
      <c r="A1668"/>
      <c r="B1668" s="241"/>
      <c r="C1668" s="241"/>
      <c r="D1668" s="241"/>
      <c r="E1668" s="241"/>
      <c r="F1668" s="241"/>
      <c r="G1668" s="241"/>
      <c r="H1668" s="241"/>
      <c r="I1668"/>
      <c r="J1668" s="241"/>
      <c r="K1668" s="241"/>
      <c r="L1668" s="241"/>
      <c r="M1668" s="241"/>
      <c r="N1668" s="241"/>
      <c r="O1668" s="241"/>
      <c r="P1668" s="241"/>
      <c r="Q1668" s="241"/>
    </row>
    <row r="1669" spans="1:17" ht="13.5" customHeight="1" x14ac:dyDescent="0.3">
      <c r="A1669"/>
      <c r="B1669" s="241"/>
      <c r="C1669" s="241"/>
      <c r="D1669" s="241"/>
      <c r="E1669" s="241"/>
      <c r="F1669" s="241"/>
      <c r="G1669" s="241"/>
      <c r="H1669" s="241"/>
      <c r="I1669"/>
      <c r="J1669" s="241"/>
      <c r="K1669" s="241"/>
      <c r="L1669" s="241"/>
      <c r="M1669" s="241"/>
      <c r="N1669" s="241"/>
      <c r="O1669" s="241"/>
      <c r="P1669" s="241"/>
      <c r="Q1669" s="241"/>
    </row>
    <row r="1670" spans="1:17" ht="13.5" customHeight="1" x14ac:dyDescent="0.3">
      <c r="A1670"/>
      <c r="B1670" s="241"/>
      <c r="C1670" s="241"/>
      <c r="D1670" s="241"/>
      <c r="E1670" s="241"/>
      <c r="F1670" s="241"/>
      <c r="G1670" s="241"/>
      <c r="H1670" s="241"/>
      <c r="I1670"/>
      <c r="J1670" s="241"/>
      <c r="K1670" s="241"/>
      <c r="L1670" s="241"/>
      <c r="M1670" s="241"/>
      <c r="N1670" s="241"/>
      <c r="O1670" s="241"/>
      <c r="P1670" s="241"/>
      <c r="Q1670" s="241"/>
    </row>
    <row r="1671" spans="1:17" ht="13.5" customHeight="1" x14ac:dyDescent="0.3">
      <c r="A1671"/>
      <c r="B1671" s="241"/>
      <c r="C1671" s="241"/>
      <c r="D1671" s="241"/>
      <c r="E1671" s="241"/>
      <c r="F1671" s="241"/>
      <c r="G1671" s="241"/>
      <c r="H1671" s="241"/>
      <c r="I1671"/>
      <c r="J1671" s="241"/>
      <c r="K1671" s="241"/>
      <c r="L1671" s="241"/>
      <c r="M1671" s="241"/>
      <c r="N1671" s="241"/>
      <c r="O1671" s="241"/>
      <c r="P1671" s="241"/>
      <c r="Q1671" s="241"/>
    </row>
    <row r="1672" spans="1:17" ht="13.5" customHeight="1" x14ac:dyDescent="0.3">
      <c r="A1672"/>
      <c r="B1672" s="241"/>
      <c r="C1672" s="241"/>
      <c r="D1672" s="241"/>
      <c r="E1672" s="241"/>
      <c r="F1672" s="241"/>
      <c r="G1672" s="241"/>
      <c r="H1672" s="241"/>
      <c r="I1672"/>
      <c r="J1672" s="241"/>
      <c r="K1672" s="241"/>
      <c r="L1672" s="241"/>
      <c r="M1672" s="241"/>
      <c r="N1672" s="241"/>
      <c r="O1672" s="241"/>
      <c r="P1672" s="241"/>
      <c r="Q1672" s="241"/>
    </row>
    <row r="1673" spans="1:17" ht="13.5" customHeight="1" x14ac:dyDescent="0.3">
      <c r="A1673"/>
      <c r="B1673" s="241"/>
      <c r="C1673" s="241"/>
      <c r="D1673" s="241"/>
      <c r="E1673" s="241"/>
      <c r="F1673" s="241"/>
      <c r="G1673" s="241"/>
      <c r="H1673" s="241"/>
      <c r="I1673"/>
      <c r="J1673" s="241"/>
      <c r="K1673" s="241"/>
      <c r="L1673" s="241"/>
      <c r="M1673" s="241"/>
      <c r="N1673" s="241"/>
      <c r="O1673" s="241"/>
      <c r="P1673" s="241"/>
      <c r="Q1673" s="241"/>
    </row>
    <row r="1674" spans="1:17" ht="13.5" customHeight="1" x14ac:dyDescent="0.3">
      <c r="A1674"/>
      <c r="B1674" s="241"/>
      <c r="C1674" s="241"/>
      <c r="D1674" s="241"/>
      <c r="E1674" s="241"/>
      <c r="F1674" s="241"/>
      <c r="G1674" s="241"/>
      <c r="H1674" s="241"/>
      <c r="I1674"/>
      <c r="J1674" s="241"/>
      <c r="K1674" s="241"/>
      <c r="L1674" s="241"/>
      <c r="M1674" s="241"/>
      <c r="N1674" s="241"/>
      <c r="O1674" s="241"/>
      <c r="P1674" s="241"/>
      <c r="Q1674" s="241"/>
    </row>
    <row r="1675" spans="1:17" ht="13.5" customHeight="1" x14ac:dyDescent="0.3">
      <c r="A1675"/>
      <c r="B1675" s="241"/>
      <c r="C1675" s="241"/>
      <c r="D1675" s="241"/>
      <c r="E1675" s="241"/>
      <c r="F1675" s="241"/>
      <c r="G1675" s="241"/>
      <c r="H1675" s="241"/>
      <c r="I1675"/>
      <c r="J1675" s="241"/>
      <c r="K1675" s="241"/>
      <c r="L1675" s="241"/>
      <c r="M1675" s="241"/>
      <c r="N1675" s="241"/>
      <c r="O1675" s="241"/>
      <c r="P1675" s="241"/>
      <c r="Q1675" s="241"/>
    </row>
    <row r="1676" spans="1:17" ht="13.5" customHeight="1" x14ac:dyDescent="0.3">
      <c r="A1676"/>
      <c r="B1676" s="241"/>
      <c r="C1676" s="241"/>
      <c r="D1676" s="241"/>
      <c r="E1676" s="241"/>
      <c r="F1676" s="241"/>
      <c r="G1676" s="241"/>
      <c r="H1676" s="241"/>
      <c r="I1676"/>
      <c r="J1676" s="241"/>
      <c r="K1676" s="241"/>
      <c r="L1676" s="241"/>
      <c r="M1676" s="241"/>
      <c r="N1676" s="241"/>
      <c r="O1676" s="241"/>
      <c r="P1676" s="241"/>
      <c r="Q1676" s="241"/>
    </row>
    <row r="1677" spans="1:17" ht="13.5" customHeight="1" x14ac:dyDescent="0.3">
      <c r="A1677"/>
      <c r="B1677" s="241"/>
      <c r="C1677" s="241"/>
      <c r="D1677" s="241"/>
      <c r="E1677" s="241"/>
      <c r="F1677" s="241"/>
      <c r="G1677" s="241"/>
      <c r="H1677" s="241"/>
      <c r="I1677"/>
      <c r="J1677" s="241"/>
      <c r="K1677" s="241"/>
      <c r="L1677" s="241"/>
      <c r="M1677" s="241"/>
      <c r="N1677" s="241"/>
      <c r="O1677" s="241"/>
      <c r="P1677" s="241"/>
      <c r="Q1677" s="241"/>
    </row>
    <row r="1678" spans="1:17" ht="13.5" customHeight="1" x14ac:dyDescent="0.3">
      <c r="A1678"/>
      <c r="B1678" s="241"/>
      <c r="C1678" s="241"/>
      <c r="D1678" s="241"/>
      <c r="E1678" s="241"/>
      <c r="F1678" s="241"/>
      <c r="G1678" s="241"/>
      <c r="H1678" s="241"/>
      <c r="I1678"/>
      <c r="J1678" s="241"/>
      <c r="K1678" s="241"/>
      <c r="L1678" s="241"/>
      <c r="M1678" s="241"/>
      <c r="N1678" s="241"/>
      <c r="O1678" s="241"/>
      <c r="P1678" s="241"/>
      <c r="Q1678" s="241"/>
    </row>
    <row r="1679" spans="1:17" ht="13.5" customHeight="1" x14ac:dyDescent="0.3">
      <c r="A1679"/>
      <c r="B1679" s="241"/>
      <c r="C1679" s="241"/>
      <c r="D1679" s="241"/>
      <c r="E1679" s="241"/>
      <c r="F1679" s="241"/>
      <c r="G1679" s="241"/>
      <c r="H1679" s="241"/>
      <c r="I1679"/>
      <c r="J1679" s="241"/>
      <c r="K1679" s="241"/>
      <c r="L1679" s="241"/>
      <c r="M1679" s="241"/>
      <c r="N1679" s="241"/>
      <c r="O1679" s="241"/>
      <c r="P1679" s="241"/>
      <c r="Q1679" s="241"/>
    </row>
    <row r="1680" spans="1:17" ht="13.5" customHeight="1" x14ac:dyDescent="0.3">
      <c r="A1680"/>
      <c r="B1680" s="241"/>
      <c r="C1680" s="241"/>
      <c r="D1680" s="241"/>
      <c r="E1680" s="241"/>
      <c r="F1680" s="241"/>
      <c r="G1680" s="241"/>
      <c r="H1680" s="241"/>
      <c r="I1680"/>
      <c r="J1680" s="241"/>
      <c r="K1680" s="241"/>
      <c r="L1680" s="241"/>
      <c r="M1680" s="241"/>
      <c r="N1680" s="241"/>
      <c r="O1680" s="241"/>
      <c r="P1680" s="241"/>
      <c r="Q1680" s="241"/>
    </row>
    <row r="1681" spans="1:17" ht="13.5" customHeight="1" x14ac:dyDescent="0.3">
      <c r="A1681"/>
      <c r="B1681" s="241"/>
      <c r="C1681" s="241"/>
      <c r="D1681" s="241"/>
      <c r="E1681" s="241"/>
      <c r="F1681" s="241"/>
      <c r="G1681" s="241"/>
      <c r="H1681" s="241"/>
      <c r="I1681"/>
      <c r="J1681" s="241"/>
      <c r="K1681" s="241"/>
      <c r="L1681" s="241"/>
      <c r="M1681" s="241"/>
      <c r="N1681" s="241"/>
      <c r="O1681" s="241"/>
      <c r="P1681" s="241"/>
      <c r="Q1681" s="241"/>
    </row>
    <row r="1682" spans="1:17" ht="13.5" customHeight="1" x14ac:dyDescent="0.3">
      <c r="A1682"/>
      <c r="B1682" s="241"/>
      <c r="C1682" s="241"/>
      <c r="D1682" s="241"/>
      <c r="E1682" s="241"/>
      <c r="F1682" s="241"/>
      <c r="G1682" s="241"/>
      <c r="H1682" s="241"/>
      <c r="I1682"/>
      <c r="J1682" s="241"/>
      <c r="K1682" s="241"/>
      <c r="L1682" s="241"/>
      <c r="M1682" s="241"/>
      <c r="N1682" s="241"/>
      <c r="O1682" s="241"/>
      <c r="P1682" s="241"/>
      <c r="Q1682" s="241"/>
    </row>
    <row r="1683" spans="1:17" ht="13.5" customHeight="1" x14ac:dyDescent="0.3">
      <c r="A1683"/>
      <c r="B1683" s="241"/>
      <c r="C1683" s="241"/>
      <c r="D1683" s="241"/>
      <c r="E1683" s="241"/>
      <c r="F1683" s="241"/>
      <c r="G1683" s="241"/>
      <c r="H1683" s="241"/>
      <c r="I1683"/>
      <c r="J1683" s="241"/>
      <c r="K1683" s="241"/>
      <c r="L1683" s="241"/>
      <c r="M1683" s="241"/>
      <c r="N1683" s="241"/>
      <c r="O1683" s="241"/>
      <c r="P1683" s="241"/>
      <c r="Q1683" s="241"/>
    </row>
    <row r="1684" spans="1:17" ht="13.5" customHeight="1" x14ac:dyDescent="0.3">
      <c r="A1684"/>
      <c r="B1684" s="241"/>
      <c r="C1684" s="241"/>
      <c r="D1684" s="241"/>
      <c r="E1684" s="241"/>
      <c r="F1684" s="241"/>
      <c r="G1684" s="241"/>
      <c r="H1684" s="241"/>
      <c r="I1684"/>
      <c r="J1684" s="241"/>
      <c r="K1684" s="241"/>
      <c r="L1684" s="241"/>
      <c r="M1684" s="241"/>
      <c r="N1684" s="241"/>
      <c r="O1684" s="241"/>
      <c r="P1684" s="241"/>
      <c r="Q1684" s="241"/>
    </row>
    <row r="1685" spans="1:17" ht="13.5" customHeight="1" x14ac:dyDescent="0.3">
      <c r="A1685"/>
      <c r="B1685" s="241"/>
      <c r="C1685" s="241"/>
      <c r="D1685" s="241"/>
      <c r="E1685" s="241"/>
      <c r="F1685" s="241"/>
      <c r="G1685" s="241"/>
      <c r="H1685" s="241"/>
      <c r="I1685"/>
      <c r="J1685" s="241"/>
      <c r="K1685" s="241"/>
      <c r="L1685" s="241"/>
      <c r="M1685" s="241"/>
      <c r="N1685" s="241"/>
      <c r="O1685" s="241"/>
      <c r="P1685" s="241"/>
      <c r="Q1685" s="241"/>
    </row>
    <row r="1686" spans="1:17" ht="13.5" customHeight="1" x14ac:dyDescent="0.3">
      <c r="A1686"/>
      <c r="B1686" s="241"/>
      <c r="C1686" s="241"/>
      <c r="D1686" s="241"/>
      <c r="E1686" s="241"/>
      <c r="F1686" s="241"/>
      <c r="G1686" s="241"/>
      <c r="H1686" s="241"/>
      <c r="I1686"/>
      <c r="J1686" s="241"/>
      <c r="K1686" s="241"/>
      <c r="L1686" s="241"/>
      <c r="M1686" s="241"/>
      <c r="N1686" s="241"/>
      <c r="O1686" s="241"/>
      <c r="P1686" s="241"/>
      <c r="Q1686" s="241"/>
    </row>
    <row r="1687" spans="1:17" ht="13.5" customHeight="1" x14ac:dyDescent="0.3">
      <c r="A1687"/>
      <c r="B1687" s="241"/>
      <c r="C1687" s="241"/>
      <c r="D1687" s="241"/>
      <c r="E1687" s="241"/>
      <c r="F1687" s="241"/>
      <c r="G1687" s="241"/>
      <c r="H1687" s="241"/>
      <c r="I1687"/>
      <c r="J1687" s="241"/>
      <c r="K1687" s="241"/>
      <c r="L1687" s="241"/>
      <c r="M1687" s="241"/>
      <c r="N1687" s="241"/>
      <c r="O1687" s="241"/>
      <c r="P1687" s="241"/>
      <c r="Q1687" s="241"/>
    </row>
    <row r="1688" spans="1:17" ht="13.5" customHeight="1" x14ac:dyDescent="0.3">
      <c r="A1688"/>
      <c r="B1688" s="241"/>
      <c r="C1688" s="241"/>
      <c r="D1688" s="241"/>
      <c r="E1688" s="241"/>
      <c r="F1688" s="241"/>
      <c r="G1688" s="241"/>
      <c r="H1688" s="241"/>
      <c r="I1688"/>
      <c r="J1688" s="241"/>
      <c r="K1688" s="241"/>
      <c r="L1688" s="241"/>
      <c r="M1688" s="241"/>
      <c r="N1688" s="241"/>
      <c r="O1688" s="241"/>
      <c r="P1688" s="241"/>
      <c r="Q1688" s="241"/>
    </row>
    <row r="1689" spans="1:17" ht="13.5" customHeight="1" x14ac:dyDescent="0.3">
      <c r="A1689"/>
      <c r="B1689" s="241"/>
      <c r="C1689" s="241"/>
      <c r="D1689" s="241"/>
      <c r="E1689" s="241"/>
      <c r="F1689" s="241"/>
      <c r="G1689" s="241"/>
      <c r="H1689" s="241"/>
      <c r="I1689"/>
      <c r="J1689" s="241"/>
      <c r="K1689" s="241"/>
      <c r="L1689" s="241"/>
      <c r="M1689" s="241"/>
      <c r="N1689" s="241"/>
      <c r="O1689" s="241"/>
      <c r="P1689" s="241"/>
      <c r="Q1689" s="241"/>
    </row>
    <row r="1690" spans="1:17" ht="13.5" customHeight="1" x14ac:dyDescent="0.3">
      <c r="A1690"/>
      <c r="B1690" s="241"/>
      <c r="C1690" s="241"/>
      <c r="D1690" s="241"/>
      <c r="E1690" s="241"/>
      <c r="F1690" s="241"/>
      <c r="G1690" s="241"/>
      <c r="H1690" s="241"/>
      <c r="I1690"/>
      <c r="J1690" s="241"/>
      <c r="K1690" s="241"/>
      <c r="L1690" s="241"/>
      <c r="M1690" s="241"/>
      <c r="N1690" s="241"/>
      <c r="O1690" s="241"/>
      <c r="P1690" s="241"/>
      <c r="Q1690" s="241"/>
    </row>
    <row r="1691" spans="1:17" ht="13.5" customHeight="1" x14ac:dyDescent="0.3">
      <c r="A1691"/>
      <c r="B1691" s="241"/>
      <c r="C1691" s="241"/>
      <c r="D1691" s="241"/>
      <c r="E1691" s="241"/>
      <c r="F1691" s="241"/>
      <c r="G1691" s="241"/>
      <c r="H1691" s="241"/>
      <c r="I1691"/>
      <c r="J1691" s="241"/>
      <c r="K1691" s="241"/>
      <c r="L1691" s="241"/>
      <c r="M1691" s="241"/>
      <c r="N1691" s="241"/>
      <c r="O1691" s="241"/>
      <c r="P1691" s="241"/>
      <c r="Q1691" s="241"/>
    </row>
    <row r="1692" spans="1:17" ht="13.5" customHeight="1" x14ac:dyDescent="0.3">
      <c r="A1692"/>
      <c r="B1692" s="241"/>
      <c r="C1692" s="241"/>
      <c r="D1692" s="241"/>
      <c r="E1692" s="241"/>
      <c r="F1692" s="241"/>
      <c r="G1692" s="241"/>
      <c r="H1692" s="241"/>
      <c r="I1692"/>
      <c r="J1692" s="241"/>
      <c r="K1692" s="241"/>
      <c r="L1692" s="241"/>
      <c r="M1692" s="241"/>
      <c r="N1692" s="241"/>
      <c r="O1692" s="241"/>
      <c r="P1692" s="241"/>
      <c r="Q1692" s="241"/>
    </row>
    <row r="1693" spans="1:17" ht="13.5" customHeight="1" x14ac:dyDescent="0.3">
      <c r="A1693"/>
      <c r="B1693" s="241"/>
      <c r="C1693" s="241"/>
      <c r="D1693" s="241"/>
      <c r="E1693" s="241"/>
      <c r="F1693" s="241"/>
      <c r="G1693" s="241"/>
      <c r="H1693" s="241"/>
      <c r="I1693"/>
      <c r="J1693" s="241"/>
      <c r="K1693" s="241"/>
      <c r="L1693" s="241"/>
      <c r="M1693" s="241"/>
      <c r="N1693" s="241"/>
      <c r="O1693" s="241"/>
      <c r="P1693" s="241"/>
      <c r="Q1693" s="241"/>
    </row>
    <row r="1694" spans="1:17" ht="13.5" customHeight="1" x14ac:dyDescent="0.3">
      <c r="A1694"/>
      <c r="B1694" s="241"/>
      <c r="C1694" s="241"/>
      <c r="D1694" s="241"/>
      <c r="E1694" s="241"/>
      <c r="F1694" s="241"/>
      <c r="G1694" s="241"/>
      <c r="H1694" s="241"/>
      <c r="I1694"/>
      <c r="J1694" s="241"/>
      <c r="K1694" s="241"/>
      <c r="L1694" s="241"/>
      <c r="M1694" s="241"/>
      <c r="N1694" s="241"/>
      <c r="O1694" s="241"/>
      <c r="P1694" s="241"/>
      <c r="Q1694" s="241"/>
    </row>
    <row r="1695" spans="1:17" ht="13.5" customHeight="1" x14ac:dyDescent="0.3">
      <c r="A1695"/>
      <c r="B1695" s="241"/>
      <c r="C1695" s="241"/>
      <c r="D1695" s="241"/>
      <c r="E1695" s="241"/>
      <c r="F1695" s="241"/>
      <c r="G1695" s="241"/>
      <c r="H1695" s="241"/>
      <c r="I1695"/>
      <c r="J1695" s="241"/>
      <c r="K1695" s="241"/>
      <c r="L1695" s="241"/>
      <c r="M1695" s="241"/>
      <c r="N1695" s="241"/>
      <c r="O1695" s="241"/>
      <c r="P1695" s="241"/>
      <c r="Q1695" s="241"/>
    </row>
    <row r="1696" spans="1:17" ht="13.5" customHeight="1" x14ac:dyDescent="0.3">
      <c r="A1696"/>
      <c r="B1696" s="241"/>
      <c r="C1696" s="241"/>
      <c r="D1696" s="241"/>
      <c r="E1696" s="241"/>
      <c r="F1696" s="241"/>
      <c r="G1696" s="241"/>
      <c r="H1696" s="241"/>
      <c r="I1696"/>
      <c r="J1696" s="241"/>
      <c r="K1696" s="241"/>
      <c r="L1696" s="241"/>
      <c r="M1696" s="241"/>
      <c r="N1696" s="241"/>
      <c r="O1696" s="241"/>
      <c r="P1696" s="241"/>
      <c r="Q1696" s="241"/>
    </row>
    <row r="1697" spans="1:17" ht="13.5" customHeight="1" x14ac:dyDescent="0.3">
      <c r="A1697"/>
      <c r="B1697" s="241"/>
      <c r="C1697" s="241"/>
      <c r="D1697" s="241"/>
      <c r="E1697" s="241"/>
      <c r="F1697" s="241"/>
      <c r="G1697" s="241"/>
      <c r="H1697" s="241"/>
      <c r="I1697"/>
      <c r="J1697" s="241"/>
      <c r="K1697" s="241"/>
      <c r="L1697" s="241"/>
      <c r="M1697" s="241"/>
      <c r="N1697" s="241"/>
      <c r="O1697" s="241"/>
      <c r="P1697" s="241"/>
      <c r="Q1697" s="241"/>
    </row>
    <row r="1698" spans="1:17" ht="13.5" customHeight="1" x14ac:dyDescent="0.3">
      <c r="A1698"/>
      <c r="B1698" s="241"/>
      <c r="C1698" s="241"/>
      <c r="D1698" s="241"/>
      <c r="E1698" s="241"/>
      <c r="F1698" s="241"/>
      <c r="G1698" s="241"/>
      <c r="H1698" s="241"/>
      <c r="I1698"/>
      <c r="J1698" s="241"/>
      <c r="K1698" s="241"/>
      <c r="L1698" s="241"/>
      <c r="M1698" s="241"/>
      <c r="N1698" s="241"/>
      <c r="O1698" s="241"/>
      <c r="P1698" s="241"/>
      <c r="Q1698" s="241"/>
    </row>
    <row r="1699" spans="1:17" ht="13.5" customHeight="1" x14ac:dyDescent="0.3">
      <c r="A1699"/>
      <c r="B1699" s="241"/>
      <c r="C1699" s="241"/>
      <c r="D1699" s="241"/>
      <c r="E1699" s="241"/>
      <c r="F1699" s="241"/>
      <c r="G1699" s="241"/>
      <c r="H1699" s="241"/>
      <c r="I1699"/>
      <c r="J1699" s="241"/>
      <c r="K1699" s="241"/>
      <c r="L1699" s="241"/>
      <c r="M1699" s="241"/>
      <c r="N1699" s="241"/>
      <c r="O1699" s="241"/>
      <c r="P1699" s="241"/>
      <c r="Q1699" s="241"/>
    </row>
    <row r="1700" spans="1:17" ht="13.5" customHeight="1" x14ac:dyDescent="0.3">
      <c r="A1700"/>
      <c r="B1700" s="241"/>
      <c r="C1700" s="241"/>
      <c r="D1700" s="241"/>
      <c r="E1700" s="241"/>
      <c r="F1700" s="241"/>
      <c r="G1700" s="241"/>
      <c r="H1700" s="241"/>
      <c r="I1700"/>
      <c r="J1700" s="241"/>
      <c r="K1700" s="241"/>
      <c r="L1700" s="241"/>
      <c r="M1700" s="241"/>
      <c r="N1700" s="241"/>
      <c r="O1700" s="241"/>
      <c r="P1700" s="241"/>
      <c r="Q1700" s="241"/>
    </row>
    <row r="1701" spans="1:17" ht="13.5" customHeight="1" x14ac:dyDescent="0.3">
      <c r="A1701"/>
      <c r="B1701" s="241"/>
      <c r="C1701" s="241"/>
      <c r="D1701" s="241"/>
      <c r="E1701" s="241"/>
      <c r="F1701" s="241"/>
      <c r="G1701" s="241"/>
      <c r="H1701" s="241"/>
      <c r="I1701"/>
      <c r="J1701" s="241"/>
      <c r="K1701" s="241"/>
      <c r="L1701" s="241"/>
      <c r="M1701" s="241"/>
      <c r="N1701" s="241"/>
      <c r="O1701" s="241"/>
      <c r="P1701" s="241"/>
      <c r="Q1701" s="241"/>
    </row>
    <row r="1702" spans="1:17" ht="13.5" customHeight="1" x14ac:dyDescent="0.3">
      <c r="A1702"/>
      <c r="B1702" s="241"/>
      <c r="C1702" s="241"/>
      <c r="D1702" s="241"/>
      <c r="E1702" s="241"/>
      <c r="F1702" s="241"/>
      <c r="G1702" s="241"/>
      <c r="H1702" s="241"/>
      <c r="I1702"/>
      <c r="J1702" s="241"/>
      <c r="K1702" s="241"/>
      <c r="L1702" s="241"/>
      <c r="M1702" s="241"/>
      <c r="N1702" s="241"/>
      <c r="O1702" s="241"/>
      <c r="P1702" s="241"/>
      <c r="Q1702" s="241"/>
    </row>
    <row r="1703" spans="1:17" ht="13.5" customHeight="1" x14ac:dyDescent="0.3">
      <c r="A1703"/>
      <c r="B1703" s="241"/>
      <c r="C1703" s="241"/>
      <c r="D1703" s="241"/>
      <c r="E1703" s="241"/>
      <c r="F1703" s="241"/>
      <c r="G1703" s="241"/>
      <c r="H1703" s="241"/>
      <c r="I1703"/>
      <c r="J1703" s="241"/>
      <c r="K1703" s="241"/>
      <c r="L1703" s="241"/>
      <c r="M1703" s="241"/>
      <c r="N1703" s="241"/>
      <c r="O1703" s="241"/>
      <c r="P1703" s="241"/>
      <c r="Q1703" s="241"/>
    </row>
    <row r="1704" spans="1:17" ht="13.5" customHeight="1" x14ac:dyDescent="0.3">
      <c r="A1704"/>
      <c r="B1704" s="241"/>
      <c r="C1704" s="241"/>
      <c r="D1704" s="241"/>
      <c r="E1704" s="241"/>
      <c r="F1704" s="241"/>
      <c r="G1704" s="241"/>
      <c r="H1704" s="241"/>
      <c r="I1704"/>
      <c r="J1704" s="241"/>
      <c r="K1704" s="241"/>
      <c r="L1704" s="241"/>
      <c r="M1704" s="241"/>
      <c r="N1704" s="241"/>
      <c r="O1704" s="241"/>
      <c r="P1704" s="241"/>
      <c r="Q1704" s="241"/>
    </row>
    <row r="1705" spans="1:17" ht="13.5" customHeight="1" x14ac:dyDescent="0.3">
      <c r="A1705"/>
      <c r="B1705" s="241"/>
      <c r="C1705" s="241"/>
      <c r="D1705" s="241"/>
      <c r="E1705" s="241"/>
      <c r="F1705" s="241"/>
      <c r="G1705" s="241"/>
      <c r="H1705" s="241"/>
      <c r="I1705"/>
      <c r="J1705" s="241"/>
      <c r="K1705" s="241"/>
      <c r="L1705" s="241"/>
      <c r="M1705" s="241"/>
      <c r="N1705" s="241"/>
      <c r="O1705" s="241"/>
      <c r="P1705" s="241"/>
      <c r="Q1705" s="241"/>
    </row>
    <row r="1706" spans="1:17" ht="13.5" customHeight="1" x14ac:dyDescent="0.3">
      <c r="A1706"/>
      <c r="B1706" s="241"/>
      <c r="C1706" s="241"/>
      <c r="D1706" s="241"/>
      <c r="E1706" s="241"/>
      <c r="F1706" s="241"/>
      <c r="G1706" s="241"/>
      <c r="H1706" s="241"/>
      <c r="I1706"/>
      <c r="J1706" s="241"/>
      <c r="K1706" s="241"/>
      <c r="L1706" s="241"/>
      <c r="M1706" s="241"/>
      <c r="N1706" s="241"/>
      <c r="O1706" s="241"/>
      <c r="P1706" s="241"/>
      <c r="Q1706" s="241"/>
    </row>
    <row r="1707" spans="1:17" ht="13.5" customHeight="1" x14ac:dyDescent="0.3">
      <c r="A1707"/>
      <c r="B1707" s="241"/>
      <c r="C1707" s="241"/>
      <c r="D1707" s="241"/>
      <c r="E1707" s="241"/>
      <c r="F1707" s="241"/>
      <c r="G1707" s="241"/>
      <c r="H1707" s="241"/>
      <c r="I1707"/>
      <c r="J1707" s="241"/>
      <c r="K1707" s="241"/>
      <c r="L1707" s="241"/>
      <c r="M1707" s="241"/>
      <c r="N1707" s="241"/>
      <c r="O1707" s="241"/>
      <c r="P1707" s="241"/>
      <c r="Q1707" s="241"/>
    </row>
    <row r="1708" spans="1:17" ht="13.5" customHeight="1" x14ac:dyDescent="0.3">
      <c r="A1708"/>
      <c r="B1708" s="241"/>
      <c r="C1708" s="241"/>
      <c r="D1708" s="241"/>
      <c r="E1708" s="241"/>
      <c r="F1708" s="241"/>
      <c r="G1708" s="241"/>
      <c r="H1708" s="241"/>
      <c r="I1708"/>
      <c r="J1708" s="241"/>
      <c r="K1708" s="241"/>
      <c r="L1708" s="241"/>
      <c r="M1708" s="241"/>
      <c r="N1708" s="241"/>
      <c r="O1708" s="241"/>
      <c r="P1708" s="241"/>
      <c r="Q1708" s="241"/>
    </row>
    <row r="1709" spans="1:17" ht="13.5" customHeight="1" x14ac:dyDescent="0.3">
      <c r="A1709"/>
      <c r="B1709" s="241"/>
      <c r="C1709" s="241"/>
      <c r="D1709" s="241"/>
      <c r="E1709" s="241"/>
      <c r="F1709" s="241"/>
      <c r="G1709" s="241"/>
      <c r="H1709" s="241"/>
      <c r="I1709"/>
      <c r="J1709" s="241"/>
      <c r="K1709" s="241"/>
      <c r="L1709" s="241"/>
      <c r="M1709" s="241"/>
      <c r="N1709" s="241"/>
      <c r="O1709" s="241"/>
      <c r="P1709" s="241"/>
      <c r="Q1709" s="241"/>
    </row>
    <row r="1710" spans="1:17" ht="13.5" customHeight="1" x14ac:dyDescent="0.3">
      <c r="A1710"/>
      <c r="B1710" s="241"/>
      <c r="C1710" s="241"/>
      <c r="D1710" s="241"/>
      <c r="E1710" s="241"/>
      <c r="F1710" s="241"/>
      <c r="G1710" s="241"/>
      <c r="H1710" s="241"/>
      <c r="I1710"/>
      <c r="J1710" s="241"/>
      <c r="K1710" s="241"/>
      <c r="L1710" s="241"/>
      <c r="M1710" s="241"/>
      <c r="N1710" s="241"/>
      <c r="O1710" s="241"/>
      <c r="P1710" s="241"/>
      <c r="Q1710" s="241"/>
    </row>
    <row r="1711" spans="1:17" ht="13.5" customHeight="1" x14ac:dyDescent="0.3">
      <c r="A1711"/>
      <c r="B1711" s="241"/>
      <c r="C1711" s="241"/>
      <c r="D1711" s="241"/>
      <c r="E1711" s="241"/>
      <c r="F1711" s="241"/>
      <c r="G1711" s="241"/>
      <c r="H1711" s="241"/>
      <c r="I1711"/>
      <c r="J1711" s="241"/>
      <c r="K1711" s="241"/>
      <c r="L1711" s="241"/>
      <c r="M1711" s="241"/>
      <c r="N1711" s="241"/>
      <c r="O1711" s="241"/>
      <c r="P1711" s="241"/>
      <c r="Q1711" s="241"/>
    </row>
    <row r="1712" spans="1:17" ht="13.5" customHeight="1" x14ac:dyDescent="0.3">
      <c r="A1712"/>
      <c r="B1712" s="241"/>
      <c r="C1712" s="241"/>
      <c r="D1712" s="241"/>
      <c r="E1712" s="241"/>
      <c r="F1712" s="241"/>
      <c r="G1712" s="241"/>
      <c r="H1712" s="241"/>
      <c r="I1712"/>
      <c r="J1712" s="241"/>
      <c r="K1712" s="241"/>
      <c r="L1712" s="241"/>
      <c r="M1712" s="241"/>
      <c r="N1712" s="241"/>
      <c r="O1712" s="241"/>
      <c r="P1712" s="241"/>
      <c r="Q1712" s="241"/>
    </row>
    <row r="1713" spans="1:17" ht="13.5" customHeight="1" x14ac:dyDescent="0.3">
      <c r="A1713"/>
      <c r="B1713" s="241"/>
      <c r="C1713" s="241"/>
      <c r="D1713" s="241"/>
      <c r="E1713" s="241"/>
      <c r="F1713" s="241"/>
      <c r="G1713" s="241"/>
      <c r="H1713" s="241"/>
      <c r="I1713"/>
      <c r="J1713" s="241"/>
      <c r="K1713" s="241"/>
      <c r="L1713" s="241"/>
      <c r="M1713" s="241"/>
      <c r="N1713" s="241"/>
      <c r="O1713" s="241"/>
      <c r="P1713" s="241"/>
      <c r="Q1713" s="241"/>
    </row>
    <row r="1714" spans="1:17" ht="13.5" customHeight="1" x14ac:dyDescent="0.3">
      <c r="A1714"/>
      <c r="B1714" s="241"/>
      <c r="C1714" s="241"/>
      <c r="D1714" s="241"/>
      <c r="E1714" s="241"/>
      <c r="F1714" s="241"/>
      <c r="G1714" s="241"/>
      <c r="H1714" s="241"/>
      <c r="I1714"/>
      <c r="J1714" s="241"/>
      <c r="K1714" s="241"/>
      <c r="L1714" s="241"/>
      <c r="M1714" s="241"/>
      <c r="N1714" s="241"/>
      <c r="O1714" s="241"/>
      <c r="P1714" s="241"/>
      <c r="Q1714" s="241"/>
    </row>
    <row r="1715" spans="1:17" ht="13.5" customHeight="1" x14ac:dyDescent="0.3">
      <c r="A1715"/>
      <c r="B1715" s="241"/>
      <c r="C1715" s="241"/>
      <c r="D1715" s="241"/>
      <c r="E1715" s="241"/>
      <c r="F1715" s="241"/>
      <c r="G1715" s="241"/>
      <c r="H1715" s="241"/>
      <c r="I1715"/>
      <c r="J1715" s="241"/>
      <c r="K1715" s="241"/>
      <c r="L1715" s="241"/>
      <c r="M1715" s="241"/>
      <c r="N1715" s="241"/>
      <c r="O1715" s="241"/>
      <c r="P1715" s="241"/>
      <c r="Q1715" s="241"/>
    </row>
    <row r="1716" spans="1:17" ht="13.5" customHeight="1" x14ac:dyDescent="0.3">
      <c r="A1716"/>
      <c r="B1716" s="241"/>
      <c r="C1716" s="241"/>
      <c r="D1716" s="241"/>
      <c r="E1716" s="241"/>
      <c r="F1716" s="241"/>
      <c r="G1716" s="241"/>
      <c r="H1716" s="241"/>
      <c r="I1716"/>
      <c r="J1716" s="241"/>
      <c r="K1716" s="241"/>
      <c r="L1716" s="241"/>
      <c r="M1716" s="241"/>
      <c r="N1716" s="241"/>
      <c r="O1716" s="241"/>
      <c r="P1716" s="241"/>
      <c r="Q1716" s="241"/>
    </row>
    <row r="1717" spans="1:17" ht="13.5" customHeight="1" x14ac:dyDescent="0.3">
      <c r="A1717"/>
      <c r="B1717" s="241"/>
      <c r="C1717" s="241"/>
      <c r="D1717" s="241"/>
      <c r="E1717" s="241"/>
      <c r="F1717" s="241"/>
      <c r="G1717" s="241"/>
      <c r="H1717" s="241"/>
      <c r="I1717"/>
      <c r="J1717" s="241"/>
      <c r="K1717" s="241"/>
      <c r="L1717" s="241"/>
      <c r="M1717" s="241"/>
      <c r="N1717" s="241"/>
      <c r="O1717" s="241"/>
      <c r="P1717" s="241"/>
      <c r="Q1717" s="241"/>
    </row>
    <row r="1718" spans="1:17" ht="13.5" customHeight="1" x14ac:dyDescent="0.3">
      <c r="A1718"/>
      <c r="B1718" s="241"/>
      <c r="C1718" s="241"/>
      <c r="D1718" s="241"/>
      <c r="E1718" s="241"/>
      <c r="F1718" s="241"/>
      <c r="G1718" s="241"/>
      <c r="H1718" s="241"/>
      <c r="I1718"/>
      <c r="J1718" s="241"/>
      <c r="K1718" s="241"/>
      <c r="L1718" s="241"/>
      <c r="M1718" s="241"/>
      <c r="N1718" s="241"/>
      <c r="O1718" s="241"/>
      <c r="P1718" s="241"/>
      <c r="Q1718" s="241"/>
    </row>
    <row r="1719" spans="1:17" ht="13.5" customHeight="1" x14ac:dyDescent="0.3">
      <c r="A1719"/>
      <c r="B1719" s="241"/>
      <c r="C1719" s="241"/>
      <c r="D1719" s="241"/>
      <c r="E1719" s="241"/>
      <c r="F1719" s="241"/>
      <c r="G1719" s="241"/>
      <c r="H1719" s="241"/>
      <c r="I1719"/>
      <c r="J1719" s="241"/>
      <c r="K1719" s="241"/>
      <c r="L1719" s="241"/>
      <c r="M1719" s="241"/>
      <c r="N1719" s="241"/>
      <c r="O1719" s="241"/>
      <c r="P1719" s="241"/>
      <c r="Q1719" s="241"/>
    </row>
    <row r="1720" spans="1:17" ht="13.5" customHeight="1" x14ac:dyDescent="0.3">
      <c r="A1720"/>
      <c r="B1720" s="241"/>
      <c r="C1720" s="241"/>
      <c r="D1720" s="241"/>
      <c r="E1720" s="241"/>
      <c r="F1720" s="241"/>
      <c r="G1720" s="241"/>
      <c r="H1720" s="241"/>
      <c r="I1720"/>
      <c r="J1720" s="241"/>
      <c r="K1720" s="241"/>
      <c r="L1720" s="241"/>
      <c r="M1720" s="241"/>
      <c r="N1720" s="241"/>
      <c r="O1720" s="241"/>
      <c r="P1720" s="241"/>
      <c r="Q1720" s="241"/>
    </row>
    <row r="1721" spans="1:17" ht="13.5" customHeight="1" x14ac:dyDescent="0.3">
      <c r="A1721"/>
      <c r="B1721" s="241"/>
      <c r="C1721" s="241"/>
      <c r="D1721" s="241"/>
      <c r="E1721" s="241"/>
      <c r="F1721" s="241"/>
      <c r="G1721" s="241"/>
      <c r="H1721" s="241"/>
      <c r="I1721"/>
      <c r="J1721" s="241"/>
      <c r="K1721" s="241"/>
      <c r="L1721" s="241"/>
      <c r="M1721" s="241"/>
      <c r="N1721" s="241"/>
      <c r="O1721" s="241"/>
      <c r="P1721" s="241"/>
      <c r="Q1721" s="241"/>
    </row>
    <row r="1722" spans="1:17" ht="13.5" customHeight="1" x14ac:dyDescent="0.3">
      <c r="A1722"/>
      <c r="B1722" s="241"/>
      <c r="C1722" s="241"/>
      <c r="D1722" s="241"/>
      <c r="E1722" s="241"/>
      <c r="F1722" s="241"/>
      <c r="G1722" s="241"/>
      <c r="H1722" s="241"/>
      <c r="I1722"/>
      <c r="J1722" s="241"/>
      <c r="K1722" s="241"/>
      <c r="L1722" s="241"/>
      <c r="M1722" s="241"/>
      <c r="N1722" s="241"/>
      <c r="O1722" s="241"/>
      <c r="P1722" s="241"/>
      <c r="Q1722" s="241"/>
    </row>
    <row r="1723" spans="1:17" ht="13.5" customHeight="1" x14ac:dyDescent="0.3">
      <c r="A1723"/>
      <c r="B1723" s="241"/>
      <c r="C1723" s="241"/>
      <c r="D1723" s="241"/>
      <c r="E1723" s="241"/>
      <c r="F1723" s="241"/>
      <c r="G1723" s="241"/>
      <c r="H1723" s="241"/>
      <c r="I1723"/>
      <c r="J1723" s="241"/>
      <c r="K1723" s="241"/>
      <c r="L1723" s="241"/>
      <c r="M1723" s="241"/>
      <c r="N1723" s="241"/>
      <c r="O1723" s="241"/>
      <c r="P1723" s="241"/>
      <c r="Q1723" s="241"/>
    </row>
    <row r="1724" spans="1:17" ht="13.5" customHeight="1" x14ac:dyDescent="0.3">
      <c r="A1724"/>
      <c r="B1724" s="241"/>
      <c r="C1724" s="241"/>
      <c r="D1724" s="241"/>
      <c r="E1724" s="241"/>
      <c r="F1724" s="241"/>
      <c r="G1724" s="241"/>
      <c r="H1724" s="241"/>
      <c r="I1724"/>
      <c r="J1724" s="241"/>
      <c r="K1724" s="241"/>
      <c r="L1724" s="241"/>
      <c r="M1724" s="241"/>
      <c r="N1724" s="241"/>
      <c r="O1724" s="241"/>
      <c r="P1724" s="241"/>
      <c r="Q1724" s="241"/>
    </row>
    <row r="1725" spans="1:17" ht="13.5" customHeight="1" x14ac:dyDescent="0.3">
      <c r="A1725"/>
      <c r="B1725" s="241"/>
      <c r="C1725" s="241"/>
      <c r="D1725" s="241"/>
      <c r="E1725" s="241"/>
      <c r="F1725" s="241"/>
      <c r="G1725" s="241"/>
      <c r="H1725" s="241"/>
      <c r="I1725"/>
      <c r="J1725" s="241"/>
      <c r="K1725" s="241"/>
      <c r="L1725" s="241"/>
      <c r="M1725" s="241"/>
      <c r="N1725" s="241"/>
      <c r="O1725" s="241"/>
      <c r="P1725" s="241"/>
      <c r="Q1725" s="241"/>
    </row>
    <row r="1726" spans="1:17" ht="13.5" customHeight="1" x14ac:dyDescent="0.3">
      <c r="A1726"/>
      <c r="B1726" s="241"/>
      <c r="C1726" s="241"/>
      <c r="D1726" s="241"/>
      <c r="E1726" s="241"/>
      <c r="F1726" s="241"/>
      <c r="G1726" s="241"/>
      <c r="H1726" s="241"/>
      <c r="I1726"/>
      <c r="J1726" s="241"/>
      <c r="K1726" s="241"/>
      <c r="L1726" s="241"/>
      <c r="M1726" s="241"/>
      <c r="N1726" s="241"/>
      <c r="O1726" s="241"/>
      <c r="P1726" s="241"/>
      <c r="Q1726" s="241"/>
    </row>
    <row r="1727" spans="1:17" ht="13.5" customHeight="1" x14ac:dyDescent="0.3">
      <c r="A1727"/>
      <c r="B1727" s="241"/>
      <c r="C1727" s="241"/>
      <c r="D1727" s="241"/>
      <c r="E1727" s="241"/>
      <c r="F1727" s="241"/>
      <c r="G1727" s="241"/>
      <c r="H1727" s="241"/>
      <c r="I1727"/>
      <c r="J1727" s="241"/>
      <c r="K1727" s="241"/>
      <c r="L1727" s="241"/>
      <c r="M1727" s="241"/>
      <c r="N1727" s="241"/>
      <c r="O1727" s="241"/>
      <c r="P1727" s="241"/>
      <c r="Q1727" s="241"/>
    </row>
    <row r="1728" spans="1:17" ht="13.5" customHeight="1" x14ac:dyDescent="0.3">
      <c r="A1728"/>
      <c r="B1728" s="241"/>
      <c r="C1728" s="241"/>
      <c r="D1728" s="241"/>
      <c r="E1728" s="241"/>
      <c r="F1728" s="241"/>
      <c r="G1728" s="241"/>
      <c r="H1728" s="241"/>
      <c r="I1728"/>
      <c r="J1728" s="241"/>
      <c r="K1728" s="241"/>
      <c r="L1728" s="241"/>
      <c r="M1728" s="241"/>
      <c r="N1728" s="241"/>
      <c r="O1728" s="241"/>
      <c r="P1728" s="241"/>
      <c r="Q1728" s="241"/>
    </row>
    <row r="1729" spans="1:17" ht="13.5" customHeight="1" x14ac:dyDescent="0.3">
      <c r="A1729"/>
      <c r="B1729" s="241"/>
      <c r="C1729" s="241"/>
      <c r="D1729" s="241"/>
      <c r="E1729" s="241"/>
      <c r="F1729" s="241"/>
      <c r="G1729" s="241"/>
      <c r="H1729" s="241"/>
      <c r="I1729"/>
      <c r="J1729" s="241"/>
      <c r="K1729" s="241"/>
      <c r="L1729" s="241"/>
      <c r="M1729" s="241"/>
      <c r="N1729" s="241"/>
      <c r="O1729" s="241"/>
      <c r="P1729" s="241"/>
      <c r="Q1729" s="241"/>
    </row>
    <row r="1730" spans="1:17" ht="13.5" customHeight="1" x14ac:dyDescent="0.3">
      <c r="A1730"/>
      <c r="B1730" s="241"/>
      <c r="C1730" s="241"/>
      <c r="D1730" s="241"/>
      <c r="E1730" s="241"/>
      <c r="F1730" s="241"/>
      <c r="G1730" s="241"/>
      <c r="H1730" s="241"/>
      <c r="I1730"/>
      <c r="J1730" s="241"/>
      <c r="K1730" s="241"/>
      <c r="L1730" s="241"/>
      <c r="M1730" s="241"/>
      <c r="N1730" s="241"/>
      <c r="O1730" s="241"/>
      <c r="P1730" s="241"/>
      <c r="Q1730" s="241"/>
    </row>
    <row r="1731" spans="1:17" ht="13.5" customHeight="1" x14ac:dyDescent="0.3">
      <c r="A1731"/>
      <c r="B1731" s="241"/>
      <c r="C1731" s="241"/>
      <c r="D1731" s="241"/>
      <c r="E1731" s="241"/>
      <c r="F1731" s="241"/>
      <c r="G1731" s="241"/>
      <c r="H1731" s="241"/>
      <c r="I1731"/>
      <c r="J1731" s="241"/>
      <c r="K1731" s="241"/>
      <c r="L1731" s="241"/>
      <c r="M1731" s="241"/>
      <c r="N1731" s="241"/>
      <c r="O1731" s="241"/>
      <c r="P1731" s="241"/>
      <c r="Q1731" s="241"/>
    </row>
    <row r="1732" spans="1:17" ht="13.5" customHeight="1" x14ac:dyDescent="0.3">
      <c r="A1732"/>
      <c r="B1732" s="241"/>
      <c r="C1732" s="241"/>
      <c r="D1732" s="241"/>
      <c r="E1732" s="241"/>
      <c r="F1732" s="241"/>
      <c r="G1732" s="241"/>
      <c r="H1732" s="241"/>
      <c r="I1732"/>
      <c r="J1732" s="241"/>
      <c r="K1732" s="241"/>
      <c r="L1732" s="241"/>
      <c r="M1732" s="241"/>
      <c r="N1732" s="241"/>
      <c r="O1732" s="241"/>
      <c r="P1732" s="241"/>
      <c r="Q1732" s="241"/>
    </row>
    <row r="1733" spans="1:17" ht="13.5" customHeight="1" x14ac:dyDescent="0.3">
      <c r="A1733"/>
      <c r="B1733" s="241"/>
      <c r="C1733" s="241"/>
      <c r="D1733" s="241"/>
      <c r="E1733" s="241"/>
      <c r="F1733" s="241"/>
      <c r="G1733" s="241"/>
      <c r="H1733" s="241"/>
      <c r="I1733"/>
      <c r="J1733" s="241"/>
      <c r="K1733" s="241"/>
      <c r="L1733" s="241"/>
      <c r="M1733" s="241"/>
      <c r="N1733" s="241"/>
      <c r="O1733" s="241"/>
      <c r="P1733" s="241"/>
      <c r="Q1733" s="241"/>
    </row>
    <row r="1734" spans="1:17" ht="13.5" customHeight="1" x14ac:dyDescent="0.3">
      <c r="A1734"/>
      <c r="B1734" s="241"/>
      <c r="C1734" s="241"/>
      <c r="D1734" s="241"/>
      <c r="E1734" s="241"/>
      <c r="F1734" s="241"/>
      <c r="G1734" s="241"/>
      <c r="H1734" s="241"/>
      <c r="I1734"/>
      <c r="J1734" s="241"/>
      <c r="K1734" s="241"/>
      <c r="L1734" s="241"/>
      <c r="M1734" s="241"/>
      <c r="N1734" s="241"/>
      <c r="O1734" s="241"/>
      <c r="P1734" s="241"/>
      <c r="Q1734" s="241"/>
    </row>
    <row r="1735" spans="1:17" ht="13.5" customHeight="1" x14ac:dyDescent="0.3">
      <c r="A1735"/>
      <c r="B1735" s="241"/>
      <c r="C1735" s="241"/>
      <c r="D1735" s="241"/>
      <c r="E1735" s="241"/>
      <c r="F1735" s="241"/>
      <c r="G1735" s="241"/>
      <c r="H1735" s="241"/>
      <c r="I1735"/>
      <c r="J1735" s="241"/>
      <c r="K1735" s="241"/>
      <c r="L1735" s="241"/>
      <c r="M1735" s="241"/>
      <c r="N1735" s="241"/>
      <c r="O1735" s="241"/>
      <c r="P1735" s="241"/>
      <c r="Q1735" s="241"/>
    </row>
    <row r="1736" spans="1:17" ht="13.5" customHeight="1" x14ac:dyDescent="0.3">
      <c r="A1736"/>
      <c r="B1736" s="241"/>
      <c r="C1736" s="241"/>
      <c r="D1736" s="241"/>
      <c r="E1736" s="241"/>
      <c r="F1736" s="241"/>
      <c r="G1736" s="241"/>
      <c r="H1736" s="241"/>
      <c r="I1736"/>
      <c r="J1736" s="241"/>
      <c r="K1736" s="241"/>
      <c r="L1736" s="241"/>
      <c r="M1736" s="241"/>
      <c r="N1736" s="241"/>
      <c r="O1736" s="241"/>
      <c r="P1736" s="241"/>
      <c r="Q1736" s="241"/>
    </row>
    <row r="1737" spans="1:17" ht="13.5" customHeight="1" x14ac:dyDescent="0.3">
      <c r="A1737"/>
      <c r="B1737" s="241"/>
      <c r="C1737" s="241"/>
      <c r="D1737" s="241"/>
      <c r="E1737" s="241"/>
      <c r="F1737" s="241"/>
      <c r="G1737" s="241"/>
      <c r="H1737" s="241"/>
      <c r="I1737"/>
      <c r="J1737" s="241"/>
      <c r="K1737" s="241"/>
      <c r="L1737" s="241"/>
      <c r="M1737" s="241"/>
      <c r="N1737" s="241"/>
      <c r="O1737" s="241"/>
      <c r="P1737" s="241"/>
      <c r="Q1737" s="241"/>
    </row>
    <row r="1738" spans="1:17" ht="13.5" customHeight="1" x14ac:dyDescent="0.3">
      <c r="A1738"/>
      <c r="B1738" s="241"/>
      <c r="C1738" s="241"/>
      <c r="D1738" s="241"/>
      <c r="E1738" s="241"/>
      <c r="F1738" s="241"/>
      <c r="G1738" s="241"/>
      <c r="H1738" s="241"/>
      <c r="I1738"/>
      <c r="J1738" s="241"/>
      <c r="K1738" s="241"/>
      <c r="L1738" s="241"/>
      <c r="M1738" s="241"/>
      <c r="N1738" s="241"/>
      <c r="O1738" s="241"/>
      <c r="P1738" s="241"/>
      <c r="Q1738" s="241"/>
    </row>
    <row r="1739" spans="1:17" ht="13.5" customHeight="1" x14ac:dyDescent="0.3">
      <c r="A1739"/>
      <c r="B1739" s="241"/>
      <c r="C1739" s="241"/>
      <c r="D1739" s="241"/>
      <c r="E1739" s="241"/>
      <c r="F1739" s="241"/>
      <c r="G1739" s="241"/>
      <c r="H1739" s="241"/>
      <c r="I1739"/>
      <c r="J1739" s="241"/>
      <c r="K1739" s="241"/>
      <c r="L1739" s="241"/>
      <c r="M1739" s="241"/>
      <c r="N1739" s="241"/>
      <c r="O1739" s="241"/>
      <c r="P1739" s="241"/>
      <c r="Q1739" s="241"/>
    </row>
    <row r="1740" spans="1:17" ht="13.5" customHeight="1" x14ac:dyDescent="0.3">
      <c r="A1740"/>
      <c r="B1740" s="241"/>
      <c r="C1740" s="241"/>
      <c r="D1740" s="241"/>
      <c r="E1740" s="241"/>
      <c r="F1740" s="241"/>
      <c r="G1740" s="241"/>
      <c r="H1740" s="241"/>
      <c r="I1740"/>
      <c r="J1740" s="241"/>
      <c r="K1740" s="241"/>
      <c r="L1740" s="241"/>
      <c r="M1740" s="241"/>
      <c r="N1740" s="241"/>
      <c r="O1740" s="241"/>
      <c r="P1740" s="241"/>
      <c r="Q1740" s="241"/>
    </row>
    <row r="1741" spans="1:17" ht="13.5" customHeight="1" x14ac:dyDescent="0.3">
      <c r="A1741"/>
      <c r="B1741" s="241"/>
      <c r="C1741" s="241"/>
      <c r="D1741" s="241"/>
      <c r="E1741" s="241"/>
      <c r="F1741" s="241"/>
      <c r="G1741" s="241"/>
      <c r="H1741" s="241"/>
      <c r="I1741"/>
      <c r="J1741" s="241"/>
      <c r="K1741" s="241"/>
      <c r="L1741" s="241"/>
      <c r="M1741" s="241"/>
      <c r="N1741" s="241"/>
      <c r="O1741" s="241"/>
      <c r="P1741" s="241"/>
      <c r="Q1741" s="241"/>
    </row>
    <row r="1742" spans="1:17" ht="13.5" customHeight="1" x14ac:dyDescent="0.3">
      <c r="A1742"/>
      <c r="B1742" s="241"/>
      <c r="C1742" s="241"/>
      <c r="D1742" s="241"/>
      <c r="E1742" s="241"/>
      <c r="F1742" s="241"/>
      <c r="G1742" s="241"/>
      <c r="H1742" s="241"/>
      <c r="I1742"/>
      <c r="J1742" s="241"/>
      <c r="K1742" s="241"/>
      <c r="L1742" s="241"/>
      <c r="M1742" s="241"/>
      <c r="N1742" s="241"/>
      <c r="O1742" s="241"/>
      <c r="P1742" s="241"/>
      <c r="Q1742" s="241"/>
    </row>
    <row r="1743" spans="1:17" ht="13.5" customHeight="1" x14ac:dyDescent="0.3">
      <c r="A1743"/>
      <c r="B1743" s="241"/>
      <c r="C1743" s="241"/>
      <c r="D1743" s="241"/>
      <c r="E1743" s="241"/>
      <c r="F1743" s="241"/>
      <c r="G1743" s="241"/>
      <c r="H1743" s="241"/>
      <c r="I1743"/>
      <c r="J1743" s="241"/>
      <c r="K1743" s="241"/>
      <c r="L1743" s="241"/>
      <c r="M1743" s="241"/>
      <c r="N1743" s="241"/>
      <c r="O1743" s="241"/>
      <c r="P1743" s="241"/>
      <c r="Q1743" s="241"/>
    </row>
    <row r="1744" spans="1:17" ht="13.5" customHeight="1" x14ac:dyDescent="0.3">
      <c r="A1744"/>
      <c r="B1744" s="241"/>
      <c r="C1744" s="241"/>
      <c r="D1744" s="241"/>
      <c r="E1744" s="241"/>
      <c r="F1744" s="241"/>
      <c r="G1744" s="241"/>
      <c r="H1744" s="241"/>
      <c r="I1744"/>
      <c r="J1744" s="241"/>
      <c r="K1744" s="241"/>
      <c r="L1744" s="241"/>
      <c r="M1744" s="241"/>
      <c r="N1744" s="241"/>
      <c r="O1744" s="241"/>
      <c r="P1744" s="241"/>
      <c r="Q1744" s="241"/>
    </row>
    <row r="1745" spans="1:17" ht="13.5" customHeight="1" x14ac:dyDescent="0.3">
      <c r="A1745"/>
      <c r="B1745" s="241"/>
      <c r="C1745" s="241"/>
      <c r="D1745" s="241"/>
      <c r="E1745" s="241"/>
      <c r="F1745" s="241"/>
      <c r="G1745" s="241"/>
      <c r="H1745" s="241"/>
      <c r="I1745"/>
      <c r="J1745" s="241"/>
      <c r="K1745" s="241"/>
      <c r="L1745" s="241"/>
      <c r="M1745" s="241"/>
      <c r="N1745" s="241"/>
      <c r="O1745" s="241"/>
      <c r="P1745" s="241"/>
      <c r="Q1745" s="241"/>
    </row>
    <row r="1746" spans="1:17" ht="13.5" customHeight="1" x14ac:dyDescent="0.3">
      <c r="A1746"/>
      <c r="B1746" s="241"/>
      <c r="C1746" s="241"/>
      <c r="D1746" s="241"/>
      <c r="E1746" s="241"/>
      <c r="F1746" s="241"/>
      <c r="G1746" s="241"/>
      <c r="H1746" s="241"/>
      <c r="I1746"/>
      <c r="J1746" s="241"/>
      <c r="K1746" s="241"/>
      <c r="L1746" s="241"/>
      <c r="M1746" s="241"/>
      <c r="N1746" s="241"/>
      <c r="O1746" s="241"/>
      <c r="P1746" s="241"/>
      <c r="Q1746" s="241"/>
    </row>
    <row r="1747" spans="1:17" ht="13.5" customHeight="1" x14ac:dyDescent="0.3">
      <c r="A1747"/>
      <c r="B1747" s="241"/>
      <c r="C1747" s="241"/>
      <c r="D1747" s="241"/>
      <c r="E1747" s="241"/>
      <c r="F1747" s="241"/>
      <c r="G1747" s="241"/>
      <c r="H1747" s="241"/>
      <c r="I1747"/>
      <c r="J1747" s="241"/>
      <c r="K1747" s="241"/>
      <c r="L1747" s="241"/>
      <c r="M1747" s="241"/>
      <c r="N1747" s="241"/>
      <c r="O1747" s="241"/>
      <c r="P1747" s="241"/>
      <c r="Q1747" s="241"/>
    </row>
    <row r="1748" spans="1:17" ht="13.5" customHeight="1" x14ac:dyDescent="0.3">
      <c r="A1748"/>
      <c r="B1748" s="241"/>
      <c r="C1748" s="241"/>
      <c r="D1748" s="241"/>
      <c r="E1748" s="241"/>
      <c r="F1748" s="241"/>
      <c r="G1748" s="241"/>
      <c r="H1748" s="241"/>
      <c r="I1748"/>
      <c r="J1748" s="241"/>
      <c r="K1748" s="241"/>
      <c r="L1748" s="241"/>
      <c r="M1748" s="241"/>
      <c r="N1748" s="241"/>
      <c r="O1748" s="241"/>
      <c r="P1748" s="241"/>
      <c r="Q1748" s="241"/>
    </row>
    <row r="1749" spans="1:17" ht="13.5" customHeight="1" x14ac:dyDescent="0.3">
      <c r="A1749"/>
      <c r="B1749" s="241"/>
      <c r="C1749" s="241"/>
      <c r="D1749" s="241"/>
      <c r="E1749" s="241"/>
      <c r="F1749" s="241"/>
      <c r="G1749" s="241"/>
      <c r="H1749" s="241"/>
      <c r="I1749"/>
      <c r="J1749" s="241"/>
      <c r="K1749" s="241"/>
      <c r="L1749" s="241"/>
      <c r="M1749" s="241"/>
      <c r="N1749" s="241"/>
      <c r="O1749" s="241"/>
      <c r="P1749" s="241"/>
      <c r="Q1749" s="241"/>
    </row>
    <row r="1750" spans="1:17" ht="13.5" customHeight="1" x14ac:dyDescent="0.3">
      <c r="A1750"/>
      <c r="B1750" s="241"/>
      <c r="C1750" s="241"/>
      <c r="D1750" s="241"/>
      <c r="E1750" s="241"/>
      <c r="F1750" s="241"/>
      <c r="G1750" s="241"/>
      <c r="H1750" s="241"/>
      <c r="I1750"/>
      <c r="J1750" s="241"/>
      <c r="K1750" s="241"/>
      <c r="L1750" s="241"/>
      <c r="M1750" s="241"/>
      <c r="N1750" s="241"/>
      <c r="O1750" s="241"/>
      <c r="P1750" s="241"/>
      <c r="Q1750" s="241"/>
    </row>
    <row r="1751" spans="1:17" ht="13.5" customHeight="1" x14ac:dyDescent="0.3">
      <c r="A1751"/>
      <c r="B1751" s="241"/>
      <c r="C1751" s="241"/>
      <c r="D1751" s="241"/>
      <c r="E1751" s="241"/>
      <c r="F1751" s="241"/>
      <c r="G1751" s="241"/>
      <c r="H1751" s="241"/>
      <c r="I1751"/>
      <c r="J1751" s="241"/>
      <c r="K1751" s="241"/>
      <c r="L1751" s="241"/>
      <c r="M1751" s="241"/>
      <c r="N1751" s="241"/>
      <c r="O1751" s="241"/>
      <c r="P1751" s="241"/>
      <c r="Q1751" s="241"/>
    </row>
    <row r="1752" spans="1:17" ht="13.5" customHeight="1" x14ac:dyDescent="0.3">
      <c r="A1752"/>
      <c r="B1752" s="241"/>
      <c r="C1752" s="241"/>
      <c r="D1752" s="241"/>
      <c r="E1752" s="241"/>
      <c r="F1752" s="241"/>
      <c r="G1752" s="241"/>
      <c r="H1752" s="241"/>
      <c r="I1752"/>
      <c r="J1752" s="241"/>
      <c r="K1752" s="241"/>
      <c r="L1752" s="241"/>
      <c r="M1752" s="241"/>
      <c r="N1752" s="241"/>
      <c r="O1752" s="241"/>
      <c r="P1752" s="241"/>
      <c r="Q1752" s="241"/>
    </row>
    <row r="1753" spans="1:17" ht="13.5" customHeight="1" x14ac:dyDescent="0.3">
      <c r="A1753"/>
      <c r="B1753" s="241"/>
      <c r="C1753" s="241"/>
      <c r="D1753" s="241"/>
      <c r="E1753" s="241"/>
      <c r="F1753" s="241"/>
      <c r="G1753" s="241"/>
      <c r="H1753" s="241"/>
      <c r="I1753"/>
      <c r="J1753" s="241"/>
      <c r="K1753" s="241"/>
      <c r="L1753" s="241"/>
      <c r="M1753" s="241"/>
      <c r="N1753" s="241"/>
      <c r="O1753" s="241"/>
      <c r="P1753" s="241"/>
      <c r="Q1753" s="241"/>
    </row>
    <row r="1754" spans="1:17" ht="13.5" customHeight="1" x14ac:dyDescent="0.3">
      <c r="A1754"/>
      <c r="B1754" s="241"/>
      <c r="C1754" s="241"/>
      <c r="D1754" s="241"/>
      <c r="E1754" s="241"/>
      <c r="F1754" s="241"/>
      <c r="G1754" s="241"/>
      <c r="H1754" s="241"/>
      <c r="I1754"/>
      <c r="J1754" s="241"/>
      <c r="K1754" s="241"/>
      <c r="L1754" s="241"/>
      <c r="M1754" s="241"/>
      <c r="N1754" s="241"/>
      <c r="O1754" s="241"/>
      <c r="P1754" s="241"/>
      <c r="Q1754" s="241"/>
    </row>
    <row r="1755" spans="1:17" ht="13.5" customHeight="1" x14ac:dyDescent="0.3">
      <c r="A1755"/>
      <c r="B1755" s="241"/>
      <c r="C1755" s="241"/>
      <c r="D1755" s="241"/>
      <c r="E1755" s="241"/>
      <c r="F1755" s="241"/>
      <c r="G1755" s="241"/>
      <c r="H1755" s="241"/>
      <c r="I1755"/>
      <c r="J1755" s="241"/>
      <c r="K1755" s="241"/>
      <c r="L1755" s="241"/>
      <c r="M1755" s="241"/>
      <c r="N1755" s="241"/>
      <c r="O1755" s="241"/>
      <c r="P1755" s="241"/>
      <c r="Q1755" s="241"/>
    </row>
    <row r="1756" spans="1:17" ht="13.5" customHeight="1" x14ac:dyDescent="0.3">
      <c r="A1756"/>
      <c r="B1756" s="241"/>
      <c r="C1756" s="241"/>
      <c r="D1756" s="241"/>
      <c r="E1756" s="241"/>
      <c r="F1756" s="241"/>
      <c r="G1756" s="241"/>
      <c r="H1756" s="241"/>
      <c r="I1756"/>
      <c r="J1756" s="241"/>
      <c r="K1756" s="241"/>
      <c r="L1756" s="241"/>
      <c r="M1756" s="241"/>
      <c r="N1756" s="241"/>
      <c r="O1756" s="241"/>
      <c r="P1756" s="241"/>
      <c r="Q1756" s="241"/>
    </row>
    <row r="1757" spans="1:17" ht="13.5" customHeight="1" x14ac:dyDescent="0.3">
      <c r="A1757"/>
      <c r="B1757" s="241"/>
      <c r="C1757" s="241"/>
      <c r="D1757" s="241"/>
      <c r="E1757" s="241"/>
      <c r="F1757" s="241"/>
      <c r="G1757" s="241"/>
      <c r="H1757" s="241"/>
      <c r="I1757"/>
      <c r="J1757" s="241"/>
      <c r="K1757" s="241"/>
      <c r="L1757" s="241"/>
      <c r="M1757" s="241"/>
      <c r="N1757" s="241"/>
      <c r="O1757" s="241"/>
      <c r="P1757" s="241"/>
      <c r="Q1757" s="241"/>
    </row>
    <row r="1758" spans="1:17" ht="13.5" customHeight="1" x14ac:dyDescent="0.3">
      <c r="A1758"/>
      <c r="B1758" s="241"/>
      <c r="C1758" s="241"/>
      <c r="D1758" s="241"/>
      <c r="E1758" s="241"/>
      <c r="F1758" s="241"/>
      <c r="G1758" s="241"/>
      <c r="H1758" s="241"/>
      <c r="I1758"/>
      <c r="J1758" s="241"/>
      <c r="K1758" s="241"/>
      <c r="L1758" s="241"/>
      <c r="M1758" s="241"/>
      <c r="N1758" s="241"/>
      <c r="O1758" s="241"/>
      <c r="P1758" s="241"/>
      <c r="Q1758" s="241"/>
    </row>
    <row r="1759" spans="1:17" ht="13.5" customHeight="1" x14ac:dyDescent="0.3">
      <c r="A1759"/>
      <c r="B1759" s="241"/>
      <c r="C1759" s="241"/>
      <c r="D1759" s="241"/>
      <c r="E1759" s="241"/>
      <c r="F1759" s="241"/>
      <c r="G1759" s="241"/>
      <c r="H1759" s="241"/>
      <c r="I1759"/>
      <c r="J1759" s="241"/>
      <c r="K1759" s="241"/>
      <c r="L1759" s="241"/>
      <c r="M1759" s="241"/>
      <c r="N1759" s="241"/>
      <c r="O1759" s="241"/>
      <c r="P1759" s="241"/>
      <c r="Q1759" s="241"/>
    </row>
    <row r="1760" spans="1:17" ht="13.5" customHeight="1" x14ac:dyDescent="0.3">
      <c r="A1760"/>
      <c r="B1760" s="241"/>
      <c r="C1760" s="241"/>
      <c r="D1760" s="241"/>
      <c r="E1760" s="241"/>
      <c r="F1760" s="241"/>
      <c r="G1760" s="241"/>
      <c r="H1760" s="241"/>
      <c r="I1760"/>
      <c r="J1760" s="241"/>
      <c r="K1760" s="241"/>
      <c r="L1760" s="241"/>
      <c r="M1760" s="241"/>
      <c r="N1760" s="241"/>
      <c r="O1760" s="241"/>
      <c r="P1760" s="241"/>
      <c r="Q1760" s="241"/>
    </row>
    <row r="1761" spans="1:17" ht="13.5" customHeight="1" x14ac:dyDescent="0.3">
      <c r="A1761"/>
      <c r="B1761" s="241"/>
      <c r="C1761" s="241"/>
      <c r="D1761" s="241"/>
      <c r="E1761" s="241"/>
      <c r="F1761" s="241"/>
      <c r="G1761" s="241"/>
      <c r="H1761" s="241"/>
      <c r="I1761"/>
      <c r="J1761" s="241"/>
      <c r="K1761" s="241"/>
      <c r="L1761" s="241"/>
      <c r="M1761" s="241"/>
      <c r="N1761" s="241"/>
      <c r="O1761" s="241"/>
      <c r="P1761" s="241"/>
      <c r="Q1761" s="241"/>
    </row>
    <row r="1762" spans="1:17" ht="13.5" customHeight="1" x14ac:dyDescent="0.3">
      <c r="A1762"/>
      <c r="B1762" s="241"/>
      <c r="C1762" s="241"/>
      <c r="D1762" s="241"/>
      <c r="E1762" s="241"/>
      <c r="F1762" s="241"/>
      <c r="G1762" s="241"/>
      <c r="H1762" s="241"/>
      <c r="I1762"/>
      <c r="J1762" s="241"/>
      <c r="K1762" s="241"/>
      <c r="L1762" s="241"/>
      <c r="M1762" s="241"/>
      <c r="N1762" s="241"/>
      <c r="O1762" s="241"/>
      <c r="P1762" s="241"/>
      <c r="Q1762" s="241"/>
    </row>
    <row r="1763" spans="1:17" ht="13.5" customHeight="1" x14ac:dyDescent="0.3">
      <c r="A1763"/>
      <c r="B1763" s="241"/>
      <c r="C1763" s="241"/>
      <c r="D1763" s="241"/>
      <c r="E1763" s="241"/>
      <c r="F1763" s="241"/>
      <c r="G1763" s="241"/>
      <c r="H1763" s="241"/>
      <c r="I1763"/>
      <c r="J1763" s="241"/>
      <c r="K1763" s="241"/>
      <c r="L1763" s="241"/>
      <c r="M1763" s="241"/>
      <c r="N1763" s="241"/>
      <c r="O1763" s="241"/>
      <c r="P1763" s="241"/>
      <c r="Q1763" s="241"/>
    </row>
    <row r="1764" spans="1:17" ht="13.5" customHeight="1" x14ac:dyDescent="0.3">
      <c r="A1764"/>
      <c r="B1764" s="241"/>
      <c r="C1764" s="241"/>
      <c r="D1764" s="241"/>
      <c r="E1764" s="241"/>
      <c r="F1764" s="241"/>
      <c r="G1764" s="241"/>
      <c r="H1764" s="241"/>
      <c r="I1764"/>
      <c r="J1764" s="241"/>
      <c r="K1764" s="241"/>
      <c r="L1764" s="241"/>
      <c r="M1764" s="241"/>
      <c r="N1764" s="241"/>
      <c r="O1764" s="241"/>
      <c r="P1764" s="241"/>
      <c r="Q1764" s="241"/>
    </row>
    <row r="1765" spans="1:17" ht="13.5" customHeight="1" x14ac:dyDescent="0.3">
      <c r="A1765"/>
      <c r="B1765" s="241"/>
      <c r="C1765" s="241"/>
      <c r="D1765" s="241"/>
      <c r="E1765" s="241"/>
      <c r="F1765" s="241"/>
      <c r="G1765" s="241"/>
      <c r="H1765" s="241"/>
      <c r="I1765"/>
      <c r="J1765" s="241"/>
      <c r="K1765" s="241"/>
      <c r="L1765" s="241"/>
      <c r="M1765" s="241"/>
      <c r="N1765" s="241"/>
      <c r="O1765" s="241"/>
      <c r="P1765" s="241"/>
      <c r="Q1765" s="241"/>
    </row>
    <row r="1766" spans="1:17" ht="13.5" customHeight="1" x14ac:dyDescent="0.3">
      <c r="A1766"/>
      <c r="B1766" s="241"/>
      <c r="C1766" s="241"/>
      <c r="D1766" s="241"/>
      <c r="E1766" s="241"/>
      <c r="F1766" s="241"/>
      <c r="G1766" s="241"/>
      <c r="H1766" s="241"/>
      <c r="I1766"/>
      <c r="J1766" s="241"/>
      <c r="K1766" s="241"/>
      <c r="L1766" s="241"/>
      <c r="M1766" s="241"/>
      <c r="N1766" s="241"/>
      <c r="O1766" s="241"/>
      <c r="P1766" s="241"/>
      <c r="Q1766" s="241"/>
    </row>
    <row r="1767" spans="1:17" ht="13.5" customHeight="1" x14ac:dyDescent="0.3">
      <c r="A1767"/>
      <c r="B1767" s="241"/>
      <c r="C1767" s="241"/>
      <c r="D1767" s="241"/>
      <c r="E1767" s="241"/>
      <c r="F1767" s="241"/>
      <c r="G1767" s="241"/>
      <c r="H1767" s="241"/>
      <c r="I1767"/>
      <c r="J1767" s="241"/>
      <c r="K1767" s="241"/>
      <c r="L1767" s="241"/>
      <c r="M1767" s="241"/>
      <c r="N1767" s="241"/>
      <c r="O1767" s="241"/>
      <c r="P1767" s="241"/>
      <c r="Q1767" s="241"/>
    </row>
    <row r="1768" spans="1:17" ht="13.5" customHeight="1" x14ac:dyDescent="0.3">
      <c r="A1768"/>
      <c r="B1768" s="241"/>
      <c r="C1768" s="241"/>
      <c r="D1768" s="241"/>
      <c r="E1768" s="241"/>
      <c r="F1768" s="241"/>
      <c r="G1768" s="241"/>
      <c r="H1768" s="241"/>
      <c r="I1768"/>
      <c r="J1768" s="241"/>
      <c r="K1768" s="241"/>
      <c r="L1768" s="241"/>
      <c r="M1768" s="241"/>
      <c r="N1768" s="241"/>
      <c r="O1768" s="241"/>
      <c r="P1768" s="241"/>
      <c r="Q1768" s="241"/>
    </row>
    <row r="1769" spans="1:17" ht="13.5" customHeight="1" x14ac:dyDescent="0.3">
      <c r="A1769"/>
      <c r="B1769" s="241"/>
      <c r="C1769" s="241"/>
      <c r="D1769" s="241"/>
      <c r="E1769" s="241"/>
      <c r="F1769" s="241"/>
      <c r="G1769" s="241"/>
      <c r="H1769" s="241"/>
      <c r="I1769"/>
      <c r="J1769" s="241"/>
      <c r="K1769" s="241"/>
      <c r="L1769" s="241"/>
      <c r="M1769" s="241"/>
      <c r="N1769" s="241"/>
      <c r="O1769" s="241"/>
      <c r="P1769" s="241"/>
      <c r="Q1769" s="241"/>
    </row>
    <row r="1770" spans="1:17" ht="13.5" customHeight="1" x14ac:dyDescent="0.3">
      <c r="A1770"/>
      <c r="B1770" s="241"/>
      <c r="C1770" s="241"/>
      <c r="D1770" s="241"/>
      <c r="E1770" s="241"/>
      <c r="F1770" s="241"/>
      <c r="G1770" s="241"/>
      <c r="H1770" s="241"/>
      <c r="I1770"/>
      <c r="J1770" s="241"/>
      <c r="K1770" s="241"/>
      <c r="L1770" s="241"/>
      <c r="M1770" s="241"/>
      <c r="N1770" s="241"/>
      <c r="O1770" s="241"/>
      <c r="P1770" s="241"/>
      <c r="Q1770" s="241"/>
    </row>
    <row r="1771" spans="1:17" ht="13.5" customHeight="1" x14ac:dyDescent="0.3">
      <c r="A1771"/>
      <c r="B1771" s="241"/>
      <c r="C1771" s="241"/>
      <c r="D1771" s="241"/>
      <c r="E1771" s="241"/>
      <c r="F1771" s="241"/>
      <c r="G1771" s="241"/>
      <c r="H1771" s="241"/>
      <c r="I1771"/>
      <c r="J1771" s="241"/>
      <c r="K1771" s="241"/>
      <c r="L1771" s="241"/>
      <c r="M1771" s="241"/>
      <c r="N1771" s="241"/>
      <c r="O1771" s="241"/>
      <c r="P1771" s="241"/>
      <c r="Q1771" s="241"/>
    </row>
    <row r="1772" spans="1:17" ht="13.5" customHeight="1" x14ac:dyDescent="0.3">
      <c r="A1772"/>
      <c r="B1772" s="241"/>
      <c r="C1772" s="241"/>
      <c r="D1772" s="241"/>
      <c r="E1772" s="241"/>
      <c r="F1772" s="241"/>
      <c r="G1772" s="241"/>
      <c r="H1772" s="241"/>
      <c r="I1772"/>
      <c r="J1772" s="241"/>
      <c r="K1772" s="241"/>
      <c r="L1772" s="241"/>
      <c r="M1772" s="241"/>
      <c r="N1772" s="241"/>
      <c r="O1772" s="241"/>
      <c r="P1772" s="241"/>
      <c r="Q1772" s="241"/>
    </row>
    <row r="1773" spans="1:17" ht="13.5" customHeight="1" x14ac:dyDescent="0.3">
      <c r="A1773"/>
      <c r="B1773" s="241"/>
      <c r="C1773" s="241"/>
      <c r="D1773" s="241"/>
      <c r="E1773" s="241"/>
      <c r="F1773" s="241"/>
      <c r="G1773" s="241"/>
      <c r="H1773" s="241"/>
      <c r="I1773"/>
      <c r="J1773" s="241"/>
      <c r="K1773" s="241"/>
      <c r="L1773" s="241"/>
      <c r="M1773" s="241"/>
      <c r="N1773" s="241"/>
      <c r="O1773" s="241"/>
      <c r="P1773" s="241"/>
      <c r="Q1773" s="241"/>
    </row>
    <row r="1774" spans="1:17" ht="13.5" customHeight="1" x14ac:dyDescent="0.3">
      <c r="A1774"/>
      <c r="B1774" s="241"/>
      <c r="C1774" s="241"/>
      <c r="D1774" s="241"/>
      <c r="E1774" s="241"/>
      <c r="F1774" s="241"/>
      <c r="G1774" s="241"/>
      <c r="H1774" s="241"/>
      <c r="I1774"/>
      <c r="J1774" s="241"/>
      <c r="K1774" s="241"/>
      <c r="L1774" s="241"/>
      <c r="M1774" s="241"/>
      <c r="N1774" s="241"/>
      <c r="O1774" s="241"/>
      <c r="P1774" s="241"/>
      <c r="Q1774" s="241"/>
    </row>
    <row r="1775" spans="1:17" ht="13.5" customHeight="1" x14ac:dyDescent="0.3">
      <c r="A1775"/>
      <c r="B1775" s="241"/>
      <c r="C1775" s="241"/>
      <c r="D1775" s="241"/>
      <c r="E1775" s="241"/>
      <c r="F1775" s="241"/>
      <c r="G1775" s="241"/>
      <c r="H1775" s="241"/>
      <c r="I1775"/>
      <c r="J1775" s="241"/>
      <c r="K1775" s="241"/>
      <c r="L1775" s="241"/>
      <c r="M1775" s="241"/>
      <c r="N1775" s="241"/>
      <c r="O1775" s="241"/>
      <c r="P1775" s="241"/>
      <c r="Q1775" s="241"/>
    </row>
    <row r="1776" spans="1:17" ht="13.5" customHeight="1" x14ac:dyDescent="0.3">
      <c r="A1776"/>
      <c r="B1776" s="241"/>
      <c r="C1776" s="241"/>
      <c r="D1776" s="241"/>
      <c r="E1776" s="241"/>
      <c r="F1776" s="241"/>
      <c r="G1776" s="241"/>
      <c r="H1776" s="241"/>
      <c r="I1776"/>
      <c r="J1776" s="241"/>
      <c r="K1776" s="241"/>
      <c r="L1776" s="241"/>
      <c r="M1776" s="241"/>
      <c r="N1776" s="241"/>
      <c r="O1776" s="241"/>
      <c r="P1776" s="241"/>
      <c r="Q1776" s="241"/>
    </row>
    <row r="1777" spans="1:17" ht="13.5" customHeight="1" x14ac:dyDescent="0.3">
      <c r="A1777"/>
      <c r="B1777" s="241"/>
      <c r="C1777" s="241"/>
      <c r="D1777" s="241"/>
      <c r="E1777" s="241"/>
      <c r="F1777" s="241"/>
      <c r="G1777" s="241"/>
      <c r="H1777" s="241"/>
      <c r="I1777"/>
      <c r="J1777" s="241"/>
      <c r="K1777" s="241"/>
      <c r="L1777" s="241"/>
      <c r="M1777" s="241"/>
      <c r="N1777" s="241"/>
      <c r="O1777" s="241"/>
      <c r="P1777" s="241"/>
      <c r="Q1777" s="241"/>
    </row>
    <row r="1778" spans="1:17" ht="13.5" customHeight="1" x14ac:dyDescent="0.3">
      <c r="A1778"/>
      <c r="B1778" s="241"/>
      <c r="C1778" s="241"/>
      <c r="D1778" s="241"/>
      <c r="E1778" s="241"/>
      <c r="F1778" s="241"/>
      <c r="G1778" s="241"/>
      <c r="H1778" s="241"/>
      <c r="I1778"/>
      <c r="J1778" s="241"/>
      <c r="K1778" s="241"/>
      <c r="L1778" s="241"/>
      <c r="M1778" s="241"/>
      <c r="N1778" s="241"/>
      <c r="O1778" s="241"/>
      <c r="P1778" s="241"/>
      <c r="Q1778" s="241"/>
    </row>
    <row r="1779" spans="1:17" ht="13.5" customHeight="1" x14ac:dyDescent="0.3">
      <c r="A1779"/>
      <c r="B1779" s="241"/>
      <c r="C1779" s="241"/>
      <c r="D1779" s="241"/>
      <c r="E1779" s="241"/>
      <c r="F1779" s="241"/>
      <c r="G1779" s="241"/>
      <c r="H1779" s="241"/>
      <c r="I1779"/>
      <c r="J1779" s="241"/>
      <c r="K1779" s="241"/>
      <c r="L1779" s="241"/>
      <c r="M1779" s="241"/>
      <c r="N1779" s="241"/>
      <c r="O1779" s="241"/>
      <c r="P1779" s="241"/>
      <c r="Q1779" s="241"/>
    </row>
    <row r="1780" spans="1:17" ht="13.5" customHeight="1" x14ac:dyDescent="0.3">
      <c r="A1780"/>
      <c r="B1780" s="241"/>
      <c r="C1780" s="241"/>
      <c r="D1780" s="241"/>
      <c r="E1780" s="241"/>
      <c r="F1780" s="241"/>
      <c r="G1780" s="241"/>
      <c r="H1780" s="241"/>
      <c r="I1780"/>
      <c r="J1780" s="241"/>
      <c r="K1780" s="241"/>
      <c r="L1780" s="241"/>
      <c r="M1780" s="241"/>
      <c r="N1780" s="241"/>
      <c r="O1780" s="241"/>
      <c r="P1780" s="241"/>
      <c r="Q1780" s="241"/>
    </row>
    <row r="1781" spans="1:17" ht="13.5" customHeight="1" x14ac:dyDescent="0.3">
      <c r="A1781"/>
      <c r="B1781" s="241"/>
      <c r="C1781" s="241"/>
      <c r="D1781" s="241"/>
      <c r="E1781" s="241"/>
      <c r="F1781" s="241"/>
      <c r="G1781" s="241"/>
      <c r="H1781" s="241"/>
      <c r="I1781"/>
      <c r="J1781" s="241"/>
      <c r="K1781" s="241"/>
      <c r="L1781" s="241"/>
      <c r="M1781" s="241"/>
      <c r="N1781" s="241"/>
      <c r="O1781" s="241"/>
      <c r="P1781" s="241"/>
      <c r="Q1781" s="241"/>
    </row>
    <row r="1782" spans="1:17" ht="13.5" customHeight="1" x14ac:dyDescent="0.3">
      <c r="A1782"/>
      <c r="B1782" s="241"/>
      <c r="C1782" s="241"/>
      <c r="D1782" s="241"/>
      <c r="E1782" s="241"/>
      <c r="F1782" s="241"/>
      <c r="G1782" s="241"/>
      <c r="H1782" s="241"/>
      <c r="I1782"/>
      <c r="J1782" s="241"/>
      <c r="K1782" s="241"/>
      <c r="L1782" s="241"/>
      <c r="M1782" s="241"/>
      <c r="N1782" s="241"/>
      <c r="O1782" s="241"/>
      <c r="P1782" s="241"/>
      <c r="Q1782" s="241"/>
    </row>
    <row r="1783" spans="1:17" ht="13.5" customHeight="1" x14ac:dyDescent="0.3">
      <c r="A1783"/>
      <c r="B1783" s="241"/>
      <c r="C1783" s="241"/>
      <c r="D1783" s="241"/>
      <c r="E1783" s="241"/>
      <c r="F1783" s="241"/>
      <c r="G1783" s="241"/>
      <c r="H1783" s="241"/>
      <c r="I1783"/>
      <c r="J1783" s="241"/>
      <c r="K1783" s="241"/>
      <c r="L1783" s="241"/>
      <c r="M1783" s="241"/>
      <c r="N1783" s="241"/>
      <c r="O1783" s="241"/>
      <c r="P1783" s="241"/>
      <c r="Q1783" s="241"/>
    </row>
    <row r="1784" spans="1:17" ht="13.5" customHeight="1" x14ac:dyDescent="0.3">
      <c r="A1784"/>
      <c r="B1784" s="241"/>
      <c r="C1784" s="241"/>
      <c r="D1784" s="241"/>
      <c r="E1784" s="241"/>
      <c r="F1784" s="241"/>
      <c r="G1784" s="241"/>
      <c r="H1784" s="241"/>
      <c r="I1784"/>
      <c r="J1784" s="241"/>
      <c r="K1784" s="241"/>
      <c r="L1784" s="241"/>
      <c r="M1784" s="241"/>
      <c r="N1784" s="241"/>
      <c r="O1784" s="241"/>
      <c r="P1784" s="241"/>
      <c r="Q1784" s="241"/>
    </row>
    <row r="1785" spans="1:17" ht="13.5" customHeight="1" x14ac:dyDescent="0.3">
      <c r="A1785"/>
      <c r="B1785" s="241"/>
      <c r="C1785" s="241"/>
      <c r="D1785" s="241"/>
      <c r="E1785" s="241"/>
      <c r="F1785" s="241"/>
      <c r="G1785" s="241"/>
      <c r="H1785" s="241"/>
      <c r="I1785"/>
      <c r="J1785" s="241"/>
      <c r="K1785" s="241"/>
      <c r="L1785" s="241"/>
      <c r="M1785" s="241"/>
      <c r="N1785" s="241"/>
      <c r="O1785" s="241"/>
      <c r="P1785" s="241"/>
      <c r="Q1785" s="241"/>
    </row>
    <row r="1786" spans="1:17" ht="13.5" customHeight="1" x14ac:dyDescent="0.3">
      <c r="A1786"/>
      <c r="B1786" s="241"/>
      <c r="C1786" s="241"/>
      <c r="D1786" s="241"/>
      <c r="E1786" s="241"/>
      <c r="F1786" s="241"/>
      <c r="G1786" s="241"/>
      <c r="H1786" s="241"/>
      <c r="I1786"/>
      <c r="J1786" s="241"/>
      <c r="K1786" s="241"/>
      <c r="L1786" s="241"/>
      <c r="M1786" s="241"/>
      <c r="N1786" s="241"/>
      <c r="O1786" s="241"/>
      <c r="P1786" s="241"/>
      <c r="Q1786" s="241"/>
    </row>
    <row r="1787" spans="1:17" ht="13.5" customHeight="1" x14ac:dyDescent="0.3">
      <c r="A1787"/>
      <c r="B1787" s="241"/>
      <c r="C1787" s="241"/>
      <c r="D1787" s="241"/>
      <c r="E1787" s="241"/>
      <c r="F1787" s="241"/>
      <c r="G1787" s="241"/>
      <c r="H1787" s="241"/>
      <c r="I1787"/>
      <c r="J1787" s="241"/>
      <c r="K1787" s="241"/>
      <c r="L1787" s="241"/>
      <c r="M1787" s="241"/>
      <c r="N1787" s="241"/>
      <c r="O1787" s="241"/>
      <c r="P1787" s="241"/>
      <c r="Q1787" s="241"/>
    </row>
    <row r="1788" spans="1:17" ht="13.5" customHeight="1" x14ac:dyDescent="0.3">
      <c r="A1788"/>
      <c r="B1788" s="241"/>
      <c r="C1788" s="241"/>
      <c r="D1788" s="241"/>
      <c r="E1788" s="241"/>
      <c r="F1788" s="241"/>
      <c r="G1788" s="241"/>
      <c r="H1788" s="241"/>
      <c r="I1788"/>
      <c r="J1788" s="241"/>
      <c r="K1788" s="241"/>
      <c r="L1788" s="241"/>
      <c r="M1788" s="241"/>
      <c r="N1788" s="241"/>
      <c r="O1788" s="241"/>
      <c r="P1788" s="241"/>
      <c r="Q1788" s="241"/>
    </row>
    <row r="1789" spans="1:17" ht="13.5" customHeight="1" x14ac:dyDescent="0.3">
      <c r="A1789"/>
      <c r="B1789" s="241"/>
      <c r="C1789" s="241"/>
      <c r="D1789" s="241"/>
      <c r="E1789" s="241"/>
      <c r="F1789" s="241"/>
      <c r="G1789" s="241"/>
      <c r="H1789" s="241"/>
      <c r="I1789"/>
      <c r="J1789" s="241"/>
      <c r="K1789" s="241"/>
      <c r="L1789" s="241"/>
      <c r="M1789" s="241"/>
      <c r="N1789" s="241"/>
      <c r="O1789" s="241"/>
      <c r="P1789" s="241"/>
      <c r="Q1789" s="241"/>
    </row>
    <row r="1790" spans="1:17" ht="13.5" customHeight="1" x14ac:dyDescent="0.3">
      <c r="A1790"/>
      <c r="B1790" s="241"/>
      <c r="C1790" s="241"/>
      <c r="D1790" s="241"/>
      <c r="E1790" s="241"/>
      <c r="F1790" s="241"/>
      <c r="G1790" s="241"/>
      <c r="H1790" s="241"/>
      <c r="I1790"/>
      <c r="J1790" s="241"/>
      <c r="K1790" s="241"/>
      <c r="L1790" s="241"/>
      <c r="M1790" s="241"/>
      <c r="N1790" s="241"/>
      <c r="O1790" s="241"/>
      <c r="P1790" s="241"/>
      <c r="Q1790" s="241"/>
    </row>
    <row r="1791" spans="1:17" ht="13.5" customHeight="1" x14ac:dyDescent="0.3">
      <c r="A1791"/>
      <c r="B1791" s="241"/>
      <c r="C1791" s="241"/>
      <c r="D1791" s="241"/>
      <c r="E1791" s="241"/>
      <c r="F1791" s="241"/>
      <c r="G1791" s="241"/>
      <c r="H1791" s="241"/>
      <c r="I1791"/>
      <c r="J1791" s="241"/>
      <c r="K1791" s="241"/>
      <c r="L1791" s="241"/>
      <c r="M1791" s="241"/>
      <c r="N1791" s="241"/>
      <c r="O1791" s="241"/>
      <c r="P1791" s="241"/>
      <c r="Q1791" s="241"/>
    </row>
    <row r="1792" spans="1:17" ht="13.5" customHeight="1" x14ac:dyDescent="0.3">
      <c r="A1792"/>
      <c r="B1792" s="241"/>
      <c r="C1792" s="241"/>
      <c r="D1792" s="241"/>
      <c r="E1792" s="241"/>
      <c r="F1792" s="241"/>
      <c r="G1792" s="241"/>
      <c r="H1792" s="241"/>
      <c r="I1792"/>
      <c r="J1792" s="241"/>
      <c r="K1792" s="241"/>
      <c r="L1792" s="241"/>
      <c r="M1792" s="241"/>
      <c r="N1792" s="241"/>
      <c r="O1792" s="241"/>
      <c r="P1792" s="241"/>
      <c r="Q1792" s="241"/>
    </row>
    <row r="1793" spans="1:17" ht="13.5" customHeight="1" x14ac:dyDescent="0.3">
      <c r="A1793"/>
      <c r="B1793" s="241"/>
      <c r="C1793" s="241"/>
      <c r="D1793" s="241"/>
      <c r="E1793" s="241"/>
      <c r="F1793" s="241"/>
      <c r="G1793" s="241"/>
      <c r="H1793" s="241"/>
      <c r="I1793"/>
      <c r="J1793" s="241"/>
      <c r="K1793" s="241"/>
      <c r="L1793" s="241"/>
      <c r="M1793" s="241"/>
      <c r="N1793" s="241"/>
      <c r="O1793" s="241"/>
      <c r="P1793" s="241"/>
      <c r="Q1793" s="241"/>
    </row>
    <row r="1794" spans="1:17" ht="13.5" customHeight="1" x14ac:dyDescent="0.3">
      <c r="A1794"/>
      <c r="B1794" s="241"/>
      <c r="C1794" s="241"/>
      <c r="D1794" s="241"/>
      <c r="E1794" s="241"/>
      <c r="F1794" s="241"/>
      <c r="G1794" s="241"/>
      <c r="H1794" s="241"/>
      <c r="I1794"/>
      <c r="J1794" s="241"/>
      <c r="K1794" s="241"/>
      <c r="L1794" s="241"/>
      <c r="M1794" s="241"/>
      <c r="N1794" s="241"/>
      <c r="O1794" s="241"/>
      <c r="P1794" s="241"/>
      <c r="Q1794" s="241"/>
    </row>
    <row r="1795" spans="1:17" ht="13.5" customHeight="1" x14ac:dyDescent="0.3">
      <c r="A1795"/>
      <c r="B1795" s="241"/>
      <c r="C1795" s="241"/>
      <c r="D1795" s="241"/>
      <c r="E1795" s="241"/>
      <c r="F1795" s="241"/>
      <c r="G1795" s="241"/>
      <c r="H1795" s="241"/>
      <c r="I1795"/>
      <c r="J1795" s="241"/>
      <c r="K1795" s="241"/>
      <c r="L1795" s="241"/>
      <c r="M1795" s="241"/>
      <c r="N1795" s="241"/>
      <c r="O1795" s="241"/>
      <c r="P1795" s="241"/>
      <c r="Q1795" s="241"/>
    </row>
    <row r="1796" spans="1:17" ht="13.5" customHeight="1" x14ac:dyDescent="0.3">
      <c r="A1796"/>
      <c r="B1796" s="241"/>
      <c r="C1796" s="241"/>
      <c r="D1796" s="241"/>
      <c r="E1796" s="241"/>
      <c r="F1796" s="241"/>
      <c r="G1796" s="241"/>
      <c r="H1796" s="241"/>
      <c r="I1796"/>
      <c r="J1796" s="241"/>
      <c r="K1796" s="241"/>
      <c r="L1796" s="241"/>
      <c r="M1796" s="241"/>
      <c r="N1796" s="241"/>
      <c r="O1796" s="241"/>
      <c r="P1796" s="241"/>
      <c r="Q1796" s="241"/>
    </row>
    <row r="1797" spans="1:17" ht="13.5" customHeight="1" x14ac:dyDescent="0.3">
      <c r="A1797"/>
      <c r="B1797" s="241"/>
      <c r="C1797" s="241"/>
      <c r="D1797" s="241"/>
      <c r="E1797" s="241"/>
      <c r="F1797" s="241"/>
      <c r="G1797" s="241"/>
      <c r="H1797" s="241"/>
      <c r="I1797"/>
      <c r="J1797" s="241"/>
      <c r="K1797" s="241"/>
      <c r="L1797" s="241"/>
      <c r="M1797" s="241"/>
      <c r="N1797" s="241"/>
      <c r="O1797" s="241"/>
      <c r="P1797" s="241"/>
      <c r="Q1797" s="241"/>
    </row>
    <row r="1798" spans="1:17" ht="13.5" customHeight="1" x14ac:dyDescent="0.3">
      <c r="A1798"/>
      <c r="B1798" s="241"/>
      <c r="C1798" s="241"/>
      <c r="D1798" s="241"/>
      <c r="E1798" s="241"/>
      <c r="F1798" s="241"/>
      <c r="G1798" s="241"/>
      <c r="H1798" s="241"/>
      <c r="I1798"/>
      <c r="J1798" s="241"/>
      <c r="K1798" s="241"/>
      <c r="L1798" s="241"/>
      <c r="M1798" s="241"/>
      <c r="N1798" s="241"/>
      <c r="O1798" s="241"/>
      <c r="P1798" s="241"/>
      <c r="Q1798" s="241"/>
    </row>
    <row r="1799" spans="1:17" ht="13.5" customHeight="1" x14ac:dyDescent="0.3">
      <c r="A1799"/>
      <c r="B1799" s="241"/>
      <c r="C1799" s="241"/>
      <c r="D1799" s="241"/>
      <c r="E1799" s="241"/>
      <c r="F1799" s="241"/>
      <c r="G1799" s="241"/>
      <c r="H1799" s="241"/>
      <c r="I1799"/>
      <c r="J1799" s="241"/>
      <c r="K1799" s="241"/>
      <c r="L1799" s="241"/>
      <c r="M1799" s="241"/>
      <c r="N1799" s="241"/>
      <c r="O1799" s="241"/>
      <c r="P1799" s="241"/>
      <c r="Q1799" s="241"/>
    </row>
    <row r="1800" spans="1:17" ht="13.5" customHeight="1" x14ac:dyDescent="0.3">
      <c r="A1800"/>
      <c r="B1800" s="241"/>
      <c r="C1800" s="241"/>
      <c r="D1800" s="241"/>
      <c r="E1800" s="241"/>
      <c r="F1800" s="241"/>
      <c r="G1800" s="241"/>
      <c r="H1800" s="241"/>
      <c r="I1800"/>
      <c r="J1800" s="241"/>
      <c r="K1800" s="241"/>
      <c r="L1800" s="241"/>
      <c r="M1800" s="241"/>
      <c r="N1800" s="241"/>
      <c r="O1800" s="241"/>
      <c r="P1800" s="241"/>
      <c r="Q1800" s="241"/>
    </row>
    <row r="1801" spans="1:17" ht="13.5" customHeight="1" x14ac:dyDescent="0.3">
      <c r="A1801"/>
      <c r="B1801" s="241"/>
      <c r="C1801" s="241"/>
      <c r="D1801" s="241"/>
      <c r="E1801" s="241"/>
      <c r="F1801" s="241"/>
      <c r="G1801" s="241"/>
      <c r="H1801" s="241"/>
      <c r="I1801"/>
      <c r="J1801" s="241"/>
      <c r="K1801" s="241"/>
      <c r="L1801" s="241"/>
      <c r="M1801" s="241"/>
      <c r="N1801" s="241"/>
      <c r="O1801" s="241"/>
      <c r="P1801" s="241"/>
      <c r="Q1801" s="241"/>
    </row>
    <row r="1802" spans="1:17" ht="13.5" customHeight="1" x14ac:dyDescent="0.3">
      <c r="A1802"/>
      <c r="B1802" s="241"/>
      <c r="C1802" s="241"/>
      <c r="D1802" s="241"/>
      <c r="E1802" s="241"/>
      <c r="F1802" s="241"/>
      <c r="G1802" s="241"/>
      <c r="H1802" s="241"/>
      <c r="I1802"/>
      <c r="J1802" s="241"/>
      <c r="K1802" s="241"/>
      <c r="L1802" s="241"/>
      <c r="M1802" s="241"/>
      <c r="N1802" s="241"/>
      <c r="O1802" s="241"/>
      <c r="P1802" s="241"/>
      <c r="Q1802" s="241"/>
    </row>
    <row r="1803" spans="1:17" ht="13.5" customHeight="1" x14ac:dyDescent="0.3">
      <c r="A1803"/>
      <c r="B1803" s="241"/>
      <c r="C1803" s="241"/>
      <c r="D1803" s="241"/>
      <c r="E1803" s="241"/>
      <c r="F1803" s="241"/>
      <c r="G1803" s="241"/>
      <c r="H1803" s="241"/>
      <c r="I1803"/>
      <c r="J1803" s="241"/>
      <c r="K1803" s="241"/>
      <c r="L1803" s="241"/>
      <c r="M1803" s="241"/>
      <c r="N1803" s="241"/>
      <c r="O1803" s="241"/>
      <c r="P1803" s="241"/>
      <c r="Q1803" s="241"/>
    </row>
    <row r="1804" spans="1:17" ht="13.5" customHeight="1" x14ac:dyDescent="0.3">
      <c r="A1804"/>
      <c r="B1804" s="241"/>
      <c r="C1804" s="241"/>
      <c r="D1804" s="241"/>
      <c r="E1804" s="241"/>
      <c r="F1804" s="241"/>
      <c r="G1804" s="241"/>
      <c r="H1804" s="241"/>
      <c r="I1804"/>
      <c r="J1804" s="241"/>
      <c r="K1804" s="241"/>
      <c r="L1804" s="241"/>
      <c r="M1804" s="241"/>
      <c r="N1804" s="241"/>
      <c r="O1804" s="241"/>
      <c r="P1804" s="241"/>
      <c r="Q1804" s="241"/>
    </row>
    <row r="1805" spans="1:17" ht="13.5" customHeight="1" x14ac:dyDescent="0.3">
      <c r="A1805"/>
      <c r="B1805" s="241"/>
      <c r="C1805" s="241"/>
      <c r="D1805" s="241"/>
      <c r="E1805" s="241"/>
      <c r="F1805" s="241"/>
      <c r="G1805" s="241"/>
      <c r="H1805" s="241"/>
      <c r="I1805"/>
      <c r="J1805" s="241"/>
      <c r="K1805" s="241"/>
      <c r="L1805" s="241"/>
      <c r="M1805" s="241"/>
      <c r="N1805" s="241"/>
      <c r="O1805" s="241"/>
      <c r="P1805" s="241"/>
      <c r="Q1805" s="241"/>
    </row>
    <row r="1806" spans="1:17" ht="13.5" customHeight="1" x14ac:dyDescent="0.3">
      <c r="A1806"/>
      <c r="B1806" s="241"/>
      <c r="C1806" s="241"/>
      <c r="D1806" s="241"/>
      <c r="E1806" s="241"/>
      <c r="F1806" s="241"/>
      <c r="G1806" s="241"/>
      <c r="H1806" s="241"/>
      <c r="I1806"/>
      <c r="J1806" s="241"/>
      <c r="K1806" s="241"/>
      <c r="L1806" s="241"/>
      <c r="M1806" s="241"/>
      <c r="N1806" s="241"/>
      <c r="O1806" s="241"/>
      <c r="P1806" s="241"/>
      <c r="Q1806" s="241"/>
    </row>
    <row r="1807" spans="1:17" ht="13.5" customHeight="1" x14ac:dyDescent="0.3">
      <c r="A1807"/>
      <c r="B1807" s="241"/>
      <c r="C1807" s="241"/>
      <c r="D1807" s="241"/>
      <c r="E1807" s="241"/>
      <c r="F1807" s="241"/>
      <c r="G1807" s="241"/>
      <c r="H1807" s="241"/>
      <c r="I1807"/>
      <c r="J1807" s="241"/>
      <c r="K1807" s="241"/>
      <c r="L1807" s="241"/>
      <c r="M1807" s="241"/>
      <c r="N1807" s="241"/>
      <c r="O1807" s="241"/>
      <c r="P1807" s="241"/>
      <c r="Q1807" s="241"/>
    </row>
    <row r="1808" spans="1:17" ht="13.5" customHeight="1" x14ac:dyDescent="0.3">
      <c r="A1808"/>
      <c r="B1808" s="241"/>
      <c r="C1808" s="241"/>
      <c r="D1808" s="241"/>
      <c r="E1808" s="241"/>
      <c r="F1808" s="241"/>
      <c r="G1808" s="241"/>
      <c r="H1808" s="241"/>
      <c r="I1808"/>
      <c r="J1808" s="241"/>
      <c r="K1808" s="241"/>
      <c r="L1808" s="241"/>
      <c r="M1808" s="241"/>
      <c r="N1808" s="241"/>
      <c r="O1808" s="241"/>
      <c r="P1808" s="241"/>
      <c r="Q1808" s="241"/>
    </row>
    <row r="1809" spans="1:17" ht="13.5" customHeight="1" x14ac:dyDescent="0.3">
      <c r="A1809"/>
      <c r="B1809" s="241"/>
      <c r="C1809" s="241"/>
      <c r="D1809" s="241"/>
      <c r="E1809" s="241"/>
      <c r="F1809" s="241"/>
      <c r="G1809" s="241"/>
      <c r="H1809" s="241"/>
      <c r="I1809"/>
      <c r="J1809" s="241"/>
      <c r="K1809" s="241"/>
      <c r="L1809" s="241"/>
      <c r="M1809" s="241"/>
      <c r="N1809" s="241"/>
      <c r="O1809" s="241"/>
      <c r="P1809" s="241"/>
      <c r="Q1809" s="241"/>
    </row>
    <row r="1810" spans="1:17" ht="13.5" customHeight="1" x14ac:dyDescent="0.3">
      <c r="A1810"/>
      <c r="B1810" s="241"/>
      <c r="C1810" s="241"/>
      <c r="D1810" s="241"/>
      <c r="E1810" s="241"/>
      <c r="F1810" s="241"/>
      <c r="G1810" s="241"/>
      <c r="H1810" s="241"/>
      <c r="I1810"/>
      <c r="J1810" s="241"/>
      <c r="K1810" s="241"/>
      <c r="L1810" s="241"/>
      <c r="M1810" s="241"/>
      <c r="N1810" s="241"/>
      <c r="O1810" s="241"/>
      <c r="P1810" s="241"/>
      <c r="Q1810" s="241"/>
    </row>
    <row r="1811" spans="1:17" ht="13.5" customHeight="1" x14ac:dyDescent="0.3">
      <c r="A1811"/>
      <c r="B1811" s="241"/>
      <c r="C1811" s="241"/>
      <c r="D1811" s="241"/>
      <c r="E1811" s="241"/>
      <c r="F1811" s="241"/>
      <c r="G1811" s="241"/>
      <c r="H1811" s="241"/>
      <c r="I1811"/>
      <c r="J1811" s="241"/>
      <c r="K1811" s="241"/>
      <c r="L1811" s="241"/>
      <c r="M1811" s="241"/>
      <c r="N1811" s="241"/>
      <c r="O1811" s="241"/>
      <c r="P1811" s="241"/>
      <c r="Q1811" s="241"/>
    </row>
    <row r="1812" spans="1:17" ht="13.5" customHeight="1" x14ac:dyDescent="0.3">
      <c r="A1812"/>
      <c r="B1812" s="241"/>
      <c r="C1812" s="241"/>
      <c r="D1812" s="241"/>
      <c r="E1812" s="241"/>
      <c r="F1812" s="241"/>
      <c r="G1812" s="241"/>
      <c r="H1812" s="241"/>
      <c r="I1812"/>
      <c r="J1812" s="241"/>
      <c r="K1812" s="241"/>
      <c r="L1812" s="241"/>
      <c r="M1812" s="241"/>
      <c r="N1812" s="241"/>
      <c r="O1812" s="241"/>
      <c r="P1812" s="241"/>
      <c r="Q1812" s="241"/>
    </row>
    <row r="1813" spans="1:17" ht="13.5" customHeight="1" x14ac:dyDescent="0.3">
      <c r="A1813"/>
      <c r="B1813" s="241"/>
      <c r="C1813" s="241"/>
      <c r="D1813" s="241"/>
      <c r="E1813" s="241"/>
      <c r="F1813" s="241"/>
      <c r="G1813" s="241"/>
      <c r="H1813" s="241"/>
      <c r="I1813"/>
      <c r="J1813" s="241"/>
      <c r="K1813" s="241"/>
      <c r="L1813" s="241"/>
      <c r="M1813" s="241"/>
      <c r="N1813" s="241"/>
      <c r="O1813" s="241"/>
      <c r="P1813" s="241"/>
      <c r="Q1813" s="241"/>
    </row>
    <row r="1814" spans="1:17" ht="13.5" customHeight="1" x14ac:dyDescent="0.3">
      <c r="A1814"/>
      <c r="B1814" s="241"/>
      <c r="C1814" s="241"/>
      <c r="D1814" s="241"/>
      <c r="E1814" s="241"/>
      <c r="F1814" s="241"/>
      <c r="G1814" s="241"/>
      <c r="H1814" s="241"/>
      <c r="I1814"/>
      <c r="J1814" s="241"/>
      <c r="K1814" s="241"/>
      <c r="L1814" s="241"/>
      <c r="M1814" s="241"/>
      <c r="N1814" s="241"/>
      <c r="O1814" s="241"/>
      <c r="P1814" s="241"/>
      <c r="Q1814" s="241"/>
    </row>
    <row r="1815" spans="1:17" ht="13.5" customHeight="1" x14ac:dyDescent="0.3">
      <c r="A1815"/>
      <c r="B1815" s="241"/>
      <c r="C1815" s="241"/>
      <c r="D1815" s="241"/>
      <c r="E1815" s="241"/>
      <c r="F1815" s="241"/>
      <c r="G1815" s="241"/>
      <c r="H1815" s="241"/>
      <c r="I1815"/>
      <c r="J1815" s="241"/>
      <c r="K1815" s="241"/>
      <c r="L1815" s="241"/>
      <c r="M1815" s="241"/>
      <c r="N1815" s="241"/>
      <c r="O1815" s="241"/>
      <c r="P1815" s="241"/>
      <c r="Q1815" s="241"/>
    </row>
    <row r="1816" spans="1:17" ht="13.5" customHeight="1" x14ac:dyDescent="0.3">
      <c r="A1816"/>
      <c r="B1816" s="241"/>
      <c r="C1816" s="241"/>
      <c r="D1816" s="241"/>
      <c r="E1816" s="241"/>
      <c r="F1816" s="241"/>
      <c r="G1816" s="241"/>
      <c r="H1816" s="241"/>
      <c r="I1816"/>
      <c r="J1816" s="241"/>
      <c r="K1816" s="241"/>
      <c r="L1816" s="241"/>
      <c r="M1816" s="241"/>
      <c r="N1816" s="241"/>
      <c r="O1816" s="241"/>
      <c r="P1816" s="241"/>
      <c r="Q1816" s="241"/>
    </row>
    <row r="1817" spans="1:17" ht="13.5" customHeight="1" x14ac:dyDescent="0.3">
      <c r="A1817"/>
      <c r="B1817" s="241"/>
      <c r="C1817" s="241"/>
      <c r="D1817" s="241"/>
      <c r="E1817" s="241"/>
      <c r="F1817" s="241"/>
      <c r="G1817" s="241"/>
      <c r="H1817" s="241"/>
      <c r="I1817"/>
      <c r="J1817" s="241"/>
      <c r="K1817" s="241"/>
      <c r="L1817" s="241"/>
      <c r="M1817" s="241"/>
      <c r="N1817" s="241"/>
      <c r="O1817" s="241"/>
      <c r="P1817" s="241"/>
      <c r="Q1817" s="241"/>
    </row>
    <row r="1818" spans="1:17" ht="13.5" customHeight="1" x14ac:dyDescent="0.3">
      <c r="A1818"/>
      <c r="B1818" s="241"/>
      <c r="C1818" s="241"/>
      <c r="D1818" s="241"/>
      <c r="E1818" s="241"/>
      <c r="F1818" s="241"/>
      <c r="G1818" s="241"/>
      <c r="H1818" s="241"/>
      <c r="I1818"/>
      <c r="J1818" s="241"/>
      <c r="K1818" s="241"/>
      <c r="L1818" s="241"/>
      <c r="M1818" s="241"/>
      <c r="N1818" s="241"/>
      <c r="O1818" s="241"/>
      <c r="P1818" s="241"/>
      <c r="Q1818" s="241"/>
    </row>
    <row r="1819" spans="1:17" ht="13.5" customHeight="1" x14ac:dyDescent="0.3">
      <c r="A1819"/>
      <c r="B1819" s="241"/>
      <c r="C1819" s="241"/>
      <c r="D1819" s="241"/>
      <c r="E1819" s="241"/>
      <c r="F1819" s="241"/>
      <c r="G1819" s="241"/>
      <c r="H1819" s="241"/>
      <c r="I1819"/>
      <c r="J1819" s="241"/>
      <c r="K1819" s="241"/>
      <c r="L1819" s="241"/>
      <c r="M1819" s="241"/>
      <c r="N1819" s="241"/>
      <c r="O1819" s="241"/>
      <c r="P1819" s="241"/>
      <c r="Q1819" s="241"/>
    </row>
    <row r="1820" spans="1:17" ht="13.5" customHeight="1" x14ac:dyDescent="0.3">
      <c r="A1820"/>
      <c r="B1820" s="241"/>
      <c r="C1820" s="241"/>
      <c r="D1820" s="241"/>
      <c r="E1820" s="241"/>
      <c r="F1820" s="241"/>
      <c r="G1820" s="241"/>
      <c r="H1820" s="241"/>
      <c r="I1820"/>
      <c r="J1820" s="241"/>
      <c r="K1820" s="241"/>
      <c r="L1820" s="241"/>
      <c r="M1820" s="241"/>
      <c r="N1820" s="241"/>
      <c r="O1820" s="241"/>
      <c r="P1820" s="241"/>
      <c r="Q1820" s="241"/>
    </row>
    <row r="1821" spans="1:17" ht="13.5" customHeight="1" x14ac:dyDescent="0.3">
      <c r="A1821"/>
      <c r="B1821" s="241"/>
      <c r="C1821" s="241"/>
      <c r="D1821" s="241"/>
      <c r="E1821" s="241"/>
      <c r="F1821" s="241"/>
      <c r="G1821" s="241"/>
      <c r="H1821" s="241"/>
      <c r="I1821"/>
      <c r="J1821" s="241"/>
      <c r="K1821" s="241"/>
      <c r="L1821" s="241"/>
      <c r="M1821" s="241"/>
      <c r="N1821" s="241"/>
      <c r="O1821" s="241"/>
      <c r="P1821" s="241"/>
      <c r="Q1821" s="241"/>
    </row>
    <row r="1822" spans="1:17" ht="13.5" customHeight="1" x14ac:dyDescent="0.3">
      <c r="A1822"/>
      <c r="B1822" s="241"/>
      <c r="C1822" s="241"/>
      <c r="D1822" s="241"/>
      <c r="E1822" s="241"/>
      <c r="F1822" s="241"/>
      <c r="G1822" s="241"/>
      <c r="H1822" s="241"/>
      <c r="I1822"/>
      <c r="J1822" s="241"/>
      <c r="K1822" s="241"/>
      <c r="L1822" s="241"/>
      <c r="M1822" s="241"/>
      <c r="N1822" s="241"/>
      <c r="O1822" s="241"/>
      <c r="P1822" s="241"/>
      <c r="Q1822" s="241"/>
    </row>
    <row r="1823" spans="1:17" ht="13.5" customHeight="1" x14ac:dyDescent="0.3">
      <c r="A1823"/>
      <c r="B1823" s="241"/>
      <c r="C1823" s="241"/>
      <c r="D1823" s="241"/>
      <c r="E1823" s="241"/>
      <c r="F1823" s="241"/>
      <c r="G1823" s="241"/>
      <c r="H1823" s="241"/>
      <c r="I1823"/>
      <c r="J1823" s="241"/>
      <c r="K1823" s="241"/>
      <c r="L1823" s="241"/>
      <c r="M1823" s="241"/>
      <c r="N1823" s="241"/>
      <c r="O1823" s="241"/>
      <c r="P1823" s="241"/>
      <c r="Q1823" s="241"/>
    </row>
    <row r="1824" spans="1:17" ht="13.5" customHeight="1" x14ac:dyDescent="0.3">
      <c r="A1824"/>
      <c r="B1824" s="241"/>
      <c r="C1824" s="241"/>
      <c r="D1824" s="241"/>
      <c r="E1824" s="241"/>
      <c r="F1824" s="241"/>
      <c r="G1824" s="241"/>
      <c r="H1824" s="241"/>
      <c r="I1824"/>
      <c r="J1824" s="241"/>
      <c r="K1824" s="241"/>
      <c r="L1824" s="241"/>
      <c r="M1824" s="241"/>
      <c r="N1824" s="241"/>
      <c r="O1824" s="241"/>
      <c r="P1824" s="241"/>
      <c r="Q1824" s="241"/>
    </row>
    <row r="1825" spans="1:17" ht="13.5" customHeight="1" x14ac:dyDescent="0.3">
      <c r="A1825"/>
      <c r="B1825" s="241"/>
      <c r="C1825" s="241"/>
      <c r="D1825" s="241"/>
      <c r="E1825" s="241"/>
      <c r="F1825" s="241"/>
      <c r="G1825" s="241"/>
      <c r="H1825" s="241"/>
      <c r="I1825"/>
      <c r="J1825" s="241"/>
      <c r="K1825" s="241"/>
      <c r="L1825" s="241"/>
      <c r="M1825" s="241"/>
      <c r="N1825" s="241"/>
      <c r="O1825" s="241"/>
      <c r="P1825" s="241"/>
      <c r="Q1825" s="241"/>
    </row>
    <row r="1826" spans="1:17" ht="13.5" customHeight="1" x14ac:dyDescent="0.3">
      <c r="A1826"/>
      <c r="B1826" s="241"/>
      <c r="C1826" s="241"/>
      <c r="D1826" s="241"/>
      <c r="E1826" s="241"/>
      <c r="F1826" s="241"/>
      <c r="G1826" s="241"/>
      <c r="H1826" s="241"/>
      <c r="I1826"/>
      <c r="J1826" s="241"/>
      <c r="K1826" s="241"/>
      <c r="L1826" s="241"/>
      <c r="M1826" s="241"/>
      <c r="N1826" s="241"/>
      <c r="O1826" s="241"/>
      <c r="P1826" s="241"/>
      <c r="Q1826" s="241"/>
    </row>
    <row r="1827" spans="1:17" ht="13.5" customHeight="1" x14ac:dyDescent="0.3">
      <c r="A1827"/>
      <c r="B1827" s="241"/>
      <c r="C1827" s="241"/>
      <c r="D1827" s="241"/>
      <c r="E1827" s="241"/>
      <c r="F1827" s="241"/>
      <c r="G1827" s="241"/>
      <c r="H1827" s="241"/>
      <c r="I1827"/>
      <c r="J1827" s="241"/>
      <c r="K1827" s="241"/>
      <c r="L1827" s="241"/>
      <c r="M1827" s="241"/>
      <c r="N1827" s="241"/>
      <c r="O1827" s="241"/>
      <c r="P1827" s="241"/>
      <c r="Q1827" s="241"/>
    </row>
    <row r="1828" spans="1:17" ht="13.5" customHeight="1" x14ac:dyDescent="0.3">
      <c r="A1828"/>
      <c r="B1828" s="241"/>
      <c r="C1828" s="241"/>
      <c r="D1828" s="241"/>
      <c r="E1828" s="241"/>
      <c r="F1828" s="241"/>
      <c r="G1828" s="241"/>
      <c r="H1828" s="241"/>
      <c r="I1828"/>
      <c r="J1828" s="241"/>
      <c r="K1828" s="241"/>
      <c r="L1828" s="241"/>
      <c r="M1828" s="241"/>
      <c r="N1828" s="241"/>
      <c r="O1828" s="241"/>
      <c r="P1828" s="241"/>
      <c r="Q1828" s="241"/>
    </row>
    <row r="1829" spans="1:17" ht="13.5" customHeight="1" x14ac:dyDescent="0.3">
      <c r="A1829"/>
      <c r="B1829" s="241"/>
      <c r="C1829" s="241"/>
      <c r="D1829" s="241"/>
      <c r="E1829" s="241"/>
      <c r="F1829" s="241"/>
      <c r="G1829" s="241"/>
      <c r="H1829" s="241"/>
      <c r="I1829"/>
      <c r="J1829" s="241"/>
      <c r="K1829" s="241"/>
      <c r="L1829" s="241"/>
      <c r="M1829" s="241"/>
      <c r="N1829" s="241"/>
      <c r="O1829" s="241"/>
      <c r="P1829" s="241"/>
      <c r="Q1829" s="241"/>
    </row>
    <row r="1830" spans="1:17" ht="13.5" customHeight="1" x14ac:dyDescent="0.3">
      <c r="A1830"/>
      <c r="B1830" s="241"/>
      <c r="C1830" s="241"/>
      <c r="D1830" s="241"/>
      <c r="E1830" s="241"/>
      <c r="F1830" s="241"/>
      <c r="G1830" s="241"/>
      <c r="H1830" s="241"/>
      <c r="I1830"/>
      <c r="J1830" s="241"/>
      <c r="K1830" s="241"/>
      <c r="L1830" s="241"/>
      <c r="M1830" s="241"/>
      <c r="N1830" s="241"/>
      <c r="O1830" s="241"/>
      <c r="P1830" s="241"/>
      <c r="Q1830" s="241"/>
    </row>
    <row r="1831" spans="1:17" ht="13.5" customHeight="1" x14ac:dyDescent="0.3">
      <c r="A1831"/>
      <c r="B1831" s="241"/>
      <c r="C1831" s="241"/>
      <c r="D1831" s="241"/>
      <c r="E1831" s="241"/>
      <c r="F1831" s="241"/>
      <c r="G1831" s="241"/>
      <c r="H1831" s="241"/>
      <c r="I1831"/>
      <c r="J1831" s="241"/>
      <c r="K1831" s="241"/>
      <c r="L1831" s="241"/>
      <c r="M1831" s="241"/>
      <c r="N1831" s="241"/>
      <c r="O1831" s="241"/>
      <c r="P1831" s="241"/>
      <c r="Q1831" s="241"/>
    </row>
    <row r="1832" spans="1:17" ht="13.5" customHeight="1" x14ac:dyDescent="0.3">
      <c r="A1832"/>
      <c r="B1832" s="241"/>
      <c r="C1832" s="241"/>
      <c r="D1832" s="241"/>
      <c r="E1832" s="241"/>
      <c r="F1832" s="241"/>
      <c r="G1832" s="241"/>
      <c r="H1832" s="241"/>
      <c r="I1832"/>
      <c r="J1832" s="241"/>
      <c r="K1832" s="241"/>
      <c r="L1832" s="241"/>
      <c r="M1832" s="241"/>
      <c r="N1832" s="241"/>
      <c r="O1832" s="241"/>
      <c r="P1832" s="241"/>
      <c r="Q1832" s="241"/>
    </row>
    <row r="1833" spans="1:17" ht="13.5" customHeight="1" x14ac:dyDescent="0.3">
      <c r="A1833"/>
      <c r="B1833" s="241"/>
      <c r="C1833" s="241"/>
      <c r="D1833" s="241"/>
      <c r="E1833" s="241"/>
      <c r="F1833" s="241"/>
      <c r="G1833" s="241"/>
      <c r="H1833" s="241"/>
      <c r="I1833"/>
      <c r="J1833" s="241"/>
      <c r="K1833" s="241"/>
      <c r="L1833" s="241"/>
      <c r="M1833" s="241"/>
      <c r="N1833" s="241"/>
      <c r="O1833" s="241"/>
      <c r="P1833" s="241"/>
      <c r="Q1833" s="241"/>
    </row>
    <row r="1834" spans="1:17" ht="13.5" customHeight="1" x14ac:dyDescent="0.3">
      <c r="A1834"/>
      <c r="B1834" s="241"/>
      <c r="C1834" s="241"/>
      <c r="D1834" s="241"/>
      <c r="E1834" s="241"/>
      <c r="F1834" s="241"/>
      <c r="G1834" s="241"/>
      <c r="H1834" s="241"/>
      <c r="I1834"/>
      <c r="J1834" s="241"/>
      <c r="K1834" s="241"/>
      <c r="L1834" s="241"/>
      <c r="M1834" s="241"/>
      <c r="N1834" s="241"/>
      <c r="O1834" s="241"/>
      <c r="P1834" s="241"/>
      <c r="Q1834" s="241"/>
    </row>
    <row r="1835" spans="1:17" ht="13.5" customHeight="1" x14ac:dyDescent="0.3">
      <c r="A1835"/>
      <c r="B1835" s="241"/>
      <c r="C1835" s="241"/>
      <c r="D1835" s="241"/>
      <c r="E1835" s="241"/>
      <c r="F1835" s="241"/>
      <c r="G1835" s="241"/>
      <c r="H1835" s="241"/>
      <c r="I1835"/>
      <c r="J1835" s="241"/>
      <c r="K1835" s="241"/>
      <c r="L1835" s="241"/>
      <c r="M1835" s="241"/>
      <c r="N1835" s="241"/>
      <c r="O1835" s="241"/>
      <c r="P1835" s="241"/>
      <c r="Q1835" s="241"/>
    </row>
    <row r="1836" spans="1:17" ht="13.5" customHeight="1" x14ac:dyDescent="0.3">
      <c r="A1836"/>
      <c r="B1836" s="241"/>
      <c r="C1836" s="241"/>
      <c r="D1836" s="241"/>
      <c r="E1836" s="241"/>
      <c r="F1836" s="241"/>
      <c r="G1836" s="241"/>
      <c r="H1836" s="241"/>
      <c r="I1836"/>
      <c r="J1836" s="241"/>
      <c r="K1836" s="241"/>
      <c r="L1836" s="241"/>
      <c r="M1836" s="241"/>
      <c r="N1836" s="241"/>
      <c r="O1836" s="241"/>
      <c r="P1836" s="241"/>
      <c r="Q1836" s="241"/>
    </row>
    <row r="1837" spans="1:17" ht="13.5" customHeight="1" x14ac:dyDescent="0.3">
      <c r="A1837"/>
      <c r="B1837" s="241"/>
      <c r="C1837" s="241"/>
      <c r="D1837" s="241"/>
      <c r="E1837" s="241"/>
      <c r="F1837" s="241"/>
      <c r="G1837" s="241"/>
      <c r="H1837" s="241"/>
      <c r="I1837"/>
      <c r="J1837" s="241"/>
      <c r="K1837" s="241"/>
      <c r="L1837" s="241"/>
      <c r="M1837" s="241"/>
      <c r="N1837" s="241"/>
      <c r="O1837" s="241"/>
      <c r="P1837" s="241"/>
      <c r="Q1837" s="241"/>
    </row>
    <row r="1838" spans="1:17" ht="13.5" customHeight="1" x14ac:dyDescent="0.3">
      <c r="A1838"/>
      <c r="B1838" s="241"/>
      <c r="C1838" s="241"/>
      <c r="D1838" s="241"/>
      <c r="E1838" s="241"/>
      <c r="F1838" s="241"/>
      <c r="G1838" s="241"/>
      <c r="H1838" s="241"/>
      <c r="I1838"/>
      <c r="J1838" s="241"/>
      <c r="K1838" s="241"/>
      <c r="L1838" s="241"/>
      <c r="M1838" s="241"/>
      <c r="N1838" s="241"/>
      <c r="O1838" s="241"/>
      <c r="P1838" s="241"/>
      <c r="Q1838" s="241"/>
    </row>
    <row r="1839" spans="1:17" ht="13.5" customHeight="1" x14ac:dyDescent="0.3">
      <c r="A1839"/>
      <c r="B1839" s="241"/>
      <c r="C1839" s="241"/>
      <c r="D1839" s="241"/>
      <c r="E1839" s="241"/>
      <c r="F1839" s="241"/>
      <c r="G1839" s="241"/>
      <c r="H1839" s="241"/>
      <c r="I1839"/>
      <c r="J1839" s="241"/>
      <c r="K1839" s="241"/>
      <c r="L1839" s="241"/>
      <c r="M1839" s="241"/>
      <c r="N1839" s="241"/>
      <c r="O1839" s="241"/>
      <c r="P1839" s="241"/>
      <c r="Q1839" s="241"/>
    </row>
    <row r="1840" spans="1:17" ht="13.5" customHeight="1" x14ac:dyDescent="0.3">
      <c r="A1840"/>
      <c r="B1840" s="241"/>
      <c r="C1840" s="241"/>
      <c r="D1840" s="241"/>
      <c r="E1840" s="241"/>
      <c r="F1840" s="241"/>
      <c r="G1840" s="241"/>
      <c r="H1840" s="241"/>
      <c r="I1840"/>
      <c r="J1840" s="241"/>
      <c r="K1840" s="241"/>
      <c r="L1840" s="241"/>
      <c r="M1840" s="241"/>
      <c r="N1840" s="241"/>
      <c r="O1840" s="241"/>
      <c r="P1840" s="241"/>
      <c r="Q1840" s="241"/>
    </row>
    <row r="1841" spans="1:17" ht="13.5" customHeight="1" x14ac:dyDescent="0.3">
      <c r="A1841"/>
      <c r="B1841" s="241"/>
      <c r="C1841" s="241"/>
      <c r="D1841" s="241"/>
      <c r="E1841" s="241"/>
      <c r="F1841" s="241"/>
      <c r="G1841" s="241"/>
      <c r="H1841" s="241"/>
      <c r="I1841"/>
      <c r="J1841" s="241"/>
      <c r="K1841" s="241"/>
      <c r="L1841" s="241"/>
      <c r="M1841" s="241"/>
      <c r="N1841" s="241"/>
      <c r="O1841" s="241"/>
      <c r="P1841" s="241"/>
      <c r="Q1841" s="241"/>
    </row>
    <row r="1842" spans="1:17" ht="13.5" customHeight="1" x14ac:dyDescent="0.3">
      <c r="A1842"/>
      <c r="B1842" s="241"/>
      <c r="C1842" s="241"/>
      <c r="D1842" s="241"/>
      <c r="E1842" s="241"/>
      <c r="F1842" s="241"/>
      <c r="G1842" s="241"/>
      <c r="H1842" s="241"/>
      <c r="I1842"/>
      <c r="J1842" s="241"/>
      <c r="K1842" s="241"/>
      <c r="L1842" s="241"/>
      <c r="M1842" s="241"/>
      <c r="N1842" s="241"/>
      <c r="O1842" s="241"/>
      <c r="P1842" s="241"/>
      <c r="Q1842" s="241"/>
    </row>
    <row r="1843" spans="1:17" ht="13.5" customHeight="1" x14ac:dyDescent="0.3">
      <c r="A1843"/>
      <c r="B1843" s="241"/>
      <c r="C1843" s="241"/>
      <c r="D1843" s="241"/>
      <c r="E1843" s="241"/>
      <c r="F1843" s="241"/>
      <c r="G1843" s="241"/>
      <c r="H1843" s="241"/>
      <c r="I1843"/>
      <c r="J1843" s="241"/>
      <c r="K1843" s="241"/>
      <c r="L1843" s="241"/>
      <c r="M1843" s="241"/>
      <c r="N1843" s="241"/>
      <c r="O1843" s="241"/>
      <c r="P1843" s="241"/>
      <c r="Q1843" s="241"/>
    </row>
    <row r="1844" spans="1:17" ht="13.5" customHeight="1" x14ac:dyDescent="0.3">
      <c r="A1844"/>
      <c r="B1844" s="241"/>
      <c r="C1844" s="241"/>
      <c r="D1844" s="241"/>
      <c r="E1844" s="241"/>
      <c r="F1844" s="241"/>
      <c r="G1844" s="241"/>
      <c r="H1844" s="241"/>
      <c r="I1844"/>
      <c r="J1844" s="241"/>
      <c r="K1844" s="241"/>
      <c r="L1844" s="241"/>
      <c r="M1844" s="241"/>
      <c r="N1844" s="241"/>
      <c r="O1844" s="241"/>
      <c r="P1844" s="241"/>
      <c r="Q1844" s="241"/>
    </row>
    <row r="1845" spans="1:17" ht="13.5" customHeight="1" x14ac:dyDescent="0.3">
      <c r="A1845"/>
      <c r="B1845" s="241"/>
      <c r="C1845" s="241"/>
      <c r="D1845" s="241"/>
      <c r="E1845" s="241"/>
      <c r="F1845" s="241"/>
      <c r="G1845" s="241"/>
      <c r="H1845" s="241"/>
      <c r="I1845"/>
      <c r="J1845" s="241"/>
      <c r="K1845" s="241"/>
      <c r="L1845" s="241"/>
      <c r="M1845" s="241"/>
      <c r="N1845" s="241"/>
      <c r="O1845" s="241"/>
      <c r="P1845" s="241"/>
      <c r="Q1845" s="241"/>
    </row>
    <row r="1846" spans="1:17" ht="13.5" customHeight="1" x14ac:dyDescent="0.3">
      <c r="A1846"/>
      <c r="B1846" s="241"/>
      <c r="C1846" s="241"/>
      <c r="D1846" s="241"/>
      <c r="E1846" s="241"/>
      <c r="F1846" s="241"/>
      <c r="G1846" s="241"/>
      <c r="H1846" s="241"/>
      <c r="I1846"/>
      <c r="J1846" s="241"/>
      <c r="K1846" s="241"/>
      <c r="L1846" s="241"/>
      <c r="M1846" s="241"/>
      <c r="N1846" s="241"/>
      <c r="O1846" s="241"/>
      <c r="P1846" s="241"/>
      <c r="Q1846" s="241"/>
    </row>
    <row r="1847" spans="1:17" ht="13.5" customHeight="1" x14ac:dyDescent="0.3">
      <c r="A1847"/>
      <c r="B1847" s="241"/>
      <c r="C1847" s="241"/>
      <c r="D1847" s="241"/>
      <c r="E1847" s="241"/>
      <c r="F1847" s="241"/>
      <c r="G1847" s="241"/>
      <c r="H1847" s="241"/>
      <c r="I1847"/>
      <c r="J1847" s="241"/>
      <c r="K1847" s="241"/>
      <c r="L1847" s="241"/>
      <c r="M1847" s="241"/>
      <c r="N1847" s="241"/>
      <c r="O1847" s="241"/>
      <c r="P1847" s="241"/>
      <c r="Q1847" s="241"/>
    </row>
    <row r="1848" spans="1:17" ht="13.5" customHeight="1" x14ac:dyDescent="0.3">
      <c r="A1848"/>
      <c r="B1848" s="241"/>
      <c r="C1848" s="241"/>
      <c r="D1848" s="241"/>
      <c r="E1848" s="241"/>
      <c r="F1848" s="241"/>
      <c r="G1848" s="241"/>
      <c r="H1848" s="241"/>
      <c r="I1848"/>
      <c r="J1848" s="241"/>
      <c r="K1848" s="241"/>
      <c r="L1848" s="241"/>
      <c r="M1848" s="241"/>
      <c r="N1848" s="241"/>
      <c r="O1848" s="241"/>
      <c r="P1848" s="241"/>
      <c r="Q1848" s="241"/>
    </row>
    <row r="1849" spans="1:17" ht="13.5" customHeight="1" x14ac:dyDescent="0.3">
      <c r="A1849"/>
      <c r="B1849" s="241"/>
      <c r="C1849" s="241"/>
      <c r="D1849" s="241"/>
      <c r="E1849" s="241"/>
      <c r="F1849" s="241"/>
      <c r="G1849" s="241"/>
      <c r="H1849" s="241"/>
      <c r="I1849"/>
      <c r="J1849" s="241"/>
      <c r="K1849" s="241"/>
      <c r="L1849" s="241"/>
      <c r="M1849" s="241"/>
      <c r="N1849" s="241"/>
      <c r="O1849" s="241"/>
      <c r="P1849" s="241"/>
      <c r="Q1849" s="241"/>
    </row>
    <row r="1850" spans="1:17" ht="13.5" customHeight="1" x14ac:dyDescent="0.3">
      <c r="A1850"/>
      <c r="B1850" s="241"/>
      <c r="C1850" s="241"/>
      <c r="D1850" s="241"/>
      <c r="E1850" s="241"/>
      <c r="F1850" s="241"/>
      <c r="G1850" s="241"/>
      <c r="H1850" s="241"/>
      <c r="I1850"/>
      <c r="J1850" s="241"/>
      <c r="K1850" s="241"/>
      <c r="L1850" s="241"/>
      <c r="M1850" s="241"/>
      <c r="N1850" s="241"/>
      <c r="O1850" s="241"/>
      <c r="P1850" s="241"/>
      <c r="Q1850" s="241"/>
    </row>
    <row r="1851" spans="1:17" ht="13.5" customHeight="1" x14ac:dyDescent="0.3">
      <c r="A1851"/>
      <c r="B1851" s="241"/>
      <c r="C1851" s="241"/>
      <c r="D1851" s="241"/>
      <c r="E1851" s="241"/>
      <c r="F1851" s="241"/>
      <c r="G1851" s="241"/>
      <c r="H1851" s="241"/>
      <c r="I1851"/>
      <c r="J1851" s="241"/>
      <c r="K1851" s="241"/>
      <c r="L1851" s="241"/>
      <c r="M1851" s="241"/>
      <c r="N1851" s="241"/>
      <c r="O1851" s="241"/>
      <c r="P1851" s="241"/>
      <c r="Q1851" s="241"/>
    </row>
    <row r="1852" spans="1:17" ht="13.5" customHeight="1" x14ac:dyDescent="0.3">
      <c r="A1852"/>
      <c r="B1852" s="241"/>
      <c r="C1852" s="241"/>
      <c r="D1852" s="241"/>
      <c r="E1852" s="241"/>
      <c r="F1852" s="241"/>
      <c r="G1852" s="241"/>
      <c r="H1852" s="241"/>
      <c r="I1852"/>
      <c r="J1852" s="241"/>
      <c r="K1852" s="241"/>
      <c r="L1852" s="241"/>
      <c r="M1852" s="241"/>
      <c r="N1852" s="241"/>
      <c r="O1852" s="241"/>
      <c r="P1852" s="241"/>
      <c r="Q1852" s="241"/>
    </row>
    <row r="1853" spans="1:17" ht="13.5" customHeight="1" x14ac:dyDescent="0.3">
      <c r="A1853"/>
      <c r="B1853" s="241"/>
      <c r="C1853" s="241"/>
      <c r="D1853" s="241"/>
      <c r="E1853" s="241"/>
      <c r="F1853" s="241"/>
      <c r="G1853" s="241"/>
      <c r="H1853" s="241"/>
      <c r="I1853"/>
      <c r="J1853" s="241"/>
      <c r="K1853" s="241"/>
      <c r="L1853" s="241"/>
      <c r="M1853" s="241"/>
      <c r="N1853" s="241"/>
      <c r="O1853" s="241"/>
      <c r="P1853" s="241"/>
      <c r="Q1853" s="241"/>
    </row>
    <row r="1854" spans="1:17" ht="13.5" customHeight="1" x14ac:dyDescent="0.3">
      <c r="A1854"/>
      <c r="B1854" s="241"/>
      <c r="C1854" s="241"/>
      <c r="D1854" s="241"/>
      <c r="E1854" s="241"/>
      <c r="F1854" s="241"/>
      <c r="G1854" s="241"/>
      <c r="H1854" s="241"/>
      <c r="I1854"/>
      <c r="J1854" s="241"/>
      <c r="K1854" s="241"/>
      <c r="L1854" s="241"/>
      <c r="M1854" s="241"/>
      <c r="N1854" s="241"/>
      <c r="O1854" s="241"/>
      <c r="P1854" s="241"/>
      <c r="Q1854" s="241"/>
    </row>
    <row r="1855" spans="1:17" ht="13.5" customHeight="1" x14ac:dyDescent="0.3">
      <c r="A1855"/>
      <c r="B1855" s="241"/>
      <c r="C1855" s="241"/>
      <c r="D1855" s="241"/>
      <c r="E1855" s="241"/>
      <c r="F1855" s="241"/>
      <c r="G1855" s="241"/>
      <c r="H1855" s="241"/>
      <c r="I1855"/>
      <c r="J1855" s="241"/>
      <c r="K1855" s="241"/>
      <c r="L1855" s="241"/>
      <c r="M1855" s="241"/>
      <c r="N1855" s="241"/>
      <c r="O1855" s="241"/>
      <c r="P1855" s="241"/>
      <c r="Q1855" s="241"/>
    </row>
    <row r="1856" spans="1:17" ht="13.5" customHeight="1" x14ac:dyDescent="0.3">
      <c r="A1856"/>
      <c r="B1856" s="241"/>
      <c r="C1856" s="241"/>
      <c r="D1856" s="241"/>
      <c r="E1856" s="241"/>
      <c r="F1856" s="241"/>
      <c r="G1856" s="241"/>
      <c r="H1856" s="241"/>
      <c r="I1856"/>
      <c r="J1856" s="241"/>
      <c r="K1856" s="241"/>
      <c r="L1856" s="241"/>
      <c r="M1856" s="241"/>
      <c r="N1856" s="241"/>
      <c r="O1856" s="241"/>
      <c r="P1856" s="241"/>
      <c r="Q1856" s="241"/>
    </row>
    <row r="1857" spans="1:17" ht="13.5" customHeight="1" x14ac:dyDescent="0.3">
      <c r="A1857"/>
      <c r="B1857" s="241"/>
      <c r="C1857" s="241"/>
      <c r="D1857" s="241"/>
      <c r="E1857" s="241"/>
      <c r="F1857" s="241"/>
      <c r="G1857" s="241"/>
      <c r="H1857" s="241"/>
      <c r="I1857"/>
      <c r="J1857" s="241"/>
      <c r="K1857" s="241"/>
      <c r="L1857" s="241"/>
      <c r="M1857" s="241"/>
      <c r="N1857" s="241"/>
      <c r="O1857" s="241"/>
      <c r="P1857" s="241"/>
      <c r="Q1857" s="241"/>
    </row>
    <row r="1858" spans="1:17" ht="13.5" customHeight="1" x14ac:dyDescent="0.3">
      <c r="A1858"/>
      <c r="B1858" s="241"/>
      <c r="C1858" s="241"/>
      <c r="D1858" s="241"/>
      <c r="E1858" s="241"/>
      <c r="F1858" s="241"/>
      <c r="G1858" s="241"/>
      <c r="H1858" s="241"/>
      <c r="I1858"/>
      <c r="J1858" s="241"/>
      <c r="K1858" s="241"/>
      <c r="L1858" s="241"/>
      <c r="M1858" s="241"/>
      <c r="N1858" s="241"/>
      <c r="O1858" s="241"/>
      <c r="P1858" s="241"/>
      <c r="Q1858" s="241"/>
    </row>
    <row r="1859" spans="1:17" ht="13.5" customHeight="1" x14ac:dyDescent="0.3">
      <c r="A1859"/>
      <c r="B1859" s="241"/>
      <c r="C1859" s="241"/>
      <c r="D1859" s="241"/>
      <c r="E1859" s="241"/>
      <c r="F1859" s="241"/>
      <c r="G1859" s="241"/>
      <c r="H1859" s="241"/>
      <c r="I1859"/>
      <c r="J1859" s="241"/>
      <c r="K1859" s="241"/>
      <c r="L1859" s="241"/>
      <c r="M1859" s="241"/>
      <c r="N1859" s="241"/>
      <c r="O1859" s="241"/>
      <c r="P1859" s="241"/>
      <c r="Q1859" s="241"/>
    </row>
    <row r="1860" spans="1:17" ht="13.5" customHeight="1" x14ac:dyDescent="0.3">
      <c r="A1860"/>
      <c r="B1860" s="241"/>
      <c r="C1860" s="241"/>
      <c r="D1860" s="241"/>
      <c r="E1860" s="241"/>
      <c r="F1860" s="241"/>
      <c r="G1860" s="241"/>
      <c r="H1860" s="241"/>
      <c r="I1860"/>
      <c r="J1860" s="241"/>
      <c r="K1860" s="241"/>
      <c r="L1860" s="241"/>
      <c r="M1860" s="241"/>
      <c r="N1860" s="241"/>
      <c r="O1860" s="241"/>
      <c r="P1860" s="241"/>
      <c r="Q1860" s="241"/>
    </row>
    <row r="1861" spans="1:17" ht="13.5" customHeight="1" x14ac:dyDescent="0.3">
      <c r="A1861"/>
      <c r="B1861" s="241"/>
      <c r="C1861" s="241"/>
      <c r="D1861" s="241"/>
      <c r="E1861" s="241"/>
      <c r="F1861" s="241"/>
      <c r="G1861" s="241"/>
      <c r="H1861" s="241"/>
      <c r="I1861"/>
      <c r="J1861" s="241"/>
      <c r="K1861" s="241"/>
      <c r="L1861" s="241"/>
      <c r="M1861" s="241"/>
      <c r="N1861" s="241"/>
      <c r="O1861" s="241"/>
      <c r="P1861" s="241"/>
      <c r="Q1861" s="241"/>
    </row>
    <row r="1862" spans="1:17" ht="13.5" customHeight="1" x14ac:dyDescent="0.3">
      <c r="A1862"/>
      <c r="B1862" s="241"/>
      <c r="C1862" s="241"/>
      <c r="D1862" s="241"/>
      <c r="E1862" s="241"/>
      <c r="F1862" s="241"/>
      <c r="G1862" s="241"/>
      <c r="H1862" s="241"/>
      <c r="I1862"/>
      <c r="J1862" s="241"/>
      <c r="K1862" s="241"/>
      <c r="L1862" s="241"/>
      <c r="M1862" s="241"/>
      <c r="N1862" s="241"/>
      <c r="O1862" s="241"/>
      <c r="P1862" s="241"/>
      <c r="Q1862" s="241"/>
    </row>
    <row r="1863" spans="1:17" ht="13.5" customHeight="1" x14ac:dyDescent="0.3">
      <c r="A1863"/>
      <c r="B1863" s="241"/>
      <c r="C1863" s="241"/>
      <c r="D1863" s="241"/>
      <c r="E1863" s="241"/>
      <c r="F1863" s="241"/>
      <c r="G1863" s="241"/>
      <c r="H1863" s="241"/>
      <c r="I1863"/>
      <c r="J1863" s="241"/>
      <c r="K1863" s="241"/>
      <c r="L1863" s="241"/>
      <c r="M1863" s="241"/>
      <c r="N1863" s="241"/>
      <c r="O1863" s="241"/>
      <c r="P1863" s="241"/>
      <c r="Q1863" s="241"/>
    </row>
    <row r="1864" spans="1:17" ht="13.5" customHeight="1" x14ac:dyDescent="0.3">
      <c r="A1864"/>
      <c r="B1864" s="241"/>
      <c r="C1864" s="241"/>
      <c r="D1864" s="241"/>
      <c r="E1864" s="241"/>
      <c r="F1864" s="241"/>
      <c r="G1864" s="241"/>
      <c r="H1864" s="241"/>
      <c r="I1864"/>
      <c r="J1864" s="241"/>
      <c r="K1864" s="241"/>
      <c r="L1864" s="241"/>
      <c r="M1864" s="241"/>
      <c r="N1864" s="241"/>
      <c r="O1864" s="241"/>
      <c r="P1864" s="241"/>
      <c r="Q1864" s="241"/>
    </row>
    <row r="1865" spans="1:17" ht="13.5" customHeight="1" x14ac:dyDescent="0.3">
      <c r="A1865"/>
      <c r="B1865" s="241"/>
      <c r="C1865" s="241"/>
      <c r="D1865" s="241"/>
      <c r="E1865" s="241"/>
      <c r="F1865" s="241"/>
      <c r="G1865" s="241"/>
      <c r="H1865" s="241"/>
      <c r="I1865"/>
      <c r="J1865" s="241"/>
      <c r="K1865" s="241"/>
      <c r="L1865" s="241"/>
      <c r="M1865" s="241"/>
      <c r="N1865" s="241"/>
      <c r="O1865" s="241"/>
      <c r="P1865" s="241"/>
      <c r="Q1865" s="241"/>
    </row>
    <row r="1866" spans="1:17" ht="13.5" customHeight="1" x14ac:dyDescent="0.3">
      <c r="A1866"/>
      <c r="B1866" s="241"/>
      <c r="C1866" s="241"/>
      <c r="D1866" s="241"/>
      <c r="E1866" s="241"/>
      <c r="F1866" s="241"/>
      <c r="G1866" s="241"/>
      <c r="H1866" s="241"/>
      <c r="I1866"/>
      <c r="J1866" s="241"/>
      <c r="K1866" s="241"/>
      <c r="L1866" s="241"/>
      <c r="M1866" s="241"/>
      <c r="N1866" s="241"/>
      <c r="O1866" s="241"/>
      <c r="P1866" s="241"/>
      <c r="Q1866" s="241"/>
    </row>
    <row r="1867" spans="1:17" ht="13.5" customHeight="1" x14ac:dyDescent="0.3">
      <c r="A1867"/>
      <c r="B1867" s="241"/>
      <c r="C1867" s="241"/>
      <c r="D1867" s="241"/>
      <c r="E1867" s="241"/>
      <c r="F1867" s="241"/>
      <c r="G1867" s="241"/>
      <c r="H1867" s="241"/>
      <c r="I1867"/>
      <c r="J1867" s="241"/>
      <c r="K1867" s="241"/>
      <c r="L1867" s="241"/>
      <c r="M1867" s="241"/>
      <c r="N1867" s="241"/>
      <c r="O1867" s="241"/>
      <c r="P1867" s="241"/>
      <c r="Q1867" s="241"/>
    </row>
    <row r="1868" spans="1:17" ht="13.5" customHeight="1" x14ac:dyDescent="0.3">
      <c r="A1868"/>
      <c r="B1868" s="241"/>
      <c r="C1868" s="241"/>
      <c r="D1868" s="241"/>
      <c r="E1868" s="241"/>
      <c r="F1868" s="241"/>
      <c r="G1868" s="241"/>
      <c r="H1868" s="241"/>
      <c r="I1868"/>
      <c r="J1868" s="241"/>
      <c r="K1868" s="241"/>
      <c r="L1868" s="241"/>
      <c r="M1868" s="241"/>
      <c r="N1868" s="241"/>
      <c r="O1868" s="241"/>
      <c r="P1868" s="241"/>
      <c r="Q1868" s="241"/>
    </row>
    <row r="1869" spans="1:17" ht="13.5" customHeight="1" x14ac:dyDescent="0.3">
      <c r="A1869"/>
      <c r="B1869" s="241"/>
      <c r="C1869" s="241"/>
      <c r="D1869" s="241"/>
      <c r="E1869" s="241"/>
      <c r="F1869" s="241"/>
      <c r="G1869" s="241"/>
      <c r="H1869" s="241"/>
      <c r="I1869"/>
      <c r="J1869" s="241"/>
      <c r="K1869" s="241"/>
      <c r="L1869" s="241"/>
      <c r="M1869" s="241"/>
      <c r="N1869" s="241"/>
      <c r="O1869" s="241"/>
      <c r="P1869" s="241"/>
      <c r="Q1869" s="241"/>
    </row>
    <row r="1870" spans="1:17" ht="13.5" customHeight="1" x14ac:dyDescent="0.3">
      <c r="A1870"/>
      <c r="B1870" s="241"/>
      <c r="C1870" s="241"/>
      <c r="D1870" s="241"/>
      <c r="E1870" s="241"/>
      <c r="F1870" s="241"/>
      <c r="G1870" s="241"/>
      <c r="H1870" s="241"/>
      <c r="I1870"/>
      <c r="J1870" s="241"/>
      <c r="K1870" s="241"/>
      <c r="L1870" s="241"/>
      <c r="M1870" s="241"/>
      <c r="N1870" s="241"/>
      <c r="O1870" s="241"/>
      <c r="P1870" s="241"/>
      <c r="Q1870" s="241"/>
    </row>
    <row r="1871" spans="1:17" ht="13.5" customHeight="1" x14ac:dyDescent="0.3">
      <c r="A1871"/>
      <c r="B1871" s="241"/>
      <c r="C1871" s="241"/>
      <c r="D1871" s="241"/>
      <c r="E1871" s="241"/>
      <c r="F1871" s="241"/>
      <c r="G1871" s="241"/>
      <c r="H1871" s="241"/>
      <c r="I1871"/>
      <c r="J1871" s="241"/>
      <c r="K1871" s="241"/>
      <c r="L1871" s="241"/>
      <c r="M1871" s="241"/>
      <c r="N1871" s="241"/>
      <c r="O1871" s="241"/>
      <c r="P1871" s="241"/>
      <c r="Q1871" s="241"/>
    </row>
    <row r="1872" spans="1:17" ht="13.5" customHeight="1" x14ac:dyDescent="0.3">
      <c r="A1872"/>
      <c r="B1872" s="241"/>
      <c r="C1872" s="241"/>
      <c r="D1872" s="241"/>
      <c r="E1872" s="241"/>
      <c r="F1872" s="241"/>
      <c r="G1872" s="241"/>
      <c r="H1872" s="241"/>
      <c r="I1872"/>
      <c r="J1872" s="241"/>
      <c r="K1872" s="241"/>
      <c r="L1872" s="241"/>
      <c r="M1872" s="241"/>
      <c r="N1872" s="241"/>
      <c r="O1872" s="241"/>
      <c r="P1872" s="241"/>
      <c r="Q1872" s="241"/>
    </row>
    <row r="1873" spans="1:17" ht="13.5" customHeight="1" x14ac:dyDescent="0.3">
      <c r="A1873"/>
      <c r="B1873" s="241"/>
      <c r="C1873" s="241"/>
      <c r="D1873" s="241"/>
      <c r="E1873" s="241"/>
      <c r="F1873" s="241"/>
      <c r="G1873" s="241"/>
      <c r="H1873" s="241"/>
      <c r="I1873"/>
      <c r="J1873" s="241"/>
      <c r="K1873" s="241"/>
      <c r="L1873" s="241"/>
      <c r="M1873" s="241"/>
      <c r="N1873" s="241"/>
      <c r="O1873" s="241"/>
      <c r="P1873" s="241"/>
      <c r="Q1873" s="241"/>
    </row>
    <row r="1874" spans="1:17" ht="13.5" customHeight="1" x14ac:dyDescent="0.3">
      <c r="A1874"/>
      <c r="B1874" s="241"/>
      <c r="C1874" s="241"/>
      <c r="D1874" s="241"/>
      <c r="E1874" s="241"/>
      <c r="F1874" s="241"/>
      <c r="G1874" s="241"/>
      <c r="H1874" s="241"/>
      <c r="I1874"/>
      <c r="J1874" s="241"/>
      <c r="K1874" s="241"/>
      <c r="L1874" s="241"/>
      <c r="M1874" s="241"/>
      <c r="N1874" s="241"/>
      <c r="O1874" s="241"/>
      <c r="P1874" s="241"/>
      <c r="Q1874" s="241"/>
    </row>
    <row r="1875" spans="1:17" ht="13.5" customHeight="1" x14ac:dyDescent="0.3">
      <c r="A1875"/>
      <c r="B1875" s="241"/>
      <c r="C1875" s="241"/>
      <c r="D1875" s="241"/>
      <c r="E1875" s="241"/>
      <c r="F1875" s="241"/>
      <c r="G1875" s="241"/>
      <c r="H1875" s="241"/>
      <c r="I1875"/>
      <c r="J1875" s="241"/>
      <c r="K1875" s="241"/>
      <c r="L1875" s="241"/>
      <c r="M1875" s="241"/>
      <c r="N1875" s="241"/>
      <c r="O1875" s="241"/>
      <c r="P1875" s="241"/>
      <c r="Q1875" s="241"/>
    </row>
    <row r="1876" spans="1:17" ht="13.5" customHeight="1" x14ac:dyDescent="0.3">
      <c r="A1876"/>
      <c r="B1876" s="241"/>
      <c r="C1876" s="241"/>
      <c r="D1876" s="241"/>
      <c r="E1876" s="241"/>
      <c r="F1876" s="241"/>
      <c r="G1876" s="241"/>
      <c r="H1876" s="241"/>
      <c r="I1876"/>
      <c r="J1876" s="241"/>
      <c r="K1876" s="241"/>
      <c r="L1876" s="241"/>
      <c r="M1876" s="241"/>
      <c r="N1876" s="241"/>
      <c r="O1876" s="241"/>
      <c r="P1876" s="241"/>
      <c r="Q1876" s="241"/>
    </row>
    <row r="1877" spans="1:17" ht="13.5" customHeight="1" x14ac:dyDescent="0.3">
      <c r="A1877"/>
      <c r="B1877" s="241"/>
      <c r="C1877" s="241"/>
      <c r="D1877" s="241"/>
      <c r="E1877" s="241"/>
      <c r="F1877" s="241"/>
      <c r="G1877" s="241"/>
      <c r="H1877" s="241"/>
      <c r="I1877"/>
      <c r="J1877" s="241"/>
      <c r="K1877" s="241"/>
      <c r="L1877" s="241"/>
      <c r="M1877" s="241"/>
      <c r="N1877" s="241"/>
      <c r="O1877" s="241"/>
      <c r="P1877" s="241"/>
      <c r="Q1877" s="241"/>
    </row>
    <row r="1878" spans="1:17" ht="13.5" customHeight="1" x14ac:dyDescent="0.3">
      <c r="A1878"/>
      <c r="B1878" s="241"/>
      <c r="C1878" s="241"/>
      <c r="D1878" s="241"/>
      <c r="E1878" s="241"/>
      <c r="F1878" s="241"/>
      <c r="G1878" s="241"/>
      <c r="H1878" s="241"/>
      <c r="I1878"/>
      <c r="J1878" s="241"/>
      <c r="K1878" s="241"/>
      <c r="L1878" s="241"/>
      <c r="M1878" s="241"/>
      <c r="N1878" s="241"/>
      <c r="O1878" s="241"/>
      <c r="P1878" s="241"/>
      <c r="Q1878" s="241"/>
    </row>
    <row r="1879" spans="1:17" ht="13.5" customHeight="1" x14ac:dyDescent="0.3">
      <c r="A1879"/>
      <c r="B1879" s="241"/>
      <c r="C1879" s="241"/>
      <c r="D1879" s="241"/>
      <c r="E1879" s="241"/>
      <c r="F1879" s="241"/>
      <c r="G1879" s="241"/>
      <c r="H1879" s="241"/>
      <c r="I1879"/>
      <c r="J1879" s="241"/>
      <c r="K1879" s="241"/>
      <c r="L1879" s="241"/>
      <c r="M1879" s="241"/>
      <c r="N1879" s="241"/>
      <c r="O1879" s="241"/>
      <c r="P1879" s="241"/>
      <c r="Q1879" s="241"/>
    </row>
    <row r="1880" spans="1:17" ht="13.5" customHeight="1" x14ac:dyDescent="0.3">
      <c r="A1880"/>
      <c r="B1880" s="241"/>
      <c r="C1880" s="241"/>
      <c r="D1880" s="241"/>
      <c r="E1880" s="241"/>
      <c r="F1880" s="241"/>
      <c r="G1880" s="241"/>
      <c r="H1880" s="241"/>
      <c r="I1880"/>
      <c r="J1880" s="241"/>
      <c r="K1880" s="241"/>
      <c r="L1880" s="241"/>
      <c r="M1880" s="241"/>
      <c r="N1880" s="241"/>
      <c r="O1880" s="241"/>
      <c r="P1880" s="241"/>
      <c r="Q1880" s="241"/>
    </row>
    <row r="1881" spans="1:17" ht="13.5" customHeight="1" x14ac:dyDescent="0.3">
      <c r="A1881"/>
      <c r="B1881" s="241"/>
      <c r="C1881" s="241"/>
      <c r="D1881" s="241"/>
      <c r="E1881" s="241"/>
      <c r="F1881" s="241"/>
      <c r="G1881" s="241"/>
      <c r="H1881" s="241"/>
      <c r="I1881"/>
      <c r="J1881" s="241"/>
      <c r="K1881" s="241"/>
      <c r="L1881" s="241"/>
      <c r="M1881" s="241"/>
      <c r="N1881" s="241"/>
      <c r="O1881" s="241"/>
      <c r="P1881" s="241"/>
      <c r="Q1881" s="241"/>
    </row>
    <row r="1882" spans="1:17" ht="13.5" customHeight="1" x14ac:dyDescent="0.3">
      <c r="A1882"/>
      <c r="B1882" s="241"/>
      <c r="C1882" s="241"/>
      <c r="D1882" s="241"/>
      <c r="E1882" s="241"/>
      <c r="F1882" s="241"/>
      <c r="G1882" s="241"/>
      <c r="H1882" s="241"/>
      <c r="I1882"/>
      <c r="J1882" s="241"/>
      <c r="K1882" s="241"/>
      <c r="L1882" s="241"/>
      <c r="M1882" s="241"/>
      <c r="N1882" s="241"/>
      <c r="O1882" s="241"/>
      <c r="P1882" s="241"/>
      <c r="Q1882" s="241"/>
    </row>
    <row r="1883" spans="1:17" ht="13.5" customHeight="1" x14ac:dyDescent="0.3">
      <c r="A1883"/>
      <c r="B1883" s="241"/>
      <c r="C1883" s="241"/>
      <c r="D1883" s="241"/>
      <c r="E1883" s="241"/>
      <c r="F1883" s="241"/>
      <c r="G1883" s="241"/>
      <c r="H1883" s="241"/>
      <c r="I1883"/>
      <c r="J1883" s="241"/>
      <c r="K1883" s="241"/>
      <c r="L1883" s="241"/>
      <c r="M1883" s="241"/>
      <c r="N1883" s="241"/>
      <c r="O1883" s="241"/>
      <c r="P1883" s="241"/>
      <c r="Q1883" s="241"/>
    </row>
    <row r="1884" spans="1:17" ht="13.5" customHeight="1" x14ac:dyDescent="0.3">
      <c r="A1884"/>
      <c r="B1884" s="241"/>
      <c r="C1884" s="241"/>
      <c r="D1884" s="241"/>
      <c r="E1884" s="241"/>
      <c r="F1884" s="241"/>
      <c r="G1884" s="241"/>
      <c r="H1884" s="241"/>
      <c r="I1884"/>
      <c r="J1884" s="241"/>
      <c r="K1884" s="241"/>
      <c r="L1884" s="241"/>
      <c r="M1884" s="241"/>
      <c r="N1884" s="241"/>
      <c r="O1884" s="241"/>
      <c r="P1884" s="241"/>
      <c r="Q1884" s="241"/>
    </row>
    <row r="1885" spans="1:17" ht="13.5" customHeight="1" x14ac:dyDescent="0.3">
      <c r="A1885"/>
      <c r="B1885" s="241"/>
      <c r="C1885" s="241"/>
      <c r="D1885" s="241"/>
      <c r="E1885" s="241"/>
      <c r="F1885" s="241"/>
      <c r="G1885" s="241"/>
      <c r="H1885" s="241"/>
      <c r="I1885"/>
      <c r="J1885" s="241"/>
      <c r="K1885" s="241"/>
      <c r="L1885" s="241"/>
      <c r="M1885" s="241"/>
      <c r="N1885" s="241"/>
      <c r="O1885" s="241"/>
      <c r="P1885" s="241"/>
      <c r="Q1885" s="241"/>
    </row>
    <row r="1886" spans="1:17" ht="13.5" customHeight="1" x14ac:dyDescent="0.3">
      <c r="A1886"/>
      <c r="B1886" s="241"/>
      <c r="C1886" s="241"/>
      <c r="D1886" s="241"/>
      <c r="E1886" s="241"/>
      <c r="F1886" s="241"/>
      <c r="G1886" s="241"/>
      <c r="H1886" s="241"/>
      <c r="I1886"/>
      <c r="J1886" s="241"/>
      <c r="K1886" s="241"/>
      <c r="L1886" s="241"/>
      <c r="M1886" s="241"/>
      <c r="N1886" s="241"/>
      <c r="O1886" s="241"/>
      <c r="P1886" s="241"/>
      <c r="Q1886" s="241"/>
    </row>
    <row r="1887" spans="1:17" ht="13.5" customHeight="1" x14ac:dyDescent="0.3">
      <c r="A1887"/>
      <c r="B1887" s="241"/>
      <c r="C1887" s="241"/>
      <c r="D1887" s="241"/>
      <c r="E1887" s="241"/>
      <c r="F1887" s="241"/>
      <c r="G1887" s="241"/>
      <c r="H1887" s="241"/>
      <c r="I1887"/>
      <c r="J1887" s="241"/>
      <c r="K1887" s="241"/>
      <c r="L1887" s="241"/>
      <c r="M1887" s="241"/>
      <c r="N1887" s="241"/>
      <c r="O1887" s="241"/>
      <c r="P1887" s="241"/>
      <c r="Q1887" s="241"/>
    </row>
    <row r="1888" spans="1:17" ht="13.5" customHeight="1" x14ac:dyDescent="0.3">
      <c r="A1888"/>
      <c r="B1888" s="241"/>
      <c r="C1888" s="241"/>
      <c r="D1888" s="241"/>
      <c r="E1888" s="241"/>
      <c r="F1888" s="241"/>
      <c r="G1888" s="241"/>
      <c r="H1888" s="241"/>
      <c r="I1888"/>
      <c r="J1888" s="241"/>
      <c r="K1888" s="241"/>
      <c r="L1888" s="241"/>
      <c r="M1888" s="241"/>
      <c r="N1888" s="241"/>
      <c r="O1888" s="241"/>
      <c r="P1888" s="241"/>
      <c r="Q1888" s="241"/>
    </row>
    <row r="1889" spans="1:17" ht="13.5" customHeight="1" x14ac:dyDescent="0.3">
      <c r="A1889"/>
      <c r="B1889" s="241"/>
      <c r="C1889" s="241"/>
      <c r="D1889" s="241"/>
      <c r="E1889" s="241"/>
      <c r="F1889" s="241"/>
      <c r="G1889" s="241"/>
      <c r="H1889" s="241"/>
      <c r="I1889"/>
      <c r="J1889" s="241"/>
      <c r="K1889" s="241"/>
      <c r="L1889" s="241"/>
      <c r="M1889" s="241"/>
      <c r="N1889" s="241"/>
      <c r="O1889" s="241"/>
      <c r="P1889" s="241"/>
      <c r="Q1889" s="241"/>
    </row>
    <row r="1890" spans="1:17" ht="13.5" customHeight="1" x14ac:dyDescent="0.3">
      <c r="A1890"/>
      <c r="B1890" s="241"/>
      <c r="C1890" s="241"/>
      <c r="D1890" s="241"/>
      <c r="E1890" s="241"/>
      <c r="F1890" s="241"/>
      <c r="G1890" s="241"/>
      <c r="H1890" s="241"/>
      <c r="I1890"/>
      <c r="J1890" s="241"/>
      <c r="K1890" s="241"/>
      <c r="L1890" s="241"/>
      <c r="M1890" s="241"/>
      <c r="N1890" s="241"/>
      <c r="O1890" s="241"/>
      <c r="P1890" s="241"/>
      <c r="Q1890" s="241"/>
    </row>
    <row r="1891" spans="1:17" ht="13.5" customHeight="1" x14ac:dyDescent="0.3">
      <c r="A1891"/>
      <c r="B1891" s="241"/>
      <c r="C1891" s="241"/>
      <c r="D1891" s="241"/>
      <c r="E1891" s="241"/>
      <c r="F1891" s="241"/>
      <c r="G1891" s="241"/>
      <c r="H1891" s="241"/>
      <c r="I1891"/>
      <c r="J1891" s="241"/>
      <c r="K1891" s="241"/>
      <c r="L1891" s="241"/>
      <c r="M1891" s="241"/>
      <c r="N1891" s="241"/>
      <c r="O1891" s="241"/>
      <c r="P1891" s="241"/>
      <c r="Q1891" s="241"/>
    </row>
    <row r="1892" spans="1:17" ht="13.5" customHeight="1" x14ac:dyDescent="0.3">
      <c r="A1892"/>
      <c r="B1892" s="241"/>
      <c r="C1892" s="241"/>
      <c r="D1892" s="241"/>
      <c r="E1892" s="241"/>
      <c r="F1892" s="241"/>
      <c r="G1892" s="241"/>
      <c r="H1892" s="241"/>
      <c r="I1892"/>
      <c r="J1892" s="241"/>
      <c r="K1892" s="241"/>
      <c r="L1892" s="241"/>
      <c r="M1892" s="241"/>
      <c r="N1892" s="241"/>
      <c r="O1892" s="241"/>
      <c r="P1892" s="241"/>
      <c r="Q1892" s="241"/>
    </row>
    <row r="1893" spans="1:17" ht="13.5" customHeight="1" x14ac:dyDescent="0.3">
      <c r="A1893"/>
      <c r="B1893" s="241"/>
      <c r="C1893" s="241"/>
      <c r="D1893" s="241"/>
      <c r="E1893" s="241"/>
      <c r="F1893" s="241"/>
      <c r="G1893" s="241"/>
      <c r="H1893" s="241"/>
      <c r="I1893"/>
      <c r="J1893" s="241"/>
      <c r="K1893" s="241"/>
      <c r="L1893" s="241"/>
      <c r="M1893" s="241"/>
      <c r="N1893" s="241"/>
      <c r="O1893" s="241"/>
      <c r="P1893" s="241"/>
      <c r="Q1893" s="241"/>
    </row>
    <row r="1894" spans="1:17" ht="13.5" customHeight="1" x14ac:dyDescent="0.3">
      <c r="A1894"/>
      <c r="B1894" s="241"/>
      <c r="C1894" s="241"/>
      <c r="D1894" s="241"/>
      <c r="E1894" s="241"/>
      <c r="F1894" s="241"/>
      <c r="G1894" s="241"/>
      <c r="H1894" s="241"/>
      <c r="I1894"/>
      <c r="J1894" s="241"/>
      <c r="K1894" s="241"/>
      <c r="L1894" s="241"/>
      <c r="M1894" s="241"/>
      <c r="N1894" s="241"/>
      <c r="O1894" s="241"/>
      <c r="P1894" s="241"/>
      <c r="Q1894" s="241"/>
    </row>
    <row r="1895" spans="1:17" ht="13.5" customHeight="1" x14ac:dyDescent="0.3">
      <c r="A1895"/>
      <c r="B1895" s="241"/>
      <c r="C1895" s="241"/>
      <c r="D1895" s="241"/>
      <c r="E1895" s="241"/>
      <c r="F1895" s="241"/>
      <c r="G1895" s="241"/>
      <c r="H1895" s="241"/>
      <c r="I1895"/>
      <c r="J1895" s="241"/>
      <c r="K1895" s="241"/>
      <c r="L1895" s="241"/>
      <c r="M1895" s="241"/>
      <c r="N1895" s="241"/>
      <c r="O1895" s="241"/>
      <c r="P1895" s="241"/>
      <c r="Q1895" s="241"/>
    </row>
    <row r="1896" spans="1:17" ht="13.5" customHeight="1" x14ac:dyDescent="0.3">
      <c r="A1896"/>
      <c r="B1896" s="241"/>
      <c r="C1896" s="241"/>
      <c r="D1896" s="241"/>
      <c r="E1896" s="241"/>
      <c r="F1896" s="241"/>
      <c r="G1896" s="241"/>
      <c r="H1896" s="241"/>
      <c r="I1896"/>
      <c r="J1896" s="241"/>
      <c r="K1896" s="241"/>
      <c r="L1896" s="241"/>
      <c r="M1896" s="241"/>
      <c r="N1896" s="241"/>
      <c r="O1896" s="241"/>
      <c r="P1896" s="241"/>
      <c r="Q1896" s="241"/>
    </row>
    <row r="1897" spans="1:17" ht="13.5" customHeight="1" x14ac:dyDescent="0.3">
      <c r="A1897"/>
      <c r="B1897" s="241"/>
      <c r="C1897" s="241"/>
      <c r="D1897" s="241"/>
      <c r="E1897" s="241"/>
      <c r="F1897" s="241"/>
      <c r="G1897" s="241"/>
      <c r="H1897" s="241"/>
      <c r="I1897"/>
      <c r="J1897" s="241"/>
      <c r="K1897" s="241"/>
      <c r="L1897" s="241"/>
      <c r="M1897" s="241"/>
      <c r="N1897" s="241"/>
      <c r="O1897" s="241"/>
      <c r="P1897" s="241"/>
      <c r="Q1897" s="241"/>
    </row>
    <row r="1898" spans="1:17" ht="13.5" customHeight="1" x14ac:dyDescent="0.3">
      <c r="A1898"/>
      <c r="B1898" s="241"/>
      <c r="C1898" s="241"/>
      <c r="D1898" s="241"/>
      <c r="E1898" s="241"/>
      <c r="F1898" s="241"/>
      <c r="G1898" s="241"/>
      <c r="H1898" s="241"/>
      <c r="I1898"/>
      <c r="J1898" s="241"/>
      <c r="K1898" s="241"/>
      <c r="L1898" s="241"/>
      <c r="M1898" s="241"/>
      <c r="N1898" s="241"/>
      <c r="O1898" s="241"/>
      <c r="P1898" s="241"/>
      <c r="Q1898" s="241"/>
    </row>
    <row r="1899" spans="1:17" ht="13.5" customHeight="1" x14ac:dyDescent="0.3">
      <c r="A1899"/>
      <c r="B1899" s="241"/>
      <c r="C1899" s="241"/>
      <c r="D1899" s="241"/>
      <c r="E1899" s="241"/>
      <c r="F1899" s="241"/>
      <c r="G1899" s="241"/>
      <c r="H1899" s="241"/>
      <c r="I1899"/>
      <c r="J1899" s="241"/>
      <c r="K1899" s="241"/>
      <c r="L1899" s="241"/>
      <c r="M1899" s="241"/>
      <c r="N1899" s="241"/>
      <c r="O1899" s="241"/>
      <c r="P1899" s="241"/>
      <c r="Q1899" s="241"/>
    </row>
    <row r="1900" spans="1:17" ht="13.5" customHeight="1" x14ac:dyDescent="0.3">
      <c r="A1900"/>
      <c r="B1900" s="241"/>
      <c r="C1900" s="241"/>
      <c r="D1900" s="241"/>
      <c r="E1900" s="241"/>
      <c r="F1900" s="241"/>
      <c r="G1900" s="241"/>
      <c r="H1900" s="241"/>
      <c r="I1900"/>
      <c r="J1900" s="241"/>
      <c r="K1900" s="241"/>
      <c r="L1900" s="241"/>
      <c r="M1900" s="241"/>
      <c r="N1900" s="241"/>
      <c r="O1900" s="241"/>
      <c r="P1900" s="241"/>
      <c r="Q1900" s="241"/>
    </row>
    <row r="1901" spans="1:17" ht="13.5" customHeight="1" x14ac:dyDescent="0.3">
      <c r="A1901"/>
      <c r="B1901" s="241"/>
      <c r="C1901" s="241"/>
      <c r="D1901" s="241"/>
      <c r="E1901" s="241"/>
      <c r="F1901" s="241"/>
      <c r="G1901" s="241"/>
      <c r="H1901" s="241"/>
      <c r="I1901"/>
      <c r="J1901" s="241"/>
      <c r="K1901" s="241"/>
      <c r="L1901" s="241"/>
      <c r="M1901" s="241"/>
      <c r="N1901" s="241"/>
      <c r="O1901" s="241"/>
      <c r="P1901" s="241"/>
      <c r="Q1901" s="241"/>
    </row>
    <row r="1902" spans="1:17" ht="13.5" customHeight="1" x14ac:dyDescent="0.3">
      <c r="A1902"/>
      <c r="B1902" s="241"/>
      <c r="C1902" s="241"/>
      <c r="D1902" s="241"/>
      <c r="E1902" s="241"/>
      <c r="F1902" s="241"/>
      <c r="G1902" s="241"/>
      <c r="H1902" s="241"/>
      <c r="I1902"/>
      <c r="J1902" s="241"/>
      <c r="K1902" s="241"/>
      <c r="L1902" s="241"/>
      <c r="M1902" s="241"/>
      <c r="N1902" s="241"/>
      <c r="O1902" s="241"/>
      <c r="P1902" s="241"/>
      <c r="Q1902" s="241"/>
    </row>
    <row r="1903" spans="1:17" ht="13.5" customHeight="1" x14ac:dyDescent="0.3">
      <c r="A1903"/>
      <c r="B1903" s="241"/>
      <c r="C1903" s="241"/>
      <c r="D1903" s="241"/>
      <c r="E1903" s="241"/>
      <c r="F1903" s="241"/>
      <c r="G1903" s="241"/>
      <c r="H1903" s="241"/>
      <c r="I1903"/>
      <c r="J1903" s="241"/>
      <c r="K1903" s="241"/>
      <c r="L1903" s="241"/>
      <c r="M1903" s="241"/>
      <c r="N1903" s="241"/>
      <c r="O1903" s="241"/>
      <c r="P1903" s="241"/>
      <c r="Q1903" s="241"/>
    </row>
    <row r="1904" spans="1:17" ht="13.5" customHeight="1" x14ac:dyDescent="0.3">
      <c r="A1904"/>
      <c r="B1904" s="241"/>
      <c r="C1904" s="241"/>
      <c r="D1904" s="241"/>
      <c r="E1904" s="241"/>
      <c r="F1904" s="241"/>
      <c r="G1904" s="241"/>
      <c r="H1904" s="241"/>
      <c r="I1904"/>
      <c r="J1904" s="241"/>
      <c r="K1904" s="241"/>
      <c r="L1904" s="241"/>
      <c r="M1904" s="241"/>
      <c r="N1904" s="241"/>
      <c r="O1904" s="241"/>
      <c r="P1904" s="241"/>
      <c r="Q1904" s="241"/>
    </row>
    <row r="1905" spans="1:17" ht="13.5" customHeight="1" x14ac:dyDescent="0.3">
      <c r="A1905"/>
      <c r="B1905" s="241"/>
      <c r="C1905" s="241"/>
      <c r="D1905" s="241"/>
      <c r="E1905" s="241"/>
      <c r="F1905" s="241"/>
      <c r="G1905" s="241"/>
      <c r="H1905" s="241"/>
      <c r="I1905"/>
      <c r="J1905" s="241"/>
      <c r="K1905" s="241"/>
      <c r="L1905" s="241"/>
      <c r="M1905" s="241"/>
      <c r="N1905" s="241"/>
      <c r="O1905" s="241"/>
      <c r="P1905" s="241"/>
      <c r="Q1905" s="241"/>
    </row>
    <row r="1906" spans="1:17" ht="13.5" customHeight="1" x14ac:dyDescent="0.3">
      <c r="A1906"/>
      <c r="B1906" s="241"/>
      <c r="C1906" s="241"/>
      <c r="D1906" s="241"/>
      <c r="E1906" s="241"/>
      <c r="F1906" s="241"/>
      <c r="G1906" s="241"/>
      <c r="H1906" s="241"/>
      <c r="I1906"/>
      <c r="J1906" s="241"/>
      <c r="K1906" s="241"/>
      <c r="L1906" s="241"/>
      <c r="M1906" s="241"/>
      <c r="N1906" s="241"/>
      <c r="O1906" s="241"/>
      <c r="P1906" s="241"/>
      <c r="Q1906" s="241"/>
    </row>
    <row r="1907" spans="1:17" ht="13.5" customHeight="1" x14ac:dyDescent="0.3">
      <c r="A1907"/>
      <c r="B1907" s="241"/>
      <c r="C1907" s="241"/>
      <c r="D1907" s="241"/>
      <c r="E1907" s="241"/>
      <c r="F1907" s="241"/>
      <c r="G1907" s="241"/>
      <c r="H1907" s="241"/>
      <c r="I1907"/>
      <c r="J1907" s="241"/>
      <c r="K1907" s="241"/>
      <c r="L1907" s="241"/>
      <c r="M1907" s="241"/>
      <c r="N1907" s="241"/>
      <c r="O1907" s="241"/>
      <c r="P1907" s="241"/>
      <c r="Q1907" s="241"/>
    </row>
    <row r="1908" spans="1:17" ht="13.5" customHeight="1" x14ac:dyDescent="0.3">
      <c r="A1908"/>
      <c r="B1908" s="241"/>
      <c r="C1908" s="241"/>
      <c r="D1908" s="241"/>
      <c r="E1908" s="241"/>
      <c r="F1908" s="241"/>
      <c r="G1908" s="241"/>
      <c r="H1908" s="241"/>
      <c r="I1908"/>
      <c r="J1908" s="241"/>
      <c r="K1908" s="241"/>
      <c r="L1908" s="241"/>
      <c r="M1908" s="241"/>
      <c r="N1908" s="241"/>
      <c r="O1908" s="241"/>
      <c r="P1908" s="241"/>
      <c r="Q1908" s="241"/>
    </row>
    <row r="1909" spans="1:17" ht="13.5" customHeight="1" x14ac:dyDescent="0.3">
      <c r="A1909"/>
      <c r="B1909" s="241"/>
      <c r="C1909" s="241"/>
      <c r="D1909" s="241"/>
      <c r="E1909" s="241"/>
      <c r="F1909" s="241"/>
      <c r="G1909" s="241"/>
      <c r="H1909" s="241"/>
      <c r="I1909"/>
      <c r="J1909" s="241"/>
      <c r="K1909" s="241"/>
      <c r="L1909" s="241"/>
      <c r="M1909" s="241"/>
      <c r="N1909" s="241"/>
      <c r="O1909" s="241"/>
      <c r="P1909" s="241"/>
      <c r="Q1909" s="241"/>
    </row>
    <row r="1910" spans="1:17" ht="13.5" customHeight="1" x14ac:dyDescent="0.3">
      <c r="A1910"/>
      <c r="B1910" s="241"/>
      <c r="C1910" s="241"/>
      <c r="D1910" s="241"/>
      <c r="E1910" s="241"/>
      <c r="F1910" s="241"/>
      <c r="G1910" s="241"/>
      <c r="H1910" s="241"/>
      <c r="I1910"/>
      <c r="J1910" s="241"/>
      <c r="K1910" s="241"/>
      <c r="L1910" s="241"/>
      <c r="M1910" s="241"/>
      <c r="N1910" s="241"/>
      <c r="O1910" s="241"/>
      <c r="P1910" s="241"/>
      <c r="Q1910" s="241"/>
    </row>
    <row r="1911" spans="1:17" ht="13.5" customHeight="1" x14ac:dyDescent="0.3">
      <c r="A1911"/>
      <c r="B1911" s="241"/>
      <c r="C1911" s="241"/>
      <c r="D1911" s="241"/>
      <c r="E1911" s="241"/>
      <c r="F1911" s="241"/>
      <c r="G1911" s="241"/>
      <c r="H1911" s="241"/>
      <c r="I1911"/>
      <c r="J1911" s="241"/>
      <c r="K1911" s="241"/>
      <c r="L1911" s="241"/>
      <c r="M1911" s="241"/>
      <c r="N1911" s="241"/>
      <c r="O1911" s="241"/>
      <c r="P1911" s="241"/>
      <c r="Q1911" s="241"/>
    </row>
    <row r="1912" spans="1:17" ht="13.5" customHeight="1" x14ac:dyDescent="0.3">
      <c r="A1912"/>
      <c r="B1912" s="241"/>
      <c r="C1912" s="241"/>
      <c r="D1912" s="241"/>
      <c r="E1912" s="241"/>
      <c r="F1912" s="241"/>
      <c r="G1912" s="241"/>
      <c r="H1912" s="241"/>
      <c r="I1912"/>
      <c r="J1912" s="241"/>
      <c r="K1912" s="241"/>
      <c r="L1912" s="241"/>
      <c r="M1912" s="241"/>
      <c r="N1912" s="241"/>
      <c r="O1912" s="241"/>
      <c r="P1912" s="241"/>
      <c r="Q1912" s="241"/>
    </row>
    <row r="1913" spans="1:17" ht="13.5" customHeight="1" x14ac:dyDescent="0.3">
      <c r="A1913"/>
      <c r="B1913" s="241"/>
      <c r="C1913" s="241"/>
      <c r="D1913" s="241"/>
      <c r="E1913" s="241"/>
      <c r="F1913" s="241"/>
      <c r="G1913" s="241"/>
      <c r="H1913" s="241"/>
      <c r="I1913"/>
      <c r="J1913" s="241"/>
      <c r="K1913" s="241"/>
      <c r="L1913" s="241"/>
      <c r="M1913" s="241"/>
      <c r="N1913" s="241"/>
      <c r="O1913" s="241"/>
      <c r="P1913" s="241"/>
      <c r="Q1913" s="241"/>
    </row>
    <row r="1914" spans="1:17" ht="13.5" customHeight="1" x14ac:dyDescent="0.3">
      <c r="A1914"/>
      <c r="B1914" s="241"/>
      <c r="C1914" s="241"/>
      <c r="D1914" s="241"/>
      <c r="E1914" s="241"/>
      <c r="F1914" s="241"/>
      <c r="G1914" s="241"/>
      <c r="H1914" s="241"/>
      <c r="I1914"/>
      <c r="J1914" s="241"/>
      <c r="K1914" s="241"/>
      <c r="L1914" s="241"/>
      <c r="M1914" s="241"/>
      <c r="N1914" s="241"/>
      <c r="O1914" s="241"/>
      <c r="P1914" s="241"/>
      <c r="Q1914" s="241"/>
    </row>
    <row r="1915" spans="1:17" ht="13.5" customHeight="1" x14ac:dyDescent="0.3">
      <c r="A1915"/>
      <c r="B1915" s="241"/>
      <c r="C1915" s="241"/>
      <c r="D1915" s="241"/>
      <c r="E1915" s="241"/>
      <c r="F1915" s="241"/>
      <c r="G1915" s="241"/>
      <c r="H1915" s="241"/>
      <c r="I1915"/>
      <c r="J1915" s="241"/>
      <c r="K1915" s="241"/>
      <c r="L1915" s="241"/>
      <c r="M1915" s="241"/>
      <c r="N1915" s="241"/>
      <c r="O1915" s="241"/>
      <c r="P1915" s="241"/>
      <c r="Q1915" s="241"/>
    </row>
    <row r="1916" spans="1:17" ht="13.5" customHeight="1" x14ac:dyDescent="0.3">
      <c r="A1916"/>
      <c r="B1916" s="241"/>
      <c r="C1916" s="241"/>
      <c r="D1916" s="241"/>
      <c r="E1916" s="241"/>
      <c r="F1916" s="241"/>
      <c r="G1916" s="241"/>
      <c r="H1916" s="241"/>
      <c r="I1916"/>
      <c r="J1916" s="241"/>
      <c r="K1916" s="241"/>
      <c r="L1916" s="241"/>
      <c r="M1916" s="241"/>
      <c r="N1916" s="241"/>
      <c r="O1916" s="241"/>
      <c r="P1916" s="241"/>
      <c r="Q1916" s="241"/>
    </row>
    <row r="1917" spans="1:17" ht="13.5" customHeight="1" x14ac:dyDescent="0.3">
      <c r="A1917"/>
      <c r="B1917" s="241"/>
      <c r="C1917" s="241"/>
      <c r="D1917" s="241"/>
      <c r="E1917" s="241"/>
      <c r="F1917" s="241"/>
      <c r="G1917" s="241"/>
      <c r="H1917" s="241"/>
      <c r="I1917"/>
      <c r="J1917" s="241"/>
      <c r="K1917" s="241"/>
      <c r="L1917" s="241"/>
      <c r="M1917" s="241"/>
      <c r="N1917" s="241"/>
      <c r="O1917" s="241"/>
      <c r="P1917" s="241"/>
      <c r="Q1917" s="241"/>
    </row>
    <row r="1918" spans="1:17" ht="13.5" customHeight="1" x14ac:dyDescent="0.3">
      <c r="A1918"/>
      <c r="B1918" s="241"/>
      <c r="C1918" s="241"/>
      <c r="D1918" s="241"/>
      <c r="E1918" s="241"/>
      <c r="F1918" s="241"/>
      <c r="G1918" s="241"/>
      <c r="H1918" s="241"/>
      <c r="I1918"/>
      <c r="J1918" s="241"/>
      <c r="K1918" s="241"/>
      <c r="L1918" s="241"/>
      <c r="M1918" s="241"/>
      <c r="N1918" s="241"/>
      <c r="O1918" s="241"/>
      <c r="P1918" s="241"/>
      <c r="Q1918" s="241"/>
    </row>
    <row r="1919" spans="1:17" ht="13.5" customHeight="1" x14ac:dyDescent="0.3">
      <c r="A1919"/>
      <c r="B1919" s="241"/>
      <c r="C1919" s="241"/>
      <c r="D1919" s="241"/>
      <c r="E1919" s="241"/>
      <c r="F1919" s="241"/>
      <c r="G1919" s="241"/>
      <c r="H1919" s="241"/>
      <c r="I1919"/>
      <c r="J1919" s="241"/>
      <c r="K1919" s="241"/>
      <c r="L1919" s="241"/>
      <c r="M1919" s="241"/>
      <c r="N1919" s="241"/>
      <c r="O1919" s="241"/>
      <c r="P1919" s="241"/>
      <c r="Q1919" s="241"/>
    </row>
    <row r="1920" spans="1:17" ht="13.5" customHeight="1" x14ac:dyDescent="0.3">
      <c r="A1920"/>
      <c r="B1920" s="241"/>
      <c r="C1920" s="241"/>
      <c r="D1920" s="241"/>
      <c r="E1920" s="241"/>
      <c r="F1920" s="241"/>
      <c r="G1920" s="241"/>
      <c r="H1920" s="241"/>
      <c r="I1920"/>
      <c r="J1920" s="241"/>
      <c r="K1920" s="241"/>
      <c r="L1920" s="241"/>
      <c r="M1920" s="241"/>
      <c r="N1920" s="241"/>
      <c r="O1920" s="241"/>
      <c r="P1920" s="241"/>
      <c r="Q1920" s="241"/>
    </row>
    <row r="1921" spans="1:17" ht="13.5" customHeight="1" x14ac:dyDescent="0.3">
      <c r="A1921"/>
      <c r="B1921" s="241"/>
      <c r="C1921" s="241"/>
      <c r="D1921" s="241"/>
      <c r="E1921" s="241"/>
      <c r="F1921" s="241"/>
      <c r="G1921" s="241"/>
      <c r="H1921" s="241"/>
      <c r="I1921"/>
      <c r="J1921" s="241"/>
      <c r="K1921" s="241"/>
      <c r="L1921" s="241"/>
      <c r="M1921" s="241"/>
      <c r="N1921" s="241"/>
      <c r="O1921" s="241"/>
      <c r="P1921" s="241"/>
      <c r="Q1921" s="241"/>
    </row>
    <row r="1922" spans="1:17" ht="13.5" customHeight="1" x14ac:dyDescent="0.3">
      <c r="A1922"/>
      <c r="B1922" s="241"/>
      <c r="C1922" s="241"/>
      <c r="D1922" s="241"/>
      <c r="E1922" s="241"/>
      <c r="F1922" s="241"/>
      <c r="G1922" s="241"/>
      <c r="H1922" s="241"/>
      <c r="I1922"/>
      <c r="J1922" s="241"/>
      <c r="K1922" s="241"/>
      <c r="L1922" s="241"/>
      <c r="M1922" s="241"/>
      <c r="N1922" s="241"/>
      <c r="O1922" s="241"/>
      <c r="P1922" s="241"/>
      <c r="Q1922" s="241"/>
    </row>
    <row r="1923" spans="1:17" ht="13.5" customHeight="1" x14ac:dyDescent="0.3">
      <c r="A1923"/>
      <c r="B1923" s="241"/>
      <c r="C1923" s="241"/>
      <c r="D1923" s="241"/>
      <c r="E1923" s="241"/>
      <c r="F1923" s="241"/>
      <c r="G1923" s="241"/>
      <c r="H1923" s="241"/>
      <c r="I1923"/>
      <c r="J1923" s="241"/>
      <c r="K1923" s="241"/>
      <c r="L1923" s="241"/>
      <c r="M1923" s="241"/>
      <c r="N1923" s="241"/>
      <c r="O1923" s="241"/>
      <c r="P1923" s="241"/>
      <c r="Q1923" s="241"/>
    </row>
    <row r="1924" spans="1:17" ht="13.5" customHeight="1" x14ac:dyDescent="0.3">
      <c r="A1924"/>
      <c r="B1924" s="241"/>
      <c r="C1924" s="241"/>
      <c r="D1924" s="241"/>
      <c r="E1924" s="241"/>
      <c r="F1924" s="241"/>
      <c r="G1924" s="241"/>
      <c r="H1924" s="241"/>
      <c r="I1924"/>
      <c r="J1924" s="241"/>
      <c r="K1924" s="241"/>
      <c r="L1924" s="241"/>
      <c r="M1924" s="241"/>
      <c r="N1924" s="241"/>
      <c r="O1924" s="241"/>
      <c r="P1924" s="241"/>
      <c r="Q1924" s="241"/>
    </row>
    <row r="1925" spans="1:17" ht="13.5" customHeight="1" x14ac:dyDescent="0.3">
      <c r="A1925"/>
      <c r="B1925" s="241"/>
      <c r="C1925" s="241"/>
      <c r="D1925" s="241"/>
      <c r="E1925" s="241"/>
      <c r="F1925" s="241"/>
      <c r="G1925" s="241"/>
      <c r="H1925" s="241"/>
      <c r="I1925"/>
      <c r="J1925" s="241"/>
      <c r="K1925" s="241"/>
      <c r="L1925" s="241"/>
      <c r="M1925" s="241"/>
      <c r="N1925" s="241"/>
      <c r="O1925" s="241"/>
      <c r="P1925" s="241"/>
      <c r="Q1925" s="241"/>
    </row>
    <row r="1926" spans="1:17" ht="13.5" customHeight="1" x14ac:dyDescent="0.3">
      <c r="A1926"/>
      <c r="B1926" s="241"/>
      <c r="C1926" s="241"/>
      <c r="D1926" s="241"/>
      <c r="E1926" s="241"/>
      <c r="F1926" s="241"/>
      <c r="G1926" s="241"/>
      <c r="H1926" s="241"/>
      <c r="I1926"/>
      <c r="J1926" s="241"/>
      <c r="K1926" s="241"/>
      <c r="L1926" s="241"/>
      <c r="M1926" s="241"/>
      <c r="N1926" s="241"/>
      <c r="O1926" s="241"/>
      <c r="P1926" s="241"/>
      <c r="Q1926" s="241"/>
    </row>
    <row r="1927" spans="1:17" ht="13.5" customHeight="1" x14ac:dyDescent="0.3">
      <c r="A1927"/>
      <c r="B1927" s="241"/>
      <c r="C1927" s="241"/>
      <c r="D1927" s="241"/>
      <c r="E1927" s="241"/>
      <c r="F1927" s="241"/>
      <c r="G1927" s="241"/>
      <c r="H1927" s="241"/>
      <c r="I1927"/>
      <c r="J1927" s="241"/>
      <c r="K1927" s="241"/>
      <c r="L1927" s="241"/>
      <c r="M1927" s="241"/>
      <c r="N1927" s="241"/>
      <c r="O1927" s="241"/>
      <c r="P1927" s="241"/>
      <c r="Q1927" s="241"/>
    </row>
    <row r="1928" spans="1:17" ht="13.5" customHeight="1" x14ac:dyDescent="0.3">
      <c r="A1928"/>
      <c r="B1928" s="241"/>
      <c r="C1928" s="241"/>
      <c r="D1928" s="241"/>
      <c r="E1928" s="241"/>
      <c r="F1928" s="241"/>
      <c r="G1928" s="241"/>
      <c r="H1928" s="241"/>
      <c r="I1928"/>
      <c r="J1928" s="241"/>
      <c r="K1928" s="241"/>
      <c r="L1928" s="241"/>
      <c r="M1928" s="241"/>
      <c r="N1928" s="241"/>
      <c r="O1928" s="241"/>
      <c r="P1928" s="241"/>
      <c r="Q1928" s="241"/>
    </row>
    <row r="1929" spans="1:17" ht="13.5" customHeight="1" x14ac:dyDescent="0.3">
      <c r="A1929"/>
      <c r="B1929" s="241"/>
      <c r="C1929" s="241"/>
      <c r="D1929" s="241"/>
      <c r="E1929" s="241"/>
      <c r="F1929" s="241"/>
      <c r="G1929" s="241"/>
      <c r="H1929" s="241"/>
      <c r="I1929"/>
      <c r="J1929" s="241"/>
      <c r="K1929" s="241"/>
      <c r="L1929" s="241"/>
      <c r="M1929" s="241"/>
      <c r="N1929" s="241"/>
      <c r="O1929" s="241"/>
      <c r="P1929" s="241"/>
      <c r="Q1929" s="241"/>
    </row>
    <row r="1930" spans="1:17" ht="13.5" customHeight="1" x14ac:dyDescent="0.3">
      <c r="A1930"/>
      <c r="B1930" s="241"/>
      <c r="C1930" s="241"/>
      <c r="D1930" s="241"/>
      <c r="E1930" s="241"/>
      <c r="F1930" s="241"/>
      <c r="G1930" s="241"/>
      <c r="H1930" s="241"/>
      <c r="I1930"/>
      <c r="J1930" s="241"/>
      <c r="K1930" s="241"/>
      <c r="L1930" s="241"/>
      <c r="M1930" s="241"/>
      <c r="N1930" s="241"/>
      <c r="O1930" s="241"/>
      <c r="P1930" s="241"/>
      <c r="Q1930" s="241"/>
    </row>
    <row r="1931" spans="1:17" ht="13.5" customHeight="1" x14ac:dyDescent="0.3">
      <c r="A1931"/>
      <c r="B1931" s="241"/>
      <c r="C1931" s="241"/>
      <c r="D1931" s="241"/>
      <c r="E1931" s="241"/>
      <c r="F1931" s="241"/>
      <c r="G1931" s="241"/>
      <c r="H1931" s="241"/>
      <c r="I1931"/>
      <c r="J1931" s="241"/>
      <c r="K1931" s="241"/>
      <c r="L1931" s="241"/>
      <c r="M1931" s="241"/>
      <c r="N1931" s="241"/>
      <c r="O1931" s="241"/>
      <c r="P1931" s="241"/>
      <c r="Q1931" s="241"/>
    </row>
    <row r="1932" spans="1:17" ht="13.5" customHeight="1" x14ac:dyDescent="0.3">
      <c r="A1932"/>
      <c r="B1932" s="241"/>
      <c r="C1932" s="241"/>
      <c r="D1932" s="241"/>
      <c r="E1932" s="241"/>
      <c r="F1932" s="241"/>
      <c r="G1932" s="241"/>
      <c r="H1932" s="241"/>
      <c r="I1932"/>
      <c r="J1932" s="241"/>
      <c r="K1932" s="241"/>
      <c r="L1932" s="241"/>
      <c r="M1932" s="241"/>
      <c r="N1932" s="241"/>
      <c r="O1932" s="241"/>
      <c r="P1932" s="241"/>
      <c r="Q1932" s="241"/>
    </row>
    <row r="1933" spans="1:17" ht="13.5" customHeight="1" x14ac:dyDescent="0.3">
      <c r="A1933"/>
      <c r="B1933" s="241"/>
      <c r="C1933" s="241"/>
      <c r="D1933" s="241"/>
      <c r="E1933" s="241"/>
      <c r="F1933" s="241"/>
      <c r="G1933" s="241"/>
      <c r="H1933" s="241"/>
      <c r="I1933"/>
      <c r="J1933" s="241"/>
      <c r="K1933" s="241"/>
      <c r="L1933" s="241"/>
      <c r="M1933" s="241"/>
      <c r="N1933" s="241"/>
      <c r="O1933" s="241"/>
      <c r="P1933" s="241"/>
      <c r="Q1933" s="241"/>
    </row>
    <row r="1934" spans="1:17" ht="13.5" customHeight="1" x14ac:dyDescent="0.3">
      <c r="A1934"/>
      <c r="B1934" s="241"/>
      <c r="C1934" s="241"/>
      <c r="D1934" s="241"/>
      <c r="E1934" s="241"/>
      <c r="F1934" s="241"/>
      <c r="G1934" s="241"/>
      <c r="H1934" s="241"/>
      <c r="I1934"/>
      <c r="J1934" s="241"/>
      <c r="K1934" s="241"/>
      <c r="L1934" s="241"/>
      <c r="M1934" s="241"/>
      <c r="N1934" s="241"/>
      <c r="O1934" s="241"/>
      <c r="P1934" s="241"/>
      <c r="Q1934" s="241"/>
    </row>
    <row r="1935" spans="1:17" ht="13.5" customHeight="1" x14ac:dyDescent="0.3">
      <c r="A1935"/>
      <c r="B1935" s="241"/>
      <c r="C1935" s="241"/>
      <c r="D1935" s="241"/>
      <c r="E1935" s="241"/>
      <c r="F1935" s="241"/>
      <c r="G1935" s="241"/>
      <c r="H1935" s="241"/>
      <c r="I1935"/>
      <c r="J1935" s="241"/>
      <c r="K1935" s="241"/>
      <c r="L1935" s="241"/>
      <c r="M1935" s="241"/>
      <c r="N1935" s="241"/>
      <c r="O1935" s="241"/>
      <c r="P1935" s="241"/>
      <c r="Q1935" s="241"/>
    </row>
    <row r="1936" spans="1:17" ht="13.5" customHeight="1" x14ac:dyDescent="0.3">
      <c r="A1936"/>
      <c r="B1936" s="241"/>
      <c r="C1936" s="241"/>
      <c r="D1936" s="241"/>
      <c r="E1936" s="241"/>
      <c r="F1936" s="241"/>
      <c r="G1936" s="241"/>
      <c r="H1936" s="241"/>
      <c r="I1936"/>
      <c r="J1936" s="241"/>
      <c r="K1936" s="241"/>
      <c r="L1936" s="241"/>
      <c r="M1936" s="241"/>
      <c r="N1936" s="241"/>
      <c r="O1936" s="241"/>
      <c r="P1936" s="241"/>
      <c r="Q1936" s="241"/>
    </row>
    <row r="1937" spans="1:17" ht="13.5" customHeight="1" x14ac:dyDescent="0.3">
      <c r="A1937"/>
      <c r="B1937" s="241"/>
      <c r="C1937" s="241"/>
      <c r="D1937" s="241"/>
      <c r="E1937" s="241"/>
      <c r="F1937" s="241"/>
      <c r="G1937" s="241"/>
      <c r="H1937" s="241"/>
      <c r="I1937"/>
      <c r="J1937" s="241"/>
      <c r="K1937" s="241"/>
      <c r="L1937" s="241"/>
      <c r="M1937" s="241"/>
      <c r="N1937" s="241"/>
      <c r="O1937" s="241"/>
      <c r="P1937" s="241"/>
      <c r="Q1937" s="241"/>
    </row>
    <row r="1938" spans="1:17" ht="13.5" customHeight="1" x14ac:dyDescent="0.3">
      <c r="A1938"/>
      <c r="B1938" s="241"/>
      <c r="C1938" s="241"/>
      <c r="D1938" s="241"/>
      <c r="E1938" s="241"/>
      <c r="F1938" s="241"/>
      <c r="G1938" s="241"/>
      <c r="H1938" s="241"/>
      <c r="I1938"/>
      <c r="J1938" s="241"/>
      <c r="K1938" s="241"/>
      <c r="L1938" s="241"/>
      <c r="M1938" s="241"/>
      <c r="N1938" s="241"/>
      <c r="O1938" s="241"/>
      <c r="P1938" s="241"/>
      <c r="Q1938" s="241"/>
    </row>
    <row r="1939" spans="1:17" ht="13.5" customHeight="1" x14ac:dyDescent="0.3">
      <c r="A1939"/>
      <c r="B1939" s="241"/>
      <c r="C1939" s="241"/>
      <c r="D1939" s="241"/>
      <c r="E1939" s="241"/>
      <c r="F1939" s="241"/>
      <c r="G1939" s="241"/>
      <c r="H1939" s="241"/>
      <c r="I1939"/>
      <c r="J1939" s="241"/>
      <c r="K1939" s="241"/>
      <c r="L1939" s="241"/>
      <c r="M1939" s="241"/>
      <c r="N1939" s="241"/>
      <c r="O1939" s="241"/>
      <c r="P1939" s="241"/>
      <c r="Q1939" s="241"/>
    </row>
    <row r="1940" spans="1:17" ht="13.5" customHeight="1" x14ac:dyDescent="0.3">
      <c r="A1940"/>
      <c r="B1940" s="241"/>
      <c r="C1940" s="241"/>
      <c r="D1940" s="241"/>
      <c r="E1940" s="241"/>
      <c r="F1940" s="241"/>
      <c r="G1940" s="241"/>
      <c r="H1940" s="241"/>
      <c r="I1940"/>
      <c r="J1940" s="241"/>
      <c r="K1940" s="241"/>
      <c r="L1940" s="241"/>
      <c r="M1940" s="241"/>
      <c r="N1940" s="241"/>
      <c r="O1940" s="241"/>
      <c r="P1940" s="241"/>
      <c r="Q1940" s="241"/>
    </row>
    <row r="1941" spans="1:17" ht="13.5" customHeight="1" x14ac:dyDescent="0.3">
      <c r="A1941"/>
      <c r="B1941" s="241"/>
      <c r="C1941" s="241"/>
      <c r="D1941" s="241"/>
      <c r="E1941" s="241"/>
      <c r="F1941" s="241"/>
      <c r="G1941" s="241"/>
      <c r="H1941" s="241"/>
      <c r="I1941"/>
      <c r="J1941" s="241"/>
      <c r="K1941" s="241"/>
      <c r="L1941" s="241"/>
      <c r="M1941" s="241"/>
      <c r="N1941" s="241"/>
      <c r="O1941" s="241"/>
      <c r="P1941" s="241"/>
      <c r="Q1941" s="241"/>
    </row>
    <row r="1942" spans="1:17" ht="13.5" customHeight="1" x14ac:dyDescent="0.3">
      <c r="A1942"/>
      <c r="B1942" s="241"/>
      <c r="C1942" s="241"/>
      <c r="D1942" s="241"/>
      <c r="E1942" s="241"/>
      <c r="F1942" s="241"/>
      <c r="G1942" s="241"/>
      <c r="H1942" s="241"/>
      <c r="I1942"/>
      <c r="J1942" s="241"/>
      <c r="K1942" s="241"/>
      <c r="L1942" s="241"/>
      <c r="M1942" s="241"/>
      <c r="N1942" s="241"/>
      <c r="O1942" s="241"/>
      <c r="P1942" s="241"/>
      <c r="Q1942" s="241"/>
    </row>
    <row r="1943" spans="1:17" ht="13.5" customHeight="1" x14ac:dyDescent="0.3">
      <c r="A1943"/>
      <c r="B1943" s="241"/>
      <c r="C1943" s="241"/>
      <c r="D1943" s="241"/>
      <c r="E1943" s="241"/>
      <c r="F1943" s="241"/>
      <c r="G1943" s="241"/>
      <c r="H1943" s="241"/>
      <c r="I1943"/>
      <c r="J1943" s="241"/>
      <c r="K1943" s="241"/>
      <c r="L1943" s="241"/>
      <c r="M1943" s="241"/>
      <c r="N1943" s="241"/>
      <c r="O1943" s="241"/>
      <c r="P1943" s="241"/>
      <c r="Q1943" s="241"/>
    </row>
    <row r="1944" spans="1:17" ht="13.5" customHeight="1" x14ac:dyDescent="0.3">
      <c r="A1944"/>
      <c r="B1944" s="241"/>
      <c r="C1944" s="241"/>
      <c r="D1944" s="241"/>
      <c r="E1944" s="241"/>
      <c r="F1944" s="241"/>
      <c r="G1944" s="241"/>
      <c r="H1944" s="241"/>
      <c r="I1944"/>
      <c r="J1944" s="241"/>
      <c r="K1944" s="241"/>
      <c r="L1944" s="241"/>
      <c r="M1944" s="241"/>
      <c r="N1944" s="241"/>
      <c r="O1944" s="241"/>
      <c r="P1944" s="241"/>
      <c r="Q1944" s="241"/>
    </row>
    <row r="1945" spans="1:17" ht="13.5" customHeight="1" x14ac:dyDescent="0.3">
      <c r="A1945"/>
      <c r="B1945" s="241"/>
      <c r="C1945" s="241"/>
      <c r="D1945" s="241"/>
      <c r="E1945" s="241"/>
      <c r="F1945" s="241"/>
      <c r="G1945" s="241"/>
      <c r="H1945" s="241"/>
      <c r="I1945"/>
      <c r="J1945" s="241"/>
      <c r="K1945" s="241"/>
      <c r="L1945" s="241"/>
      <c r="M1945" s="241"/>
      <c r="N1945" s="241"/>
      <c r="O1945" s="241"/>
      <c r="P1945" s="241"/>
      <c r="Q1945" s="241"/>
    </row>
    <row r="1946" spans="1:17" ht="13.5" customHeight="1" x14ac:dyDescent="0.3">
      <c r="A1946"/>
      <c r="B1946" s="241"/>
      <c r="C1946" s="241"/>
      <c r="D1946" s="241"/>
      <c r="E1946" s="241"/>
      <c r="F1946" s="241"/>
      <c r="G1946" s="241"/>
      <c r="H1946" s="241"/>
      <c r="I1946"/>
      <c r="J1946" s="241"/>
      <c r="K1946" s="241"/>
      <c r="L1946" s="241"/>
      <c r="M1946" s="241"/>
      <c r="N1946" s="241"/>
      <c r="O1946" s="241"/>
      <c r="P1946" s="241"/>
      <c r="Q1946" s="241"/>
    </row>
    <row r="1947" spans="1:17" ht="13.5" customHeight="1" x14ac:dyDescent="0.3">
      <c r="A1947"/>
      <c r="B1947" s="241"/>
      <c r="C1947" s="241"/>
      <c r="D1947" s="241"/>
      <c r="E1947" s="241"/>
      <c r="F1947" s="241"/>
      <c r="G1947" s="241"/>
      <c r="H1947" s="241"/>
      <c r="I1947"/>
      <c r="J1947" s="241"/>
      <c r="K1947" s="241"/>
      <c r="L1947" s="241"/>
      <c r="M1947" s="241"/>
      <c r="N1947" s="241"/>
      <c r="O1947" s="241"/>
      <c r="P1947" s="241"/>
      <c r="Q1947" s="241"/>
    </row>
    <row r="1948" spans="1:17" ht="13.5" customHeight="1" x14ac:dyDescent="0.3">
      <c r="A1948"/>
      <c r="B1948" s="241"/>
      <c r="C1948" s="241"/>
      <c r="D1948" s="241"/>
      <c r="E1948" s="241"/>
      <c r="F1948" s="241"/>
      <c r="G1948" s="241"/>
      <c r="H1948" s="241"/>
      <c r="I1948"/>
      <c r="J1948" s="241"/>
      <c r="K1948" s="241"/>
      <c r="L1948" s="241"/>
      <c r="M1948" s="241"/>
      <c r="N1948" s="241"/>
      <c r="O1948" s="241"/>
      <c r="P1948" s="241"/>
      <c r="Q1948" s="241"/>
    </row>
    <row r="1949" spans="1:17" ht="13.5" customHeight="1" x14ac:dyDescent="0.3">
      <c r="A1949"/>
      <c r="B1949" s="241"/>
      <c r="C1949" s="241"/>
      <c r="D1949" s="241"/>
      <c r="E1949" s="241"/>
      <c r="F1949" s="241"/>
      <c r="G1949" s="241"/>
      <c r="H1949" s="241"/>
      <c r="I1949"/>
      <c r="J1949" s="241"/>
      <c r="K1949" s="241"/>
      <c r="L1949" s="241"/>
      <c r="M1949" s="241"/>
      <c r="N1949" s="241"/>
      <c r="O1949" s="241"/>
      <c r="P1949" s="241"/>
      <c r="Q1949" s="241"/>
    </row>
    <row r="1950" spans="1:17" ht="13.5" customHeight="1" x14ac:dyDescent="0.3">
      <c r="A1950"/>
      <c r="B1950" s="241"/>
      <c r="C1950" s="241"/>
      <c r="D1950" s="241"/>
      <c r="E1950" s="241"/>
      <c r="F1950" s="241"/>
      <c r="G1950" s="241"/>
      <c r="H1950" s="241"/>
      <c r="I1950"/>
      <c r="J1950" s="241"/>
      <c r="K1950" s="241"/>
      <c r="L1950" s="241"/>
      <c r="M1950" s="241"/>
      <c r="N1950" s="241"/>
      <c r="O1950" s="241"/>
      <c r="P1950" s="241"/>
      <c r="Q1950" s="241"/>
    </row>
    <row r="1951" spans="1:17" ht="13.5" customHeight="1" x14ac:dyDescent="0.3">
      <c r="A1951"/>
      <c r="B1951" s="241"/>
      <c r="C1951" s="241"/>
      <c r="D1951" s="241"/>
      <c r="E1951" s="241"/>
      <c r="F1951" s="241"/>
      <c r="G1951" s="241"/>
      <c r="H1951" s="241"/>
      <c r="I1951"/>
      <c r="J1951" s="241"/>
      <c r="K1951" s="241"/>
      <c r="L1951" s="241"/>
      <c r="M1951" s="241"/>
      <c r="N1951" s="241"/>
      <c r="O1951" s="241"/>
      <c r="P1951" s="241"/>
      <c r="Q1951" s="241"/>
    </row>
    <row r="1952" spans="1:17" ht="13.5" customHeight="1" x14ac:dyDescent="0.3">
      <c r="A1952"/>
      <c r="B1952" s="241"/>
      <c r="C1952" s="241"/>
      <c r="D1952" s="241"/>
      <c r="E1952" s="241"/>
      <c r="F1952" s="241"/>
      <c r="G1952" s="241"/>
      <c r="H1952" s="241"/>
      <c r="I1952"/>
      <c r="J1952" s="241"/>
      <c r="K1952" s="241"/>
      <c r="L1952" s="241"/>
      <c r="M1952" s="241"/>
      <c r="N1952" s="241"/>
      <c r="O1952" s="241"/>
      <c r="P1952" s="241"/>
      <c r="Q1952" s="241"/>
    </row>
    <row r="1953" spans="1:17" ht="13.5" customHeight="1" x14ac:dyDescent="0.3">
      <c r="A1953"/>
      <c r="B1953" s="241"/>
      <c r="C1953" s="241"/>
      <c r="D1953" s="241"/>
      <c r="E1953" s="241"/>
      <c r="F1953" s="241"/>
      <c r="G1953" s="241"/>
      <c r="H1953" s="241"/>
      <c r="I1953"/>
      <c r="J1953" s="241"/>
      <c r="K1953" s="241"/>
      <c r="L1953" s="241"/>
      <c r="M1953" s="241"/>
      <c r="N1953" s="241"/>
      <c r="O1953" s="241"/>
      <c r="P1953" s="241"/>
      <c r="Q1953" s="241"/>
    </row>
    <row r="1954" spans="1:17" ht="13.5" customHeight="1" x14ac:dyDescent="0.3">
      <c r="A1954"/>
      <c r="B1954" s="241"/>
      <c r="C1954" s="241"/>
      <c r="D1954" s="241"/>
      <c r="E1954" s="241"/>
      <c r="F1954" s="241"/>
      <c r="G1954" s="241"/>
      <c r="H1954" s="241"/>
      <c r="I1954"/>
      <c r="J1954" s="241"/>
      <c r="K1954" s="241"/>
      <c r="L1954" s="241"/>
      <c r="M1954" s="241"/>
      <c r="N1954" s="241"/>
      <c r="O1954" s="241"/>
      <c r="P1954" s="241"/>
      <c r="Q1954" s="241"/>
    </row>
    <row r="1955" spans="1:17" ht="13.5" customHeight="1" x14ac:dyDescent="0.3">
      <c r="A1955"/>
      <c r="B1955" s="241"/>
      <c r="C1955" s="241"/>
      <c r="D1955" s="241"/>
      <c r="E1955" s="241"/>
      <c r="F1955" s="241"/>
      <c r="G1955" s="241"/>
      <c r="H1955" s="241"/>
      <c r="I1955"/>
      <c r="J1955" s="241"/>
      <c r="K1955" s="241"/>
      <c r="L1955" s="241"/>
      <c r="M1955" s="241"/>
      <c r="N1955" s="241"/>
      <c r="O1955" s="241"/>
      <c r="P1955" s="241"/>
      <c r="Q1955" s="241"/>
    </row>
    <row r="1956" spans="1:17" ht="13.5" customHeight="1" x14ac:dyDescent="0.3">
      <c r="A1956"/>
      <c r="B1956" s="241"/>
      <c r="C1956" s="241"/>
      <c r="D1956" s="241"/>
      <c r="E1956" s="241"/>
      <c r="F1956" s="241"/>
      <c r="G1956" s="241"/>
      <c r="H1956" s="241"/>
      <c r="I1956"/>
      <c r="J1956" s="241"/>
      <c r="K1956" s="241"/>
      <c r="L1956" s="241"/>
      <c r="M1956" s="241"/>
      <c r="N1956" s="241"/>
      <c r="O1956" s="241"/>
      <c r="P1956" s="241"/>
      <c r="Q1956" s="241"/>
    </row>
    <row r="1957" spans="1:17" ht="13.5" customHeight="1" x14ac:dyDescent="0.3">
      <c r="A1957"/>
      <c r="B1957" s="241"/>
      <c r="C1957" s="241"/>
      <c r="D1957" s="241"/>
      <c r="E1957" s="241"/>
      <c r="F1957" s="241"/>
      <c r="G1957" s="241"/>
      <c r="H1957" s="241"/>
      <c r="I1957"/>
      <c r="J1957" s="241"/>
      <c r="K1957" s="241"/>
      <c r="L1957" s="241"/>
      <c r="M1957" s="241"/>
      <c r="N1957" s="241"/>
      <c r="O1957" s="241"/>
      <c r="P1957" s="241"/>
      <c r="Q1957" s="241"/>
    </row>
    <row r="1958" spans="1:17" ht="13.5" customHeight="1" x14ac:dyDescent="0.3">
      <c r="A1958"/>
      <c r="B1958" s="241"/>
      <c r="C1958" s="241"/>
      <c r="D1958" s="241"/>
      <c r="E1958" s="241"/>
      <c r="F1958" s="241"/>
      <c r="G1958" s="241"/>
      <c r="H1958" s="241"/>
      <c r="I1958"/>
      <c r="J1958" s="241"/>
      <c r="K1958" s="241"/>
      <c r="L1958" s="241"/>
      <c r="M1958" s="241"/>
      <c r="N1958" s="241"/>
      <c r="O1958" s="241"/>
      <c r="P1958" s="241"/>
      <c r="Q1958" s="241"/>
    </row>
    <row r="1959" spans="1:17" ht="13.5" customHeight="1" x14ac:dyDescent="0.3">
      <c r="A1959"/>
      <c r="B1959" s="241"/>
      <c r="C1959" s="241"/>
      <c r="D1959" s="241"/>
      <c r="E1959" s="241"/>
      <c r="F1959" s="241"/>
      <c r="G1959" s="241"/>
      <c r="H1959" s="241"/>
      <c r="I1959"/>
      <c r="J1959" s="241"/>
      <c r="K1959" s="241"/>
      <c r="L1959" s="241"/>
      <c r="M1959" s="241"/>
      <c r="N1959" s="241"/>
      <c r="O1959" s="241"/>
      <c r="P1959" s="241"/>
      <c r="Q1959" s="241"/>
    </row>
    <row r="1960" spans="1:17" ht="13.5" customHeight="1" x14ac:dyDescent="0.3">
      <c r="A1960"/>
      <c r="B1960" s="241"/>
      <c r="C1960" s="241"/>
      <c r="D1960" s="241"/>
      <c r="E1960" s="241"/>
      <c r="F1960" s="241"/>
      <c r="G1960" s="241"/>
      <c r="H1960" s="241"/>
      <c r="I1960"/>
      <c r="J1960" s="241"/>
      <c r="K1960" s="241"/>
      <c r="L1960" s="241"/>
      <c r="M1960" s="241"/>
      <c r="N1960" s="241"/>
      <c r="O1960" s="241"/>
      <c r="P1960" s="241"/>
      <c r="Q1960" s="241"/>
    </row>
    <row r="1961" spans="1:17" ht="13.5" customHeight="1" x14ac:dyDescent="0.3">
      <c r="A1961"/>
      <c r="B1961" s="241"/>
      <c r="C1961" s="241"/>
      <c r="D1961" s="241"/>
      <c r="E1961" s="241"/>
      <c r="F1961" s="241"/>
      <c r="G1961" s="241"/>
      <c r="H1961" s="241"/>
      <c r="I1961"/>
      <c r="J1961" s="241"/>
      <c r="K1961" s="241"/>
      <c r="L1961" s="241"/>
      <c r="M1961" s="241"/>
      <c r="N1961" s="241"/>
      <c r="O1961" s="241"/>
      <c r="P1961" s="241"/>
      <c r="Q1961" s="241"/>
    </row>
    <row r="1962" spans="1:17" ht="13.5" customHeight="1" x14ac:dyDescent="0.3">
      <c r="A1962"/>
      <c r="B1962" s="241"/>
      <c r="C1962" s="241"/>
      <c r="D1962" s="241"/>
      <c r="E1962" s="241"/>
      <c r="F1962" s="241"/>
      <c r="G1962" s="241"/>
      <c r="H1962" s="241"/>
      <c r="I1962"/>
      <c r="J1962" s="241"/>
      <c r="K1962" s="241"/>
      <c r="L1962" s="241"/>
      <c r="M1962" s="241"/>
      <c r="N1962" s="241"/>
      <c r="O1962" s="241"/>
      <c r="P1962" s="241"/>
      <c r="Q1962" s="241"/>
    </row>
    <row r="1963" spans="1:17" ht="13.5" customHeight="1" x14ac:dyDescent="0.3">
      <c r="A1963"/>
      <c r="B1963" s="241"/>
      <c r="C1963" s="241"/>
      <c r="D1963" s="241"/>
      <c r="E1963" s="241"/>
      <c r="F1963" s="241"/>
      <c r="G1963" s="241"/>
      <c r="H1963" s="241"/>
      <c r="I1963"/>
      <c r="J1963" s="241"/>
      <c r="K1963" s="241"/>
      <c r="L1963" s="241"/>
      <c r="M1963" s="241"/>
      <c r="N1963" s="241"/>
      <c r="O1963" s="241"/>
      <c r="P1963" s="241"/>
      <c r="Q1963" s="241"/>
    </row>
    <row r="1964" spans="1:17" ht="13.5" customHeight="1" x14ac:dyDescent="0.3">
      <c r="A1964"/>
      <c r="B1964" s="241"/>
      <c r="C1964" s="241"/>
      <c r="D1964" s="241"/>
      <c r="E1964" s="241"/>
      <c r="F1964" s="241"/>
      <c r="G1964" s="241"/>
      <c r="H1964" s="241"/>
      <c r="I1964"/>
      <c r="J1964" s="241"/>
      <c r="K1964" s="241"/>
      <c r="L1964" s="241"/>
      <c r="M1964" s="241"/>
      <c r="N1964" s="241"/>
      <c r="O1964" s="241"/>
      <c r="P1964" s="241"/>
      <c r="Q1964" s="241"/>
    </row>
    <row r="1965" spans="1:17" ht="13.5" customHeight="1" x14ac:dyDescent="0.3">
      <c r="A1965"/>
      <c r="B1965" s="241"/>
      <c r="C1965" s="241"/>
      <c r="D1965" s="241"/>
      <c r="E1965" s="241"/>
      <c r="F1965" s="241"/>
      <c r="G1965" s="241"/>
      <c r="H1965" s="241"/>
      <c r="I1965"/>
      <c r="J1965" s="241"/>
      <c r="K1965" s="241"/>
      <c r="L1965" s="241"/>
      <c r="M1965" s="241"/>
      <c r="N1965" s="241"/>
      <c r="O1965" s="241"/>
      <c r="P1965" s="241"/>
      <c r="Q1965" s="241"/>
    </row>
    <row r="1966" spans="1:17" ht="13.5" customHeight="1" x14ac:dyDescent="0.3">
      <c r="A1966"/>
      <c r="B1966" s="241"/>
      <c r="C1966" s="241"/>
      <c r="D1966" s="241"/>
      <c r="E1966" s="241"/>
      <c r="F1966" s="241"/>
      <c r="G1966" s="241"/>
      <c r="H1966" s="241"/>
      <c r="I1966"/>
      <c r="J1966" s="241"/>
      <c r="K1966" s="241"/>
      <c r="L1966" s="241"/>
      <c r="M1966" s="241"/>
      <c r="N1966" s="241"/>
      <c r="O1966" s="241"/>
      <c r="P1966" s="241"/>
      <c r="Q1966" s="241"/>
    </row>
    <row r="1967" spans="1:17" ht="13.5" customHeight="1" x14ac:dyDescent="0.3">
      <c r="A1967"/>
      <c r="B1967" s="241"/>
      <c r="C1967" s="241"/>
      <c r="D1967" s="241"/>
      <c r="E1967" s="241"/>
      <c r="F1967" s="241"/>
      <c r="G1967" s="241"/>
      <c r="H1967" s="241"/>
      <c r="I1967"/>
      <c r="J1967" s="241"/>
      <c r="K1967" s="241"/>
      <c r="L1967" s="241"/>
      <c r="M1967" s="241"/>
      <c r="N1967" s="241"/>
      <c r="O1967" s="241"/>
      <c r="P1967" s="241"/>
      <c r="Q1967" s="241"/>
    </row>
    <row r="1968" spans="1:17" ht="13.5" customHeight="1" x14ac:dyDescent="0.3">
      <c r="A1968"/>
      <c r="B1968" s="241"/>
      <c r="C1968" s="241"/>
      <c r="D1968" s="241"/>
      <c r="E1968" s="241"/>
      <c r="F1968" s="241"/>
      <c r="G1968" s="241"/>
      <c r="H1968" s="241"/>
      <c r="I1968"/>
      <c r="J1968" s="241"/>
      <c r="K1968" s="241"/>
      <c r="L1968" s="241"/>
      <c r="M1968" s="241"/>
      <c r="N1968" s="241"/>
      <c r="O1968" s="241"/>
      <c r="P1968" s="241"/>
      <c r="Q1968" s="241"/>
    </row>
    <row r="1969" spans="1:17" ht="13.5" customHeight="1" x14ac:dyDescent="0.3">
      <c r="A1969"/>
      <c r="B1969" s="241"/>
      <c r="C1969" s="241"/>
      <c r="D1969" s="241"/>
      <c r="E1969" s="241"/>
      <c r="F1969" s="241"/>
      <c r="G1969" s="241"/>
      <c r="H1969" s="241"/>
      <c r="I1969"/>
      <c r="J1969" s="241"/>
      <c r="K1969" s="241"/>
      <c r="L1969" s="241"/>
      <c r="M1969" s="241"/>
      <c r="N1969" s="241"/>
      <c r="O1969" s="241"/>
      <c r="P1969" s="241"/>
      <c r="Q1969" s="241"/>
    </row>
    <row r="1970" spans="1:17" ht="13.5" customHeight="1" x14ac:dyDescent="0.3">
      <c r="A1970"/>
      <c r="B1970" s="241"/>
      <c r="C1970" s="241"/>
      <c r="D1970" s="241"/>
      <c r="E1970" s="241"/>
      <c r="F1970" s="241"/>
      <c r="G1970" s="241"/>
      <c r="H1970" s="241"/>
      <c r="I1970"/>
      <c r="J1970" s="241"/>
      <c r="K1970" s="241"/>
      <c r="L1970" s="241"/>
      <c r="M1970" s="241"/>
      <c r="N1970" s="241"/>
      <c r="O1970" s="241"/>
      <c r="P1970" s="241"/>
      <c r="Q1970" s="241"/>
    </row>
    <row r="1971" spans="1:17" ht="13.5" customHeight="1" x14ac:dyDescent="0.3">
      <c r="A1971"/>
      <c r="B1971" s="241"/>
      <c r="C1971" s="241"/>
      <c r="D1971" s="241"/>
      <c r="E1971" s="241"/>
      <c r="F1971" s="241"/>
      <c r="G1971" s="241"/>
      <c r="H1971" s="241"/>
      <c r="I1971"/>
      <c r="J1971" s="241"/>
      <c r="K1971" s="241"/>
      <c r="L1971" s="241"/>
      <c r="M1971" s="241"/>
      <c r="N1971" s="241"/>
      <c r="O1971" s="241"/>
      <c r="P1971" s="241"/>
      <c r="Q1971" s="241"/>
    </row>
    <row r="1972" spans="1:17" ht="13.5" customHeight="1" x14ac:dyDescent="0.3">
      <c r="A1972"/>
      <c r="B1972" s="241"/>
      <c r="C1972" s="241"/>
      <c r="D1972" s="241"/>
      <c r="E1972" s="241"/>
      <c r="F1972" s="241"/>
      <c r="G1972" s="241"/>
      <c r="H1972" s="241"/>
      <c r="I1972"/>
      <c r="J1972" s="241"/>
      <c r="K1972" s="241"/>
      <c r="L1972" s="241"/>
      <c r="M1972" s="241"/>
      <c r="N1972" s="241"/>
      <c r="O1972" s="241"/>
      <c r="P1972" s="241"/>
      <c r="Q1972" s="241"/>
    </row>
    <row r="1973" spans="1:17" ht="13.5" customHeight="1" x14ac:dyDescent="0.3">
      <c r="A1973"/>
      <c r="B1973" s="241"/>
      <c r="C1973" s="241"/>
      <c r="D1973" s="241"/>
      <c r="E1973" s="241"/>
      <c r="F1973" s="241"/>
      <c r="G1973" s="241"/>
      <c r="H1973" s="241"/>
      <c r="I1973"/>
      <c r="J1973" s="241"/>
      <c r="K1973" s="241"/>
      <c r="L1973" s="241"/>
      <c r="M1973" s="241"/>
      <c r="N1973" s="241"/>
      <c r="O1973" s="241"/>
      <c r="P1973" s="241"/>
      <c r="Q1973" s="241"/>
    </row>
    <row r="1974" spans="1:17" ht="13.5" customHeight="1" x14ac:dyDescent="0.3">
      <c r="A1974"/>
      <c r="B1974" s="241"/>
      <c r="C1974" s="241"/>
      <c r="D1974" s="241"/>
      <c r="E1974" s="241"/>
      <c r="F1974" s="241"/>
      <c r="G1974" s="241"/>
      <c r="H1974" s="241"/>
      <c r="I1974"/>
      <c r="J1974" s="241"/>
      <c r="K1974" s="241"/>
      <c r="L1974" s="241"/>
      <c r="M1974" s="241"/>
      <c r="N1974" s="241"/>
      <c r="O1974" s="241"/>
      <c r="P1974" s="241"/>
      <c r="Q1974" s="241"/>
    </row>
    <row r="1975" spans="1:17" ht="13.5" customHeight="1" x14ac:dyDescent="0.3">
      <c r="A1975"/>
      <c r="B1975" s="241"/>
      <c r="C1975" s="241"/>
      <c r="D1975" s="241"/>
      <c r="E1975" s="241"/>
      <c r="F1975" s="241"/>
      <c r="G1975" s="241"/>
      <c r="H1975" s="241"/>
      <c r="I1975"/>
      <c r="J1975" s="241"/>
      <c r="K1975" s="241"/>
      <c r="L1975" s="241"/>
      <c r="M1975" s="241"/>
      <c r="N1975" s="241"/>
      <c r="O1975" s="241"/>
      <c r="P1975" s="241"/>
      <c r="Q1975" s="241"/>
    </row>
    <row r="1976" spans="1:17" ht="13.5" customHeight="1" x14ac:dyDescent="0.3">
      <c r="A1976"/>
      <c r="B1976" s="241"/>
      <c r="C1976" s="241"/>
      <c r="D1976" s="241"/>
      <c r="E1976" s="241"/>
      <c r="F1976" s="241"/>
      <c r="G1976" s="241"/>
      <c r="H1976" s="241"/>
      <c r="I1976"/>
      <c r="J1976" s="241"/>
      <c r="K1976" s="241"/>
      <c r="L1976" s="241"/>
      <c r="M1976" s="241"/>
      <c r="N1976" s="241"/>
      <c r="O1976" s="241"/>
      <c r="P1976" s="241"/>
      <c r="Q1976" s="241"/>
    </row>
    <row r="1977" spans="1:17" ht="13.5" customHeight="1" x14ac:dyDescent="0.3">
      <c r="A1977"/>
      <c r="B1977" s="241"/>
      <c r="C1977" s="241"/>
      <c r="D1977" s="241"/>
      <c r="E1977" s="241"/>
      <c r="F1977" s="241"/>
      <c r="G1977" s="241"/>
      <c r="H1977" s="241"/>
      <c r="I1977"/>
      <c r="J1977" s="241"/>
      <c r="K1977" s="241"/>
      <c r="L1977" s="241"/>
      <c r="M1977" s="241"/>
      <c r="N1977" s="241"/>
      <c r="O1977" s="241"/>
      <c r="P1977" s="241"/>
      <c r="Q1977" s="241"/>
    </row>
    <row r="1978" spans="1:17" ht="13.5" customHeight="1" x14ac:dyDescent="0.3">
      <c r="A1978"/>
      <c r="B1978" s="241"/>
      <c r="C1978" s="241"/>
      <c r="D1978" s="241"/>
      <c r="E1978" s="241"/>
      <c r="F1978" s="241"/>
      <c r="G1978" s="241"/>
      <c r="H1978" s="241"/>
      <c r="I1978"/>
      <c r="J1978" s="241"/>
      <c r="K1978" s="241"/>
      <c r="L1978" s="241"/>
      <c r="M1978" s="241"/>
      <c r="N1978" s="241"/>
      <c r="O1978" s="241"/>
      <c r="P1978" s="241"/>
      <c r="Q1978" s="241"/>
    </row>
    <row r="1979" spans="1:17" ht="13.5" customHeight="1" x14ac:dyDescent="0.3">
      <c r="A1979"/>
      <c r="B1979" s="241"/>
      <c r="C1979" s="241"/>
      <c r="D1979" s="241"/>
      <c r="E1979" s="241"/>
      <c r="F1979" s="241"/>
      <c r="G1979" s="241"/>
      <c r="H1979" s="241"/>
      <c r="I1979"/>
      <c r="J1979" s="241"/>
      <c r="K1979" s="241"/>
      <c r="L1979" s="241"/>
      <c r="M1979" s="241"/>
      <c r="N1979" s="241"/>
      <c r="O1979" s="241"/>
      <c r="P1979" s="241"/>
      <c r="Q1979" s="241"/>
    </row>
    <row r="1980" spans="1:17" ht="13.5" customHeight="1" x14ac:dyDescent="0.3">
      <c r="A1980"/>
      <c r="B1980" s="241"/>
      <c r="C1980" s="241"/>
      <c r="D1980" s="241"/>
      <c r="E1980" s="241"/>
      <c r="F1980" s="241"/>
      <c r="G1980" s="241"/>
      <c r="H1980" s="241"/>
      <c r="I1980"/>
      <c r="J1980" s="241"/>
      <c r="K1980" s="241"/>
      <c r="L1980" s="241"/>
      <c r="M1980" s="241"/>
      <c r="N1980" s="241"/>
      <c r="O1980" s="241"/>
      <c r="P1980" s="241"/>
      <c r="Q1980" s="241"/>
    </row>
    <row r="1981" spans="1:17" ht="13.5" customHeight="1" x14ac:dyDescent="0.3">
      <c r="A1981"/>
      <c r="B1981" s="241"/>
      <c r="C1981" s="241"/>
      <c r="D1981" s="241"/>
      <c r="E1981" s="241"/>
      <c r="F1981" s="241"/>
      <c r="G1981" s="241"/>
      <c r="H1981" s="241"/>
      <c r="I1981"/>
      <c r="J1981" s="241"/>
      <c r="K1981" s="241"/>
      <c r="L1981" s="241"/>
      <c r="M1981" s="241"/>
      <c r="N1981" s="241"/>
      <c r="O1981" s="241"/>
      <c r="P1981" s="241"/>
      <c r="Q1981" s="241"/>
    </row>
    <row r="1982" spans="1:17" ht="13.5" customHeight="1" x14ac:dyDescent="0.3">
      <c r="A1982"/>
      <c r="B1982" s="241"/>
      <c r="C1982" s="241"/>
      <c r="D1982" s="241"/>
      <c r="E1982" s="241"/>
      <c r="F1982" s="241"/>
      <c r="G1982" s="241"/>
      <c r="H1982" s="241"/>
      <c r="I1982"/>
      <c r="J1982" s="241"/>
      <c r="K1982" s="241"/>
      <c r="L1982" s="241"/>
      <c r="M1982" s="241"/>
      <c r="N1982" s="241"/>
      <c r="O1982" s="241"/>
      <c r="P1982" s="241"/>
      <c r="Q1982" s="241"/>
    </row>
    <row r="1983" spans="1:17" ht="13.5" customHeight="1" x14ac:dyDescent="0.3">
      <c r="A1983"/>
      <c r="B1983" s="241"/>
      <c r="C1983" s="241"/>
      <c r="D1983" s="241"/>
      <c r="E1983" s="241"/>
      <c r="F1983" s="241"/>
      <c r="G1983" s="241"/>
      <c r="H1983" s="241"/>
      <c r="I1983"/>
      <c r="J1983" s="241"/>
      <c r="K1983" s="241"/>
      <c r="L1983" s="241"/>
      <c r="M1983" s="241"/>
      <c r="N1983" s="241"/>
      <c r="O1983" s="241"/>
      <c r="P1983" s="241"/>
      <c r="Q1983" s="241"/>
    </row>
    <row r="1984" spans="1:17" ht="13.5" customHeight="1" x14ac:dyDescent="0.3">
      <c r="A1984"/>
      <c r="B1984" s="241"/>
      <c r="C1984" s="241"/>
      <c r="D1984" s="241"/>
      <c r="E1984" s="241"/>
      <c r="F1984" s="241"/>
      <c r="G1984" s="241"/>
      <c r="H1984" s="241"/>
      <c r="I1984"/>
      <c r="J1984" s="241"/>
      <c r="K1984" s="241"/>
      <c r="L1984" s="241"/>
      <c r="M1984" s="241"/>
      <c r="N1984" s="241"/>
      <c r="O1984" s="241"/>
      <c r="P1984" s="241"/>
      <c r="Q1984" s="241"/>
    </row>
    <row r="1985" spans="1:17" ht="13.5" customHeight="1" x14ac:dyDescent="0.3">
      <c r="A1985"/>
      <c r="B1985" s="241"/>
      <c r="C1985" s="241"/>
      <c r="D1985" s="241"/>
      <c r="E1985" s="241"/>
      <c r="F1985" s="241"/>
      <c r="G1985" s="241"/>
      <c r="H1985" s="241"/>
      <c r="I1985"/>
      <c r="J1985" s="241"/>
      <c r="K1985" s="241"/>
      <c r="L1985" s="241"/>
      <c r="M1985" s="241"/>
      <c r="N1985" s="241"/>
      <c r="O1985" s="241"/>
      <c r="P1985" s="241"/>
      <c r="Q1985" s="241"/>
    </row>
    <row r="1986" spans="1:17" ht="13.5" customHeight="1" x14ac:dyDescent="0.3">
      <c r="A1986"/>
      <c r="B1986" s="241"/>
      <c r="C1986" s="241"/>
      <c r="D1986" s="241"/>
      <c r="E1986" s="241"/>
      <c r="F1986" s="241"/>
      <c r="G1986" s="241"/>
      <c r="H1986" s="241"/>
      <c r="I1986"/>
      <c r="J1986" s="241"/>
      <c r="K1986" s="241"/>
      <c r="L1986" s="241"/>
      <c r="M1986" s="241"/>
      <c r="N1986" s="241"/>
      <c r="O1986" s="241"/>
      <c r="P1986" s="241"/>
      <c r="Q1986" s="241"/>
    </row>
    <row r="1987" spans="1:17" ht="13.5" customHeight="1" x14ac:dyDescent="0.3">
      <c r="A1987"/>
      <c r="B1987" s="241"/>
      <c r="C1987" s="241"/>
      <c r="D1987" s="241"/>
      <c r="E1987" s="241"/>
      <c r="F1987" s="241"/>
      <c r="G1987" s="241"/>
      <c r="H1987" s="241"/>
      <c r="I1987"/>
      <c r="J1987" s="241"/>
      <c r="K1987" s="241"/>
      <c r="L1987" s="241"/>
      <c r="M1987" s="241"/>
      <c r="N1987" s="241"/>
      <c r="O1987" s="241"/>
      <c r="P1987" s="241"/>
      <c r="Q1987" s="241"/>
    </row>
    <row r="1988" spans="1:17" ht="13.5" customHeight="1" x14ac:dyDescent="0.3">
      <c r="A1988"/>
      <c r="B1988" s="241"/>
      <c r="C1988" s="241"/>
      <c r="D1988" s="241"/>
      <c r="E1988" s="241"/>
      <c r="F1988" s="241"/>
      <c r="G1988" s="241"/>
      <c r="H1988" s="241"/>
      <c r="I1988"/>
      <c r="J1988" s="241"/>
      <c r="K1988" s="241"/>
      <c r="L1988" s="241"/>
      <c r="M1988" s="241"/>
      <c r="N1988" s="241"/>
      <c r="O1988" s="241"/>
      <c r="P1988" s="241"/>
      <c r="Q1988" s="241"/>
    </row>
    <row r="1989" spans="1:17" ht="13.5" customHeight="1" x14ac:dyDescent="0.3">
      <c r="A1989"/>
      <c r="B1989" s="241"/>
      <c r="C1989" s="241"/>
      <c r="D1989" s="241"/>
      <c r="E1989" s="241"/>
      <c r="F1989" s="241"/>
      <c r="G1989" s="241"/>
      <c r="H1989" s="241"/>
      <c r="I1989"/>
      <c r="J1989" s="241"/>
      <c r="K1989" s="241"/>
      <c r="L1989" s="241"/>
      <c r="M1989" s="241"/>
      <c r="N1989" s="241"/>
      <c r="O1989" s="241"/>
      <c r="P1989" s="241"/>
      <c r="Q1989" s="241"/>
    </row>
    <row r="1990" spans="1:17" ht="13.5" customHeight="1" x14ac:dyDescent="0.3">
      <c r="A1990"/>
      <c r="B1990" s="241"/>
      <c r="C1990" s="241"/>
      <c r="D1990" s="241"/>
      <c r="E1990" s="241"/>
      <c r="F1990" s="241"/>
      <c r="G1990" s="241"/>
      <c r="H1990" s="241"/>
      <c r="I1990"/>
      <c r="J1990" s="241"/>
      <c r="K1990" s="241"/>
      <c r="L1990" s="241"/>
      <c r="M1990" s="241"/>
      <c r="N1990" s="241"/>
      <c r="O1990" s="241"/>
      <c r="P1990" s="241"/>
      <c r="Q1990" s="241"/>
    </row>
    <row r="1991" spans="1:17" ht="13.5" customHeight="1" x14ac:dyDescent="0.3">
      <c r="A1991"/>
      <c r="B1991" s="241"/>
      <c r="C1991" s="241"/>
      <c r="D1991" s="241"/>
      <c r="E1991" s="241"/>
      <c r="F1991" s="241"/>
      <c r="G1991" s="241"/>
      <c r="H1991" s="241"/>
      <c r="I1991"/>
      <c r="J1991" s="241"/>
      <c r="K1991" s="241"/>
      <c r="L1991" s="241"/>
      <c r="M1991" s="241"/>
      <c r="N1991" s="241"/>
      <c r="O1991" s="241"/>
      <c r="P1991" s="241"/>
      <c r="Q1991" s="241"/>
    </row>
    <row r="1992" spans="1:17" ht="13.5" customHeight="1" x14ac:dyDescent="0.3">
      <c r="A1992"/>
      <c r="B1992" s="241"/>
      <c r="C1992" s="241"/>
      <c r="D1992" s="241"/>
      <c r="E1992" s="241"/>
      <c r="F1992" s="241"/>
      <c r="G1992" s="241"/>
      <c r="H1992" s="241"/>
      <c r="I1992"/>
      <c r="J1992" s="241"/>
      <c r="K1992" s="241"/>
      <c r="L1992" s="241"/>
      <c r="M1992" s="241"/>
      <c r="N1992" s="241"/>
      <c r="O1992" s="241"/>
      <c r="P1992" s="241"/>
      <c r="Q1992" s="241"/>
    </row>
    <row r="1993" spans="1:17" ht="13.5" customHeight="1" x14ac:dyDescent="0.3">
      <c r="A1993"/>
      <c r="B1993" s="241"/>
      <c r="C1993" s="241"/>
      <c r="D1993" s="241"/>
      <c r="E1993" s="241"/>
      <c r="F1993" s="241"/>
      <c r="G1993" s="241"/>
      <c r="H1993" s="241"/>
      <c r="I1993"/>
      <c r="J1993" s="241"/>
      <c r="K1993" s="241"/>
      <c r="L1993" s="241"/>
      <c r="M1993" s="241"/>
      <c r="N1993" s="241"/>
      <c r="O1993" s="241"/>
      <c r="P1993" s="241"/>
      <c r="Q1993" s="241"/>
    </row>
    <row r="1994" spans="1:17" ht="13.5" customHeight="1" x14ac:dyDescent="0.3">
      <c r="A1994"/>
      <c r="B1994" s="241"/>
      <c r="C1994" s="241"/>
      <c r="D1994" s="241"/>
      <c r="E1994" s="241"/>
      <c r="F1994" s="241"/>
      <c r="G1994" s="241"/>
      <c r="H1994" s="241"/>
      <c r="I1994"/>
      <c r="J1994" s="241"/>
      <c r="K1994" s="241"/>
      <c r="L1994" s="241"/>
      <c r="M1994" s="241"/>
      <c r="N1994" s="241"/>
      <c r="O1994" s="241"/>
      <c r="P1994" s="241"/>
      <c r="Q1994" s="241"/>
    </row>
    <row r="1995" spans="1:17" ht="13.5" customHeight="1" x14ac:dyDescent="0.3">
      <c r="A1995"/>
      <c r="B1995" s="241"/>
      <c r="C1995" s="241"/>
      <c r="D1995" s="241"/>
      <c r="E1995" s="241"/>
      <c r="F1995" s="241"/>
      <c r="G1995" s="241"/>
      <c r="H1995" s="241"/>
      <c r="I1995"/>
      <c r="J1995" s="241"/>
      <c r="K1995" s="241"/>
      <c r="L1995" s="241"/>
      <c r="M1995" s="241"/>
      <c r="N1995" s="241"/>
      <c r="O1995" s="241"/>
      <c r="P1995" s="241"/>
      <c r="Q1995" s="241"/>
    </row>
    <row r="1996" spans="1:17" ht="13.5" customHeight="1" x14ac:dyDescent="0.3">
      <c r="A1996"/>
      <c r="B1996" s="241"/>
      <c r="C1996" s="241"/>
      <c r="D1996" s="241"/>
      <c r="E1996" s="241"/>
      <c r="F1996" s="241"/>
      <c r="G1996" s="241"/>
      <c r="H1996" s="241"/>
      <c r="I1996"/>
      <c r="J1996" s="241"/>
      <c r="K1996" s="241"/>
      <c r="L1996" s="241"/>
      <c r="M1996" s="241"/>
      <c r="N1996" s="241"/>
      <c r="O1996" s="241"/>
      <c r="P1996" s="241"/>
      <c r="Q1996" s="241"/>
    </row>
    <row r="1997" spans="1:17" ht="13.5" customHeight="1" x14ac:dyDescent="0.3">
      <c r="A1997"/>
      <c r="B1997" s="241"/>
      <c r="C1997" s="241"/>
      <c r="D1997" s="241"/>
      <c r="E1997" s="241"/>
      <c r="F1997" s="241"/>
      <c r="G1997" s="241"/>
      <c r="H1997" s="241"/>
      <c r="I1997"/>
      <c r="J1997" s="241"/>
      <c r="K1997" s="241"/>
      <c r="L1997" s="241"/>
      <c r="M1997" s="241"/>
      <c r="N1997" s="241"/>
      <c r="O1997" s="241"/>
      <c r="P1997" s="241"/>
      <c r="Q1997" s="241"/>
    </row>
    <row r="1998" spans="1:17" ht="13.5" customHeight="1" x14ac:dyDescent="0.3">
      <c r="A1998"/>
      <c r="B1998" s="241"/>
      <c r="C1998" s="241"/>
      <c r="D1998" s="241"/>
      <c r="E1998" s="241"/>
      <c r="F1998" s="241"/>
      <c r="G1998" s="241"/>
      <c r="H1998" s="241"/>
      <c r="I1998"/>
      <c r="J1998" s="241"/>
      <c r="K1998" s="241"/>
      <c r="L1998" s="241"/>
      <c r="M1998" s="241"/>
      <c r="N1998" s="241"/>
      <c r="O1998" s="241"/>
      <c r="P1998" s="241"/>
      <c r="Q1998" s="241"/>
    </row>
    <row r="1999" spans="1:17" ht="13.5" customHeight="1" x14ac:dyDescent="0.3">
      <c r="A1999"/>
      <c r="B1999" s="241"/>
      <c r="C1999" s="241"/>
      <c r="D1999" s="241"/>
      <c r="E1999" s="241"/>
      <c r="F1999" s="241"/>
      <c r="G1999" s="241"/>
      <c r="H1999" s="241"/>
      <c r="I1999"/>
      <c r="J1999" s="241"/>
      <c r="K1999" s="241"/>
      <c r="L1999" s="241"/>
      <c r="M1999" s="241"/>
      <c r="N1999" s="241"/>
      <c r="O1999" s="241"/>
      <c r="P1999" s="241"/>
      <c r="Q1999" s="241"/>
    </row>
    <row r="2000" spans="1:17" ht="13.5" customHeight="1" x14ac:dyDescent="0.3">
      <c r="A2000"/>
      <c r="B2000" s="241"/>
      <c r="C2000" s="241"/>
      <c r="D2000" s="241"/>
      <c r="E2000" s="241"/>
      <c r="F2000" s="241"/>
      <c r="G2000" s="241"/>
      <c r="H2000" s="241"/>
      <c r="I2000"/>
      <c r="J2000" s="241"/>
      <c r="K2000" s="241"/>
      <c r="L2000" s="241"/>
      <c r="M2000" s="241"/>
      <c r="N2000" s="241"/>
      <c r="O2000" s="241"/>
      <c r="P2000" s="241"/>
      <c r="Q2000" s="241"/>
    </row>
    <row r="2001" spans="1:17" ht="13.5" customHeight="1" x14ac:dyDescent="0.3">
      <c r="A2001"/>
      <c r="B2001" s="241"/>
      <c r="C2001" s="241"/>
      <c r="D2001" s="241"/>
      <c r="E2001" s="241"/>
      <c r="F2001" s="241"/>
      <c r="G2001" s="241"/>
      <c r="H2001" s="241"/>
      <c r="I2001"/>
      <c r="J2001" s="241"/>
      <c r="K2001" s="241"/>
      <c r="L2001" s="241"/>
      <c r="M2001" s="241"/>
      <c r="N2001" s="241"/>
      <c r="O2001" s="241"/>
      <c r="P2001" s="241"/>
      <c r="Q2001" s="241"/>
    </row>
    <row r="2002" spans="1:17" ht="13.5" customHeight="1" x14ac:dyDescent="0.3">
      <c r="A2002"/>
      <c r="B2002" s="241"/>
      <c r="C2002" s="241"/>
      <c r="D2002" s="241"/>
      <c r="E2002" s="241"/>
      <c r="F2002" s="241"/>
      <c r="G2002" s="241"/>
      <c r="H2002" s="241"/>
      <c r="I2002"/>
      <c r="J2002" s="241"/>
      <c r="K2002" s="241"/>
      <c r="L2002" s="241"/>
      <c r="M2002" s="241"/>
      <c r="N2002" s="241"/>
      <c r="O2002" s="241"/>
      <c r="P2002" s="241"/>
      <c r="Q2002" s="241"/>
    </row>
    <row r="2003" spans="1:17" ht="13.5" customHeight="1" x14ac:dyDescent="0.3">
      <c r="A2003"/>
      <c r="B2003" s="241"/>
      <c r="C2003" s="241"/>
      <c r="D2003" s="241"/>
      <c r="E2003" s="241"/>
      <c r="F2003" s="241"/>
      <c r="G2003" s="241"/>
      <c r="H2003" s="241"/>
      <c r="I2003"/>
      <c r="J2003" s="241"/>
      <c r="K2003" s="241"/>
      <c r="L2003" s="241"/>
      <c r="M2003" s="241"/>
      <c r="N2003" s="241"/>
      <c r="O2003" s="241"/>
      <c r="P2003" s="241"/>
      <c r="Q2003" s="241"/>
    </row>
    <row r="2004" spans="1:17" ht="13.5" customHeight="1" x14ac:dyDescent="0.3">
      <c r="A2004"/>
      <c r="B2004" s="241"/>
      <c r="C2004" s="241"/>
      <c r="D2004" s="241"/>
      <c r="E2004" s="241"/>
      <c r="F2004" s="241"/>
      <c r="G2004" s="241"/>
      <c r="H2004" s="241"/>
      <c r="I2004"/>
      <c r="J2004" s="241"/>
      <c r="K2004" s="241"/>
      <c r="L2004" s="241"/>
      <c r="M2004" s="241"/>
      <c r="N2004" s="241"/>
      <c r="O2004" s="241"/>
      <c r="P2004" s="241"/>
      <c r="Q2004" s="241"/>
    </row>
    <row r="2005" spans="1:17" ht="13.5" customHeight="1" x14ac:dyDescent="0.3">
      <c r="A2005"/>
      <c r="B2005" s="241"/>
      <c r="C2005" s="241"/>
      <c r="D2005" s="241"/>
      <c r="E2005" s="241"/>
      <c r="F2005" s="241"/>
      <c r="G2005" s="241"/>
      <c r="H2005" s="241"/>
      <c r="I2005"/>
      <c r="J2005" s="241"/>
      <c r="K2005" s="241"/>
      <c r="L2005" s="241"/>
      <c r="M2005" s="241"/>
      <c r="N2005" s="241"/>
      <c r="O2005" s="241"/>
      <c r="P2005" s="241"/>
      <c r="Q2005" s="241"/>
    </row>
    <row r="2006" spans="1:17" ht="13.5" customHeight="1" x14ac:dyDescent="0.3">
      <c r="A2006"/>
      <c r="B2006" s="241"/>
      <c r="C2006" s="241"/>
      <c r="D2006" s="241"/>
      <c r="E2006" s="241"/>
      <c r="F2006" s="241"/>
      <c r="G2006" s="241"/>
      <c r="H2006" s="241"/>
      <c r="I2006"/>
      <c r="J2006" s="241"/>
      <c r="K2006" s="241"/>
      <c r="L2006" s="241"/>
      <c r="M2006" s="241"/>
      <c r="N2006" s="241"/>
      <c r="O2006" s="241"/>
      <c r="P2006" s="241"/>
      <c r="Q2006" s="241"/>
    </row>
    <row r="2007" spans="1:17" ht="13.5" customHeight="1" x14ac:dyDescent="0.3">
      <c r="A2007"/>
      <c r="B2007" s="241"/>
      <c r="C2007" s="241"/>
      <c r="D2007" s="241"/>
      <c r="E2007" s="241"/>
      <c r="F2007" s="241"/>
      <c r="G2007" s="241"/>
      <c r="H2007" s="241"/>
      <c r="I2007"/>
      <c r="J2007" s="241"/>
      <c r="K2007" s="241"/>
      <c r="L2007" s="241"/>
      <c r="M2007" s="241"/>
      <c r="N2007" s="241"/>
      <c r="O2007" s="241"/>
      <c r="P2007" s="241"/>
      <c r="Q2007" s="241"/>
    </row>
    <row r="2008" spans="1:17" ht="13.5" customHeight="1" x14ac:dyDescent="0.3">
      <c r="A2008"/>
      <c r="B2008" s="241"/>
      <c r="C2008" s="241"/>
      <c r="D2008" s="241"/>
      <c r="E2008" s="241"/>
      <c r="F2008" s="241"/>
      <c r="G2008" s="241"/>
      <c r="H2008" s="241"/>
      <c r="I2008"/>
      <c r="J2008" s="241"/>
      <c r="K2008" s="241"/>
      <c r="L2008" s="241"/>
      <c r="M2008" s="241"/>
      <c r="N2008" s="241"/>
      <c r="O2008" s="241"/>
      <c r="P2008" s="241"/>
      <c r="Q2008" s="241"/>
    </row>
    <row r="2009" spans="1:17" ht="13.5" customHeight="1" x14ac:dyDescent="0.3">
      <c r="A2009"/>
      <c r="B2009" s="241"/>
      <c r="C2009" s="241"/>
      <c r="D2009" s="241"/>
      <c r="E2009" s="241"/>
      <c r="F2009" s="241"/>
      <c r="G2009" s="241"/>
      <c r="H2009" s="241"/>
      <c r="I2009"/>
      <c r="J2009" s="241"/>
      <c r="K2009" s="241"/>
      <c r="L2009" s="241"/>
      <c r="M2009" s="241"/>
      <c r="N2009" s="241"/>
      <c r="O2009" s="241"/>
      <c r="P2009" s="241"/>
      <c r="Q2009" s="241"/>
    </row>
    <row r="2010" spans="1:17" ht="13.5" customHeight="1" x14ac:dyDescent="0.3">
      <c r="A2010"/>
      <c r="B2010" s="241"/>
      <c r="C2010" s="241"/>
      <c r="D2010" s="241"/>
      <c r="E2010" s="241"/>
      <c r="F2010" s="241"/>
      <c r="G2010" s="241"/>
      <c r="H2010" s="241"/>
      <c r="I2010"/>
      <c r="J2010" s="241"/>
      <c r="K2010" s="241"/>
      <c r="L2010" s="241"/>
      <c r="M2010" s="241"/>
      <c r="N2010" s="241"/>
      <c r="O2010" s="241"/>
      <c r="P2010" s="241"/>
      <c r="Q2010" s="241"/>
    </row>
    <row r="2011" spans="1:17" ht="13.5" customHeight="1" x14ac:dyDescent="0.3">
      <c r="A2011"/>
      <c r="B2011" s="241"/>
      <c r="C2011" s="241"/>
      <c r="D2011" s="241"/>
      <c r="E2011" s="241"/>
      <c r="F2011" s="241"/>
      <c r="G2011" s="241"/>
      <c r="H2011" s="241"/>
      <c r="I2011"/>
      <c r="J2011" s="241"/>
      <c r="K2011" s="241"/>
      <c r="L2011" s="241"/>
      <c r="M2011" s="241"/>
      <c r="N2011" s="241"/>
      <c r="O2011" s="241"/>
      <c r="P2011" s="241"/>
      <c r="Q2011" s="241"/>
    </row>
    <row r="2012" spans="1:17" ht="13.5" customHeight="1" x14ac:dyDescent="0.3">
      <c r="A2012"/>
      <c r="B2012" s="241"/>
      <c r="C2012" s="241"/>
      <c r="D2012" s="241"/>
      <c r="E2012" s="241"/>
      <c r="F2012" s="241"/>
      <c r="G2012" s="241"/>
      <c r="H2012" s="241"/>
      <c r="I2012"/>
      <c r="J2012" s="241"/>
      <c r="K2012" s="241"/>
      <c r="L2012" s="241"/>
      <c r="M2012" s="241"/>
      <c r="N2012" s="241"/>
      <c r="O2012" s="241"/>
      <c r="P2012" s="241"/>
      <c r="Q2012" s="241"/>
    </row>
    <row r="2013" spans="1:17" ht="13.5" customHeight="1" x14ac:dyDescent="0.3">
      <c r="A2013"/>
      <c r="B2013" s="241"/>
      <c r="C2013" s="241"/>
      <c r="D2013" s="241"/>
      <c r="E2013" s="241"/>
      <c r="F2013" s="241"/>
      <c r="G2013" s="241"/>
      <c r="H2013" s="241"/>
      <c r="I2013"/>
      <c r="J2013" s="241"/>
      <c r="K2013" s="241"/>
      <c r="L2013" s="241"/>
      <c r="M2013" s="241"/>
      <c r="N2013" s="241"/>
      <c r="O2013" s="241"/>
      <c r="P2013" s="241"/>
      <c r="Q2013" s="241"/>
    </row>
    <row r="2014" spans="1:17" ht="13.5" customHeight="1" x14ac:dyDescent="0.3">
      <c r="A2014"/>
      <c r="B2014" s="241"/>
      <c r="C2014" s="241"/>
      <c r="D2014" s="241"/>
      <c r="E2014" s="241"/>
      <c r="F2014" s="241"/>
      <c r="G2014" s="241"/>
      <c r="H2014" s="241"/>
      <c r="I2014"/>
      <c r="J2014" s="241"/>
      <c r="K2014" s="241"/>
      <c r="L2014" s="241"/>
      <c r="M2014" s="241"/>
      <c r="N2014" s="241"/>
      <c r="O2014" s="241"/>
      <c r="P2014" s="241"/>
      <c r="Q2014" s="241"/>
    </row>
    <row r="2015" spans="1:17" ht="13.5" customHeight="1" x14ac:dyDescent="0.3">
      <c r="A2015"/>
      <c r="B2015" s="241"/>
      <c r="C2015" s="241"/>
      <c r="D2015" s="241"/>
      <c r="E2015" s="241"/>
      <c r="F2015" s="241"/>
      <c r="G2015" s="241"/>
      <c r="H2015" s="241"/>
      <c r="I2015"/>
      <c r="J2015" s="241"/>
      <c r="K2015" s="241"/>
      <c r="L2015" s="241"/>
      <c r="M2015" s="241"/>
      <c r="N2015" s="241"/>
      <c r="O2015" s="241"/>
      <c r="P2015" s="241"/>
      <c r="Q2015" s="241"/>
    </row>
    <row r="2016" spans="1:17" ht="13.5" customHeight="1" x14ac:dyDescent="0.3">
      <c r="A2016"/>
      <c r="B2016" s="241"/>
      <c r="C2016" s="241"/>
      <c r="D2016" s="241"/>
      <c r="E2016" s="241"/>
      <c r="F2016" s="241"/>
      <c r="G2016" s="241"/>
      <c r="H2016" s="241"/>
      <c r="I2016"/>
      <c r="J2016" s="241"/>
      <c r="K2016" s="241"/>
      <c r="L2016" s="241"/>
      <c r="M2016" s="241"/>
      <c r="N2016" s="241"/>
      <c r="O2016" s="241"/>
      <c r="P2016" s="241"/>
      <c r="Q2016" s="241"/>
    </row>
    <row r="2017" spans="1:17" ht="13.5" customHeight="1" x14ac:dyDescent="0.3">
      <c r="A2017"/>
      <c r="B2017" s="241"/>
      <c r="C2017" s="241"/>
      <c r="D2017" s="241"/>
      <c r="E2017" s="241"/>
      <c r="F2017" s="241"/>
      <c r="G2017" s="241"/>
      <c r="H2017" s="241"/>
      <c r="I2017"/>
      <c r="J2017" s="241"/>
      <c r="K2017" s="241"/>
      <c r="L2017" s="241"/>
      <c r="M2017" s="241"/>
      <c r="N2017" s="241"/>
      <c r="O2017" s="241"/>
      <c r="P2017" s="241"/>
      <c r="Q2017" s="241"/>
    </row>
    <row r="2018" spans="1:17" ht="13.5" customHeight="1" x14ac:dyDescent="0.3">
      <c r="A2018"/>
      <c r="B2018" s="241"/>
      <c r="C2018" s="241"/>
      <c r="D2018" s="241"/>
      <c r="E2018" s="241"/>
      <c r="F2018" s="241"/>
      <c r="G2018" s="241"/>
      <c r="H2018" s="241"/>
      <c r="I2018"/>
      <c r="J2018" s="241"/>
      <c r="K2018" s="241"/>
      <c r="L2018" s="241"/>
      <c r="M2018" s="241"/>
      <c r="N2018" s="241"/>
      <c r="O2018" s="241"/>
      <c r="P2018" s="241"/>
      <c r="Q2018" s="241"/>
    </row>
    <row r="2019" spans="1:17" ht="13.5" customHeight="1" x14ac:dyDescent="0.3">
      <c r="A2019"/>
      <c r="B2019" s="241"/>
      <c r="C2019" s="241"/>
      <c r="D2019" s="241"/>
      <c r="E2019" s="241"/>
      <c r="F2019" s="241"/>
      <c r="G2019" s="241"/>
      <c r="H2019" s="241"/>
      <c r="I2019"/>
      <c r="J2019" s="241"/>
      <c r="K2019" s="241"/>
      <c r="L2019" s="241"/>
      <c r="M2019" s="241"/>
      <c r="N2019" s="241"/>
      <c r="O2019" s="241"/>
      <c r="P2019" s="241"/>
      <c r="Q2019" s="241"/>
    </row>
    <row r="2020" spans="1:17" ht="13.5" customHeight="1" x14ac:dyDescent="0.3">
      <c r="A2020"/>
      <c r="B2020" s="241"/>
      <c r="C2020" s="241"/>
      <c r="D2020" s="241"/>
      <c r="E2020" s="241"/>
      <c r="F2020" s="241"/>
      <c r="G2020" s="241"/>
      <c r="H2020" s="241"/>
      <c r="I2020"/>
      <c r="J2020" s="241"/>
      <c r="K2020" s="241"/>
      <c r="L2020" s="241"/>
      <c r="M2020" s="241"/>
      <c r="N2020" s="241"/>
      <c r="O2020" s="241"/>
      <c r="P2020" s="241"/>
      <c r="Q2020" s="241"/>
    </row>
    <row r="2021" spans="1:17" ht="13.5" customHeight="1" x14ac:dyDescent="0.3">
      <c r="A2021"/>
      <c r="B2021" s="241"/>
      <c r="C2021" s="241"/>
      <c r="D2021" s="241"/>
      <c r="E2021" s="241"/>
      <c r="F2021" s="241"/>
      <c r="G2021" s="241"/>
      <c r="H2021" s="241"/>
      <c r="I2021"/>
      <c r="J2021" s="241"/>
      <c r="K2021" s="241"/>
      <c r="L2021" s="241"/>
      <c r="M2021" s="241"/>
      <c r="N2021" s="241"/>
      <c r="O2021" s="241"/>
      <c r="P2021" s="241"/>
      <c r="Q2021" s="241"/>
    </row>
    <row r="2022" spans="1:17" ht="13.5" customHeight="1" x14ac:dyDescent="0.3">
      <c r="A2022"/>
      <c r="B2022" s="241"/>
      <c r="C2022" s="241"/>
      <c r="D2022" s="241"/>
      <c r="E2022" s="241"/>
      <c r="F2022" s="241"/>
      <c r="G2022" s="241"/>
      <c r="H2022" s="241"/>
      <c r="I2022"/>
      <c r="J2022" s="241"/>
      <c r="K2022" s="241"/>
      <c r="L2022" s="241"/>
      <c r="M2022" s="241"/>
      <c r="N2022" s="241"/>
      <c r="O2022" s="241"/>
      <c r="P2022" s="241"/>
      <c r="Q2022" s="241"/>
    </row>
    <row r="2023" spans="1:17" ht="13.5" customHeight="1" x14ac:dyDescent="0.3">
      <c r="A2023"/>
      <c r="B2023" s="241"/>
      <c r="C2023" s="241"/>
      <c r="D2023" s="241"/>
      <c r="E2023" s="241"/>
      <c r="F2023" s="241"/>
      <c r="G2023" s="241"/>
      <c r="H2023" s="241"/>
      <c r="I2023"/>
      <c r="J2023" s="241"/>
      <c r="K2023" s="241"/>
      <c r="L2023" s="241"/>
      <c r="M2023" s="241"/>
      <c r="N2023" s="241"/>
      <c r="O2023" s="241"/>
      <c r="P2023" s="241"/>
      <c r="Q2023" s="241"/>
    </row>
    <row r="2024" spans="1:17" ht="13.5" customHeight="1" x14ac:dyDescent="0.3">
      <c r="A2024"/>
      <c r="B2024" s="241"/>
      <c r="C2024" s="241"/>
      <c r="D2024" s="241"/>
      <c r="E2024" s="241"/>
      <c r="F2024" s="241"/>
      <c r="G2024" s="241"/>
      <c r="H2024" s="241"/>
      <c r="I2024"/>
      <c r="J2024" s="241"/>
      <c r="K2024" s="241"/>
      <c r="L2024" s="241"/>
      <c r="M2024" s="241"/>
      <c r="N2024" s="241"/>
      <c r="O2024" s="241"/>
      <c r="P2024" s="241"/>
      <c r="Q2024" s="241"/>
    </row>
    <row r="2025" spans="1:17" ht="13.5" customHeight="1" x14ac:dyDescent="0.3">
      <c r="A2025"/>
      <c r="B2025" s="241"/>
      <c r="C2025" s="241"/>
      <c r="D2025" s="241"/>
      <c r="E2025" s="241"/>
      <c r="F2025" s="241"/>
      <c r="G2025" s="241"/>
      <c r="H2025" s="241"/>
      <c r="I2025"/>
      <c r="J2025" s="241"/>
      <c r="K2025" s="241"/>
      <c r="L2025" s="241"/>
      <c r="M2025" s="241"/>
      <c r="N2025" s="241"/>
      <c r="O2025" s="241"/>
      <c r="P2025" s="241"/>
      <c r="Q2025" s="241"/>
    </row>
    <row r="2026" spans="1:17" ht="13.5" customHeight="1" x14ac:dyDescent="0.3">
      <c r="A2026"/>
      <c r="B2026" s="241"/>
      <c r="C2026" s="241"/>
      <c r="D2026" s="241"/>
      <c r="E2026" s="241"/>
      <c r="F2026" s="241"/>
      <c r="G2026" s="241"/>
      <c r="H2026" s="241"/>
      <c r="I2026"/>
      <c r="J2026" s="241"/>
      <c r="K2026" s="241"/>
      <c r="L2026" s="241"/>
      <c r="M2026" s="241"/>
      <c r="N2026" s="241"/>
      <c r="O2026" s="241"/>
      <c r="P2026" s="241"/>
      <c r="Q2026" s="241"/>
    </row>
    <row r="2027" spans="1:17" ht="13.5" customHeight="1" x14ac:dyDescent="0.3">
      <c r="A2027"/>
      <c r="B2027" s="241"/>
      <c r="C2027" s="241"/>
      <c r="D2027" s="241"/>
      <c r="E2027" s="241"/>
      <c r="F2027" s="241"/>
      <c r="G2027" s="241"/>
      <c r="H2027" s="241"/>
      <c r="I2027"/>
      <c r="J2027" s="241"/>
      <c r="K2027" s="241"/>
      <c r="L2027" s="241"/>
      <c r="M2027" s="241"/>
      <c r="N2027" s="241"/>
      <c r="O2027" s="241"/>
      <c r="P2027" s="241"/>
      <c r="Q2027" s="241"/>
    </row>
    <row r="2028" spans="1:17" ht="13.5" customHeight="1" x14ac:dyDescent="0.3">
      <c r="A2028"/>
      <c r="B2028" s="241"/>
      <c r="C2028" s="241"/>
      <c r="D2028" s="241"/>
      <c r="E2028" s="241"/>
      <c r="F2028" s="241"/>
      <c r="G2028" s="241"/>
      <c r="H2028" s="241"/>
      <c r="I2028"/>
      <c r="J2028" s="241"/>
      <c r="K2028" s="241"/>
      <c r="L2028" s="241"/>
      <c r="M2028" s="241"/>
      <c r="N2028" s="241"/>
      <c r="O2028" s="241"/>
      <c r="P2028" s="241"/>
      <c r="Q2028" s="241"/>
    </row>
    <row r="2029" spans="1:17" ht="13.5" customHeight="1" x14ac:dyDescent="0.3">
      <c r="A2029"/>
      <c r="B2029" s="241"/>
      <c r="C2029" s="241"/>
      <c r="D2029" s="241"/>
      <c r="E2029" s="241"/>
      <c r="F2029" s="241"/>
      <c r="G2029" s="241"/>
      <c r="H2029" s="241"/>
      <c r="I2029"/>
      <c r="J2029" s="241"/>
      <c r="K2029" s="241"/>
      <c r="L2029" s="241"/>
      <c r="M2029" s="241"/>
      <c r="N2029" s="241"/>
      <c r="O2029" s="241"/>
      <c r="P2029" s="241"/>
      <c r="Q2029" s="241"/>
    </row>
    <row r="2030" spans="1:17" ht="13.5" customHeight="1" x14ac:dyDescent="0.3">
      <c r="A2030"/>
      <c r="B2030" s="241"/>
      <c r="C2030" s="241"/>
      <c r="D2030" s="241"/>
      <c r="E2030" s="241"/>
      <c r="F2030" s="241"/>
      <c r="G2030" s="241"/>
      <c r="H2030" s="241"/>
      <c r="I2030"/>
      <c r="J2030" s="241"/>
      <c r="K2030" s="241"/>
      <c r="L2030" s="241"/>
      <c r="M2030" s="241"/>
      <c r="N2030" s="241"/>
      <c r="O2030" s="241"/>
      <c r="P2030" s="241"/>
      <c r="Q2030" s="241"/>
    </row>
    <row r="2031" spans="1:17" ht="13.5" customHeight="1" x14ac:dyDescent="0.3">
      <c r="A2031"/>
      <c r="B2031" s="241"/>
      <c r="C2031" s="241"/>
      <c r="D2031" s="241"/>
      <c r="E2031" s="241"/>
      <c r="F2031" s="241"/>
      <c r="G2031" s="241"/>
      <c r="H2031" s="241"/>
      <c r="I2031"/>
      <c r="J2031" s="241"/>
      <c r="K2031" s="241"/>
      <c r="L2031" s="241"/>
      <c r="M2031" s="241"/>
      <c r="N2031" s="241"/>
      <c r="O2031" s="241"/>
      <c r="P2031" s="241"/>
      <c r="Q2031" s="241"/>
    </row>
    <row r="2032" spans="1:17" ht="13.5" customHeight="1" x14ac:dyDescent="0.3">
      <c r="A2032"/>
      <c r="B2032" s="241"/>
      <c r="C2032" s="241"/>
      <c r="D2032" s="241"/>
      <c r="E2032" s="241"/>
      <c r="F2032" s="241"/>
      <c r="G2032" s="241"/>
      <c r="H2032" s="241"/>
      <c r="I2032"/>
      <c r="J2032" s="241"/>
      <c r="K2032" s="241"/>
      <c r="L2032" s="241"/>
      <c r="M2032" s="241"/>
      <c r="N2032" s="241"/>
      <c r="O2032" s="241"/>
      <c r="P2032" s="241"/>
      <c r="Q2032" s="241"/>
    </row>
    <row r="2033" spans="1:17" ht="13.5" customHeight="1" x14ac:dyDescent="0.3">
      <c r="A2033"/>
      <c r="B2033" s="241"/>
      <c r="C2033" s="241"/>
      <c r="D2033" s="241"/>
      <c r="E2033" s="241"/>
      <c r="F2033" s="241"/>
      <c r="G2033" s="241"/>
      <c r="H2033" s="241"/>
      <c r="I2033"/>
      <c r="J2033" s="241"/>
      <c r="K2033" s="241"/>
      <c r="L2033" s="241"/>
      <c r="M2033" s="241"/>
      <c r="N2033" s="241"/>
      <c r="O2033" s="241"/>
      <c r="P2033" s="241"/>
      <c r="Q2033" s="241"/>
    </row>
    <row r="2034" spans="1:17" ht="13.5" customHeight="1" x14ac:dyDescent="0.3">
      <c r="A2034"/>
      <c r="B2034" s="241"/>
      <c r="C2034" s="241"/>
      <c r="D2034" s="241"/>
      <c r="E2034" s="241"/>
      <c r="F2034" s="241"/>
      <c r="G2034" s="241"/>
      <c r="H2034" s="241"/>
      <c r="I2034"/>
      <c r="J2034" s="241"/>
      <c r="K2034" s="241"/>
      <c r="L2034" s="241"/>
      <c r="M2034" s="241"/>
      <c r="N2034" s="241"/>
      <c r="O2034" s="241"/>
      <c r="P2034" s="241"/>
      <c r="Q2034" s="241"/>
    </row>
    <row r="2035" spans="1:17" ht="13.5" customHeight="1" x14ac:dyDescent="0.3">
      <c r="A2035"/>
      <c r="B2035" s="241"/>
      <c r="C2035" s="241"/>
      <c r="D2035" s="241"/>
      <c r="E2035" s="241"/>
      <c r="F2035" s="241"/>
      <c r="G2035" s="241"/>
      <c r="H2035" s="241"/>
      <c r="I2035"/>
      <c r="J2035" s="241"/>
      <c r="K2035" s="241"/>
      <c r="L2035" s="241"/>
      <c r="M2035" s="241"/>
      <c r="N2035" s="241"/>
      <c r="O2035" s="241"/>
      <c r="P2035" s="241"/>
      <c r="Q2035" s="241"/>
    </row>
    <row r="2036" spans="1:17" ht="13.5" customHeight="1" x14ac:dyDescent="0.3">
      <c r="A2036"/>
      <c r="B2036" s="241"/>
      <c r="C2036" s="241"/>
      <c r="D2036" s="241"/>
      <c r="E2036" s="241"/>
      <c r="F2036" s="241"/>
      <c r="G2036" s="241"/>
      <c r="H2036" s="241"/>
      <c r="I2036"/>
      <c r="J2036" s="241"/>
      <c r="K2036" s="241"/>
      <c r="L2036" s="241"/>
      <c r="M2036" s="241"/>
      <c r="N2036" s="241"/>
      <c r="O2036" s="241"/>
      <c r="P2036" s="241"/>
      <c r="Q2036" s="241"/>
    </row>
    <row r="2037" spans="1:17" ht="13.5" customHeight="1" x14ac:dyDescent="0.3">
      <c r="A2037"/>
      <c r="B2037" s="241"/>
      <c r="C2037" s="241"/>
      <c r="D2037" s="241"/>
      <c r="E2037" s="241"/>
      <c r="F2037" s="241"/>
      <c r="G2037" s="241"/>
      <c r="H2037" s="241"/>
      <c r="I2037"/>
      <c r="J2037" s="241"/>
      <c r="K2037" s="241"/>
      <c r="L2037" s="241"/>
      <c r="M2037" s="241"/>
      <c r="N2037" s="241"/>
      <c r="O2037" s="241"/>
      <c r="P2037" s="241"/>
      <c r="Q2037" s="241"/>
    </row>
    <row r="2038" spans="1:17" ht="13.5" customHeight="1" x14ac:dyDescent="0.3">
      <c r="A2038"/>
      <c r="B2038" s="241"/>
      <c r="C2038" s="241"/>
      <c r="D2038" s="241"/>
      <c r="E2038" s="241"/>
      <c r="F2038" s="241"/>
      <c r="G2038" s="241"/>
      <c r="H2038" s="241"/>
      <c r="I2038"/>
      <c r="J2038" s="241"/>
      <c r="K2038" s="241"/>
      <c r="L2038" s="241"/>
      <c r="M2038" s="241"/>
      <c r="N2038" s="241"/>
      <c r="O2038" s="241"/>
      <c r="P2038" s="241"/>
      <c r="Q2038" s="241"/>
    </row>
    <row r="2039" spans="1:17" ht="13.5" customHeight="1" x14ac:dyDescent="0.3">
      <c r="A2039"/>
      <c r="B2039" s="241"/>
      <c r="C2039" s="241"/>
      <c r="D2039" s="241"/>
      <c r="E2039" s="241"/>
      <c r="F2039" s="241"/>
      <c r="G2039" s="241"/>
      <c r="H2039" s="241"/>
      <c r="I2039"/>
      <c r="J2039" s="241"/>
      <c r="K2039" s="241"/>
      <c r="L2039" s="241"/>
      <c r="M2039" s="241"/>
      <c r="N2039" s="241"/>
      <c r="O2039" s="241"/>
      <c r="P2039" s="241"/>
      <c r="Q2039" s="241"/>
    </row>
    <row r="2040" spans="1:17" ht="13.5" customHeight="1" x14ac:dyDescent="0.3">
      <c r="A2040"/>
      <c r="B2040" s="241"/>
      <c r="C2040" s="241"/>
      <c r="D2040" s="241"/>
      <c r="E2040" s="241"/>
      <c r="F2040" s="241"/>
      <c r="G2040" s="241"/>
      <c r="H2040" s="241"/>
      <c r="I2040"/>
      <c r="J2040" s="241"/>
      <c r="K2040" s="241"/>
      <c r="L2040" s="241"/>
      <c r="M2040" s="241"/>
      <c r="N2040" s="241"/>
      <c r="O2040" s="241"/>
      <c r="P2040" s="241"/>
      <c r="Q2040" s="241"/>
    </row>
    <row r="2041" spans="1:17" ht="13.5" customHeight="1" x14ac:dyDescent="0.3">
      <c r="A2041"/>
      <c r="B2041" s="241"/>
      <c r="C2041" s="241"/>
      <c r="D2041" s="241"/>
      <c r="E2041" s="241"/>
      <c r="F2041" s="241"/>
      <c r="G2041" s="241"/>
      <c r="H2041" s="241"/>
      <c r="I2041"/>
      <c r="J2041" s="241"/>
      <c r="K2041" s="241"/>
      <c r="L2041" s="241"/>
      <c r="M2041" s="241"/>
      <c r="N2041" s="241"/>
      <c r="O2041" s="241"/>
      <c r="P2041" s="241"/>
      <c r="Q2041" s="241"/>
    </row>
    <row r="2042" spans="1:17" ht="13.5" customHeight="1" x14ac:dyDescent="0.3">
      <c r="A2042"/>
      <c r="B2042" s="241"/>
      <c r="C2042" s="241"/>
      <c r="D2042" s="241"/>
      <c r="E2042" s="241"/>
      <c r="F2042" s="241"/>
      <c r="G2042" s="241"/>
      <c r="H2042" s="241"/>
      <c r="I2042"/>
      <c r="J2042" s="241"/>
      <c r="K2042" s="241"/>
      <c r="L2042" s="241"/>
      <c r="M2042" s="241"/>
      <c r="N2042" s="241"/>
      <c r="O2042" s="241"/>
      <c r="P2042" s="241"/>
      <c r="Q2042" s="241"/>
    </row>
    <row r="2043" spans="1:17" ht="13.5" customHeight="1" x14ac:dyDescent="0.3">
      <c r="A2043"/>
      <c r="B2043" s="241"/>
      <c r="C2043" s="241"/>
      <c r="D2043" s="241"/>
      <c r="E2043" s="241"/>
      <c r="F2043" s="241"/>
      <c r="G2043" s="241"/>
      <c r="H2043" s="241"/>
      <c r="I2043"/>
      <c r="J2043" s="241"/>
      <c r="K2043" s="241"/>
      <c r="L2043" s="241"/>
      <c r="M2043" s="241"/>
      <c r="N2043" s="241"/>
      <c r="O2043" s="241"/>
      <c r="P2043" s="241"/>
      <c r="Q2043" s="241"/>
    </row>
    <row r="2044" spans="1:17" ht="13.5" customHeight="1" x14ac:dyDescent="0.3">
      <c r="A2044"/>
      <c r="B2044" s="241"/>
      <c r="C2044" s="241"/>
      <c r="D2044" s="241"/>
      <c r="E2044" s="241"/>
      <c r="F2044" s="241"/>
      <c r="G2044" s="241"/>
      <c r="H2044" s="241"/>
      <c r="I2044"/>
      <c r="J2044" s="241"/>
      <c r="K2044" s="241"/>
      <c r="L2044" s="241"/>
      <c r="M2044" s="241"/>
      <c r="N2044" s="241"/>
      <c r="O2044" s="241"/>
      <c r="P2044" s="241"/>
      <c r="Q2044" s="241"/>
    </row>
    <row r="2045" spans="1:17" ht="13.5" customHeight="1" x14ac:dyDescent="0.3">
      <c r="A2045"/>
      <c r="B2045" s="241"/>
      <c r="C2045" s="241"/>
      <c r="D2045" s="241"/>
      <c r="E2045" s="241"/>
      <c r="F2045" s="241"/>
      <c r="G2045" s="241"/>
      <c r="H2045" s="241"/>
      <c r="I2045"/>
      <c r="J2045" s="241"/>
      <c r="K2045" s="241"/>
      <c r="L2045" s="241"/>
      <c r="M2045" s="241"/>
      <c r="N2045" s="241"/>
      <c r="O2045" s="241"/>
      <c r="P2045" s="241"/>
      <c r="Q2045" s="241"/>
    </row>
    <row r="2046" spans="1:17" ht="13.5" customHeight="1" x14ac:dyDescent="0.3">
      <c r="A2046"/>
      <c r="B2046" s="241"/>
      <c r="C2046" s="241"/>
      <c r="D2046" s="241"/>
      <c r="E2046" s="241"/>
      <c r="F2046" s="241"/>
      <c r="G2046" s="241"/>
      <c r="H2046" s="241"/>
      <c r="I2046"/>
      <c r="J2046" s="241"/>
      <c r="K2046" s="241"/>
      <c r="L2046" s="241"/>
      <c r="M2046" s="241"/>
      <c r="N2046" s="241"/>
      <c r="O2046" s="241"/>
      <c r="P2046" s="241"/>
      <c r="Q2046" s="241"/>
    </row>
    <row r="2047" spans="1:17" ht="13.5" customHeight="1" x14ac:dyDescent="0.3">
      <c r="A2047"/>
      <c r="B2047" s="241"/>
      <c r="C2047" s="241"/>
      <c r="D2047" s="241"/>
      <c r="E2047" s="241"/>
      <c r="F2047" s="241"/>
      <c r="G2047" s="241"/>
      <c r="H2047" s="241"/>
      <c r="I2047"/>
      <c r="J2047" s="241"/>
      <c r="K2047" s="241"/>
      <c r="L2047" s="241"/>
      <c r="M2047" s="241"/>
      <c r="N2047" s="241"/>
      <c r="O2047" s="241"/>
      <c r="P2047" s="241"/>
      <c r="Q2047" s="241"/>
    </row>
    <row r="2048" spans="1:17" ht="13.5" customHeight="1" x14ac:dyDescent="0.3">
      <c r="A2048"/>
      <c r="B2048" s="241"/>
      <c r="C2048" s="241"/>
      <c r="D2048" s="241"/>
      <c r="E2048" s="241"/>
      <c r="F2048" s="241"/>
      <c r="G2048" s="241"/>
      <c r="H2048" s="241"/>
      <c r="I2048"/>
      <c r="J2048" s="241"/>
      <c r="K2048" s="241"/>
      <c r="L2048" s="241"/>
      <c r="M2048" s="241"/>
      <c r="N2048" s="241"/>
      <c r="O2048" s="241"/>
      <c r="P2048" s="241"/>
      <c r="Q2048" s="241"/>
    </row>
    <row r="2049" spans="1:17" ht="13.5" customHeight="1" x14ac:dyDescent="0.3">
      <c r="A2049"/>
      <c r="B2049" s="241"/>
      <c r="C2049" s="241"/>
      <c r="D2049" s="241"/>
      <c r="E2049" s="241"/>
      <c r="F2049" s="241"/>
      <c r="G2049" s="241"/>
      <c r="H2049" s="241"/>
      <c r="I2049"/>
      <c r="J2049" s="241"/>
      <c r="K2049" s="241"/>
      <c r="L2049" s="241"/>
      <c r="M2049" s="241"/>
      <c r="N2049" s="241"/>
      <c r="O2049" s="241"/>
      <c r="P2049" s="241"/>
      <c r="Q2049" s="241"/>
    </row>
    <row r="2050" spans="1:17" ht="13.5" customHeight="1" x14ac:dyDescent="0.3">
      <c r="A2050"/>
      <c r="B2050" s="241"/>
      <c r="C2050" s="241"/>
      <c r="D2050" s="241"/>
      <c r="E2050" s="241"/>
      <c r="F2050" s="241"/>
      <c r="G2050" s="241"/>
      <c r="H2050" s="241"/>
      <c r="I2050"/>
      <c r="J2050" s="241"/>
      <c r="K2050" s="241"/>
      <c r="L2050" s="241"/>
      <c r="M2050" s="241"/>
      <c r="N2050" s="241"/>
      <c r="O2050" s="241"/>
      <c r="P2050" s="241"/>
      <c r="Q2050" s="241"/>
    </row>
    <row r="2051" spans="1:17" ht="13.5" customHeight="1" x14ac:dyDescent="0.3">
      <c r="A2051"/>
      <c r="B2051" s="241"/>
      <c r="C2051" s="241"/>
      <c r="D2051" s="241"/>
      <c r="E2051" s="241"/>
      <c r="F2051" s="241"/>
      <c r="G2051" s="241"/>
      <c r="H2051" s="241"/>
      <c r="I2051"/>
      <c r="J2051" s="241"/>
      <c r="K2051" s="241"/>
      <c r="L2051" s="241"/>
      <c r="M2051" s="241"/>
      <c r="N2051" s="241"/>
      <c r="O2051" s="241"/>
      <c r="P2051" s="241"/>
      <c r="Q2051" s="241"/>
    </row>
    <row r="2052" spans="1:17" ht="13.5" customHeight="1" x14ac:dyDescent="0.3">
      <c r="A2052"/>
      <c r="B2052" s="241"/>
      <c r="C2052" s="241"/>
      <c r="D2052" s="241"/>
      <c r="E2052" s="241"/>
      <c r="F2052" s="241"/>
      <c r="G2052" s="241"/>
      <c r="H2052" s="241"/>
      <c r="I2052"/>
      <c r="J2052" s="241"/>
      <c r="K2052" s="241"/>
      <c r="L2052" s="241"/>
      <c r="M2052" s="241"/>
      <c r="N2052" s="241"/>
      <c r="O2052" s="241"/>
      <c r="P2052" s="241"/>
      <c r="Q2052" s="241"/>
    </row>
    <row r="2053" spans="1:17" ht="13.5" customHeight="1" x14ac:dyDescent="0.3">
      <c r="A2053"/>
      <c r="B2053" s="241"/>
      <c r="C2053" s="241"/>
      <c r="D2053" s="241"/>
      <c r="E2053" s="241"/>
      <c r="F2053" s="241"/>
      <c r="G2053" s="241"/>
      <c r="H2053" s="241"/>
      <c r="I2053"/>
      <c r="J2053" s="241"/>
      <c r="K2053" s="241"/>
      <c r="L2053" s="241"/>
      <c r="M2053" s="241"/>
      <c r="N2053" s="241"/>
      <c r="O2053" s="241"/>
      <c r="P2053" s="241"/>
      <c r="Q2053" s="241"/>
    </row>
    <row r="2054" spans="1:17" ht="13.5" customHeight="1" x14ac:dyDescent="0.3">
      <c r="A2054"/>
      <c r="B2054" s="241"/>
      <c r="C2054" s="241"/>
      <c r="D2054" s="241"/>
      <c r="E2054" s="241"/>
      <c r="F2054" s="241"/>
      <c r="G2054" s="241"/>
      <c r="H2054" s="241"/>
      <c r="I2054"/>
      <c r="J2054" s="241"/>
      <c r="K2054" s="241"/>
      <c r="L2054" s="241"/>
      <c r="M2054" s="241"/>
      <c r="N2054" s="241"/>
      <c r="O2054" s="241"/>
      <c r="P2054" s="241"/>
      <c r="Q2054" s="241"/>
    </row>
    <row r="2055" spans="1:17" ht="13.5" customHeight="1" x14ac:dyDescent="0.3">
      <c r="A2055"/>
      <c r="B2055" s="241"/>
      <c r="C2055" s="241"/>
      <c r="D2055" s="241"/>
      <c r="E2055" s="241"/>
      <c r="F2055" s="241"/>
      <c r="G2055" s="241"/>
      <c r="H2055" s="241"/>
      <c r="I2055"/>
      <c r="J2055" s="241"/>
      <c r="K2055" s="241"/>
      <c r="L2055" s="241"/>
      <c r="M2055" s="241"/>
      <c r="N2055" s="241"/>
      <c r="O2055" s="241"/>
      <c r="P2055" s="241"/>
      <c r="Q2055" s="241"/>
    </row>
    <row r="2056" spans="1:17" ht="13.5" customHeight="1" x14ac:dyDescent="0.3">
      <c r="A2056"/>
      <c r="B2056" s="241"/>
      <c r="C2056" s="241"/>
      <c r="D2056" s="241"/>
      <c r="E2056" s="241"/>
      <c r="F2056" s="241"/>
      <c r="G2056" s="241"/>
      <c r="H2056" s="241"/>
      <c r="I2056"/>
      <c r="J2056" s="241"/>
      <c r="K2056" s="241"/>
      <c r="L2056" s="241"/>
      <c r="M2056" s="241"/>
      <c r="N2056" s="241"/>
      <c r="O2056" s="241"/>
      <c r="P2056" s="241"/>
      <c r="Q2056" s="241"/>
    </row>
    <row r="2057" spans="1:17" ht="13.5" customHeight="1" x14ac:dyDescent="0.3">
      <c r="A2057"/>
      <c r="B2057" s="241"/>
      <c r="C2057" s="241"/>
      <c r="D2057" s="241"/>
      <c r="E2057" s="241"/>
      <c r="F2057" s="241"/>
      <c r="G2057" s="241"/>
      <c r="H2057" s="241"/>
      <c r="I2057"/>
      <c r="J2057" s="241"/>
      <c r="K2057" s="241"/>
      <c r="L2057" s="241"/>
      <c r="M2057" s="241"/>
      <c r="N2057" s="241"/>
      <c r="O2057" s="241"/>
      <c r="P2057" s="241"/>
      <c r="Q2057" s="241"/>
    </row>
    <row r="2058" spans="1:17" ht="13.5" customHeight="1" x14ac:dyDescent="0.3">
      <c r="A2058"/>
      <c r="B2058" s="241"/>
      <c r="C2058" s="241"/>
      <c r="D2058" s="241"/>
      <c r="E2058" s="241"/>
      <c r="F2058" s="241"/>
      <c r="G2058" s="241"/>
      <c r="H2058" s="241"/>
      <c r="I2058"/>
      <c r="J2058" s="241"/>
      <c r="K2058" s="241"/>
      <c r="L2058" s="241"/>
      <c r="M2058" s="241"/>
      <c r="N2058" s="241"/>
      <c r="O2058" s="241"/>
      <c r="P2058" s="241"/>
      <c r="Q2058" s="241"/>
    </row>
    <row r="2059" spans="1:17" ht="13.5" customHeight="1" x14ac:dyDescent="0.3">
      <c r="A2059"/>
      <c r="B2059" s="241"/>
      <c r="C2059" s="241"/>
      <c r="D2059" s="241"/>
      <c r="E2059" s="241"/>
      <c r="F2059" s="241"/>
      <c r="G2059" s="241"/>
      <c r="H2059" s="241"/>
      <c r="I2059"/>
      <c r="J2059" s="241"/>
      <c r="K2059" s="241"/>
      <c r="L2059" s="241"/>
      <c r="M2059" s="241"/>
      <c r="N2059" s="241"/>
      <c r="O2059" s="241"/>
      <c r="P2059" s="241"/>
      <c r="Q2059" s="241"/>
    </row>
    <row r="2060" spans="1:17" ht="13.5" customHeight="1" x14ac:dyDescent="0.3">
      <c r="A2060"/>
      <c r="B2060" s="241"/>
      <c r="C2060" s="241"/>
      <c r="D2060" s="241"/>
      <c r="E2060" s="241"/>
      <c r="F2060" s="241"/>
      <c r="G2060" s="241"/>
      <c r="H2060" s="241"/>
      <c r="I2060"/>
      <c r="J2060" s="241"/>
      <c r="K2060" s="241"/>
      <c r="L2060" s="241"/>
      <c r="M2060" s="241"/>
      <c r="N2060" s="241"/>
      <c r="O2060" s="241"/>
      <c r="P2060" s="241"/>
      <c r="Q2060" s="241"/>
    </row>
    <row r="2061" spans="1:17" ht="13.5" customHeight="1" x14ac:dyDescent="0.3">
      <c r="A2061"/>
      <c r="B2061" s="241"/>
      <c r="C2061" s="241"/>
      <c r="D2061" s="241"/>
      <c r="E2061" s="241"/>
      <c r="F2061" s="241"/>
      <c r="G2061" s="241"/>
      <c r="H2061" s="241"/>
      <c r="I2061"/>
      <c r="J2061" s="241"/>
      <c r="K2061" s="241"/>
      <c r="L2061" s="241"/>
      <c r="M2061" s="241"/>
      <c r="N2061" s="241"/>
      <c r="O2061" s="241"/>
      <c r="P2061" s="241"/>
      <c r="Q2061" s="241"/>
    </row>
    <row r="2062" spans="1:17" ht="13.5" customHeight="1" x14ac:dyDescent="0.3">
      <c r="A2062"/>
      <c r="B2062" s="241"/>
      <c r="C2062" s="241"/>
      <c r="D2062" s="241"/>
      <c r="E2062" s="241"/>
      <c r="F2062" s="241"/>
      <c r="G2062" s="241"/>
      <c r="H2062" s="241"/>
      <c r="I2062"/>
      <c r="J2062" s="241"/>
      <c r="K2062" s="241"/>
      <c r="L2062" s="241"/>
      <c r="M2062" s="241"/>
      <c r="N2062" s="241"/>
      <c r="O2062" s="241"/>
      <c r="P2062" s="241"/>
      <c r="Q2062" s="241"/>
    </row>
    <row r="2063" spans="1:17" ht="13.5" customHeight="1" x14ac:dyDescent="0.3">
      <c r="A2063"/>
      <c r="B2063" s="241"/>
      <c r="C2063" s="241"/>
      <c r="D2063" s="241"/>
      <c r="E2063" s="241"/>
      <c r="F2063" s="241"/>
      <c r="G2063" s="241"/>
      <c r="H2063" s="241"/>
      <c r="I2063"/>
      <c r="J2063" s="241"/>
      <c r="K2063" s="241"/>
      <c r="L2063" s="241"/>
      <c r="M2063" s="241"/>
      <c r="N2063" s="241"/>
      <c r="O2063" s="241"/>
      <c r="P2063" s="241"/>
      <c r="Q2063" s="241"/>
    </row>
    <row r="2064" spans="1:17" ht="13.5" customHeight="1" x14ac:dyDescent="0.3">
      <c r="A2064"/>
      <c r="B2064" s="241"/>
      <c r="C2064" s="241"/>
      <c r="D2064" s="241"/>
      <c r="E2064" s="241"/>
      <c r="F2064" s="241"/>
      <c r="G2064" s="241"/>
      <c r="H2064" s="241"/>
      <c r="I2064"/>
      <c r="J2064" s="241"/>
      <c r="K2064" s="241"/>
      <c r="L2064" s="241"/>
      <c r="M2064" s="241"/>
      <c r="N2064" s="241"/>
      <c r="O2064" s="241"/>
      <c r="P2064" s="241"/>
      <c r="Q2064" s="241"/>
    </row>
    <row r="2065" spans="1:17" ht="13.5" customHeight="1" x14ac:dyDescent="0.3">
      <c r="A2065"/>
      <c r="B2065" s="241"/>
      <c r="C2065" s="241"/>
      <c r="D2065" s="241"/>
      <c r="E2065" s="241"/>
      <c r="F2065" s="241"/>
      <c r="G2065" s="241"/>
      <c r="H2065" s="241"/>
      <c r="I2065"/>
      <c r="J2065" s="241"/>
      <c r="K2065" s="241"/>
      <c r="L2065" s="241"/>
      <c r="M2065" s="241"/>
      <c r="N2065" s="241"/>
      <c r="O2065" s="241"/>
      <c r="P2065" s="241"/>
      <c r="Q2065" s="241"/>
    </row>
    <row r="2066" spans="1:17" ht="13.5" customHeight="1" x14ac:dyDescent="0.3">
      <c r="A2066"/>
      <c r="B2066" s="241"/>
      <c r="C2066" s="241"/>
      <c r="D2066" s="241"/>
      <c r="E2066" s="241"/>
      <c r="F2066" s="241"/>
      <c r="G2066" s="241"/>
      <c r="H2066" s="241"/>
      <c r="I2066"/>
      <c r="J2066" s="241"/>
      <c r="K2066" s="241"/>
      <c r="L2066" s="241"/>
      <c r="M2066" s="241"/>
      <c r="N2066" s="241"/>
      <c r="O2066" s="241"/>
      <c r="P2066" s="241"/>
      <c r="Q2066" s="241"/>
    </row>
    <row r="2067" spans="1:17" ht="13.5" customHeight="1" x14ac:dyDescent="0.3">
      <c r="A2067"/>
      <c r="B2067" s="241"/>
      <c r="C2067" s="241"/>
      <c r="D2067" s="241"/>
      <c r="E2067" s="241"/>
      <c r="F2067" s="241"/>
      <c r="G2067" s="241"/>
      <c r="H2067" s="241"/>
      <c r="I2067"/>
      <c r="J2067" s="241"/>
      <c r="K2067" s="241"/>
      <c r="L2067" s="241"/>
      <c r="M2067" s="241"/>
      <c r="N2067" s="241"/>
      <c r="O2067" s="241"/>
      <c r="P2067" s="241"/>
      <c r="Q2067" s="241"/>
    </row>
    <row r="2068" spans="1:17" ht="13.5" customHeight="1" x14ac:dyDescent="0.3">
      <c r="A2068"/>
      <c r="B2068" s="241"/>
      <c r="C2068" s="241"/>
      <c r="D2068" s="241"/>
      <c r="E2068" s="241"/>
      <c r="F2068" s="241"/>
      <c r="G2068" s="241"/>
      <c r="H2068" s="241"/>
      <c r="I2068"/>
      <c r="J2068" s="241"/>
      <c r="K2068" s="241"/>
      <c r="L2068" s="241"/>
      <c r="M2068" s="241"/>
      <c r="N2068" s="241"/>
      <c r="O2068" s="241"/>
      <c r="P2068" s="241"/>
      <c r="Q2068" s="241"/>
    </row>
    <row r="2069" spans="1:17" ht="13.5" customHeight="1" x14ac:dyDescent="0.3">
      <c r="A2069"/>
      <c r="B2069" s="241"/>
      <c r="C2069" s="241"/>
      <c r="D2069" s="241"/>
      <c r="E2069" s="241"/>
      <c r="F2069" s="241"/>
      <c r="G2069" s="241"/>
      <c r="H2069" s="241"/>
      <c r="I2069"/>
      <c r="J2069" s="241"/>
      <c r="K2069" s="241"/>
      <c r="L2069" s="241"/>
      <c r="M2069" s="241"/>
      <c r="N2069" s="241"/>
      <c r="O2069" s="241"/>
      <c r="P2069" s="241"/>
      <c r="Q2069" s="241"/>
    </row>
    <row r="2070" spans="1:17" ht="13.5" customHeight="1" x14ac:dyDescent="0.3">
      <c r="A2070"/>
      <c r="B2070" s="241"/>
      <c r="C2070" s="241"/>
      <c r="D2070" s="241"/>
      <c r="E2070" s="241"/>
      <c r="F2070" s="241"/>
      <c r="G2070" s="241"/>
      <c r="H2070" s="241"/>
      <c r="I2070"/>
      <c r="J2070" s="241"/>
      <c r="K2070" s="241"/>
      <c r="L2070" s="241"/>
      <c r="M2070" s="241"/>
      <c r="N2070" s="241"/>
      <c r="O2070" s="241"/>
      <c r="P2070" s="241"/>
      <c r="Q2070" s="241"/>
    </row>
    <row r="2071" spans="1:17" ht="13.5" customHeight="1" x14ac:dyDescent="0.3">
      <c r="A2071"/>
      <c r="B2071" s="241"/>
      <c r="C2071" s="241"/>
      <c r="D2071" s="241"/>
      <c r="E2071" s="241"/>
      <c r="F2071" s="241"/>
      <c r="G2071" s="241"/>
      <c r="H2071" s="241"/>
      <c r="I2071"/>
      <c r="J2071" s="241"/>
      <c r="K2071" s="241"/>
      <c r="L2071" s="241"/>
      <c r="M2071" s="241"/>
      <c r="N2071" s="241"/>
      <c r="O2071" s="241"/>
      <c r="P2071" s="241"/>
      <c r="Q2071" s="241"/>
    </row>
    <row r="2072" spans="1:17" ht="13.5" customHeight="1" x14ac:dyDescent="0.3">
      <c r="A2072"/>
      <c r="B2072" s="241"/>
      <c r="C2072" s="241"/>
      <c r="D2072" s="241"/>
      <c r="E2072" s="241"/>
      <c r="F2072" s="241"/>
      <c r="G2072" s="241"/>
      <c r="H2072" s="241"/>
      <c r="I2072"/>
      <c r="J2072" s="241"/>
      <c r="K2072" s="241"/>
      <c r="L2072" s="241"/>
      <c r="M2072" s="241"/>
      <c r="N2072" s="241"/>
      <c r="O2072" s="241"/>
      <c r="P2072" s="241"/>
      <c r="Q2072" s="241"/>
    </row>
    <row r="2073" spans="1:17" ht="13.5" customHeight="1" x14ac:dyDescent="0.3">
      <c r="A2073"/>
      <c r="B2073" s="241"/>
      <c r="C2073" s="241"/>
      <c r="D2073" s="241"/>
      <c r="E2073" s="241"/>
      <c r="F2073" s="241"/>
      <c r="G2073" s="241"/>
      <c r="H2073" s="241"/>
      <c r="I2073"/>
      <c r="J2073" s="241"/>
      <c r="K2073" s="241"/>
      <c r="L2073" s="241"/>
      <c r="M2073" s="241"/>
      <c r="N2073" s="241"/>
      <c r="O2073" s="241"/>
      <c r="P2073" s="241"/>
      <c r="Q2073" s="241"/>
    </row>
    <row r="2074" spans="1:17" ht="13.5" customHeight="1" x14ac:dyDescent="0.3">
      <c r="A2074"/>
      <c r="B2074" s="241"/>
      <c r="C2074" s="241"/>
      <c r="D2074" s="241"/>
      <c r="E2074" s="241"/>
      <c r="F2074" s="241"/>
      <c r="G2074" s="241"/>
      <c r="H2074" s="241"/>
      <c r="I2074"/>
      <c r="J2074" s="241"/>
      <c r="K2074" s="241"/>
      <c r="L2074" s="241"/>
      <c r="M2074" s="241"/>
      <c r="N2074" s="241"/>
      <c r="O2074" s="241"/>
      <c r="P2074" s="241"/>
      <c r="Q2074" s="241"/>
    </row>
    <row r="2075" spans="1:17" ht="13.5" customHeight="1" x14ac:dyDescent="0.3">
      <c r="A2075"/>
      <c r="B2075" s="241"/>
      <c r="C2075" s="241"/>
      <c r="D2075" s="241"/>
      <c r="E2075" s="241"/>
      <c r="F2075" s="241"/>
      <c r="G2075" s="241"/>
      <c r="H2075" s="241"/>
      <c r="I2075"/>
      <c r="J2075" s="241"/>
      <c r="K2075" s="241"/>
      <c r="L2075" s="241"/>
      <c r="M2075" s="241"/>
      <c r="N2075" s="241"/>
      <c r="O2075" s="241"/>
      <c r="P2075" s="241"/>
      <c r="Q2075" s="241"/>
    </row>
    <row r="2076" spans="1:17" ht="13.5" customHeight="1" x14ac:dyDescent="0.3">
      <c r="A2076"/>
      <c r="B2076" s="241"/>
      <c r="C2076" s="241"/>
      <c r="D2076" s="241"/>
      <c r="E2076" s="241"/>
      <c r="F2076" s="241"/>
      <c r="G2076" s="241"/>
      <c r="H2076" s="241"/>
      <c r="I2076"/>
      <c r="J2076" s="241"/>
      <c r="K2076" s="241"/>
      <c r="L2076" s="241"/>
      <c r="M2076" s="241"/>
      <c r="N2076" s="241"/>
      <c r="O2076" s="241"/>
      <c r="P2076" s="241"/>
      <c r="Q2076" s="241"/>
    </row>
    <row r="2077" spans="1:17" ht="13.5" customHeight="1" x14ac:dyDescent="0.3">
      <c r="A2077"/>
      <c r="B2077" s="241"/>
      <c r="C2077" s="241"/>
      <c r="D2077" s="241"/>
      <c r="E2077" s="241"/>
      <c r="F2077" s="241"/>
      <c r="G2077" s="241"/>
      <c r="H2077" s="241"/>
      <c r="I2077"/>
      <c r="J2077" s="241"/>
      <c r="K2077" s="241"/>
      <c r="L2077" s="241"/>
      <c r="M2077" s="241"/>
      <c r="N2077" s="241"/>
      <c r="O2077" s="241"/>
      <c r="P2077" s="241"/>
      <c r="Q2077" s="241"/>
    </row>
    <row r="2078" spans="1:17" ht="13.5" customHeight="1" x14ac:dyDescent="0.3">
      <c r="A2078"/>
      <c r="B2078" s="241"/>
      <c r="C2078" s="241"/>
      <c r="D2078" s="241"/>
      <c r="E2078" s="241"/>
      <c r="F2078" s="241"/>
      <c r="G2078" s="241"/>
      <c r="H2078" s="241"/>
      <c r="I2078"/>
      <c r="J2078" s="241"/>
      <c r="K2078" s="241"/>
      <c r="L2078" s="241"/>
      <c r="M2078" s="241"/>
      <c r="N2078" s="241"/>
      <c r="O2078" s="241"/>
      <c r="P2078" s="241"/>
      <c r="Q2078" s="241"/>
    </row>
    <row r="2079" spans="1:17" ht="13.5" customHeight="1" x14ac:dyDescent="0.3">
      <c r="A2079"/>
      <c r="B2079" s="241"/>
      <c r="C2079" s="241"/>
      <c r="D2079" s="241"/>
      <c r="E2079" s="241"/>
      <c r="F2079" s="241"/>
      <c r="G2079" s="241"/>
      <c r="H2079" s="241"/>
      <c r="I2079"/>
      <c r="J2079" s="241"/>
      <c r="K2079" s="241"/>
      <c r="L2079" s="241"/>
      <c r="M2079" s="241"/>
      <c r="N2079" s="241"/>
      <c r="O2079" s="241"/>
      <c r="P2079" s="241"/>
      <c r="Q2079" s="241"/>
    </row>
    <row r="2080" spans="1:17" ht="13.5" customHeight="1" x14ac:dyDescent="0.3">
      <c r="A2080"/>
      <c r="B2080" s="241"/>
      <c r="C2080" s="241"/>
      <c r="D2080" s="241"/>
      <c r="E2080" s="241"/>
      <c r="F2080" s="241"/>
      <c r="G2080" s="241"/>
      <c r="H2080" s="241"/>
      <c r="I2080"/>
      <c r="J2080" s="241"/>
      <c r="K2080" s="241"/>
      <c r="L2080" s="241"/>
      <c r="M2080" s="241"/>
      <c r="N2080" s="241"/>
      <c r="O2080" s="241"/>
      <c r="P2080" s="241"/>
      <c r="Q2080" s="241"/>
    </row>
    <row r="2081" spans="1:17" ht="13.5" customHeight="1" x14ac:dyDescent="0.3">
      <c r="A2081"/>
      <c r="B2081" s="241"/>
      <c r="C2081" s="241"/>
      <c r="D2081" s="241"/>
      <c r="E2081" s="241"/>
      <c r="F2081" s="241"/>
      <c r="G2081" s="241"/>
      <c r="H2081" s="241"/>
      <c r="I2081"/>
      <c r="J2081" s="241"/>
      <c r="K2081" s="241"/>
      <c r="L2081" s="241"/>
      <c r="M2081" s="241"/>
      <c r="N2081" s="241"/>
      <c r="O2081" s="241"/>
      <c r="P2081" s="241"/>
      <c r="Q2081" s="241"/>
    </row>
    <row r="2082" spans="1:17" ht="13.5" customHeight="1" x14ac:dyDescent="0.3">
      <c r="A2082"/>
      <c r="B2082" s="241"/>
      <c r="C2082" s="241"/>
      <c r="D2082" s="241"/>
      <c r="E2082" s="241"/>
      <c r="F2082" s="241"/>
      <c r="G2082" s="241"/>
      <c r="H2082" s="241"/>
      <c r="I2082"/>
      <c r="J2082" s="241"/>
      <c r="K2082" s="241"/>
      <c r="L2082" s="241"/>
      <c r="M2082" s="241"/>
      <c r="N2082" s="241"/>
      <c r="O2082" s="241"/>
      <c r="P2082" s="241"/>
      <c r="Q2082" s="241"/>
    </row>
    <row r="2083" spans="1:17" ht="13.5" customHeight="1" x14ac:dyDescent="0.3">
      <c r="A2083"/>
      <c r="B2083" s="241"/>
      <c r="C2083" s="241"/>
      <c r="D2083" s="241"/>
      <c r="E2083" s="241"/>
      <c r="F2083" s="241"/>
      <c r="G2083" s="241"/>
      <c r="H2083" s="241"/>
      <c r="I2083"/>
      <c r="J2083" s="241"/>
      <c r="K2083" s="241"/>
      <c r="L2083" s="241"/>
      <c r="M2083" s="241"/>
      <c r="N2083" s="241"/>
      <c r="O2083" s="241"/>
      <c r="P2083" s="241"/>
      <c r="Q2083" s="241"/>
    </row>
    <row r="2084" spans="1:17" ht="13.5" customHeight="1" x14ac:dyDescent="0.3">
      <c r="A2084"/>
      <c r="B2084" s="241"/>
      <c r="C2084" s="241"/>
      <c r="D2084" s="241"/>
      <c r="E2084" s="241"/>
      <c r="F2084" s="241"/>
      <c r="G2084" s="241"/>
      <c r="H2084" s="241"/>
      <c r="I2084"/>
      <c r="J2084" s="241"/>
      <c r="K2084" s="241"/>
      <c r="L2084" s="241"/>
      <c r="M2084" s="241"/>
      <c r="N2084" s="241"/>
      <c r="O2084" s="241"/>
      <c r="P2084" s="241"/>
      <c r="Q2084" s="241"/>
    </row>
    <row r="2085" spans="1:17" ht="13.5" customHeight="1" x14ac:dyDescent="0.3">
      <c r="A2085"/>
      <c r="B2085" s="241"/>
      <c r="C2085" s="241"/>
      <c r="D2085" s="241"/>
      <c r="E2085" s="241"/>
      <c r="F2085" s="241"/>
      <c r="G2085" s="241"/>
      <c r="H2085" s="241"/>
      <c r="I2085"/>
      <c r="J2085" s="241"/>
      <c r="K2085" s="241"/>
      <c r="L2085" s="241"/>
      <c r="M2085" s="241"/>
      <c r="N2085" s="241"/>
      <c r="O2085" s="241"/>
      <c r="P2085" s="241"/>
      <c r="Q2085" s="241"/>
    </row>
    <row r="2086" spans="1:17" ht="13.5" customHeight="1" x14ac:dyDescent="0.3">
      <c r="A2086"/>
      <c r="B2086" s="241"/>
      <c r="C2086" s="241"/>
      <c r="D2086" s="241"/>
      <c r="E2086" s="241"/>
      <c r="F2086" s="241"/>
      <c r="G2086" s="241"/>
      <c r="H2086" s="241"/>
      <c r="I2086"/>
      <c r="J2086" s="241"/>
      <c r="K2086" s="241"/>
      <c r="L2086" s="241"/>
      <c r="M2086" s="241"/>
      <c r="N2086" s="241"/>
      <c r="O2086" s="241"/>
      <c r="P2086" s="241"/>
      <c r="Q2086" s="241"/>
    </row>
    <row r="2087" spans="1:17" ht="13.5" customHeight="1" x14ac:dyDescent="0.3">
      <c r="A2087"/>
      <c r="B2087" s="241"/>
      <c r="C2087" s="241"/>
      <c r="D2087" s="241"/>
      <c r="E2087" s="241"/>
      <c r="F2087" s="241"/>
      <c r="G2087" s="241"/>
      <c r="H2087" s="241"/>
      <c r="I2087"/>
      <c r="J2087" s="241"/>
      <c r="K2087" s="241"/>
      <c r="L2087" s="241"/>
      <c r="M2087" s="241"/>
      <c r="N2087" s="241"/>
      <c r="O2087" s="241"/>
      <c r="P2087" s="241"/>
      <c r="Q2087" s="241"/>
    </row>
    <row r="2088" spans="1:17" ht="13.5" customHeight="1" x14ac:dyDescent="0.3">
      <c r="A2088"/>
      <c r="B2088" s="241"/>
      <c r="C2088" s="241"/>
      <c r="D2088" s="241"/>
      <c r="E2088" s="241"/>
      <c r="F2088" s="241"/>
      <c r="G2088" s="241"/>
      <c r="H2088" s="241"/>
      <c r="I2088"/>
      <c r="J2088" s="241"/>
      <c r="K2088" s="241"/>
      <c r="L2088" s="241"/>
      <c r="M2088" s="241"/>
      <c r="N2088" s="241"/>
      <c r="O2088" s="241"/>
      <c r="P2088" s="241"/>
      <c r="Q2088" s="241"/>
    </row>
    <row r="2089" spans="1:17" ht="13.5" customHeight="1" x14ac:dyDescent="0.3">
      <c r="A2089"/>
      <c r="B2089" s="241"/>
      <c r="C2089" s="241"/>
      <c r="D2089" s="241"/>
      <c r="E2089" s="241"/>
      <c r="F2089" s="241"/>
      <c r="G2089" s="241"/>
      <c r="H2089" s="241"/>
      <c r="I2089"/>
      <c r="J2089" s="241"/>
      <c r="K2089" s="241"/>
      <c r="L2089" s="241"/>
      <c r="M2089" s="241"/>
      <c r="N2089" s="241"/>
      <c r="O2089" s="241"/>
      <c r="P2089" s="241"/>
      <c r="Q2089" s="241"/>
    </row>
    <row r="2090" spans="1:17" ht="13.5" customHeight="1" x14ac:dyDescent="0.3">
      <c r="A2090"/>
      <c r="B2090" s="241"/>
      <c r="C2090" s="241"/>
      <c r="D2090" s="241"/>
      <c r="E2090" s="241"/>
      <c r="F2090" s="241"/>
      <c r="G2090" s="241"/>
      <c r="H2090" s="241"/>
      <c r="I2090"/>
      <c r="J2090" s="241"/>
      <c r="K2090" s="241"/>
      <c r="L2090" s="241"/>
      <c r="M2090" s="241"/>
      <c r="N2090" s="241"/>
      <c r="O2090" s="241"/>
      <c r="P2090" s="241"/>
      <c r="Q2090" s="241"/>
    </row>
    <row r="2091" spans="1:17" ht="13.5" customHeight="1" x14ac:dyDescent="0.3">
      <c r="A2091"/>
      <c r="B2091" s="241"/>
      <c r="C2091" s="241"/>
      <c r="D2091" s="241"/>
      <c r="E2091" s="241"/>
      <c r="F2091" s="241"/>
      <c r="G2091" s="241"/>
      <c r="H2091" s="241"/>
      <c r="I2091"/>
      <c r="J2091" s="241"/>
      <c r="K2091" s="241"/>
      <c r="L2091" s="241"/>
      <c r="M2091" s="241"/>
      <c r="N2091" s="241"/>
      <c r="O2091" s="241"/>
      <c r="P2091" s="241"/>
      <c r="Q2091" s="241"/>
    </row>
    <row r="2092" spans="1:17" ht="13.5" customHeight="1" x14ac:dyDescent="0.3">
      <c r="A2092"/>
      <c r="B2092" s="241"/>
      <c r="C2092" s="241"/>
      <c r="D2092" s="241"/>
      <c r="E2092" s="241"/>
      <c r="F2092" s="241"/>
      <c r="G2092" s="241"/>
      <c r="H2092" s="241"/>
      <c r="I2092"/>
      <c r="J2092" s="241"/>
      <c r="K2092" s="241"/>
      <c r="L2092" s="241"/>
      <c r="M2092" s="241"/>
      <c r="N2092" s="241"/>
      <c r="O2092" s="241"/>
      <c r="P2092" s="241"/>
      <c r="Q2092" s="241"/>
    </row>
    <row r="2093" spans="1:17" ht="13.5" customHeight="1" x14ac:dyDescent="0.3">
      <c r="A2093"/>
      <c r="B2093" s="241"/>
      <c r="C2093" s="241"/>
      <c r="D2093" s="241"/>
      <c r="E2093" s="241"/>
      <c r="F2093" s="241"/>
      <c r="G2093" s="241"/>
      <c r="H2093" s="241"/>
      <c r="I2093"/>
      <c r="J2093" s="241"/>
      <c r="K2093" s="241"/>
      <c r="L2093" s="241"/>
      <c r="M2093" s="241"/>
      <c r="N2093" s="241"/>
      <c r="O2093" s="241"/>
      <c r="P2093" s="241"/>
      <c r="Q2093" s="241"/>
    </row>
    <row r="2094" spans="1:17" ht="13.5" customHeight="1" x14ac:dyDescent="0.3">
      <c r="A2094"/>
      <c r="B2094" s="241"/>
      <c r="C2094" s="241"/>
      <c r="D2094" s="241"/>
      <c r="E2094" s="241"/>
      <c r="F2094" s="241"/>
      <c r="G2094" s="241"/>
      <c r="H2094" s="241"/>
      <c r="I2094"/>
      <c r="J2094" s="241"/>
      <c r="K2094" s="241"/>
      <c r="L2094" s="241"/>
      <c r="M2094" s="241"/>
      <c r="N2094" s="241"/>
      <c r="O2094" s="241"/>
      <c r="P2094" s="241"/>
      <c r="Q2094" s="241"/>
    </row>
    <row r="2095" spans="1:17" ht="13.5" customHeight="1" x14ac:dyDescent="0.3">
      <c r="A2095"/>
      <c r="B2095" s="241"/>
      <c r="C2095" s="241"/>
      <c r="D2095" s="241"/>
      <c r="E2095" s="241"/>
      <c r="F2095" s="241"/>
      <c r="G2095" s="241"/>
      <c r="H2095" s="241"/>
      <c r="I2095"/>
      <c r="J2095" s="241"/>
      <c r="K2095" s="241"/>
      <c r="L2095" s="241"/>
      <c r="M2095" s="241"/>
      <c r="N2095" s="241"/>
      <c r="O2095" s="241"/>
      <c r="P2095" s="241"/>
      <c r="Q2095" s="241"/>
    </row>
    <row r="2096" spans="1:17" ht="13.5" customHeight="1" x14ac:dyDescent="0.3">
      <c r="A2096"/>
      <c r="B2096" s="241"/>
      <c r="C2096" s="241"/>
      <c r="D2096" s="241"/>
      <c r="E2096" s="241"/>
      <c r="F2096" s="241"/>
      <c r="G2096" s="241"/>
      <c r="H2096" s="241"/>
      <c r="I2096"/>
      <c r="J2096" s="241"/>
      <c r="K2096" s="241"/>
      <c r="L2096" s="241"/>
      <c r="M2096" s="241"/>
      <c r="N2096" s="241"/>
      <c r="O2096" s="241"/>
      <c r="P2096" s="241"/>
      <c r="Q2096" s="241"/>
    </row>
    <row r="2097" spans="1:17" ht="13.5" customHeight="1" x14ac:dyDescent="0.3">
      <c r="A2097"/>
      <c r="B2097" s="241"/>
      <c r="C2097" s="241"/>
      <c r="D2097" s="241"/>
      <c r="E2097" s="241"/>
      <c r="F2097" s="241"/>
      <c r="G2097" s="241"/>
      <c r="H2097" s="241"/>
      <c r="I2097"/>
      <c r="J2097" s="241"/>
      <c r="K2097" s="241"/>
      <c r="L2097" s="241"/>
      <c r="M2097" s="241"/>
      <c r="N2097" s="241"/>
      <c r="O2097" s="241"/>
      <c r="P2097" s="241"/>
      <c r="Q2097" s="241"/>
    </row>
    <row r="2098" spans="1:17" ht="13.5" customHeight="1" x14ac:dyDescent="0.3">
      <c r="A2098"/>
      <c r="B2098" s="241"/>
      <c r="C2098" s="241"/>
      <c r="D2098" s="241"/>
      <c r="E2098" s="241"/>
      <c r="F2098" s="241"/>
      <c r="G2098" s="241"/>
      <c r="H2098" s="241"/>
      <c r="I2098"/>
      <c r="J2098" s="241"/>
      <c r="K2098" s="241"/>
      <c r="L2098" s="241"/>
      <c r="M2098" s="241"/>
      <c r="N2098" s="241"/>
      <c r="O2098" s="241"/>
      <c r="P2098" s="241"/>
      <c r="Q2098" s="241"/>
    </row>
    <row r="2099" spans="1:17" ht="13.5" customHeight="1" x14ac:dyDescent="0.3">
      <c r="A2099"/>
      <c r="B2099" s="241"/>
      <c r="C2099" s="241"/>
      <c r="D2099" s="241"/>
      <c r="E2099" s="241"/>
      <c r="F2099" s="241"/>
      <c r="G2099" s="241"/>
      <c r="H2099" s="241"/>
      <c r="I2099"/>
      <c r="J2099" s="241"/>
      <c r="K2099" s="241"/>
      <c r="L2099" s="241"/>
      <c r="M2099" s="241"/>
      <c r="N2099" s="241"/>
      <c r="O2099" s="241"/>
      <c r="P2099" s="241"/>
      <c r="Q2099" s="241"/>
    </row>
    <row r="2100" spans="1:17" ht="13.5" customHeight="1" x14ac:dyDescent="0.3">
      <c r="A2100"/>
      <c r="B2100" s="241"/>
      <c r="C2100" s="241"/>
      <c r="D2100" s="241"/>
      <c r="E2100" s="241"/>
      <c r="F2100" s="241"/>
      <c r="G2100" s="241"/>
      <c r="H2100" s="241"/>
      <c r="I2100"/>
      <c r="J2100" s="241"/>
      <c r="K2100" s="241"/>
      <c r="L2100" s="241"/>
      <c r="M2100" s="241"/>
      <c r="N2100" s="241"/>
      <c r="O2100" s="241"/>
      <c r="P2100" s="241"/>
      <c r="Q2100" s="241"/>
    </row>
    <row r="2101" spans="1:17" ht="13.5" customHeight="1" x14ac:dyDescent="0.3">
      <c r="A2101"/>
      <c r="B2101" s="241"/>
      <c r="C2101" s="241"/>
      <c r="D2101" s="241"/>
      <c r="E2101" s="241"/>
      <c r="F2101" s="241"/>
      <c r="G2101" s="241"/>
      <c r="H2101" s="241"/>
      <c r="I2101"/>
      <c r="J2101" s="241"/>
      <c r="K2101" s="241"/>
      <c r="L2101" s="241"/>
      <c r="M2101" s="241"/>
      <c r="N2101" s="241"/>
      <c r="O2101" s="241"/>
      <c r="P2101" s="241"/>
      <c r="Q2101" s="241"/>
    </row>
    <row r="2102" spans="1:17" ht="13.5" customHeight="1" x14ac:dyDescent="0.3">
      <c r="A2102"/>
      <c r="B2102" s="241"/>
      <c r="C2102" s="241"/>
      <c r="D2102" s="241"/>
      <c r="E2102" s="241"/>
      <c r="F2102" s="241"/>
      <c r="G2102" s="241"/>
      <c r="H2102" s="241"/>
      <c r="I2102"/>
      <c r="J2102" s="241"/>
      <c r="K2102" s="241"/>
      <c r="L2102" s="241"/>
      <c r="M2102" s="241"/>
      <c r="N2102" s="241"/>
      <c r="O2102" s="241"/>
      <c r="P2102" s="241"/>
      <c r="Q2102" s="241"/>
    </row>
    <row r="2103" spans="1:17" ht="13.5" customHeight="1" x14ac:dyDescent="0.3">
      <c r="A2103"/>
      <c r="B2103" s="241"/>
      <c r="C2103" s="241"/>
      <c r="D2103" s="241"/>
      <c r="E2103" s="241"/>
      <c r="F2103" s="241"/>
      <c r="G2103" s="241"/>
      <c r="H2103" s="241"/>
      <c r="I2103"/>
      <c r="J2103" s="241"/>
      <c r="K2103" s="241"/>
      <c r="L2103" s="241"/>
      <c r="M2103" s="241"/>
      <c r="N2103" s="241"/>
      <c r="O2103" s="241"/>
      <c r="P2103" s="241"/>
      <c r="Q2103" s="241"/>
    </row>
    <row r="2104" spans="1:17" ht="13.5" customHeight="1" x14ac:dyDescent="0.3">
      <c r="A2104"/>
      <c r="B2104" s="241"/>
      <c r="C2104" s="241"/>
      <c r="D2104" s="241"/>
      <c r="E2104" s="241"/>
      <c r="F2104" s="241"/>
      <c r="G2104" s="241"/>
      <c r="H2104" s="241"/>
      <c r="I2104"/>
      <c r="J2104" s="241"/>
      <c r="K2104" s="241"/>
      <c r="L2104" s="241"/>
      <c r="M2104" s="241"/>
      <c r="N2104" s="241"/>
      <c r="O2104" s="241"/>
      <c r="P2104" s="241"/>
      <c r="Q2104" s="241"/>
    </row>
    <row r="2105" spans="1:17" ht="13.5" customHeight="1" x14ac:dyDescent="0.3">
      <c r="A2105"/>
      <c r="B2105" s="241"/>
      <c r="C2105" s="241"/>
      <c r="D2105" s="241"/>
      <c r="E2105" s="241"/>
      <c r="F2105" s="241"/>
      <c r="G2105" s="241"/>
      <c r="H2105" s="241"/>
      <c r="I2105"/>
      <c r="J2105" s="241"/>
      <c r="K2105" s="241"/>
      <c r="L2105" s="241"/>
      <c r="M2105" s="241"/>
      <c r="N2105" s="241"/>
      <c r="O2105" s="241"/>
      <c r="P2105" s="241"/>
      <c r="Q2105" s="241"/>
    </row>
    <row r="2106" spans="1:17" ht="13.5" customHeight="1" x14ac:dyDescent="0.3">
      <c r="A2106"/>
      <c r="B2106" s="241"/>
      <c r="C2106" s="241"/>
      <c r="D2106" s="241"/>
      <c r="E2106" s="241"/>
      <c r="F2106" s="241"/>
      <c r="G2106" s="241"/>
      <c r="H2106" s="241"/>
      <c r="I2106"/>
      <c r="J2106" s="241"/>
      <c r="K2106" s="241"/>
      <c r="L2106" s="241"/>
      <c r="M2106" s="241"/>
      <c r="N2106" s="241"/>
      <c r="O2106" s="241"/>
      <c r="P2106" s="241"/>
      <c r="Q2106" s="241"/>
    </row>
    <row r="2107" spans="1:17" ht="13.5" customHeight="1" x14ac:dyDescent="0.3">
      <c r="A2107"/>
      <c r="B2107" s="241"/>
      <c r="C2107" s="241"/>
      <c r="D2107" s="241"/>
      <c r="E2107" s="241"/>
      <c r="F2107" s="241"/>
      <c r="G2107" s="241"/>
      <c r="H2107" s="241"/>
      <c r="I2107"/>
      <c r="J2107" s="241"/>
      <c r="K2107" s="241"/>
      <c r="L2107" s="241"/>
      <c r="M2107" s="241"/>
      <c r="N2107" s="241"/>
      <c r="O2107" s="241"/>
      <c r="P2107" s="241"/>
      <c r="Q2107" s="241"/>
    </row>
    <row r="2108" spans="1:17" ht="13.5" customHeight="1" x14ac:dyDescent="0.3">
      <c r="A2108"/>
      <c r="B2108" s="241"/>
      <c r="C2108" s="241"/>
      <c r="D2108" s="241"/>
      <c r="E2108" s="241"/>
      <c r="F2108" s="241"/>
      <c r="G2108" s="241"/>
      <c r="H2108" s="241"/>
      <c r="I2108"/>
      <c r="J2108" s="241"/>
      <c r="K2108" s="241"/>
      <c r="L2108" s="241"/>
      <c r="M2108" s="241"/>
      <c r="N2108" s="241"/>
      <c r="O2108" s="241"/>
      <c r="P2108" s="241"/>
      <c r="Q2108" s="241"/>
    </row>
    <row r="2109" spans="1:17" ht="13.5" customHeight="1" x14ac:dyDescent="0.3">
      <c r="A2109"/>
      <c r="B2109" s="241"/>
      <c r="C2109" s="241"/>
      <c r="D2109" s="241"/>
      <c r="E2109" s="241"/>
      <c r="F2109" s="241"/>
      <c r="G2109" s="241"/>
      <c r="H2109" s="241"/>
      <c r="I2109"/>
      <c r="J2109" s="241"/>
      <c r="K2109" s="241"/>
      <c r="L2109" s="241"/>
      <c r="M2109" s="241"/>
      <c r="N2109" s="241"/>
      <c r="O2109" s="241"/>
      <c r="P2109" s="241"/>
      <c r="Q2109" s="241"/>
    </row>
    <row r="2110" spans="1:17" ht="13.5" customHeight="1" x14ac:dyDescent="0.3">
      <c r="A2110"/>
      <c r="B2110" s="241"/>
      <c r="C2110" s="241"/>
      <c r="D2110" s="241"/>
      <c r="E2110" s="241"/>
      <c r="F2110" s="241"/>
      <c r="G2110" s="241"/>
      <c r="H2110" s="241"/>
      <c r="I2110"/>
      <c r="J2110" s="241"/>
      <c r="K2110" s="241"/>
      <c r="L2110" s="241"/>
      <c r="M2110" s="241"/>
      <c r="N2110" s="241"/>
      <c r="O2110" s="241"/>
      <c r="P2110" s="241"/>
      <c r="Q2110" s="241"/>
    </row>
    <row r="2111" spans="1:17" ht="13.5" customHeight="1" x14ac:dyDescent="0.3">
      <c r="A2111"/>
      <c r="B2111" s="241"/>
      <c r="C2111" s="241"/>
      <c r="D2111" s="241"/>
      <c r="E2111" s="241"/>
      <c r="F2111" s="241"/>
      <c r="G2111" s="241"/>
      <c r="H2111" s="241"/>
      <c r="I2111"/>
      <c r="J2111" s="241"/>
      <c r="K2111" s="241"/>
      <c r="L2111" s="241"/>
      <c r="M2111" s="241"/>
      <c r="N2111" s="241"/>
      <c r="O2111" s="241"/>
      <c r="P2111" s="241"/>
      <c r="Q2111" s="241"/>
    </row>
    <row r="2112" spans="1:17" ht="13.5" customHeight="1" x14ac:dyDescent="0.3">
      <c r="A2112"/>
      <c r="B2112" s="241"/>
      <c r="C2112" s="241"/>
      <c r="D2112" s="241"/>
      <c r="E2112" s="241"/>
      <c r="F2112" s="241"/>
      <c r="G2112" s="241"/>
      <c r="H2112" s="241"/>
      <c r="I2112"/>
      <c r="J2112" s="241"/>
      <c r="K2112" s="241"/>
      <c r="L2112" s="241"/>
      <c r="M2112" s="241"/>
      <c r="N2112" s="241"/>
      <c r="O2112" s="241"/>
      <c r="P2112" s="241"/>
      <c r="Q2112" s="241"/>
    </row>
    <row r="2113" spans="1:17" ht="13.5" customHeight="1" x14ac:dyDescent="0.3">
      <c r="A2113"/>
      <c r="B2113" s="241"/>
      <c r="C2113" s="241"/>
      <c r="D2113" s="241"/>
      <c r="E2113" s="241"/>
      <c r="F2113" s="241"/>
      <c r="G2113" s="241"/>
      <c r="H2113" s="241"/>
      <c r="I2113"/>
      <c r="J2113" s="241"/>
      <c r="K2113" s="241"/>
      <c r="L2113" s="241"/>
      <c r="M2113" s="241"/>
      <c r="N2113" s="241"/>
      <c r="O2113" s="241"/>
      <c r="P2113" s="241"/>
      <c r="Q2113" s="241"/>
    </row>
    <row r="2114" spans="1:17" ht="13.5" customHeight="1" x14ac:dyDescent="0.3">
      <c r="A2114"/>
      <c r="B2114" s="241"/>
      <c r="C2114" s="241"/>
      <c r="D2114" s="241"/>
      <c r="E2114" s="241"/>
      <c r="F2114" s="241"/>
      <c r="G2114" s="241"/>
      <c r="H2114" s="241"/>
      <c r="I2114"/>
      <c r="J2114" s="241"/>
      <c r="K2114" s="241"/>
      <c r="L2114" s="241"/>
      <c r="M2114" s="241"/>
      <c r="N2114" s="241"/>
      <c r="O2114" s="241"/>
      <c r="P2114" s="241"/>
      <c r="Q2114" s="241"/>
    </row>
    <row r="2115" spans="1:17" ht="13.5" customHeight="1" x14ac:dyDescent="0.3">
      <c r="A2115"/>
      <c r="B2115" s="241"/>
      <c r="C2115" s="241"/>
      <c r="D2115" s="241"/>
      <c r="E2115" s="241"/>
      <c r="F2115" s="241"/>
      <c r="G2115" s="241"/>
      <c r="H2115" s="241"/>
      <c r="I2115"/>
      <c r="J2115" s="241"/>
      <c r="K2115" s="241"/>
      <c r="L2115" s="241"/>
      <c r="M2115" s="241"/>
      <c r="N2115" s="241"/>
      <c r="O2115" s="241"/>
      <c r="P2115" s="241"/>
      <c r="Q2115" s="241"/>
    </row>
    <row r="2116" spans="1:17" ht="13.5" customHeight="1" x14ac:dyDescent="0.3">
      <c r="A2116"/>
      <c r="B2116" s="241"/>
      <c r="C2116" s="241"/>
      <c r="D2116" s="241"/>
      <c r="E2116" s="241"/>
      <c r="F2116" s="241"/>
      <c r="G2116" s="241"/>
      <c r="H2116" s="241"/>
      <c r="I2116"/>
      <c r="J2116" s="241"/>
      <c r="K2116" s="241"/>
      <c r="L2116" s="241"/>
      <c r="M2116" s="241"/>
      <c r="N2116" s="241"/>
      <c r="O2116" s="241"/>
      <c r="P2116" s="241"/>
      <c r="Q2116" s="241"/>
    </row>
    <row r="2117" spans="1:17" ht="13.5" customHeight="1" x14ac:dyDescent="0.3">
      <c r="A2117"/>
      <c r="B2117" s="241"/>
      <c r="C2117" s="241"/>
      <c r="D2117" s="241"/>
      <c r="E2117" s="241"/>
      <c r="F2117" s="241"/>
      <c r="G2117" s="241"/>
      <c r="H2117" s="241"/>
      <c r="I2117"/>
      <c r="J2117" s="241"/>
      <c r="K2117" s="241"/>
      <c r="L2117" s="241"/>
      <c r="M2117" s="241"/>
      <c r="N2117" s="241"/>
      <c r="O2117" s="241"/>
      <c r="P2117" s="241"/>
      <c r="Q2117" s="241"/>
    </row>
    <row r="2118" spans="1:17" ht="13.5" customHeight="1" x14ac:dyDescent="0.3">
      <c r="A2118"/>
      <c r="B2118" s="241"/>
      <c r="C2118" s="241"/>
      <c r="D2118" s="241"/>
      <c r="E2118" s="241"/>
      <c r="F2118" s="241"/>
      <c r="G2118" s="241"/>
      <c r="H2118" s="241"/>
      <c r="I2118"/>
      <c r="J2118" s="241"/>
      <c r="K2118" s="241"/>
      <c r="L2118" s="241"/>
      <c r="M2118" s="241"/>
      <c r="N2118" s="241"/>
      <c r="O2118" s="241"/>
      <c r="P2118" s="241"/>
      <c r="Q2118" s="241"/>
    </row>
    <row r="2119" spans="1:17" ht="13.5" customHeight="1" x14ac:dyDescent="0.3">
      <c r="A2119"/>
      <c r="B2119" s="241"/>
      <c r="C2119" s="241"/>
      <c r="D2119" s="241"/>
      <c r="E2119" s="241"/>
      <c r="F2119" s="241"/>
      <c r="G2119" s="241"/>
      <c r="H2119" s="241"/>
      <c r="I2119"/>
      <c r="J2119" s="241"/>
      <c r="K2119" s="241"/>
      <c r="L2119" s="241"/>
      <c r="M2119" s="241"/>
      <c r="N2119" s="241"/>
      <c r="O2119" s="241"/>
      <c r="P2119" s="241"/>
      <c r="Q2119" s="241"/>
    </row>
    <row r="2120" spans="1:17" ht="13.5" customHeight="1" x14ac:dyDescent="0.3">
      <c r="A2120"/>
      <c r="B2120" s="241"/>
      <c r="C2120" s="241"/>
      <c r="D2120" s="241"/>
      <c r="E2120" s="241"/>
      <c r="F2120" s="241"/>
      <c r="G2120" s="241"/>
      <c r="H2120" s="241"/>
      <c r="I2120"/>
      <c r="J2120" s="241"/>
      <c r="K2120" s="241"/>
      <c r="L2120" s="241"/>
      <c r="M2120" s="241"/>
      <c r="N2120" s="241"/>
      <c r="O2120" s="241"/>
      <c r="P2120" s="241"/>
      <c r="Q2120" s="241"/>
    </row>
    <row r="2121" spans="1:17" ht="13.5" customHeight="1" x14ac:dyDescent="0.3">
      <c r="A2121"/>
      <c r="B2121" s="241"/>
      <c r="C2121" s="241"/>
      <c r="D2121" s="241"/>
      <c r="E2121" s="241"/>
      <c r="F2121" s="241"/>
      <c r="G2121" s="241"/>
      <c r="H2121" s="241"/>
      <c r="I2121"/>
      <c r="J2121" s="241"/>
      <c r="K2121" s="241"/>
      <c r="L2121" s="241"/>
      <c r="M2121" s="241"/>
      <c r="N2121" s="241"/>
      <c r="O2121" s="241"/>
      <c r="P2121" s="241"/>
      <c r="Q2121" s="241"/>
    </row>
    <row r="2122" spans="1:17" ht="13.5" customHeight="1" x14ac:dyDescent="0.3">
      <c r="A2122"/>
      <c r="B2122" s="241"/>
      <c r="C2122" s="241"/>
      <c r="D2122" s="241"/>
      <c r="E2122" s="241"/>
      <c r="F2122" s="241"/>
      <c r="G2122" s="241"/>
      <c r="H2122" s="241"/>
      <c r="I2122"/>
      <c r="J2122" s="241"/>
      <c r="K2122" s="241"/>
      <c r="L2122" s="241"/>
      <c r="M2122" s="241"/>
      <c r="N2122" s="241"/>
      <c r="O2122" s="241"/>
      <c r="P2122" s="241"/>
      <c r="Q2122" s="241"/>
    </row>
    <row r="2123" spans="1:17" ht="13.5" customHeight="1" x14ac:dyDescent="0.3">
      <c r="A2123"/>
      <c r="B2123" s="241"/>
      <c r="C2123" s="241"/>
      <c r="D2123" s="241"/>
      <c r="E2123" s="241"/>
      <c r="F2123" s="241"/>
      <c r="G2123" s="241"/>
      <c r="H2123" s="241"/>
      <c r="I2123"/>
      <c r="J2123" s="241"/>
      <c r="K2123" s="241"/>
      <c r="L2123" s="241"/>
      <c r="M2123" s="241"/>
      <c r="N2123" s="241"/>
      <c r="O2123" s="241"/>
      <c r="P2123" s="241"/>
      <c r="Q2123" s="241"/>
    </row>
    <row r="2124" spans="1:17" ht="13.5" customHeight="1" x14ac:dyDescent="0.3">
      <c r="A2124"/>
      <c r="B2124" s="241"/>
      <c r="C2124" s="241"/>
      <c r="D2124" s="241"/>
      <c r="E2124" s="241"/>
      <c r="F2124" s="241"/>
      <c r="G2124" s="241"/>
      <c r="H2124" s="241"/>
      <c r="I2124"/>
      <c r="J2124" s="241"/>
      <c r="K2124" s="241"/>
      <c r="L2124" s="241"/>
      <c r="M2124" s="241"/>
      <c r="N2124" s="241"/>
      <c r="O2124" s="241"/>
      <c r="P2124" s="241"/>
      <c r="Q2124" s="241"/>
    </row>
    <row r="2125" spans="1:17" ht="13.5" customHeight="1" x14ac:dyDescent="0.3">
      <c r="A2125"/>
      <c r="B2125" s="241"/>
      <c r="C2125" s="241"/>
      <c r="D2125" s="241"/>
      <c r="E2125" s="241"/>
      <c r="F2125" s="241"/>
      <c r="G2125" s="241"/>
      <c r="H2125" s="241"/>
      <c r="I2125"/>
      <c r="J2125" s="241"/>
      <c r="K2125" s="241"/>
      <c r="L2125" s="241"/>
      <c r="M2125" s="241"/>
      <c r="N2125" s="241"/>
      <c r="O2125" s="241"/>
      <c r="P2125" s="241"/>
      <c r="Q2125" s="241"/>
    </row>
    <row r="2126" spans="1:17" ht="13.5" customHeight="1" x14ac:dyDescent="0.3">
      <c r="A2126"/>
      <c r="B2126" s="241"/>
      <c r="C2126" s="241"/>
      <c r="D2126" s="241"/>
      <c r="E2126" s="241"/>
      <c r="F2126" s="241"/>
      <c r="G2126" s="241"/>
      <c r="H2126" s="241"/>
      <c r="I2126"/>
      <c r="J2126" s="241"/>
      <c r="K2126" s="241"/>
      <c r="L2126" s="241"/>
      <c r="M2126" s="241"/>
      <c r="N2126" s="241"/>
      <c r="O2126" s="241"/>
      <c r="P2126" s="241"/>
      <c r="Q2126" s="241"/>
    </row>
    <row r="2127" spans="1:17" ht="13.5" customHeight="1" x14ac:dyDescent="0.3">
      <c r="A2127"/>
      <c r="B2127" s="241"/>
      <c r="C2127" s="241"/>
      <c r="D2127" s="241"/>
      <c r="E2127" s="241"/>
      <c r="F2127" s="241"/>
      <c r="G2127" s="241"/>
      <c r="H2127" s="241"/>
      <c r="I2127"/>
      <c r="J2127" s="241"/>
      <c r="K2127" s="241"/>
      <c r="L2127" s="241"/>
      <c r="M2127" s="241"/>
      <c r="N2127" s="241"/>
      <c r="O2127" s="241"/>
      <c r="P2127" s="241"/>
      <c r="Q2127" s="241"/>
    </row>
    <row r="2128" spans="1:17" ht="13.5" customHeight="1" x14ac:dyDescent="0.3">
      <c r="A2128"/>
      <c r="B2128" s="241"/>
      <c r="C2128" s="241"/>
      <c r="D2128" s="241"/>
      <c r="E2128" s="241"/>
      <c r="F2128" s="241"/>
      <c r="G2128" s="241"/>
      <c r="H2128" s="241"/>
      <c r="I2128"/>
      <c r="J2128" s="241"/>
      <c r="K2128" s="241"/>
      <c r="L2128" s="241"/>
      <c r="M2128" s="241"/>
      <c r="N2128" s="241"/>
      <c r="O2128" s="241"/>
      <c r="P2128" s="241"/>
      <c r="Q2128" s="241"/>
    </row>
    <row r="2129" spans="1:17" ht="13.5" customHeight="1" x14ac:dyDescent="0.3">
      <c r="A2129"/>
      <c r="B2129" s="241"/>
      <c r="C2129" s="241"/>
      <c r="D2129" s="241"/>
      <c r="E2129" s="241"/>
      <c r="F2129" s="241"/>
      <c r="G2129" s="241"/>
      <c r="H2129" s="241"/>
      <c r="I2129"/>
      <c r="J2129" s="241"/>
      <c r="K2129" s="241"/>
      <c r="L2129" s="241"/>
      <c r="M2129" s="241"/>
      <c r="N2129" s="241"/>
      <c r="O2129" s="241"/>
      <c r="P2129" s="241"/>
      <c r="Q2129" s="241"/>
    </row>
    <row r="2130" spans="1:17" ht="13.5" customHeight="1" x14ac:dyDescent="0.3">
      <c r="A2130"/>
      <c r="B2130" s="241"/>
      <c r="C2130" s="241"/>
      <c r="D2130" s="241"/>
      <c r="E2130" s="241"/>
      <c r="F2130" s="241"/>
      <c r="G2130" s="241"/>
      <c r="H2130" s="241"/>
      <c r="I2130"/>
      <c r="J2130" s="241"/>
      <c r="K2130" s="241"/>
      <c r="L2130" s="241"/>
      <c r="M2130" s="241"/>
      <c r="N2130" s="241"/>
      <c r="O2130" s="241"/>
      <c r="P2130" s="241"/>
      <c r="Q2130" s="241"/>
    </row>
    <row r="2131" spans="1:17" ht="13.5" customHeight="1" x14ac:dyDescent="0.3">
      <c r="A2131"/>
      <c r="B2131" s="241"/>
      <c r="C2131" s="241"/>
      <c r="D2131" s="241"/>
      <c r="E2131" s="241"/>
      <c r="F2131" s="241"/>
      <c r="G2131" s="241"/>
      <c r="H2131" s="241"/>
      <c r="I2131"/>
      <c r="J2131" s="241"/>
      <c r="K2131" s="241"/>
      <c r="L2131" s="241"/>
      <c r="M2131" s="241"/>
      <c r="N2131" s="241"/>
      <c r="O2131" s="241"/>
      <c r="P2131" s="241"/>
      <c r="Q2131" s="241"/>
    </row>
    <row r="2132" spans="1:17" ht="13.5" customHeight="1" x14ac:dyDescent="0.3">
      <c r="A2132"/>
      <c r="B2132" s="241"/>
      <c r="C2132" s="241"/>
      <c r="D2132" s="241"/>
      <c r="E2132" s="241"/>
      <c r="F2132" s="241"/>
      <c r="G2132" s="241"/>
      <c r="H2132" s="241"/>
      <c r="I2132"/>
      <c r="J2132" s="241"/>
      <c r="K2132" s="241"/>
      <c r="L2132" s="241"/>
      <c r="M2132" s="241"/>
      <c r="N2132" s="241"/>
      <c r="O2132" s="241"/>
      <c r="P2132" s="241"/>
      <c r="Q2132" s="241"/>
    </row>
    <row r="2133" spans="1:17" ht="13.5" customHeight="1" x14ac:dyDescent="0.3">
      <c r="A2133"/>
      <c r="B2133" s="241"/>
      <c r="C2133" s="241"/>
      <c r="D2133" s="241"/>
      <c r="E2133" s="241"/>
      <c r="F2133" s="241"/>
      <c r="G2133" s="241"/>
      <c r="H2133" s="241"/>
      <c r="I2133"/>
      <c r="J2133" s="241"/>
      <c r="K2133" s="241"/>
      <c r="L2133" s="241"/>
      <c r="M2133" s="241"/>
      <c r="N2133" s="241"/>
      <c r="O2133" s="241"/>
      <c r="P2133" s="241"/>
      <c r="Q2133" s="241"/>
    </row>
    <row r="2134" spans="1:17" ht="13.5" customHeight="1" x14ac:dyDescent="0.3">
      <c r="A2134"/>
      <c r="B2134" s="241"/>
      <c r="C2134" s="241"/>
      <c r="D2134" s="241"/>
      <c r="E2134" s="241"/>
      <c r="F2134" s="241"/>
      <c r="G2134" s="241"/>
      <c r="H2134" s="241"/>
      <c r="I2134"/>
      <c r="J2134" s="241"/>
      <c r="K2134" s="241"/>
      <c r="L2134" s="241"/>
      <c r="M2134" s="241"/>
      <c r="N2134" s="241"/>
      <c r="O2134" s="241"/>
      <c r="P2134" s="241"/>
      <c r="Q2134" s="241"/>
    </row>
    <row r="2135" spans="1:17" ht="13.5" customHeight="1" x14ac:dyDescent="0.3">
      <c r="A2135"/>
      <c r="B2135" s="241"/>
      <c r="C2135" s="241"/>
      <c r="D2135" s="241"/>
      <c r="E2135" s="241"/>
      <c r="F2135" s="241"/>
      <c r="G2135" s="241"/>
      <c r="H2135" s="241"/>
      <c r="I2135"/>
      <c r="J2135" s="241"/>
      <c r="K2135" s="241"/>
      <c r="L2135" s="241"/>
      <c r="M2135" s="241"/>
      <c r="N2135" s="241"/>
      <c r="O2135" s="241"/>
      <c r="P2135" s="241"/>
      <c r="Q2135" s="241"/>
    </row>
    <row r="2136" spans="1:17" ht="13.5" customHeight="1" x14ac:dyDescent="0.3">
      <c r="A2136"/>
      <c r="B2136" s="241"/>
      <c r="C2136" s="241"/>
      <c r="D2136" s="241"/>
      <c r="E2136" s="241"/>
      <c r="F2136" s="241"/>
      <c r="G2136" s="241"/>
      <c r="H2136" s="241"/>
      <c r="I2136"/>
      <c r="J2136" s="241"/>
      <c r="K2136" s="241"/>
      <c r="L2136" s="241"/>
      <c r="M2136" s="241"/>
      <c r="N2136" s="241"/>
      <c r="O2136" s="241"/>
      <c r="P2136" s="241"/>
      <c r="Q2136" s="241"/>
    </row>
    <row r="2137" spans="1:17" ht="13.5" customHeight="1" x14ac:dyDescent="0.3">
      <c r="A2137"/>
      <c r="B2137" s="241"/>
      <c r="C2137" s="241"/>
      <c r="D2137" s="241"/>
      <c r="E2137" s="241"/>
      <c r="F2137" s="241"/>
      <c r="G2137" s="241"/>
      <c r="H2137" s="241"/>
      <c r="I2137"/>
      <c r="J2137" s="241"/>
      <c r="K2137" s="241"/>
      <c r="L2137" s="241"/>
      <c r="M2137" s="241"/>
      <c r="N2137" s="241"/>
      <c r="O2137" s="241"/>
      <c r="P2137" s="241"/>
      <c r="Q2137" s="241"/>
    </row>
    <row r="2138" spans="1:17" ht="13.5" customHeight="1" x14ac:dyDescent="0.3">
      <c r="A2138"/>
      <c r="B2138" s="241"/>
      <c r="C2138" s="241"/>
      <c r="D2138" s="241"/>
      <c r="E2138" s="241"/>
      <c r="F2138" s="241"/>
      <c r="G2138" s="241"/>
      <c r="H2138" s="241"/>
      <c r="I2138"/>
      <c r="J2138" s="241"/>
      <c r="K2138" s="241"/>
      <c r="L2138" s="241"/>
      <c r="M2138" s="241"/>
      <c r="N2138" s="241"/>
      <c r="O2138" s="241"/>
      <c r="P2138" s="241"/>
      <c r="Q2138" s="241"/>
    </row>
    <row r="2139" spans="1:17" ht="13.5" customHeight="1" x14ac:dyDescent="0.3">
      <c r="A2139"/>
      <c r="B2139" s="241"/>
      <c r="C2139" s="241"/>
      <c r="D2139" s="241"/>
      <c r="E2139" s="241"/>
      <c r="F2139" s="241"/>
      <c r="G2139" s="241"/>
      <c r="H2139" s="241"/>
      <c r="I2139"/>
      <c r="J2139" s="241"/>
      <c r="K2139" s="241"/>
      <c r="L2139" s="241"/>
      <c r="M2139" s="241"/>
      <c r="N2139" s="241"/>
      <c r="O2139" s="241"/>
      <c r="P2139" s="241"/>
      <c r="Q2139" s="241"/>
    </row>
    <row r="2140" spans="1:17" ht="13.5" customHeight="1" x14ac:dyDescent="0.3">
      <c r="A2140"/>
      <c r="B2140" s="241"/>
      <c r="C2140" s="241"/>
      <c r="D2140" s="241"/>
      <c r="E2140" s="241"/>
      <c r="F2140" s="241"/>
      <c r="G2140" s="241"/>
      <c r="H2140" s="241"/>
      <c r="I2140"/>
      <c r="J2140" s="241"/>
      <c r="K2140" s="241"/>
      <c r="L2140" s="241"/>
      <c r="M2140" s="241"/>
      <c r="N2140" s="241"/>
      <c r="O2140" s="241"/>
      <c r="P2140" s="241"/>
      <c r="Q2140" s="241"/>
    </row>
    <row r="2141" spans="1:17" ht="13.5" customHeight="1" x14ac:dyDescent="0.3">
      <c r="A2141"/>
      <c r="B2141" s="241"/>
      <c r="C2141" s="241"/>
      <c r="D2141" s="241"/>
      <c r="E2141" s="241"/>
      <c r="F2141" s="241"/>
      <c r="G2141" s="241"/>
      <c r="H2141" s="241"/>
      <c r="I2141"/>
      <c r="J2141" s="241"/>
      <c r="K2141" s="241"/>
      <c r="L2141" s="241"/>
      <c r="M2141" s="241"/>
      <c r="N2141" s="241"/>
      <c r="O2141" s="241"/>
      <c r="P2141" s="241"/>
      <c r="Q2141" s="241"/>
    </row>
    <row r="2142" spans="1:17" ht="13.5" customHeight="1" x14ac:dyDescent="0.3">
      <c r="A2142"/>
      <c r="B2142" s="241"/>
      <c r="C2142" s="241"/>
      <c r="D2142" s="241"/>
      <c r="E2142" s="241"/>
      <c r="F2142" s="241"/>
      <c r="G2142" s="241"/>
      <c r="H2142" s="241"/>
      <c r="I2142"/>
      <c r="J2142" s="241"/>
      <c r="K2142" s="241"/>
      <c r="L2142" s="241"/>
      <c r="M2142" s="241"/>
      <c r="N2142" s="241"/>
      <c r="O2142" s="241"/>
      <c r="P2142" s="241"/>
      <c r="Q2142" s="241"/>
    </row>
    <row r="2143" spans="1:17" ht="13.5" customHeight="1" x14ac:dyDescent="0.3">
      <c r="A2143"/>
      <c r="B2143" s="241"/>
      <c r="C2143" s="241"/>
      <c r="D2143" s="241"/>
      <c r="E2143" s="241"/>
      <c r="F2143" s="241"/>
      <c r="G2143" s="241"/>
      <c r="H2143" s="241"/>
      <c r="I2143"/>
      <c r="J2143" s="241"/>
      <c r="K2143" s="241"/>
      <c r="L2143" s="241"/>
      <c r="M2143" s="241"/>
      <c r="N2143" s="241"/>
      <c r="O2143" s="241"/>
      <c r="P2143" s="241"/>
      <c r="Q2143" s="241"/>
    </row>
    <row r="2144" spans="1:17" ht="13.5" customHeight="1" x14ac:dyDescent="0.3">
      <c r="A2144"/>
      <c r="B2144" s="241"/>
      <c r="C2144" s="241"/>
      <c r="D2144" s="241"/>
      <c r="E2144" s="241"/>
      <c r="F2144" s="241"/>
      <c r="G2144" s="241"/>
      <c r="H2144" s="241"/>
      <c r="I2144"/>
      <c r="J2144" s="241"/>
      <c r="K2144" s="241"/>
      <c r="L2144" s="241"/>
      <c r="M2144" s="241"/>
      <c r="N2144" s="241"/>
      <c r="O2144" s="241"/>
      <c r="P2144" s="241"/>
      <c r="Q2144" s="241"/>
    </row>
    <row r="2145" spans="1:17" ht="13.5" customHeight="1" x14ac:dyDescent="0.3">
      <c r="A2145"/>
      <c r="B2145" s="241"/>
      <c r="C2145" s="241"/>
      <c r="D2145" s="241"/>
      <c r="E2145" s="241"/>
      <c r="F2145" s="241"/>
      <c r="G2145" s="241"/>
      <c r="H2145" s="241"/>
      <c r="I2145"/>
      <c r="J2145" s="241"/>
      <c r="K2145" s="241"/>
      <c r="L2145" s="241"/>
      <c r="M2145" s="241"/>
      <c r="N2145" s="241"/>
      <c r="O2145" s="241"/>
      <c r="P2145" s="241"/>
      <c r="Q2145" s="241"/>
    </row>
    <row r="2146" spans="1:17" ht="13.5" customHeight="1" x14ac:dyDescent="0.3">
      <c r="A2146"/>
      <c r="B2146" s="241"/>
      <c r="C2146" s="241"/>
      <c r="D2146" s="241"/>
      <c r="E2146" s="241"/>
      <c r="F2146" s="241"/>
      <c r="G2146" s="241"/>
      <c r="H2146" s="241"/>
      <c r="I2146"/>
      <c r="J2146" s="241"/>
      <c r="K2146" s="241"/>
      <c r="L2146" s="241"/>
      <c r="M2146" s="241"/>
      <c r="N2146" s="241"/>
      <c r="O2146" s="241"/>
      <c r="P2146" s="241"/>
      <c r="Q2146" s="241"/>
    </row>
    <row r="2147" spans="1:17" ht="13.5" customHeight="1" x14ac:dyDescent="0.3">
      <c r="A2147"/>
      <c r="B2147" s="241"/>
      <c r="C2147" s="241"/>
      <c r="D2147" s="241"/>
      <c r="E2147" s="241"/>
      <c r="F2147" s="241"/>
      <c r="G2147" s="241"/>
      <c r="H2147" s="241"/>
      <c r="I2147"/>
      <c r="J2147" s="241"/>
      <c r="K2147" s="241"/>
      <c r="L2147" s="241"/>
      <c r="M2147" s="241"/>
      <c r="N2147" s="241"/>
      <c r="O2147" s="241"/>
      <c r="P2147" s="241"/>
      <c r="Q2147" s="241"/>
    </row>
    <row r="2148" spans="1:17" ht="13.5" customHeight="1" x14ac:dyDescent="0.3">
      <c r="A2148"/>
      <c r="B2148" s="241"/>
      <c r="C2148" s="241"/>
      <c r="D2148" s="241"/>
      <c r="E2148" s="241"/>
      <c r="F2148" s="241"/>
      <c r="G2148" s="241"/>
      <c r="H2148" s="241"/>
      <c r="I2148"/>
      <c r="J2148" s="241"/>
      <c r="K2148" s="241"/>
      <c r="L2148" s="241"/>
      <c r="M2148" s="241"/>
      <c r="N2148" s="241"/>
      <c r="O2148" s="241"/>
      <c r="P2148" s="241"/>
      <c r="Q2148" s="241"/>
    </row>
    <row r="2149" spans="1:17" ht="13.5" customHeight="1" x14ac:dyDescent="0.3">
      <c r="A2149"/>
      <c r="B2149" s="241"/>
      <c r="C2149" s="241"/>
      <c r="D2149" s="241"/>
      <c r="E2149" s="241"/>
      <c r="F2149" s="241"/>
      <c r="G2149" s="241"/>
      <c r="H2149" s="241"/>
      <c r="I2149"/>
      <c r="J2149" s="241"/>
      <c r="K2149" s="241"/>
      <c r="L2149" s="241"/>
      <c r="M2149" s="241"/>
      <c r="N2149" s="241"/>
      <c r="O2149" s="241"/>
      <c r="P2149" s="241"/>
      <c r="Q2149" s="241"/>
    </row>
    <row r="2150" spans="1:17" ht="13.5" customHeight="1" x14ac:dyDescent="0.3">
      <c r="A2150"/>
      <c r="B2150" s="241"/>
      <c r="C2150" s="241"/>
      <c r="D2150" s="241"/>
      <c r="E2150" s="241"/>
      <c r="F2150" s="241"/>
      <c r="G2150" s="241"/>
      <c r="H2150" s="241"/>
      <c r="I2150"/>
      <c r="J2150" s="241"/>
      <c r="K2150" s="241"/>
      <c r="L2150" s="241"/>
      <c r="M2150" s="241"/>
      <c r="N2150" s="241"/>
      <c r="O2150" s="241"/>
      <c r="P2150" s="241"/>
      <c r="Q2150" s="241"/>
    </row>
    <row r="2151" spans="1:17" ht="13.5" customHeight="1" x14ac:dyDescent="0.3">
      <c r="A2151"/>
      <c r="B2151" s="241"/>
      <c r="C2151" s="241"/>
      <c r="D2151" s="241"/>
      <c r="E2151" s="241"/>
      <c r="F2151" s="241"/>
      <c r="G2151" s="241"/>
      <c r="H2151" s="241"/>
      <c r="I2151"/>
      <c r="J2151" s="241"/>
      <c r="K2151" s="241"/>
      <c r="L2151" s="241"/>
      <c r="M2151" s="241"/>
      <c r="N2151" s="241"/>
      <c r="O2151" s="241"/>
      <c r="P2151" s="241"/>
      <c r="Q2151" s="241"/>
    </row>
    <row r="2152" spans="1:17" ht="13.5" customHeight="1" x14ac:dyDescent="0.3">
      <c r="A2152"/>
      <c r="B2152" s="241"/>
      <c r="C2152" s="241"/>
      <c r="D2152" s="241"/>
      <c r="E2152" s="241"/>
      <c r="F2152" s="241"/>
      <c r="G2152" s="241"/>
      <c r="H2152" s="241"/>
      <c r="I2152"/>
      <c r="J2152" s="241"/>
      <c r="K2152" s="241"/>
      <c r="L2152" s="241"/>
      <c r="M2152" s="241"/>
      <c r="N2152" s="241"/>
      <c r="O2152" s="241"/>
      <c r="P2152" s="241"/>
      <c r="Q2152" s="241"/>
    </row>
    <row r="2153" spans="1:17" ht="13.5" customHeight="1" x14ac:dyDescent="0.3">
      <c r="A2153"/>
      <c r="B2153" s="241"/>
      <c r="C2153" s="241"/>
      <c r="D2153" s="241"/>
      <c r="E2153" s="241"/>
      <c r="F2153" s="241"/>
      <c r="G2153" s="241"/>
      <c r="H2153" s="241"/>
      <c r="I2153"/>
      <c r="J2153" s="241"/>
      <c r="K2153" s="241"/>
      <c r="L2153" s="241"/>
      <c r="M2153" s="241"/>
      <c r="N2153" s="241"/>
      <c r="O2153" s="241"/>
      <c r="P2153" s="241"/>
      <c r="Q2153" s="241"/>
    </row>
    <row r="2154" spans="1:17" ht="13.5" customHeight="1" x14ac:dyDescent="0.3">
      <c r="A2154"/>
      <c r="B2154" s="241"/>
      <c r="C2154" s="241"/>
      <c r="D2154" s="241"/>
      <c r="E2154" s="241"/>
      <c r="F2154" s="241"/>
      <c r="G2154" s="241"/>
      <c r="H2154" s="241"/>
      <c r="I2154"/>
      <c r="J2154" s="241"/>
      <c r="K2154" s="241"/>
      <c r="L2154" s="241"/>
      <c r="M2154" s="241"/>
      <c r="N2154" s="241"/>
      <c r="O2154" s="241"/>
      <c r="P2154" s="241"/>
      <c r="Q2154" s="241"/>
    </row>
    <row r="2155" spans="1:17" ht="13.5" customHeight="1" x14ac:dyDescent="0.3">
      <c r="A2155"/>
      <c r="B2155" s="241"/>
      <c r="C2155" s="241"/>
      <c r="D2155" s="241"/>
      <c r="E2155" s="241"/>
      <c r="F2155" s="241"/>
      <c r="G2155" s="241"/>
      <c r="H2155" s="241"/>
      <c r="I2155"/>
      <c r="J2155" s="241"/>
      <c r="K2155" s="241"/>
      <c r="L2155" s="241"/>
      <c r="M2155" s="241"/>
      <c r="N2155" s="241"/>
      <c r="O2155" s="241"/>
      <c r="P2155" s="241"/>
      <c r="Q2155" s="241"/>
    </row>
    <row r="2156" spans="1:17" ht="13.5" customHeight="1" x14ac:dyDescent="0.3">
      <c r="A2156"/>
      <c r="B2156" s="241"/>
      <c r="C2156" s="241"/>
      <c r="D2156" s="241"/>
      <c r="E2156" s="241"/>
      <c r="F2156" s="241"/>
      <c r="G2156" s="241"/>
      <c r="H2156" s="241"/>
      <c r="I2156"/>
      <c r="J2156" s="241"/>
      <c r="K2156" s="241"/>
      <c r="L2156" s="241"/>
      <c r="M2156" s="241"/>
      <c r="N2156" s="241"/>
      <c r="O2156" s="241"/>
      <c r="P2156" s="241"/>
      <c r="Q2156" s="241"/>
    </row>
    <row r="2157" spans="1:17" ht="13.5" customHeight="1" x14ac:dyDescent="0.3">
      <c r="A2157"/>
      <c r="B2157" s="241"/>
      <c r="C2157" s="241"/>
      <c r="D2157" s="241"/>
      <c r="E2157" s="241"/>
      <c r="F2157" s="241"/>
      <c r="G2157" s="241"/>
      <c r="H2157" s="241"/>
      <c r="I2157"/>
      <c r="J2157" s="241"/>
      <c r="K2157" s="241"/>
      <c r="L2157" s="241"/>
      <c r="M2157" s="241"/>
      <c r="N2157" s="241"/>
      <c r="O2157" s="241"/>
      <c r="P2157" s="241"/>
      <c r="Q2157" s="241"/>
    </row>
    <row r="2158" spans="1:17" ht="13.5" customHeight="1" x14ac:dyDescent="0.3">
      <c r="A2158"/>
      <c r="B2158" s="241"/>
      <c r="C2158" s="241"/>
      <c r="D2158" s="241"/>
      <c r="E2158" s="241"/>
      <c r="F2158" s="241"/>
      <c r="G2158" s="241"/>
      <c r="H2158" s="241"/>
      <c r="I2158"/>
      <c r="J2158" s="241"/>
      <c r="K2158" s="241"/>
      <c r="L2158" s="241"/>
      <c r="M2158" s="241"/>
      <c r="N2158" s="241"/>
      <c r="O2158" s="241"/>
      <c r="P2158" s="241"/>
      <c r="Q2158" s="241"/>
    </row>
    <row r="2159" spans="1:17" ht="13.5" customHeight="1" x14ac:dyDescent="0.3">
      <c r="A2159"/>
      <c r="B2159" s="241"/>
      <c r="C2159" s="241"/>
      <c r="D2159" s="241"/>
      <c r="E2159" s="241"/>
      <c r="F2159" s="241"/>
      <c r="G2159" s="241"/>
      <c r="H2159" s="241"/>
      <c r="I2159"/>
      <c r="J2159" s="241"/>
      <c r="K2159" s="241"/>
      <c r="L2159" s="241"/>
      <c r="M2159" s="241"/>
      <c r="N2159" s="241"/>
      <c r="O2159" s="241"/>
      <c r="P2159" s="241"/>
      <c r="Q2159" s="241"/>
    </row>
    <row r="2160" spans="1:17" ht="13.5" customHeight="1" x14ac:dyDescent="0.3">
      <c r="A2160"/>
      <c r="B2160" s="241"/>
      <c r="C2160" s="241"/>
      <c r="D2160" s="241"/>
      <c r="E2160" s="241"/>
      <c r="F2160" s="241"/>
      <c r="G2160" s="241"/>
      <c r="H2160" s="241"/>
      <c r="I2160"/>
      <c r="J2160" s="241"/>
      <c r="K2160" s="241"/>
      <c r="L2160" s="241"/>
      <c r="M2160" s="241"/>
      <c r="N2160" s="241"/>
      <c r="O2160" s="241"/>
      <c r="P2160" s="241"/>
      <c r="Q2160" s="241"/>
    </row>
    <row r="2161" spans="1:17" ht="13.5" customHeight="1" x14ac:dyDescent="0.3">
      <c r="A2161"/>
      <c r="B2161" s="241"/>
      <c r="C2161" s="241"/>
      <c r="D2161" s="241"/>
      <c r="E2161" s="241"/>
      <c r="F2161" s="241"/>
      <c r="G2161" s="241"/>
      <c r="H2161" s="241"/>
      <c r="I2161"/>
      <c r="J2161" s="241"/>
      <c r="K2161" s="241"/>
      <c r="L2161" s="241"/>
      <c r="M2161" s="241"/>
      <c r="N2161" s="241"/>
      <c r="O2161" s="241"/>
      <c r="P2161" s="241"/>
      <c r="Q2161" s="241"/>
    </row>
    <row r="2162" spans="1:17" ht="13.5" customHeight="1" x14ac:dyDescent="0.3">
      <c r="A2162"/>
      <c r="B2162" s="241"/>
      <c r="C2162" s="241"/>
      <c r="D2162" s="241"/>
      <c r="E2162" s="241"/>
      <c r="F2162" s="241"/>
      <c r="G2162" s="241"/>
      <c r="H2162" s="241"/>
      <c r="I2162"/>
      <c r="J2162" s="241"/>
      <c r="K2162" s="241"/>
      <c r="L2162" s="241"/>
      <c r="M2162" s="241"/>
      <c r="N2162" s="241"/>
      <c r="O2162" s="241"/>
      <c r="P2162" s="241"/>
      <c r="Q2162" s="241"/>
    </row>
    <row r="2163" spans="1:17" ht="13.5" customHeight="1" x14ac:dyDescent="0.3">
      <c r="A2163"/>
      <c r="B2163" s="241"/>
      <c r="C2163" s="241"/>
      <c r="D2163" s="241"/>
      <c r="E2163" s="241"/>
      <c r="F2163" s="241"/>
      <c r="G2163" s="241"/>
      <c r="H2163" s="241"/>
      <c r="I2163"/>
      <c r="J2163" s="241"/>
      <c r="K2163" s="241"/>
      <c r="L2163" s="241"/>
      <c r="M2163" s="241"/>
      <c r="N2163" s="241"/>
      <c r="O2163" s="241"/>
      <c r="P2163" s="241"/>
      <c r="Q2163" s="241"/>
    </row>
    <row r="2164" spans="1:17" ht="13.5" customHeight="1" x14ac:dyDescent="0.3">
      <c r="A2164"/>
      <c r="B2164" s="241"/>
      <c r="C2164" s="241"/>
      <c r="D2164" s="241"/>
      <c r="E2164" s="241"/>
      <c r="F2164" s="241"/>
      <c r="G2164" s="241"/>
      <c r="H2164" s="241"/>
      <c r="I2164"/>
      <c r="J2164" s="241"/>
      <c r="K2164" s="241"/>
      <c r="L2164" s="241"/>
      <c r="M2164" s="241"/>
      <c r="N2164" s="241"/>
      <c r="O2164" s="241"/>
      <c r="P2164" s="241"/>
      <c r="Q2164" s="241"/>
    </row>
    <row r="2165" spans="1:17" ht="13.5" customHeight="1" x14ac:dyDescent="0.3">
      <c r="A2165"/>
      <c r="B2165" s="241"/>
      <c r="C2165" s="241"/>
      <c r="D2165" s="241"/>
      <c r="E2165" s="241"/>
      <c r="F2165" s="241"/>
      <c r="G2165" s="241"/>
      <c r="H2165" s="241"/>
      <c r="I2165"/>
      <c r="J2165" s="241"/>
      <c r="K2165" s="241"/>
      <c r="L2165" s="241"/>
      <c r="M2165" s="241"/>
      <c r="N2165" s="241"/>
      <c r="O2165" s="241"/>
      <c r="P2165" s="241"/>
      <c r="Q2165" s="241"/>
    </row>
    <row r="2166" spans="1:17" ht="13.5" customHeight="1" x14ac:dyDescent="0.3">
      <c r="A2166"/>
      <c r="B2166" s="241"/>
      <c r="C2166" s="241"/>
      <c r="D2166" s="241"/>
      <c r="E2166" s="241"/>
      <c r="F2166" s="241"/>
      <c r="G2166" s="241"/>
      <c r="H2166" s="241"/>
      <c r="I2166"/>
      <c r="J2166" s="241"/>
      <c r="K2166" s="241"/>
      <c r="L2166" s="241"/>
      <c r="M2166" s="241"/>
      <c r="N2166" s="241"/>
      <c r="O2166" s="241"/>
      <c r="P2166" s="241"/>
      <c r="Q2166" s="241"/>
    </row>
    <row r="2167" spans="1:17" ht="13.5" customHeight="1" x14ac:dyDescent="0.3">
      <c r="A2167"/>
      <c r="B2167" s="241"/>
      <c r="C2167" s="241"/>
      <c r="D2167" s="241"/>
      <c r="E2167" s="241"/>
      <c r="F2167" s="241"/>
      <c r="G2167" s="241"/>
      <c r="H2167" s="241"/>
      <c r="I2167"/>
      <c r="J2167" s="241"/>
      <c r="K2167" s="241"/>
      <c r="L2167" s="241"/>
      <c r="M2167" s="241"/>
      <c r="N2167" s="241"/>
      <c r="O2167" s="241"/>
      <c r="P2167" s="241"/>
      <c r="Q2167" s="241"/>
    </row>
    <row r="2168" spans="1:17" ht="13.5" customHeight="1" x14ac:dyDescent="0.3">
      <c r="A2168"/>
      <c r="B2168" s="241"/>
      <c r="C2168" s="241"/>
      <c r="D2168" s="241"/>
      <c r="E2168" s="241"/>
      <c r="F2168" s="241"/>
      <c r="G2168" s="241"/>
      <c r="H2168" s="241"/>
      <c r="I2168"/>
      <c r="J2168" s="241"/>
      <c r="K2168" s="241"/>
      <c r="L2168" s="241"/>
      <c r="M2168" s="241"/>
      <c r="N2168" s="241"/>
      <c r="O2168" s="241"/>
      <c r="P2168" s="241"/>
      <c r="Q2168" s="241"/>
    </row>
    <row r="2169" spans="1:17" ht="13.5" customHeight="1" x14ac:dyDescent="0.3">
      <c r="A2169"/>
      <c r="B2169" s="241"/>
      <c r="C2169" s="241"/>
      <c r="D2169" s="241"/>
      <c r="E2169" s="241"/>
      <c r="F2169" s="241"/>
      <c r="G2169" s="241"/>
      <c r="H2169" s="241"/>
      <c r="I2169"/>
      <c r="J2169" s="241"/>
      <c r="K2169" s="241"/>
      <c r="L2169" s="241"/>
      <c r="M2169" s="241"/>
      <c r="N2169" s="241"/>
      <c r="O2169" s="241"/>
      <c r="P2169" s="241"/>
      <c r="Q2169" s="241"/>
    </row>
    <row r="2170" spans="1:17" ht="13.5" customHeight="1" x14ac:dyDescent="0.3">
      <c r="A2170"/>
      <c r="B2170" s="241"/>
      <c r="C2170" s="241"/>
      <c r="D2170" s="241"/>
      <c r="E2170" s="241"/>
      <c r="F2170" s="241"/>
      <c r="G2170" s="241"/>
      <c r="H2170" s="241"/>
      <c r="I2170"/>
      <c r="J2170" s="241"/>
      <c r="K2170" s="241"/>
      <c r="L2170" s="241"/>
      <c r="M2170" s="241"/>
      <c r="N2170" s="241"/>
      <c r="O2170" s="241"/>
      <c r="P2170" s="241"/>
      <c r="Q2170" s="241"/>
    </row>
    <row r="2171" spans="1:17" ht="13.5" customHeight="1" x14ac:dyDescent="0.3">
      <c r="A2171"/>
      <c r="B2171" s="241"/>
      <c r="C2171" s="241"/>
      <c r="D2171" s="241"/>
      <c r="E2171" s="241"/>
      <c r="F2171" s="241"/>
      <c r="G2171" s="241"/>
      <c r="H2171" s="241"/>
      <c r="I2171"/>
      <c r="J2171" s="241"/>
      <c r="K2171" s="241"/>
      <c r="L2171" s="241"/>
      <c r="M2171" s="241"/>
      <c r="N2171" s="241"/>
      <c r="O2171" s="241"/>
      <c r="P2171" s="241"/>
      <c r="Q2171" s="241"/>
    </row>
    <row r="2172" spans="1:17" ht="13.5" customHeight="1" x14ac:dyDescent="0.3">
      <c r="A2172"/>
      <c r="B2172" s="241"/>
      <c r="C2172" s="241"/>
      <c r="D2172" s="241"/>
      <c r="E2172" s="241"/>
      <c r="F2172" s="241"/>
      <c r="G2172" s="241"/>
      <c r="H2172" s="241"/>
      <c r="I2172"/>
      <c r="J2172" s="241"/>
      <c r="K2172" s="241"/>
      <c r="L2172" s="241"/>
      <c r="M2172" s="241"/>
      <c r="N2172" s="241"/>
      <c r="O2172" s="241"/>
      <c r="P2172" s="241"/>
      <c r="Q2172" s="241"/>
    </row>
    <row r="2173" spans="1:17" ht="13.5" customHeight="1" x14ac:dyDescent="0.3">
      <c r="A2173"/>
      <c r="B2173" s="241"/>
      <c r="C2173" s="241"/>
      <c r="D2173" s="241"/>
      <c r="E2173" s="241"/>
      <c r="F2173" s="241"/>
      <c r="G2173" s="241"/>
      <c r="H2173" s="241"/>
      <c r="I2173"/>
      <c r="J2173" s="241"/>
      <c r="K2173" s="241"/>
      <c r="L2173" s="241"/>
      <c r="M2173" s="241"/>
      <c r="N2173" s="241"/>
      <c r="O2173" s="241"/>
      <c r="P2173" s="241"/>
      <c r="Q2173" s="241"/>
    </row>
    <row r="2174" spans="1:17" ht="13.5" customHeight="1" x14ac:dyDescent="0.3">
      <c r="A2174"/>
      <c r="B2174" s="241"/>
      <c r="C2174" s="241"/>
      <c r="D2174" s="241"/>
      <c r="E2174" s="241"/>
      <c r="F2174" s="241"/>
      <c r="G2174" s="241"/>
      <c r="H2174" s="241"/>
      <c r="I2174"/>
      <c r="J2174" s="241"/>
      <c r="K2174" s="241"/>
      <c r="L2174" s="241"/>
      <c r="M2174" s="241"/>
      <c r="N2174" s="241"/>
      <c r="O2174" s="241"/>
      <c r="P2174" s="241"/>
      <c r="Q2174" s="241"/>
    </row>
    <row r="2175" spans="1:17" ht="13.5" customHeight="1" x14ac:dyDescent="0.3">
      <c r="A2175"/>
      <c r="B2175" s="241"/>
      <c r="C2175" s="241"/>
      <c r="D2175" s="241"/>
      <c r="E2175" s="241"/>
      <c r="F2175" s="241"/>
      <c r="G2175" s="241"/>
      <c r="H2175" s="241"/>
      <c r="I2175"/>
      <c r="J2175" s="241"/>
      <c r="K2175" s="241"/>
      <c r="L2175" s="241"/>
      <c r="M2175" s="241"/>
      <c r="N2175" s="241"/>
      <c r="O2175" s="241"/>
      <c r="P2175" s="241"/>
      <c r="Q2175" s="241"/>
    </row>
    <row r="2176" spans="1:17" ht="13.5" customHeight="1" x14ac:dyDescent="0.3">
      <c r="A2176"/>
      <c r="B2176" s="241"/>
      <c r="C2176" s="241"/>
      <c r="D2176" s="241"/>
      <c r="E2176" s="241"/>
      <c r="F2176" s="241"/>
      <c r="G2176" s="241"/>
      <c r="H2176" s="241"/>
      <c r="I2176"/>
      <c r="J2176" s="241"/>
      <c r="K2176" s="241"/>
      <c r="L2176" s="241"/>
      <c r="M2176" s="241"/>
      <c r="N2176" s="241"/>
      <c r="O2176" s="241"/>
      <c r="P2176" s="241"/>
      <c r="Q2176" s="241"/>
    </row>
    <row r="2177" spans="1:17" ht="13.5" customHeight="1" x14ac:dyDescent="0.3">
      <c r="A2177"/>
      <c r="B2177" s="241"/>
      <c r="C2177" s="241"/>
      <c r="D2177" s="241"/>
      <c r="E2177" s="241"/>
      <c r="F2177" s="241"/>
      <c r="G2177" s="241"/>
      <c r="H2177" s="241"/>
      <c r="I2177"/>
      <c r="J2177" s="241"/>
      <c r="K2177" s="241"/>
      <c r="L2177" s="241"/>
      <c r="M2177" s="241"/>
      <c r="N2177" s="241"/>
      <c r="O2177" s="241"/>
      <c r="P2177" s="241"/>
      <c r="Q2177" s="241"/>
    </row>
    <row r="2178" spans="1:17" ht="13.5" customHeight="1" x14ac:dyDescent="0.3">
      <c r="A2178"/>
      <c r="B2178" s="241"/>
      <c r="C2178" s="241"/>
      <c r="D2178" s="241"/>
      <c r="E2178" s="241"/>
      <c r="F2178" s="241"/>
      <c r="G2178" s="241"/>
      <c r="H2178" s="241"/>
      <c r="I2178"/>
      <c r="J2178" s="241"/>
      <c r="K2178" s="241"/>
      <c r="L2178" s="241"/>
      <c r="M2178" s="241"/>
      <c r="N2178" s="241"/>
      <c r="O2178" s="241"/>
      <c r="P2178" s="241"/>
      <c r="Q2178" s="241"/>
    </row>
    <row r="2179" spans="1:17" ht="13.5" customHeight="1" x14ac:dyDescent="0.3">
      <c r="A2179"/>
      <c r="B2179" s="241"/>
      <c r="C2179" s="241"/>
      <c r="D2179" s="241"/>
      <c r="E2179" s="241"/>
      <c r="F2179" s="241"/>
      <c r="G2179" s="241"/>
      <c r="H2179" s="241"/>
      <c r="I2179"/>
      <c r="J2179" s="241"/>
      <c r="K2179" s="241"/>
      <c r="L2179" s="241"/>
      <c r="M2179" s="241"/>
      <c r="N2179" s="241"/>
      <c r="O2179" s="241"/>
      <c r="P2179" s="241"/>
      <c r="Q2179" s="241"/>
    </row>
    <row r="2180" spans="1:17" ht="13.5" customHeight="1" x14ac:dyDescent="0.3">
      <c r="A2180"/>
      <c r="B2180" s="241"/>
      <c r="C2180" s="241"/>
      <c r="D2180" s="241"/>
      <c r="E2180" s="241"/>
      <c r="F2180" s="241"/>
      <c r="G2180" s="241"/>
      <c r="H2180" s="241"/>
      <c r="I2180"/>
      <c r="J2180" s="241"/>
      <c r="K2180" s="241"/>
      <c r="L2180" s="241"/>
      <c r="M2180" s="241"/>
      <c r="N2180" s="241"/>
      <c r="O2180" s="241"/>
      <c r="P2180" s="241"/>
      <c r="Q2180" s="241"/>
    </row>
    <row r="2181" spans="1:17" ht="13.5" customHeight="1" x14ac:dyDescent="0.3">
      <c r="A2181"/>
      <c r="B2181" s="241"/>
      <c r="C2181" s="241"/>
      <c r="D2181" s="241"/>
      <c r="E2181" s="241"/>
      <c r="F2181" s="241"/>
      <c r="G2181" s="241"/>
      <c r="H2181" s="241"/>
      <c r="I2181"/>
      <c r="J2181" s="241"/>
      <c r="K2181" s="241"/>
      <c r="L2181" s="241"/>
      <c r="M2181" s="241"/>
      <c r="N2181" s="241"/>
      <c r="O2181" s="241"/>
      <c r="P2181" s="241"/>
      <c r="Q2181" s="241"/>
    </row>
    <row r="2182" spans="1:17" ht="13.5" customHeight="1" x14ac:dyDescent="0.3">
      <c r="A2182"/>
      <c r="B2182" s="241"/>
      <c r="C2182" s="241"/>
      <c r="D2182" s="241"/>
      <c r="E2182" s="241"/>
      <c r="F2182" s="241"/>
      <c r="G2182" s="241"/>
      <c r="H2182" s="241"/>
      <c r="I2182"/>
      <c r="J2182" s="241"/>
      <c r="K2182" s="241"/>
      <c r="L2182" s="241"/>
      <c r="M2182" s="241"/>
      <c r="N2182" s="241"/>
      <c r="O2182" s="241"/>
      <c r="P2182" s="241"/>
      <c r="Q2182" s="241"/>
    </row>
    <row r="2183" spans="1:17" ht="13.5" customHeight="1" x14ac:dyDescent="0.3">
      <c r="A2183"/>
      <c r="B2183" s="241"/>
      <c r="C2183" s="241"/>
      <c r="D2183" s="241"/>
      <c r="E2183" s="241"/>
      <c r="F2183" s="241"/>
      <c r="G2183" s="241"/>
      <c r="H2183" s="241"/>
      <c r="I2183"/>
      <c r="J2183" s="241"/>
      <c r="K2183" s="241"/>
      <c r="L2183" s="241"/>
      <c r="M2183" s="241"/>
      <c r="N2183" s="241"/>
      <c r="O2183" s="241"/>
      <c r="P2183" s="241"/>
      <c r="Q2183" s="241"/>
    </row>
    <row r="2184" spans="1:17" ht="13.5" customHeight="1" x14ac:dyDescent="0.3">
      <c r="A2184"/>
      <c r="B2184" s="241"/>
      <c r="C2184" s="241"/>
      <c r="D2184" s="241"/>
      <c r="E2184" s="241"/>
      <c r="F2184" s="241"/>
      <c r="G2184" s="241"/>
      <c r="H2184" s="241"/>
      <c r="I2184"/>
      <c r="J2184" s="241"/>
      <c r="K2184" s="241"/>
      <c r="L2184" s="241"/>
      <c r="M2184" s="241"/>
      <c r="N2184" s="241"/>
      <c r="O2184" s="241"/>
      <c r="P2184" s="241"/>
      <c r="Q2184" s="241"/>
    </row>
    <row r="2185" spans="1:17" ht="13.5" customHeight="1" x14ac:dyDescent="0.3">
      <c r="A2185"/>
      <c r="B2185" s="241"/>
      <c r="C2185" s="241"/>
      <c r="D2185" s="241"/>
      <c r="E2185" s="241"/>
      <c r="F2185" s="241"/>
      <c r="G2185" s="241"/>
      <c r="H2185" s="241"/>
      <c r="I2185"/>
      <c r="J2185" s="241"/>
      <c r="K2185" s="241"/>
      <c r="L2185" s="241"/>
      <c r="M2185" s="241"/>
      <c r="N2185" s="241"/>
      <c r="O2185" s="241"/>
      <c r="P2185" s="241"/>
      <c r="Q2185" s="241"/>
    </row>
    <row r="2186" spans="1:17" ht="13.5" customHeight="1" x14ac:dyDescent="0.3">
      <c r="A2186"/>
      <c r="B2186" s="241"/>
      <c r="C2186" s="241"/>
      <c r="D2186" s="241"/>
      <c r="E2186" s="241"/>
      <c r="F2186" s="241"/>
      <c r="G2186" s="241"/>
      <c r="H2186" s="241"/>
      <c r="I2186"/>
      <c r="J2186" s="241"/>
      <c r="K2186" s="241"/>
      <c r="L2186" s="241"/>
      <c r="M2186" s="241"/>
      <c r="N2186" s="241"/>
      <c r="O2186" s="241"/>
      <c r="P2186" s="241"/>
      <c r="Q2186" s="241"/>
    </row>
    <row r="2187" spans="1:17" ht="13.5" customHeight="1" x14ac:dyDescent="0.3">
      <c r="A2187"/>
      <c r="B2187" s="241"/>
      <c r="C2187" s="241"/>
      <c r="D2187" s="241"/>
      <c r="E2187" s="241"/>
      <c r="F2187" s="241"/>
      <c r="G2187" s="241"/>
      <c r="H2187" s="241"/>
      <c r="I2187"/>
      <c r="J2187" s="241"/>
      <c r="K2187" s="241"/>
      <c r="L2187" s="241"/>
      <c r="M2187" s="241"/>
      <c r="N2187" s="241"/>
      <c r="O2187" s="241"/>
      <c r="P2187" s="241"/>
      <c r="Q2187" s="241"/>
    </row>
    <row r="2188" spans="1:17" ht="13.5" customHeight="1" x14ac:dyDescent="0.3">
      <c r="A2188"/>
      <c r="B2188" s="241"/>
      <c r="C2188" s="241"/>
      <c r="D2188" s="241"/>
      <c r="E2188" s="241"/>
      <c r="F2188" s="241"/>
      <c r="G2188" s="241"/>
      <c r="H2188" s="241"/>
      <c r="I2188"/>
      <c r="J2188" s="241"/>
      <c r="K2188" s="241"/>
      <c r="L2188" s="241"/>
      <c r="M2188" s="241"/>
      <c r="N2188" s="241"/>
      <c r="O2188" s="241"/>
      <c r="P2188" s="241"/>
      <c r="Q2188" s="241"/>
    </row>
    <row r="2189" spans="1:17" ht="13.5" customHeight="1" x14ac:dyDescent="0.3">
      <c r="A2189"/>
      <c r="B2189" s="241"/>
      <c r="C2189" s="241"/>
      <c r="D2189" s="241"/>
      <c r="E2189" s="241"/>
      <c r="F2189" s="241"/>
      <c r="G2189" s="241"/>
      <c r="H2189" s="241"/>
      <c r="I2189"/>
      <c r="J2189" s="241"/>
      <c r="K2189" s="241"/>
      <c r="L2189" s="241"/>
      <c r="M2189" s="241"/>
      <c r="N2189" s="241"/>
      <c r="O2189" s="241"/>
      <c r="P2189" s="241"/>
      <c r="Q2189" s="241"/>
    </row>
    <row r="2190" spans="1:17" ht="13.5" customHeight="1" x14ac:dyDescent="0.3">
      <c r="A2190"/>
      <c r="B2190" s="241"/>
      <c r="C2190" s="241"/>
      <c r="D2190" s="241"/>
      <c r="E2190" s="241"/>
      <c r="F2190" s="241"/>
      <c r="G2190" s="241"/>
      <c r="H2190" s="241"/>
      <c r="I2190"/>
      <c r="J2190" s="241"/>
      <c r="K2190" s="241"/>
      <c r="L2190" s="241"/>
      <c r="M2190" s="241"/>
      <c r="N2190" s="241"/>
      <c r="O2190" s="241"/>
      <c r="P2190" s="241"/>
      <c r="Q2190" s="241"/>
    </row>
    <row r="2191" spans="1:17" ht="13.5" customHeight="1" x14ac:dyDescent="0.3">
      <c r="A2191"/>
      <c r="B2191" s="241"/>
      <c r="C2191" s="241"/>
      <c r="D2191" s="241"/>
      <c r="E2191" s="241"/>
      <c r="F2191" s="241"/>
      <c r="G2191" s="241"/>
      <c r="H2191" s="241"/>
      <c r="I2191"/>
      <c r="J2191" s="241"/>
      <c r="K2191" s="241"/>
      <c r="L2191" s="241"/>
      <c r="M2191" s="241"/>
      <c r="N2191" s="241"/>
      <c r="O2191" s="241"/>
      <c r="P2191" s="241"/>
      <c r="Q2191" s="241"/>
    </row>
    <row r="2192" spans="1:17" ht="13.5" customHeight="1" x14ac:dyDescent="0.3">
      <c r="A2192"/>
      <c r="B2192" s="241"/>
      <c r="C2192" s="241"/>
      <c r="D2192" s="241"/>
      <c r="E2192" s="241"/>
      <c r="F2192" s="241"/>
      <c r="G2192" s="241"/>
      <c r="H2192" s="241"/>
      <c r="I2192"/>
      <c r="J2192" s="241"/>
      <c r="K2192" s="241"/>
      <c r="L2192" s="241"/>
      <c r="M2192" s="241"/>
      <c r="N2192" s="241"/>
      <c r="O2192" s="241"/>
      <c r="P2192" s="241"/>
      <c r="Q2192" s="241"/>
    </row>
    <row r="2193" spans="1:17" ht="13.5" customHeight="1" x14ac:dyDescent="0.3">
      <c r="A2193"/>
      <c r="B2193" s="241"/>
      <c r="C2193" s="241"/>
      <c r="D2193" s="241"/>
      <c r="E2193" s="241"/>
      <c r="F2193" s="241"/>
      <c r="G2193" s="241"/>
      <c r="H2193" s="241"/>
      <c r="I2193"/>
      <c r="J2193" s="241"/>
      <c r="K2193" s="241"/>
      <c r="L2193" s="241"/>
      <c r="M2193" s="241"/>
      <c r="N2193" s="241"/>
      <c r="O2193" s="241"/>
      <c r="P2193" s="241"/>
      <c r="Q2193" s="241"/>
    </row>
    <row r="2194" spans="1:17" ht="13.5" customHeight="1" x14ac:dyDescent="0.3">
      <c r="A2194"/>
      <c r="B2194" s="241"/>
      <c r="C2194" s="241"/>
      <c r="D2194" s="241"/>
      <c r="E2194" s="241"/>
      <c r="F2194" s="241"/>
      <c r="G2194" s="241"/>
      <c r="H2194" s="241"/>
      <c r="I2194"/>
      <c r="J2194" s="241"/>
      <c r="K2194" s="241"/>
      <c r="L2194" s="241"/>
      <c r="M2194" s="241"/>
      <c r="N2194" s="241"/>
      <c r="O2194" s="241"/>
      <c r="P2194" s="241"/>
      <c r="Q2194" s="241"/>
    </row>
    <row r="2195" spans="1:17" ht="13.5" customHeight="1" x14ac:dyDescent="0.3">
      <c r="A2195"/>
      <c r="B2195" s="241"/>
      <c r="C2195" s="241"/>
      <c r="D2195" s="241"/>
      <c r="E2195" s="241"/>
      <c r="F2195" s="241"/>
      <c r="G2195" s="241"/>
      <c r="H2195" s="241"/>
      <c r="I2195"/>
      <c r="J2195" s="241"/>
      <c r="K2195" s="241"/>
      <c r="L2195" s="241"/>
      <c r="M2195" s="241"/>
      <c r="N2195" s="241"/>
      <c r="O2195" s="241"/>
      <c r="P2195" s="241"/>
      <c r="Q2195" s="241"/>
    </row>
    <row r="2196" spans="1:17" ht="13.5" customHeight="1" x14ac:dyDescent="0.3">
      <c r="A2196"/>
      <c r="B2196" s="241"/>
      <c r="C2196" s="241"/>
      <c r="D2196" s="241"/>
      <c r="E2196" s="241"/>
      <c r="F2196" s="241"/>
      <c r="G2196" s="241"/>
      <c r="H2196" s="241"/>
      <c r="I2196"/>
      <c r="J2196" s="241"/>
      <c r="K2196" s="241"/>
      <c r="L2196" s="241"/>
      <c r="M2196" s="241"/>
      <c r="N2196" s="241"/>
      <c r="O2196" s="241"/>
      <c r="P2196" s="241"/>
      <c r="Q2196" s="241"/>
    </row>
    <row r="2197" spans="1:17" ht="13.5" customHeight="1" x14ac:dyDescent="0.3">
      <c r="A2197"/>
      <c r="B2197" s="241"/>
      <c r="C2197" s="241"/>
      <c r="D2197" s="241"/>
      <c r="E2197" s="241"/>
      <c r="F2197" s="241"/>
      <c r="G2197" s="241"/>
      <c r="H2197" s="241"/>
      <c r="I2197"/>
      <c r="J2197" s="241"/>
      <c r="K2197" s="241"/>
      <c r="L2197" s="241"/>
      <c r="M2197" s="241"/>
      <c r="N2197" s="241"/>
      <c r="O2197" s="241"/>
      <c r="P2197" s="241"/>
      <c r="Q2197" s="241"/>
    </row>
    <row r="2198" spans="1:17" ht="13.5" customHeight="1" x14ac:dyDescent="0.3">
      <c r="A2198"/>
      <c r="B2198" s="241"/>
      <c r="C2198" s="241"/>
      <c r="D2198" s="241"/>
      <c r="E2198" s="241"/>
      <c r="F2198" s="241"/>
      <c r="G2198" s="241"/>
      <c r="H2198" s="241"/>
      <c r="I2198"/>
      <c r="J2198" s="241"/>
      <c r="K2198" s="241"/>
      <c r="L2198" s="241"/>
      <c r="M2198" s="241"/>
      <c r="N2198" s="241"/>
      <c r="O2198" s="241"/>
      <c r="P2198" s="241"/>
      <c r="Q2198" s="241"/>
    </row>
    <row r="2199" spans="1:17" ht="13.5" customHeight="1" x14ac:dyDescent="0.3">
      <c r="A2199"/>
      <c r="B2199" s="241"/>
      <c r="C2199" s="241"/>
      <c r="D2199" s="241"/>
      <c r="E2199" s="241"/>
      <c r="F2199" s="241"/>
      <c r="G2199" s="241"/>
      <c r="H2199" s="241"/>
      <c r="I2199"/>
      <c r="J2199" s="241"/>
      <c r="K2199" s="241"/>
      <c r="L2199" s="241"/>
      <c r="M2199" s="241"/>
      <c r="N2199" s="241"/>
      <c r="O2199" s="241"/>
      <c r="P2199" s="241"/>
      <c r="Q2199" s="241"/>
    </row>
    <row r="2200" spans="1:17" ht="13.5" customHeight="1" x14ac:dyDescent="0.3">
      <c r="A2200"/>
      <c r="B2200" s="241"/>
      <c r="C2200" s="241"/>
      <c r="D2200" s="241"/>
      <c r="E2200" s="241"/>
      <c r="F2200" s="241"/>
      <c r="G2200" s="241"/>
      <c r="H2200" s="241"/>
      <c r="I2200"/>
      <c r="J2200" s="241"/>
      <c r="K2200" s="241"/>
      <c r="L2200" s="241"/>
      <c r="M2200" s="241"/>
      <c r="N2200" s="241"/>
      <c r="O2200" s="241"/>
      <c r="P2200" s="241"/>
      <c r="Q2200" s="241"/>
    </row>
    <row r="2201" spans="1:17" ht="13.5" customHeight="1" x14ac:dyDescent="0.3">
      <c r="A2201"/>
      <c r="B2201" s="241"/>
      <c r="C2201" s="241"/>
      <c r="D2201" s="241"/>
      <c r="E2201" s="241"/>
      <c r="F2201" s="241"/>
      <c r="G2201" s="241"/>
      <c r="H2201" s="241"/>
      <c r="I2201"/>
      <c r="J2201" s="241"/>
      <c r="K2201" s="241"/>
      <c r="L2201" s="241"/>
      <c r="M2201" s="241"/>
      <c r="N2201" s="241"/>
      <c r="O2201" s="241"/>
      <c r="P2201" s="241"/>
      <c r="Q2201" s="241"/>
    </row>
    <row r="2202" spans="1:17" ht="13.5" customHeight="1" x14ac:dyDescent="0.3">
      <c r="A2202"/>
      <c r="B2202" s="241"/>
      <c r="C2202" s="241"/>
      <c r="D2202" s="241"/>
      <c r="E2202" s="241"/>
      <c r="F2202" s="241"/>
      <c r="G2202" s="241"/>
      <c r="H2202" s="241"/>
      <c r="I2202"/>
      <c r="J2202" s="241"/>
      <c r="K2202" s="241"/>
      <c r="L2202" s="241"/>
      <c r="M2202" s="241"/>
      <c r="N2202" s="241"/>
      <c r="O2202" s="241"/>
      <c r="P2202" s="241"/>
      <c r="Q2202" s="241"/>
    </row>
    <row r="2203" spans="1:17" ht="13.5" customHeight="1" x14ac:dyDescent="0.3">
      <c r="A2203"/>
      <c r="B2203" s="241"/>
      <c r="C2203" s="241"/>
      <c r="D2203" s="241"/>
      <c r="E2203" s="241"/>
      <c r="F2203" s="241"/>
      <c r="G2203" s="241"/>
      <c r="H2203" s="241"/>
      <c r="I2203"/>
      <c r="J2203" s="241"/>
      <c r="K2203" s="241"/>
      <c r="L2203" s="241"/>
      <c r="M2203" s="241"/>
      <c r="N2203" s="241"/>
      <c r="O2203" s="241"/>
      <c r="P2203" s="241"/>
      <c r="Q2203" s="241"/>
    </row>
    <row r="2204" spans="1:17" ht="13.5" customHeight="1" x14ac:dyDescent="0.3">
      <c r="A2204"/>
      <c r="B2204" s="241"/>
      <c r="C2204" s="241"/>
      <c r="D2204" s="241"/>
      <c r="E2204" s="241"/>
      <c r="F2204" s="241"/>
      <c r="G2204" s="241"/>
      <c r="H2204" s="241"/>
      <c r="I2204"/>
      <c r="J2204" s="241"/>
      <c r="K2204" s="241"/>
      <c r="L2204" s="241"/>
      <c r="M2204" s="241"/>
      <c r="N2204" s="241"/>
      <c r="O2204" s="241"/>
      <c r="P2204" s="241"/>
      <c r="Q2204" s="241"/>
    </row>
    <row r="2205" spans="1:17" ht="13.5" customHeight="1" x14ac:dyDescent="0.3">
      <c r="A2205"/>
      <c r="B2205" s="241"/>
      <c r="C2205" s="241"/>
      <c r="D2205" s="241"/>
      <c r="E2205" s="241"/>
      <c r="F2205" s="241"/>
      <c r="G2205" s="241"/>
      <c r="H2205" s="241"/>
      <c r="I2205"/>
      <c r="J2205" s="241"/>
      <c r="K2205" s="241"/>
      <c r="L2205" s="241"/>
      <c r="M2205" s="241"/>
      <c r="N2205" s="241"/>
      <c r="O2205" s="241"/>
      <c r="P2205" s="241"/>
      <c r="Q2205" s="241"/>
    </row>
    <row r="2206" spans="1:17" ht="13.5" customHeight="1" x14ac:dyDescent="0.3">
      <c r="A2206"/>
      <c r="B2206" s="241"/>
      <c r="C2206" s="241"/>
      <c r="D2206" s="241"/>
      <c r="E2206" s="241"/>
      <c r="F2206" s="241"/>
      <c r="G2206" s="241"/>
      <c r="H2206" s="241"/>
      <c r="I2206"/>
      <c r="J2206" s="241"/>
      <c r="K2206" s="241"/>
      <c r="L2206" s="241"/>
      <c r="M2206" s="241"/>
      <c r="N2206" s="241"/>
      <c r="O2206" s="241"/>
      <c r="P2206" s="241"/>
      <c r="Q2206" s="241"/>
    </row>
    <row r="2207" spans="1:17" ht="13.5" customHeight="1" x14ac:dyDescent="0.3">
      <c r="A2207"/>
      <c r="B2207" s="241"/>
      <c r="C2207" s="241"/>
      <c r="D2207" s="241"/>
      <c r="E2207" s="241"/>
      <c r="F2207" s="241"/>
      <c r="G2207" s="241"/>
      <c r="H2207" s="241"/>
      <c r="I2207"/>
      <c r="J2207" s="241"/>
      <c r="K2207" s="241"/>
      <c r="L2207" s="241"/>
      <c r="M2207" s="241"/>
      <c r="N2207" s="241"/>
      <c r="O2207" s="241"/>
      <c r="P2207" s="241"/>
      <c r="Q2207" s="241"/>
    </row>
    <row r="2208" spans="1:17" ht="13.5" customHeight="1" x14ac:dyDescent="0.3">
      <c r="A2208"/>
      <c r="B2208" s="241"/>
      <c r="C2208" s="241"/>
      <c r="D2208" s="241"/>
      <c r="E2208" s="241"/>
      <c r="F2208" s="241"/>
      <c r="G2208" s="241"/>
      <c r="H2208" s="241"/>
      <c r="I2208"/>
      <c r="J2208" s="241"/>
      <c r="K2208" s="241"/>
      <c r="L2208" s="241"/>
      <c r="M2208" s="241"/>
      <c r="N2208" s="241"/>
      <c r="O2208" s="241"/>
      <c r="P2208" s="241"/>
      <c r="Q2208" s="241"/>
    </row>
    <row r="2209" spans="1:17" ht="13.5" customHeight="1" x14ac:dyDescent="0.3">
      <c r="A2209"/>
      <c r="B2209" s="241"/>
      <c r="C2209" s="241"/>
      <c r="D2209" s="241"/>
      <c r="E2209" s="241"/>
      <c r="F2209" s="241"/>
      <c r="G2209" s="241"/>
      <c r="H2209" s="241"/>
      <c r="I2209"/>
      <c r="J2209" s="241"/>
      <c r="K2209" s="241"/>
      <c r="L2209" s="241"/>
      <c r="M2209" s="241"/>
      <c r="N2209" s="241"/>
      <c r="O2209" s="241"/>
      <c r="P2209" s="241"/>
      <c r="Q2209" s="241"/>
    </row>
    <row r="2210" spans="1:17" ht="13.5" customHeight="1" x14ac:dyDescent="0.3">
      <c r="A2210"/>
      <c r="B2210" s="241"/>
      <c r="C2210" s="241"/>
      <c r="D2210" s="241"/>
      <c r="E2210" s="241"/>
      <c r="F2210" s="241"/>
      <c r="G2210" s="241"/>
      <c r="H2210" s="241"/>
      <c r="I2210"/>
      <c r="J2210" s="241"/>
      <c r="K2210" s="241"/>
      <c r="L2210" s="241"/>
      <c r="M2210" s="241"/>
      <c r="N2210" s="241"/>
      <c r="O2210" s="241"/>
      <c r="P2210" s="241"/>
      <c r="Q2210" s="241"/>
    </row>
    <row r="2211" spans="1:17" ht="13.5" customHeight="1" x14ac:dyDescent="0.3">
      <c r="A2211"/>
      <c r="B2211" s="241"/>
      <c r="C2211" s="241"/>
      <c r="D2211" s="241"/>
      <c r="E2211" s="241"/>
      <c r="F2211" s="241"/>
      <c r="G2211" s="241"/>
      <c r="H2211" s="241"/>
      <c r="I2211"/>
      <c r="J2211" s="241"/>
      <c r="K2211" s="241"/>
      <c r="L2211" s="241"/>
      <c r="M2211" s="241"/>
      <c r="N2211" s="241"/>
      <c r="O2211" s="241"/>
      <c r="P2211" s="241"/>
      <c r="Q2211" s="241"/>
    </row>
    <row r="2212" spans="1:17" ht="13.5" customHeight="1" x14ac:dyDescent="0.3">
      <c r="A2212"/>
      <c r="B2212" s="241"/>
      <c r="C2212" s="241"/>
      <c r="D2212" s="241"/>
      <c r="E2212" s="241"/>
      <c r="F2212" s="241"/>
      <c r="G2212" s="241"/>
      <c r="H2212" s="241"/>
      <c r="I2212"/>
      <c r="J2212" s="241"/>
      <c r="K2212" s="241"/>
      <c r="L2212" s="241"/>
      <c r="M2212" s="241"/>
      <c r="N2212" s="241"/>
      <c r="O2212" s="241"/>
      <c r="P2212" s="241"/>
      <c r="Q2212" s="241"/>
    </row>
    <row r="2213" spans="1:17" ht="13.5" customHeight="1" x14ac:dyDescent="0.3">
      <c r="A2213"/>
      <c r="B2213" s="241"/>
      <c r="C2213" s="241"/>
      <c r="D2213" s="241"/>
      <c r="E2213" s="241"/>
      <c r="F2213" s="241"/>
      <c r="G2213" s="241"/>
      <c r="H2213" s="241"/>
      <c r="I2213"/>
      <c r="J2213" s="241"/>
      <c r="K2213" s="241"/>
      <c r="L2213" s="241"/>
      <c r="M2213" s="241"/>
      <c r="N2213" s="241"/>
      <c r="O2213" s="241"/>
      <c r="P2213" s="241"/>
      <c r="Q2213" s="241"/>
    </row>
    <row r="2214" spans="1:17" ht="13.5" customHeight="1" x14ac:dyDescent="0.3">
      <c r="A2214"/>
      <c r="B2214" s="241"/>
      <c r="C2214" s="241"/>
      <c r="D2214" s="241"/>
      <c r="E2214" s="241"/>
      <c r="F2214" s="241"/>
      <c r="G2214" s="241"/>
      <c r="H2214" s="241"/>
      <c r="I2214"/>
      <c r="J2214" s="241"/>
      <c r="K2214" s="241"/>
      <c r="L2214" s="241"/>
      <c r="M2214" s="241"/>
      <c r="N2214" s="241"/>
      <c r="O2214" s="241"/>
      <c r="P2214" s="241"/>
      <c r="Q2214" s="241"/>
    </row>
    <row r="2215" spans="1:17" ht="13.5" customHeight="1" x14ac:dyDescent="0.3">
      <c r="A2215"/>
      <c r="B2215" s="241"/>
      <c r="C2215" s="241"/>
      <c r="D2215" s="241"/>
      <c r="E2215" s="241"/>
      <c r="F2215" s="241"/>
      <c r="G2215" s="241"/>
      <c r="H2215" s="241"/>
      <c r="I2215"/>
      <c r="J2215" s="241"/>
      <c r="K2215" s="241"/>
      <c r="L2215" s="241"/>
      <c r="M2215" s="241"/>
      <c r="N2215" s="241"/>
      <c r="O2215" s="241"/>
      <c r="P2215" s="241"/>
      <c r="Q2215" s="241"/>
    </row>
    <row r="2216" spans="1:17" ht="13.5" customHeight="1" x14ac:dyDescent="0.3">
      <c r="A2216"/>
      <c r="B2216" s="241"/>
      <c r="C2216" s="241"/>
      <c r="D2216" s="241"/>
      <c r="E2216" s="241"/>
      <c r="F2216" s="241"/>
      <c r="G2216" s="241"/>
      <c r="H2216" s="241"/>
      <c r="I2216"/>
      <c r="J2216" s="241"/>
      <c r="K2216" s="241"/>
      <c r="L2216" s="241"/>
      <c r="M2216" s="241"/>
      <c r="N2216" s="241"/>
      <c r="O2216" s="241"/>
      <c r="P2216" s="241"/>
      <c r="Q2216" s="241"/>
    </row>
    <row r="2217" spans="1:17" ht="13.5" customHeight="1" x14ac:dyDescent="0.3">
      <c r="A2217"/>
      <c r="B2217" s="241"/>
      <c r="C2217" s="241"/>
      <c r="D2217" s="241"/>
      <c r="E2217" s="241"/>
      <c r="F2217" s="241"/>
      <c r="G2217" s="241"/>
      <c r="H2217" s="241"/>
      <c r="I2217"/>
      <c r="J2217" s="241"/>
      <c r="K2217" s="241"/>
      <c r="L2217" s="241"/>
      <c r="M2217" s="241"/>
      <c r="N2217" s="241"/>
      <c r="O2217" s="241"/>
      <c r="P2217" s="241"/>
      <c r="Q2217" s="241"/>
    </row>
    <row r="2218" spans="1:17" ht="13.5" customHeight="1" x14ac:dyDescent="0.3">
      <c r="A2218"/>
      <c r="B2218" s="241"/>
      <c r="C2218" s="241"/>
      <c r="D2218" s="241"/>
      <c r="E2218" s="241"/>
      <c r="F2218" s="241"/>
      <c r="G2218" s="241"/>
      <c r="H2218" s="241"/>
      <c r="I2218"/>
      <c r="J2218" s="241"/>
      <c r="K2218" s="241"/>
      <c r="L2218" s="241"/>
      <c r="M2218" s="241"/>
      <c r="N2218" s="241"/>
      <c r="O2218" s="241"/>
      <c r="P2218" s="241"/>
      <c r="Q2218" s="241"/>
    </row>
    <row r="2219" spans="1:17" ht="13.5" customHeight="1" x14ac:dyDescent="0.3">
      <c r="A2219"/>
      <c r="B2219" s="241"/>
      <c r="C2219" s="241"/>
      <c r="D2219" s="241"/>
      <c r="E2219" s="241"/>
      <c r="F2219" s="241"/>
      <c r="G2219" s="241"/>
      <c r="H2219" s="241"/>
      <c r="I2219"/>
      <c r="J2219" s="241"/>
      <c r="K2219" s="241"/>
      <c r="L2219" s="241"/>
      <c r="M2219" s="241"/>
      <c r="N2219" s="241"/>
      <c r="O2219" s="241"/>
      <c r="P2219" s="241"/>
      <c r="Q2219" s="241"/>
    </row>
    <row r="2220" spans="1:17" ht="13.5" customHeight="1" x14ac:dyDescent="0.3">
      <c r="A2220"/>
      <c r="B2220" s="241"/>
      <c r="C2220" s="241"/>
      <c r="D2220" s="241"/>
      <c r="E2220" s="241"/>
      <c r="F2220" s="241"/>
      <c r="G2220" s="241"/>
      <c r="H2220" s="241"/>
      <c r="I2220"/>
      <c r="J2220" s="241"/>
      <c r="K2220" s="241"/>
      <c r="L2220" s="241"/>
      <c r="M2220" s="241"/>
      <c r="N2220" s="241"/>
      <c r="O2220" s="241"/>
      <c r="P2220" s="241"/>
      <c r="Q2220" s="241"/>
    </row>
    <row r="2221" spans="1:17" ht="13.5" customHeight="1" x14ac:dyDescent="0.3">
      <c r="A2221"/>
      <c r="B2221" s="241"/>
      <c r="C2221" s="241"/>
      <c r="D2221" s="241"/>
      <c r="E2221" s="241"/>
      <c r="F2221" s="241"/>
      <c r="G2221" s="241"/>
      <c r="H2221" s="241"/>
      <c r="I2221"/>
      <c r="J2221" s="241"/>
      <c r="K2221" s="241"/>
      <c r="L2221" s="241"/>
      <c r="M2221" s="241"/>
      <c r="N2221" s="241"/>
      <c r="O2221" s="241"/>
      <c r="P2221" s="241"/>
      <c r="Q2221" s="241"/>
    </row>
    <row r="2222" spans="1:17" ht="13.5" customHeight="1" x14ac:dyDescent="0.3">
      <c r="A2222"/>
      <c r="B2222" s="241"/>
      <c r="C2222" s="241"/>
      <c r="D2222" s="241"/>
      <c r="E2222" s="241"/>
      <c r="F2222" s="241"/>
      <c r="G2222" s="241"/>
      <c r="H2222" s="241"/>
      <c r="I2222"/>
      <c r="J2222" s="241"/>
      <c r="K2222" s="241"/>
      <c r="L2222" s="241"/>
      <c r="M2222" s="241"/>
      <c r="N2222" s="241"/>
      <c r="O2222" s="241"/>
      <c r="P2222" s="241"/>
      <c r="Q2222" s="241"/>
    </row>
    <row r="2223" spans="1:17" ht="13.5" customHeight="1" x14ac:dyDescent="0.3">
      <c r="A2223"/>
      <c r="B2223" s="241"/>
      <c r="C2223" s="241"/>
      <c r="D2223" s="241"/>
      <c r="E2223" s="241"/>
      <c r="F2223" s="241"/>
      <c r="G2223" s="241"/>
      <c r="H2223" s="241"/>
      <c r="I2223"/>
      <c r="J2223" s="241"/>
      <c r="K2223" s="241"/>
      <c r="L2223" s="241"/>
      <c r="M2223" s="241"/>
      <c r="N2223" s="241"/>
      <c r="O2223" s="241"/>
      <c r="P2223" s="241"/>
      <c r="Q2223" s="241"/>
    </row>
    <row r="2224" spans="1:17" ht="13.5" customHeight="1" x14ac:dyDescent="0.3">
      <c r="A2224"/>
      <c r="B2224" s="241"/>
      <c r="C2224" s="241"/>
      <c r="D2224" s="241"/>
      <c r="E2224" s="241"/>
      <c r="F2224" s="241"/>
      <c r="G2224" s="241"/>
      <c r="H2224" s="241"/>
      <c r="I2224"/>
      <c r="J2224" s="241"/>
      <c r="K2224" s="241"/>
      <c r="L2224" s="241"/>
      <c r="M2224" s="241"/>
      <c r="N2224" s="241"/>
      <c r="O2224" s="241"/>
      <c r="P2224" s="241"/>
      <c r="Q2224" s="241"/>
    </row>
    <row r="2225" spans="1:17" ht="13.5" customHeight="1" x14ac:dyDescent="0.3">
      <c r="A2225"/>
      <c r="B2225" s="241"/>
      <c r="C2225" s="241"/>
      <c r="D2225" s="241"/>
      <c r="E2225" s="241"/>
      <c r="F2225" s="241"/>
      <c r="G2225" s="241"/>
      <c r="H2225" s="241"/>
      <c r="I2225"/>
      <c r="J2225" s="241"/>
      <c r="K2225" s="241"/>
      <c r="L2225" s="241"/>
      <c r="M2225" s="241"/>
      <c r="N2225" s="241"/>
      <c r="O2225" s="241"/>
      <c r="P2225" s="241"/>
      <c r="Q2225" s="241"/>
    </row>
    <row r="2226" spans="1:17" ht="13.5" customHeight="1" x14ac:dyDescent="0.3">
      <c r="A2226"/>
      <c r="B2226" s="241"/>
      <c r="C2226" s="241"/>
      <c r="D2226" s="241"/>
      <c r="E2226" s="241"/>
      <c r="F2226" s="241"/>
      <c r="G2226" s="241"/>
      <c r="H2226" s="241"/>
      <c r="I2226"/>
      <c r="J2226" s="241"/>
      <c r="K2226" s="241"/>
      <c r="L2226" s="241"/>
      <c r="M2226" s="241"/>
      <c r="N2226" s="241"/>
      <c r="O2226" s="241"/>
      <c r="P2226" s="241"/>
      <c r="Q2226" s="241"/>
    </row>
    <row r="2227" spans="1:17" ht="13.5" customHeight="1" x14ac:dyDescent="0.3">
      <c r="A2227"/>
      <c r="B2227" s="241"/>
      <c r="C2227" s="241"/>
      <c r="D2227" s="241"/>
      <c r="E2227" s="241"/>
      <c r="F2227" s="241"/>
      <c r="G2227" s="241"/>
      <c r="H2227" s="241"/>
      <c r="I2227"/>
      <c r="J2227" s="241"/>
      <c r="K2227" s="241"/>
      <c r="L2227" s="241"/>
      <c r="M2227" s="241"/>
      <c r="N2227" s="241"/>
      <c r="O2227" s="241"/>
      <c r="P2227" s="241"/>
      <c r="Q2227" s="241"/>
    </row>
    <row r="2228" spans="1:17" ht="13.5" customHeight="1" x14ac:dyDescent="0.3">
      <c r="A2228"/>
      <c r="B2228" s="241"/>
      <c r="C2228" s="241"/>
      <c r="D2228" s="241"/>
      <c r="E2228" s="241"/>
      <c r="F2228" s="241"/>
      <c r="G2228" s="241"/>
      <c r="H2228" s="241"/>
      <c r="I2228"/>
      <c r="J2228" s="241"/>
      <c r="K2228" s="241"/>
      <c r="L2228" s="241"/>
      <c r="M2228" s="241"/>
      <c r="N2228" s="241"/>
      <c r="O2228" s="241"/>
      <c r="P2228" s="241"/>
      <c r="Q2228" s="241"/>
    </row>
    <row r="2229" spans="1:17" ht="13.5" customHeight="1" x14ac:dyDescent="0.3">
      <c r="A2229"/>
      <c r="B2229" s="241"/>
      <c r="C2229" s="241"/>
      <c r="D2229" s="241"/>
      <c r="E2229" s="241"/>
      <c r="F2229" s="241"/>
      <c r="G2229" s="241"/>
      <c r="H2229" s="241"/>
      <c r="I2229"/>
      <c r="J2229" s="241"/>
      <c r="K2229" s="241"/>
      <c r="L2229" s="241"/>
      <c r="M2229" s="241"/>
      <c r="N2229" s="241"/>
      <c r="O2229" s="241"/>
      <c r="P2229" s="241"/>
      <c r="Q2229" s="241"/>
    </row>
    <row r="2230" spans="1:17" ht="13.5" customHeight="1" x14ac:dyDescent="0.3">
      <c r="A2230"/>
      <c r="B2230" s="241"/>
      <c r="C2230" s="241"/>
      <c r="D2230" s="241"/>
      <c r="E2230" s="241"/>
      <c r="F2230" s="241"/>
      <c r="G2230" s="241"/>
      <c r="H2230" s="241"/>
      <c r="I2230"/>
      <c r="J2230" s="241"/>
      <c r="K2230" s="241"/>
      <c r="L2230" s="241"/>
      <c r="M2230" s="241"/>
      <c r="N2230" s="241"/>
      <c r="O2230" s="241"/>
      <c r="P2230" s="241"/>
      <c r="Q2230" s="241"/>
    </row>
    <row r="2231" spans="1:17" ht="13.5" customHeight="1" x14ac:dyDescent="0.3">
      <c r="A2231"/>
      <c r="B2231" s="241"/>
      <c r="C2231" s="241"/>
      <c r="D2231" s="241"/>
      <c r="E2231" s="241"/>
      <c r="F2231" s="241"/>
      <c r="G2231" s="241"/>
      <c r="H2231" s="241"/>
      <c r="I2231"/>
      <c r="J2231" s="241"/>
      <c r="K2231" s="241"/>
      <c r="L2231" s="241"/>
      <c r="M2231" s="241"/>
      <c r="N2231" s="241"/>
      <c r="O2231" s="241"/>
      <c r="P2231" s="241"/>
      <c r="Q2231" s="241"/>
    </row>
    <row r="2232" spans="1:17" ht="13.5" customHeight="1" x14ac:dyDescent="0.3">
      <c r="A2232"/>
      <c r="B2232" s="241"/>
      <c r="C2232" s="241"/>
      <c r="D2232" s="241"/>
      <c r="E2232" s="241"/>
      <c r="F2232" s="241"/>
      <c r="G2232" s="241"/>
      <c r="H2232" s="241"/>
      <c r="I2232"/>
      <c r="J2232" s="241"/>
      <c r="K2232" s="241"/>
      <c r="L2232" s="241"/>
      <c r="M2232" s="241"/>
      <c r="N2232" s="241"/>
      <c r="O2232" s="241"/>
      <c r="P2232" s="241"/>
      <c r="Q2232" s="241"/>
    </row>
    <row r="2233" spans="1:17" ht="13.5" customHeight="1" x14ac:dyDescent="0.3">
      <c r="A2233"/>
      <c r="B2233" s="241"/>
      <c r="C2233" s="241"/>
      <c r="D2233" s="241"/>
      <c r="E2233" s="241"/>
      <c r="F2233" s="241"/>
      <c r="G2233" s="241"/>
      <c r="H2233" s="241"/>
      <c r="I2233"/>
      <c r="J2233" s="241"/>
      <c r="K2233" s="241"/>
      <c r="L2233" s="241"/>
      <c r="M2233" s="241"/>
      <c r="N2233" s="241"/>
      <c r="O2233" s="241"/>
      <c r="P2233" s="241"/>
      <c r="Q2233" s="241"/>
    </row>
    <row r="2234" spans="1:17" ht="13.5" customHeight="1" x14ac:dyDescent="0.3">
      <c r="A2234"/>
      <c r="B2234" s="241"/>
      <c r="C2234" s="241"/>
      <c r="D2234" s="241"/>
      <c r="E2234" s="241"/>
      <c r="F2234" s="241"/>
      <c r="G2234" s="241"/>
      <c r="H2234" s="241"/>
      <c r="I2234"/>
      <c r="J2234" s="241"/>
      <c r="K2234" s="241"/>
      <c r="L2234" s="241"/>
      <c r="M2234" s="241"/>
      <c r="N2234" s="241"/>
      <c r="O2234" s="241"/>
      <c r="P2234" s="241"/>
      <c r="Q2234" s="241"/>
    </row>
    <row r="2235" spans="1:17" ht="13.5" customHeight="1" x14ac:dyDescent="0.3">
      <c r="A2235"/>
      <c r="B2235" s="241"/>
      <c r="C2235" s="241"/>
      <c r="D2235" s="241"/>
      <c r="E2235" s="241"/>
      <c r="F2235" s="241"/>
      <c r="G2235" s="241"/>
      <c r="H2235" s="241"/>
      <c r="I2235"/>
      <c r="J2235" s="241"/>
      <c r="K2235" s="241"/>
      <c r="L2235" s="241"/>
      <c r="M2235" s="241"/>
      <c r="N2235" s="241"/>
      <c r="O2235" s="241"/>
      <c r="P2235" s="241"/>
      <c r="Q2235" s="241"/>
    </row>
    <row r="2236" spans="1:17" ht="13.5" customHeight="1" x14ac:dyDescent="0.3">
      <c r="A2236"/>
      <c r="B2236" s="241"/>
      <c r="C2236" s="241"/>
      <c r="D2236" s="241"/>
      <c r="E2236" s="241"/>
      <c r="F2236" s="241"/>
      <c r="G2236" s="241"/>
      <c r="H2236" s="241"/>
      <c r="I2236"/>
      <c r="J2236" s="241"/>
      <c r="K2236" s="241"/>
      <c r="L2236" s="241"/>
      <c r="M2236" s="241"/>
      <c r="N2236" s="241"/>
      <c r="O2236" s="241"/>
      <c r="P2236" s="241"/>
      <c r="Q2236" s="241"/>
    </row>
    <row r="2237" spans="1:17" ht="13.5" customHeight="1" x14ac:dyDescent="0.3">
      <c r="A2237"/>
      <c r="B2237" s="241"/>
      <c r="C2237" s="241"/>
      <c r="D2237" s="241"/>
      <c r="E2237" s="241"/>
      <c r="F2237" s="241"/>
      <c r="G2237" s="241"/>
      <c r="H2237" s="241"/>
      <c r="I2237"/>
      <c r="J2237" s="241"/>
      <c r="K2237" s="241"/>
      <c r="L2237" s="241"/>
      <c r="M2237" s="241"/>
      <c r="N2237" s="241"/>
      <c r="O2237" s="241"/>
      <c r="P2237" s="241"/>
      <c r="Q2237" s="241"/>
    </row>
    <row r="2238" spans="1:17" ht="13.5" customHeight="1" x14ac:dyDescent="0.3">
      <c r="A2238"/>
      <c r="B2238" s="241"/>
      <c r="C2238" s="241"/>
      <c r="D2238" s="241"/>
      <c r="E2238" s="241"/>
      <c r="F2238" s="241"/>
      <c r="G2238" s="241"/>
      <c r="H2238" s="241"/>
      <c r="I2238"/>
      <c r="J2238" s="241"/>
      <c r="K2238" s="241"/>
      <c r="L2238" s="241"/>
      <c r="M2238" s="241"/>
      <c r="N2238" s="241"/>
      <c r="O2238" s="241"/>
      <c r="P2238" s="241"/>
      <c r="Q2238" s="241"/>
    </row>
    <row r="2239" spans="1:17" ht="13.5" customHeight="1" x14ac:dyDescent="0.3">
      <c r="A2239"/>
      <c r="B2239" s="241"/>
      <c r="C2239" s="241"/>
      <c r="D2239" s="241"/>
      <c r="E2239" s="241"/>
      <c r="F2239" s="241"/>
      <c r="G2239" s="241"/>
      <c r="H2239" s="241"/>
      <c r="I2239"/>
      <c r="J2239" s="241"/>
      <c r="K2239" s="241"/>
      <c r="L2239" s="241"/>
      <c r="M2239" s="241"/>
      <c r="N2239" s="241"/>
      <c r="O2239" s="241"/>
      <c r="P2239" s="241"/>
      <c r="Q2239" s="241"/>
    </row>
    <row r="2240" spans="1:17" ht="13.5" customHeight="1" x14ac:dyDescent="0.3">
      <c r="A2240"/>
      <c r="B2240" s="241"/>
      <c r="C2240" s="241"/>
      <c r="D2240" s="241"/>
      <c r="E2240" s="241"/>
      <c r="F2240" s="241"/>
      <c r="G2240" s="241"/>
      <c r="H2240" s="241"/>
      <c r="I2240"/>
      <c r="J2240" s="241"/>
      <c r="K2240" s="241"/>
      <c r="L2240" s="241"/>
      <c r="M2240" s="241"/>
      <c r="N2240" s="241"/>
      <c r="O2240" s="241"/>
      <c r="P2240" s="241"/>
      <c r="Q2240" s="241"/>
    </row>
    <row r="2241" spans="1:17" ht="13.5" customHeight="1" x14ac:dyDescent="0.3">
      <c r="A2241"/>
      <c r="B2241" s="241"/>
      <c r="C2241" s="241"/>
      <c r="D2241" s="241"/>
      <c r="E2241" s="241"/>
      <c r="F2241" s="241"/>
      <c r="G2241" s="241"/>
      <c r="H2241" s="241"/>
      <c r="I2241"/>
      <c r="J2241" s="241"/>
      <c r="K2241" s="241"/>
      <c r="L2241" s="241"/>
      <c r="M2241" s="241"/>
      <c r="N2241" s="241"/>
      <c r="O2241" s="241"/>
      <c r="P2241" s="241"/>
      <c r="Q2241" s="241"/>
    </row>
    <row r="2242" spans="1:17" ht="13.5" customHeight="1" x14ac:dyDescent="0.3">
      <c r="A2242"/>
      <c r="B2242" s="241"/>
      <c r="C2242" s="241"/>
      <c r="D2242" s="241"/>
      <c r="E2242" s="241"/>
      <c r="F2242" s="241"/>
      <c r="G2242" s="241"/>
      <c r="H2242" s="241"/>
      <c r="I2242"/>
      <c r="J2242" s="241"/>
      <c r="K2242" s="241"/>
      <c r="L2242" s="241"/>
      <c r="M2242" s="241"/>
      <c r="N2242" s="241"/>
      <c r="O2242" s="241"/>
      <c r="P2242" s="241"/>
      <c r="Q2242" s="241"/>
    </row>
    <row r="2243" spans="1:17" ht="13.5" customHeight="1" x14ac:dyDescent="0.3">
      <c r="A2243"/>
      <c r="B2243" s="241"/>
      <c r="C2243" s="241"/>
      <c r="D2243" s="241"/>
      <c r="E2243" s="241"/>
      <c r="F2243" s="241"/>
      <c r="G2243" s="241"/>
      <c r="H2243" s="241"/>
      <c r="I2243"/>
      <c r="J2243" s="241"/>
      <c r="K2243" s="241"/>
      <c r="L2243" s="241"/>
      <c r="M2243" s="241"/>
      <c r="N2243" s="241"/>
      <c r="O2243" s="241"/>
      <c r="P2243" s="241"/>
      <c r="Q2243" s="241"/>
    </row>
    <row r="2244" spans="1:17" ht="13.5" customHeight="1" x14ac:dyDescent="0.3">
      <c r="A2244"/>
      <c r="B2244" s="241"/>
      <c r="C2244" s="241"/>
      <c r="D2244" s="241"/>
      <c r="E2244" s="241"/>
      <c r="F2244" s="241"/>
      <c r="G2244" s="241"/>
      <c r="H2244" s="241"/>
      <c r="I2244"/>
      <c r="J2244" s="241"/>
      <c r="K2244" s="241"/>
      <c r="L2244" s="241"/>
      <c r="M2244" s="241"/>
      <c r="N2244" s="241"/>
      <c r="O2244" s="241"/>
      <c r="P2244" s="241"/>
      <c r="Q2244" s="241"/>
    </row>
    <row r="2245" spans="1:17" ht="13.5" customHeight="1" x14ac:dyDescent="0.3">
      <c r="A2245"/>
      <c r="B2245" s="241"/>
      <c r="C2245" s="241"/>
      <c r="D2245" s="241"/>
      <c r="E2245" s="241"/>
      <c r="F2245" s="241"/>
      <c r="G2245" s="241"/>
      <c r="H2245" s="241"/>
      <c r="I2245"/>
      <c r="J2245" s="241"/>
      <c r="K2245" s="241"/>
      <c r="L2245" s="241"/>
      <c r="M2245" s="241"/>
      <c r="N2245" s="241"/>
      <c r="O2245" s="241"/>
      <c r="P2245" s="241"/>
      <c r="Q2245" s="241"/>
    </row>
    <row r="2246" spans="1:17" ht="13.5" customHeight="1" x14ac:dyDescent="0.3">
      <c r="A2246"/>
      <c r="B2246" s="241"/>
      <c r="C2246" s="241"/>
      <c r="D2246" s="241"/>
      <c r="E2246" s="241"/>
      <c r="F2246" s="241"/>
      <c r="G2246" s="241"/>
      <c r="H2246" s="241"/>
      <c r="I2246"/>
      <c r="J2246" s="241"/>
      <c r="K2246" s="241"/>
      <c r="L2246" s="241"/>
      <c r="M2246" s="241"/>
      <c r="N2246" s="241"/>
      <c r="O2246" s="241"/>
      <c r="P2246" s="241"/>
      <c r="Q2246" s="241"/>
    </row>
    <row r="2247" spans="1:17" ht="13.5" customHeight="1" x14ac:dyDescent="0.3">
      <c r="A2247"/>
      <c r="B2247" s="241"/>
      <c r="C2247" s="241"/>
      <c r="D2247" s="241"/>
      <c r="E2247" s="241"/>
      <c r="F2247" s="241"/>
      <c r="G2247" s="241"/>
      <c r="H2247" s="241"/>
      <c r="I2247"/>
      <c r="J2247" s="241"/>
      <c r="K2247" s="241"/>
      <c r="L2247" s="241"/>
      <c r="M2247" s="241"/>
      <c r="N2247" s="241"/>
      <c r="O2247" s="241"/>
      <c r="P2247" s="241"/>
      <c r="Q2247" s="241"/>
    </row>
    <row r="2248" spans="1:17" ht="13.5" customHeight="1" x14ac:dyDescent="0.3">
      <c r="A2248"/>
      <c r="B2248" s="241"/>
      <c r="C2248" s="241"/>
      <c r="D2248" s="241"/>
      <c r="E2248" s="241"/>
      <c r="F2248" s="241"/>
      <c r="G2248" s="241"/>
      <c r="H2248" s="241"/>
      <c r="I2248"/>
      <c r="J2248" s="241"/>
      <c r="K2248" s="241"/>
      <c r="L2248" s="241"/>
      <c r="M2248" s="241"/>
      <c r="N2248" s="241"/>
      <c r="O2248" s="241"/>
      <c r="P2248" s="241"/>
      <c r="Q2248" s="241"/>
    </row>
    <row r="2249" spans="1:17" ht="13.5" customHeight="1" x14ac:dyDescent="0.3">
      <c r="A2249"/>
      <c r="B2249" s="241"/>
      <c r="C2249" s="241"/>
      <c r="D2249" s="241"/>
      <c r="E2249" s="241"/>
      <c r="F2249" s="241"/>
      <c r="G2249" s="241"/>
      <c r="H2249" s="241"/>
      <c r="I2249"/>
      <c r="J2249" s="241"/>
      <c r="K2249" s="241"/>
      <c r="L2249" s="241"/>
      <c r="M2249" s="241"/>
      <c r="N2249" s="241"/>
      <c r="O2249" s="241"/>
      <c r="P2249" s="241"/>
      <c r="Q2249" s="241"/>
    </row>
    <row r="2250" spans="1:17" ht="13.5" customHeight="1" x14ac:dyDescent="0.3">
      <c r="A2250"/>
      <c r="B2250" s="241"/>
      <c r="C2250" s="241"/>
      <c r="D2250" s="241"/>
      <c r="E2250" s="241"/>
      <c r="F2250" s="241"/>
      <c r="G2250" s="241"/>
      <c r="H2250" s="241"/>
      <c r="I2250"/>
      <c r="J2250" s="241"/>
      <c r="K2250" s="241"/>
      <c r="L2250" s="241"/>
      <c r="M2250" s="241"/>
      <c r="N2250" s="241"/>
      <c r="O2250" s="241"/>
      <c r="P2250" s="241"/>
      <c r="Q2250" s="241"/>
    </row>
    <row r="2251" spans="1:17" ht="13.5" customHeight="1" x14ac:dyDescent="0.3">
      <c r="A2251"/>
      <c r="B2251" s="241"/>
      <c r="C2251" s="241"/>
      <c r="D2251" s="241"/>
      <c r="E2251" s="241"/>
      <c r="F2251" s="241"/>
      <c r="G2251" s="241"/>
      <c r="H2251" s="241"/>
      <c r="I2251"/>
      <c r="J2251" s="241"/>
      <c r="K2251" s="241"/>
      <c r="L2251" s="241"/>
      <c r="M2251" s="241"/>
      <c r="N2251" s="241"/>
      <c r="O2251" s="241"/>
      <c r="P2251" s="241"/>
      <c r="Q2251" s="241"/>
    </row>
    <row r="2252" spans="1:17" ht="13.5" customHeight="1" x14ac:dyDescent="0.3">
      <c r="A2252"/>
      <c r="B2252" s="241"/>
      <c r="C2252" s="241"/>
      <c r="D2252" s="241"/>
      <c r="E2252" s="241"/>
      <c r="F2252" s="241"/>
      <c r="G2252" s="241"/>
      <c r="H2252" s="241"/>
      <c r="I2252"/>
      <c r="J2252" s="241"/>
      <c r="K2252" s="241"/>
      <c r="L2252" s="241"/>
      <c r="M2252" s="241"/>
      <c r="N2252" s="241"/>
      <c r="O2252" s="241"/>
      <c r="P2252" s="241"/>
      <c r="Q2252" s="241"/>
    </row>
    <row r="2253" spans="1:17" ht="13.5" customHeight="1" x14ac:dyDescent="0.3">
      <c r="A2253"/>
      <c r="B2253" s="241"/>
      <c r="C2253" s="241"/>
      <c r="D2253" s="241"/>
      <c r="E2253" s="241"/>
      <c r="F2253" s="241"/>
      <c r="G2253" s="241"/>
      <c r="H2253" s="241"/>
      <c r="I2253"/>
      <c r="J2253" s="241"/>
      <c r="K2253" s="241"/>
      <c r="L2253" s="241"/>
      <c r="M2253" s="241"/>
      <c r="N2253" s="241"/>
      <c r="O2253" s="241"/>
      <c r="P2253" s="241"/>
      <c r="Q2253" s="241"/>
    </row>
    <row r="2254" spans="1:17" ht="13.5" customHeight="1" x14ac:dyDescent="0.3">
      <c r="A2254"/>
      <c r="B2254" s="241"/>
      <c r="C2254" s="241"/>
      <c r="D2254" s="241"/>
      <c r="E2254" s="241"/>
      <c r="F2254" s="241"/>
      <c r="G2254" s="241"/>
      <c r="H2254" s="241"/>
      <c r="I2254"/>
      <c r="J2254" s="241"/>
      <c r="K2254" s="241"/>
      <c r="L2254" s="241"/>
      <c r="M2254" s="241"/>
      <c r="N2254" s="241"/>
      <c r="O2254" s="241"/>
      <c r="P2254" s="241"/>
      <c r="Q2254" s="241"/>
    </row>
    <row r="2255" spans="1:17" ht="13.5" customHeight="1" x14ac:dyDescent="0.3">
      <c r="A2255"/>
      <c r="B2255" s="241"/>
      <c r="C2255" s="241"/>
      <c r="D2255" s="241"/>
      <c r="E2255" s="241"/>
      <c r="F2255" s="241"/>
      <c r="G2255" s="241"/>
      <c r="H2255" s="241"/>
      <c r="I2255"/>
      <c r="J2255" s="241"/>
      <c r="K2255" s="241"/>
      <c r="L2255" s="241"/>
      <c r="M2255" s="241"/>
      <c r="N2255" s="241"/>
      <c r="O2255" s="241"/>
      <c r="P2255" s="241"/>
      <c r="Q2255" s="241"/>
    </row>
    <row r="2256" spans="1:17" ht="13.5" customHeight="1" x14ac:dyDescent="0.3">
      <c r="A2256"/>
      <c r="B2256" s="241"/>
      <c r="C2256" s="241"/>
      <c r="D2256" s="241"/>
      <c r="E2256" s="241"/>
      <c r="F2256" s="241"/>
      <c r="G2256" s="241"/>
      <c r="H2256" s="241"/>
      <c r="I2256"/>
      <c r="J2256" s="241"/>
      <c r="K2256" s="241"/>
      <c r="L2256" s="241"/>
      <c r="M2256" s="241"/>
      <c r="N2256" s="241"/>
      <c r="O2256" s="241"/>
      <c r="P2256" s="241"/>
      <c r="Q2256" s="241"/>
    </row>
    <row r="2257" spans="1:17" ht="13.5" customHeight="1" x14ac:dyDescent="0.3">
      <c r="A2257"/>
      <c r="B2257" s="241"/>
      <c r="C2257" s="241"/>
      <c r="D2257" s="241"/>
      <c r="E2257" s="241"/>
      <c r="F2257" s="241"/>
      <c r="G2257" s="241"/>
      <c r="H2257" s="241"/>
      <c r="I2257"/>
      <c r="J2257" s="241"/>
      <c r="K2257" s="241"/>
      <c r="L2257" s="241"/>
      <c r="M2257" s="241"/>
      <c r="N2257" s="241"/>
      <c r="O2257" s="241"/>
      <c r="P2257" s="241"/>
      <c r="Q2257" s="241"/>
    </row>
    <row r="2258" spans="1:17" ht="13.5" customHeight="1" x14ac:dyDescent="0.3">
      <c r="A2258"/>
      <c r="B2258" s="241"/>
      <c r="C2258" s="241"/>
      <c r="D2258" s="241"/>
      <c r="E2258" s="241"/>
      <c r="F2258" s="241"/>
      <c r="G2258" s="241"/>
      <c r="H2258" s="241"/>
      <c r="I2258"/>
      <c r="J2258" s="241"/>
      <c r="K2258" s="241"/>
      <c r="L2258" s="241"/>
      <c r="M2258" s="241"/>
      <c r="N2258" s="241"/>
      <c r="O2258" s="241"/>
      <c r="P2258" s="241"/>
      <c r="Q2258" s="241"/>
    </row>
    <row r="2259" spans="1:17" ht="13.5" customHeight="1" x14ac:dyDescent="0.3">
      <c r="A2259"/>
      <c r="B2259" s="241"/>
      <c r="C2259" s="241"/>
      <c r="D2259" s="241"/>
      <c r="E2259" s="241"/>
      <c r="F2259" s="241"/>
      <c r="G2259" s="241"/>
      <c r="H2259" s="241"/>
      <c r="I2259"/>
      <c r="J2259" s="241"/>
      <c r="K2259" s="241"/>
      <c r="L2259" s="241"/>
      <c r="M2259" s="241"/>
      <c r="N2259" s="241"/>
      <c r="O2259" s="241"/>
      <c r="P2259" s="241"/>
      <c r="Q2259" s="241"/>
    </row>
    <row r="2260" spans="1:17" ht="13.5" customHeight="1" x14ac:dyDescent="0.3">
      <c r="A2260"/>
      <c r="B2260" s="241"/>
      <c r="C2260" s="241"/>
      <c r="D2260" s="241"/>
      <c r="E2260" s="241"/>
      <c r="F2260" s="241"/>
      <c r="G2260" s="241"/>
      <c r="H2260" s="241"/>
      <c r="I2260"/>
      <c r="J2260" s="241"/>
      <c r="K2260" s="241"/>
      <c r="L2260" s="241"/>
      <c r="M2260" s="241"/>
      <c r="N2260" s="241"/>
      <c r="O2260" s="241"/>
      <c r="P2260" s="241"/>
      <c r="Q2260" s="241"/>
    </row>
    <row r="2261" spans="1:17" ht="13.5" customHeight="1" x14ac:dyDescent="0.3">
      <c r="A2261"/>
      <c r="B2261" s="241"/>
      <c r="C2261" s="241"/>
      <c r="D2261" s="241"/>
      <c r="E2261" s="241"/>
      <c r="F2261" s="241"/>
      <c r="G2261" s="241"/>
      <c r="H2261" s="241"/>
      <c r="I2261"/>
      <c r="J2261" s="241"/>
      <c r="K2261" s="241"/>
      <c r="L2261" s="241"/>
      <c r="M2261" s="241"/>
      <c r="N2261" s="241"/>
      <c r="O2261" s="241"/>
      <c r="P2261" s="241"/>
      <c r="Q2261" s="241"/>
    </row>
    <row r="2262" spans="1:17" ht="13.5" customHeight="1" x14ac:dyDescent="0.3">
      <c r="A2262"/>
      <c r="B2262" s="241"/>
      <c r="C2262" s="241"/>
      <c r="D2262" s="241"/>
      <c r="E2262" s="241"/>
      <c r="F2262" s="241"/>
      <c r="G2262" s="241"/>
      <c r="H2262" s="241"/>
      <c r="I2262"/>
      <c r="J2262" s="241"/>
      <c r="K2262" s="241"/>
      <c r="L2262" s="241"/>
      <c r="M2262" s="241"/>
      <c r="N2262" s="241"/>
      <c r="O2262" s="241"/>
      <c r="P2262" s="241"/>
      <c r="Q2262" s="241"/>
    </row>
    <row r="2263" spans="1:17" ht="13.5" customHeight="1" x14ac:dyDescent="0.3">
      <c r="A2263"/>
      <c r="B2263" s="241"/>
      <c r="C2263" s="241"/>
      <c r="D2263" s="241"/>
      <c r="E2263" s="241"/>
      <c r="F2263" s="241"/>
      <c r="G2263" s="241"/>
      <c r="H2263" s="241"/>
      <c r="I2263"/>
      <c r="J2263" s="241"/>
      <c r="K2263" s="241"/>
      <c r="L2263" s="241"/>
      <c r="M2263" s="241"/>
      <c r="N2263" s="241"/>
      <c r="O2263" s="241"/>
      <c r="P2263" s="241"/>
      <c r="Q2263" s="241"/>
    </row>
    <row r="2264" spans="1:17" ht="13.5" customHeight="1" x14ac:dyDescent="0.3">
      <c r="A2264"/>
      <c r="B2264" s="241"/>
      <c r="C2264" s="241"/>
      <c r="D2264" s="241"/>
      <c r="E2264" s="241"/>
      <c r="F2264" s="241"/>
      <c r="G2264" s="241"/>
      <c r="H2264" s="241"/>
      <c r="I2264"/>
      <c r="J2264" s="241"/>
      <c r="K2264" s="241"/>
      <c r="L2264" s="241"/>
      <c r="M2264" s="241"/>
      <c r="N2264" s="241"/>
      <c r="O2264" s="241"/>
      <c r="P2264" s="241"/>
      <c r="Q2264" s="241"/>
    </row>
    <row r="2265" spans="1:17" ht="13.5" customHeight="1" x14ac:dyDescent="0.3">
      <c r="A2265"/>
      <c r="B2265" s="241"/>
      <c r="C2265" s="241"/>
      <c r="D2265" s="241"/>
      <c r="E2265" s="241"/>
      <c r="F2265" s="241"/>
      <c r="G2265" s="241"/>
      <c r="H2265" s="241"/>
      <c r="I2265"/>
      <c r="J2265" s="241"/>
      <c r="K2265" s="241"/>
      <c r="L2265" s="241"/>
      <c r="M2265" s="241"/>
      <c r="N2265" s="241"/>
      <c r="O2265" s="241"/>
      <c r="P2265" s="241"/>
      <c r="Q2265" s="241"/>
    </row>
    <row r="2266" spans="1:17" ht="13.5" customHeight="1" x14ac:dyDescent="0.3">
      <c r="A2266"/>
      <c r="B2266" s="241"/>
      <c r="C2266" s="241"/>
      <c r="D2266" s="241"/>
      <c r="E2266" s="241"/>
      <c r="F2266" s="241"/>
      <c r="G2266" s="241"/>
      <c r="H2266" s="241"/>
      <c r="I2266"/>
      <c r="J2266" s="241"/>
      <c r="K2266" s="241"/>
      <c r="L2266" s="241"/>
      <c r="M2266" s="241"/>
      <c r="N2266" s="241"/>
      <c r="O2266" s="241"/>
      <c r="P2266" s="241"/>
      <c r="Q2266" s="241"/>
    </row>
    <row r="2267" spans="1:17" ht="13.5" customHeight="1" x14ac:dyDescent="0.3">
      <c r="A2267"/>
      <c r="B2267" s="241"/>
      <c r="C2267" s="241"/>
      <c r="D2267" s="241"/>
      <c r="E2267" s="241"/>
      <c r="F2267" s="241"/>
      <c r="G2267" s="241"/>
      <c r="H2267" s="241"/>
      <c r="I2267"/>
      <c r="J2267" s="241"/>
      <c r="K2267" s="241"/>
      <c r="L2267" s="241"/>
      <c r="M2267" s="241"/>
      <c r="N2267" s="241"/>
      <c r="O2267" s="241"/>
      <c r="P2267" s="241"/>
      <c r="Q2267" s="241"/>
    </row>
    <row r="2268" spans="1:17" ht="13.5" customHeight="1" x14ac:dyDescent="0.3">
      <c r="A2268"/>
      <c r="B2268" s="241"/>
      <c r="C2268" s="241"/>
      <c r="D2268" s="241"/>
      <c r="E2268" s="241"/>
      <c r="F2268" s="241"/>
      <c r="G2268" s="241"/>
      <c r="H2268" s="241"/>
      <c r="I2268"/>
      <c r="J2268" s="241"/>
      <c r="K2268" s="241"/>
      <c r="L2268" s="241"/>
      <c r="M2268" s="241"/>
      <c r="N2268" s="241"/>
      <c r="O2268" s="241"/>
      <c r="P2268" s="241"/>
      <c r="Q2268" s="241"/>
    </row>
    <row r="2269" spans="1:17" ht="13.5" customHeight="1" x14ac:dyDescent="0.3">
      <c r="A2269"/>
      <c r="B2269" s="241"/>
      <c r="C2269" s="241"/>
      <c r="D2269" s="241"/>
      <c r="E2269" s="241"/>
      <c r="F2269" s="241"/>
      <c r="G2269" s="241"/>
      <c r="H2269" s="241"/>
      <c r="I2269"/>
      <c r="J2269" s="241"/>
      <c r="K2269" s="241"/>
      <c r="L2269" s="241"/>
      <c r="M2269" s="241"/>
      <c r="N2269" s="241"/>
      <c r="O2269" s="241"/>
      <c r="P2269" s="241"/>
      <c r="Q2269" s="241"/>
    </row>
    <row r="2270" spans="1:17" ht="13.5" customHeight="1" x14ac:dyDescent="0.3">
      <c r="A2270"/>
      <c r="B2270" s="241"/>
      <c r="C2270" s="241"/>
      <c r="D2270" s="241"/>
      <c r="E2270" s="241"/>
      <c r="F2270" s="241"/>
      <c r="G2270" s="241"/>
      <c r="H2270" s="241"/>
      <c r="I2270"/>
      <c r="J2270" s="241"/>
      <c r="K2270" s="241"/>
      <c r="L2270" s="241"/>
      <c r="M2270" s="241"/>
      <c r="N2270" s="241"/>
      <c r="O2270" s="241"/>
      <c r="P2270" s="241"/>
      <c r="Q2270" s="241"/>
    </row>
    <row r="2271" spans="1:17" ht="13.5" customHeight="1" x14ac:dyDescent="0.3">
      <c r="A2271"/>
      <c r="B2271" s="241"/>
      <c r="C2271" s="241"/>
      <c r="D2271" s="241"/>
      <c r="E2271" s="241"/>
      <c r="F2271" s="241"/>
      <c r="G2271" s="241"/>
      <c r="H2271" s="241"/>
      <c r="I2271"/>
      <c r="J2271" s="241"/>
      <c r="K2271" s="241"/>
      <c r="L2271" s="241"/>
      <c r="M2271" s="241"/>
      <c r="N2271" s="241"/>
      <c r="O2271" s="241"/>
      <c r="P2271" s="241"/>
      <c r="Q2271" s="241"/>
    </row>
    <row r="2272" spans="1:17" ht="13.5" customHeight="1" x14ac:dyDescent="0.3">
      <c r="A2272"/>
      <c r="B2272" s="241"/>
      <c r="C2272" s="241"/>
      <c r="D2272" s="241"/>
      <c r="E2272" s="241"/>
      <c r="F2272" s="241"/>
      <c r="G2272" s="241"/>
      <c r="H2272" s="241"/>
      <c r="I2272"/>
      <c r="J2272" s="241"/>
      <c r="K2272" s="241"/>
      <c r="L2272" s="241"/>
      <c r="M2272" s="241"/>
      <c r="N2272" s="241"/>
      <c r="O2272" s="241"/>
      <c r="P2272" s="241"/>
      <c r="Q2272" s="241"/>
    </row>
    <row r="2273" spans="1:17" ht="13.5" customHeight="1" x14ac:dyDescent="0.3">
      <c r="A2273"/>
      <c r="B2273" s="241"/>
      <c r="C2273" s="241"/>
      <c r="D2273" s="241"/>
      <c r="E2273" s="241"/>
      <c r="F2273" s="241"/>
      <c r="G2273" s="241"/>
      <c r="H2273" s="241"/>
      <c r="I2273"/>
      <c r="J2273" s="241"/>
      <c r="K2273" s="241"/>
      <c r="L2273" s="241"/>
      <c r="M2273" s="241"/>
      <c r="N2273" s="241"/>
      <c r="O2273" s="241"/>
      <c r="P2273" s="241"/>
      <c r="Q2273" s="241"/>
    </row>
    <row r="2274" spans="1:17" ht="13.5" customHeight="1" x14ac:dyDescent="0.3">
      <c r="A2274"/>
      <c r="B2274" s="241"/>
      <c r="C2274" s="241"/>
      <c r="D2274" s="241"/>
      <c r="E2274" s="241"/>
      <c r="F2274" s="241"/>
      <c r="G2274" s="241"/>
      <c r="H2274" s="241"/>
      <c r="I2274"/>
      <c r="J2274" s="241"/>
      <c r="K2274" s="241"/>
      <c r="L2274" s="241"/>
      <c r="M2274" s="241"/>
      <c r="N2274" s="241"/>
      <c r="O2274" s="241"/>
      <c r="P2274" s="241"/>
      <c r="Q2274" s="241"/>
    </row>
    <row r="2275" spans="1:17" ht="13.5" customHeight="1" x14ac:dyDescent="0.3">
      <c r="A2275"/>
      <c r="B2275" s="241"/>
      <c r="C2275" s="241"/>
      <c r="D2275" s="241"/>
      <c r="E2275" s="241"/>
      <c r="F2275" s="241"/>
      <c r="G2275" s="241"/>
      <c r="H2275" s="241"/>
      <c r="I2275"/>
      <c r="J2275" s="241"/>
      <c r="K2275" s="241"/>
      <c r="L2275" s="241"/>
      <c r="M2275" s="241"/>
      <c r="N2275" s="241"/>
      <c r="O2275" s="241"/>
      <c r="P2275" s="241"/>
      <c r="Q2275" s="241"/>
    </row>
    <row r="2276" spans="1:17" ht="13.5" customHeight="1" x14ac:dyDescent="0.3">
      <c r="A2276"/>
      <c r="B2276" s="241"/>
      <c r="C2276" s="241"/>
      <c r="D2276" s="241"/>
      <c r="E2276" s="241"/>
      <c r="F2276" s="241"/>
      <c r="G2276" s="241"/>
      <c r="H2276" s="241"/>
      <c r="I2276"/>
      <c r="J2276" s="241"/>
      <c r="K2276" s="241"/>
      <c r="L2276" s="241"/>
      <c r="M2276" s="241"/>
      <c r="N2276" s="241"/>
      <c r="O2276" s="241"/>
      <c r="P2276" s="241"/>
      <c r="Q2276" s="241"/>
    </row>
    <row r="2277" spans="1:17" ht="13.5" customHeight="1" x14ac:dyDescent="0.3">
      <c r="A2277"/>
      <c r="B2277" s="241"/>
      <c r="C2277" s="241"/>
      <c r="D2277" s="241"/>
      <c r="E2277" s="241"/>
      <c r="F2277" s="241"/>
      <c r="G2277" s="241"/>
      <c r="H2277" s="241"/>
      <c r="I2277"/>
      <c r="J2277" s="241"/>
      <c r="K2277" s="241"/>
      <c r="L2277" s="241"/>
      <c r="M2277" s="241"/>
      <c r="N2277" s="241"/>
      <c r="O2277" s="241"/>
      <c r="P2277" s="241"/>
      <c r="Q2277" s="241"/>
    </row>
    <row r="2278" spans="1:17" ht="13.5" customHeight="1" x14ac:dyDescent="0.3">
      <c r="A2278"/>
      <c r="B2278" s="241"/>
      <c r="C2278" s="241"/>
      <c r="D2278" s="241"/>
      <c r="E2278" s="241"/>
      <c r="F2278" s="241"/>
      <c r="G2278" s="241"/>
      <c r="H2278" s="241"/>
      <c r="I2278"/>
      <c r="J2278" s="241"/>
      <c r="K2278" s="241"/>
      <c r="L2278" s="241"/>
      <c r="M2278" s="241"/>
      <c r="N2278" s="241"/>
      <c r="O2278" s="241"/>
      <c r="P2278" s="241"/>
      <c r="Q2278" s="241"/>
    </row>
    <row r="2279" spans="1:17" ht="13.5" customHeight="1" x14ac:dyDescent="0.3">
      <c r="A2279"/>
      <c r="B2279" s="241"/>
      <c r="C2279" s="241"/>
      <c r="D2279" s="241"/>
      <c r="E2279" s="241"/>
      <c r="F2279" s="241"/>
      <c r="G2279" s="241"/>
      <c r="H2279" s="241"/>
      <c r="I2279"/>
      <c r="J2279" s="241"/>
      <c r="K2279" s="241"/>
      <c r="L2279" s="241"/>
      <c r="M2279" s="241"/>
      <c r="N2279" s="241"/>
      <c r="O2279" s="241"/>
      <c r="P2279" s="241"/>
      <c r="Q2279" s="241"/>
    </row>
    <row r="2280" spans="1:17" ht="13.5" customHeight="1" x14ac:dyDescent="0.3">
      <c r="A2280"/>
      <c r="B2280" s="241"/>
      <c r="C2280" s="241"/>
      <c r="D2280" s="241"/>
      <c r="E2280" s="241"/>
      <c r="F2280" s="241"/>
      <c r="G2280" s="241"/>
      <c r="H2280" s="241"/>
      <c r="I2280"/>
      <c r="J2280" s="241"/>
      <c r="K2280" s="241"/>
      <c r="L2280" s="241"/>
      <c r="M2280" s="241"/>
      <c r="N2280" s="241"/>
      <c r="O2280" s="241"/>
      <c r="P2280" s="241"/>
      <c r="Q2280" s="241"/>
    </row>
    <row r="2281" spans="1:17" ht="13.5" customHeight="1" x14ac:dyDescent="0.3">
      <c r="A2281"/>
      <c r="B2281" s="241"/>
      <c r="C2281" s="241"/>
      <c r="D2281" s="241"/>
      <c r="E2281" s="241"/>
      <c r="F2281" s="241"/>
      <c r="G2281" s="241"/>
      <c r="H2281" s="241"/>
      <c r="I2281"/>
      <c r="J2281" s="241"/>
      <c r="K2281" s="241"/>
      <c r="L2281" s="241"/>
      <c r="M2281" s="241"/>
      <c r="N2281" s="241"/>
      <c r="O2281" s="241"/>
      <c r="P2281" s="241"/>
      <c r="Q2281" s="241"/>
    </row>
    <row r="2282" spans="1:17" ht="13.5" customHeight="1" x14ac:dyDescent="0.3">
      <c r="A2282"/>
      <c r="B2282" s="241"/>
      <c r="C2282" s="241"/>
      <c r="D2282" s="241"/>
      <c r="E2282" s="241"/>
      <c r="F2282" s="241"/>
      <c r="G2282" s="241"/>
      <c r="H2282" s="241"/>
      <c r="I2282"/>
      <c r="J2282" s="241"/>
      <c r="K2282" s="241"/>
      <c r="L2282" s="241"/>
      <c r="M2282" s="241"/>
      <c r="N2282" s="241"/>
      <c r="O2282" s="241"/>
      <c r="P2282" s="241"/>
      <c r="Q2282" s="241"/>
    </row>
    <row r="2283" spans="1:17" ht="13.5" customHeight="1" x14ac:dyDescent="0.3">
      <c r="A2283"/>
      <c r="B2283" s="241"/>
      <c r="C2283" s="241"/>
      <c r="D2283" s="241"/>
      <c r="E2283" s="241"/>
      <c r="F2283" s="241"/>
      <c r="G2283" s="241"/>
      <c r="H2283" s="241"/>
      <c r="I2283"/>
      <c r="J2283" s="241"/>
      <c r="K2283" s="241"/>
      <c r="L2283" s="241"/>
      <c r="M2283" s="241"/>
      <c r="N2283" s="241"/>
      <c r="O2283" s="241"/>
      <c r="P2283" s="241"/>
      <c r="Q2283" s="241"/>
    </row>
    <row r="2284" spans="1:17" ht="13.5" customHeight="1" x14ac:dyDescent="0.3">
      <c r="A2284"/>
      <c r="B2284" s="241"/>
      <c r="C2284" s="241"/>
      <c r="D2284" s="241"/>
      <c r="E2284" s="241"/>
      <c r="F2284" s="241"/>
      <c r="G2284" s="241"/>
      <c r="H2284" s="241"/>
      <c r="I2284"/>
      <c r="J2284" s="241"/>
      <c r="K2284" s="241"/>
      <c r="L2284" s="241"/>
      <c r="M2284" s="241"/>
      <c r="N2284" s="241"/>
      <c r="O2284" s="241"/>
      <c r="P2284" s="241"/>
      <c r="Q2284" s="241"/>
    </row>
    <row r="2285" spans="1:17" ht="13.5" customHeight="1" x14ac:dyDescent="0.3">
      <c r="A2285"/>
      <c r="B2285" s="241"/>
      <c r="C2285" s="241"/>
      <c r="D2285" s="241"/>
      <c r="E2285" s="241"/>
      <c r="F2285" s="241"/>
      <c r="G2285" s="241"/>
      <c r="H2285" s="241"/>
      <c r="I2285"/>
      <c r="J2285" s="241"/>
      <c r="K2285" s="241"/>
      <c r="L2285" s="241"/>
      <c r="M2285" s="241"/>
      <c r="N2285" s="241"/>
      <c r="O2285" s="241"/>
      <c r="P2285" s="241"/>
      <c r="Q2285" s="241"/>
    </row>
    <row r="2286" spans="1:17" ht="13.5" customHeight="1" x14ac:dyDescent="0.3">
      <c r="A2286"/>
      <c r="B2286" s="241"/>
      <c r="C2286" s="241"/>
      <c r="D2286" s="241"/>
      <c r="E2286" s="241"/>
      <c r="F2286" s="241"/>
      <c r="G2286" s="241"/>
      <c r="H2286" s="241"/>
      <c r="I2286"/>
      <c r="J2286" s="241"/>
      <c r="K2286" s="241"/>
      <c r="L2286" s="241"/>
      <c r="M2286" s="241"/>
      <c r="N2286" s="241"/>
      <c r="O2286" s="241"/>
      <c r="P2286" s="241"/>
      <c r="Q2286" s="241"/>
    </row>
    <row r="2287" spans="1:17" ht="13.5" customHeight="1" x14ac:dyDescent="0.3">
      <c r="A2287"/>
      <c r="B2287" s="241"/>
      <c r="C2287" s="241"/>
      <c r="D2287" s="241"/>
      <c r="E2287" s="241"/>
      <c r="F2287" s="241"/>
      <c r="G2287" s="241"/>
      <c r="H2287" s="241"/>
      <c r="I2287"/>
      <c r="J2287" s="241"/>
      <c r="K2287" s="241"/>
      <c r="L2287" s="241"/>
      <c r="M2287" s="241"/>
      <c r="N2287" s="241"/>
      <c r="O2287" s="241"/>
      <c r="P2287" s="241"/>
      <c r="Q2287" s="241"/>
    </row>
    <row r="2288" spans="1:17" ht="13.5" customHeight="1" x14ac:dyDescent="0.3">
      <c r="A2288"/>
      <c r="B2288" s="241"/>
      <c r="C2288" s="241"/>
      <c r="D2288" s="241"/>
      <c r="E2288" s="241"/>
      <c r="F2288" s="241"/>
      <c r="G2288" s="241"/>
      <c r="H2288" s="241"/>
      <c r="I2288"/>
      <c r="J2288" s="241"/>
      <c r="K2288" s="241"/>
      <c r="L2288" s="241"/>
      <c r="M2288" s="241"/>
      <c r="N2288" s="241"/>
      <c r="O2288" s="241"/>
      <c r="P2288" s="241"/>
      <c r="Q2288" s="241"/>
    </row>
    <row r="2289" spans="1:17" ht="13.5" customHeight="1" x14ac:dyDescent="0.3">
      <c r="A2289"/>
      <c r="B2289" s="241"/>
      <c r="C2289" s="241"/>
      <c r="D2289" s="241"/>
      <c r="E2289" s="241"/>
      <c r="F2289" s="241"/>
      <c r="G2289" s="241"/>
      <c r="H2289" s="241"/>
      <c r="I2289"/>
      <c r="J2289" s="241"/>
      <c r="K2289" s="241"/>
      <c r="L2289" s="241"/>
      <c r="M2289" s="241"/>
      <c r="N2289" s="241"/>
      <c r="O2289" s="241"/>
      <c r="P2289" s="241"/>
      <c r="Q2289" s="241"/>
    </row>
    <row r="2290" spans="1:17" ht="13.5" customHeight="1" x14ac:dyDescent="0.3">
      <c r="A2290"/>
      <c r="B2290" s="241"/>
      <c r="C2290" s="241"/>
      <c r="D2290" s="241"/>
      <c r="E2290" s="241"/>
      <c r="F2290" s="241"/>
      <c r="G2290" s="241"/>
      <c r="H2290" s="241"/>
      <c r="I2290"/>
      <c r="J2290" s="241"/>
      <c r="K2290" s="241"/>
      <c r="L2290" s="241"/>
      <c r="M2290" s="241"/>
      <c r="N2290" s="241"/>
      <c r="O2290" s="241"/>
      <c r="P2290" s="241"/>
      <c r="Q2290" s="241"/>
    </row>
    <row r="2291" spans="1:17" ht="13.5" customHeight="1" x14ac:dyDescent="0.3">
      <c r="A2291"/>
      <c r="B2291" s="241"/>
      <c r="C2291" s="241"/>
      <c r="D2291" s="241"/>
      <c r="E2291" s="241"/>
      <c r="F2291" s="241"/>
      <c r="G2291" s="241"/>
      <c r="H2291" s="241"/>
      <c r="I2291"/>
      <c r="J2291" s="241"/>
      <c r="K2291" s="241"/>
      <c r="L2291" s="241"/>
      <c r="M2291" s="241"/>
      <c r="N2291" s="241"/>
      <c r="O2291" s="241"/>
      <c r="P2291" s="241"/>
      <c r="Q2291" s="241"/>
    </row>
    <row r="2292" spans="1:17" ht="13.5" customHeight="1" x14ac:dyDescent="0.3">
      <c r="A2292"/>
      <c r="B2292" s="241"/>
      <c r="C2292" s="241"/>
      <c r="D2292" s="241"/>
      <c r="E2292" s="241"/>
      <c r="F2292" s="241"/>
      <c r="G2292" s="241"/>
      <c r="H2292" s="241"/>
      <c r="I2292"/>
      <c r="J2292" s="241"/>
      <c r="K2292" s="241"/>
      <c r="L2292" s="241"/>
      <c r="M2292" s="241"/>
      <c r="N2292" s="241"/>
      <c r="O2292" s="241"/>
      <c r="P2292" s="241"/>
      <c r="Q2292" s="241"/>
    </row>
    <row r="2293" spans="1:17" ht="13.5" customHeight="1" x14ac:dyDescent="0.3">
      <c r="A2293"/>
      <c r="B2293" s="241"/>
      <c r="C2293" s="241"/>
      <c r="D2293" s="241"/>
      <c r="E2293" s="241"/>
      <c r="F2293" s="241"/>
      <c r="G2293" s="241"/>
      <c r="H2293" s="241"/>
      <c r="I2293"/>
      <c r="J2293" s="241"/>
      <c r="K2293" s="241"/>
      <c r="L2293" s="241"/>
      <c r="M2293" s="241"/>
      <c r="N2293" s="241"/>
      <c r="O2293" s="241"/>
      <c r="P2293" s="241"/>
      <c r="Q2293" s="241"/>
    </row>
    <row r="2294" spans="1:17" ht="13.5" customHeight="1" x14ac:dyDescent="0.3">
      <c r="A2294"/>
      <c r="B2294" s="241"/>
      <c r="C2294" s="241"/>
      <c r="D2294" s="241"/>
      <c r="E2294" s="241"/>
      <c r="F2294" s="241"/>
      <c r="G2294" s="241"/>
      <c r="H2294" s="241"/>
      <c r="I2294"/>
      <c r="J2294" s="241"/>
      <c r="K2294" s="241"/>
      <c r="L2294" s="241"/>
      <c r="M2294" s="241"/>
      <c r="N2294" s="241"/>
      <c r="O2294" s="241"/>
      <c r="P2294" s="241"/>
      <c r="Q2294" s="241"/>
    </row>
    <row r="2295" spans="1:17" ht="13.5" customHeight="1" x14ac:dyDescent="0.3">
      <c r="A2295"/>
      <c r="B2295" s="241"/>
      <c r="C2295" s="241"/>
      <c r="D2295" s="241"/>
      <c r="E2295" s="241"/>
      <c r="F2295" s="241"/>
      <c r="G2295" s="241"/>
      <c r="H2295" s="241"/>
      <c r="I2295"/>
      <c r="J2295" s="241"/>
      <c r="K2295" s="241"/>
      <c r="L2295" s="241"/>
      <c r="M2295" s="241"/>
      <c r="N2295" s="241"/>
      <c r="O2295" s="241"/>
      <c r="P2295" s="241"/>
      <c r="Q2295" s="241"/>
    </row>
    <row r="2296" spans="1:17" ht="13.5" customHeight="1" x14ac:dyDescent="0.3">
      <c r="A2296"/>
      <c r="B2296" s="241"/>
      <c r="C2296" s="241"/>
      <c r="D2296" s="241"/>
      <c r="E2296" s="241"/>
      <c r="F2296" s="241"/>
      <c r="G2296" s="241"/>
      <c r="H2296" s="241"/>
      <c r="I2296"/>
      <c r="J2296" s="241"/>
      <c r="K2296" s="241"/>
      <c r="L2296" s="241"/>
      <c r="M2296" s="241"/>
      <c r="N2296" s="241"/>
      <c r="O2296" s="241"/>
      <c r="P2296" s="241"/>
      <c r="Q2296" s="241"/>
    </row>
    <row r="2297" spans="1:17" ht="13.5" customHeight="1" x14ac:dyDescent="0.3">
      <c r="A2297"/>
      <c r="B2297" s="241"/>
      <c r="C2297" s="241"/>
      <c r="D2297" s="241"/>
      <c r="E2297" s="241"/>
      <c r="F2297" s="241"/>
      <c r="G2297" s="241"/>
      <c r="H2297" s="241"/>
      <c r="I2297"/>
      <c r="J2297" s="241"/>
      <c r="K2297" s="241"/>
      <c r="L2297" s="241"/>
      <c r="M2297" s="241"/>
      <c r="N2297" s="241"/>
      <c r="O2297" s="241"/>
      <c r="P2297" s="241"/>
      <c r="Q2297" s="241"/>
    </row>
    <row r="2298" spans="1:17" ht="13.5" customHeight="1" x14ac:dyDescent="0.3">
      <c r="A2298"/>
      <c r="B2298" s="241"/>
      <c r="C2298" s="241"/>
      <c r="D2298" s="241"/>
      <c r="E2298" s="241"/>
      <c r="F2298" s="241"/>
      <c r="G2298" s="241"/>
      <c r="H2298" s="241"/>
      <c r="I2298"/>
      <c r="J2298" s="241"/>
      <c r="K2298" s="241"/>
      <c r="L2298" s="241"/>
      <c r="M2298" s="241"/>
      <c r="N2298" s="241"/>
      <c r="O2298" s="241"/>
      <c r="P2298" s="241"/>
      <c r="Q2298" s="241"/>
    </row>
    <row r="2299" spans="1:17" ht="13.5" customHeight="1" x14ac:dyDescent="0.3">
      <c r="A2299"/>
      <c r="B2299" s="241"/>
      <c r="C2299" s="241"/>
      <c r="D2299" s="241"/>
      <c r="E2299" s="241"/>
      <c r="F2299" s="241"/>
      <c r="G2299" s="241"/>
      <c r="H2299" s="241"/>
      <c r="I2299"/>
      <c r="J2299" s="241"/>
      <c r="K2299" s="241"/>
      <c r="L2299" s="241"/>
      <c r="M2299" s="241"/>
      <c r="N2299" s="241"/>
      <c r="O2299" s="241"/>
      <c r="P2299" s="241"/>
      <c r="Q2299" s="241"/>
    </row>
    <row r="2300" spans="1:17" ht="13.5" customHeight="1" x14ac:dyDescent="0.3">
      <c r="A2300"/>
      <c r="B2300" s="241"/>
      <c r="C2300" s="241"/>
      <c r="D2300" s="241"/>
      <c r="E2300" s="241"/>
      <c r="F2300" s="241"/>
      <c r="G2300" s="241"/>
      <c r="H2300" s="241"/>
      <c r="I2300"/>
      <c r="J2300" s="241"/>
      <c r="K2300" s="241"/>
      <c r="L2300" s="241"/>
      <c r="M2300" s="241"/>
      <c r="N2300" s="241"/>
      <c r="O2300" s="241"/>
      <c r="P2300" s="241"/>
      <c r="Q2300" s="241"/>
    </row>
    <row r="2301" spans="1:17" ht="13.5" customHeight="1" x14ac:dyDescent="0.3">
      <c r="A2301"/>
      <c r="B2301" s="241"/>
      <c r="C2301" s="241"/>
      <c r="D2301" s="241"/>
      <c r="E2301" s="241"/>
      <c r="F2301" s="241"/>
      <c r="G2301" s="241"/>
      <c r="H2301" s="241"/>
      <c r="I2301"/>
      <c r="J2301" s="241"/>
      <c r="K2301" s="241"/>
      <c r="L2301" s="241"/>
      <c r="M2301" s="241"/>
      <c r="N2301" s="241"/>
      <c r="O2301" s="241"/>
      <c r="P2301" s="241"/>
      <c r="Q2301" s="241"/>
    </row>
    <row r="2302" spans="1:17" ht="13.5" customHeight="1" x14ac:dyDescent="0.3">
      <c r="A2302"/>
      <c r="B2302" s="241"/>
      <c r="C2302" s="241"/>
      <c r="D2302" s="241"/>
      <c r="E2302" s="241"/>
      <c r="F2302" s="241"/>
      <c r="G2302" s="241"/>
      <c r="H2302" s="241"/>
      <c r="I2302"/>
      <c r="J2302" s="241"/>
      <c r="K2302" s="241"/>
      <c r="L2302" s="241"/>
      <c r="M2302" s="241"/>
      <c r="N2302" s="241"/>
      <c r="O2302" s="241"/>
      <c r="P2302" s="241"/>
      <c r="Q2302" s="241"/>
    </row>
    <row r="2303" spans="1:17" ht="13.5" customHeight="1" x14ac:dyDescent="0.3">
      <c r="A2303"/>
      <c r="B2303" s="241"/>
      <c r="C2303" s="241"/>
      <c r="D2303" s="241"/>
      <c r="E2303" s="241"/>
      <c r="F2303" s="241"/>
      <c r="G2303" s="241"/>
      <c r="H2303" s="241"/>
      <c r="I2303"/>
      <c r="J2303" s="241"/>
      <c r="K2303" s="241"/>
      <c r="L2303" s="241"/>
      <c r="M2303" s="241"/>
      <c r="N2303" s="241"/>
      <c r="O2303" s="241"/>
      <c r="P2303" s="241"/>
      <c r="Q2303" s="241"/>
    </row>
    <row r="2304" spans="1:17" ht="13.5" customHeight="1" x14ac:dyDescent="0.3">
      <c r="A2304"/>
      <c r="B2304" s="241"/>
      <c r="C2304" s="241"/>
      <c r="D2304" s="241"/>
      <c r="E2304" s="241"/>
      <c r="F2304" s="241"/>
      <c r="G2304" s="241"/>
      <c r="H2304" s="241"/>
      <c r="I2304"/>
      <c r="J2304" s="241"/>
      <c r="K2304" s="241"/>
      <c r="L2304" s="241"/>
      <c r="M2304" s="241"/>
      <c r="N2304" s="241"/>
      <c r="O2304" s="241"/>
      <c r="P2304" s="241"/>
      <c r="Q2304" s="241"/>
    </row>
    <row r="2305" spans="1:17" ht="13.5" customHeight="1" x14ac:dyDescent="0.3">
      <c r="A2305"/>
      <c r="B2305" s="241"/>
      <c r="C2305" s="241"/>
      <c r="D2305" s="241"/>
      <c r="E2305" s="241"/>
      <c r="F2305" s="241"/>
      <c r="G2305" s="241"/>
      <c r="H2305" s="241"/>
      <c r="I2305"/>
      <c r="J2305" s="241"/>
      <c r="K2305" s="241"/>
      <c r="L2305" s="241"/>
      <c r="M2305" s="241"/>
      <c r="N2305" s="241"/>
      <c r="O2305" s="241"/>
      <c r="P2305" s="241"/>
      <c r="Q2305" s="241"/>
    </row>
    <row r="2306" spans="1:17" ht="13.5" customHeight="1" x14ac:dyDescent="0.3">
      <c r="A2306"/>
      <c r="B2306" s="241"/>
      <c r="C2306" s="241"/>
      <c r="D2306" s="241"/>
      <c r="E2306" s="241"/>
      <c r="F2306" s="241"/>
      <c r="G2306" s="241"/>
      <c r="H2306" s="241"/>
      <c r="I2306"/>
      <c r="J2306" s="241"/>
      <c r="K2306" s="241"/>
      <c r="L2306" s="241"/>
      <c r="M2306" s="241"/>
      <c r="N2306" s="241"/>
      <c r="O2306" s="241"/>
      <c r="P2306" s="241"/>
      <c r="Q2306" s="241"/>
    </row>
    <row r="2307" spans="1:17" ht="13.5" customHeight="1" x14ac:dyDescent="0.3">
      <c r="A2307"/>
      <c r="B2307" s="241"/>
      <c r="C2307" s="241"/>
      <c r="D2307" s="241"/>
      <c r="E2307" s="241"/>
      <c r="F2307" s="241"/>
      <c r="G2307" s="241"/>
      <c r="H2307" s="241"/>
      <c r="I2307"/>
      <c r="J2307" s="241"/>
      <c r="K2307" s="241"/>
      <c r="L2307" s="241"/>
      <c r="M2307" s="241"/>
      <c r="N2307" s="241"/>
      <c r="O2307" s="241"/>
      <c r="P2307" s="241"/>
      <c r="Q2307" s="241"/>
    </row>
    <row r="2308" spans="1:17" ht="13.5" customHeight="1" x14ac:dyDescent="0.3">
      <c r="A2308"/>
      <c r="B2308" s="241"/>
      <c r="C2308" s="241"/>
      <c r="D2308" s="241"/>
      <c r="E2308" s="241"/>
      <c r="F2308" s="241"/>
      <c r="G2308" s="241"/>
      <c r="H2308" s="241"/>
      <c r="I2308"/>
      <c r="J2308" s="241"/>
      <c r="K2308" s="241"/>
      <c r="L2308" s="241"/>
      <c r="M2308" s="241"/>
      <c r="N2308" s="241"/>
      <c r="O2308" s="241"/>
      <c r="P2308" s="241"/>
      <c r="Q2308" s="241"/>
    </row>
    <row r="2309" spans="1:17" ht="13.5" customHeight="1" x14ac:dyDescent="0.3">
      <c r="A2309"/>
      <c r="B2309" s="241"/>
      <c r="C2309" s="241"/>
      <c r="D2309" s="241"/>
      <c r="E2309" s="241"/>
      <c r="F2309" s="241"/>
      <c r="G2309" s="241"/>
      <c r="H2309" s="241"/>
      <c r="I2309"/>
      <c r="J2309" s="241"/>
      <c r="K2309" s="241"/>
      <c r="L2309" s="241"/>
      <c r="M2309" s="241"/>
      <c r="N2309" s="241"/>
      <c r="O2309" s="241"/>
      <c r="P2309" s="241"/>
      <c r="Q2309" s="241"/>
    </row>
    <row r="2310" spans="1:17" ht="13.5" customHeight="1" x14ac:dyDescent="0.3">
      <c r="A2310"/>
      <c r="B2310" s="241"/>
      <c r="C2310" s="241"/>
      <c r="D2310" s="241"/>
      <c r="E2310" s="241"/>
      <c r="F2310" s="241"/>
      <c r="G2310" s="241"/>
      <c r="H2310" s="241"/>
      <c r="I2310"/>
      <c r="J2310" s="241"/>
      <c r="K2310" s="241"/>
      <c r="L2310" s="241"/>
      <c r="M2310" s="241"/>
      <c r="N2310" s="241"/>
      <c r="O2310" s="241"/>
      <c r="P2310" s="241"/>
      <c r="Q2310" s="241"/>
    </row>
    <row r="2311" spans="1:17" ht="13.5" customHeight="1" x14ac:dyDescent="0.3">
      <c r="A2311"/>
      <c r="B2311" s="241"/>
      <c r="C2311" s="241"/>
      <c r="D2311" s="241"/>
      <c r="E2311" s="241"/>
      <c r="F2311" s="241"/>
      <c r="G2311" s="241"/>
      <c r="H2311" s="241"/>
      <c r="I2311"/>
      <c r="J2311" s="241"/>
      <c r="K2311" s="241"/>
      <c r="L2311" s="241"/>
      <c r="M2311" s="241"/>
      <c r="N2311" s="241"/>
      <c r="O2311" s="241"/>
      <c r="P2311" s="241"/>
      <c r="Q2311" s="241"/>
    </row>
    <row r="2312" spans="1:17" ht="13.5" customHeight="1" x14ac:dyDescent="0.3">
      <c r="A2312"/>
      <c r="B2312" s="241"/>
      <c r="C2312" s="241"/>
      <c r="D2312" s="241"/>
      <c r="E2312" s="241"/>
      <c r="F2312" s="241"/>
      <c r="G2312" s="241"/>
      <c r="H2312" s="241"/>
      <c r="I2312"/>
      <c r="J2312" s="241"/>
      <c r="K2312" s="241"/>
      <c r="L2312" s="241"/>
      <c r="M2312" s="241"/>
      <c r="N2312" s="241"/>
      <c r="O2312" s="241"/>
      <c r="P2312" s="241"/>
      <c r="Q2312" s="241"/>
    </row>
    <row r="2313" spans="1:17" ht="13.5" customHeight="1" x14ac:dyDescent="0.3">
      <c r="A2313"/>
      <c r="B2313" s="241"/>
      <c r="C2313" s="241"/>
      <c r="D2313" s="241"/>
      <c r="E2313" s="241"/>
      <c r="F2313" s="241"/>
      <c r="G2313" s="241"/>
      <c r="H2313" s="241"/>
      <c r="I2313"/>
      <c r="J2313" s="241"/>
      <c r="K2313" s="241"/>
      <c r="L2313" s="241"/>
      <c r="M2313" s="241"/>
      <c r="N2313" s="241"/>
      <c r="O2313" s="241"/>
      <c r="P2313" s="241"/>
      <c r="Q2313" s="241"/>
    </row>
    <row r="2314" spans="1:17" ht="13.5" customHeight="1" x14ac:dyDescent="0.3">
      <c r="A2314"/>
      <c r="B2314" s="241"/>
      <c r="C2314" s="241"/>
      <c r="D2314" s="241"/>
      <c r="E2314" s="241"/>
      <c r="F2314" s="241"/>
      <c r="G2314" s="241"/>
      <c r="H2314" s="241"/>
      <c r="I2314"/>
      <c r="J2314" s="241"/>
      <c r="K2314" s="241"/>
      <c r="L2314" s="241"/>
      <c r="M2314" s="241"/>
      <c r="N2314" s="241"/>
      <c r="O2314" s="241"/>
      <c r="P2314" s="241"/>
      <c r="Q2314" s="241"/>
    </row>
    <row r="2315" spans="1:17" ht="13.5" customHeight="1" x14ac:dyDescent="0.3">
      <c r="A2315"/>
      <c r="B2315" s="241"/>
      <c r="C2315" s="241"/>
      <c r="D2315" s="241"/>
      <c r="E2315" s="241"/>
      <c r="F2315" s="241"/>
      <c r="G2315" s="241"/>
      <c r="H2315" s="241"/>
      <c r="I2315"/>
      <c r="J2315" s="241"/>
      <c r="K2315" s="241"/>
      <c r="L2315" s="241"/>
      <c r="M2315" s="241"/>
      <c r="N2315" s="241"/>
      <c r="O2315" s="241"/>
      <c r="P2315" s="241"/>
      <c r="Q2315" s="241"/>
    </row>
    <row r="2316" spans="1:17" ht="13.5" customHeight="1" x14ac:dyDescent="0.3">
      <c r="A2316"/>
      <c r="B2316" s="241"/>
      <c r="C2316" s="241"/>
      <c r="D2316" s="241"/>
      <c r="E2316" s="241"/>
      <c r="F2316" s="241"/>
      <c r="G2316" s="241"/>
      <c r="H2316" s="241"/>
      <c r="I2316"/>
      <c r="J2316" s="241"/>
      <c r="K2316" s="241"/>
      <c r="L2316" s="241"/>
      <c r="M2316" s="241"/>
      <c r="N2316" s="241"/>
      <c r="O2316" s="241"/>
      <c r="P2316" s="241"/>
      <c r="Q2316" s="241"/>
    </row>
    <row r="2317" spans="1:17" ht="13.5" customHeight="1" x14ac:dyDescent="0.3">
      <c r="A2317"/>
      <c r="B2317" s="241"/>
      <c r="C2317" s="241"/>
      <c r="D2317" s="241"/>
      <c r="E2317" s="241"/>
      <c r="F2317" s="241"/>
      <c r="G2317" s="241"/>
      <c r="H2317" s="241"/>
      <c r="I2317"/>
      <c r="J2317" s="241"/>
      <c r="K2317" s="241"/>
      <c r="L2317" s="241"/>
      <c r="M2317" s="241"/>
      <c r="N2317" s="241"/>
      <c r="O2317" s="241"/>
      <c r="P2317" s="241"/>
      <c r="Q2317" s="241"/>
    </row>
    <row r="2318" spans="1:17" ht="13.5" customHeight="1" x14ac:dyDescent="0.3">
      <c r="A2318"/>
      <c r="B2318" s="241"/>
      <c r="C2318" s="241"/>
      <c r="D2318" s="241"/>
      <c r="E2318" s="241"/>
      <c r="F2318" s="241"/>
      <c r="G2318" s="241"/>
      <c r="H2318" s="241"/>
      <c r="I2318"/>
      <c r="J2318" s="241"/>
      <c r="K2318" s="241"/>
      <c r="L2318" s="241"/>
      <c r="M2318" s="241"/>
      <c r="N2318" s="241"/>
      <c r="O2318" s="241"/>
      <c r="P2318" s="241"/>
      <c r="Q2318" s="241"/>
    </row>
    <row r="2319" spans="1:17" ht="13.5" customHeight="1" x14ac:dyDescent="0.3">
      <c r="A2319"/>
      <c r="B2319" s="241"/>
      <c r="C2319" s="241"/>
      <c r="D2319" s="241"/>
      <c r="E2319" s="241"/>
      <c r="F2319" s="241"/>
      <c r="G2319" s="241"/>
      <c r="H2319" s="241"/>
      <c r="I2319"/>
      <c r="J2319" s="241"/>
      <c r="K2319" s="241"/>
      <c r="L2319" s="241"/>
      <c r="M2319" s="241"/>
      <c r="N2319" s="241"/>
      <c r="O2319" s="241"/>
      <c r="P2319" s="241"/>
      <c r="Q2319" s="241"/>
    </row>
    <row r="2320" spans="1:17" ht="13.5" customHeight="1" x14ac:dyDescent="0.3">
      <c r="A2320"/>
      <c r="B2320" s="241"/>
      <c r="C2320" s="241"/>
      <c r="D2320" s="241"/>
      <c r="E2320" s="241"/>
      <c r="F2320" s="241"/>
      <c r="G2320" s="241"/>
      <c r="H2320" s="241"/>
      <c r="I2320"/>
      <c r="J2320" s="241"/>
      <c r="K2320" s="241"/>
      <c r="L2320" s="241"/>
      <c r="M2320" s="241"/>
      <c r="N2320" s="241"/>
      <c r="O2320" s="241"/>
      <c r="P2320" s="241"/>
      <c r="Q2320" s="241"/>
    </row>
    <row r="2321" spans="1:17" ht="13.5" customHeight="1" x14ac:dyDescent="0.3">
      <c r="A2321"/>
      <c r="B2321" s="241"/>
      <c r="C2321" s="241"/>
      <c r="D2321" s="241"/>
      <c r="E2321" s="241"/>
      <c r="F2321" s="241"/>
      <c r="G2321" s="241"/>
      <c r="H2321" s="241"/>
      <c r="I2321"/>
      <c r="J2321" s="241"/>
      <c r="K2321" s="241"/>
      <c r="L2321" s="241"/>
      <c r="M2321" s="241"/>
      <c r="N2321" s="241"/>
      <c r="O2321" s="241"/>
      <c r="P2321" s="241"/>
      <c r="Q2321" s="241"/>
    </row>
    <row r="2322" spans="1:17" ht="13.5" customHeight="1" x14ac:dyDescent="0.3">
      <c r="A2322"/>
      <c r="B2322" s="241"/>
      <c r="C2322" s="241"/>
      <c r="D2322" s="241"/>
      <c r="E2322" s="241"/>
      <c r="F2322" s="241"/>
      <c r="G2322" s="241"/>
      <c r="H2322" s="241"/>
      <c r="I2322"/>
      <c r="J2322" s="241"/>
      <c r="K2322" s="241"/>
      <c r="L2322" s="241"/>
      <c r="M2322" s="241"/>
      <c r="N2322" s="241"/>
      <c r="O2322" s="241"/>
      <c r="P2322" s="241"/>
      <c r="Q2322" s="241"/>
    </row>
    <row r="2323" spans="1:17" ht="13.5" customHeight="1" x14ac:dyDescent="0.3">
      <c r="A2323"/>
      <c r="B2323" s="241"/>
      <c r="C2323" s="241"/>
      <c r="D2323" s="241"/>
      <c r="E2323" s="241"/>
      <c r="F2323" s="241"/>
      <c r="G2323" s="241"/>
      <c r="H2323" s="241"/>
      <c r="I2323"/>
      <c r="J2323" s="241"/>
      <c r="K2323" s="241"/>
      <c r="L2323" s="241"/>
      <c r="M2323" s="241"/>
      <c r="N2323" s="241"/>
      <c r="O2323" s="241"/>
      <c r="P2323" s="241"/>
      <c r="Q2323" s="241"/>
    </row>
    <row r="2324" spans="1:17" ht="13.5" customHeight="1" x14ac:dyDescent="0.3">
      <c r="A2324"/>
      <c r="B2324" s="241"/>
      <c r="C2324" s="241"/>
      <c r="D2324" s="241"/>
      <c r="E2324" s="241"/>
      <c r="F2324" s="241"/>
      <c r="G2324" s="241"/>
      <c r="H2324" s="241"/>
      <c r="I2324"/>
      <c r="J2324" s="241"/>
      <c r="K2324" s="241"/>
      <c r="L2324" s="241"/>
      <c r="M2324" s="241"/>
      <c r="N2324" s="241"/>
      <c r="O2324" s="241"/>
      <c r="P2324" s="241"/>
      <c r="Q2324" s="241"/>
    </row>
    <row r="2325" spans="1:17" ht="13.5" customHeight="1" x14ac:dyDescent="0.3">
      <c r="A2325"/>
      <c r="B2325" s="241"/>
      <c r="C2325" s="241"/>
      <c r="D2325" s="241"/>
      <c r="E2325" s="241"/>
      <c r="F2325" s="241"/>
      <c r="G2325" s="241"/>
      <c r="H2325" s="241"/>
      <c r="I2325"/>
      <c r="J2325" s="241"/>
      <c r="K2325" s="241"/>
      <c r="L2325" s="241"/>
      <c r="M2325" s="241"/>
      <c r="N2325" s="241"/>
      <c r="O2325" s="241"/>
      <c r="P2325" s="241"/>
      <c r="Q2325" s="241"/>
    </row>
    <row r="2326" spans="1:17" ht="13.5" customHeight="1" x14ac:dyDescent="0.3">
      <c r="A2326"/>
      <c r="B2326" s="241"/>
      <c r="C2326" s="241"/>
      <c r="D2326" s="241"/>
      <c r="E2326" s="241"/>
      <c r="F2326" s="241"/>
      <c r="G2326" s="241"/>
      <c r="H2326" s="241"/>
      <c r="I2326"/>
      <c r="J2326" s="241"/>
      <c r="K2326" s="241"/>
      <c r="L2326" s="241"/>
      <c r="M2326" s="241"/>
      <c r="N2326" s="241"/>
      <c r="O2326" s="241"/>
      <c r="P2326" s="241"/>
      <c r="Q2326" s="241"/>
    </row>
    <row r="2327" spans="1:17" ht="13.5" customHeight="1" x14ac:dyDescent="0.3">
      <c r="A2327"/>
      <c r="B2327" s="241"/>
      <c r="C2327" s="241"/>
      <c r="D2327" s="241"/>
      <c r="E2327" s="241"/>
      <c r="F2327" s="241"/>
      <c r="G2327" s="241"/>
      <c r="H2327" s="241"/>
      <c r="I2327"/>
      <c r="J2327" s="241"/>
      <c r="K2327" s="241"/>
      <c r="L2327" s="241"/>
      <c r="M2327" s="241"/>
      <c r="N2327" s="241"/>
      <c r="O2327" s="241"/>
      <c r="P2327" s="241"/>
      <c r="Q2327" s="241"/>
    </row>
    <row r="2328" spans="1:17" ht="13.5" customHeight="1" x14ac:dyDescent="0.3">
      <c r="A2328"/>
      <c r="B2328" s="241"/>
      <c r="C2328" s="241"/>
      <c r="D2328" s="241"/>
      <c r="E2328" s="241"/>
      <c r="F2328" s="241"/>
      <c r="G2328" s="241"/>
      <c r="H2328" s="241"/>
      <c r="I2328"/>
      <c r="J2328" s="241"/>
      <c r="K2328" s="241"/>
      <c r="L2328" s="241"/>
      <c r="M2328" s="241"/>
      <c r="N2328" s="241"/>
      <c r="O2328" s="241"/>
      <c r="P2328" s="241"/>
      <c r="Q2328" s="241"/>
    </row>
    <row r="2329" spans="1:17" ht="13.5" customHeight="1" x14ac:dyDescent="0.3">
      <c r="A2329"/>
      <c r="B2329" s="241"/>
      <c r="C2329" s="241"/>
      <c r="D2329" s="241"/>
      <c r="E2329" s="241"/>
      <c r="F2329" s="241"/>
      <c r="G2329" s="241"/>
      <c r="H2329" s="241"/>
      <c r="I2329"/>
      <c r="J2329" s="241"/>
      <c r="K2329" s="241"/>
      <c r="L2329" s="241"/>
      <c r="M2329" s="241"/>
      <c r="N2329" s="241"/>
      <c r="O2329" s="241"/>
      <c r="P2329" s="241"/>
      <c r="Q2329" s="241"/>
    </row>
    <row r="2330" spans="1:17" ht="13.5" customHeight="1" x14ac:dyDescent="0.3">
      <c r="A2330"/>
      <c r="B2330" s="241"/>
      <c r="C2330" s="241"/>
      <c r="D2330" s="241"/>
      <c r="E2330" s="241"/>
      <c r="F2330" s="241"/>
      <c r="G2330" s="241"/>
      <c r="H2330" s="241"/>
      <c r="I2330"/>
      <c r="J2330" s="241"/>
      <c r="K2330" s="241"/>
      <c r="L2330" s="241"/>
      <c r="M2330" s="241"/>
      <c r="N2330" s="241"/>
      <c r="O2330" s="241"/>
      <c r="P2330" s="241"/>
      <c r="Q2330" s="241"/>
    </row>
    <row r="2331" spans="1:17" ht="13.5" customHeight="1" x14ac:dyDescent="0.3">
      <c r="A2331"/>
      <c r="B2331" s="241"/>
      <c r="C2331" s="241"/>
      <c r="D2331" s="241"/>
      <c r="E2331" s="241"/>
      <c r="F2331" s="241"/>
      <c r="G2331" s="241"/>
      <c r="H2331" s="241"/>
      <c r="I2331"/>
      <c r="J2331" s="241"/>
      <c r="K2331" s="241"/>
      <c r="L2331" s="241"/>
      <c r="M2331" s="241"/>
      <c r="N2331" s="241"/>
      <c r="O2331" s="241"/>
      <c r="P2331" s="241"/>
      <c r="Q2331" s="241"/>
    </row>
    <row r="2332" spans="1:17" ht="13.5" customHeight="1" x14ac:dyDescent="0.3">
      <c r="A2332"/>
      <c r="B2332" s="241"/>
      <c r="C2332" s="241"/>
      <c r="D2332" s="241"/>
      <c r="E2332" s="241"/>
      <c r="F2332" s="241"/>
      <c r="G2332" s="241"/>
      <c r="H2332" s="241"/>
      <c r="I2332"/>
      <c r="J2332" s="241"/>
      <c r="K2332" s="241"/>
      <c r="L2332" s="241"/>
      <c r="M2332" s="241"/>
      <c r="N2332" s="241"/>
      <c r="O2332" s="241"/>
      <c r="P2332" s="241"/>
      <c r="Q2332" s="241"/>
    </row>
    <row r="2333" spans="1:17" ht="13.5" customHeight="1" x14ac:dyDescent="0.3">
      <c r="A2333"/>
      <c r="B2333" s="241"/>
      <c r="C2333" s="241"/>
      <c r="D2333" s="241"/>
      <c r="E2333" s="241"/>
      <c r="F2333" s="241"/>
      <c r="G2333" s="241"/>
      <c r="H2333" s="241"/>
      <c r="I2333"/>
      <c r="J2333" s="241"/>
      <c r="K2333" s="241"/>
      <c r="L2333" s="241"/>
      <c r="M2333" s="241"/>
      <c r="N2333" s="241"/>
      <c r="O2333" s="241"/>
      <c r="P2333" s="241"/>
      <c r="Q2333" s="241"/>
    </row>
    <row r="2334" spans="1:17" ht="13.5" customHeight="1" x14ac:dyDescent="0.3">
      <c r="A2334"/>
      <c r="B2334" s="241"/>
      <c r="C2334" s="241"/>
      <c r="D2334" s="241"/>
      <c r="E2334" s="241"/>
      <c r="F2334" s="241"/>
      <c r="G2334" s="241"/>
      <c r="H2334" s="241"/>
      <c r="I2334"/>
      <c r="J2334" s="241"/>
      <c r="K2334" s="241"/>
      <c r="L2334" s="241"/>
      <c r="M2334" s="241"/>
      <c r="N2334" s="241"/>
      <c r="O2334" s="241"/>
      <c r="P2334" s="241"/>
      <c r="Q2334" s="241"/>
    </row>
    <row r="2335" spans="1:17" ht="13.5" customHeight="1" x14ac:dyDescent="0.3">
      <c r="A2335"/>
      <c r="B2335" s="241"/>
      <c r="C2335" s="241"/>
      <c r="D2335" s="241"/>
      <c r="E2335" s="241"/>
      <c r="F2335" s="241"/>
      <c r="G2335" s="241"/>
      <c r="H2335" s="241"/>
      <c r="I2335"/>
      <c r="J2335" s="241"/>
      <c r="K2335" s="241"/>
      <c r="L2335" s="241"/>
      <c r="M2335" s="241"/>
      <c r="N2335" s="241"/>
      <c r="O2335" s="241"/>
      <c r="P2335" s="241"/>
      <c r="Q2335" s="241"/>
    </row>
    <row r="2336" spans="1:17" ht="13.5" customHeight="1" x14ac:dyDescent="0.3">
      <c r="A2336"/>
      <c r="B2336" s="241"/>
      <c r="C2336" s="241"/>
      <c r="D2336" s="241"/>
      <c r="E2336" s="241"/>
      <c r="F2336" s="241"/>
      <c r="G2336" s="241"/>
      <c r="H2336" s="241"/>
      <c r="I2336"/>
      <c r="J2336" s="241"/>
      <c r="K2336" s="241"/>
      <c r="L2336" s="241"/>
      <c r="M2336" s="241"/>
      <c r="N2336" s="241"/>
      <c r="O2336" s="241"/>
      <c r="P2336" s="241"/>
      <c r="Q2336" s="241"/>
    </row>
    <row r="2337" spans="1:17" ht="13.5" customHeight="1" x14ac:dyDescent="0.3">
      <c r="A2337"/>
      <c r="B2337" s="241"/>
      <c r="C2337" s="241"/>
      <c r="D2337" s="241"/>
      <c r="E2337" s="241"/>
      <c r="F2337" s="241"/>
      <c r="G2337" s="241"/>
      <c r="H2337" s="241"/>
      <c r="I2337"/>
      <c r="J2337" s="241"/>
      <c r="K2337" s="241"/>
      <c r="L2337" s="241"/>
      <c r="M2337" s="241"/>
      <c r="N2337" s="241"/>
      <c r="O2337" s="241"/>
      <c r="P2337" s="241"/>
      <c r="Q2337" s="241"/>
    </row>
    <row r="2338" spans="1:17" ht="13.5" customHeight="1" x14ac:dyDescent="0.3">
      <c r="A2338"/>
      <c r="B2338" s="241"/>
      <c r="C2338" s="241"/>
      <c r="D2338" s="241"/>
      <c r="E2338" s="241"/>
      <c r="F2338" s="241"/>
      <c r="G2338" s="241"/>
      <c r="H2338" s="241"/>
      <c r="I2338"/>
      <c r="J2338" s="241"/>
      <c r="K2338" s="241"/>
      <c r="L2338" s="241"/>
      <c r="M2338" s="241"/>
      <c r="N2338" s="241"/>
      <c r="O2338" s="241"/>
      <c r="P2338" s="241"/>
      <c r="Q2338" s="241"/>
    </row>
    <row r="2339" spans="1:17" ht="13.5" customHeight="1" x14ac:dyDescent="0.3">
      <c r="A2339"/>
      <c r="B2339" s="241"/>
      <c r="C2339" s="241"/>
      <c r="D2339" s="241"/>
      <c r="E2339" s="241"/>
      <c r="F2339" s="241"/>
      <c r="G2339" s="241"/>
      <c r="H2339" s="241"/>
      <c r="I2339"/>
      <c r="J2339" s="241"/>
      <c r="K2339" s="241"/>
      <c r="L2339" s="241"/>
      <c r="M2339" s="241"/>
      <c r="N2339" s="241"/>
      <c r="O2339" s="241"/>
      <c r="P2339" s="241"/>
      <c r="Q2339" s="241"/>
    </row>
    <row r="2340" spans="1:17" ht="13.5" customHeight="1" x14ac:dyDescent="0.3">
      <c r="A2340"/>
      <c r="B2340" s="241"/>
      <c r="C2340" s="241"/>
      <c r="D2340" s="241"/>
      <c r="E2340" s="241"/>
      <c r="F2340" s="241"/>
      <c r="G2340" s="241"/>
      <c r="H2340" s="241"/>
      <c r="I2340"/>
      <c r="J2340" s="241"/>
      <c r="K2340" s="241"/>
      <c r="L2340" s="241"/>
      <c r="M2340" s="241"/>
      <c r="N2340" s="241"/>
      <c r="O2340" s="241"/>
      <c r="P2340" s="241"/>
      <c r="Q2340" s="241"/>
    </row>
    <row r="2341" spans="1:17" ht="13.5" customHeight="1" x14ac:dyDescent="0.3">
      <c r="A2341"/>
      <c r="B2341" s="241"/>
      <c r="C2341" s="241"/>
      <c r="D2341" s="241"/>
      <c r="E2341" s="241"/>
      <c r="F2341" s="241"/>
      <c r="G2341" s="241"/>
      <c r="H2341" s="241"/>
      <c r="I2341"/>
      <c r="J2341" s="241"/>
      <c r="K2341" s="241"/>
      <c r="L2341" s="241"/>
      <c r="M2341" s="241"/>
      <c r="N2341" s="241"/>
      <c r="O2341" s="241"/>
      <c r="P2341" s="241"/>
      <c r="Q2341" s="241"/>
    </row>
    <row r="2342" spans="1:17" ht="13.5" customHeight="1" x14ac:dyDescent="0.3">
      <c r="A2342"/>
      <c r="B2342" s="241"/>
      <c r="C2342" s="241"/>
      <c r="D2342" s="241"/>
      <c r="E2342" s="241"/>
      <c r="F2342" s="241"/>
      <c r="G2342" s="241"/>
      <c r="H2342" s="241"/>
      <c r="I2342"/>
      <c r="J2342" s="241"/>
      <c r="K2342" s="241"/>
      <c r="L2342" s="241"/>
      <c r="M2342" s="241"/>
      <c r="N2342" s="241"/>
      <c r="O2342" s="241"/>
      <c r="P2342" s="241"/>
      <c r="Q2342" s="241"/>
    </row>
    <row r="2343" spans="1:17" ht="13.5" customHeight="1" x14ac:dyDescent="0.3">
      <c r="A2343"/>
      <c r="B2343" s="241"/>
      <c r="C2343" s="241"/>
      <c r="D2343" s="241"/>
      <c r="E2343" s="241"/>
      <c r="F2343" s="241"/>
      <c r="G2343" s="241"/>
      <c r="H2343" s="241"/>
      <c r="I2343"/>
      <c r="J2343" s="241"/>
      <c r="K2343" s="241"/>
      <c r="L2343" s="241"/>
      <c r="M2343" s="241"/>
      <c r="N2343" s="241"/>
      <c r="O2343" s="241"/>
      <c r="P2343" s="241"/>
      <c r="Q2343" s="241"/>
    </row>
    <row r="2344" spans="1:17" ht="13.5" customHeight="1" x14ac:dyDescent="0.3">
      <c r="A2344"/>
      <c r="B2344" s="241"/>
      <c r="C2344" s="241"/>
      <c r="D2344" s="241"/>
      <c r="E2344" s="241"/>
      <c r="F2344" s="241"/>
      <c r="G2344" s="241"/>
      <c r="H2344" s="241"/>
      <c r="I2344"/>
      <c r="J2344" s="241"/>
      <c r="K2344" s="241"/>
      <c r="L2344" s="241"/>
      <c r="M2344" s="241"/>
      <c r="N2344" s="241"/>
      <c r="O2344" s="241"/>
      <c r="P2344" s="241"/>
      <c r="Q2344" s="241"/>
    </row>
    <row r="2345" spans="1:17" ht="13.5" customHeight="1" x14ac:dyDescent="0.3">
      <c r="A2345"/>
      <c r="B2345" s="241"/>
      <c r="C2345" s="241"/>
      <c r="D2345" s="241"/>
      <c r="E2345" s="241"/>
      <c r="F2345" s="241"/>
      <c r="G2345" s="241"/>
      <c r="H2345" s="241"/>
      <c r="I2345"/>
      <c r="J2345" s="241"/>
      <c r="K2345" s="241"/>
      <c r="L2345" s="241"/>
      <c r="M2345" s="241"/>
      <c r="N2345" s="241"/>
      <c r="O2345" s="241"/>
      <c r="P2345" s="241"/>
      <c r="Q2345" s="241"/>
    </row>
    <row r="2346" spans="1:17" ht="13.5" customHeight="1" x14ac:dyDescent="0.3">
      <c r="A2346"/>
      <c r="B2346" s="241"/>
      <c r="C2346" s="241"/>
      <c r="D2346" s="241"/>
      <c r="E2346" s="241"/>
      <c r="F2346" s="241"/>
      <c r="G2346" s="241"/>
      <c r="H2346" s="241"/>
      <c r="I2346"/>
      <c r="J2346" s="241"/>
      <c r="K2346" s="241"/>
      <c r="L2346" s="241"/>
      <c r="M2346" s="241"/>
      <c r="N2346" s="241"/>
      <c r="O2346" s="241"/>
      <c r="P2346" s="241"/>
      <c r="Q2346" s="241"/>
    </row>
    <row r="2347" spans="1:17" ht="13.5" customHeight="1" x14ac:dyDescent="0.3">
      <c r="A2347"/>
      <c r="B2347" s="241"/>
      <c r="C2347" s="241"/>
      <c r="D2347" s="241"/>
      <c r="E2347" s="241"/>
      <c r="F2347" s="241"/>
      <c r="G2347" s="241"/>
      <c r="H2347" s="241"/>
      <c r="I2347"/>
      <c r="J2347" s="241"/>
      <c r="K2347" s="241"/>
      <c r="L2347" s="241"/>
      <c r="M2347" s="241"/>
      <c r="N2347" s="241"/>
      <c r="O2347" s="241"/>
      <c r="P2347" s="241"/>
      <c r="Q2347" s="241"/>
    </row>
    <row r="2348" spans="1:17" ht="13.5" customHeight="1" x14ac:dyDescent="0.3">
      <c r="A2348"/>
      <c r="B2348" s="241"/>
      <c r="C2348" s="241"/>
      <c r="D2348" s="241"/>
      <c r="E2348" s="241"/>
      <c r="F2348" s="241"/>
      <c r="G2348" s="241"/>
      <c r="H2348" s="241"/>
      <c r="I2348"/>
      <c r="J2348" s="241"/>
      <c r="K2348" s="241"/>
      <c r="L2348" s="241"/>
      <c r="M2348" s="241"/>
      <c r="N2348" s="241"/>
      <c r="O2348" s="241"/>
      <c r="P2348" s="241"/>
      <c r="Q2348" s="241"/>
    </row>
    <row r="2349" spans="1:17" ht="13.5" customHeight="1" x14ac:dyDescent="0.3">
      <c r="A2349"/>
      <c r="B2349" s="241"/>
      <c r="C2349" s="241"/>
      <c r="D2349" s="241"/>
      <c r="E2349" s="241"/>
      <c r="F2349" s="241"/>
      <c r="G2349" s="241"/>
      <c r="H2349" s="241"/>
      <c r="I2349"/>
      <c r="J2349" s="241"/>
      <c r="K2349" s="241"/>
      <c r="L2349" s="241"/>
      <c r="M2349" s="241"/>
      <c r="N2349" s="241"/>
      <c r="O2349" s="241"/>
      <c r="P2349" s="241"/>
      <c r="Q2349" s="241"/>
    </row>
    <row r="2350" spans="1:17" ht="13.5" customHeight="1" x14ac:dyDescent="0.3">
      <c r="A2350"/>
      <c r="B2350" s="241"/>
      <c r="C2350" s="241"/>
      <c r="D2350" s="241"/>
      <c r="E2350" s="241"/>
      <c r="F2350" s="241"/>
      <c r="G2350" s="241"/>
      <c r="H2350" s="241"/>
      <c r="I2350"/>
      <c r="J2350" s="241"/>
      <c r="K2350" s="241"/>
      <c r="L2350" s="241"/>
      <c r="M2350" s="241"/>
      <c r="N2350" s="241"/>
      <c r="O2350" s="241"/>
      <c r="P2350" s="241"/>
      <c r="Q2350" s="241"/>
    </row>
    <row r="2351" spans="1:17" ht="13.5" customHeight="1" x14ac:dyDescent="0.3">
      <c r="A2351"/>
      <c r="B2351" s="241"/>
      <c r="C2351" s="241"/>
      <c r="D2351" s="241"/>
      <c r="E2351" s="241"/>
      <c r="F2351" s="241"/>
      <c r="G2351" s="241"/>
      <c r="H2351" s="241"/>
      <c r="I2351"/>
      <c r="J2351" s="241"/>
      <c r="K2351" s="241"/>
      <c r="L2351" s="241"/>
      <c r="M2351" s="241"/>
      <c r="N2351" s="241"/>
      <c r="O2351" s="241"/>
      <c r="P2351" s="241"/>
      <c r="Q2351" s="241"/>
    </row>
    <row r="2352" spans="1:17" ht="13.5" customHeight="1" x14ac:dyDescent="0.3">
      <c r="A2352"/>
      <c r="B2352" s="241"/>
      <c r="C2352" s="241"/>
      <c r="D2352" s="241"/>
      <c r="E2352" s="241"/>
      <c r="F2352" s="241"/>
      <c r="G2352" s="241"/>
      <c r="H2352" s="241"/>
      <c r="I2352"/>
      <c r="J2352" s="241"/>
      <c r="K2352" s="241"/>
      <c r="L2352" s="241"/>
      <c r="M2352" s="241"/>
      <c r="N2352" s="241"/>
      <c r="O2352" s="241"/>
      <c r="P2352" s="241"/>
      <c r="Q2352" s="241"/>
    </row>
    <row r="2353" spans="1:17" ht="13.5" customHeight="1" x14ac:dyDescent="0.3">
      <c r="A2353"/>
      <c r="B2353" s="241"/>
      <c r="C2353" s="241"/>
      <c r="D2353" s="241"/>
      <c r="E2353" s="241"/>
      <c r="F2353" s="241"/>
      <c r="G2353" s="241"/>
      <c r="H2353" s="241"/>
      <c r="I2353"/>
      <c r="J2353" s="241"/>
      <c r="K2353" s="241"/>
      <c r="L2353" s="241"/>
      <c r="M2353" s="241"/>
      <c r="N2353" s="241"/>
      <c r="O2353" s="241"/>
      <c r="P2353" s="241"/>
      <c r="Q2353" s="241"/>
    </row>
    <row r="2354" spans="1:17" ht="13.5" customHeight="1" x14ac:dyDescent="0.3">
      <c r="A2354"/>
      <c r="B2354" s="241"/>
      <c r="C2354" s="241"/>
      <c r="D2354" s="241"/>
      <c r="E2354" s="241"/>
      <c r="F2354" s="241"/>
      <c r="G2354" s="241"/>
      <c r="H2354" s="241"/>
      <c r="I2354"/>
      <c r="J2354" s="241"/>
      <c r="K2354" s="241"/>
      <c r="L2354" s="241"/>
      <c r="M2354" s="241"/>
      <c r="N2354" s="241"/>
      <c r="O2354" s="241"/>
      <c r="P2354" s="241"/>
      <c r="Q2354" s="241"/>
    </row>
    <row r="2355" spans="1:17" ht="13.5" customHeight="1" x14ac:dyDescent="0.3">
      <c r="A2355"/>
      <c r="B2355" s="241"/>
      <c r="C2355" s="241"/>
      <c r="D2355" s="241"/>
      <c r="E2355" s="241"/>
      <c r="F2355" s="241"/>
      <c r="G2355" s="241"/>
      <c r="H2355" s="241"/>
      <c r="I2355"/>
      <c r="J2355" s="241"/>
      <c r="K2355" s="241"/>
      <c r="L2355" s="241"/>
      <c r="M2355" s="241"/>
      <c r="N2355" s="241"/>
      <c r="O2355" s="241"/>
      <c r="P2355" s="241"/>
      <c r="Q2355" s="241"/>
    </row>
    <row r="2356" spans="1:17" ht="13.5" customHeight="1" x14ac:dyDescent="0.3">
      <c r="A2356"/>
      <c r="B2356" s="241"/>
      <c r="C2356" s="241"/>
      <c r="D2356" s="241"/>
      <c r="E2356" s="241"/>
      <c r="F2356" s="241"/>
      <c r="G2356" s="241"/>
      <c r="H2356" s="241"/>
      <c r="I2356"/>
      <c r="J2356" s="241"/>
      <c r="K2356" s="241"/>
      <c r="L2356" s="241"/>
      <c r="M2356" s="241"/>
      <c r="N2356" s="241"/>
      <c r="O2356" s="241"/>
      <c r="P2356" s="241"/>
      <c r="Q2356" s="241"/>
    </row>
    <row r="2357" spans="1:17" ht="13.5" customHeight="1" x14ac:dyDescent="0.3">
      <c r="A2357"/>
      <c r="B2357" s="241"/>
      <c r="C2357" s="241"/>
      <c r="D2357" s="241"/>
      <c r="E2357" s="241"/>
      <c r="F2357" s="241"/>
      <c r="G2357" s="241"/>
      <c r="H2357" s="241"/>
      <c r="I2357"/>
      <c r="J2357" s="241"/>
      <c r="K2357" s="241"/>
      <c r="L2357" s="241"/>
      <c r="M2357" s="241"/>
      <c r="N2357" s="241"/>
      <c r="O2357" s="241"/>
      <c r="P2357" s="241"/>
      <c r="Q2357" s="241"/>
    </row>
    <row r="2358" spans="1:17" ht="13.5" customHeight="1" x14ac:dyDescent="0.3">
      <c r="A2358"/>
      <c r="B2358" s="241"/>
      <c r="C2358" s="241"/>
      <c r="D2358" s="241"/>
      <c r="E2358" s="241"/>
      <c r="F2358" s="241"/>
      <c r="G2358" s="241"/>
      <c r="H2358" s="241"/>
      <c r="I2358"/>
      <c r="J2358" s="241"/>
      <c r="K2358" s="241"/>
      <c r="L2358" s="241"/>
      <c r="M2358" s="241"/>
      <c r="N2358" s="241"/>
      <c r="O2358" s="241"/>
      <c r="P2358" s="241"/>
      <c r="Q2358" s="241"/>
    </row>
    <row r="2359" spans="1:17" ht="13.5" customHeight="1" x14ac:dyDescent="0.3">
      <c r="A2359"/>
      <c r="B2359" s="241"/>
      <c r="C2359" s="241"/>
      <c r="D2359" s="241"/>
      <c r="E2359" s="241"/>
      <c r="F2359" s="241"/>
      <c r="G2359" s="241"/>
      <c r="H2359" s="241"/>
      <c r="I2359"/>
      <c r="J2359" s="241"/>
      <c r="K2359" s="241"/>
      <c r="L2359" s="241"/>
      <c r="M2359" s="241"/>
      <c r="N2359" s="241"/>
      <c r="O2359" s="241"/>
      <c r="P2359" s="241"/>
      <c r="Q2359" s="241"/>
    </row>
    <row r="2360" spans="1:17" ht="13.5" customHeight="1" x14ac:dyDescent="0.3">
      <c r="A2360"/>
      <c r="B2360" s="241"/>
      <c r="C2360" s="241"/>
      <c r="D2360" s="241"/>
      <c r="E2360" s="241"/>
      <c r="F2360" s="241"/>
      <c r="G2360" s="241"/>
      <c r="H2360" s="241"/>
      <c r="I2360"/>
      <c r="J2360" s="241"/>
      <c r="K2360" s="241"/>
      <c r="L2360" s="241"/>
      <c r="M2360" s="241"/>
      <c r="N2360" s="241"/>
      <c r="O2360" s="241"/>
      <c r="P2360" s="241"/>
      <c r="Q2360" s="241"/>
    </row>
    <row r="2361" spans="1:17" ht="13.5" customHeight="1" x14ac:dyDescent="0.3">
      <c r="A2361"/>
      <c r="B2361" s="241"/>
      <c r="C2361" s="241"/>
      <c r="D2361" s="241"/>
      <c r="E2361" s="241"/>
      <c r="F2361" s="241"/>
      <c r="G2361" s="241"/>
      <c r="H2361" s="241"/>
      <c r="I2361"/>
      <c r="J2361" s="241"/>
      <c r="K2361" s="241"/>
      <c r="L2361" s="241"/>
      <c r="M2361" s="241"/>
      <c r="N2361" s="241"/>
      <c r="O2361" s="241"/>
      <c r="P2361" s="241"/>
      <c r="Q2361" s="241"/>
    </row>
    <row r="2362" spans="1:17" ht="13.5" customHeight="1" x14ac:dyDescent="0.3">
      <c r="A2362"/>
      <c r="B2362" s="241"/>
      <c r="C2362" s="241"/>
      <c r="D2362" s="241"/>
      <c r="E2362" s="241"/>
      <c r="F2362" s="241"/>
      <c r="G2362" s="241"/>
      <c r="H2362" s="241"/>
      <c r="I2362"/>
      <c r="J2362" s="241"/>
      <c r="K2362" s="241"/>
      <c r="L2362" s="241"/>
      <c r="M2362" s="241"/>
      <c r="N2362" s="241"/>
      <c r="O2362" s="241"/>
      <c r="P2362" s="241"/>
      <c r="Q2362" s="241"/>
    </row>
    <row r="2363" spans="1:17" ht="13.5" customHeight="1" x14ac:dyDescent="0.3">
      <c r="A2363"/>
      <c r="B2363" s="241"/>
      <c r="C2363" s="241"/>
      <c r="D2363" s="241"/>
      <c r="E2363" s="241"/>
      <c r="F2363" s="241"/>
      <c r="G2363" s="241"/>
      <c r="H2363" s="241"/>
      <c r="I2363"/>
      <c r="J2363" s="241"/>
      <c r="K2363" s="241"/>
      <c r="L2363" s="241"/>
      <c r="M2363" s="241"/>
      <c r="N2363" s="241"/>
      <c r="O2363" s="241"/>
      <c r="P2363" s="241"/>
      <c r="Q2363" s="241"/>
    </row>
    <row r="2364" spans="1:17" ht="13.5" customHeight="1" x14ac:dyDescent="0.3">
      <c r="A2364"/>
      <c r="B2364" s="241"/>
      <c r="C2364" s="241"/>
      <c r="D2364" s="241"/>
      <c r="E2364" s="241"/>
      <c r="F2364" s="241"/>
      <c r="G2364" s="241"/>
      <c r="H2364" s="241"/>
      <c r="I2364"/>
      <c r="J2364" s="241"/>
      <c r="K2364" s="241"/>
      <c r="L2364" s="241"/>
      <c r="M2364" s="241"/>
      <c r="N2364" s="241"/>
      <c r="O2364" s="241"/>
      <c r="P2364" s="241"/>
      <c r="Q2364" s="241"/>
    </row>
    <row r="2365" spans="1:17" ht="13.5" customHeight="1" x14ac:dyDescent="0.3">
      <c r="A2365"/>
      <c r="B2365" s="241"/>
      <c r="C2365" s="241"/>
      <c r="D2365" s="241"/>
      <c r="E2365" s="241"/>
      <c r="F2365" s="241"/>
      <c r="G2365" s="241"/>
      <c r="H2365" s="241"/>
      <c r="I2365"/>
      <c r="J2365" s="241"/>
      <c r="K2365" s="241"/>
      <c r="L2365" s="241"/>
      <c r="M2365" s="241"/>
      <c r="N2365" s="241"/>
      <c r="O2365" s="241"/>
      <c r="P2365" s="241"/>
      <c r="Q2365" s="241"/>
    </row>
    <row r="2366" spans="1:17" ht="13.5" customHeight="1" x14ac:dyDescent="0.3">
      <c r="A2366"/>
      <c r="B2366" s="241"/>
      <c r="C2366" s="241"/>
      <c r="D2366" s="241"/>
      <c r="E2366" s="241"/>
      <c r="F2366" s="241"/>
      <c r="G2366" s="241"/>
      <c r="H2366" s="241"/>
      <c r="I2366"/>
      <c r="J2366" s="241"/>
      <c r="K2366" s="241"/>
      <c r="L2366" s="241"/>
      <c r="M2366" s="241"/>
      <c r="N2366" s="241"/>
      <c r="O2366" s="241"/>
      <c r="P2366" s="241"/>
      <c r="Q2366" s="241"/>
    </row>
    <row r="2367" spans="1:17" ht="13.5" customHeight="1" x14ac:dyDescent="0.3">
      <c r="A2367"/>
      <c r="B2367" s="241"/>
      <c r="C2367" s="241"/>
      <c r="D2367" s="241"/>
      <c r="E2367" s="241"/>
      <c r="F2367" s="241"/>
      <c r="G2367" s="241"/>
      <c r="H2367" s="241"/>
      <c r="I2367"/>
      <c r="J2367" s="241"/>
      <c r="K2367" s="241"/>
      <c r="L2367" s="241"/>
      <c r="M2367" s="241"/>
      <c r="N2367" s="241"/>
      <c r="O2367" s="241"/>
      <c r="P2367" s="241"/>
      <c r="Q2367" s="241"/>
    </row>
    <row r="2368" spans="1:17" ht="13.5" customHeight="1" x14ac:dyDescent="0.3">
      <c r="A2368"/>
      <c r="B2368" s="241"/>
      <c r="C2368" s="241"/>
      <c r="D2368" s="241"/>
      <c r="E2368" s="241"/>
      <c r="F2368" s="241"/>
      <c r="G2368" s="241"/>
      <c r="H2368" s="241"/>
      <c r="I2368"/>
      <c r="J2368" s="241"/>
      <c r="K2368" s="241"/>
      <c r="L2368" s="241"/>
      <c r="M2368" s="241"/>
      <c r="N2368" s="241"/>
      <c r="O2368" s="241"/>
      <c r="P2368" s="241"/>
      <c r="Q2368" s="241"/>
    </row>
    <row r="2369" spans="1:17" ht="13.5" customHeight="1" x14ac:dyDescent="0.3">
      <c r="A2369"/>
      <c r="B2369" s="241"/>
      <c r="C2369" s="241"/>
      <c r="D2369" s="241"/>
      <c r="E2369" s="241"/>
      <c r="F2369" s="241"/>
      <c r="G2369" s="241"/>
      <c r="H2369" s="241"/>
      <c r="I2369"/>
      <c r="J2369" s="241"/>
      <c r="K2369" s="241"/>
      <c r="L2369" s="241"/>
      <c r="M2369" s="241"/>
      <c r="N2369" s="241"/>
      <c r="O2369" s="241"/>
      <c r="P2369" s="241"/>
      <c r="Q2369" s="241"/>
    </row>
    <row r="2370" spans="1:17" ht="13.5" customHeight="1" x14ac:dyDescent="0.3">
      <c r="A2370"/>
      <c r="B2370" s="241"/>
      <c r="C2370" s="241"/>
      <c r="D2370" s="241"/>
      <c r="E2370" s="241"/>
      <c r="F2370" s="241"/>
      <c r="G2370" s="241"/>
      <c r="H2370" s="241"/>
      <c r="I2370"/>
      <c r="J2370" s="241"/>
      <c r="K2370" s="241"/>
      <c r="L2370" s="241"/>
      <c r="M2370" s="241"/>
      <c r="N2370" s="241"/>
      <c r="O2370" s="241"/>
      <c r="P2370" s="241"/>
      <c r="Q2370" s="241"/>
    </row>
    <row r="2371" spans="1:17" ht="13.5" customHeight="1" x14ac:dyDescent="0.3">
      <c r="A2371"/>
      <c r="B2371" s="241"/>
      <c r="C2371" s="241"/>
      <c r="D2371" s="241"/>
      <c r="E2371" s="241"/>
      <c r="F2371" s="241"/>
      <c r="G2371" s="241"/>
      <c r="H2371" s="241"/>
      <c r="I2371"/>
      <c r="J2371" s="241"/>
      <c r="K2371" s="241"/>
      <c r="L2371" s="241"/>
      <c r="M2371" s="241"/>
      <c r="N2371" s="241"/>
      <c r="O2371" s="241"/>
      <c r="P2371" s="241"/>
      <c r="Q2371" s="241"/>
    </row>
    <row r="2372" spans="1:17" ht="13.5" customHeight="1" x14ac:dyDescent="0.3">
      <c r="A2372"/>
      <c r="B2372" s="241"/>
      <c r="C2372" s="241"/>
      <c r="D2372" s="241"/>
      <c r="E2372" s="241"/>
      <c r="F2372" s="241"/>
      <c r="G2372" s="241"/>
      <c r="H2372" s="241"/>
      <c r="I2372"/>
      <c r="J2372" s="241"/>
      <c r="K2372" s="241"/>
      <c r="L2372" s="241"/>
      <c r="M2372" s="241"/>
      <c r="N2372" s="241"/>
      <c r="O2372" s="241"/>
      <c r="P2372" s="241"/>
      <c r="Q2372" s="241"/>
    </row>
    <row r="2373" spans="1:17" ht="13.5" customHeight="1" x14ac:dyDescent="0.3">
      <c r="A2373"/>
      <c r="B2373" s="241"/>
      <c r="C2373" s="241"/>
      <c r="D2373" s="241"/>
      <c r="E2373" s="241"/>
      <c r="F2373" s="241"/>
      <c r="G2373" s="241"/>
      <c r="H2373" s="241"/>
      <c r="I2373"/>
      <c r="J2373" s="241"/>
      <c r="K2373" s="241"/>
      <c r="L2373" s="241"/>
      <c r="M2373" s="241"/>
      <c r="N2373" s="241"/>
      <c r="O2373" s="241"/>
      <c r="P2373" s="241"/>
      <c r="Q2373" s="241"/>
    </row>
    <row r="2374" spans="1:17" ht="13.5" customHeight="1" x14ac:dyDescent="0.3">
      <c r="A2374"/>
      <c r="B2374" s="241"/>
      <c r="C2374" s="241"/>
      <c r="D2374" s="241"/>
      <c r="E2374" s="241"/>
      <c r="F2374" s="241"/>
      <c r="G2374" s="241"/>
      <c r="H2374" s="241"/>
      <c r="I2374"/>
      <c r="J2374" s="241"/>
      <c r="K2374" s="241"/>
      <c r="L2374" s="241"/>
      <c r="M2374" s="241"/>
      <c r="N2374" s="241"/>
      <c r="O2374" s="241"/>
      <c r="P2374" s="241"/>
      <c r="Q2374" s="241"/>
    </row>
    <row r="2375" spans="1:17" ht="13.5" customHeight="1" x14ac:dyDescent="0.3">
      <c r="A2375"/>
      <c r="B2375" s="241"/>
      <c r="C2375" s="241"/>
      <c r="D2375" s="241"/>
      <c r="E2375" s="241"/>
      <c r="F2375" s="241"/>
      <c r="G2375" s="241"/>
      <c r="H2375" s="241"/>
      <c r="I2375"/>
      <c r="J2375" s="241"/>
      <c r="K2375" s="241"/>
      <c r="L2375" s="241"/>
      <c r="M2375" s="241"/>
      <c r="N2375" s="241"/>
      <c r="O2375" s="241"/>
      <c r="P2375" s="241"/>
      <c r="Q2375" s="241"/>
    </row>
    <row r="2376" spans="1:17" ht="13.5" customHeight="1" x14ac:dyDescent="0.3">
      <c r="A2376"/>
      <c r="B2376" s="241"/>
      <c r="C2376" s="241"/>
      <c r="D2376" s="241"/>
      <c r="E2376" s="241"/>
      <c r="F2376" s="241"/>
      <c r="G2376" s="241"/>
      <c r="H2376" s="241"/>
      <c r="I2376"/>
      <c r="J2376" s="241"/>
      <c r="K2376" s="241"/>
      <c r="L2376" s="241"/>
      <c r="M2376" s="241"/>
      <c r="N2376" s="241"/>
      <c r="O2376" s="241"/>
      <c r="P2376" s="241"/>
      <c r="Q2376" s="241"/>
    </row>
    <row r="2377" spans="1:17" ht="13.5" customHeight="1" x14ac:dyDescent="0.3">
      <c r="A2377"/>
      <c r="B2377" s="241"/>
      <c r="C2377" s="241"/>
      <c r="D2377" s="241"/>
      <c r="E2377" s="241"/>
      <c r="F2377" s="241"/>
      <c r="G2377" s="241"/>
      <c r="H2377" s="241"/>
      <c r="I2377"/>
      <c r="J2377" s="241"/>
      <c r="K2377" s="241"/>
      <c r="L2377" s="241"/>
      <c r="M2377" s="241"/>
      <c r="N2377" s="241"/>
      <c r="O2377" s="241"/>
      <c r="P2377" s="241"/>
      <c r="Q2377" s="241"/>
    </row>
    <row r="2378" spans="1:17" ht="13.5" customHeight="1" x14ac:dyDescent="0.3">
      <c r="A2378"/>
      <c r="B2378" s="241"/>
      <c r="C2378" s="241"/>
      <c r="D2378" s="241"/>
      <c r="E2378" s="241"/>
      <c r="F2378" s="241"/>
      <c r="G2378" s="241"/>
      <c r="H2378" s="241"/>
      <c r="I2378"/>
      <c r="J2378" s="241"/>
      <c r="K2378" s="241"/>
      <c r="L2378" s="241"/>
      <c r="M2378" s="241"/>
      <c r="N2378" s="241"/>
      <c r="O2378" s="241"/>
      <c r="P2378" s="241"/>
      <c r="Q2378" s="241"/>
    </row>
    <row r="2379" spans="1:17" ht="13.5" customHeight="1" x14ac:dyDescent="0.3">
      <c r="A2379"/>
      <c r="B2379" s="241"/>
      <c r="C2379" s="241"/>
      <c r="D2379" s="241"/>
      <c r="E2379" s="241"/>
      <c r="F2379" s="241"/>
      <c r="G2379" s="241"/>
      <c r="H2379" s="241"/>
      <c r="I2379"/>
      <c r="J2379" s="241"/>
      <c r="K2379" s="241"/>
      <c r="L2379" s="241"/>
      <c r="M2379" s="241"/>
      <c r="N2379" s="241"/>
      <c r="O2379" s="241"/>
      <c r="P2379" s="241"/>
      <c r="Q2379" s="241"/>
    </row>
    <row r="2380" spans="1:17" ht="13.5" customHeight="1" x14ac:dyDescent="0.3">
      <c r="A2380"/>
      <c r="B2380" s="241"/>
      <c r="C2380" s="241"/>
      <c r="D2380" s="241"/>
      <c r="E2380" s="241"/>
      <c r="F2380" s="241"/>
      <c r="G2380" s="241"/>
      <c r="H2380" s="241"/>
      <c r="I2380"/>
      <c r="J2380" s="241"/>
      <c r="K2380" s="241"/>
      <c r="L2380" s="241"/>
      <c r="M2380" s="241"/>
      <c r="N2380" s="241"/>
      <c r="O2380" s="241"/>
      <c r="P2380" s="241"/>
      <c r="Q2380" s="241"/>
    </row>
    <row r="2381" spans="1:17" ht="13.5" customHeight="1" x14ac:dyDescent="0.3">
      <c r="A2381"/>
      <c r="B2381" s="241"/>
      <c r="C2381" s="241"/>
      <c r="D2381" s="241"/>
      <c r="E2381" s="241"/>
      <c r="F2381" s="241"/>
      <c r="G2381" s="241"/>
      <c r="H2381" s="241"/>
      <c r="I2381"/>
      <c r="J2381" s="241"/>
      <c r="K2381" s="241"/>
      <c r="L2381" s="241"/>
      <c r="M2381" s="241"/>
      <c r="N2381" s="241"/>
      <c r="O2381" s="241"/>
      <c r="P2381" s="241"/>
      <c r="Q2381" s="241"/>
    </row>
    <row r="2382" spans="1:17" ht="13.5" customHeight="1" x14ac:dyDescent="0.3">
      <c r="A2382"/>
      <c r="B2382" s="241"/>
      <c r="C2382" s="241"/>
      <c r="D2382" s="241"/>
      <c r="E2382" s="241"/>
      <c r="F2382" s="241"/>
      <c r="G2382" s="241"/>
      <c r="H2382" s="241"/>
      <c r="I2382"/>
      <c r="J2382" s="241"/>
      <c r="K2382" s="241"/>
      <c r="L2382" s="241"/>
      <c r="M2382" s="241"/>
      <c r="N2382" s="241"/>
      <c r="O2382" s="241"/>
      <c r="P2382" s="241"/>
      <c r="Q2382" s="241"/>
    </row>
    <row r="2383" spans="1:17" ht="13.5" customHeight="1" x14ac:dyDescent="0.3">
      <c r="A2383"/>
      <c r="B2383" s="241"/>
      <c r="C2383" s="241"/>
      <c r="D2383" s="241"/>
      <c r="E2383" s="241"/>
      <c r="F2383" s="241"/>
      <c r="G2383" s="241"/>
      <c r="H2383" s="241"/>
      <c r="I2383"/>
      <c r="J2383" s="241"/>
      <c r="K2383" s="241"/>
      <c r="L2383" s="241"/>
      <c r="M2383" s="241"/>
      <c r="N2383" s="241"/>
      <c r="O2383" s="241"/>
      <c r="P2383" s="241"/>
      <c r="Q2383" s="241"/>
    </row>
    <row r="2384" spans="1:17" ht="13.5" customHeight="1" x14ac:dyDescent="0.3">
      <c r="A2384"/>
      <c r="B2384" s="241"/>
      <c r="C2384" s="241"/>
      <c r="D2384" s="241"/>
      <c r="E2384" s="241"/>
      <c r="F2384" s="241"/>
      <c r="G2384" s="241"/>
      <c r="H2384" s="241"/>
      <c r="I2384"/>
      <c r="J2384" s="241"/>
      <c r="K2384" s="241"/>
      <c r="L2384" s="241"/>
      <c r="M2384" s="241"/>
      <c r="N2384" s="241"/>
      <c r="O2384" s="241"/>
      <c r="P2384" s="241"/>
      <c r="Q2384" s="241"/>
    </row>
    <row r="2385" spans="1:17" ht="13.5" customHeight="1" x14ac:dyDescent="0.3">
      <c r="A2385"/>
      <c r="B2385" s="241"/>
      <c r="C2385" s="241"/>
      <c r="D2385" s="241"/>
      <c r="E2385" s="241"/>
      <c r="F2385" s="241"/>
      <c r="G2385" s="241"/>
      <c r="H2385" s="241"/>
      <c r="I2385"/>
      <c r="J2385" s="241"/>
      <c r="K2385" s="241"/>
      <c r="L2385" s="241"/>
      <c r="M2385" s="241"/>
      <c r="N2385" s="241"/>
      <c r="O2385" s="241"/>
      <c r="P2385" s="241"/>
      <c r="Q2385" s="241"/>
    </row>
    <row r="2386" spans="1:17" ht="13.5" customHeight="1" x14ac:dyDescent="0.3">
      <c r="A2386"/>
      <c r="B2386" s="241"/>
      <c r="C2386" s="241"/>
      <c r="D2386" s="241"/>
      <c r="E2386" s="241"/>
      <c r="F2386" s="241"/>
      <c r="G2386" s="241"/>
      <c r="H2386" s="241"/>
      <c r="I2386"/>
      <c r="J2386" s="241"/>
      <c r="K2386" s="241"/>
      <c r="L2386" s="241"/>
      <c r="M2386" s="241"/>
      <c r="N2386" s="241"/>
      <c r="O2386" s="241"/>
      <c r="P2386" s="241"/>
      <c r="Q2386" s="241"/>
    </row>
    <row r="2387" spans="1:17" ht="13.5" customHeight="1" x14ac:dyDescent="0.3">
      <c r="A2387"/>
      <c r="B2387" s="241"/>
      <c r="C2387" s="241"/>
      <c r="D2387" s="241"/>
      <c r="E2387" s="241"/>
      <c r="F2387" s="241"/>
      <c r="G2387" s="241"/>
      <c r="H2387" s="241"/>
      <c r="I2387"/>
      <c r="J2387" s="241"/>
      <c r="K2387" s="241"/>
      <c r="L2387" s="241"/>
      <c r="M2387" s="241"/>
      <c r="N2387" s="241"/>
      <c r="O2387" s="241"/>
      <c r="P2387" s="241"/>
      <c r="Q2387" s="241"/>
    </row>
    <row r="2388" spans="1:17" ht="13.5" customHeight="1" x14ac:dyDescent="0.3">
      <c r="A2388"/>
      <c r="B2388" s="241"/>
      <c r="C2388" s="241"/>
      <c r="D2388" s="241"/>
      <c r="E2388" s="241"/>
      <c r="F2388" s="241"/>
      <c r="G2388" s="241"/>
      <c r="H2388" s="241"/>
      <c r="I2388"/>
      <c r="J2388" s="241"/>
      <c r="K2388" s="241"/>
      <c r="L2388" s="241"/>
      <c r="M2388" s="241"/>
      <c r="N2388" s="241"/>
      <c r="O2388" s="241"/>
      <c r="P2388" s="241"/>
      <c r="Q2388" s="241"/>
    </row>
    <row r="2389" spans="1:17" ht="13.5" customHeight="1" x14ac:dyDescent="0.3">
      <c r="A2389"/>
      <c r="B2389" s="241"/>
      <c r="C2389" s="241"/>
      <c r="D2389" s="241"/>
      <c r="E2389" s="241"/>
      <c r="F2389" s="241"/>
      <c r="G2389" s="241"/>
      <c r="H2389" s="241"/>
      <c r="I2389"/>
      <c r="J2389" s="241"/>
      <c r="K2389" s="241"/>
      <c r="L2389" s="241"/>
      <c r="M2389" s="241"/>
      <c r="N2389" s="241"/>
      <c r="O2389" s="241"/>
      <c r="P2389" s="241"/>
      <c r="Q2389" s="241"/>
    </row>
    <row r="2390" spans="1:17" ht="13.5" customHeight="1" x14ac:dyDescent="0.3">
      <c r="A2390"/>
      <c r="B2390" s="241"/>
      <c r="C2390" s="241"/>
      <c r="D2390" s="241"/>
      <c r="E2390" s="241"/>
      <c r="F2390" s="241"/>
      <c r="G2390" s="241"/>
      <c r="H2390" s="241"/>
      <c r="I2390"/>
      <c r="J2390" s="241"/>
      <c r="K2390" s="241"/>
      <c r="L2390" s="241"/>
      <c r="M2390" s="241"/>
      <c r="N2390" s="241"/>
      <c r="O2390" s="241"/>
      <c r="P2390" s="241"/>
      <c r="Q2390" s="241"/>
    </row>
    <row r="2391" spans="1:17" ht="13.5" customHeight="1" x14ac:dyDescent="0.3">
      <c r="A2391"/>
      <c r="B2391" s="241"/>
      <c r="C2391" s="241"/>
      <c r="D2391" s="241"/>
      <c r="E2391" s="241"/>
      <c r="F2391" s="241"/>
      <c r="G2391" s="241"/>
      <c r="H2391" s="241"/>
      <c r="I2391"/>
      <c r="J2391" s="241"/>
      <c r="K2391" s="241"/>
      <c r="L2391" s="241"/>
      <c r="M2391" s="241"/>
      <c r="N2391" s="241"/>
      <c r="O2391" s="241"/>
      <c r="P2391" s="241"/>
      <c r="Q2391" s="241"/>
    </row>
    <row r="2392" spans="1:17" ht="13.5" customHeight="1" x14ac:dyDescent="0.3">
      <c r="A2392"/>
      <c r="B2392" s="241"/>
      <c r="C2392" s="241"/>
      <c r="D2392" s="241"/>
      <c r="E2392" s="241"/>
      <c r="F2392" s="241"/>
      <c r="G2392" s="241"/>
      <c r="H2392" s="241"/>
      <c r="I2392"/>
      <c r="J2392" s="241"/>
      <c r="K2392" s="241"/>
      <c r="L2392" s="241"/>
      <c r="M2392" s="241"/>
      <c r="N2392" s="241"/>
      <c r="O2392" s="241"/>
      <c r="P2392" s="241"/>
      <c r="Q2392" s="241"/>
    </row>
    <row r="2393" spans="1:17" ht="13.5" customHeight="1" x14ac:dyDescent="0.3">
      <c r="A2393"/>
      <c r="B2393" s="241"/>
      <c r="C2393" s="241"/>
      <c r="D2393" s="241"/>
      <c r="E2393" s="241"/>
      <c r="F2393" s="241"/>
      <c r="G2393" s="241"/>
      <c r="H2393" s="241"/>
      <c r="I2393"/>
      <c r="J2393" s="241"/>
      <c r="K2393" s="241"/>
      <c r="L2393" s="241"/>
      <c r="M2393" s="241"/>
      <c r="N2393" s="241"/>
      <c r="O2393" s="241"/>
      <c r="P2393" s="241"/>
      <c r="Q2393" s="241"/>
    </row>
    <row r="2394" spans="1:17" ht="13.5" customHeight="1" x14ac:dyDescent="0.3">
      <c r="A2394"/>
      <c r="B2394" s="241"/>
      <c r="C2394" s="241"/>
      <c r="D2394" s="241"/>
      <c r="E2394" s="241"/>
      <c r="F2394" s="241"/>
      <c r="G2394" s="241"/>
      <c r="H2394" s="241"/>
      <c r="I2394"/>
      <c r="J2394" s="241"/>
      <c r="K2394" s="241"/>
      <c r="L2394" s="241"/>
      <c r="M2394" s="241"/>
      <c r="N2394" s="241"/>
      <c r="O2394" s="241"/>
      <c r="P2394" s="241"/>
      <c r="Q2394" s="241"/>
    </row>
    <row r="2395" spans="1:17" ht="13.5" customHeight="1" x14ac:dyDescent="0.3">
      <c r="A2395"/>
      <c r="B2395" s="241"/>
      <c r="C2395" s="241"/>
      <c r="D2395" s="241"/>
      <c r="E2395" s="241"/>
      <c r="F2395" s="241"/>
      <c r="G2395" s="241"/>
      <c r="H2395" s="241"/>
      <c r="I2395"/>
      <c r="J2395" s="241"/>
      <c r="K2395" s="241"/>
      <c r="L2395" s="241"/>
      <c r="M2395" s="241"/>
      <c r="N2395" s="241"/>
      <c r="O2395" s="241"/>
      <c r="P2395" s="241"/>
      <c r="Q2395" s="241"/>
    </row>
    <row r="2396" spans="1:17" ht="13.5" customHeight="1" x14ac:dyDescent="0.3">
      <c r="A2396"/>
      <c r="B2396" s="241"/>
      <c r="C2396" s="241"/>
      <c r="D2396" s="241"/>
      <c r="E2396" s="241"/>
      <c r="F2396" s="241"/>
      <c r="G2396" s="241"/>
      <c r="H2396" s="241"/>
      <c r="I2396"/>
      <c r="J2396" s="241"/>
      <c r="K2396" s="241"/>
      <c r="L2396" s="241"/>
      <c r="M2396" s="241"/>
      <c r="N2396" s="241"/>
      <c r="O2396" s="241"/>
      <c r="P2396" s="241"/>
      <c r="Q2396" s="241"/>
    </row>
    <row r="2397" spans="1:17" ht="13.5" customHeight="1" x14ac:dyDescent="0.3">
      <c r="A2397"/>
      <c r="B2397" s="241"/>
      <c r="C2397" s="241"/>
      <c r="D2397" s="241"/>
      <c r="E2397" s="241"/>
      <c r="F2397" s="241"/>
      <c r="G2397" s="241"/>
      <c r="H2397" s="241"/>
      <c r="I2397"/>
      <c r="J2397" s="241"/>
      <c r="K2397" s="241"/>
      <c r="L2397" s="241"/>
      <c r="M2397" s="241"/>
      <c r="N2397" s="241"/>
      <c r="O2397" s="241"/>
      <c r="P2397" s="241"/>
      <c r="Q2397" s="241"/>
    </row>
    <row r="2398" spans="1:17" ht="13.5" customHeight="1" x14ac:dyDescent="0.3">
      <c r="A2398"/>
      <c r="B2398" s="241"/>
      <c r="C2398" s="241"/>
      <c r="D2398" s="241"/>
      <c r="E2398" s="241"/>
      <c r="F2398" s="241"/>
      <c r="G2398" s="241"/>
      <c r="H2398" s="241"/>
      <c r="I2398"/>
      <c r="J2398" s="241"/>
      <c r="K2398" s="241"/>
      <c r="L2398" s="241"/>
      <c r="M2398" s="241"/>
      <c r="N2398" s="241"/>
      <c r="O2398" s="241"/>
      <c r="P2398" s="241"/>
      <c r="Q2398" s="241"/>
    </row>
    <row r="2399" spans="1:17" ht="13.5" customHeight="1" x14ac:dyDescent="0.3">
      <c r="A2399"/>
      <c r="B2399" s="241"/>
      <c r="C2399" s="241"/>
      <c r="D2399" s="241"/>
      <c r="E2399" s="241"/>
      <c r="F2399" s="241"/>
      <c r="G2399" s="241"/>
      <c r="H2399" s="241"/>
      <c r="I2399"/>
      <c r="J2399" s="241"/>
      <c r="K2399" s="241"/>
      <c r="L2399" s="241"/>
      <c r="M2399" s="241"/>
      <c r="N2399" s="241"/>
      <c r="O2399" s="241"/>
      <c r="P2399" s="241"/>
      <c r="Q2399" s="241"/>
    </row>
    <row r="2400" spans="1:17" ht="13.5" customHeight="1" x14ac:dyDescent="0.3">
      <c r="A2400"/>
      <c r="B2400" s="241"/>
      <c r="C2400" s="241"/>
      <c r="D2400" s="241"/>
      <c r="E2400" s="241"/>
      <c r="F2400" s="241"/>
      <c r="G2400" s="241"/>
      <c r="H2400" s="241"/>
      <c r="I2400"/>
      <c r="J2400" s="241"/>
      <c r="K2400" s="241"/>
      <c r="L2400" s="241"/>
      <c r="M2400" s="241"/>
      <c r="N2400" s="241"/>
      <c r="O2400" s="241"/>
      <c r="P2400" s="241"/>
      <c r="Q2400" s="241"/>
    </row>
    <row r="2401" spans="1:17" ht="13.5" customHeight="1" x14ac:dyDescent="0.3">
      <c r="A2401"/>
      <c r="B2401" s="241"/>
      <c r="C2401" s="241"/>
      <c r="D2401" s="241"/>
      <c r="E2401" s="241"/>
      <c r="F2401" s="241"/>
      <c r="G2401" s="241"/>
      <c r="H2401" s="241"/>
      <c r="I2401"/>
      <c r="J2401" s="241"/>
      <c r="K2401" s="241"/>
      <c r="L2401" s="241"/>
      <c r="M2401" s="241"/>
      <c r="N2401" s="241"/>
      <c r="O2401" s="241"/>
      <c r="P2401" s="241"/>
      <c r="Q2401" s="241"/>
    </row>
    <row r="2402" spans="1:17" ht="13.5" customHeight="1" x14ac:dyDescent="0.3">
      <c r="A2402"/>
      <c r="B2402" s="241"/>
      <c r="C2402" s="241"/>
      <c r="D2402" s="241"/>
      <c r="E2402" s="241"/>
      <c r="F2402" s="241"/>
      <c r="G2402" s="241"/>
      <c r="H2402" s="241"/>
      <c r="I2402"/>
      <c r="J2402" s="241"/>
      <c r="K2402" s="241"/>
      <c r="L2402" s="241"/>
      <c r="M2402" s="241"/>
      <c r="N2402" s="241"/>
      <c r="O2402" s="241"/>
      <c r="P2402" s="241"/>
      <c r="Q2402" s="241"/>
    </row>
    <row r="2403" spans="1:17" ht="13.5" customHeight="1" x14ac:dyDescent="0.3">
      <c r="A2403"/>
      <c r="B2403" s="241"/>
      <c r="C2403" s="241"/>
      <c r="D2403" s="241"/>
      <c r="E2403" s="241"/>
      <c r="F2403" s="241"/>
      <c r="G2403" s="241"/>
      <c r="H2403" s="241"/>
      <c r="I2403"/>
      <c r="J2403" s="241"/>
      <c r="K2403" s="241"/>
      <c r="L2403" s="241"/>
      <c r="M2403" s="241"/>
      <c r="N2403" s="241"/>
      <c r="O2403" s="241"/>
      <c r="P2403" s="241"/>
      <c r="Q2403" s="241"/>
    </row>
    <row r="2404" spans="1:17" ht="13.5" customHeight="1" x14ac:dyDescent="0.3">
      <c r="A2404"/>
      <c r="B2404" s="241"/>
      <c r="C2404" s="241"/>
      <c r="D2404" s="241"/>
      <c r="E2404" s="241"/>
      <c r="F2404" s="241"/>
      <c r="G2404" s="241"/>
      <c r="H2404" s="241"/>
      <c r="I2404"/>
      <c r="J2404" s="241"/>
      <c r="K2404" s="241"/>
      <c r="L2404" s="241"/>
      <c r="M2404" s="241"/>
      <c r="N2404" s="241"/>
      <c r="O2404" s="241"/>
      <c r="P2404" s="241"/>
      <c r="Q2404" s="241"/>
    </row>
    <row r="2405" spans="1:17" ht="13.5" customHeight="1" x14ac:dyDescent="0.3">
      <c r="A2405"/>
      <c r="B2405" s="241"/>
      <c r="C2405" s="241"/>
      <c r="D2405" s="241"/>
      <c r="E2405" s="241"/>
      <c r="F2405" s="241"/>
      <c r="G2405" s="241"/>
      <c r="H2405" s="241"/>
      <c r="I2405"/>
      <c r="J2405" s="241"/>
      <c r="K2405" s="241"/>
      <c r="L2405" s="241"/>
      <c r="M2405" s="241"/>
      <c r="N2405" s="241"/>
      <c r="O2405" s="241"/>
      <c r="P2405" s="241"/>
      <c r="Q2405" s="241"/>
    </row>
    <row r="2406" spans="1:17" ht="13.5" customHeight="1" x14ac:dyDescent="0.3">
      <c r="A2406"/>
      <c r="B2406" s="241"/>
      <c r="C2406" s="241"/>
      <c r="D2406" s="241"/>
      <c r="E2406" s="241"/>
      <c r="F2406" s="241"/>
      <c r="G2406" s="241"/>
      <c r="H2406" s="241"/>
      <c r="I2406"/>
      <c r="J2406" s="241"/>
      <c r="K2406" s="241"/>
      <c r="L2406" s="241"/>
      <c r="M2406" s="241"/>
      <c r="N2406" s="241"/>
      <c r="O2406" s="241"/>
      <c r="P2406" s="241"/>
      <c r="Q2406" s="241"/>
    </row>
    <row r="2407" spans="1:17" ht="13.5" customHeight="1" x14ac:dyDescent="0.3">
      <c r="A2407"/>
      <c r="B2407" s="241"/>
      <c r="C2407" s="241"/>
      <c r="D2407" s="241"/>
      <c r="E2407" s="241"/>
      <c r="F2407" s="241"/>
      <c r="G2407" s="241"/>
      <c r="H2407" s="241"/>
      <c r="I2407"/>
      <c r="J2407" s="241"/>
      <c r="K2407" s="241"/>
      <c r="L2407" s="241"/>
      <c r="M2407" s="241"/>
      <c r="N2407" s="241"/>
      <c r="O2407" s="241"/>
      <c r="P2407" s="241"/>
      <c r="Q2407" s="241"/>
    </row>
    <row r="2408" spans="1:17" ht="13.5" customHeight="1" x14ac:dyDescent="0.3">
      <c r="A2408"/>
      <c r="B2408" s="241"/>
      <c r="C2408" s="241"/>
      <c r="D2408" s="241"/>
      <c r="E2408" s="241"/>
      <c r="F2408" s="241"/>
      <c r="G2408" s="241"/>
      <c r="H2408" s="241"/>
      <c r="I2408"/>
      <c r="J2408" s="241"/>
      <c r="K2408" s="241"/>
      <c r="L2408" s="241"/>
      <c r="M2408" s="241"/>
      <c r="N2408" s="241"/>
      <c r="O2408" s="241"/>
      <c r="P2408" s="241"/>
      <c r="Q2408" s="241"/>
    </row>
    <row r="2409" spans="1:17" ht="13.5" customHeight="1" x14ac:dyDescent="0.3">
      <c r="A2409"/>
      <c r="B2409" s="241"/>
      <c r="C2409" s="241"/>
      <c r="D2409" s="241"/>
      <c r="E2409" s="241"/>
      <c r="F2409" s="241"/>
      <c r="G2409" s="241"/>
      <c r="H2409" s="241"/>
      <c r="I2409"/>
      <c r="J2409" s="241"/>
      <c r="K2409" s="241"/>
      <c r="L2409" s="241"/>
      <c r="M2409" s="241"/>
      <c r="N2409" s="241"/>
      <c r="O2409" s="241"/>
      <c r="P2409" s="241"/>
      <c r="Q2409" s="241"/>
    </row>
    <row r="2410" spans="1:17" ht="13.5" customHeight="1" x14ac:dyDescent="0.3">
      <c r="A2410"/>
      <c r="B2410" s="241"/>
      <c r="C2410" s="241"/>
      <c r="D2410" s="241"/>
      <c r="E2410" s="241"/>
      <c r="F2410" s="241"/>
      <c r="G2410" s="241"/>
      <c r="H2410" s="241"/>
      <c r="I2410"/>
      <c r="J2410" s="241"/>
      <c r="K2410" s="241"/>
      <c r="L2410" s="241"/>
      <c r="M2410" s="241"/>
      <c r="N2410" s="241"/>
      <c r="O2410" s="241"/>
      <c r="P2410" s="241"/>
      <c r="Q2410" s="241"/>
    </row>
    <row r="2411" spans="1:17" ht="13.5" customHeight="1" x14ac:dyDescent="0.3">
      <c r="A2411"/>
      <c r="B2411" s="241"/>
      <c r="C2411" s="241"/>
      <c r="D2411" s="241"/>
      <c r="E2411" s="241"/>
      <c r="F2411" s="241"/>
      <c r="G2411" s="241"/>
      <c r="H2411" s="241"/>
      <c r="I2411"/>
      <c r="J2411" s="241"/>
      <c r="K2411" s="241"/>
      <c r="L2411" s="241"/>
      <c r="M2411" s="241"/>
      <c r="N2411" s="241"/>
      <c r="O2411" s="241"/>
      <c r="P2411" s="241"/>
      <c r="Q2411" s="241"/>
    </row>
    <row r="2412" spans="1:17" ht="13.5" customHeight="1" x14ac:dyDescent="0.3">
      <c r="A2412"/>
      <c r="B2412" s="241"/>
      <c r="C2412" s="241"/>
      <c r="D2412" s="241"/>
      <c r="E2412" s="241"/>
      <c r="F2412" s="241"/>
      <c r="G2412" s="241"/>
      <c r="H2412" s="241"/>
      <c r="I2412"/>
      <c r="J2412" s="241"/>
      <c r="K2412" s="241"/>
      <c r="L2412" s="241"/>
      <c r="M2412" s="241"/>
      <c r="N2412" s="241"/>
      <c r="O2412" s="241"/>
      <c r="P2412" s="241"/>
      <c r="Q2412" s="241"/>
    </row>
    <row r="2413" spans="1:17" ht="13.5" customHeight="1" x14ac:dyDescent="0.3">
      <c r="A2413"/>
      <c r="B2413" s="241"/>
      <c r="C2413" s="241"/>
      <c r="D2413" s="241"/>
      <c r="E2413" s="241"/>
      <c r="F2413" s="241"/>
      <c r="G2413" s="241"/>
      <c r="H2413" s="241"/>
      <c r="I2413"/>
      <c r="J2413" s="241"/>
      <c r="K2413" s="241"/>
      <c r="L2413" s="241"/>
      <c r="M2413" s="241"/>
      <c r="N2413" s="241"/>
      <c r="O2413" s="241"/>
      <c r="P2413" s="241"/>
      <c r="Q2413" s="241"/>
    </row>
    <row r="2414" spans="1:17" ht="13.5" customHeight="1" x14ac:dyDescent="0.3">
      <c r="A2414"/>
      <c r="B2414" s="241"/>
      <c r="C2414" s="241"/>
      <c r="D2414" s="241"/>
      <c r="E2414" s="241"/>
      <c r="F2414" s="241"/>
      <c r="G2414" s="241"/>
      <c r="H2414" s="241"/>
      <c r="I2414"/>
      <c r="J2414" s="241"/>
      <c r="K2414" s="241"/>
      <c r="L2414" s="241"/>
      <c r="M2414" s="241"/>
      <c r="N2414" s="241"/>
      <c r="O2414" s="241"/>
      <c r="P2414" s="241"/>
      <c r="Q2414" s="241"/>
    </row>
    <row r="2415" spans="1:17" ht="13.5" customHeight="1" x14ac:dyDescent="0.3">
      <c r="A2415"/>
      <c r="B2415" s="241"/>
      <c r="C2415" s="241"/>
      <c r="D2415" s="241"/>
      <c r="E2415" s="241"/>
      <c r="F2415" s="241"/>
      <c r="G2415" s="241"/>
      <c r="H2415" s="241"/>
      <c r="I2415"/>
      <c r="J2415" s="241"/>
      <c r="K2415" s="241"/>
      <c r="L2415" s="241"/>
      <c r="M2415" s="241"/>
      <c r="N2415" s="241"/>
      <c r="O2415" s="241"/>
      <c r="P2415" s="241"/>
      <c r="Q2415" s="241"/>
    </row>
    <row r="2416" spans="1:17" ht="13.5" customHeight="1" x14ac:dyDescent="0.3">
      <c r="A2416"/>
      <c r="B2416" s="241"/>
      <c r="C2416" s="241"/>
      <c r="D2416" s="241"/>
      <c r="E2416" s="241"/>
      <c r="F2416" s="241"/>
      <c r="G2416" s="241"/>
      <c r="H2416" s="241"/>
      <c r="I2416"/>
      <c r="J2416" s="241"/>
      <c r="K2416" s="241"/>
      <c r="L2416" s="241"/>
      <c r="M2416" s="241"/>
      <c r="N2416" s="241"/>
      <c r="O2416" s="241"/>
      <c r="P2416" s="241"/>
      <c r="Q2416" s="241"/>
    </row>
    <row r="2417" spans="1:17" ht="13.5" customHeight="1" x14ac:dyDescent="0.3">
      <c r="A2417"/>
      <c r="B2417" s="241"/>
      <c r="C2417" s="241"/>
      <c r="D2417" s="241"/>
      <c r="E2417" s="241"/>
      <c r="F2417" s="241"/>
      <c r="G2417" s="241"/>
      <c r="H2417" s="241"/>
      <c r="I2417"/>
      <c r="J2417" s="241"/>
      <c r="K2417" s="241"/>
      <c r="L2417" s="241"/>
      <c r="M2417" s="241"/>
      <c r="N2417" s="241"/>
      <c r="O2417" s="241"/>
      <c r="P2417" s="241"/>
      <c r="Q2417" s="241"/>
    </row>
    <row r="2418" spans="1:17" ht="13.5" customHeight="1" x14ac:dyDescent="0.3">
      <c r="A2418"/>
      <c r="B2418" s="241"/>
      <c r="C2418" s="241"/>
      <c r="D2418" s="241"/>
      <c r="E2418" s="241"/>
      <c r="F2418" s="241"/>
      <c r="G2418" s="241"/>
      <c r="H2418" s="241"/>
      <c r="I2418"/>
      <c r="J2418" s="241"/>
      <c r="K2418" s="241"/>
      <c r="L2418" s="241"/>
      <c r="M2418" s="241"/>
      <c r="N2418" s="241"/>
      <c r="O2418" s="241"/>
      <c r="P2418" s="241"/>
      <c r="Q2418" s="241"/>
    </row>
    <row r="2419" spans="1:17" ht="13.5" customHeight="1" x14ac:dyDescent="0.3">
      <c r="A2419"/>
      <c r="B2419" s="241"/>
      <c r="C2419" s="241"/>
      <c r="D2419" s="241"/>
      <c r="E2419" s="241"/>
      <c r="F2419" s="241"/>
      <c r="G2419" s="241"/>
      <c r="H2419" s="241"/>
      <c r="I2419"/>
      <c r="J2419" s="241"/>
      <c r="K2419" s="241"/>
      <c r="L2419" s="241"/>
      <c r="M2419" s="241"/>
      <c r="N2419" s="241"/>
      <c r="O2419" s="241"/>
      <c r="P2419" s="241"/>
      <c r="Q2419" s="241"/>
    </row>
    <row r="2420" spans="1:17" ht="13.5" customHeight="1" x14ac:dyDescent="0.3">
      <c r="A2420"/>
      <c r="B2420" s="241"/>
      <c r="C2420" s="241"/>
      <c r="D2420" s="241"/>
      <c r="E2420" s="241"/>
      <c r="F2420" s="241"/>
      <c r="G2420" s="241"/>
      <c r="H2420" s="241"/>
      <c r="I2420"/>
      <c r="J2420" s="241"/>
      <c r="K2420" s="241"/>
      <c r="L2420" s="241"/>
      <c r="M2420" s="241"/>
      <c r="N2420" s="241"/>
      <c r="O2420" s="241"/>
      <c r="P2420" s="241"/>
      <c r="Q2420" s="241"/>
    </row>
    <row r="2421" spans="1:17" ht="13.5" customHeight="1" x14ac:dyDescent="0.3">
      <c r="A2421"/>
      <c r="B2421" s="241"/>
      <c r="C2421" s="241"/>
      <c r="D2421" s="241"/>
      <c r="E2421" s="241"/>
      <c r="F2421" s="241"/>
      <c r="G2421" s="241"/>
      <c r="H2421" s="241"/>
      <c r="I2421"/>
      <c r="J2421" s="241"/>
      <c r="K2421" s="241"/>
      <c r="L2421" s="241"/>
      <c r="M2421" s="241"/>
      <c r="N2421" s="241"/>
      <c r="O2421" s="241"/>
      <c r="P2421" s="241"/>
      <c r="Q2421" s="241"/>
    </row>
    <row r="2422" spans="1:17" ht="13.5" customHeight="1" x14ac:dyDescent="0.3">
      <c r="A2422"/>
      <c r="B2422" s="241"/>
      <c r="C2422" s="241"/>
      <c r="D2422" s="241"/>
      <c r="E2422" s="241"/>
      <c r="F2422" s="241"/>
      <c r="G2422" s="241"/>
      <c r="H2422" s="241"/>
      <c r="I2422"/>
      <c r="J2422" s="241"/>
      <c r="K2422" s="241"/>
      <c r="L2422" s="241"/>
      <c r="M2422" s="241"/>
      <c r="N2422" s="241"/>
      <c r="O2422" s="241"/>
      <c r="P2422" s="241"/>
      <c r="Q2422" s="241"/>
    </row>
    <row r="2423" spans="1:17" ht="13.5" customHeight="1" x14ac:dyDescent="0.3">
      <c r="A2423"/>
      <c r="B2423" s="241"/>
      <c r="C2423" s="241"/>
      <c r="D2423" s="241"/>
      <c r="E2423" s="241"/>
      <c r="F2423" s="241"/>
      <c r="G2423" s="241"/>
      <c r="H2423" s="241"/>
      <c r="I2423"/>
      <c r="J2423" s="241"/>
      <c r="K2423" s="241"/>
      <c r="L2423" s="241"/>
      <c r="M2423" s="241"/>
      <c r="N2423" s="241"/>
      <c r="O2423" s="241"/>
      <c r="P2423" s="241"/>
      <c r="Q2423" s="241"/>
    </row>
    <row r="2424" spans="1:17" ht="13.5" customHeight="1" x14ac:dyDescent="0.3">
      <c r="A2424"/>
      <c r="B2424" s="241"/>
      <c r="C2424" s="241"/>
      <c r="D2424" s="241"/>
      <c r="E2424" s="241"/>
      <c r="F2424" s="241"/>
      <c r="G2424" s="241"/>
      <c r="H2424" s="241"/>
      <c r="I2424"/>
      <c r="J2424" s="241"/>
      <c r="K2424" s="241"/>
      <c r="L2424" s="241"/>
      <c r="M2424" s="241"/>
      <c r="N2424" s="241"/>
      <c r="O2424" s="241"/>
      <c r="P2424" s="241"/>
      <c r="Q2424" s="241"/>
    </row>
    <row r="2425" spans="1:17" ht="13.5" customHeight="1" x14ac:dyDescent="0.3">
      <c r="A2425"/>
      <c r="B2425" s="241"/>
      <c r="C2425" s="241"/>
      <c r="D2425" s="241"/>
      <c r="E2425" s="241"/>
      <c r="F2425" s="241"/>
      <c r="G2425" s="241"/>
      <c r="H2425" s="241"/>
      <c r="I2425"/>
      <c r="J2425" s="241"/>
      <c r="K2425" s="241"/>
      <c r="L2425" s="241"/>
      <c r="M2425" s="241"/>
      <c r="N2425" s="241"/>
      <c r="O2425" s="241"/>
      <c r="P2425" s="241"/>
      <c r="Q2425" s="241"/>
    </row>
    <row r="2426" spans="1:17" ht="13.5" customHeight="1" x14ac:dyDescent="0.3">
      <c r="A2426"/>
      <c r="B2426" s="241"/>
      <c r="C2426" s="241"/>
      <c r="D2426" s="241"/>
      <c r="E2426" s="241"/>
      <c r="F2426" s="241"/>
      <c r="G2426" s="241"/>
      <c r="H2426" s="241"/>
      <c r="I2426"/>
      <c r="J2426" s="241"/>
      <c r="K2426" s="241"/>
      <c r="L2426" s="241"/>
      <c r="M2426" s="241"/>
      <c r="N2426" s="241"/>
      <c r="O2426" s="241"/>
      <c r="P2426" s="241"/>
      <c r="Q2426" s="241"/>
    </row>
    <row r="2427" spans="1:17" ht="13.5" customHeight="1" x14ac:dyDescent="0.3">
      <c r="A2427"/>
      <c r="B2427" s="241"/>
      <c r="C2427" s="241"/>
      <c r="D2427" s="241"/>
      <c r="E2427" s="241"/>
      <c r="F2427" s="241"/>
      <c r="G2427" s="241"/>
      <c r="H2427" s="241"/>
      <c r="I2427"/>
      <c r="J2427" s="241"/>
      <c r="K2427" s="241"/>
      <c r="L2427" s="241"/>
      <c r="M2427" s="241"/>
      <c r="N2427" s="241"/>
      <c r="O2427" s="241"/>
      <c r="P2427" s="241"/>
      <c r="Q2427" s="241"/>
    </row>
    <row r="2428" spans="1:17" ht="13.5" customHeight="1" x14ac:dyDescent="0.3">
      <c r="A2428"/>
      <c r="B2428" s="241"/>
      <c r="C2428" s="241"/>
      <c r="D2428" s="241"/>
      <c r="E2428" s="241"/>
      <c r="F2428" s="241"/>
      <c r="G2428" s="241"/>
      <c r="H2428" s="241"/>
      <c r="I2428"/>
      <c r="J2428" s="241"/>
      <c r="K2428" s="241"/>
      <c r="L2428" s="241"/>
      <c r="M2428" s="241"/>
      <c r="N2428" s="241"/>
      <c r="O2428" s="241"/>
      <c r="P2428" s="241"/>
      <c r="Q2428" s="241"/>
    </row>
    <row r="2429" spans="1:17" ht="13.5" customHeight="1" x14ac:dyDescent="0.3">
      <c r="A2429"/>
      <c r="B2429" s="241"/>
      <c r="C2429" s="241"/>
      <c r="D2429" s="241"/>
      <c r="E2429" s="241"/>
      <c r="F2429" s="241"/>
      <c r="G2429" s="241"/>
      <c r="H2429" s="241"/>
      <c r="I2429"/>
      <c r="J2429" s="241"/>
      <c r="K2429" s="241"/>
      <c r="L2429" s="241"/>
      <c r="M2429" s="241"/>
      <c r="N2429" s="241"/>
      <c r="O2429" s="241"/>
      <c r="P2429" s="241"/>
      <c r="Q2429" s="241"/>
    </row>
    <row r="2430" spans="1:17" ht="13.5" customHeight="1" x14ac:dyDescent="0.3">
      <c r="A2430"/>
      <c r="B2430" s="241"/>
      <c r="C2430" s="241"/>
      <c r="D2430" s="241"/>
      <c r="E2430" s="241"/>
      <c r="F2430" s="241"/>
      <c r="G2430" s="241"/>
      <c r="H2430" s="241"/>
      <c r="I2430"/>
      <c r="J2430" s="241"/>
      <c r="K2430" s="241"/>
      <c r="L2430" s="241"/>
      <c r="M2430" s="241"/>
      <c r="N2430" s="241"/>
      <c r="O2430" s="241"/>
      <c r="P2430" s="241"/>
      <c r="Q2430" s="241"/>
    </row>
    <row r="2431" spans="1:17" ht="13.5" customHeight="1" x14ac:dyDescent="0.3">
      <c r="A2431"/>
      <c r="B2431" s="241"/>
      <c r="C2431" s="241"/>
      <c r="D2431" s="241"/>
      <c r="E2431" s="241"/>
      <c r="F2431" s="241"/>
      <c r="G2431" s="241"/>
      <c r="H2431" s="241"/>
      <c r="I2431"/>
      <c r="J2431" s="241"/>
      <c r="K2431" s="241"/>
      <c r="L2431" s="241"/>
      <c r="M2431" s="241"/>
      <c r="N2431" s="241"/>
      <c r="O2431" s="241"/>
      <c r="P2431" s="241"/>
      <c r="Q2431" s="241"/>
    </row>
    <row r="2432" spans="1:17" ht="13.5" customHeight="1" x14ac:dyDescent="0.3">
      <c r="A2432"/>
      <c r="B2432" s="241"/>
      <c r="C2432" s="241"/>
      <c r="D2432" s="241"/>
      <c r="E2432" s="241"/>
      <c r="F2432" s="241"/>
      <c r="G2432" s="241"/>
      <c r="H2432" s="241"/>
      <c r="I2432"/>
      <c r="J2432" s="241"/>
      <c r="K2432" s="241"/>
      <c r="L2432" s="241"/>
      <c r="M2432" s="241"/>
      <c r="N2432" s="241"/>
      <c r="O2432" s="241"/>
      <c r="P2432" s="241"/>
      <c r="Q2432" s="241"/>
    </row>
    <row r="2433" spans="1:17" ht="13.5" customHeight="1" x14ac:dyDescent="0.3">
      <c r="A2433"/>
      <c r="B2433" s="241"/>
      <c r="C2433" s="241"/>
      <c r="D2433" s="241"/>
      <c r="E2433" s="241"/>
      <c r="F2433" s="241"/>
      <c r="G2433" s="241"/>
      <c r="H2433" s="241"/>
      <c r="I2433"/>
      <c r="J2433" s="241"/>
      <c r="K2433" s="241"/>
      <c r="L2433" s="241"/>
      <c r="M2433" s="241"/>
      <c r="N2433" s="241"/>
      <c r="O2433" s="241"/>
      <c r="P2433" s="241"/>
      <c r="Q2433" s="241"/>
    </row>
    <row r="2434" spans="1:17" ht="13.5" customHeight="1" x14ac:dyDescent="0.3">
      <c r="A2434"/>
      <c r="B2434" s="241"/>
      <c r="C2434" s="241"/>
      <c r="D2434" s="241"/>
      <c r="E2434" s="241"/>
      <c r="F2434" s="241"/>
      <c r="G2434" s="241"/>
      <c r="H2434" s="241"/>
      <c r="I2434"/>
      <c r="J2434" s="241"/>
      <c r="K2434" s="241"/>
      <c r="L2434" s="241"/>
      <c r="M2434" s="241"/>
      <c r="N2434" s="241"/>
      <c r="O2434" s="241"/>
      <c r="P2434" s="241"/>
      <c r="Q2434" s="241"/>
    </row>
    <row r="2435" spans="1:17" ht="13.5" customHeight="1" x14ac:dyDescent="0.3">
      <c r="A2435"/>
      <c r="B2435" s="241"/>
      <c r="C2435" s="241"/>
      <c r="D2435" s="241"/>
      <c r="E2435" s="241"/>
      <c r="F2435" s="241"/>
      <c r="G2435" s="241"/>
      <c r="H2435" s="241"/>
      <c r="I2435"/>
      <c r="J2435" s="241"/>
      <c r="K2435" s="241"/>
      <c r="L2435" s="241"/>
      <c r="M2435" s="241"/>
      <c r="N2435" s="241"/>
      <c r="O2435" s="241"/>
      <c r="P2435" s="241"/>
      <c r="Q2435" s="241"/>
    </row>
    <row r="2436" spans="1:17" ht="13.5" customHeight="1" x14ac:dyDescent="0.3">
      <c r="A2436"/>
      <c r="B2436" s="241"/>
      <c r="C2436" s="241"/>
      <c r="D2436" s="241"/>
      <c r="E2436" s="241"/>
      <c r="F2436" s="241"/>
      <c r="G2436" s="241"/>
      <c r="H2436" s="241"/>
      <c r="I2436"/>
      <c r="J2436" s="241"/>
      <c r="K2436" s="241"/>
      <c r="L2436" s="241"/>
      <c r="M2436" s="241"/>
      <c r="N2436" s="241"/>
      <c r="O2436" s="241"/>
      <c r="P2436" s="241"/>
      <c r="Q2436" s="241"/>
    </row>
    <row r="2437" spans="1:17" ht="13.5" customHeight="1" x14ac:dyDescent="0.3">
      <c r="A2437"/>
      <c r="B2437" s="241"/>
      <c r="C2437" s="241"/>
      <c r="D2437" s="241"/>
      <c r="E2437" s="241"/>
      <c r="F2437" s="241"/>
      <c r="G2437" s="241"/>
      <c r="H2437" s="241"/>
      <c r="I2437"/>
      <c r="J2437" s="241"/>
      <c r="K2437" s="241"/>
      <c r="L2437" s="241"/>
      <c r="M2437" s="241"/>
      <c r="N2437" s="241"/>
      <c r="O2437" s="241"/>
      <c r="P2437" s="241"/>
      <c r="Q2437" s="241"/>
    </row>
    <row r="2438" spans="1:17" ht="13.5" customHeight="1" x14ac:dyDescent="0.3">
      <c r="A2438"/>
      <c r="B2438" s="241"/>
      <c r="C2438" s="241"/>
      <c r="D2438" s="241"/>
      <c r="E2438" s="241"/>
      <c r="F2438" s="241"/>
      <c r="G2438" s="241"/>
      <c r="H2438" s="241"/>
      <c r="I2438"/>
      <c r="J2438" s="241"/>
      <c r="K2438" s="241"/>
      <c r="L2438" s="241"/>
      <c r="M2438" s="241"/>
      <c r="N2438" s="241"/>
      <c r="O2438" s="241"/>
      <c r="P2438" s="241"/>
      <c r="Q2438" s="241"/>
    </row>
    <row r="2439" spans="1:17" ht="13.5" customHeight="1" x14ac:dyDescent="0.3">
      <c r="A2439"/>
      <c r="B2439" s="241"/>
      <c r="C2439" s="241"/>
      <c r="D2439" s="241"/>
      <c r="E2439" s="241"/>
      <c r="F2439" s="241"/>
      <c r="G2439" s="241"/>
      <c r="H2439" s="241"/>
      <c r="I2439"/>
      <c r="J2439" s="241"/>
      <c r="K2439" s="241"/>
      <c r="L2439" s="241"/>
      <c r="M2439" s="241"/>
      <c r="N2439" s="241"/>
      <c r="O2439" s="241"/>
      <c r="P2439" s="241"/>
      <c r="Q2439" s="241"/>
    </row>
    <row r="2440" spans="1:17" ht="13.5" customHeight="1" x14ac:dyDescent="0.3">
      <c r="A2440"/>
      <c r="B2440" s="241"/>
      <c r="C2440" s="241"/>
      <c r="D2440" s="241"/>
      <c r="E2440" s="241"/>
      <c r="F2440" s="241"/>
      <c r="G2440" s="241"/>
      <c r="H2440" s="241"/>
      <c r="I2440"/>
      <c r="J2440" s="241"/>
      <c r="K2440" s="241"/>
      <c r="L2440" s="241"/>
      <c r="M2440" s="241"/>
      <c r="N2440" s="241"/>
      <c r="O2440" s="241"/>
      <c r="P2440" s="241"/>
      <c r="Q2440" s="241"/>
    </row>
    <row r="2441" spans="1:17" ht="13.5" customHeight="1" x14ac:dyDescent="0.3">
      <c r="A2441"/>
      <c r="B2441" s="241"/>
      <c r="C2441" s="241"/>
      <c r="D2441" s="241"/>
      <c r="E2441" s="241"/>
      <c r="F2441" s="241"/>
      <c r="G2441" s="241"/>
      <c r="H2441" s="241"/>
      <c r="I2441"/>
      <c r="J2441" s="241"/>
      <c r="K2441" s="241"/>
      <c r="L2441" s="241"/>
      <c r="M2441" s="241"/>
      <c r="N2441" s="241"/>
      <c r="O2441" s="241"/>
      <c r="P2441" s="241"/>
      <c r="Q2441" s="241"/>
    </row>
    <row r="2442" spans="1:17" ht="13.5" customHeight="1" x14ac:dyDescent="0.3">
      <c r="A2442"/>
      <c r="B2442" s="241"/>
      <c r="C2442" s="241"/>
      <c r="D2442" s="241"/>
      <c r="E2442" s="241"/>
      <c r="F2442" s="241"/>
      <c r="G2442" s="241"/>
      <c r="H2442" s="241"/>
      <c r="I2442"/>
      <c r="J2442" s="241"/>
      <c r="K2442" s="241"/>
      <c r="L2442" s="241"/>
      <c r="M2442" s="241"/>
      <c r="N2442" s="241"/>
      <c r="O2442" s="241"/>
      <c r="P2442" s="241"/>
      <c r="Q2442" s="241"/>
    </row>
    <row r="2443" spans="1:17" ht="13.5" customHeight="1" x14ac:dyDescent="0.3">
      <c r="A2443"/>
      <c r="B2443" s="241"/>
      <c r="C2443" s="241"/>
      <c r="D2443" s="241"/>
      <c r="E2443" s="241"/>
      <c r="F2443" s="241"/>
      <c r="G2443" s="241"/>
      <c r="H2443" s="241"/>
      <c r="I2443"/>
      <c r="J2443" s="241"/>
      <c r="K2443" s="241"/>
      <c r="L2443" s="241"/>
      <c r="M2443" s="241"/>
      <c r="N2443" s="241"/>
      <c r="O2443" s="241"/>
      <c r="P2443" s="241"/>
      <c r="Q2443" s="241"/>
    </row>
    <row r="2444" spans="1:17" ht="13.5" customHeight="1" x14ac:dyDescent="0.3">
      <c r="A2444"/>
      <c r="B2444" s="241"/>
      <c r="C2444" s="241"/>
      <c r="D2444" s="241"/>
      <c r="E2444" s="241"/>
      <c r="F2444" s="241"/>
      <c r="G2444" s="241"/>
      <c r="H2444" s="241"/>
      <c r="I2444"/>
      <c r="J2444" s="241"/>
      <c r="K2444" s="241"/>
      <c r="L2444" s="241"/>
      <c r="M2444" s="241"/>
      <c r="N2444" s="241"/>
      <c r="O2444" s="241"/>
      <c r="P2444" s="241"/>
      <c r="Q2444" s="241"/>
    </row>
    <row r="2445" spans="1:17" ht="13.5" customHeight="1" x14ac:dyDescent="0.3">
      <c r="A2445"/>
      <c r="B2445" s="241"/>
      <c r="C2445" s="241"/>
      <c r="D2445" s="241"/>
      <c r="E2445" s="241"/>
      <c r="F2445" s="241"/>
      <c r="G2445" s="241"/>
      <c r="H2445" s="241"/>
      <c r="I2445"/>
      <c r="J2445" s="241"/>
      <c r="K2445" s="241"/>
      <c r="L2445" s="241"/>
      <c r="M2445" s="241"/>
      <c r="N2445" s="241"/>
      <c r="O2445" s="241"/>
      <c r="P2445" s="241"/>
      <c r="Q2445" s="241"/>
    </row>
    <row r="2446" spans="1:17" ht="13.5" customHeight="1" x14ac:dyDescent="0.3">
      <c r="A2446"/>
      <c r="B2446" s="241"/>
      <c r="C2446" s="241"/>
      <c r="D2446" s="241"/>
      <c r="E2446" s="241"/>
      <c r="F2446" s="241"/>
      <c r="G2446" s="241"/>
      <c r="H2446" s="241"/>
      <c r="I2446"/>
      <c r="J2446" s="241"/>
      <c r="K2446" s="241"/>
      <c r="L2446" s="241"/>
      <c r="M2446" s="241"/>
      <c r="N2446" s="241"/>
      <c r="O2446" s="241"/>
      <c r="P2446" s="241"/>
      <c r="Q2446" s="241"/>
    </row>
    <row r="2447" spans="1:17" ht="13.5" customHeight="1" x14ac:dyDescent="0.3">
      <c r="A2447"/>
      <c r="B2447" s="241"/>
      <c r="C2447" s="241"/>
      <c r="D2447" s="241"/>
      <c r="E2447" s="241"/>
      <c r="F2447" s="241"/>
      <c r="G2447" s="241"/>
      <c r="H2447" s="241"/>
      <c r="I2447"/>
      <c r="J2447" s="241"/>
      <c r="K2447" s="241"/>
      <c r="L2447" s="241"/>
      <c r="M2447" s="241"/>
      <c r="N2447" s="241"/>
      <c r="O2447" s="241"/>
      <c r="P2447" s="241"/>
      <c r="Q2447" s="241"/>
    </row>
    <row r="2448" spans="1:17" ht="13.5" customHeight="1" x14ac:dyDescent="0.3">
      <c r="A2448"/>
      <c r="B2448" s="241"/>
      <c r="C2448" s="241"/>
      <c r="D2448" s="241"/>
      <c r="E2448" s="241"/>
      <c r="F2448" s="241"/>
      <c r="G2448" s="241"/>
      <c r="H2448" s="241"/>
      <c r="I2448"/>
      <c r="J2448" s="241"/>
      <c r="K2448" s="241"/>
      <c r="L2448" s="241"/>
      <c r="M2448" s="241"/>
      <c r="N2448" s="241"/>
      <c r="O2448" s="241"/>
      <c r="P2448" s="241"/>
      <c r="Q2448" s="241"/>
    </row>
    <row r="2449" spans="1:17" ht="13.5" customHeight="1" x14ac:dyDescent="0.3">
      <c r="A2449"/>
      <c r="B2449" s="241"/>
      <c r="C2449" s="241"/>
      <c r="D2449" s="241"/>
      <c r="E2449" s="241"/>
      <c r="F2449" s="241"/>
      <c r="G2449" s="241"/>
      <c r="H2449" s="241"/>
      <c r="I2449"/>
      <c r="J2449" s="241"/>
      <c r="K2449" s="241"/>
      <c r="L2449" s="241"/>
      <c r="M2449" s="241"/>
      <c r="N2449" s="241"/>
      <c r="O2449" s="241"/>
      <c r="P2449" s="241"/>
      <c r="Q2449" s="241"/>
    </row>
    <row r="2450" spans="1:17" ht="13.5" customHeight="1" x14ac:dyDescent="0.3">
      <c r="A2450"/>
      <c r="B2450" s="241"/>
      <c r="C2450" s="241"/>
      <c r="D2450" s="241"/>
      <c r="E2450" s="241"/>
      <c r="F2450" s="241"/>
      <c r="G2450" s="241"/>
      <c r="H2450" s="241"/>
      <c r="I2450"/>
      <c r="J2450" s="241"/>
      <c r="K2450" s="241"/>
      <c r="L2450" s="241"/>
      <c r="M2450" s="241"/>
      <c r="N2450" s="241"/>
      <c r="O2450" s="241"/>
      <c r="P2450" s="241"/>
      <c r="Q2450" s="241"/>
    </row>
    <row r="2451" spans="1:17" ht="13.5" customHeight="1" x14ac:dyDescent="0.3">
      <c r="A2451"/>
      <c r="B2451" s="241"/>
      <c r="C2451" s="241"/>
      <c r="D2451" s="241"/>
      <c r="E2451" s="241"/>
      <c r="F2451" s="241"/>
      <c r="G2451" s="241"/>
      <c r="H2451" s="241"/>
      <c r="I2451"/>
      <c r="J2451" s="241"/>
      <c r="K2451" s="241"/>
      <c r="L2451" s="241"/>
      <c r="M2451" s="241"/>
      <c r="N2451" s="241"/>
      <c r="O2451" s="241"/>
      <c r="P2451" s="241"/>
      <c r="Q2451" s="241"/>
    </row>
    <row r="2452" spans="1:17" ht="13.5" customHeight="1" x14ac:dyDescent="0.3">
      <c r="A2452"/>
      <c r="B2452" s="241"/>
      <c r="C2452" s="241"/>
      <c r="D2452" s="241"/>
      <c r="E2452" s="241"/>
      <c r="F2452" s="241"/>
      <c r="G2452" s="241"/>
      <c r="H2452" s="241"/>
      <c r="I2452"/>
      <c r="J2452" s="241"/>
      <c r="K2452" s="241"/>
      <c r="L2452" s="241"/>
      <c r="M2452" s="241"/>
      <c r="N2452" s="241"/>
      <c r="O2452" s="241"/>
      <c r="P2452" s="241"/>
      <c r="Q2452" s="241"/>
    </row>
    <row r="2453" spans="1:17" ht="13.5" customHeight="1" x14ac:dyDescent="0.3">
      <c r="A2453"/>
      <c r="B2453" s="241"/>
      <c r="C2453" s="241"/>
      <c r="D2453" s="241"/>
      <c r="E2453" s="241"/>
      <c r="F2453" s="241"/>
      <c r="G2453" s="241"/>
      <c r="H2453" s="241"/>
      <c r="I2453"/>
      <c r="J2453" s="241"/>
      <c r="K2453" s="241"/>
      <c r="L2453" s="241"/>
      <c r="M2453" s="241"/>
      <c r="N2453" s="241"/>
      <c r="O2453" s="241"/>
      <c r="P2453" s="241"/>
      <c r="Q2453" s="241"/>
    </row>
    <row r="2454" spans="1:17" ht="13.5" customHeight="1" x14ac:dyDescent="0.3">
      <c r="A2454"/>
      <c r="B2454" s="241"/>
      <c r="C2454" s="241"/>
      <c r="D2454" s="241"/>
      <c r="E2454" s="241"/>
      <c r="F2454" s="241"/>
      <c r="G2454" s="241"/>
      <c r="H2454" s="241"/>
      <c r="I2454"/>
      <c r="J2454" s="241"/>
      <c r="K2454" s="241"/>
      <c r="L2454" s="241"/>
      <c r="M2454" s="241"/>
      <c r="N2454" s="241"/>
      <c r="O2454" s="241"/>
      <c r="P2454" s="241"/>
      <c r="Q2454" s="241"/>
    </row>
    <row r="2455" spans="1:17" ht="13.5" customHeight="1" x14ac:dyDescent="0.3">
      <c r="A2455"/>
      <c r="B2455" s="241"/>
      <c r="C2455" s="241"/>
      <c r="D2455" s="241"/>
      <c r="E2455" s="241"/>
      <c r="F2455" s="241"/>
      <c r="G2455" s="241"/>
      <c r="H2455" s="241"/>
      <c r="I2455"/>
      <c r="J2455" s="241"/>
      <c r="K2455" s="241"/>
      <c r="L2455" s="241"/>
      <c r="M2455" s="241"/>
      <c r="N2455" s="241"/>
      <c r="O2455" s="241"/>
      <c r="P2455" s="241"/>
      <c r="Q2455" s="241"/>
    </row>
    <row r="2456" spans="1:17" ht="13.5" customHeight="1" x14ac:dyDescent="0.3">
      <c r="A2456"/>
      <c r="B2456" s="241"/>
      <c r="C2456" s="241"/>
      <c r="D2456" s="241"/>
      <c r="E2456" s="241"/>
      <c r="F2456" s="241"/>
      <c r="G2456" s="241"/>
      <c r="H2456" s="241"/>
      <c r="I2456"/>
      <c r="J2456" s="241"/>
      <c r="K2456" s="241"/>
      <c r="L2456" s="241"/>
      <c r="M2456" s="241"/>
      <c r="N2456" s="241"/>
      <c r="O2456" s="241"/>
      <c r="P2456" s="241"/>
      <c r="Q2456" s="241"/>
    </row>
    <row r="2457" spans="1:17" ht="13.5" customHeight="1" x14ac:dyDescent="0.3">
      <c r="A2457"/>
      <c r="B2457" s="241"/>
      <c r="C2457" s="241"/>
      <c r="D2457" s="241"/>
      <c r="E2457" s="241"/>
      <c r="F2457" s="241"/>
      <c r="G2457" s="241"/>
      <c r="H2457" s="241"/>
      <c r="I2457"/>
      <c r="J2457" s="241"/>
      <c r="K2457" s="241"/>
      <c r="L2457" s="241"/>
      <c r="M2457" s="241"/>
      <c r="N2457" s="241"/>
      <c r="O2457" s="241"/>
      <c r="P2457" s="241"/>
      <c r="Q2457" s="241"/>
    </row>
    <row r="2458" spans="1:17" ht="13.5" customHeight="1" x14ac:dyDescent="0.3">
      <c r="A2458"/>
      <c r="B2458" s="241"/>
      <c r="C2458" s="241"/>
      <c r="D2458" s="241"/>
      <c r="E2458" s="241"/>
      <c r="F2458" s="241"/>
      <c r="G2458" s="241"/>
      <c r="H2458" s="241"/>
      <c r="I2458"/>
      <c r="J2458" s="241"/>
      <c r="K2458" s="241"/>
      <c r="L2458" s="241"/>
      <c r="M2458" s="241"/>
      <c r="N2458" s="241"/>
      <c r="O2458" s="241"/>
      <c r="P2458" s="241"/>
      <c r="Q2458" s="241"/>
    </row>
    <row r="2459" spans="1:17" ht="13.5" customHeight="1" x14ac:dyDescent="0.3">
      <c r="A2459"/>
      <c r="B2459" s="241"/>
      <c r="C2459" s="241"/>
      <c r="D2459" s="241"/>
      <c r="E2459" s="241"/>
      <c r="F2459" s="241"/>
      <c r="G2459" s="241"/>
      <c r="H2459" s="241"/>
      <c r="I2459"/>
      <c r="J2459" s="241"/>
      <c r="K2459" s="241"/>
      <c r="L2459" s="241"/>
      <c r="M2459" s="241"/>
      <c r="N2459" s="241"/>
      <c r="O2459" s="241"/>
      <c r="P2459" s="241"/>
      <c r="Q2459" s="241"/>
    </row>
    <row r="2460" spans="1:17" ht="13.5" customHeight="1" x14ac:dyDescent="0.3">
      <c r="A2460"/>
      <c r="B2460" s="241"/>
      <c r="C2460" s="241"/>
      <c r="D2460" s="241"/>
      <c r="E2460" s="241"/>
      <c r="F2460" s="241"/>
      <c r="G2460" s="241"/>
      <c r="H2460" s="241"/>
      <c r="I2460"/>
      <c r="J2460" s="241"/>
      <c r="K2460" s="241"/>
      <c r="L2460" s="241"/>
      <c r="M2460" s="241"/>
      <c r="N2460" s="241"/>
      <c r="O2460" s="241"/>
      <c r="P2460" s="241"/>
      <c r="Q2460" s="241"/>
    </row>
    <row r="2461" spans="1:17" ht="13.5" customHeight="1" x14ac:dyDescent="0.3">
      <c r="A2461"/>
      <c r="B2461" s="241"/>
      <c r="C2461" s="241"/>
      <c r="D2461" s="241"/>
      <c r="E2461" s="241"/>
      <c r="F2461" s="241"/>
      <c r="G2461" s="241"/>
      <c r="H2461" s="241"/>
      <c r="I2461"/>
      <c r="J2461" s="241"/>
      <c r="K2461" s="241"/>
      <c r="L2461" s="241"/>
      <c r="M2461" s="241"/>
      <c r="N2461" s="241"/>
      <c r="O2461" s="241"/>
      <c r="P2461" s="241"/>
      <c r="Q2461" s="241"/>
    </row>
    <row r="2462" spans="1:17" ht="13.5" customHeight="1" x14ac:dyDescent="0.3">
      <c r="A2462"/>
      <c r="B2462" s="241"/>
      <c r="C2462" s="241"/>
      <c r="D2462" s="241"/>
      <c r="E2462" s="241"/>
      <c r="F2462" s="241"/>
      <c r="G2462" s="241"/>
      <c r="H2462" s="241"/>
      <c r="I2462"/>
      <c r="J2462" s="241"/>
      <c r="K2462" s="241"/>
      <c r="L2462" s="241"/>
      <c r="M2462" s="241"/>
      <c r="N2462" s="241"/>
      <c r="O2462" s="241"/>
      <c r="P2462" s="241"/>
      <c r="Q2462" s="241"/>
    </row>
    <row r="2463" spans="1:17" ht="13.5" customHeight="1" x14ac:dyDescent="0.3">
      <c r="A2463"/>
      <c r="B2463" s="241"/>
      <c r="C2463" s="241"/>
      <c r="D2463" s="241"/>
      <c r="E2463" s="241"/>
      <c r="F2463" s="241"/>
      <c r="G2463" s="241"/>
      <c r="H2463" s="241"/>
      <c r="I2463"/>
      <c r="J2463" s="241"/>
      <c r="K2463" s="241"/>
      <c r="L2463" s="241"/>
      <c r="M2463" s="241"/>
      <c r="N2463" s="241"/>
      <c r="O2463" s="241"/>
      <c r="P2463" s="241"/>
      <c r="Q2463" s="241"/>
    </row>
    <row r="2464" spans="1:17" ht="13.5" customHeight="1" x14ac:dyDescent="0.3">
      <c r="A2464"/>
      <c r="B2464" s="241"/>
      <c r="C2464" s="241"/>
      <c r="D2464" s="241"/>
      <c r="E2464" s="241"/>
      <c r="F2464" s="241"/>
      <c r="G2464" s="241"/>
      <c r="H2464" s="241"/>
      <c r="I2464"/>
      <c r="J2464" s="241"/>
      <c r="K2464" s="241"/>
      <c r="L2464" s="241"/>
      <c r="M2464" s="241"/>
      <c r="N2464" s="241"/>
      <c r="O2464" s="241"/>
      <c r="P2464" s="241"/>
      <c r="Q2464" s="241"/>
    </row>
    <row r="2465" spans="1:17" ht="13.5" customHeight="1" x14ac:dyDescent="0.3">
      <c r="A2465"/>
      <c r="B2465" s="241"/>
      <c r="C2465" s="241"/>
      <c r="D2465" s="241"/>
      <c r="E2465" s="241"/>
      <c r="F2465" s="241"/>
      <c r="G2465" s="241"/>
      <c r="H2465" s="241"/>
      <c r="I2465"/>
      <c r="J2465" s="241"/>
      <c r="K2465" s="241"/>
      <c r="L2465" s="241"/>
      <c r="M2465" s="241"/>
      <c r="N2465" s="241"/>
      <c r="O2465" s="241"/>
      <c r="P2465" s="241"/>
      <c r="Q2465" s="241"/>
    </row>
    <row r="2466" spans="1:17" ht="13.5" customHeight="1" x14ac:dyDescent="0.3">
      <c r="A2466"/>
      <c r="B2466" s="241"/>
      <c r="C2466" s="241"/>
      <c r="D2466" s="241"/>
      <c r="E2466" s="241"/>
      <c r="F2466" s="241"/>
      <c r="G2466" s="241"/>
      <c r="H2466" s="241"/>
      <c r="I2466"/>
      <c r="J2466" s="241"/>
      <c r="K2466" s="241"/>
      <c r="L2466" s="241"/>
      <c r="M2466" s="241"/>
      <c r="N2466" s="241"/>
      <c r="O2466" s="241"/>
      <c r="P2466" s="241"/>
      <c r="Q2466" s="241"/>
    </row>
    <row r="2467" spans="1:17" ht="13.5" customHeight="1" x14ac:dyDescent="0.3">
      <c r="A2467"/>
      <c r="B2467" s="241"/>
      <c r="C2467" s="241"/>
      <c r="D2467" s="241"/>
      <c r="E2467" s="241"/>
      <c r="F2467" s="241"/>
      <c r="G2467" s="241"/>
      <c r="H2467" s="241"/>
      <c r="I2467"/>
      <c r="J2467" s="241"/>
      <c r="K2467" s="241"/>
      <c r="L2467" s="241"/>
      <c r="M2467" s="241"/>
      <c r="N2467" s="241"/>
      <c r="O2467" s="241"/>
      <c r="P2467" s="241"/>
      <c r="Q2467" s="241"/>
    </row>
    <row r="2468" spans="1:17" ht="13.5" customHeight="1" x14ac:dyDescent="0.3">
      <c r="A2468"/>
      <c r="B2468" s="241"/>
      <c r="C2468" s="241"/>
      <c r="D2468" s="241"/>
      <c r="E2468" s="241"/>
      <c r="F2468" s="241"/>
      <c r="G2468" s="241"/>
      <c r="H2468" s="241"/>
      <c r="I2468"/>
      <c r="J2468" s="241"/>
      <c r="K2468" s="241"/>
      <c r="L2468" s="241"/>
      <c r="M2468" s="241"/>
      <c r="N2468" s="241"/>
      <c r="O2468" s="241"/>
      <c r="P2468" s="241"/>
      <c r="Q2468" s="241"/>
    </row>
    <row r="2469" spans="1:17" ht="13.5" customHeight="1" x14ac:dyDescent="0.3">
      <c r="A2469"/>
      <c r="B2469" s="241"/>
      <c r="C2469" s="241"/>
      <c r="D2469" s="241"/>
      <c r="E2469" s="241"/>
      <c r="F2469" s="241"/>
      <c r="G2469" s="241"/>
      <c r="H2469" s="241"/>
      <c r="I2469"/>
      <c r="J2469" s="241"/>
      <c r="K2469" s="241"/>
      <c r="L2469" s="241"/>
      <c r="M2469" s="241"/>
      <c r="N2469" s="241"/>
      <c r="O2469" s="241"/>
      <c r="P2469" s="241"/>
      <c r="Q2469" s="241"/>
    </row>
    <row r="2470" spans="1:17" ht="13.5" customHeight="1" x14ac:dyDescent="0.3">
      <c r="A2470"/>
      <c r="B2470" s="241"/>
      <c r="C2470" s="241"/>
      <c r="D2470" s="241"/>
      <c r="E2470" s="241"/>
      <c r="F2470" s="241"/>
      <c r="G2470" s="241"/>
      <c r="H2470" s="241"/>
      <c r="I2470"/>
      <c r="J2470" s="241"/>
      <c r="K2470" s="241"/>
      <c r="L2470" s="241"/>
      <c r="M2470" s="241"/>
      <c r="N2470" s="241"/>
      <c r="O2470" s="241"/>
      <c r="P2470" s="241"/>
      <c r="Q2470" s="241"/>
    </row>
    <row r="2471" spans="1:17" ht="13.5" customHeight="1" x14ac:dyDescent="0.3">
      <c r="A2471"/>
      <c r="B2471" s="241"/>
      <c r="C2471" s="241"/>
      <c r="D2471" s="241"/>
      <c r="E2471" s="241"/>
      <c r="F2471" s="241"/>
      <c r="G2471" s="241"/>
      <c r="H2471" s="241"/>
      <c r="I2471"/>
      <c r="J2471" s="241"/>
      <c r="K2471" s="241"/>
      <c r="L2471" s="241"/>
      <c r="M2471" s="241"/>
      <c r="N2471" s="241"/>
      <c r="O2471" s="241"/>
      <c r="P2471" s="241"/>
      <c r="Q2471" s="241"/>
    </row>
    <row r="2472" spans="1:17" ht="13.5" customHeight="1" x14ac:dyDescent="0.3">
      <c r="A2472"/>
      <c r="B2472" s="241"/>
      <c r="C2472" s="241"/>
      <c r="D2472" s="241"/>
      <c r="E2472" s="241"/>
      <c r="F2472" s="241"/>
      <c r="G2472" s="241"/>
      <c r="H2472" s="241"/>
      <c r="I2472"/>
      <c r="J2472" s="241"/>
      <c r="K2472" s="241"/>
      <c r="L2472" s="241"/>
      <c r="M2472" s="241"/>
      <c r="N2472" s="241"/>
      <c r="O2472" s="241"/>
      <c r="P2472" s="241"/>
      <c r="Q2472" s="241"/>
    </row>
    <row r="2473" spans="1:17" ht="13.5" customHeight="1" x14ac:dyDescent="0.3">
      <c r="A2473"/>
      <c r="B2473" s="241"/>
      <c r="C2473" s="241"/>
      <c r="D2473" s="241"/>
      <c r="E2473" s="241"/>
      <c r="F2473" s="241"/>
      <c r="G2473" s="241"/>
      <c r="H2473" s="241"/>
      <c r="I2473"/>
      <c r="J2473" s="241"/>
      <c r="K2473" s="241"/>
      <c r="L2473" s="241"/>
      <c r="M2473" s="241"/>
      <c r="N2473" s="241"/>
      <c r="O2473" s="241"/>
      <c r="P2473" s="241"/>
      <c r="Q2473" s="241"/>
    </row>
    <row r="2474" spans="1:17" ht="13.5" customHeight="1" x14ac:dyDescent="0.3">
      <c r="A2474"/>
      <c r="B2474" s="241"/>
      <c r="C2474" s="241"/>
      <c r="D2474" s="241"/>
      <c r="E2474" s="241"/>
      <c r="F2474" s="241"/>
      <c r="G2474" s="241"/>
      <c r="H2474" s="241"/>
      <c r="I2474"/>
      <c r="J2474" s="241"/>
      <c r="K2474" s="241"/>
      <c r="L2474" s="241"/>
      <c r="M2474" s="241"/>
      <c r="N2474" s="241"/>
      <c r="O2474" s="241"/>
      <c r="P2474" s="241"/>
      <c r="Q2474" s="241"/>
    </row>
    <row r="2475" spans="1:17" ht="13.5" customHeight="1" x14ac:dyDescent="0.3">
      <c r="A2475"/>
      <c r="B2475" s="241"/>
      <c r="C2475" s="241"/>
      <c r="D2475" s="241"/>
      <c r="E2475" s="241"/>
      <c r="F2475" s="241"/>
      <c r="G2475" s="241"/>
      <c r="H2475" s="241"/>
      <c r="I2475"/>
      <c r="J2475" s="241"/>
      <c r="K2475" s="241"/>
      <c r="L2475" s="241"/>
      <c r="M2475" s="241"/>
      <c r="N2475" s="241"/>
      <c r="O2475" s="241"/>
      <c r="P2475" s="241"/>
      <c r="Q2475" s="241"/>
    </row>
    <row r="2476" spans="1:17" ht="13.5" customHeight="1" x14ac:dyDescent="0.3">
      <c r="A2476"/>
      <c r="B2476" s="241"/>
      <c r="C2476" s="241"/>
      <c r="D2476" s="241"/>
      <c r="E2476" s="241"/>
      <c r="F2476" s="241"/>
      <c r="G2476" s="241"/>
      <c r="H2476" s="241"/>
      <c r="I2476"/>
      <c r="J2476" s="241"/>
      <c r="K2476" s="241"/>
      <c r="L2476" s="241"/>
      <c r="M2476" s="241"/>
      <c r="N2476" s="241"/>
      <c r="O2476" s="241"/>
      <c r="P2476" s="241"/>
      <c r="Q2476" s="241"/>
    </row>
    <row r="2477" spans="1:17" ht="13.5" customHeight="1" x14ac:dyDescent="0.3">
      <c r="A2477"/>
      <c r="B2477" s="241"/>
      <c r="C2477" s="241"/>
      <c r="D2477" s="241"/>
      <c r="E2477" s="241"/>
      <c r="F2477" s="241"/>
      <c r="G2477" s="241"/>
      <c r="H2477" s="241"/>
      <c r="I2477"/>
      <c r="J2477" s="241"/>
      <c r="K2477" s="241"/>
      <c r="L2477" s="241"/>
      <c r="M2477" s="241"/>
      <c r="N2477" s="241"/>
      <c r="O2477" s="241"/>
      <c r="P2477" s="241"/>
      <c r="Q2477" s="241"/>
    </row>
    <row r="2478" spans="1:17" ht="13.5" customHeight="1" x14ac:dyDescent="0.3">
      <c r="A2478"/>
      <c r="B2478" s="241"/>
      <c r="C2478" s="241"/>
      <c r="D2478" s="241"/>
      <c r="E2478" s="241"/>
      <c r="F2478" s="241"/>
      <c r="G2478" s="241"/>
      <c r="H2478" s="241"/>
      <c r="I2478"/>
      <c r="J2478" s="241"/>
      <c r="K2478" s="241"/>
      <c r="L2478" s="241"/>
      <c r="M2478" s="241"/>
      <c r="N2478" s="241"/>
      <c r="O2478" s="241"/>
      <c r="P2478" s="241"/>
      <c r="Q2478" s="241"/>
    </row>
    <row r="2479" spans="1:17" ht="13.5" customHeight="1" x14ac:dyDescent="0.3">
      <c r="A2479"/>
      <c r="B2479" s="241"/>
      <c r="C2479" s="241"/>
      <c r="D2479" s="241"/>
      <c r="E2479" s="241"/>
      <c r="F2479" s="241"/>
      <c r="G2479" s="241"/>
      <c r="H2479" s="241"/>
      <c r="I2479"/>
      <c r="J2479" s="241"/>
      <c r="K2479" s="241"/>
      <c r="L2479" s="241"/>
      <c r="M2479" s="241"/>
      <c r="N2479" s="241"/>
      <c r="O2479" s="241"/>
      <c r="P2479" s="241"/>
      <c r="Q2479" s="241"/>
    </row>
    <row r="2480" spans="1:17" ht="13.5" customHeight="1" x14ac:dyDescent="0.3">
      <c r="A2480"/>
      <c r="B2480" s="241"/>
      <c r="C2480" s="241"/>
      <c r="D2480" s="241"/>
      <c r="E2480" s="241"/>
      <c r="F2480" s="241"/>
      <c r="G2480" s="241"/>
      <c r="H2480" s="241"/>
      <c r="I2480"/>
      <c r="J2480" s="241"/>
      <c r="K2480" s="241"/>
      <c r="L2480" s="241"/>
      <c r="M2480" s="241"/>
      <c r="N2480" s="241"/>
      <c r="O2480" s="241"/>
      <c r="P2480" s="241"/>
      <c r="Q2480" s="241"/>
    </row>
    <row r="2481" spans="1:17" ht="13.5" customHeight="1" x14ac:dyDescent="0.3">
      <c r="A2481"/>
      <c r="B2481" s="241"/>
      <c r="C2481" s="241"/>
      <c r="D2481" s="241"/>
      <c r="E2481" s="241"/>
      <c r="F2481" s="241"/>
      <c r="G2481" s="241"/>
      <c r="H2481" s="241"/>
      <c r="I2481"/>
      <c r="J2481" s="241"/>
      <c r="K2481" s="241"/>
      <c r="L2481" s="241"/>
      <c r="M2481" s="241"/>
      <c r="N2481" s="241"/>
      <c r="O2481" s="241"/>
      <c r="P2481" s="241"/>
      <c r="Q2481" s="241"/>
    </row>
    <row r="2482" spans="1:17" ht="13.5" customHeight="1" x14ac:dyDescent="0.3">
      <c r="A2482"/>
      <c r="B2482" s="241"/>
      <c r="C2482" s="241"/>
      <c r="D2482" s="241"/>
      <c r="E2482" s="241"/>
      <c r="F2482" s="241"/>
      <c r="G2482" s="241"/>
      <c r="H2482" s="241"/>
      <c r="I2482"/>
      <c r="J2482" s="241"/>
      <c r="K2482" s="241"/>
      <c r="L2482" s="241"/>
      <c r="M2482" s="241"/>
      <c r="N2482" s="241"/>
      <c r="O2482" s="241"/>
      <c r="P2482" s="241"/>
      <c r="Q2482" s="241"/>
    </row>
    <row r="2483" spans="1:17" ht="13.5" customHeight="1" x14ac:dyDescent="0.3">
      <c r="A2483"/>
      <c r="B2483" s="241"/>
      <c r="C2483" s="241"/>
      <c r="D2483" s="241"/>
      <c r="E2483" s="241"/>
      <c r="F2483" s="241"/>
      <c r="G2483" s="241"/>
      <c r="H2483" s="241"/>
      <c r="I2483"/>
      <c r="J2483" s="241"/>
      <c r="K2483" s="241"/>
      <c r="L2483" s="241"/>
      <c r="M2483" s="241"/>
      <c r="N2483" s="241"/>
      <c r="O2483" s="241"/>
      <c r="P2483" s="241"/>
      <c r="Q2483" s="241"/>
    </row>
    <row r="2484" spans="1:17" ht="13.5" customHeight="1" x14ac:dyDescent="0.3">
      <c r="A2484"/>
      <c r="B2484" s="241"/>
      <c r="C2484" s="241"/>
      <c r="D2484" s="241"/>
      <c r="E2484" s="241"/>
      <c r="F2484" s="241"/>
      <c r="G2484" s="241"/>
      <c r="H2484" s="241"/>
      <c r="I2484"/>
      <c r="J2484" s="241"/>
      <c r="K2484" s="241"/>
      <c r="L2484" s="241"/>
      <c r="M2484" s="241"/>
      <c r="N2484" s="241"/>
      <c r="O2484" s="241"/>
      <c r="P2484" s="241"/>
      <c r="Q2484" s="241"/>
    </row>
    <row r="2485" spans="1:17" ht="13.5" customHeight="1" x14ac:dyDescent="0.3">
      <c r="A2485"/>
      <c r="B2485" s="241"/>
      <c r="C2485" s="241"/>
      <c r="D2485" s="241"/>
      <c r="E2485" s="241"/>
      <c r="F2485" s="241"/>
      <c r="G2485" s="241"/>
      <c r="H2485" s="241"/>
      <c r="I2485"/>
      <c r="J2485" s="241"/>
      <c r="K2485" s="241"/>
      <c r="L2485" s="241"/>
      <c r="M2485" s="241"/>
      <c r="N2485" s="241"/>
      <c r="O2485" s="241"/>
      <c r="P2485" s="241"/>
      <c r="Q2485" s="241"/>
    </row>
    <row r="2486" spans="1:17" ht="13.5" customHeight="1" x14ac:dyDescent="0.3">
      <c r="A2486"/>
      <c r="B2486" s="241"/>
      <c r="C2486" s="241"/>
      <c r="D2486" s="241"/>
      <c r="E2486" s="241"/>
      <c r="F2486" s="241"/>
      <c r="G2486" s="241"/>
      <c r="H2486" s="241"/>
      <c r="I2486"/>
      <c r="J2486" s="241"/>
      <c r="K2486" s="241"/>
      <c r="L2486" s="241"/>
      <c r="M2486" s="241"/>
      <c r="N2486" s="241"/>
      <c r="O2486" s="241"/>
      <c r="P2486" s="241"/>
      <c r="Q2486" s="241"/>
    </row>
    <row r="2487" spans="1:17" ht="13.5" customHeight="1" x14ac:dyDescent="0.3">
      <c r="A2487"/>
      <c r="B2487" s="241"/>
      <c r="C2487" s="241"/>
      <c r="D2487" s="241"/>
      <c r="E2487" s="241"/>
      <c r="F2487" s="241"/>
      <c r="G2487" s="241"/>
      <c r="H2487" s="241"/>
      <c r="I2487"/>
      <c r="J2487" s="241"/>
      <c r="K2487" s="241"/>
      <c r="L2487" s="241"/>
      <c r="M2487" s="241"/>
      <c r="N2487" s="241"/>
      <c r="O2487" s="241"/>
      <c r="P2487" s="241"/>
      <c r="Q2487" s="241"/>
    </row>
    <row r="2488" spans="1:17" ht="13.5" customHeight="1" x14ac:dyDescent="0.3">
      <c r="A2488"/>
      <c r="B2488" s="241"/>
      <c r="C2488" s="241"/>
      <c r="D2488" s="241"/>
      <c r="E2488" s="241"/>
      <c r="F2488" s="241"/>
      <c r="G2488" s="241"/>
      <c r="H2488" s="241"/>
      <c r="I2488"/>
      <c r="J2488" s="241"/>
      <c r="K2488" s="241"/>
      <c r="L2488" s="241"/>
      <c r="M2488" s="241"/>
      <c r="N2488" s="241"/>
      <c r="O2488" s="241"/>
      <c r="P2488" s="241"/>
      <c r="Q2488" s="241"/>
    </row>
    <row r="2489" spans="1:17" ht="13.5" customHeight="1" x14ac:dyDescent="0.3">
      <c r="A2489"/>
      <c r="B2489" s="241"/>
      <c r="C2489" s="241"/>
      <c r="D2489" s="241"/>
      <c r="E2489" s="241"/>
      <c r="F2489" s="241"/>
      <c r="G2489" s="241"/>
      <c r="H2489" s="241"/>
      <c r="I2489"/>
      <c r="J2489" s="241"/>
      <c r="K2489" s="241"/>
      <c r="L2489" s="241"/>
      <c r="M2489" s="241"/>
      <c r="N2489" s="241"/>
      <c r="O2489" s="241"/>
      <c r="P2489" s="241"/>
      <c r="Q2489" s="241"/>
    </row>
    <row r="2490" spans="1:17" ht="13.5" customHeight="1" x14ac:dyDescent="0.3">
      <c r="A2490"/>
      <c r="B2490" s="241"/>
      <c r="C2490" s="241"/>
      <c r="D2490" s="241"/>
      <c r="E2490" s="241"/>
      <c r="F2490" s="241"/>
      <c r="G2490" s="241"/>
      <c r="H2490" s="241"/>
      <c r="I2490"/>
      <c r="J2490" s="241"/>
      <c r="K2490" s="241"/>
      <c r="L2490" s="241"/>
      <c r="M2490" s="241"/>
      <c r="N2490" s="241"/>
      <c r="O2490" s="241"/>
      <c r="P2490" s="241"/>
      <c r="Q2490" s="241"/>
    </row>
    <row r="2491" spans="1:17" ht="13.5" customHeight="1" x14ac:dyDescent="0.3">
      <c r="A2491"/>
      <c r="B2491" s="241"/>
      <c r="C2491" s="241"/>
      <c r="D2491" s="241"/>
      <c r="E2491" s="241"/>
      <c r="F2491" s="241"/>
      <c r="G2491" s="241"/>
      <c r="H2491" s="241"/>
      <c r="I2491"/>
      <c r="J2491" s="241"/>
      <c r="K2491" s="241"/>
      <c r="L2491" s="241"/>
      <c r="M2491" s="241"/>
      <c r="N2491" s="241"/>
      <c r="O2491" s="241"/>
      <c r="P2491" s="241"/>
      <c r="Q2491" s="241"/>
    </row>
    <row r="2492" spans="1:17" ht="13.5" customHeight="1" x14ac:dyDescent="0.3">
      <c r="A2492"/>
      <c r="B2492" s="241"/>
      <c r="C2492" s="241"/>
      <c r="D2492" s="241"/>
      <c r="E2492" s="241"/>
      <c r="F2492" s="241"/>
      <c r="G2492" s="241"/>
      <c r="H2492" s="241"/>
      <c r="I2492"/>
      <c r="J2492" s="241"/>
      <c r="K2492" s="241"/>
      <c r="L2492" s="241"/>
      <c r="M2492" s="241"/>
      <c r="N2492" s="241"/>
      <c r="O2492" s="241"/>
      <c r="P2492" s="241"/>
      <c r="Q2492" s="241"/>
    </row>
    <row r="2493" spans="1:17" ht="13.5" customHeight="1" x14ac:dyDescent="0.3">
      <c r="A2493"/>
      <c r="B2493" s="241"/>
      <c r="C2493" s="241"/>
      <c r="D2493" s="241"/>
      <c r="E2493" s="241"/>
      <c r="F2493" s="241"/>
      <c r="G2493" s="241"/>
      <c r="H2493" s="241"/>
      <c r="I2493"/>
      <c r="J2493" s="241"/>
      <c r="K2493" s="241"/>
      <c r="L2493" s="241"/>
      <c r="M2493" s="241"/>
      <c r="N2493" s="241"/>
      <c r="O2493" s="241"/>
      <c r="P2493" s="241"/>
      <c r="Q2493" s="241"/>
    </row>
    <row r="2494" spans="1:17" ht="13.5" customHeight="1" x14ac:dyDescent="0.3">
      <c r="A2494"/>
      <c r="B2494" s="241"/>
      <c r="C2494" s="241"/>
      <c r="D2494" s="241"/>
      <c r="E2494" s="241"/>
      <c r="F2494" s="241"/>
      <c r="G2494" s="241"/>
      <c r="H2494" s="241"/>
      <c r="I2494"/>
      <c r="J2494" s="241"/>
      <c r="K2494" s="241"/>
      <c r="L2494" s="241"/>
      <c r="M2494" s="241"/>
      <c r="N2494" s="241"/>
      <c r="O2494" s="241"/>
      <c r="P2494" s="241"/>
      <c r="Q2494" s="241"/>
    </row>
    <row r="2495" spans="1:17" ht="13.5" customHeight="1" x14ac:dyDescent="0.3">
      <c r="A2495"/>
      <c r="B2495" s="241"/>
      <c r="C2495" s="241"/>
      <c r="D2495" s="241"/>
      <c r="E2495" s="241"/>
      <c r="F2495" s="241"/>
      <c r="G2495" s="241"/>
      <c r="H2495" s="241"/>
      <c r="I2495"/>
      <c r="J2495" s="241"/>
      <c r="K2495" s="241"/>
      <c r="L2495" s="241"/>
      <c r="M2495" s="241"/>
      <c r="N2495" s="241"/>
      <c r="O2495" s="241"/>
      <c r="P2495" s="241"/>
      <c r="Q2495" s="241"/>
    </row>
    <row r="2496" spans="1:17" ht="13.5" customHeight="1" x14ac:dyDescent="0.3">
      <c r="A2496"/>
      <c r="B2496" s="241"/>
      <c r="C2496" s="241"/>
      <c r="D2496" s="241"/>
      <c r="E2496" s="241"/>
      <c r="F2496" s="241"/>
      <c r="G2496" s="241"/>
      <c r="H2496" s="241"/>
      <c r="I2496"/>
      <c r="J2496" s="241"/>
      <c r="K2496" s="241"/>
      <c r="L2496" s="241"/>
      <c r="M2496" s="241"/>
      <c r="N2496" s="241"/>
      <c r="O2496" s="241"/>
      <c r="P2496" s="241"/>
      <c r="Q2496" s="241"/>
    </row>
    <row r="2497" spans="1:17" ht="13.5" customHeight="1" x14ac:dyDescent="0.3">
      <c r="A2497"/>
      <c r="B2497" s="241"/>
      <c r="C2497" s="241"/>
      <c r="D2497" s="241"/>
      <c r="E2497" s="241"/>
      <c r="F2497" s="241"/>
      <c r="G2497" s="241"/>
      <c r="H2497" s="241"/>
      <c r="I2497"/>
      <c r="J2497" s="241"/>
      <c r="K2497" s="241"/>
      <c r="L2497" s="241"/>
      <c r="M2497" s="241"/>
      <c r="N2497" s="241"/>
      <c r="O2497" s="241"/>
      <c r="P2497" s="241"/>
      <c r="Q2497" s="241"/>
    </row>
    <row r="2498" spans="1:17" ht="13.5" customHeight="1" x14ac:dyDescent="0.3">
      <c r="A2498"/>
      <c r="B2498" s="241"/>
      <c r="C2498" s="241"/>
      <c r="D2498" s="241"/>
      <c r="E2498" s="241"/>
      <c r="F2498" s="241"/>
      <c r="G2498" s="241"/>
      <c r="H2498" s="241"/>
      <c r="I2498"/>
      <c r="J2498" s="241"/>
      <c r="K2498" s="241"/>
      <c r="L2498" s="241"/>
      <c r="M2498" s="241"/>
      <c r="N2498" s="241"/>
      <c r="O2498" s="241"/>
      <c r="P2498" s="241"/>
      <c r="Q2498" s="241"/>
    </row>
    <row r="2499" spans="1:17" ht="13.5" customHeight="1" x14ac:dyDescent="0.3">
      <c r="A2499"/>
      <c r="B2499" s="241"/>
      <c r="C2499" s="241"/>
      <c r="D2499" s="241"/>
      <c r="E2499" s="241"/>
      <c r="F2499" s="241"/>
      <c r="G2499" s="241"/>
      <c r="H2499" s="241"/>
      <c r="I2499"/>
      <c r="J2499" s="241"/>
      <c r="K2499" s="241"/>
      <c r="L2499" s="241"/>
      <c r="M2499" s="241"/>
      <c r="N2499" s="241"/>
      <c r="O2499" s="241"/>
      <c r="P2499" s="241"/>
      <c r="Q2499" s="241"/>
    </row>
    <row r="2500" spans="1:17" ht="13.5" customHeight="1" x14ac:dyDescent="0.3">
      <c r="A2500"/>
      <c r="B2500" s="241"/>
      <c r="C2500" s="241"/>
      <c r="D2500" s="241"/>
      <c r="E2500" s="241"/>
      <c r="F2500" s="241"/>
      <c r="G2500" s="241"/>
      <c r="H2500" s="241"/>
      <c r="I2500"/>
      <c r="J2500" s="241"/>
      <c r="K2500" s="241"/>
      <c r="L2500" s="241"/>
      <c r="M2500" s="241"/>
      <c r="N2500" s="241"/>
      <c r="O2500" s="241"/>
      <c r="P2500" s="241"/>
      <c r="Q2500" s="241"/>
    </row>
    <row r="2501" spans="1:17" ht="13.5" customHeight="1" x14ac:dyDescent="0.3">
      <c r="A2501"/>
      <c r="B2501" s="241"/>
      <c r="C2501" s="241"/>
      <c r="D2501" s="241"/>
      <c r="E2501" s="241"/>
      <c r="F2501" s="241"/>
      <c r="G2501" s="241"/>
      <c r="H2501" s="241"/>
      <c r="I2501"/>
      <c r="J2501" s="241"/>
      <c r="K2501" s="241"/>
      <c r="L2501" s="241"/>
      <c r="M2501" s="241"/>
      <c r="N2501" s="241"/>
      <c r="O2501" s="241"/>
      <c r="P2501" s="241"/>
      <c r="Q2501" s="241"/>
    </row>
    <row r="2502" spans="1:17" ht="13.5" customHeight="1" x14ac:dyDescent="0.3">
      <c r="A2502"/>
      <c r="B2502" s="241"/>
      <c r="C2502" s="241"/>
      <c r="D2502" s="241"/>
      <c r="E2502" s="241"/>
      <c r="F2502" s="241"/>
      <c r="G2502" s="241"/>
      <c r="H2502" s="241"/>
      <c r="I2502"/>
      <c r="J2502" s="241"/>
      <c r="K2502" s="241"/>
      <c r="L2502" s="241"/>
      <c r="M2502" s="241"/>
      <c r="N2502" s="241"/>
      <c r="O2502" s="241"/>
      <c r="P2502" s="241"/>
      <c r="Q2502" s="241"/>
    </row>
    <row r="2503" spans="1:17" ht="13.5" customHeight="1" x14ac:dyDescent="0.3">
      <c r="A2503"/>
      <c r="B2503" s="241"/>
      <c r="C2503" s="241"/>
      <c r="D2503" s="241"/>
      <c r="E2503" s="241"/>
      <c r="F2503" s="241"/>
      <c r="G2503" s="241"/>
      <c r="H2503" s="241"/>
      <c r="I2503"/>
      <c r="J2503" s="241"/>
      <c r="K2503" s="241"/>
      <c r="L2503" s="241"/>
      <c r="M2503" s="241"/>
      <c r="N2503" s="241"/>
      <c r="O2503" s="241"/>
      <c r="P2503" s="241"/>
      <c r="Q2503" s="241"/>
    </row>
    <row r="2504" spans="1:17" ht="13.5" customHeight="1" x14ac:dyDescent="0.3">
      <c r="A2504"/>
      <c r="B2504" s="241"/>
      <c r="C2504" s="241"/>
      <c r="D2504" s="241"/>
      <c r="E2504" s="241"/>
      <c r="F2504" s="241"/>
      <c r="G2504" s="241"/>
      <c r="H2504" s="241"/>
      <c r="I2504"/>
      <c r="J2504" s="241"/>
      <c r="K2504" s="241"/>
      <c r="L2504" s="241"/>
      <c r="M2504" s="241"/>
      <c r="N2504" s="241"/>
      <c r="O2504" s="241"/>
      <c r="P2504" s="241"/>
      <c r="Q2504" s="241"/>
    </row>
    <row r="2505" spans="1:17" ht="13.5" customHeight="1" x14ac:dyDescent="0.3">
      <c r="A2505"/>
      <c r="B2505" s="241"/>
      <c r="C2505" s="241"/>
      <c r="D2505" s="241"/>
      <c r="E2505" s="241"/>
      <c r="F2505" s="241"/>
      <c r="G2505" s="241"/>
      <c r="H2505" s="241"/>
      <c r="I2505"/>
      <c r="J2505" s="241"/>
      <c r="K2505" s="241"/>
      <c r="L2505" s="241"/>
      <c r="M2505" s="241"/>
      <c r="N2505" s="241"/>
      <c r="O2505" s="241"/>
      <c r="P2505" s="241"/>
      <c r="Q2505" s="241"/>
    </row>
    <row r="2506" spans="1:17" ht="13.5" customHeight="1" x14ac:dyDescent="0.3">
      <c r="A2506"/>
      <c r="B2506" s="241"/>
      <c r="C2506" s="241"/>
      <c r="D2506" s="241"/>
      <c r="E2506" s="241"/>
      <c r="F2506" s="241"/>
      <c r="G2506" s="241"/>
      <c r="H2506" s="241"/>
      <c r="I2506"/>
      <c r="J2506" s="241"/>
      <c r="K2506" s="241"/>
      <c r="L2506" s="241"/>
      <c r="M2506" s="241"/>
      <c r="N2506" s="241"/>
      <c r="O2506" s="241"/>
      <c r="P2506" s="241"/>
      <c r="Q2506" s="241"/>
    </row>
    <row r="2507" spans="1:17" ht="13.5" customHeight="1" x14ac:dyDescent="0.3">
      <c r="A2507"/>
      <c r="B2507" s="241"/>
      <c r="C2507" s="241"/>
      <c r="D2507" s="241"/>
      <c r="E2507" s="241"/>
      <c r="F2507" s="241"/>
      <c r="G2507" s="241"/>
      <c r="H2507" s="241"/>
      <c r="I2507"/>
      <c r="J2507" s="241"/>
      <c r="K2507" s="241"/>
      <c r="L2507" s="241"/>
      <c r="M2507" s="241"/>
      <c r="N2507" s="241"/>
      <c r="O2507" s="241"/>
      <c r="P2507" s="241"/>
      <c r="Q2507" s="241"/>
    </row>
    <row r="2508" spans="1:17" ht="13.5" customHeight="1" x14ac:dyDescent="0.3">
      <c r="A2508"/>
      <c r="B2508" s="241"/>
      <c r="C2508" s="241"/>
      <c r="D2508" s="241"/>
      <c r="E2508" s="241"/>
      <c r="F2508" s="241"/>
      <c r="G2508" s="241"/>
      <c r="H2508" s="241"/>
      <c r="I2508"/>
      <c r="J2508" s="241"/>
      <c r="K2508" s="241"/>
      <c r="L2508" s="241"/>
      <c r="M2508" s="241"/>
      <c r="N2508" s="241"/>
      <c r="O2508" s="241"/>
      <c r="P2508" s="241"/>
      <c r="Q2508" s="241"/>
    </row>
    <row r="2509" spans="1:17" ht="13.5" customHeight="1" x14ac:dyDescent="0.3">
      <c r="A2509"/>
      <c r="B2509" s="241"/>
      <c r="C2509" s="241"/>
      <c r="D2509" s="241"/>
      <c r="E2509" s="241"/>
      <c r="F2509" s="241"/>
      <c r="G2509" s="241"/>
      <c r="H2509" s="241"/>
      <c r="I2509"/>
      <c r="J2509" s="241"/>
      <c r="K2509" s="241"/>
      <c r="L2509" s="241"/>
      <c r="M2509" s="241"/>
      <c r="N2509" s="241"/>
      <c r="O2509" s="241"/>
      <c r="P2509" s="241"/>
      <c r="Q2509" s="241"/>
    </row>
    <row r="2510" spans="1:17" ht="13.5" customHeight="1" x14ac:dyDescent="0.3">
      <c r="A2510"/>
      <c r="B2510" s="241"/>
      <c r="C2510" s="241"/>
      <c r="D2510" s="241"/>
      <c r="E2510" s="241"/>
      <c r="F2510" s="241"/>
      <c r="G2510" s="241"/>
      <c r="H2510" s="241"/>
      <c r="I2510"/>
      <c r="J2510" s="241"/>
      <c r="K2510" s="241"/>
      <c r="L2510" s="241"/>
      <c r="M2510" s="241"/>
      <c r="N2510" s="241"/>
      <c r="O2510" s="241"/>
      <c r="P2510" s="241"/>
      <c r="Q2510" s="241"/>
    </row>
    <row r="2511" spans="1:17" ht="13.5" customHeight="1" x14ac:dyDescent="0.3">
      <c r="A2511"/>
      <c r="B2511" s="241"/>
      <c r="C2511" s="241"/>
      <c r="D2511" s="241"/>
      <c r="E2511" s="241"/>
      <c r="F2511" s="241"/>
      <c r="G2511" s="241"/>
      <c r="H2511" s="241"/>
      <c r="I2511"/>
      <c r="J2511" s="241"/>
      <c r="K2511" s="241"/>
      <c r="L2511" s="241"/>
      <c r="M2511" s="241"/>
      <c r="N2511" s="241"/>
      <c r="O2511" s="241"/>
      <c r="P2511" s="241"/>
      <c r="Q2511" s="241"/>
    </row>
    <row r="2512" spans="1:17" ht="13.5" customHeight="1" x14ac:dyDescent="0.3">
      <c r="A2512"/>
      <c r="B2512" s="241"/>
      <c r="C2512" s="241"/>
      <c r="D2512" s="241"/>
      <c r="E2512" s="241"/>
      <c r="F2512" s="241"/>
      <c r="G2512" s="241"/>
      <c r="H2512" s="241"/>
      <c r="I2512"/>
      <c r="J2512" s="241"/>
      <c r="K2512" s="241"/>
      <c r="L2512" s="241"/>
      <c r="M2512" s="241"/>
      <c r="N2512" s="241"/>
      <c r="O2512" s="241"/>
      <c r="P2512" s="241"/>
      <c r="Q2512" s="241"/>
    </row>
    <row r="2513" spans="1:17" ht="13.5" customHeight="1" x14ac:dyDescent="0.3">
      <c r="A2513"/>
      <c r="B2513" s="241"/>
      <c r="C2513" s="241"/>
      <c r="D2513" s="241"/>
      <c r="E2513" s="241"/>
      <c r="F2513" s="241"/>
      <c r="G2513" s="241"/>
      <c r="H2513" s="241"/>
      <c r="I2513"/>
      <c r="J2513" s="241"/>
      <c r="K2513" s="241"/>
      <c r="L2513" s="241"/>
      <c r="M2513" s="241"/>
      <c r="N2513" s="241"/>
      <c r="O2513" s="241"/>
      <c r="P2513" s="241"/>
      <c r="Q2513" s="241"/>
    </row>
    <row r="2514" spans="1:17" ht="13.5" customHeight="1" x14ac:dyDescent="0.3">
      <c r="A2514"/>
      <c r="B2514" s="241"/>
      <c r="C2514" s="241"/>
      <c r="D2514" s="241"/>
      <c r="E2514" s="241"/>
      <c r="F2514" s="241"/>
      <c r="G2514" s="241"/>
      <c r="H2514" s="241"/>
      <c r="I2514"/>
      <c r="J2514" s="241"/>
      <c r="K2514" s="241"/>
      <c r="L2514" s="241"/>
      <c r="M2514" s="241"/>
      <c r="N2514" s="241"/>
      <c r="O2514" s="241"/>
      <c r="P2514" s="241"/>
      <c r="Q2514" s="241"/>
    </row>
    <row r="2515" spans="1:17" ht="13.5" customHeight="1" x14ac:dyDescent="0.3">
      <c r="A2515"/>
      <c r="B2515" s="241"/>
      <c r="C2515" s="241"/>
      <c r="D2515" s="241"/>
      <c r="E2515" s="241"/>
      <c r="F2515" s="241"/>
      <c r="G2515" s="241"/>
      <c r="H2515" s="241"/>
      <c r="I2515"/>
      <c r="J2515" s="241"/>
      <c r="K2515" s="241"/>
      <c r="L2515" s="241"/>
      <c r="M2515" s="241"/>
      <c r="N2515" s="241"/>
      <c r="O2515" s="241"/>
      <c r="P2515" s="241"/>
      <c r="Q2515" s="241"/>
    </row>
    <row r="2516" spans="1:17" ht="13.5" customHeight="1" x14ac:dyDescent="0.3">
      <c r="A2516"/>
      <c r="B2516" s="241"/>
      <c r="C2516" s="241"/>
      <c r="D2516" s="241"/>
      <c r="E2516" s="241"/>
      <c r="F2516" s="241"/>
      <c r="G2516" s="241"/>
      <c r="H2516" s="241"/>
      <c r="I2516"/>
      <c r="J2516" s="241"/>
      <c r="K2516" s="241"/>
      <c r="L2516" s="241"/>
      <c r="M2516" s="241"/>
      <c r="N2516" s="241"/>
      <c r="O2516" s="241"/>
      <c r="P2516" s="241"/>
      <c r="Q2516" s="241"/>
    </row>
    <row r="2517" spans="1:17" ht="13.5" customHeight="1" x14ac:dyDescent="0.3">
      <c r="A2517"/>
      <c r="B2517" s="241"/>
      <c r="C2517" s="241"/>
      <c r="D2517" s="241"/>
      <c r="E2517" s="241"/>
      <c r="F2517" s="241"/>
      <c r="G2517" s="241"/>
      <c r="H2517" s="241"/>
      <c r="I2517"/>
      <c r="J2517" s="241"/>
      <c r="K2517" s="241"/>
      <c r="L2517" s="241"/>
      <c r="M2517" s="241"/>
      <c r="N2517" s="241"/>
      <c r="O2517" s="241"/>
      <c r="P2517" s="241"/>
      <c r="Q2517" s="241"/>
    </row>
    <row r="2518" spans="1:17" ht="13.5" customHeight="1" x14ac:dyDescent="0.3">
      <c r="A2518"/>
      <c r="B2518" s="241"/>
      <c r="C2518" s="241"/>
      <c r="D2518" s="241"/>
      <c r="E2518" s="241"/>
      <c r="F2518" s="241"/>
      <c r="G2518" s="241"/>
      <c r="H2518" s="241"/>
      <c r="I2518"/>
      <c r="J2518" s="241"/>
      <c r="K2518" s="241"/>
      <c r="L2518" s="241"/>
      <c r="M2518" s="241"/>
      <c r="N2518" s="241"/>
      <c r="O2518" s="241"/>
      <c r="P2518" s="241"/>
      <c r="Q2518" s="241"/>
    </row>
    <row r="2519" spans="1:17" ht="13.5" customHeight="1" x14ac:dyDescent="0.3">
      <c r="A2519"/>
      <c r="B2519" s="241"/>
      <c r="C2519" s="241"/>
      <c r="D2519" s="241"/>
      <c r="E2519" s="241"/>
      <c r="F2519" s="241"/>
      <c r="G2519" s="241"/>
      <c r="H2519" s="241"/>
      <c r="I2519"/>
      <c r="J2519" s="241"/>
      <c r="K2519" s="241"/>
      <c r="L2519" s="241"/>
      <c r="M2519" s="241"/>
      <c r="N2519" s="241"/>
      <c r="O2519" s="241"/>
      <c r="P2519" s="241"/>
      <c r="Q2519" s="241"/>
    </row>
    <row r="2520" spans="1:17" ht="13.5" customHeight="1" x14ac:dyDescent="0.3">
      <c r="A2520"/>
      <c r="B2520" s="241"/>
      <c r="C2520" s="241"/>
      <c r="D2520" s="241"/>
      <c r="E2520" s="241"/>
      <c r="F2520" s="241"/>
      <c r="G2520" s="241"/>
      <c r="H2520" s="241"/>
      <c r="I2520"/>
      <c r="J2520" s="241"/>
      <c r="K2520" s="241"/>
      <c r="L2520" s="241"/>
      <c r="M2520" s="241"/>
      <c r="N2520" s="241"/>
      <c r="O2520" s="241"/>
      <c r="P2520" s="241"/>
      <c r="Q2520" s="241"/>
    </row>
    <row r="2521" spans="1:17" ht="13.5" customHeight="1" x14ac:dyDescent="0.3">
      <c r="A2521"/>
      <c r="B2521" s="241"/>
      <c r="C2521" s="241"/>
      <c r="D2521" s="241"/>
      <c r="E2521" s="241"/>
      <c r="F2521" s="241"/>
      <c r="G2521" s="241"/>
      <c r="H2521" s="241"/>
      <c r="I2521"/>
      <c r="J2521" s="241"/>
      <c r="K2521" s="241"/>
      <c r="L2521" s="241"/>
      <c r="M2521" s="241"/>
      <c r="N2521" s="241"/>
      <c r="O2521" s="241"/>
      <c r="P2521" s="241"/>
      <c r="Q2521" s="241"/>
    </row>
    <row r="2522" spans="1:17" ht="13.5" customHeight="1" x14ac:dyDescent="0.3">
      <c r="A2522"/>
      <c r="B2522" s="241"/>
      <c r="C2522" s="241"/>
      <c r="D2522" s="241"/>
      <c r="E2522" s="241"/>
      <c r="F2522" s="241"/>
      <c r="G2522" s="241"/>
      <c r="H2522" s="241"/>
      <c r="I2522"/>
      <c r="J2522" s="241"/>
      <c r="K2522" s="241"/>
      <c r="L2522" s="241"/>
      <c r="M2522" s="241"/>
      <c r="N2522" s="241"/>
      <c r="O2522" s="241"/>
      <c r="P2522" s="241"/>
      <c r="Q2522" s="241"/>
    </row>
    <row r="2523" spans="1:17" ht="13.5" customHeight="1" x14ac:dyDescent="0.3">
      <c r="A2523"/>
      <c r="B2523" s="241"/>
      <c r="C2523" s="241"/>
      <c r="D2523" s="241"/>
      <c r="E2523" s="241"/>
      <c r="F2523" s="241"/>
      <c r="G2523" s="241"/>
      <c r="H2523" s="241"/>
      <c r="I2523"/>
      <c r="J2523" s="241"/>
      <c r="K2523" s="241"/>
      <c r="L2523" s="241"/>
      <c r="M2523" s="241"/>
      <c r="N2523" s="241"/>
      <c r="O2523" s="241"/>
      <c r="P2523" s="241"/>
      <c r="Q2523" s="241"/>
    </row>
    <row r="2524" spans="1:17" ht="13.5" customHeight="1" x14ac:dyDescent="0.3">
      <c r="A2524"/>
      <c r="B2524" s="241"/>
      <c r="C2524" s="241"/>
      <c r="D2524" s="241"/>
      <c r="E2524" s="241"/>
      <c r="F2524" s="241"/>
      <c r="G2524" s="241"/>
      <c r="H2524" s="241"/>
      <c r="I2524"/>
      <c r="J2524" s="241"/>
      <c r="K2524" s="241"/>
      <c r="L2524" s="241"/>
      <c r="M2524" s="241"/>
      <c r="N2524" s="241"/>
      <c r="O2524" s="241"/>
      <c r="P2524" s="241"/>
      <c r="Q2524" s="241"/>
    </row>
    <row r="2525" spans="1:17" ht="13.5" customHeight="1" x14ac:dyDescent="0.3">
      <c r="A2525"/>
      <c r="B2525" s="241"/>
      <c r="C2525" s="241"/>
      <c r="D2525" s="241"/>
      <c r="E2525" s="241"/>
      <c r="F2525" s="241"/>
      <c r="G2525" s="241"/>
      <c r="H2525" s="241"/>
      <c r="I2525"/>
      <c r="J2525" s="241"/>
      <c r="K2525" s="241"/>
      <c r="L2525" s="241"/>
      <c r="M2525" s="241"/>
      <c r="N2525" s="241"/>
      <c r="O2525" s="241"/>
      <c r="P2525" s="241"/>
      <c r="Q2525" s="241"/>
    </row>
    <row r="2526" spans="1:17" ht="13.5" customHeight="1" x14ac:dyDescent="0.3">
      <c r="A2526"/>
      <c r="B2526" s="241"/>
      <c r="C2526" s="241"/>
      <c r="D2526" s="241"/>
      <c r="E2526" s="241"/>
      <c r="F2526" s="241"/>
      <c r="G2526" s="241"/>
      <c r="H2526" s="241"/>
      <c r="I2526"/>
      <c r="J2526" s="241"/>
      <c r="K2526" s="241"/>
      <c r="L2526" s="241"/>
      <c r="M2526" s="241"/>
      <c r="N2526" s="241"/>
      <c r="O2526" s="241"/>
      <c r="P2526" s="241"/>
      <c r="Q2526" s="241"/>
    </row>
    <row r="2527" spans="1:17" ht="13.5" customHeight="1" x14ac:dyDescent="0.3">
      <c r="A2527"/>
      <c r="B2527" s="241"/>
      <c r="C2527" s="241"/>
      <c r="D2527" s="241"/>
      <c r="E2527" s="241"/>
      <c r="F2527" s="241"/>
      <c r="G2527" s="241"/>
      <c r="H2527" s="241"/>
      <c r="I2527"/>
      <c r="J2527" s="241"/>
      <c r="K2527" s="241"/>
      <c r="L2527" s="241"/>
      <c r="M2527" s="241"/>
      <c r="N2527" s="241"/>
      <c r="O2527" s="241"/>
      <c r="P2527" s="241"/>
      <c r="Q2527" s="241"/>
    </row>
    <row r="2528" spans="1:17" ht="13.5" customHeight="1" x14ac:dyDescent="0.3">
      <c r="A2528"/>
      <c r="B2528" s="241"/>
      <c r="C2528" s="241"/>
      <c r="D2528" s="241"/>
      <c r="E2528" s="241"/>
      <c r="F2528" s="241"/>
      <c r="G2528" s="241"/>
      <c r="H2528" s="241"/>
      <c r="I2528"/>
      <c r="J2528" s="241"/>
      <c r="K2528" s="241"/>
      <c r="L2528" s="241"/>
      <c r="M2528" s="241"/>
      <c r="N2528" s="241"/>
      <c r="O2528" s="241"/>
      <c r="P2528" s="241"/>
      <c r="Q2528" s="241"/>
    </row>
    <row r="2529" spans="1:17" ht="13.5" customHeight="1" x14ac:dyDescent="0.3">
      <c r="A2529"/>
      <c r="B2529" s="241"/>
      <c r="C2529" s="241"/>
      <c r="D2529" s="241"/>
      <c r="E2529" s="241"/>
      <c r="F2529" s="241"/>
      <c r="G2529" s="241"/>
      <c r="H2529" s="241"/>
      <c r="I2529"/>
      <c r="J2529" s="241"/>
      <c r="K2529" s="241"/>
      <c r="L2529" s="241"/>
      <c r="M2529" s="241"/>
      <c r="N2529" s="241"/>
      <c r="O2529" s="241"/>
      <c r="P2529" s="241"/>
      <c r="Q2529" s="241"/>
    </row>
    <row r="2530" spans="1:17" ht="13.5" customHeight="1" x14ac:dyDescent="0.3">
      <c r="A2530"/>
      <c r="B2530" s="241"/>
      <c r="C2530" s="241"/>
      <c r="D2530" s="241"/>
      <c r="E2530" s="241"/>
      <c r="F2530" s="241"/>
      <c r="G2530" s="241"/>
      <c r="H2530" s="241"/>
      <c r="I2530"/>
      <c r="J2530" s="241"/>
      <c r="K2530" s="241"/>
      <c r="L2530" s="241"/>
      <c r="M2530" s="241"/>
      <c r="N2530" s="241"/>
      <c r="O2530" s="241"/>
      <c r="P2530" s="241"/>
      <c r="Q2530" s="241"/>
    </row>
    <row r="2531" spans="1:17" ht="13.5" customHeight="1" x14ac:dyDescent="0.3">
      <c r="A2531"/>
      <c r="B2531" s="241"/>
      <c r="C2531" s="241"/>
      <c r="D2531" s="241"/>
      <c r="E2531" s="241"/>
      <c r="F2531" s="241"/>
      <c r="G2531" s="241"/>
      <c r="H2531" s="241"/>
      <c r="I2531"/>
      <c r="J2531" s="241"/>
      <c r="K2531" s="241"/>
      <c r="L2531" s="241"/>
      <c r="M2531" s="241"/>
      <c r="N2531" s="241"/>
      <c r="O2531" s="241"/>
      <c r="P2531" s="241"/>
      <c r="Q2531" s="241"/>
    </row>
    <row r="2532" spans="1:17" ht="13.5" customHeight="1" x14ac:dyDescent="0.3">
      <c r="A2532"/>
      <c r="B2532" s="241"/>
      <c r="C2532" s="241"/>
      <c r="D2532" s="241"/>
      <c r="E2532" s="241"/>
      <c r="F2532" s="241"/>
      <c r="G2532" s="241"/>
      <c r="H2532" s="241"/>
      <c r="I2532"/>
      <c r="J2532" s="241"/>
      <c r="K2532" s="241"/>
      <c r="L2532" s="241"/>
      <c r="M2532" s="241"/>
      <c r="N2532" s="241"/>
      <c r="O2532" s="241"/>
      <c r="P2532" s="241"/>
      <c r="Q2532" s="241"/>
    </row>
    <row r="2533" spans="1:17" ht="13.5" customHeight="1" x14ac:dyDescent="0.3">
      <c r="A2533"/>
      <c r="B2533" s="241"/>
      <c r="C2533" s="241"/>
      <c r="D2533" s="241"/>
      <c r="E2533" s="241"/>
      <c r="F2533" s="241"/>
      <c r="G2533" s="241"/>
      <c r="H2533" s="241"/>
      <c r="I2533"/>
      <c r="J2533" s="241"/>
      <c r="K2533" s="241"/>
      <c r="L2533" s="241"/>
      <c r="M2533" s="241"/>
      <c r="N2533" s="241"/>
      <c r="O2533" s="241"/>
      <c r="P2533" s="241"/>
      <c r="Q2533" s="241"/>
    </row>
    <row r="2534" spans="1:17" ht="13.5" customHeight="1" x14ac:dyDescent="0.3">
      <c r="A2534"/>
      <c r="B2534" s="241"/>
      <c r="C2534" s="241"/>
      <c r="D2534" s="241"/>
      <c r="E2534" s="241"/>
      <c r="F2534" s="241"/>
      <c r="G2534" s="241"/>
      <c r="H2534" s="241"/>
      <c r="I2534"/>
      <c r="J2534" s="241"/>
      <c r="K2534" s="241"/>
      <c r="L2534" s="241"/>
      <c r="M2534" s="241"/>
      <c r="N2534" s="241"/>
      <c r="O2534" s="241"/>
      <c r="P2534" s="241"/>
      <c r="Q2534" s="241"/>
    </row>
    <row r="2535" spans="1:17" ht="13.5" customHeight="1" x14ac:dyDescent="0.3">
      <c r="A2535"/>
      <c r="B2535" s="241"/>
      <c r="C2535" s="241"/>
      <c r="D2535" s="241"/>
      <c r="E2535" s="241"/>
      <c r="F2535" s="241"/>
      <c r="G2535" s="241"/>
      <c r="H2535" s="241"/>
      <c r="I2535"/>
      <c r="J2535" s="241"/>
      <c r="K2535" s="241"/>
      <c r="L2535" s="241"/>
      <c r="M2535" s="241"/>
      <c r="N2535" s="241"/>
      <c r="O2535" s="241"/>
      <c r="P2535" s="241"/>
      <c r="Q2535" s="241"/>
    </row>
    <row r="2536" spans="1:17" ht="13.5" customHeight="1" x14ac:dyDescent="0.3">
      <c r="A2536"/>
      <c r="B2536" s="241"/>
      <c r="C2536" s="241"/>
      <c r="D2536" s="241"/>
      <c r="E2536" s="241"/>
      <c r="F2536" s="241"/>
      <c r="G2536" s="241"/>
      <c r="H2536" s="241"/>
      <c r="I2536"/>
      <c r="J2536" s="241"/>
      <c r="K2536" s="241"/>
      <c r="L2536" s="241"/>
      <c r="M2536" s="241"/>
      <c r="N2536" s="241"/>
      <c r="O2536" s="241"/>
      <c r="P2536" s="241"/>
      <c r="Q2536" s="241"/>
    </row>
    <row r="2537" spans="1:17" ht="13.5" customHeight="1" x14ac:dyDescent="0.3">
      <c r="A2537"/>
      <c r="B2537" s="241"/>
      <c r="C2537" s="241"/>
      <c r="D2537" s="241"/>
      <c r="E2537" s="241"/>
      <c r="F2537" s="241"/>
      <c r="G2537" s="241"/>
      <c r="H2537" s="241"/>
      <c r="I2537"/>
      <c r="J2537" s="241"/>
      <c r="K2537" s="241"/>
      <c r="L2537" s="241"/>
      <c r="M2537" s="241"/>
      <c r="N2537" s="241"/>
      <c r="O2537" s="241"/>
      <c r="P2537" s="241"/>
      <c r="Q2537" s="241"/>
    </row>
    <row r="2538" spans="1:17" ht="13.5" customHeight="1" x14ac:dyDescent="0.3">
      <c r="A2538"/>
      <c r="B2538" s="241"/>
      <c r="C2538" s="241"/>
      <c r="D2538" s="241"/>
      <c r="E2538" s="241"/>
      <c r="F2538" s="241"/>
      <c r="G2538" s="241"/>
      <c r="H2538" s="241"/>
      <c r="I2538"/>
      <c r="J2538" s="241"/>
      <c r="K2538" s="241"/>
      <c r="L2538" s="241"/>
      <c r="M2538" s="241"/>
      <c r="N2538" s="241"/>
      <c r="O2538" s="241"/>
      <c r="P2538" s="241"/>
      <c r="Q2538" s="241"/>
    </row>
    <row r="2539" spans="1:17" ht="13.5" customHeight="1" x14ac:dyDescent="0.3">
      <c r="A2539"/>
      <c r="B2539" s="241"/>
      <c r="C2539" s="241"/>
      <c r="D2539" s="241"/>
      <c r="E2539" s="241"/>
      <c r="F2539" s="241"/>
      <c r="G2539" s="241"/>
      <c r="H2539" s="241"/>
      <c r="I2539"/>
      <c r="J2539" s="241"/>
      <c r="K2539" s="241"/>
      <c r="L2539" s="241"/>
      <c r="M2539" s="241"/>
      <c r="N2539" s="241"/>
      <c r="O2539" s="241"/>
      <c r="P2539" s="241"/>
      <c r="Q2539" s="241"/>
    </row>
    <row r="2540" spans="1:17" ht="13.5" customHeight="1" x14ac:dyDescent="0.3">
      <c r="A2540"/>
      <c r="B2540" s="241"/>
      <c r="C2540" s="241"/>
      <c r="D2540" s="241"/>
      <c r="E2540" s="241"/>
      <c r="F2540" s="241"/>
      <c r="G2540" s="241"/>
      <c r="H2540" s="241"/>
      <c r="I2540"/>
      <c r="J2540" s="241"/>
      <c r="K2540" s="241"/>
      <c r="L2540" s="241"/>
      <c r="M2540" s="241"/>
      <c r="N2540" s="241"/>
      <c r="O2540" s="241"/>
      <c r="P2540" s="241"/>
      <c r="Q2540" s="241"/>
    </row>
    <row r="2541" spans="1:17" ht="13.5" customHeight="1" x14ac:dyDescent="0.3">
      <c r="A2541"/>
      <c r="B2541" s="241"/>
      <c r="C2541" s="241"/>
      <c r="D2541" s="241"/>
      <c r="E2541" s="241"/>
      <c r="F2541" s="241"/>
      <c r="G2541" s="241"/>
      <c r="H2541" s="241"/>
      <c r="I2541"/>
      <c r="J2541" s="241"/>
      <c r="K2541" s="241"/>
      <c r="L2541" s="241"/>
      <c r="M2541" s="241"/>
      <c r="N2541" s="241"/>
      <c r="O2541" s="241"/>
      <c r="P2541" s="241"/>
      <c r="Q2541" s="241"/>
    </row>
    <row r="2542" spans="1:17" ht="13.5" customHeight="1" x14ac:dyDescent="0.3">
      <c r="A2542"/>
      <c r="B2542" s="241"/>
      <c r="C2542" s="241"/>
      <c r="D2542" s="241"/>
      <c r="E2542" s="241"/>
      <c r="F2542" s="241"/>
      <c r="G2542" s="241"/>
      <c r="H2542" s="241"/>
      <c r="I2542"/>
      <c r="J2542" s="241"/>
      <c r="K2542" s="241"/>
      <c r="L2542" s="241"/>
      <c r="M2542" s="241"/>
      <c r="N2542" s="241"/>
      <c r="O2542" s="241"/>
      <c r="P2542" s="241"/>
      <c r="Q2542" s="241"/>
    </row>
    <row r="2543" spans="1:17" ht="13.5" customHeight="1" x14ac:dyDescent="0.3">
      <c r="A2543"/>
      <c r="B2543" s="241"/>
      <c r="C2543" s="241"/>
      <c r="D2543" s="241"/>
      <c r="E2543" s="241"/>
      <c r="F2543" s="241"/>
      <c r="G2543" s="241"/>
      <c r="H2543" s="241"/>
      <c r="I2543"/>
      <c r="J2543" s="241"/>
      <c r="K2543" s="241"/>
      <c r="L2543" s="241"/>
      <c r="M2543" s="241"/>
      <c r="N2543" s="241"/>
      <c r="O2543" s="241"/>
      <c r="P2543" s="241"/>
      <c r="Q2543" s="241"/>
    </row>
    <row r="2544" spans="1:17" ht="13.5" customHeight="1" x14ac:dyDescent="0.3">
      <c r="A2544"/>
      <c r="B2544" s="241"/>
      <c r="C2544" s="241"/>
      <c r="D2544" s="241"/>
      <c r="E2544" s="241"/>
      <c r="F2544" s="241"/>
      <c r="G2544" s="241"/>
      <c r="H2544" s="241"/>
      <c r="I2544"/>
      <c r="J2544" s="241"/>
      <c r="K2544" s="241"/>
      <c r="L2544" s="241"/>
      <c r="M2544" s="241"/>
      <c r="N2544" s="241"/>
      <c r="O2544" s="241"/>
      <c r="P2544" s="241"/>
      <c r="Q2544" s="241"/>
    </row>
    <row r="2545" spans="1:17" ht="13.5" customHeight="1" x14ac:dyDescent="0.3">
      <c r="A2545"/>
      <c r="B2545" s="241"/>
      <c r="C2545" s="241"/>
      <c r="D2545" s="241"/>
      <c r="E2545" s="241"/>
      <c r="F2545" s="241"/>
      <c r="G2545" s="241"/>
      <c r="H2545" s="241"/>
      <c r="I2545"/>
      <c r="J2545" s="241"/>
      <c r="K2545" s="241"/>
      <c r="L2545" s="241"/>
      <c r="M2545" s="241"/>
      <c r="N2545" s="241"/>
      <c r="O2545" s="241"/>
      <c r="P2545" s="241"/>
      <c r="Q2545" s="241"/>
    </row>
    <row r="2546" spans="1:17" ht="13.5" customHeight="1" x14ac:dyDescent="0.3">
      <c r="A2546"/>
      <c r="B2546" s="241"/>
      <c r="C2546" s="241"/>
      <c r="D2546" s="241"/>
      <c r="E2546" s="241"/>
      <c r="F2546" s="241"/>
      <c r="G2546" s="241"/>
      <c r="H2546" s="241"/>
      <c r="I2546"/>
      <c r="J2546" s="241"/>
      <c r="K2546" s="241"/>
      <c r="L2546" s="241"/>
      <c r="M2546" s="241"/>
      <c r="N2546" s="241"/>
      <c r="O2546" s="241"/>
      <c r="P2546" s="241"/>
      <c r="Q2546" s="241"/>
    </row>
    <row r="2547" spans="1:17" ht="13.5" customHeight="1" x14ac:dyDescent="0.3">
      <c r="A2547"/>
      <c r="B2547" s="241"/>
      <c r="C2547" s="241"/>
      <c r="D2547" s="241"/>
      <c r="E2547" s="241"/>
      <c r="F2547" s="241"/>
      <c r="G2547" s="241"/>
      <c r="H2547" s="241"/>
      <c r="I2547"/>
      <c r="J2547" s="241"/>
      <c r="K2547" s="241"/>
      <c r="L2547" s="241"/>
      <c r="M2547" s="241"/>
      <c r="N2547" s="241"/>
      <c r="O2547" s="241"/>
      <c r="P2547" s="241"/>
      <c r="Q2547" s="241"/>
    </row>
    <row r="2548" spans="1:17" ht="13.5" customHeight="1" x14ac:dyDescent="0.3">
      <c r="A2548"/>
      <c r="B2548" s="241"/>
      <c r="C2548" s="241"/>
      <c r="D2548" s="241"/>
      <c r="E2548" s="241"/>
      <c r="F2548" s="241"/>
      <c r="G2548" s="241"/>
      <c r="H2548" s="241"/>
      <c r="I2548"/>
      <c r="J2548" s="241"/>
      <c r="K2548" s="241"/>
      <c r="L2548" s="241"/>
      <c r="M2548" s="241"/>
      <c r="N2548" s="241"/>
      <c r="O2548" s="241"/>
      <c r="P2548" s="241"/>
      <c r="Q2548" s="241"/>
    </row>
    <row r="2549" spans="1:17" ht="13.5" customHeight="1" x14ac:dyDescent="0.3">
      <c r="A2549"/>
      <c r="B2549" s="241"/>
      <c r="C2549" s="241"/>
      <c r="D2549" s="241"/>
      <c r="E2549" s="241"/>
      <c r="F2549" s="241"/>
      <c r="G2549" s="241"/>
      <c r="H2549" s="241"/>
      <c r="I2549"/>
      <c r="J2549" s="241"/>
      <c r="K2549" s="241"/>
      <c r="L2549" s="241"/>
      <c r="M2549" s="241"/>
      <c r="N2549" s="241"/>
      <c r="O2549" s="241"/>
      <c r="P2549" s="241"/>
      <c r="Q2549" s="241"/>
    </row>
    <row r="2550" spans="1:17" ht="13.5" customHeight="1" x14ac:dyDescent="0.3">
      <c r="A2550"/>
      <c r="B2550" s="241"/>
      <c r="C2550" s="241"/>
      <c r="D2550" s="241"/>
      <c r="E2550" s="241"/>
      <c r="F2550" s="241"/>
      <c r="G2550" s="241"/>
      <c r="H2550" s="241"/>
      <c r="I2550"/>
      <c r="J2550" s="241"/>
      <c r="K2550" s="241"/>
      <c r="L2550" s="241"/>
      <c r="M2550" s="241"/>
      <c r="N2550" s="241"/>
      <c r="O2550" s="241"/>
      <c r="P2550" s="241"/>
      <c r="Q2550" s="241"/>
    </row>
    <row r="2551" spans="1:17" ht="13.5" customHeight="1" x14ac:dyDescent="0.3">
      <c r="A2551"/>
      <c r="B2551" s="241"/>
      <c r="C2551" s="241"/>
      <c r="D2551" s="241"/>
      <c r="E2551" s="241"/>
      <c r="F2551" s="241"/>
      <c r="G2551" s="241"/>
      <c r="H2551" s="241"/>
      <c r="I2551"/>
      <c r="J2551" s="241"/>
      <c r="K2551" s="241"/>
      <c r="L2551" s="241"/>
      <c r="M2551" s="241"/>
      <c r="N2551" s="241"/>
      <c r="O2551" s="241"/>
      <c r="P2551" s="241"/>
      <c r="Q2551" s="241"/>
    </row>
    <row r="2552" spans="1:17" ht="13.5" customHeight="1" x14ac:dyDescent="0.3">
      <c r="A2552"/>
      <c r="B2552" s="241"/>
      <c r="C2552" s="241"/>
      <c r="D2552" s="241"/>
      <c r="E2552" s="241"/>
      <c r="F2552" s="241"/>
      <c r="G2552" s="241"/>
      <c r="H2552" s="241"/>
      <c r="I2552"/>
      <c r="J2552" s="241"/>
      <c r="K2552" s="241"/>
      <c r="L2552" s="241"/>
      <c r="M2552" s="241"/>
      <c r="N2552" s="241"/>
      <c r="O2552" s="241"/>
      <c r="P2552" s="241"/>
      <c r="Q2552" s="241"/>
    </row>
    <row r="2553" spans="1:17" ht="13.5" customHeight="1" x14ac:dyDescent="0.3">
      <c r="A2553"/>
      <c r="B2553" s="241"/>
      <c r="C2553" s="241"/>
      <c r="D2553" s="241"/>
      <c r="E2553" s="241"/>
      <c r="F2553" s="241"/>
      <c r="G2553" s="241"/>
      <c r="H2553" s="241"/>
      <c r="I2553"/>
      <c r="J2553" s="241"/>
      <c r="K2553" s="241"/>
      <c r="L2553" s="241"/>
      <c r="M2553" s="241"/>
      <c r="N2553" s="241"/>
      <c r="O2553" s="241"/>
      <c r="P2553" s="241"/>
      <c r="Q2553" s="241"/>
    </row>
    <row r="2554" spans="1:17" ht="13.5" customHeight="1" x14ac:dyDescent="0.3">
      <c r="A2554"/>
      <c r="B2554" s="241"/>
      <c r="C2554" s="241"/>
      <c r="D2554" s="241"/>
      <c r="E2554" s="241"/>
      <c r="F2554" s="241"/>
      <c r="G2554" s="241"/>
      <c r="H2554" s="241"/>
      <c r="I2554"/>
      <c r="J2554" s="241"/>
      <c r="K2554" s="241"/>
      <c r="L2554" s="241"/>
      <c r="M2554" s="241"/>
      <c r="N2554" s="241"/>
      <c r="O2554" s="241"/>
      <c r="P2554" s="241"/>
      <c r="Q2554" s="241"/>
    </row>
    <row r="2555" spans="1:17" ht="13.5" customHeight="1" x14ac:dyDescent="0.3">
      <c r="A2555"/>
      <c r="B2555" s="241"/>
      <c r="C2555" s="241"/>
      <c r="D2555" s="241"/>
      <c r="E2555" s="241"/>
      <c r="F2555" s="241"/>
      <c r="G2555" s="241"/>
      <c r="H2555" s="241"/>
      <c r="I2555"/>
      <c r="J2555" s="241"/>
      <c r="K2555" s="241"/>
      <c r="L2555" s="241"/>
      <c r="M2555" s="241"/>
      <c r="N2555" s="241"/>
      <c r="O2555" s="241"/>
      <c r="P2555" s="241"/>
      <c r="Q2555" s="241"/>
    </row>
    <row r="2556" spans="1:17" ht="13.5" customHeight="1" x14ac:dyDescent="0.3">
      <c r="A2556"/>
      <c r="B2556" s="241"/>
      <c r="C2556" s="241"/>
      <c r="D2556" s="241"/>
      <c r="E2556" s="241"/>
      <c r="F2556" s="241"/>
      <c r="G2556" s="241"/>
      <c r="H2556" s="241"/>
      <c r="I2556"/>
      <c r="J2556" s="241"/>
      <c r="K2556" s="241"/>
      <c r="L2556" s="241"/>
      <c r="M2556" s="241"/>
      <c r="N2556" s="241"/>
      <c r="O2556" s="241"/>
      <c r="P2556" s="241"/>
      <c r="Q2556" s="241"/>
    </row>
    <row r="2557" spans="1:17" ht="13.5" customHeight="1" x14ac:dyDescent="0.3">
      <c r="A2557"/>
      <c r="B2557" s="241"/>
      <c r="C2557" s="241"/>
      <c r="D2557" s="241"/>
      <c r="E2557" s="241"/>
      <c r="F2557" s="241"/>
      <c r="G2557" s="241"/>
      <c r="H2557" s="241"/>
      <c r="I2557"/>
      <c r="J2557" s="241"/>
      <c r="K2557" s="241"/>
      <c r="L2557" s="241"/>
      <c r="M2557" s="241"/>
      <c r="N2557" s="241"/>
      <c r="O2557" s="241"/>
      <c r="P2557" s="241"/>
      <c r="Q2557" s="241"/>
    </row>
    <row r="2558" spans="1:17" ht="13.5" customHeight="1" x14ac:dyDescent="0.3">
      <c r="A2558"/>
      <c r="B2558" s="241"/>
      <c r="C2558" s="241"/>
      <c r="D2558" s="241"/>
      <c r="E2558" s="241"/>
      <c r="F2558" s="241"/>
      <c r="G2558" s="241"/>
      <c r="H2558" s="241"/>
      <c r="I2558"/>
      <c r="J2558" s="241"/>
      <c r="K2558" s="241"/>
      <c r="L2558" s="241"/>
      <c r="M2558" s="241"/>
      <c r="N2558" s="241"/>
      <c r="O2558" s="241"/>
      <c r="P2558" s="241"/>
      <c r="Q2558" s="241"/>
    </row>
    <row r="2559" spans="1:17" ht="13.5" customHeight="1" x14ac:dyDescent="0.3">
      <c r="A2559"/>
      <c r="B2559" s="241"/>
      <c r="C2559" s="241"/>
      <c r="D2559" s="241"/>
      <c r="E2559" s="241"/>
      <c r="F2559" s="241"/>
      <c r="G2559" s="241"/>
      <c r="H2559" s="241"/>
      <c r="I2559"/>
      <c r="J2559" s="241"/>
      <c r="K2559" s="241"/>
      <c r="L2559" s="241"/>
      <c r="M2559" s="241"/>
      <c r="N2559" s="241"/>
      <c r="O2559" s="241"/>
      <c r="P2559" s="241"/>
      <c r="Q2559" s="241"/>
    </row>
    <row r="2560" spans="1:17" ht="13.5" customHeight="1" x14ac:dyDescent="0.3">
      <c r="A2560"/>
      <c r="B2560" s="241"/>
      <c r="C2560" s="241"/>
      <c r="D2560" s="241"/>
      <c r="E2560" s="241"/>
      <c r="F2560" s="241"/>
      <c r="G2560" s="241"/>
      <c r="H2560" s="241"/>
      <c r="I2560"/>
      <c r="J2560" s="241"/>
      <c r="K2560" s="241"/>
      <c r="L2560" s="241"/>
      <c r="M2560" s="241"/>
      <c r="N2560" s="241"/>
      <c r="O2560" s="241"/>
      <c r="P2560" s="241"/>
      <c r="Q2560" s="241"/>
    </row>
    <row r="2561" spans="1:17" ht="13.5" customHeight="1" x14ac:dyDescent="0.3">
      <c r="A2561"/>
      <c r="B2561" s="241"/>
      <c r="C2561" s="241"/>
      <c r="D2561" s="241"/>
      <c r="E2561" s="241"/>
      <c r="F2561" s="241"/>
      <c r="G2561" s="241"/>
      <c r="H2561" s="241"/>
      <c r="I2561"/>
      <c r="J2561" s="241"/>
      <c r="K2561" s="241"/>
      <c r="L2561" s="241"/>
      <c r="M2561" s="241"/>
      <c r="N2561" s="241"/>
      <c r="O2561" s="241"/>
      <c r="P2561" s="241"/>
      <c r="Q2561" s="241"/>
    </row>
    <row r="2562" spans="1:17" ht="13.5" customHeight="1" x14ac:dyDescent="0.3">
      <c r="A2562"/>
      <c r="B2562" s="241"/>
      <c r="C2562" s="241"/>
      <c r="D2562" s="241"/>
      <c r="E2562" s="241"/>
      <c r="F2562" s="241"/>
      <c r="G2562" s="241"/>
      <c r="H2562" s="241"/>
      <c r="I2562"/>
      <c r="J2562" s="241"/>
      <c r="K2562" s="241"/>
      <c r="L2562" s="241"/>
      <c r="M2562" s="241"/>
      <c r="N2562" s="241"/>
      <c r="O2562" s="241"/>
      <c r="P2562" s="241"/>
      <c r="Q2562" s="241"/>
    </row>
    <row r="2563" spans="1:17" ht="13.5" customHeight="1" x14ac:dyDescent="0.3">
      <c r="A2563"/>
      <c r="B2563" s="241"/>
      <c r="C2563" s="241"/>
      <c r="D2563" s="241"/>
      <c r="E2563" s="241"/>
      <c r="F2563" s="241"/>
      <c r="G2563" s="241"/>
      <c r="H2563" s="241"/>
      <c r="I2563"/>
      <c r="J2563" s="241"/>
      <c r="K2563" s="241"/>
      <c r="L2563" s="241"/>
      <c r="M2563" s="241"/>
      <c r="N2563" s="241"/>
      <c r="O2563" s="241"/>
      <c r="P2563" s="241"/>
      <c r="Q2563" s="241"/>
    </row>
    <row r="2564" spans="1:17" ht="13.5" customHeight="1" x14ac:dyDescent="0.3">
      <c r="A2564"/>
      <c r="B2564" s="241"/>
      <c r="C2564" s="241"/>
      <c r="D2564" s="241"/>
      <c r="E2564" s="241"/>
      <c r="F2564" s="241"/>
      <c r="G2564" s="241"/>
      <c r="H2564" s="241"/>
      <c r="I2564"/>
      <c r="J2564" s="241"/>
      <c r="K2564" s="241"/>
      <c r="L2564" s="241"/>
      <c r="M2564" s="241"/>
      <c r="N2564" s="241"/>
      <c r="O2564" s="241"/>
      <c r="P2564" s="241"/>
      <c r="Q2564" s="241"/>
    </row>
    <row r="2565" spans="1:17" ht="13.5" customHeight="1" x14ac:dyDescent="0.3">
      <c r="A2565"/>
      <c r="B2565" s="241"/>
      <c r="C2565" s="241"/>
      <c r="D2565" s="241"/>
      <c r="E2565" s="241"/>
      <c r="F2565" s="241"/>
      <c r="G2565" s="241"/>
      <c r="H2565" s="241"/>
      <c r="I2565"/>
      <c r="J2565" s="241"/>
      <c r="K2565" s="241"/>
      <c r="L2565" s="241"/>
      <c r="M2565" s="241"/>
      <c r="N2565" s="241"/>
      <c r="O2565" s="241"/>
      <c r="P2565" s="241"/>
      <c r="Q2565" s="241"/>
    </row>
    <row r="2566" spans="1:17" ht="13.5" customHeight="1" x14ac:dyDescent="0.3">
      <c r="A2566"/>
      <c r="B2566" s="241"/>
      <c r="C2566" s="241"/>
      <c r="D2566" s="241"/>
      <c r="E2566" s="241"/>
      <c r="F2566" s="241"/>
      <c r="G2566" s="241"/>
      <c r="H2566" s="241"/>
      <c r="I2566"/>
      <c r="J2566" s="241"/>
      <c r="K2566" s="241"/>
      <c r="L2566" s="241"/>
      <c r="M2566" s="241"/>
      <c r="N2566" s="241"/>
      <c r="O2566" s="241"/>
      <c r="P2566" s="241"/>
      <c r="Q2566" s="241"/>
    </row>
    <row r="2567" spans="1:17" ht="13.5" customHeight="1" x14ac:dyDescent="0.3">
      <c r="A2567"/>
      <c r="B2567" s="241"/>
      <c r="C2567" s="241"/>
      <c r="D2567" s="241"/>
      <c r="E2567" s="241"/>
      <c r="F2567" s="241"/>
      <c r="G2567" s="241"/>
      <c r="H2567" s="241"/>
      <c r="I2567"/>
      <c r="J2567" s="241"/>
      <c r="K2567" s="241"/>
      <c r="L2567" s="241"/>
      <c r="M2567" s="241"/>
      <c r="N2567" s="241"/>
      <c r="O2567" s="241"/>
      <c r="P2567" s="241"/>
      <c r="Q2567" s="241"/>
    </row>
    <row r="2568" spans="1:17" ht="13.5" customHeight="1" x14ac:dyDescent="0.3">
      <c r="A2568"/>
      <c r="B2568" s="241"/>
      <c r="C2568" s="241"/>
      <c r="D2568" s="241"/>
      <c r="E2568" s="241"/>
      <c r="F2568" s="241"/>
      <c r="G2568" s="241"/>
      <c r="H2568" s="241"/>
      <c r="I2568"/>
      <c r="J2568" s="241"/>
      <c r="K2568" s="241"/>
      <c r="L2568" s="241"/>
      <c r="M2568" s="241"/>
      <c r="N2568" s="241"/>
      <c r="O2568" s="241"/>
      <c r="P2568" s="241"/>
      <c r="Q2568" s="241"/>
    </row>
    <row r="2569" spans="1:17" ht="13.5" customHeight="1" x14ac:dyDescent="0.3">
      <c r="A2569"/>
      <c r="B2569" s="241"/>
      <c r="C2569" s="241"/>
      <c r="D2569" s="241"/>
      <c r="E2569" s="241"/>
      <c r="F2569" s="241"/>
      <c r="G2569" s="241"/>
      <c r="H2569" s="241"/>
      <c r="I2569"/>
      <c r="J2569" s="241"/>
      <c r="K2569" s="241"/>
      <c r="L2569" s="241"/>
      <c r="M2569" s="241"/>
      <c r="N2569" s="241"/>
      <c r="O2569" s="241"/>
      <c r="P2569" s="241"/>
      <c r="Q2569" s="241"/>
    </row>
    <row r="2570" spans="1:17" ht="13.5" customHeight="1" x14ac:dyDescent="0.3">
      <c r="A2570"/>
      <c r="B2570" s="241"/>
      <c r="C2570" s="241"/>
      <c r="D2570" s="241"/>
      <c r="E2570" s="241"/>
      <c r="F2570" s="241"/>
      <c r="G2570" s="241"/>
      <c r="H2570" s="241"/>
      <c r="I2570"/>
      <c r="J2570" s="241"/>
      <c r="K2570" s="241"/>
      <c r="L2570" s="241"/>
      <c r="M2570" s="241"/>
      <c r="N2570" s="241"/>
      <c r="O2570" s="241"/>
      <c r="P2570" s="241"/>
      <c r="Q2570" s="241"/>
    </row>
    <row r="2571" spans="1:17" ht="13.5" customHeight="1" x14ac:dyDescent="0.3">
      <c r="A2571"/>
      <c r="B2571" s="241"/>
      <c r="C2571" s="241"/>
      <c r="D2571" s="241"/>
      <c r="E2571" s="241"/>
      <c r="F2571" s="241"/>
      <c r="G2571" s="241"/>
      <c r="H2571" s="241"/>
      <c r="I2571"/>
      <c r="J2571" s="241"/>
      <c r="K2571" s="241"/>
      <c r="L2571" s="241"/>
      <c r="M2571" s="241"/>
      <c r="N2571" s="241"/>
      <c r="O2571" s="241"/>
      <c r="P2571" s="241"/>
      <c r="Q2571" s="241"/>
    </row>
    <row r="2572" spans="1:17" ht="13.5" customHeight="1" x14ac:dyDescent="0.3">
      <c r="A2572"/>
      <c r="B2572" s="241"/>
      <c r="C2572" s="241"/>
      <c r="D2572" s="241"/>
      <c r="E2572" s="241"/>
      <c r="F2572" s="241"/>
      <c r="G2572" s="241"/>
      <c r="H2572" s="241"/>
      <c r="I2572"/>
      <c r="J2572" s="241"/>
      <c r="K2572" s="241"/>
      <c r="L2572" s="241"/>
      <c r="M2572" s="241"/>
      <c r="N2572" s="241"/>
      <c r="O2572" s="241"/>
      <c r="P2572" s="241"/>
      <c r="Q2572" s="241"/>
    </row>
    <row r="2573" spans="1:17" ht="13.5" customHeight="1" x14ac:dyDescent="0.3">
      <c r="A2573"/>
      <c r="B2573" s="241"/>
      <c r="C2573" s="241"/>
      <c r="D2573" s="241"/>
      <c r="E2573" s="241"/>
      <c r="F2573" s="241"/>
      <c r="G2573" s="241"/>
      <c r="H2573" s="241"/>
      <c r="I2573"/>
      <c r="J2573" s="241"/>
      <c r="K2573" s="241"/>
      <c r="L2573" s="241"/>
      <c r="M2573" s="241"/>
      <c r="N2573" s="241"/>
      <c r="O2573" s="241"/>
      <c r="P2573" s="241"/>
      <c r="Q2573" s="241"/>
    </row>
    <row r="2574" spans="1:17" ht="13.5" customHeight="1" x14ac:dyDescent="0.3">
      <c r="A2574"/>
      <c r="B2574" s="241"/>
      <c r="C2574" s="241"/>
      <c r="D2574" s="241"/>
      <c r="E2574" s="241"/>
      <c r="F2574" s="241"/>
      <c r="G2574" s="241"/>
      <c r="H2574" s="241"/>
      <c r="I2574"/>
      <c r="J2574" s="241"/>
      <c r="K2574" s="241"/>
      <c r="L2574" s="241"/>
      <c r="M2574" s="241"/>
      <c r="N2574" s="241"/>
      <c r="O2574" s="241"/>
      <c r="P2574" s="241"/>
      <c r="Q2574" s="241"/>
    </row>
    <row r="2575" spans="1:17" ht="13.5" customHeight="1" x14ac:dyDescent="0.3">
      <c r="A2575"/>
      <c r="B2575" s="241"/>
      <c r="C2575" s="241"/>
      <c r="D2575" s="241"/>
      <c r="E2575" s="241"/>
      <c r="F2575" s="241"/>
      <c r="G2575" s="241"/>
      <c r="H2575" s="241"/>
      <c r="I2575"/>
      <c r="J2575" s="241"/>
      <c r="K2575" s="241"/>
      <c r="L2575" s="241"/>
      <c r="M2575" s="241"/>
      <c r="N2575" s="241"/>
      <c r="O2575" s="241"/>
      <c r="P2575" s="241"/>
      <c r="Q2575" s="241"/>
    </row>
    <row r="2576" spans="1:17" ht="13.5" customHeight="1" x14ac:dyDescent="0.3">
      <c r="A2576"/>
      <c r="B2576" s="241"/>
      <c r="C2576" s="241"/>
      <c r="D2576" s="241"/>
      <c r="E2576" s="241"/>
      <c r="F2576" s="241"/>
      <c r="G2576" s="241"/>
      <c r="H2576" s="241"/>
      <c r="I2576"/>
      <c r="J2576" s="241"/>
      <c r="K2576" s="241"/>
      <c r="L2576" s="241"/>
      <c r="M2576" s="241"/>
      <c r="N2576" s="241"/>
      <c r="O2576" s="241"/>
      <c r="P2576" s="241"/>
      <c r="Q2576" s="241"/>
    </row>
    <row r="2577" spans="1:17" ht="13.5" customHeight="1" x14ac:dyDescent="0.3">
      <c r="A2577"/>
      <c r="B2577" s="241"/>
      <c r="C2577" s="241"/>
      <c r="D2577" s="241"/>
      <c r="E2577" s="241"/>
      <c r="F2577" s="241"/>
      <c r="G2577" s="241"/>
      <c r="H2577" s="241"/>
      <c r="I2577"/>
      <c r="J2577" s="241"/>
      <c r="K2577" s="241"/>
      <c r="L2577" s="241"/>
      <c r="M2577" s="241"/>
      <c r="N2577" s="241"/>
      <c r="O2577" s="241"/>
      <c r="P2577" s="241"/>
      <c r="Q2577" s="241"/>
    </row>
    <row r="2578" spans="1:17" ht="13.5" customHeight="1" x14ac:dyDescent="0.3">
      <c r="A2578"/>
      <c r="B2578" s="241"/>
      <c r="C2578" s="241"/>
      <c r="D2578" s="241"/>
      <c r="E2578" s="241"/>
      <c r="F2578" s="241"/>
      <c r="G2578" s="241"/>
      <c r="H2578" s="241"/>
      <c r="I2578"/>
      <c r="J2578" s="241"/>
      <c r="K2578" s="241"/>
      <c r="L2578" s="241"/>
      <c r="M2578" s="241"/>
      <c r="N2578" s="241"/>
      <c r="O2578" s="241"/>
      <c r="P2578" s="241"/>
      <c r="Q2578" s="241"/>
    </row>
    <row r="2579" spans="1:17" ht="13.5" customHeight="1" x14ac:dyDescent="0.3">
      <c r="A2579"/>
      <c r="B2579" s="241"/>
      <c r="C2579" s="241"/>
      <c r="D2579" s="241"/>
      <c r="E2579" s="241"/>
      <c r="F2579" s="241"/>
      <c r="G2579" s="241"/>
      <c r="H2579" s="241"/>
      <c r="I2579"/>
      <c r="J2579" s="241"/>
      <c r="K2579" s="241"/>
      <c r="L2579" s="241"/>
      <c r="M2579" s="241"/>
      <c r="N2579" s="241"/>
      <c r="O2579" s="241"/>
      <c r="P2579" s="241"/>
      <c r="Q2579" s="241"/>
    </row>
    <row r="2580" spans="1:17" ht="13.5" customHeight="1" x14ac:dyDescent="0.3">
      <c r="A2580"/>
      <c r="B2580" s="241"/>
      <c r="C2580" s="241"/>
      <c r="D2580" s="241"/>
      <c r="E2580" s="241"/>
      <c r="F2580" s="241"/>
      <c r="G2580" s="241"/>
      <c r="H2580" s="241"/>
      <c r="I2580"/>
      <c r="J2580" s="241"/>
      <c r="K2580" s="241"/>
      <c r="L2580" s="241"/>
      <c r="M2580" s="241"/>
      <c r="N2580" s="241"/>
      <c r="O2580" s="241"/>
      <c r="P2580" s="241"/>
      <c r="Q2580" s="241"/>
    </row>
    <row r="2581" spans="1:17" ht="13.5" customHeight="1" x14ac:dyDescent="0.3">
      <c r="A2581"/>
      <c r="B2581" s="241"/>
      <c r="C2581" s="241"/>
      <c r="D2581" s="241"/>
      <c r="E2581" s="241"/>
      <c r="F2581" s="241"/>
      <c r="G2581" s="241"/>
      <c r="H2581" s="241"/>
      <c r="I2581"/>
      <c r="J2581" s="241"/>
      <c r="K2581" s="241"/>
      <c r="L2581" s="241"/>
      <c r="M2581" s="241"/>
      <c r="N2581" s="241"/>
      <c r="O2581" s="241"/>
      <c r="P2581" s="241"/>
      <c r="Q2581" s="241"/>
    </row>
    <row r="2582" spans="1:17" ht="13.5" customHeight="1" x14ac:dyDescent="0.3">
      <c r="A2582"/>
      <c r="B2582" s="241"/>
      <c r="C2582" s="241"/>
      <c r="D2582" s="241"/>
      <c r="E2582" s="241"/>
      <c r="F2582" s="241"/>
      <c r="G2582" s="241"/>
      <c r="H2582" s="241"/>
      <c r="I2582"/>
      <c r="J2582" s="241"/>
      <c r="K2582" s="241"/>
      <c r="L2582" s="241"/>
      <c r="M2582" s="241"/>
      <c r="N2582" s="241"/>
      <c r="O2582" s="241"/>
      <c r="P2582" s="241"/>
      <c r="Q2582" s="241"/>
    </row>
    <row r="2583" spans="1:17" ht="13.5" customHeight="1" x14ac:dyDescent="0.3">
      <c r="A2583"/>
      <c r="B2583" s="241"/>
      <c r="C2583" s="241"/>
      <c r="D2583" s="241"/>
      <c r="E2583" s="241"/>
      <c r="F2583" s="241"/>
      <c r="G2583" s="241"/>
      <c r="H2583" s="241"/>
      <c r="I2583"/>
      <c r="J2583" s="241"/>
      <c r="K2583" s="241"/>
      <c r="L2583" s="241"/>
      <c r="M2583" s="241"/>
      <c r="N2583" s="241"/>
      <c r="O2583" s="241"/>
      <c r="P2583" s="241"/>
      <c r="Q2583" s="241"/>
    </row>
    <row r="2584" spans="1:17" ht="13.5" customHeight="1" x14ac:dyDescent="0.3">
      <c r="A2584"/>
      <c r="B2584" s="241"/>
      <c r="C2584" s="241"/>
      <c r="D2584" s="241"/>
      <c r="E2584" s="241"/>
      <c r="F2584" s="241"/>
      <c r="G2584" s="241"/>
      <c r="H2584" s="241"/>
      <c r="I2584"/>
      <c r="J2584" s="241"/>
      <c r="K2584" s="241"/>
      <c r="L2584" s="241"/>
      <c r="M2584" s="241"/>
      <c r="N2584" s="241"/>
      <c r="O2584" s="241"/>
      <c r="P2584" s="241"/>
      <c r="Q2584" s="241"/>
    </row>
    <row r="2585" spans="1:17" ht="13.5" customHeight="1" x14ac:dyDescent="0.3">
      <c r="A2585"/>
      <c r="B2585" s="241"/>
      <c r="C2585" s="241"/>
      <c r="D2585" s="241"/>
      <c r="E2585" s="241"/>
      <c r="F2585" s="241"/>
      <c r="G2585" s="241"/>
      <c r="H2585" s="241"/>
      <c r="I2585"/>
      <c r="J2585" s="241"/>
      <c r="K2585" s="241"/>
      <c r="L2585" s="241"/>
      <c r="M2585" s="241"/>
      <c r="N2585" s="241"/>
      <c r="O2585" s="241"/>
      <c r="P2585" s="241"/>
      <c r="Q2585" s="241"/>
    </row>
    <row r="2586" spans="1:17" ht="13.5" customHeight="1" x14ac:dyDescent="0.3">
      <c r="A2586"/>
      <c r="B2586" s="241"/>
      <c r="C2586" s="241"/>
      <c r="D2586" s="241"/>
      <c r="E2586" s="241"/>
      <c r="F2586" s="241"/>
      <c r="G2586" s="241"/>
      <c r="H2586" s="241"/>
      <c r="I2586"/>
      <c r="J2586" s="241"/>
      <c r="K2586" s="241"/>
      <c r="L2586" s="241"/>
      <c r="M2586" s="241"/>
      <c r="N2586" s="241"/>
      <c r="O2586" s="241"/>
      <c r="P2586" s="241"/>
      <c r="Q2586" s="241"/>
    </row>
    <row r="2587" spans="1:17" ht="13.5" customHeight="1" x14ac:dyDescent="0.3">
      <c r="A2587"/>
      <c r="B2587" s="241"/>
      <c r="C2587" s="241"/>
      <c r="D2587" s="241"/>
      <c r="E2587" s="241"/>
      <c r="F2587" s="241"/>
      <c r="G2587" s="241"/>
      <c r="H2587" s="241"/>
      <c r="I2587"/>
      <c r="J2587" s="241"/>
      <c r="K2587" s="241"/>
      <c r="L2587" s="241"/>
      <c r="M2587" s="241"/>
      <c r="N2587" s="241"/>
      <c r="O2587" s="241"/>
      <c r="P2587" s="241"/>
      <c r="Q2587" s="241"/>
    </row>
    <row r="2588" spans="1:17" ht="13.5" customHeight="1" x14ac:dyDescent="0.3">
      <c r="A2588"/>
      <c r="B2588" s="241"/>
      <c r="C2588" s="241"/>
      <c r="D2588" s="241"/>
      <c r="E2588" s="241"/>
      <c r="F2588" s="241"/>
      <c r="G2588" s="241"/>
      <c r="H2588" s="241"/>
      <c r="I2588"/>
      <c r="J2588" s="241"/>
      <c r="K2588" s="241"/>
      <c r="L2588" s="241"/>
      <c r="M2588" s="241"/>
      <c r="N2588" s="241"/>
      <c r="O2588" s="241"/>
      <c r="P2588" s="241"/>
      <c r="Q2588" s="241"/>
    </row>
    <row r="2589" spans="1:17" ht="13.5" customHeight="1" x14ac:dyDescent="0.3">
      <c r="A2589"/>
      <c r="B2589" s="241"/>
      <c r="C2589" s="241"/>
      <c r="D2589" s="241"/>
      <c r="E2589" s="241"/>
      <c r="F2589" s="241"/>
      <c r="G2589" s="241"/>
      <c r="H2589" s="241"/>
      <c r="I2589"/>
      <c r="J2589" s="241"/>
      <c r="K2589" s="241"/>
      <c r="L2589" s="241"/>
      <c r="M2589" s="241"/>
      <c r="N2589" s="241"/>
      <c r="O2589" s="241"/>
      <c r="P2589" s="241"/>
      <c r="Q2589" s="241"/>
    </row>
    <row r="2590" spans="1:17" ht="13.5" customHeight="1" x14ac:dyDescent="0.3">
      <c r="A2590"/>
      <c r="B2590" s="241"/>
      <c r="C2590" s="241"/>
      <c r="D2590" s="241"/>
      <c r="E2590" s="241"/>
      <c r="F2590" s="241"/>
      <c r="G2590" s="241"/>
      <c r="H2590" s="241"/>
      <c r="I2590"/>
      <c r="J2590" s="241"/>
      <c r="K2590" s="241"/>
      <c r="L2590" s="241"/>
      <c r="M2590" s="241"/>
      <c r="N2590" s="241"/>
      <c r="O2590" s="241"/>
      <c r="P2590" s="241"/>
      <c r="Q2590" s="241"/>
    </row>
    <row r="2591" spans="1:17" ht="13.5" customHeight="1" x14ac:dyDescent="0.3">
      <c r="A2591"/>
      <c r="B2591" s="241"/>
      <c r="C2591" s="241"/>
      <c r="D2591" s="241"/>
      <c r="E2591" s="241"/>
      <c r="F2591" s="241"/>
      <c r="G2591" s="241"/>
      <c r="H2591" s="241"/>
      <c r="I2591"/>
      <c r="J2591" s="241"/>
      <c r="K2591" s="241"/>
      <c r="L2591" s="241"/>
      <c r="M2591" s="241"/>
      <c r="N2591" s="241"/>
      <c r="O2591" s="241"/>
      <c r="P2591" s="241"/>
      <c r="Q2591" s="241"/>
    </row>
    <row r="2592" spans="1:17" ht="13.5" customHeight="1" x14ac:dyDescent="0.3">
      <c r="A2592"/>
      <c r="B2592" s="241"/>
      <c r="C2592" s="241"/>
      <c r="D2592" s="241"/>
      <c r="E2592" s="241"/>
      <c r="F2592" s="241"/>
      <c r="G2592" s="241"/>
      <c r="H2592" s="241"/>
      <c r="I2592"/>
      <c r="J2592" s="241"/>
      <c r="K2592" s="241"/>
      <c r="L2592" s="241"/>
      <c r="M2592" s="241"/>
      <c r="N2592" s="241"/>
      <c r="O2592" s="241"/>
      <c r="P2592" s="241"/>
      <c r="Q2592" s="241"/>
    </row>
    <row r="2593" spans="1:17" ht="13.5" customHeight="1" x14ac:dyDescent="0.3">
      <c r="A2593"/>
      <c r="B2593" s="241"/>
      <c r="C2593" s="241"/>
      <c r="D2593" s="241"/>
      <c r="E2593" s="241"/>
      <c r="F2593" s="241"/>
      <c r="G2593" s="241"/>
      <c r="H2593" s="241"/>
      <c r="I2593"/>
      <c r="J2593" s="241"/>
      <c r="K2593" s="241"/>
      <c r="L2593" s="241"/>
      <c r="M2593" s="241"/>
      <c r="N2593" s="241"/>
      <c r="O2593" s="241"/>
      <c r="P2593" s="241"/>
      <c r="Q2593" s="241"/>
    </row>
    <row r="2594" spans="1:17" ht="13.5" customHeight="1" x14ac:dyDescent="0.3">
      <c r="A2594"/>
      <c r="B2594" s="241"/>
      <c r="C2594" s="241"/>
      <c r="D2594" s="241"/>
      <c r="E2594" s="241"/>
      <c r="F2594" s="241"/>
      <c r="G2594" s="241"/>
      <c r="H2594" s="241"/>
      <c r="I2594"/>
      <c r="J2594" s="241"/>
      <c r="K2594" s="241"/>
      <c r="L2594" s="241"/>
      <c r="M2594" s="241"/>
      <c r="N2594" s="241"/>
      <c r="O2594" s="241"/>
      <c r="P2594" s="241"/>
      <c r="Q2594" s="241"/>
    </row>
    <row r="2595" spans="1:17" ht="13.5" customHeight="1" x14ac:dyDescent="0.3">
      <c r="A2595"/>
      <c r="B2595" s="241"/>
      <c r="C2595" s="241"/>
      <c r="D2595" s="241"/>
      <c r="E2595" s="241"/>
      <c r="F2595" s="241"/>
      <c r="G2595" s="241"/>
      <c r="H2595" s="241"/>
      <c r="I2595"/>
      <c r="J2595" s="241"/>
      <c r="K2595" s="241"/>
      <c r="L2595" s="241"/>
      <c r="M2595" s="241"/>
      <c r="N2595" s="241"/>
      <c r="O2595" s="241"/>
      <c r="P2595" s="241"/>
      <c r="Q2595" s="241"/>
    </row>
    <row r="2596" spans="1:17" ht="13.5" customHeight="1" x14ac:dyDescent="0.3">
      <c r="A2596"/>
      <c r="B2596" s="241"/>
      <c r="C2596" s="241"/>
      <c r="D2596" s="241"/>
      <c r="E2596" s="241"/>
      <c r="F2596" s="241"/>
      <c r="G2596" s="241"/>
      <c r="H2596" s="241"/>
      <c r="I2596"/>
      <c r="J2596" s="241"/>
      <c r="K2596" s="241"/>
      <c r="L2596" s="241"/>
      <c r="M2596" s="241"/>
      <c r="N2596" s="241"/>
      <c r="O2596" s="241"/>
      <c r="P2596" s="241"/>
      <c r="Q2596" s="241"/>
    </row>
    <row r="2597" spans="1:17" ht="13.5" customHeight="1" x14ac:dyDescent="0.3">
      <c r="A2597"/>
      <c r="B2597" s="241"/>
      <c r="C2597" s="241"/>
      <c r="D2597" s="241"/>
      <c r="E2597" s="241"/>
      <c r="F2597" s="241"/>
      <c r="G2597" s="241"/>
      <c r="H2597" s="241"/>
      <c r="I2597"/>
      <c r="J2597" s="241"/>
      <c r="K2597" s="241"/>
      <c r="L2597" s="241"/>
      <c r="M2597" s="241"/>
      <c r="N2597" s="241"/>
      <c r="O2597" s="241"/>
      <c r="P2597" s="241"/>
      <c r="Q2597" s="241"/>
    </row>
    <row r="2598" spans="1:17" ht="13.5" customHeight="1" x14ac:dyDescent="0.3">
      <c r="A2598"/>
      <c r="B2598" s="241"/>
      <c r="C2598" s="241"/>
      <c r="D2598" s="241"/>
      <c r="E2598" s="241"/>
      <c r="F2598" s="241"/>
      <c r="G2598" s="241"/>
      <c r="H2598" s="241"/>
      <c r="I2598"/>
      <c r="J2598" s="241"/>
      <c r="K2598" s="241"/>
      <c r="L2598" s="241"/>
      <c r="M2598" s="241"/>
      <c r="N2598" s="241"/>
      <c r="O2598" s="241"/>
      <c r="P2598" s="241"/>
      <c r="Q2598" s="241"/>
    </row>
    <row r="2599" spans="1:17" ht="13.5" customHeight="1" x14ac:dyDescent="0.3">
      <c r="A2599"/>
      <c r="B2599" s="241"/>
      <c r="C2599" s="241"/>
      <c r="D2599" s="241"/>
      <c r="E2599" s="241"/>
      <c r="F2599" s="241"/>
      <c r="G2599" s="241"/>
      <c r="H2599" s="241"/>
      <c r="I2599"/>
      <c r="J2599" s="241"/>
      <c r="K2599" s="241"/>
      <c r="L2599" s="241"/>
      <c r="M2599" s="241"/>
      <c r="N2599" s="241"/>
      <c r="O2599" s="241"/>
      <c r="P2599" s="241"/>
      <c r="Q2599" s="241"/>
    </row>
    <row r="2600" spans="1:17" ht="13.5" customHeight="1" x14ac:dyDescent="0.3">
      <c r="A2600"/>
      <c r="B2600" s="241"/>
      <c r="C2600" s="241"/>
      <c r="D2600" s="241"/>
      <c r="E2600" s="241"/>
      <c r="F2600" s="241"/>
      <c r="G2600" s="241"/>
      <c r="H2600" s="241"/>
      <c r="I2600"/>
      <c r="J2600" s="241"/>
      <c r="K2600" s="241"/>
      <c r="L2600" s="241"/>
      <c r="M2600" s="241"/>
      <c r="N2600" s="241"/>
      <c r="O2600" s="241"/>
      <c r="P2600" s="241"/>
      <c r="Q2600" s="241"/>
    </row>
    <row r="2601" spans="1:17" ht="13.5" customHeight="1" x14ac:dyDescent="0.3">
      <c r="A2601"/>
      <c r="B2601" s="241"/>
      <c r="C2601" s="241"/>
      <c r="D2601" s="241"/>
      <c r="E2601" s="241"/>
      <c r="F2601" s="241"/>
      <c r="G2601" s="241"/>
      <c r="H2601" s="241"/>
      <c r="I2601"/>
      <c r="J2601" s="241"/>
      <c r="K2601" s="241"/>
      <c r="L2601" s="241"/>
      <c r="M2601" s="241"/>
      <c r="N2601" s="241"/>
      <c r="O2601" s="241"/>
      <c r="P2601" s="241"/>
      <c r="Q2601" s="241"/>
    </row>
    <row r="2602" spans="1:17" ht="13.5" customHeight="1" x14ac:dyDescent="0.3">
      <c r="A2602"/>
      <c r="B2602" s="241"/>
      <c r="C2602" s="241"/>
      <c r="D2602" s="241"/>
      <c r="E2602" s="241"/>
      <c r="F2602" s="241"/>
      <c r="G2602" s="241"/>
      <c r="H2602" s="241"/>
      <c r="I2602"/>
      <c r="J2602" s="241"/>
      <c r="K2602" s="241"/>
      <c r="L2602" s="241"/>
      <c r="M2602" s="241"/>
      <c r="N2602" s="241"/>
      <c r="O2602" s="241"/>
      <c r="P2602" s="241"/>
      <c r="Q2602" s="241"/>
    </row>
    <row r="2603" spans="1:17" ht="13.5" customHeight="1" x14ac:dyDescent="0.3">
      <c r="A2603"/>
      <c r="B2603" s="241"/>
      <c r="C2603" s="241"/>
      <c r="D2603" s="241"/>
      <c r="E2603" s="241"/>
      <c r="F2603" s="241"/>
      <c r="G2603" s="241"/>
      <c r="H2603" s="241"/>
      <c r="I2603"/>
      <c r="J2603" s="241"/>
      <c r="K2603" s="241"/>
      <c r="L2603" s="241"/>
      <c r="M2603" s="241"/>
      <c r="N2603" s="241"/>
      <c r="O2603" s="241"/>
      <c r="P2603" s="241"/>
      <c r="Q2603" s="241"/>
    </row>
    <row r="2604" spans="1:17" ht="13.5" customHeight="1" x14ac:dyDescent="0.3">
      <c r="A2604"/>
      <c r="B2604" s="241"/>
      <c r="C2604" s="241"/>
      <c r="D2604" s="241"/>
      <c r="E2604" s="241"/>
      <c r="F2604" s="241"/>
      <c r="G2604" s="241"/>
      <c r="H2604" s="241"/>
      <c r="I2604"/>
      <c r="J2604" s="241"/>
      <c r="K2604" s="241"/>
      <c r="L2604" s="241"/>
      <c r="M2604" s="241"/>
      <c r="N2604" s="241"/>
      <c r="O2604" s="241"/>
      <c r="P2604" s="241"/>
      <c r="Q2604" s="241"/>
    </row>
    <row r="2605" spans="1:17" ht="13.5" customHeight="1" x14ac:dyDescent="0.3">
      <c r="A2605"/>
      <c r="B2605" s="241"/>
      <c r="C2605" s="241"/>
      <c r="D2605" s="241"/>
      <c r="E2605" s="241"/>
      <c r="F2605" s="241"/>
      <c r="G2605" s="241"/>
      <c r="H2605" s="241"/>
      <c r="I2605"/>
      <c r="J2605" s="241"/>
      <c r="K2605" s="241"/>
      <c r="L2605" s="241"/>
      <c r="M2605" s="241"/>
      <c r="N2605" s="241"/>
      <c r="O2605" s="241"/>
      <c r="P2605" s="241"/>
      <c r="Q2605" s="241"/>
    </row>
    <row r="2606" spans="1:17" ht="13.5" customHeight="1" x14ac:dyDescent="0.3">
      <c r="A2606"/>
      <c r="B2606" s="241"/>
      <c r="C2606" s="241"/>
      <c r="D2606" s="241"/>
      <c r="E2606" s="241"/>
      <c r="F2606" s="241"/>
      <c r="G2606" s="241"/>
      <c r="H2606" s="241"/>
      <c r="I2606"/>
      <c r="J2606" s="241"/>
      <c r="K2606" s="241"/>
      <c r="L2606" s="241"/>
      <c r="M2606" s="241"/>
      <c r="N2606" s="241"/>
      <c r="O2606" s="241"/>
      <c r="P2606" s="241"/>
      <c r="Q2606" s="241"/>
    </row>
    <row r="2607" spans="1:17" ht="13.5" customHeight="1" x14ac:dyDescent="0.3">
      <c r="A2607"/>
      <c r="B2607" s="241"/>
      <c r="C2607" s="241"/>
      <c r="D2607" s="241"/>
      <c r="E2607" s="241"/>
      <c r="F2607" s="241"/>
      <c r="G2607" s="241"/>
      <c r="H2607" s="241"/>
      <c r="I2607"/>
      <c r="J2607" s="241"/>
      <c r="K2607" s="241"/>
      <c r="L2607" s="241"/>
      <c r="M2607" s="241"/>
      <c r="N2607" s="241"/>
      <c r="O2607" s="241"/>
      <c r="P2607" s="241"/>
      <c r="Q2607" s="241"/>
    </row>
    <row r="2608" spans="1:17" ht="13.5" customHeight="1" x14ac:dyDescent="0.3">
      <c r="A2608"/>
      <c r="B2608" s="241"/>
      <c r="C2608" s="241"/>
      <c r="D2608" s="241"/>
      <c r="E2608" s="241"/>
      <c r="F2608" s="241"/>
      <c r="G2608" s="241"/>
      <c r="H2608" s="241"/>
      <c r="I2608"/>
      <c r="J2608" s="241"/>
      <c r="K2608" s="241"/>
      <c r="L2608" s="241"/>
      <c r="M2608" s="241"/>
      <c r="N2608" s="241"/>
      <c r="O2608" s="241"/>
      <c r="P2608" s="241"/>
      <c r="Q2608" s="241"/>
    </row>
    <row r="2609" spans="1:17" ht="13.5" customHeight="1" x14ac:dyDescent="0.3">
      <c r="A2609"/>
      <c r="B2609" s="241"/>
      <c r="C2609" s="241"/>
      <c r="D2609" s="241"/>
      <c r="E2609" s="241"/>
      <c r="F2609" s="241"/>
      <c r="G2609" s="241"/>
      <c r="H2609" s="241"/>
      <c r="I2609"/>
      <c r="J2609" s="241"/>
      <c r="K2609" s="241"/>
      <c r="L2609" s="241"/>
      <c r="M2609" s="241"/>
      <c r="N2609" s="241"/>
      <c r="O2609" s="241"/>
      <c r="P2609" s="241"/>
      <c r="Q2609" s="241"/>
    </row>
    <row r="2610" spans="1:17" ht="13.5" customHeight="1" x14ac:dyDescent="0.3">
      <c r="A2610"/>
      <c r="B2610" s="241"/>
      <c r="C2610" s="241"/>
      <c r="D2610" s="241"/>
      <c r="E2610" s="241"/>
      <c r="F2610" s="241"/>
      <c r="G2610" s="241"/>
      <c r="H2610" s="241"/>
      <c r="I2610"/>
      <c r="J2610" s="241"/>
      <c r="K2610" s="241"/>
      <c r="L2610" s="241"/>
      <c r="M2610" s="241"/>
      <c r="N2610" s="241"/>
      <c r="O2610" s="241"/>
      <c r="P2610" s="241"/>
      <c r="Q2610" s="241"/>
    </row>
    <row r="2611" spans="1:17" ht="13.5" customHeight="1" x14ac:dyDescent="0.3">
      <c r="A2611"/>
      <c r="B2611" s="241"/>
      <c r="C2611" s="241"/>
      <c r="D2611" s="241"/>
      <c r="E2611" s="241"/>
      <c r="F2611" s="241"/>
      <c r="G2611" s="241"/>
      <c r="H2611" s="241"/>
      <c r="I2611"/>
      <c r="J2611" s="241"/>
      <c r="K2611" s="241"/>
      <c r="L2611" s="241"/>
      <c r="M2611" s="241"/>
      <c r="N2611" s="241"/>
      <c r="O2611" s="241"/>
      <c r="P2611" s="241"/>
      <c r="Q2611" s="241"/>
    </row>
    <row r="2612" spans="1:17" ht="13.5" customHeight="1" x14ac:dyDescent="0.3">
      <c r="A2612"/>
      <c r="B2612" s="241"/>
      <c r="C2612" s="241"/>
      <c r="D2612" s="241"/>
      <c r="E2612" s="241"/>
      <c r="F2612" s="241"/>
      <c r="G2612" s="241"/>
      <c r="H2612" s="241"/>
      <c r="I2612"/>
      <c r="J2612" s="241"/>
      <c r="K2612" s="241"/>
      <c r="L2612" s="241"/>
      <c r="M2612" s="241"/>
      <c r="N2612" s="241"/>
      <c r="O2612" s="241"/>
      <c r="P2612" s="241"/>
      <c r="Q2612" s="241"/>
    </row>
    <row r="2613" spans="1:17" ht="13.5" customHeight="1" x14ac:dyDescent="0.3">
      <c r="A2613"/>
      <c r="B2613" s="241"/>
      <c r="C2613" s="241"/>
      <c r="D2613" s="241"/>
      <c r="E2613" s="241"/>
      <c r="F2613" s="241"/>
      <c r="G2613" s="241"/>
      <c r="H2613" s="241"/>
      <c r="I2613"/>
      <c r="J2613" s="241"/>
      <c r="K2613" s="241"/>
      <c r="L2613" s="241"/>
      <c r="M2613" s="241"/>
      <c r="N2613" s="241"/>
      <c r="O2613" s="241"/>
      <c r="P2613" s="241"/>
      <c r="Q2613" s="241"/>
    </row>
    <row r="2614" spans="1:17" ht="13.5" customHeight="1" x14ac:dyDescent="0.3">
      <c r="A2614"/>
      <c r="B2614" s="241"/>
      <c r="C2614" s="241"/>
      <c r="D2614" s="241"/>
      <c r="E2614" s="241"/>
      <c r="F2614" s="241"/>
      <c r="G2614" s="241"/>
      <c r="H2614" s="241"/>
      <c r="I2614"/>
      <c r="J2614" s="241"/>
      <c r="K2614" s="241"/>
      <c r="L2614" s="241"/>
      <c r="M2614" s="241"/>
      <c r="N2614" s="241"/>
      <c r="O2614" s="241"/>
      <c r="P2614" s="241"/>
      <c r="Q2614" s="241"/>
    </row>
    <row r="2615" spans="1:17" ht="13.5" customHeight="1" x14ac:dyDescent="0.3">
      <c r="A2615"/>
      <c r="B2615" s="241"/>
      <c r="C2615" s="241"/>
      <c r="D2615" s="241"/>
      <c r="E2615" s="241"/>
      <c r="F2615" s="241"/>
      <c r="G2615" s="241"/>
      <c r="H2615" s="241"/>
      <c r="I2615"/>
      <c r="J2615" s="241"/>
      <c r="K2615" s="241"/>
      <c r="L2615" s="241"/>
      <c r="M2615" s="241"/>
      <c r="N2615" s="241"/>
      <c r="O2615" s="241"/>
      <c r="P2615" s="241"/>
      <c r="Q2615" s="241"/>
    </row>
    <row r="2616" spans="1:17" ht="13.5" customHeight="1" x14ac:dyDescent="0.3">
      <c r="A2616"/>
      <c r="B2616" s="241"/>
      <c r="C2616" s="241"/>
      <c r="D2616" s="241"/>
      <c r="E2616" s="241"/>
      <c r="F2616" s="241"/>
      <c r="G2616" s="241"/>
      <c r="H2616" s="241"/>
      <c r="I2616"/>
      <c r="J2616" s="241"/>
      <c r="K2616" s="241"/>
      <c r="L2616" s="241"/>
      <c r="M2616" s="241"/>
      <c r="N2616" s="241"/>
      <c r="O2616" s="241"/>
      <c r="P2616" s="241"/>
      <c r="Q2616" s="241"/>
    </row>
    <row r="2617" spans="1:17" ht="13.5" customHeight="1" x14ac:dyDescent="0.3">
      <c r="A2617"/>
      <c r="B2617" s="241"/>
      <c r="C2617" s="241"/>
      <c r="D2617" s="241"/>
      <c r="E2617" s="241"/>
      <c r="F2617" s="241"/>
      <c r="G2617" s="241"/>
      <c r="H2617" s="241"/>
      <c r="I2617"/>
      <c r="J2617" s="241"/>
      <c r="K2617" s="241"/>
      <c r="L2617" s="241"/>
      <c r="M2617" s="241"/>
      <c r="N2617" s="241"/>
      <c r="O2617" s="241"/>
      <c r="P2617" s="241"/>
      <c r="Q2617" s="241"/>
    </row>
    <row r="2618" spans="1:17" ht="13.5" customHeight="1" x14ac:dyDescent="0.3">
      <c r="A2618"/>
      <c r="B2618" s="241"/>
      <c r="C2618" s="241"/>
      <c r="D2618" s="241"/>
      <c r="E2618" s="241"/>
      <c r="F2618" s="241"/>
      <c r="G2618" s="241"/>
      <c r="H2618" s="241"/>
      <c r="I2618"/>
      <c r="J2618" s="241"/>
      <c r="K2618" s="241"/>
      <c r="L2618" s="241"/>
      <c r="M2618" s="241"/>
      <c r="N2618" s="241"/>
      <c r="O2618" s="241"/>
      <c r="P2618" s="241"/>
      <c r="Q2618" s="241"/>
    </row>
    <row r="2619" spans="1:17" ht="13.5" customHeight="1" x14ac:dyDescent="0.3">
      <c r="A2619"/>
      <c r="B2619" s="241"/>
      <c r="C2619" s="241"/>
      <c r="D2619" s="241"/>
      <c r="E2619" s="241"/>
      <c r="F2619" s="241"/>
      <c r="G2619" s="241"/>
      <c r="H2619" s="241"/>
      <c r="I2619"/>
      <c r="J2619" s="241"/>
      <c r="K2619" s="241"/>
      <c r="L2619" s="241"/>
      <c r="M2619" s="241"/>
      <c r="N2619" s="241"/>
      <c r="O2619" s="241"/>
      <c r="P2619" s="241"/>
      <c r="Q2619" s="241"/>
    </row>
    <row r="2620" spans="1:17" ht="13.5" customHeight="1" x14ac:dyDescent="0.3">
      <c r="A2620"/>
      <c r="B2620" s="241"/>
      <c r="C2620" s="241"/>
      <c r="D2620" s="241"/>
      <c r="E2620" s="241"/>
      <c r="F2620" s="241"/>
      <c r="G2620" s="241"/>
      <c r="H2620" s="241"/>
      <c r="I2620"/>
      <c r="J2620" s="241"/>
      <c r="K2620" s="241"/>
      <c r="L2620" s="241"/>
      <c r="M2620" s="241"/>
      <c r="N2620" s="241"/>
      <c r="O2620" s="241"/>
      <c r="P2620" s="241"/>
      <c r="Q2620" s="241"/>
    </row>
    <row r="2621" spans="1:17" ht="13.5" customHeight="1" x14ac:dyDescent="0.3">
      <c r="A2621"/>
      <c r="B2621" s="241"/>
      <c r="C2621" s="241"/>
      <c r="D2621" s="241"/>
      <c r="E2621" s="241"/>
      <c r="F2621" s="241"/>
      <c r="G2621" s="241"/>
      <c r="H2621" s="241"/>
      <c r="I2621"/>
      <c r="J2621" s="241"/>
      <c r="K2621" s="241"/>
      <c r="L2621" s="241"/>
      <c r="M2621" s="241"/>
      <c r="N2621" s="241"/>
      <c r="O2621" s="241"/>
      <c r="P2621" s="241"/>
      <c r="Q2621" s="241"/>
    </row>
    <row r="2622" spans="1:17" ht="13.5" customHeight="1" x14ac:dyDescent="0.3">
      <c r="A2622"/>
      <c r="B2622" s="241"/>
      <c r="C2622" s="241"/>
      <c r="D2622" s="241"/>
      <c r="E2622" s="241"/>
      <c r="F2622" s="241"/>
      <c r="G2622" s="241"/>
      <c r="H2622" s="241"/>
      <c r="I2622"/>
      <c r="J2622" s="241"/>
      <c r="K2622" s="241"/>
      <c r="L2622" s="241"/>
      <c r="M2622" s="241"/>
      <c r="N2622" s="241"/>
      <c r="O2622" s="241"/>
      <c r="P2622" s="241"/>
      <c r="Q2622" s="241"/>
    </row>
    <row r="2623" spans="1:17" ht="13.5" customHeight="1" x14ac:dyDescent="0.3">
      <c r="A2623"/>
      <c r="B2623" s="241"/>
      <c r="C2623" s="241"/>
      <c r="D2623" s="241"/>
      <c r="E2623" s="241"/>
      <c r="F2623" s="241"/>
      <c r="G2623" s="241"/>
      <c r="H2623" s="241"/>
      <c r="I2623"/>
      <c r="J2623" s="241"/>
      <c r="K2623" s="241"/>
      <c r="L2623" s="241"/>
      <c r="M2623" s="241"/>
      <c r="N2623" s="241"/>
      <c r="O2623" s="241"/>
      <c r="P2623" s="241"/>
      <c r="Q2623" s="241"/>
    </row>
    <row r="2624" spans="1:17" ht="13.5" customHeight="1" x14ac:dyDescent="0.3">
      <c r="A2624"/>
      <c r="B2624" s="241"/>
      <c r="C2624" s="241"/>
      <c r="D2624" s="241"/>
      <c r="E2624" s="241"/>
      <c r="F2624" s="241"/>
      <c r="G2624" s="241"/>
      <c r="H2624" s="241"/>
      <c r="I2624"/>
      <c r="J2624" s="241"/>
      <c r="K2624" s="241"/>
      <c r="L2624" s="241"/>
      <c r="M2624" s="241"/>
      <c r="N2624" s="241"/>
      <c r="O2624" s="241"/>
      <c r="P2624" s="241"/>
      <c r="Q2624" s="241"/>
    </row>
    <row r="2625" spans="1:17" ht="13.5" customHeight="1" x14ac:dyDescent="0.3">
      <c r="A2625"/>
      <c r="B2625" s="241"/>
      <c r="C2625" s="241"/>
      <c r="D2625" s="241"/>
      <c r="E2625" s="241"/>
      <c r="F2625" s="241"/>
      <c r="G2625" s="241"/>
      <c r="H2625" s="241"/>
      <c r="I2625"/>
      <c r="J2625" s="241"/>
      <c r="K2625" s="241"/>
      <c r="L2625" s="241"/>
      <c r="M2625" s="241"/>
      <c r="N2625" s="241"/>
      <c r="O2625" s="241"/>
      <c r="P2625" s="241"/>
      <c r="Q2625" s="241"/>
    </row>
    <row r="2626" spans="1:17" ht="13.5" customHeight="1" x14ac:dyDescent="0.3">
      <c r="A2626"/>
      <c r="B2626" s="241"/>
      <c r="C2626" s="241"/>
      <c r="D2626" s="241"/>
      <c r="E2626" s="241"/>
      <c r="F2626" s="241"/>
      <c r="G2626" s="241"/>
      <c r="H2626" s="241"/>
      <c r="I2626"/>
      <c r="J2626" s="241"/>
      <c r="K2626" s="241"/>
      <c r="L2626" s="241"/>
      <c r="M2626" s="241"/>
      <c r="N2626" s="241"/>
      <c r="O2626" s="241"/>
      <c r="P2626" s="241"/>
      <c r="Q2626" s="241"/>
    </row>
    <row r="2627" spans="1:17" ht="13.5" customHeight="1" x14ac:dyDescent="0.3">
      <c r="A2627"/>
      <c r="B2627" s="241"/>
      <c r="C2627" s="241"/>
      <c r="D2627" s="241"/>
      <c r="E2627" s="241"/>
      <c r="F2627" s="241"/>
      <c r="G2627" s="241"/>
      <c r="H2627" s="241"/>
      <c r="I2627"/>
      <c r="J2627" s="241"/>
      <c r="K2627" s="241"/>
      <c r="L2627" s="241"/>
      <c r="M2627" s="241"/>
      <c r="N2627" s="241"/>
      <c r="O2627" s="241"/>
      <c r="P2627" s="241"/>
      <c r="Q2627" s="241"/>
    </row>
    <row r="2628" spans="1:17" ht="13.5" customHeight="1" x14ac:dyDescent="0.3">
      <c r="A2628"/>
      <c r="B2628" s="241"/>
      <c r="C2628" s="241"/>
      <c r="D2628" s="241"/>
      <c r="E2628" s="241"/>
      <c r="F2628" s="241"/>
      <c r="G2628" s="241"/>
      <c r="H2628" s="241"/>
      <c r="I2628"/>
      <c r="J2628" s="241"/>
      <c r="K2628" s="241"/>
      <c r="L2628" s="241"/>
      <c r="M2628" s="241"/>
      <c r="N2628" s="241"/>
      <c r="O2628" s="241"/>
      <c r="P2628" s="241"/>
      <c r="Q2628" s="241"/>
    </row>
    <row r="2629" spans="1:17" ht="13.5" customHeight="1" x14ac:dyDescent="0.3">
      <c r="A2629"/>
      <c r="B2629" s="241"/>
      <c r="C2629" s="241"/>
      <c r="D2629" s="241"/>
      <c r="E2629" s="241"/>
      <c r="F2629" s="241"/>
      <c r="G2629" s="241"/>
      <c r="H2629" s="241"/>
      <c r="I2629"/>
      <c r="J2629" s="241"/>
      <c r="K2629" s="241"/>
      <c r="L2629" s="241"/>
      <c r="M2629" s="241"/>
      <c r="N2629" s="241"/>
      <c r="O2629" s="241"/>
      <c r="P2629" s="241"/>
      <c r="Q2629" s="241"/>
    </row>
    <row r="2630" spans="1:17" ht="13.5" customHeight="1" x14ac:dyDescent="0.3">
      <c r="A2630"/>
      <c r="B2630" s="241"/>
      <c r="C2630" s="241"/>
      <c r="D2630" s="241"/>
      <c r="E2630" s="241"/>
      <c r="F2630" s="241"/>
      <c r="G2630" s="241"/>
      <c r="H2630" s="241"/>
      <c r="I2630"/>
      <c r="J2630" s="241"/>
      <c r="K2630" s="241"/>
      <c r="L2630" s="241"/>
      <c r="M2630" s="241"/>
      <c r="N2630" s="241"/>
      <c r="O2630" s="241"/>
      <c r="P2630" s="241"/>
      <c r="Q2630" s="241"/>
    </row>
    <row r="2631" spans="1:17" ht="13.5" customHeight="1" x14ac:dyDescent="0.3">
      <c r="A2631"/>
      <c r="B2631" s="241"/>
      <c r="C2631" s="241"/>
      <c r="D2631" s="241"/>
      <c r="E2631" s="241"/>
      <c r="F2631" s="241"/>
      <c r="G2631" s="241"/>
      <c r="H2631" s="241"/>
      <c r="I2631"/>
      <c r="J2631" s="241"/>
      <c r="K2631" s="241"/>
      <c r="L2631" s="241"/>
      <c r="M2631" s="241"/>
      <c r="N2631" s="241"/>
      <c r="O2631" s="241"/>
      <c r="P2631" s="241"/>
      <c r="Q2631" s="241"/>
    </row>
    <row r="2632" spans="1:17" ht="13.5" customHeight="1" x14ac:dyDescent="0.3">
      <c r="A2632"/>
      <c r="B2632" s="241"/>
      <c r="C2632" s="241"/>
      <c r="D2632" s="241"/>
      <c r="E2632" s="241"/>
      <c r="F2632" s="241"/>
      <c r="G2632" s="241"/>
      <c r="H2632" s="241"/>
      <c r="I2632"/>
      <c r="J2632" s="241"/>
      <c r="K2632" s="241"/>
      <c r="L2632" s="241"/>
      <c r="M2632" s="241"/>
      <c r="N2632" s="241"/>
      <c r="O2632" s="241"/>
      <c r="P2632" s="241"/>
      <c r="Q2632" s="241"/>
    </row>
    <row r="2633" spans="1:17" ht="13.5" customHeight="1" x14ac:dyDescent="0.3">
      <c r="A2633"/>
      <c r="B2633" s="241"/>
      <c r="C2633" s="241"/>
      <c r="D2633" s="241"/>
      <c r="E2633" s="241"/>
      <c r="F2633" s="241"/>
      <c r="G2633" s="241"/>
      <c r="H2633" s="241"/>
      <c r="I2633"/>
      <c r="J2633" s="241"/>
      <c r="K2633" s="241"/>
      <c r="L2633" s="241"/>
      <c r="M2633" s="241"/>
      <c r="N2633" s="241"/>
      <c r="O2633" s="241"/>
      <c r="P2633" s="241"/>
      <c r="Q2633" s="241"/>
    </row>
    <row r="2634" spans="1:17" ht="13.5" customHeight="1" x14ac:dyDescent="0.3">
      <c r="A2634"/>
      <c r="B2634" s="241"/>
      <c r="C2634" s="241"/>
      <c r="D2634" s="241"/>
      <c r="E2634" s="241"/>
      <c r="F2634" s="241"/>
      <c r="G2634" s="241"/>
      <c r="H2634" s="241"/>
      <c r="I2634"/>
      <c r="J2634" s="241"/>
      <c r="K2634" s="241"/>
      <c r="L2634" s="241"/>
      <c r="M2634" s="241"/>
      <c r="N2634" s="241"/>
      <c r="O2634" s="241"/>
      <c r="P2634" s="241"/>
      <c r="Q2634" s="241"/>
    </row>
    <row r="2635" spans="1:17" ht="13.5" customHeight="1" x14ac:dyDescent="0.3">
      <c r="A2635"/>
      <c r="B2635" s="241"/>
      <c r="C2635" s="241"/>
      <c r="D2635" s="241"/>
      <c r="E2635" s="241"/>
      <c r="F2635" s="241"/>
      <c r="G2635" s="241"/>
      <c r="H2635" s="241"/>
      <c r="I2635"/>
      <c r="J2635" s="241"/>
      <c r="K2635" s="241"/>
      <c r="L2635" s="241"/>
      <c r="M2635" s="241"/>
      <c r="N2635" s="241"/>
      <c r="O2635" s="241"/>
      <c r="P2635" s="241"/>
      <c r="Q2635" s="241"/>
    </row>
    <row r="2636" spans="1:17" ht="13.5" customHeight="1" x14ac:dyDescent="0.3">
      <c r="A2636"/>
      <c r="B2636" s="241"/>
      <c r="C2636" s="241"/>
      <c r="D2636" s="241"/>
      <c r="E2636" s="241"/>
      <c r="F2636" s="241"/>
      <c r="G2636" s="241"/>
      <c r="H2636" s="241"/>
      <c r="I2636"/>
      <c r="J2636" s="241"/>
      <c r="K2636" s="241"/>
      <c r="L2636" s="241"/>
      <c r="M2636" s="241"/>
      <c r="N2636" s="241"/>
      <c r="O2636" s="241"/>
      <c r="P2636" s="241"/>
      <c r="Q2636" s="241"/>
    </row>
    <row r="2637" spans="1:17" ht="13.5" customHeight="1" x14ac:dyDescent="0.3">
      <c r="A2637"/>
      <c r="B2637" s="241"/>
      <c r="C2637" s="241"/>
      <c r="D2637" s="241"/>
      <c r="E2637" s="241"/>
      <c r="F2637" s="241"/>
      <c r="G2637" s="241"/>
      <c r="H2637" s="241"/>
      <c r="I2637"/>
      <c r="J2637" s="241"/>
      <c r="K2637" s="241"/>
      <c r="L2637" s="241"/>
      <c r="M2637" s="241"/>
      <c r="N2637" s="241"/>
      <c r="O2637" s="241"/>
      <c r="P2637" s="241"/>
      <c r="Q2637" s="241"/>
    </row>
    <row r="2638" spans="1:17" ht="13.5" customHeight="1" x14ac:dyDescent="0.3">
      <c r="A2638"/>
      <c r="B2638" s="241"/>
      <c r="C2638" s="241"/>
      <c r="D2638" s="241"/>
      <c r="E2638" s="241"/>
      <c r="F2638" s="241"/>
      <c r="G2638" s="241"/>
      <c r="H2638" s="241"/>
      <c r="I2638"/>
      <c r="J2638" s="241"/>
      <c r="K2638" s="241"/>
      <c r="L2638" s="241"/>
      <c r="M2638" s="241"/>
      <c r="N2638" s="241"/>
      <c r="O2638" s="241"/>
      <c r="P2638" s="241"/>
      <c r="Q2638" s="241"/>
    </row>
    <row r="2639" spans="1:17" ht="13.5" customHeight="1" x14ac:dyDescent="0.3">
      <c r="A2639"/>
      <c r="B2639" s="241"/>
      <c r="C2639" s="241"/>
      <c r="D2639" s="241"/>
      <c r="E2639" s="241"/>
      <c r="F2639" s="241"/>
      <c r="G2639" s="241"/>
      <c r="H2639" s="241"/>
      <c r="I2639"/>
      <c r="J2639" s="241"/>
      <c r="K2639" s="241"/>
      <c r="L2639" s="241"/>
      <c r="M2639" s="241"/>
      <c r="N2639" s="241"/>
      <c r="O2639" s="241"/>
      <c r="P2639" s="241"/>
      <c r="Q2639" s="241"/>
    </row>
    <row r="2640" spans="1:17" ht="13.5" customHeight="1" x14ac:dyDescent="0.3">
      <c r="A2640"/>
      <c r="B2640" s="241"/>
      <c r="C2640" s="241"/>
      <c r="D2640" s="241"/>
      <c r="E2640" s="241"/>
      <c r="F2640" s="241"/>
      <c r="G2640" s="241"/>
      <c r="H2640" s="241"/>
      <c r="I2640"/>
      <c r="J2640" s="241"/>
      <c r="K2640" s="241"/>
      <c r="L2640" s="241"/>
      <c r="M2640" s="241"/>
      <c r="N2640" s="241"/>
      <c r="O2640" s="241"/>
      <c r="P2640" s="241"/>
      <c r="Q2640" s="241"/>
    </row>
    <row r="2641" spans="1:17" ht="13.5" customHeight="1" x14ac:dyDescent="0.3">
      <c r="A2641"/>
      <c r="B2641" s="241"/>
      <c r="C2641" s="241"/>
      <c r="D2641" s="241"/>
      <c r="E2641" s="241"/>
      <c r="F2641" s="241"/>
      <c r="G2641" s="241"/>
      <c r="H2641" s="241"/>
      <c r="I2641"/>
      <c r="J2641" s="241"/>
      <c r="K2641" s="241"/>
      <c r="L2641" s="241"/>
      <c r="M2641" s="241"/>
      <c r="N2641" s="241"/>
      <c r="O2641" s="241"/>
      <c r="P2641" s="241"/>
      <c r="Q2641" s="241"/>
    </row>
    <row r="2642" spans="1:17" ht="13.5" customHeight="1" x14ac:dyDescent="0.3">
      <c r="A2642"/>
      <c r="B2642" s="241"/>
      <c r="C2642" s="241"/>
      <c r="D2642" s="241"/>
      <c r="E2642" s="241"/>
      <c r="F2642" s="241"/>
      <c r="G2642" s="241"/>
      <c r="H2642" s="241"/>
      <c r="I2642"/>
      <c r="J2642" s="241"/>
      <c r="K2642" s="241"/>
      <c r="L2642" s="241"/>
      <c r="M2642" s="241"/>
      <c r="N2642" s="241"/>
      <c r="O2642" s="241"/>
      <c r="P2642" s="241"/>
      <c r="Q2642" s="241"/>
    </row>
    <row r="2643" spans="1:17" ht="13.5" customHeight="1" x14ac:dyDescent="0.3">
      <c r="A2643"/>
      <c r="B2643" s="241"/>
      <c r="C2643" s="241"/>
      <c r="D2643" s="241"/>
      <c r="E2643" s="241"/>
      <c r="F2643" s="241"/>
      <c r="G2643" s="241"/>
      <c r="H2643" s="241"/>
      <c r="I2643"/>
      <c r="J2643" s="241"/>
      <c r="K2643" s="241"/>
      <c r="L2643" s="241"/>
      <c r="M2643" s="241"/>
      <c r="N2643" s="241"/>
      <c r="O2643" s="241"/>
      <c r="P2643" s="241"/>
      <c r="Q2643" s="241"/>
    </row>
    <row r="2644" spans="1:17" ht="13.5" customHeight="1" x14ac:dyDescent="0.3">
      <c r="A2644"/>
      <c r="B2644" s="241"/>
      <c r="C2644" s="241"/>
      <c r="D2644" s="241"/>
      <c r="E2644" s="241"/>
      <c r="F2644" s="241"/>
      <c r="G2644" s="241"/>
      <c r="H2644" s="241"/>
      <c r="I2644"/>
      <c r="J2644" s="241"/>
      <c r="K2644" s="241"/>
      <c r="L2644" s="241"/>
      <c r="M2644" s="241"/>
      <c r="N2644" s="241"/>
      <c r="O2644" s="241"/>
      <c r="P2644" s="241"/>
      <c r="Q2644" s="241"/>
    </row>
    <row r="2645" spans="1:17" ht="13.5" customHeight="1" x14ac:dyDescent="0.3">
      <c r="A2645"/>
      <c r="B2645" s="241"/>
      <c r="C2645" s="241"/>
      <c r="D2645" s="241"/>
      <c r="E2645" s="241"/>
      <c r="F2645" s="241"/>
      <c r="G2645" s="241"/>
      <c r="H2645" s="241"/>
      <c r="I2645"/>
      <c r="J2645" s="241"/>
      <c r="K2645" s="241"/>
      <c r="L2645" s="241"/>
      <c r="M2645" s="241"/>
      <c r="N2645" s="241"/>
      <c r="O2645" s="241"/>
      <c r="P2645" s="241"/>
      <c r="Q2645" s="241"/>
    </row>
    <row r="2646" spans="1:17" ht="13.5" customHeight="1" x14ac:dyDescent="0.3">
      <c r="A2646"/>
      <c r="B2646" s="241"/>
      <c r="C2646" s="241"/>
      <c r="D2646" s="241"/>
      <c r="E2646" s="241"/>
      <c r="F2646" s="241"/>
      <c r="G2646" s="241"/>
      <c r="H2646" s="241"/>
      <c r="I2646"/>
      <c r="J2646" s="241"/>
      <c r="K2646" s="241"/>
      <c r="L2646" s="241"/>
      <c r="M2646" s="241"/>
      <c r="N2646" s="241"/>
      <c r="O2646" s="241"/>
      <c r="P2646" s="241"/>
      <c r="Q2646" s="241"/>
    </row>
    <row r="2647" spans="1:17" ht="13.5" customHeight="1" x14ac:dyDescent="0.3">
      <c r="A2647"/>
      <c r="B2647" s="241"/>
      <c r="C2647" s="241"/>
      <c r="D2647" s="241"/>
      <c r="E2647" s="241"/>
      <c r="F2647" s="241"/>
      <c r="G2647" s="241"/>
      <c r="H2647" s="241"/>
      <c r="I2647"/>
      <c r="J2647" s="241"/>
      <c r="K2647" s="241"/>
      <c r="L2647" s="241"/>
      <c r="M2647" s="241"/>
      <c r="N2647" s="241"/>
      <c r="O2647" s="241"/>
      <c r="P2647" s="241"/>
      <c r="Q2647" s="241"/>
    </row>
    <row r="2648" spans="1:17" ht="13.5" customHeight="1" x14ac:dyDescent="0.3">
      <c r="A2648"/>
      <c r="B2648" s="241"/>
      <c r="C2648" s="241"/>
      <c r="D2648" s="241"/>
      <c r="E2648" s="241"/>
      <c r="F2648" s="241"/>
      <c r="G2648" s="241"/>
      <c r="H2648" s="241"/>
      <c r="I2648"/>
      <c r="J2648" s="241"/>
      <c r="K2648" s="241"/>
      <c r="L2648" s="241"/>
      <c r="M2648" s="241"/>
      <c r="N2648" s="241"/>
      <c r="O2648" s="241"/>
      <c r="P2648" s="241"/>
      <c r="Q2648" s="241"/>
    </row>
    <row r="2649" spans="1:17" ht="13.5" customHeight="1" x14ac:dyDescent="0.3">
      <c r="A2649"/>
      <c r="B2649" s="241"/>
      <c r="C2649" s="241"/>
      <c r="D2649" s="241"/>
      <c r="E2649" s="241"/>
      <c r="F2649" s="241"/>
      <c r="G2649" s="241"/>
      <c r="H2649" s="241"/>
      <c r="I2649"/>
      <c r="J2649" s="241"/>
      <c r="K2649" s="241"/>
      <c r="L2649" s="241"/>
      <c r="M2649" s="241"/>
      <c r="N2649" s="241"/>
      <c r="O2649" s="241"/>
      <c r="P2649" s="241"/>
      <c r="Q2649" s="241"/>
    </row>
    <row r="2650" spans="1:17" ht="13.5" customHeight="1" x14ac:dyDescent="0.3">
      <c r="A2650"/>
      <c r="B2650" s="241"/>
      <c r="C2650" s="241"/>
      <c r="D2650" s="241"/>
      <c r="E2650" s="241"/>
      <c r="F2650" s="241"/>
      <c r="G2650" s="241"/>
      <c r="H2650" s="241"/>
      <c r="I2650"/>
      <c r="J2650" s="241"/>
      <c r="K2650" s="241"/>
      <c r="L2650" s="241"/>
      <c r="M2650" s="241"/>
      <c r="N2650" s="241"/>
      <c r="O2650" s="241"/>
      <c r="P2650" s="241"/>
      <c r="Q2650" s="241"/>
    </row>
    <row r="2651" spans="1:17" ht="13.5" customHeight="1" x14ac:dyDescent="0.3">
      <c r="A2651"/>
      <c r="B2651" s="241"/>
      <c r="C2651" s="241"/>
      <c r="D2651" s="241"/>
      <c r="E2651" s="241"/>
      <c r="F2651" s="241"/>
      <c r="G2651" s="241"/>
      <c r="H2651" s="241"/>
      <c r="I2651"/>
      <c r="J2651" s="241"/>
      <c r="K2651" s="241"/>
      <c r="L2651" s="241"/>
      <c r="M2651" s="241"/>
      <c r="N2651" s="241"/>
      <c r="O2651" s="241"/>
      <c r="P2651" s="241"/>
      <c r="Q2651" s="241"/>
    </row>
    <row r="2652" spans="1:17" ht="13.5" customHeight="1" x14ac:dyDescent="0.3">
      <c r="A2652"/>
      <c r="B2652" s="241"/>
      <c r="C2652" s="241"/>
      <c r="D2652" s="241"/>
      <c r="E2652" s="241"/>
      <c r="F2652" s="241"/>
      <c r="G2652" s="241"/>
      <c r="H2652" s="241"/>
      <c r="I2652"/>
      <c r="J2652" s="241"/>
      <c r="K2652" s="241"/>
      <c r="L2652" s="241"/>
      <c r="M2652" s="241"/>
      <c r="N2652" s="241"/>
      <c r="O2652" s="241"/>
      <c r="P2652" s="241"/>
      <c r="Q2652" s="241"/>
    </row>
    <row r="2653" spans="1:17" ht="13.5" customHeight="1" x14ac:dyDescent="0.3">
      <c r="A2653"/>
      <c r="B2653" s="241"/>
      <c r="C2653" s="241"/>
      <c r="D2653" s="241"/>
      <c r="E2653" s="241"/>
      <c r="F2653" s="241"/>
      <c r="G2653" s="241"/>
      <c r="H2653" s="241"/>
      <c r="I2653"/>
      <c r="J2653" s="241"/>
      <c r="K2653" s="241"/>
      <c r="L2653" s="241"/>
      <c r="M2653" s="241"/>
      <c r="N2653" s="241"/>
      <c r="O2653" s="241"/>
      <c r="P2653" s="241"/>
      <c r="Q2653" s="241"/>
    </row>
    <row r="2654" spans="1:17" ht="13.5" customHeight="1" x14ac:dyDescent="0.3">
      <c r="A2654"/>
      <c r="B2654" s="241"/>
      <c r="C2654" s="241"/>
      <c r="D2654" s="241"/>
      <c r="E2654" s="241"/>
      <c r="F2654" s="241"/>
      <c r="G2654" s="241"/>
      <c r="H2654" s="241"/>
      <c r="I2654"/>
      <c r="J2654" s="241"/>
      <c r="K2654" s="241"/>
      <c r="L2654" s="241"/>
      <c r="M2654" s="241"/>
      <c r="N2654" s="241"/>
      <c r="O2654" s="241"/>
      <c r="P2654" s="241"/>
      <c r="Q2654" s="241"/>
    </row>
    <row r="2655" spans="1:17" ht="13.5" customHeight="1" x14ac:dyDescent="0.3">
      <c r="A2655"/>
      <c r="B2655" s="241"/>
      <c r="C2655" s="241"/>
      <c r="D2655" s="241"/>
      <c r="E2655" s="241"/>
      <c r="F2655" s="241"/>
      <c r="G2655" s="241"/>
      <c r="H2655" s="241"/>
      <c r="I2655"/>
      <c r="J2655" s="241"/>
      <c r="K2655" s="241"/>
      <c r="L2655" s="241"/>
      <c r="M2655" s="241"/>
      <c r="N2655" s="241"/>
      <c r="O2655" s="241"/>
      <c r="P2655" s="241"/>
      <c r="Q2655" s="241"/>
    </row>
    <row r="2656" spans="1:17" ht="13.5" customHeight="1" x14ac:dyDescent="0.3">
      <c r="A2656"/>
      <c r="B2656" s="241"/>
      <c r="C2656" s="241"/>
      <c r="D2656" s="241"/>
      <c r="E2656" s="241"/>
      <c r="F2656" s="241"/>
      <c r="G2656" s="241"/>
      <c r="H2656" s="241"/>
      <c r="I2656"/>
      <c r="J2656" s="241"/>
      <c r="K2656" s="241"/>
      <c r="L2656" s="241"/>
      <c r="M2656" s="241"/>
      <c r="N2656" s="241"/>
      <c r="O2656" s="241"/>
      <c r="P2656" s="241"/>
      <c r="Q2656" s="241"/>
    </row>
    <row r="2657" spans="1:17" ht="13.5" customHeight="1" x14ac:dyDescent="0.3">
      <c r="A2657"/>
      <c r="B2657" s="241"/>
      <c r="C2657" s="241"/>
      <c r="D2657" s="241"/>
      <c r="E2657" s="241"/>
      <c r="F2657" s="241"/>
      <c r="G2657" s="241"/>
      <c r="H2657" s="241"/>
      <c r="I2657"/>
      <c r="J2657" s="241"/>
      <c r="K2657" s="241"/>
      <c r="L2657" s="241"/>
      <c r="M2657" s="241"/>
      <c r="N2657" s="241"/>
      <c r="O2657" s="241"/>
      <c r="P2657" s="241"/>
      <c r="Q2657" s="241"/>
    </row>
    <row r="2658" spans="1:17" ht="13.5" customHeight="1" x14ac:dyDescent="0.3">
      <c r="A2658"/>
      <c r="B2658" s="241"/>
      <c r="C2658" s="241"/>
      <c r="D2658" s="241"/>
      <c r="E2658" s="241"/>
      <c r="F2658" s="241"/>
      <c r="G2658" s="241"/>
      <c r="H2658" s="241"/>
      <c r="I2658"/>
      <c r="J2658" s="241"/>
      <c r="K2658" s="241"/>
      <c r="L2658" s="241"/>
      <c r="M2658" s="241"/>
      <c r="N2658" s="241"/>
      <c r="O2658" s="241"/>
      <c r="P2658" s="241"/>
      <c r="Q2658" s="241"/>
    </row>
    <row r="2659" spans="1:17" ht="13.5" customHeight="1" x14ac:dyDescent="0.3">
      <c r="A2659"/>
      <c r="B2659" s="241"/>
      <c r="C2659" s="241"/>
      <c r="D2659" s="241"/>
      <c r="E2659" s="241"/>
      <c r="F2659" s="241"/>
      <c r="G2659" s="241"/>
      <c r="H2659" s="241"/>
      <c r="I2659"/>
      <c r="J2659" s="241"/>
      <c r="K2659" s="241"/>
      <c r="L2659" s="241"/>
      <c r="M2659" s="241"/>
      <c r="N2659" s="241"/>
      <c r="O2659" s="241"/>
      <c r="P2659" s="241"/>
      <c r="Q2659" s="241"/>
    </row>
    <row r="2660" spans="1:17" ht="13.5" customHeight="1" x14ac:dyDescent="0.3">
      <c r="A2660"/>
      <c r="B2660" s="241"/>
      <c r="C2660" s="241"/>
      <c r="D2660" s="241"/>
      <c r="E2660" s="241"/>
      <c r="F2660" s="241"/>
      <c r="G2660" s="241"/>
      <c r="H2660" s="241"/>
      <c r="I2660"/>
      <c r="J2660" s="241"/>
      <c r="K2660" s="241"/>
      <c r="L2660" s="241"/>
      <c r="M2660" s="241"/>
      <c r="N2660" s="241"/>
      <c r="O2660" s="241"/>
      <c r="P2660" s="241"/>
      <c r="Q2660" s="241"/>
    </row>
    <row r="2661" spans="1:17" ht="13.5" customHeight="1" x14ac:dyDescent="0.3">
      <c r="A2661"/>
      <c r="B2661" s="241"/>
      <c r="C2661" s="241"/>
      <c r="D2661" s="241"/>
      <c r="E2661" s="241"/>
      <c r="F2661" s="241"/>
      <c r="G2661" s="241"/>
      <c r="H2661" s="241"/>
      <c r="I2661"/>
      <c r="J2661" s="241"/>
      <c r="K2661" s="241"/>
      <c r="L2661" s="241"/>
      <c r="M2661" s="241"/>
      <c r="N2661" s="241"/>
      <c r="O2661" s="241"/>
      <c r="P2661" s="241"/>
      <c r="Q2661" s="241"/>
    </row>
    <row r="2662" spans="1:17" ht="13.5" customHeight="1" x14ac:dyDescent="0.3">
      <c r="A2662"/>
      <c r="B2662" s="241"/>
      <c r="C2662" s="241"/>
      <c r="D2662" s="241"/>
      <c r="E2662" s="241"/>
      <c r="F2662" s="241"/>
      <c r="G2662" s="241"/>
      <c r="H2662" s="241"/>
      <c r="I2662"/>
      <c r="J2662" s="241"/>
      <c r="K2662" s="241"/>
      <c r="L2662" s="241"/>
      <c r="M2662" s="241"/>
      <c r="N2662" s="241"/>
      <c r="O2662" s="241"/>
      <c r="P2662" s="241"/>
      <c r="Q2662" s="241"/>
    </row>
    <row r="2663" spans="1:17" ht="13.5" customHeight="1" x14ac:dyDescent="0.3">
      <c r="A2663"/>
      <c r="B2663" s="241"/>
      <c r="C2663" s="241"/>
      <c r="D2663" s="241"/>
      <c r="E2663" s="241"/>
      <c r="F2663" s="241"/>
      <c r="G2663" s="241"/>
      <c r="H2663" s="241"/>
      <c r="I2663"/>
      <c r="J2663" s="241"/>
      <c r="K2663" s="241"/>
      <c r="L2663" s="241"/>
      <c r="M2663" s="241"/>
      <c r="N2663" s="241"/>
      <c r="O2663" s="241"/>
      <c r="P2663" s="241"/>
      <c r="Q2663" s="241"/>
    </row>
    <row r="2664" spans="1:17" ht="13.5" customHeight="1" x14ac:dyDescent="0.3">
      <c r="A2664"/>
      <c r="B2664" s="241"/>
      <c r="C2664" s="241"/>
      <c r="D2664" s="241"/>
      <c r="E2664" s="241"/>
      <c r="F2664" s="241"/>
      <c r="G2664" s="241"/>
      <c r="H2664" s="241"/>
      <c r="I2664"/>
      <c r="J2664" s="241"/>
      <c r="K2664" s="241"/>
      <c r="L2664" s="241"/>
      <c r="M2664" s="241"/>
      <c r="N2664" s="241"/>
      <c r="O2664" s="241"/>
      <c r="P2664" s="241"/>
      <c r="Q2664" s="241"/>
    </row>
    <row r="2665" spans="1:17" ht="13.5" customHeight="1" x14ac:dyDescent="0.3">
      <c r="A2665"/>
      <c r="B2665" s="241"/>
      <c r="C2665" s="241"/>
      <c r="D2665" s="241"/>
      <c r="E2665" s="241"/>
      <c r="F2665" s="241"/>
      <c r="G2665" s="241"/>
      <c r="H2665" s="241"/>
      <c r="I2665"/>
      <c r="J2665" s="241"/>
      <c r="K2665" s="241"/>
      <c r="L2665" s="241"/>
      <c r="M2665" s="241"/>
      <c r="N2665" s="241"/>
      <c r="O2665" s="241"/>
      <c r="P2665" s="241"/>
      <c r="Q2665" s="241"/>
    </row>
    <row r="2666" spans="1:17" ht="13.5" customHeight="1" x14ac:dyDescent="0.3">
      <c r="A2666"/>
      <c r="B2666" s="241"/>
      <c r="C2666" s="241"/>
      <c r="D2666" s="241"/>
      <c r="E2666" s="241"/>
      <c r="F2666" s="241"/>
      <c r="G2666" s="241"/>
      <c r="H2666" s="241"/>
      <c r="I2666"/>
      <c r="J2666" s="241"/>
      <c r="K2666" s="241"/>
      <c r="L2666" s="241"/>
      <c r="M2666" s="241"/>
      <c r="N2666" s="241"/>
      <c r="O2666" s="241"/>
      <c r="P2666" s="241"/>
      <c r="Q2666" s="241"/>
    </row>
    <row r="2667" spans="1:17" ht="13.5" customHeight="1" x14ac:dyDescent="0.3">
      <c r="A2667"/>
      <c r="B2667" s="241"/>
      <c r="C2667" s="241"/>
      <c r="D2667" s="241"/>
      <c r="E2667" s="241"/>
      <c r="F2667" s="241"/>
      <c r="G2667" s="241"/>
      <c r="H2667" s="241"/>
      <c r="I2667"/>
      <c r="J2667" s="241"/>
      <c r="K2667" s="241"/>
      <c r="L2667" s="241"/>
      <c r="M2667" s="241"/>
      <c r="N2667" s="241"/>
      <c r="O2667" s="241"/>
      <c r="P2667" s="241"/>
      <c r="Q2667" s="241"/>
    </row>
    <row r="2668" spans="1:17" ht="13.5" customHeight="1" x14ac:dyDescent="0.3">
      <c r="A2668"/>
      <c r="B2668" s="241"/>
      <c r="C2668" s="241"/>
      <c r="D2668" s="241"/>
      <c r="E2668" s="241"/>
      <c r="F2668" s="241"/>
      <c r="G2668" s="241"/>
      <c r="H2668" s="241"/>
      <c r="I2668"/>
      <c r="J2668" s="241"/>
      <c r="K2668" s="241"/>
      <c r="L2668" s="241"/>
      <c r="M2668" s="241"/>
      <c r="N2668" s="241"/>
      <c r="O2668" s="241"/>
      <c r="P2668" s="241"/>
      <c r="Q2668" s="241"/>
    </row>
    <row r="2669" spans="1:17" ht="13.5" customHeight="1" x14ac:dyDescent="0.3">
      <c r="A2669"/>
      <c r="B2669" s="241"/>
      <c r="C2669" s="241"/>
      <c r="D2669" s="241"/>
      <c r="E2669" s="241"/>
      <c r="F2669" s="241"/>
      <c r="G2669" s="241"/>
      <c r="H2669" s="241"/>
      <c r="I2669"/>
      <c r="J2669" s="241"/>
      <c r="K2669" s="241"/>
      <c r="L2669" s="241"/>
      <c r="M2669" s="241"/>
      <c r="N2669" s="241"/>
      <c r="O2669" s="241"/>
      <c r="P2669" s="241"/>
      <c r="Q2669" s="241"/>
    </row>
    <row r="2670" spans="1:17" ht="13.5" customHeight="1" x14ac:dyDescent="0.3">
      <c r="A2670"/>
      <c r="B2670" s="241"/>
      <c r="C2670" s="241"/>
      <c r="D2670" s="241"/>
      <c r="E2670" s="241"/>
      <c r="F2670" s="241"/>
      <c r="G2670" s="241"/>
      <c r="H2670" s="241"/>
      <c r="I2670"/>
      <c r="J2670" s="241"/>
      <c r="K2670" s="241"/>
      <c r="L2670" s="241"/>
      <c r="M2670" s="241"/>
      <c r="N2670" s="241"/>
      <c r="O2670" s="241"/>
      <c r="P2670" s="241"/>
      <c r="Q2670" s="241"/>
    </row>
    <row r="2671" spans="1:17" ht="13.5" customHeight="1" x14ac:dyDescent="0.3">
      <c r="A2671"/>
      <c r="B2671" s="241"/>
      <c r="C2671" s="241"/>
      <c r="D2671" s="241"/>
      <c r="E2671" s="241"/>
      <c r="F2671" s="241"/>
      <c r="G2671" s="241"/>
      <c r="H2671" s="241"/>
      <c r="I2671"/>
      <c r="J2671" s="241"/>
      <c r="K2671" s="241"/>
      <c r="L2671" s="241"/>
      <c r="M2671" s="241"/>
      <c r="N2671" s="241"/>
      <c r="O2671" s="241"/>
      <c r="P2671" s="241"/>
      <c r="Q2671" s="241"/>
    </row>
    <row r="2672" spans="1:17" ht="13.5" customHeight="1" x14ac:dyDescent="0.3">
      <c r="A2672"/>
      <c r="B2672" s="241"/>
      <c r="C2672" s="241"/>
      <c r="D2672" s="241"/>
      <c r="E2672" s="241"/>
      <c r="F2672" s="241"/>
      <c r="G2672" s="241"/>
      <c r="H2672" s="241"/>
      <c r="I2672"/>
      <c r="J2672" s="241"/>
      <c r="K2672" s="241"/>
      <c r="L2672" s="241"/>
      <c r="M2672" s="241"/>
      <c r="N2672" s="241"/>
      <c r="O2672" s="241"/>
      <c r="P2672" s="241"/>
      <c r="Q2672" s="241"/>
    </row>
    <row r="2673" spans="1:17" ht="13.5" customHeight="1" x14ac:dyDescent="0.3">
      <c r="A2673"/>
      <c r="B2673" s="241"/>
      <c r="C2673" s="241"/>
      <c r="D2673" s="241"/>
      <c r="E2673" s="241"/>
      <c r="F2673" s="241"/>
      <c r="G2673" s="241"/>
      <c r="H2673" s="241"/>
      <c r="I2673"/>
      <c r="J2673" s="241"/>
      <c r="K2673" s="241"/>
      <c r="L2673" s="241"/>
      <c r="M2673" s="241"/>
      <c r="N2673" s="241"/>
      <c r="O2673" s="241"/>
      <c r="P2673" s="241"/>
      <c r="Q2673" s="241"/>
    </row>
    <row r="2674" spans="1:17" ht="13.5" customHeight="1" x14ac:dyDescent="0.3">
      <c r="A2674"/>
      <c r="B2674" s="241"/>
      <c r="C2674" s="241"/>
      <c r="D2674" s="241"/>
      <c r="E2674" s="241"/>
      <c r="F2674" s="241"/>
      <c r="G2674" s="241"/>
      <c r="H2674" s="241"/>
      <c r="I2674"/>
      <c r="J2674" s="241"/>
      <c r="K2674" s="241"/>
      <c r="L2674" s="241"/>
      <c r="M2674" s="241"/>
      <c r="N2674" s="241"/>
      <c r="O2674" s="241"/>
      <c r="P2674" s="241"/>
      <c r="Q2674" s="241"/>
    </row>
    <row r="2675" spans="1:17" ht="13.5" customHeight="1" x14ac:dyDescent="0.3">
      <c r="A2675"/>
      <c r="B2675" s="241"/>
      <c r="C2675" s="241"/>
      <c r="D2675" s="241"/>
      <c r="E2675" s="241"/>
      <c r="F2675" s="241"/>
      <c r="G2675" s="241"/>
      <c r="H2675" s="241"/>
      <c r="I2675"/>
      <c r="J2675" s="241"/>
      <c r="K2675" s="241"/>
      <c r="L2675" s="241"/>
      <c r="M2675" s="241"/>
      <c r="N2675" s="241"/>
      <c r="O2675" s="241"/>
      <c r="P2675" s="241"/>
      <c r="Q2675" s="241"/>
    </row>
    <row r="2676" spans="1:17" ht="13.5" customHeight="1" x14ac:dyDescent="0.3">
      <c r="A2676"/>
      <c r="B2676" s="241"/>
      <c r="C2676" s="241"/>
      <c r="D2676" s="241"/>
      <c r="E2676" s="241"/>
      <c r="F2676" s="241"/>
      <c r="G2676" s="241"/>
      <c r="H2676" s="241"/>
      <c r="I2676"/>
      <c r="J2676" s="241"/>
      <c r="K2676" s="241"/>
      <c r="L2676" s="241"/>
      <c r="M2676" s="241"/>
      <c r="N2676" s="241"/>
      <c r="O2676" s="241"/>
      <c r="P2676" s="241"/>
      <c r="Q2676" s="241"/>
    </row>
    <row r="2677" spans="1:17" ht="13.5" customHeight="1" x14ac:dyDescent="0.3">
      <c r="A2677"/>
      <c r="B2677" s="241"/>
      <c r="C2677" s="241"/>
      <c r="D2677" s="241"/>
      <c r="E2677" s="241"/>
      <c r="F2677" s="241"/>
      <c r="G2677" s="241"/>
      <c r="H2677" s="241"/>
      <c r="I2677"/>
      <c r="J2677" s="241"/>
      <c r="K2677" s="241"/>
      <c r="L2677" s="241"/>
      <c r="M2677" s="241"/>
      <c r="N2677" s="241"/>
      <c r="O2677" s="241"/>
      <c r="P2677" s="241"/>
      <c r="Q2677" s="241"/>
    </row>
    <row r="2678" spans="1:17" ht="13.5" customHeight="1" x14ac:dyDescent="0.3">
      <c r="A2678"/>
      <c r="B2678" s="241"/>
      <c r="C2678" s="241"/>
      <c r="D2678" s="241"/>
      <c r="E2678" s="241"/>
      <c r="F2678" s="241"/>
      <c r="G2678" s="241"/>
      <c r="H2678" s="241"/>
      <c r="I2678"/>
      <c r="J2678" s="241"/>
      <c r="K2678" s="241"/>
      <c r="L2678" s="241"/>
      <c r="M2678" s="241"/>
      <c r="N2678" s="241"/>
      <c r="O2678" s="241"/>
      <c r="P2678" s="241"/>
      <c r="Q2678" s="241"/>
    </row>
    <row r="2679" spans="1:17" ht="13.5" customHeight="1" x14ac:dyDescent="0.3">
      <c r="A2679"/>
      <c r="B2679" s="241"/>
      <c r="C2679" s="241"/>
      <c r="D2679" s="241"/>
      <c r="E2679" s="241"/>
      <c r="F2679" s="241"/>
      <c r="G2679" s="241"/>
      <c r="H2679" s="241"/>
      <c r="I2679"/>
      <c r="J2679" s="241"/>
      <c r="K2679" s="241"/>
      <c r="L2679" s="241"/>
      <c r="M2679" s="241"/>
      <c r="N2679" s="241"/>
      <c r="O2679" s="241"/>
      <c r="P2679" s="241"/>
      <c r="Q2679" s="241"/>
    </row>
    <row r="2680" spans="1:17" ht="13.5" customHeight="1" x14ac:dyDescent="0.3">
      <c r="A2680"/>
      <c r="B2680" s="241"/>
      <c r="C2680" s="241"/>
      <c r="D2680" s="241"/>
      <c r="E2680" s="241"/>
      <c r="F2680" s="241"/>
      <c r="G2680" s="241"/>
      <c r="H2680" s="241"/>
      <c r="I2680"/>
      <c r="J2680" s="241"/>
      <c r="K2680" s="241"/>
      <c r="L2680" s="241"/>
      <c r="M2680" s="241"/>
      <c r="N2680" s="241"/>
      <c r="O2680" s="241"/>
      <c r="P2680" s="241"/>
      <c r="Q2680" s="241"/>
    </row>
    <row r="2681" spans="1:17" ht="13.5" customHeight="1" x14ac:dyDescent="0.3">
      <c r="A2681"/>
      <c r="B2681" s="241"/>
      <c r="C2681" s="241"/>
      <c r="D2681" s="241"/>
      <c r="E2681" s="241"/>
      <c r="F2681" s="241"/>
      <c r="G2681" s="241"/>
      <c r="H2681" s="241"/>
      <c r="I2681"/>
      <c r="J2681" s="241"/>
      <c r="K2681" s="241"/>
      <c r="L2681" s="241"/>
      <c r="M2681" s="241"/>
      <c r="N2681" s="241"/>
      <c r="O2681" s="241"/>
      <c r="P2681" s="241"/>
      <c r="Q2681" s="241"/>
    </row>
    <row r="2682" spans="1:17" ht="13.5" customHeight="1" x14ac:dyDescent="0.3">
      <c r="A2682"/>
      <c r="B2682" s="241"/>
      <c r="C2682" s="241"/>
      <c r="D2682" s="241"/>
      <c r="E2682" s="241"/>
      <c r="F2682" s="241"/>
      <c r="G2682" s="241"/>
      <c r="H2682" s="241"/>
      <c r="I2682"/>
      <c r="J2682" s="241"/>
      <c r="K2682" s="241"/>
      <c r="L2682" s="241"/>
      <c r="M2682" s="241"/>
      <c r="N2682" s="241"/>
      <c r="O2682" s="241"/>
      <c r="P2682" s="241"/>
      <c r="Q2682" s="241"/>
    </row>
    <row r="2683" spans="1:17" ht="13.5" customHeight="1" x14ac:dyDescent="0.3">
      <c r="A2683"/>
      <c r="B2683" s="241"/>
      <c r="C2683" s="241"/>
      <c r="D2683" s="241"/>
      <c r="E2683" s="241"/>
      <c r="F2683" s="241"/>
      <c r="G2683" s="241"/>
      <c r="H2683" s="241"/>
      <c r="I2683"/>
      <c r="J2683" s="241"/>
      <c r="K2683" s="241"/>
      <c r="L2683" s="241"/>
      <c r="M2683" s="241"/>
      <c r="N2683" s="241"/>
      <c r="O2683" s="241"/>
      <c r="P2683" s="241"/>
      <c r="Q2683" s="241"/>
    </row>
    <row r="2684" spans="1:17" ht="13.5" customHeight="1" x14ac:dyDescent="0.3">
      <c r="A2684"/>
      <c r="B2684" s="241"/>
      <c r="C2684" s="241"/>
      <c r="D2684" s="241"/>
      <c r="E2684" s="241"/>
      <c r="F2684" s="241"/>
      <c r="G2684" s="241"/>
      <c r="H2684" s="241"/>
      <c r="I2684"/>
      <c r="J2684" s="241"/>
      <c r="K2684" s="241"/>
      <c r="L2684" s="241"/>
      <c r="M2684" s="241"/>
      <c r="N2684" s="241"/>
      <c r="O2684" s="241"/>
      <c r="P2684" s="241"/>
      <c r="Q2684" s="241"/>
    </row>
    <row r="2685" spans="1:17" ht="13.5" customHeight="1" x14ac:dyDescent="0.3">
      <c r="A2685"/>
      <c r="B2685" s="241"/>
      <c r="C2685" s="241"/>
      <c r="D2685" s="241"/>
      <c r="E2685" s="241"/>
      <c r="F2685" s="241"/>
      <c r="G2685" s="241"/>
      <c r="H2685" s="241"/>
      <c r="I2685"/>
      <c r="J2685" s="241"/>
      <c r="K2685" s="241"/>
      <c r="L2685" s="241"/>
      <c r="M2685" s="241"/>
      <c r="N2685" s="241"/>
      <c r="O2685" s="241"/>
      <c r="P2685" s="241"/>
      <c r="Q2685" s="241"/>
    </row>
    <row r="2686" spans="1:17" ht="13.5" customHeight="1" x14ac:dyDescent="0.3">
      <c r="A2686"/>
      <c r="B2686" s="241"/>
      <c r="C2686" s="241"/>
      <c r="D2686" s="241"/>
      <c r="E2686" s="241"/>
      <c r="F2686" s="241"/>
      <c r="G2686" s="241"/>
      <c r="H2686" s="241"/>
      <c r="I2686"/>
      <c r="J2686" s="241"/>
      <c r="K2686" s="241"/>
      <c r="L2686" s="241"/>
      <c r="M2686" s="241"/>
      <c r="N2686" s="241"/>
      <c r="O2686" s="241"/>
      <c r="P2686" s="241"/>
      <c r="Q2686" s="241"/>
    </row>
    <row r="2687" spans="1:17" ht="13.5" customHeight="1" x14ac:dyDescent="0.3">
      <c r="A2687"/>
      <c r="B2687" s="241"/>
      <c r="C2687" s="241"/>
      <c r="D2687" s="241"/>
      <c r="E2687" s="241"/>
      <c r="F2687" s="241"/>
      <c r="G2687" s="241"/>
      <c r="H2687" s="241"/>
      <c r="I2687"/>
      <c r="J2687" s="241"/>
      <c r="K2687" s="241"/>
      <c r="L2687" s="241"/>
      <c r="M2687" s="241"/>
      <c r="N2687" s="241"/>
      <c r="O2687" s="241"/>
      <c r="P2687" s="241"/>
      <c r="Q2687" s="241"/>
    </row>
    <row r="2688" spans="1:17" ht="13.5" customHeight="1" x14ac:dyDescent="0.3">
      <c r="A2688"/>
      <c r="B2688" s="241"/>
      <c r="C2688" s="241"/>
      <c r="D2688" s="241"/>
      <c r="E2688" s="241"/>
      <c r="F2688" s="241"/>
      <c r="G2688" s="241"/>
      <c r="H2688" s="241"/>
      <c r="I2688"/>
      <c r="J2688" s="241"/>
      <c r="K2688" s="241"/>
      <c r="L2688" s="241"/>
      <c r="M2688" s="241"/>
      <c r="N2688" s="241"/>
      <c r="O2688" s="241"/>
      <c r="P2688" s="241"/>
      <c r="Q2688" s="241"/>
    </row>
    <row r="2689" spans="1:17" ht="13.5" customHeight="1" x14ac:dyDescent="0.3">
      <c r="A2689"/>
      <c r="B2689" s="241"/>
      <c r="C2689" s="241"/>
      <c r="D2689" s="241"/>
      <c r="E2689" s="241"/>
      <c r="F2689" s="241"/>
      <c r="G2689" s="241"/>
      <c r="H2689" s="241"/>
      <c r="I2689"/>
      <c r="J2689" s="241"/>
      <c r="K2689" s="241"/>
      <c r="L2689" s="241"/>
      <c r="M2689" s="241"/>
      <c r="N2689" s="241"/>
      <c r="O2689" s="241"/>
      <c r="P2689" s="241"/>
      <c r="Q2689" s="241"/>
    </row>
    <row r="2690" spans="1:17" ht="13.5" customHeight="1" x14ac:dyDescent="0.3">
      <c r="A2690"/>
      <c r="B2690" s="241"/>
      <c r="C2690" s="241"/>
      <c r="D2690" s="241"/>
      <c r="E2690" s="241"/>
      <c r="F2690" s="241"/>
      <c r="G2690" s="241"/>
      <c r="H2690" s="241"/>
      <c r="I2690"/>
      <c r="J2690" s="241"/>
      <c r="K2690" s="241"/>
      <c r="L2690" s="241"/>
      <c r="M2690" s="241"/>
      <c r="N2690" s="241"/>
      <c r="O2690" s="241"/>
      <c r="P2690" s="241"/>
      <c r="Q2690" s="241"/>
    </row>
    <row r="2691" spans="1:17" ht="13.5" customHeight="1" x14ac:dyDescent="0.3">
      <c r="A2691"/>
      <c r="B2691" s="241"/>
      <c r="C2691" s="241"/>
      <c r="D2691" s="241"/>
      <c r="E2691" s="241"/>
      <c r="F2691" s="241"/>
      <c r="G2691" s="241"/>
      <c r="H2691" s="241"/>
      <c r="I2691"/>
      <c r="J2691" s="241"/>
      <c r="K2691" s="241"/>
      <c r="L2691" s="241"/>
      <c r="M2691" s="241"/>
      <c r="N2691" s="241"/>
      <c r="O2691" s="241"/>
      <c r="P2691" s="241"/>
      <c r="Q2691" s="241"/>
    </row>
    <row r="2692" spans="1:17" ht="13.5" customHeight="1" x14ac:dyDescent="0.3">
      <c r="A2692"/>
      <c r="B2692" s="241"/>
      <c r="C2692" s="241"/>
      <c r="D2692" s="241"/>
      <c r="E2692" s="241"/>
      <c r="F2692" s="241"/>
      <c r="G2692" s="241"/>
      <c r="H2692" s="241"/>
      <c r="I2692"/>
      <c r="J2692" s="241"/>
      <c r="K2692" s="241"/>
      <c r="L2692" s="241"/>
      <c r="M2692" s="241"/>
      <c r="N2692" s="241"/>
      <c r="O2692" s="241"/>
      <c r="P2692" s="241"/>
      <c r="Q2692" s="241"/>
    </row>
    <row r="2693" spans="1:17" ht="13.5" customHeight="1" x14ac:dyDescent="0.3">
      <c r="A2693"/>
      <c r="B2693" s="241"/>
      <c r="C2693" s="241"/>
      <c r="D2693" s="241"/>
      <c r="E2693" s="241"/>
      <c r="F2693" s="241"/>
      <c r="G2693" s="241"/>
      <c r="H2693" s="241"/>
      <c r="I2693"/>
      <c r="J2693" s="241"/>
      <c r="K2693" s="241"/>
      <c r="L2693" s="241"/>
      <c r="M2693" s="241"/>
      <c r="N2693" s="241"/>
      <c r="O2693" s="241"/>
      <c r="P2693" s="241"/>
      <c r="Q2693" s="241"/>
    </row>
    <row r="2694" spans="1:17" ht="13.5" customHeight="1" x14ac:dyDescent="0.3">
      <c r="A2694"/>
      <c r="B2694" s="241"/>
      <c r="C2694" s="241"/>
      <c r="D2694" s="241"/>
      <c r="E2694" s="241"/>
      <c r="F2694" s="241"/>
      <c r="G2694" s="241"/>
      <c r="H2694" s="241"/>
      <c r="I2694"/>
      <c r="J2694" s="241"/>
      <c r="K2694" s="241"/>
      <c r="L2694" s="241"/>
      <c r="M2694" s="241"/>
      <c r="N2694" s="241"/>
      <c r="O2694" s="241"/>
      <c r="P2694" s="241"/>
      <c r="Q2694" s="241"/>
    </row>
    <row r="2695" spans="1:17" ht="13.5" customHeight="1" x14ac:dyDescent="0.3">
      <c r="A2695"/>
      <c r="B2695" s="241"/>
      <c r="C2695" s="241"/>
      <c r="D2695" s="241"/>
      <c r="E2695" s="241"/>
      <c r="F2695" s="241"/>
      <c r="G2695" s="241"/>
      <c r="H2695" s="241"/>
      <c r="I2695"/>
      <c r="J2695" s="241"/>
      <c r="K2695" s="241"/>
      <c r="L2695" s="241"/>
      <c r="M2695" s="241"/>
      <c r="N2695" s="241"/>
      <c r="O2695" s="241"/>
      <c r="P2695" s="241"/>
      <c r="Q2695" s="241"/>
    </row>
    <row r="2696" spans="1:17" ht="13.5" customHeight="1" x14ac:dyDescent="0.3">
      <c r="A2696"/>
      <c r="B2696" s="241"/>
      <c r="C2696" s="241"/>
      <c r="D2696" s="241"/>
      <c r="E2696" s="241"/>
      <c r="F2696" s="241"/>
      <c r="G2696" s="241"/>
      <c r="H2696" s="241"/>
      <c r="I2696"/>
      <c r="J2696" s="241"/>
      <c r="K2696" s="241"/>
      <c r="L2696" s="241"/>
      <c r="M2696" s="241"/>
      <c r="N2696" s="241"/>
      <c r="O2696" s="241"/>
      <c r="P2696" s="241"/>
      <c r="Q2696" s="241"/>
    </row>
    <row r="2697" spans="1:17" ht="13.5" customHeight="1" x14ac:dyDescent="0.3">
      <c r="A2697"/>
      <c r="B2697" s="241"/>
      <c r="C2697" s="241"/>
      <c r="D2697" s="241"/>
      <c r="E2697" s="241"/>
      <c r="F2697" s="241"/>
      <c r="G2697" s="241"/>
      <c r="H2697" s="241"/>
      <c r="I2697"/>
      <c r="J2697" s="241"/>
      <c r="K2697" s="241"/>
      <c r="L2697" s="241"/>
      <c r="M2697" s="241"/>
      <c r="N2697" s="241"/>
      <c r="O2697" s="241"/>
      <c r="P2697" s="241"/>
      <c r="Q2697" s="241"/>
    </row>
    <row r="2698" spans="1:17" ht="13.5" customHeight="1" x14ac:dyDescent="0.3">
      <c r="A2698"/>
      <c r="B2698" s="241"/>
      <c r="C2698" s="241"/>
      <c r="D2698" s="241"/>
      <c r="E2698" s="241"/>
      <c r="F2698" s="241"/>
      <c r="G2698" s="241"/>
      <c r="H2698" s="241"/>
      <c r="I2698"/>
      <c r="J2698" s="241"/>
      <c r="K2698" s="241"/>
      <c r="L2698" s="241"/>
      <c r="M2698" s="241"/>
      <c r="N2698" s="241"/>
      <c r="O2698" s="241"/>
      <c r="P2698" s="241"/>
      <c r="Q2698" s="241"/>
    </row>
    <row r="2699" spans="1:17" ht="13.5" customHeight="1" x14ac:dyDescent="0.3">
      <c r="A2699"/>
      <c r="B2699" s="241"/>
      <c r="C2699" s="241"/>
      <c r="D2699" s="241"/>
      <c r="E2699" s="241"/>
      <c r="F2699" s="241"/>
      <c r="G2699" s="241"/>
      <c r="H2699" s="241"/>
      <c r="I2699"/>
      <c r="J2699" s="241"/>
      <c r="K2699" s="241"/>
      <c r="L2699" s="241"/>
      <c r="M2699" s="241"/>
      <c r="N2699" s="241"/>
      <c r="O2699" s="241"/>
      <c r="P2699" s="241"/>
      <c r="Q2699" s="241"/>
    </row>
    <row r="2700" spans="1:17" ht="13.5" customHeight="1" x14ac:dyDescent="0.3">
      <c r="A2700"/>
      <c r="B2700" s="241"/>
      <c r="C2700" s="241"/>
      <c r="D2700" s="241"/>
      <c r="E2700" s="241"/>
      <c r="F2700" s="241"/>
      <c r="G2700" s="241"/>
      <c r="H2700" s="241"/>
      <c r="I2700"/>
      <c r="J2700" s="241"/>
      <c r="K2700" s="241"/>
      <c r="L2700" s="241"/>
      <c r="M2700" s="241"/>
      <c r="N2700" s="241"/>
      <c r="O2700" s="241"/>
      <c r="P2700" s="241"/>
      <c r="Q2700" s="241"/>
    </row>
    <row r="2701" spans="1:17" ht="13.5" customHeight="1" x14ac:dyDescent="0.3">
      <c r="A2701"/>
      <c r="B2701" s="241"/>
      <c r="C2701" s="241"/>
      <c r="D2701" s="241"/>
      <c r="E2701" s="241"/>
      <c r="F2701" s="241"/>
      <c r="G2701" s="241"/>
      <c r="H2701" s="241"/>
      <c r="I2701"/>
      <c r="J2701" s="241"/>
      <c r="K2701" s="241"/>
      <c r="L2701" s="241"/>
      <c r="M2701" s="241"/>
      <c r="N2701" s="241"/>
      <c r="O2701" s="241"/>
      <c r="P2701" s="241"/>
      <c r="Q2701" s="241"/>
    </row>
    <row r="2702" spans="1:17" ht="13.5" customHeight="1" x14ac:dyDescent="0.3">
      <c r="A2702"/>
      <c r="B2702" s="241"/>
      <c r="C2702" s="241"/>
      <c r="D2702" s="241"/>
      <c r="E2702" s="241"/>
      <c r="F2702" s="241"/>
      <c r="G2702" s="241"/>
      <c r="H2702" s="241"/>
      <c r="I2702"/>
      <c r="J2702" s="241"/>
      <c r="K2702" s="241"/>
      <c r="L2702" s="241"/>
      <c r="M2702" s="241"/>
      <c r="N2702" s="241"/>
      <c r="O2702" s="241"/>
      <c r="P2702" s="241"/>
      <c r="Q2702" s="241"/>
    </row>
    <row r="2703" spans="1:17" ht="13.5" customHeight="1" x14ac:dyDescent="0.3">
      <c r="A2703"/>
      <c r="B2703" s="241"/>
      <c r="C2703" s="241"/>
      <c r="D2703" s="241"/>
      <c r="E2703" s="241"/>
      <c r="F2703" s="241"/>
      <c r="G2703" s="241"/>
      <c r="H2703" s="241"/>
      <c r="I2703"/>
      <c r="J2703" s="241"/>
      <c r="K2703" s="241"/>
      <c r="L2703" s="241"/>
      <c r="M2703" s="241"/>
      <c r="N2703" s="241"/>
      <c r="O2703" s="241"/>
      <c r="P2703" s="241"/>
      <c r="Q2703" s="241"/>
    </row>
    <row r="2704" spans="1:17" ht="13.5" customHeight="1" x14ac:dyDescent="0.3">
      <c r="A2704"/>
      <c r="B2704" s="241"/>
      <c r="C2704" s="241"/>
      <c r="D2704" s="241"/>
      <c r="E2704" s="241"/>
      <c r="F2704" s="241"/>
      <c r="G2704" s="241"/>
      <c r="H2704" s="241"/>
      <c r="I2704"/>
      <c r="J2704" s="241"/>
      <c r="K2704" s="241"/>
      <c r="L2704" s="241"/>
      <c r="M2704" s="241"/>
      <c r="N2704" s="241"/>
      <c r="O2704" s="241"/>
      <c r="P2704" s="241"/>
      <c r="Q2704" s="241"/>
    </row>
    <row r="2705" spans="1:17" ht="13.5" customHeight="1" x14ac:dyDescent="0.3">
      <c r="A2705"/>
      <c r="B2705" s="241"/>
      <c r="C2705" s="241"/>
      <c r="D2705" s="241"/>
      <c r="E2705" s="241"/>
      <c r="F2705" s="241"/>
      <c r="G2705" s="241"/>
      <c r="H2705" s="241"/>
      <c r="I2705"/>
      <c r="J2705" s="241"/>
      <c r="K2705" s="241"/>
      <c r="L2705" s="241"/>
      <c r="M2705" s="241"/>
      <c r="N2705" s="241"/>
      <c r="O2705" s="241"/>
      <c r="P2705" s="241"/>
      <c r="Q2705" s="241"/>
    </row>
    <row r="2706" spans="1:17" ht="13.5" customHeight="1" x14ac:dyDescent="0.3">
      <c r="A2706"/>
      <c r="B2706" s="241"/>
      <c r="C2706" s="241"/>
      <c r="D2706" s="241"/>
      <c r="E2706" s="241"/>
      <c r="F2706" s="241"/>
      <c r="G2706" s="241"/>
      <c r="H2706" s="241"/>
      <c r="I2706"/>
      <c r="J2706" s="241"/>
      <c r="K2706" s="241"/>
      <c r="L2706" s="241"/>
      <c r="M2706" s="241"/>
      <c r="N2706" s="241"/>
      <c r="O2706" s="241"/>
      <c r="P2706" s="241"/>
      <c r="Q2706" s="241"/>
    </row>
    <row r="2707" spans="1:17" ht="13.5" customHeight="1" x14ac:dyDescent="0.3">
      <c r="A2707"/>
      <c r="B2707" s="241"/>
      <c r="C2707" s="241"/>
      <c r="D2707" s="241"/>
      <c r="E2707" s="241"/>
      <c r="F2707" s="241"/>
      <c r="G2707" s="241"/>
      <c r="H2707" s="241"/>
      <c r="I2707"/>
      <c r="J2707" s="241"/>
      <c r="K2707" s="241"/>
      <c r="L2707" s="241"/>
      <c r="M2707" s="241"/>
      <c r="N2707" s="241"/>
      <c r="O2707" s="241"/>
      <c r="P2707" s="241"/>
      <c r="Q2707" s="241"/>
    </row>
    <row r="2708" spans="1:17" ht="13.5" customHeight="1" x14ac:dyDescent="0.3">
      <c r="A2708"/>
      <c r="B2708" s="241"/>
      <c r="C2708" s="241"/>
      <c r="D2708" s="241"/>
      <c r="E2708" s="241"/>
      <c r="F2708" s="241"/>
      <c r="G2708" s="241"/>
      <c r="H2708" s="241"/>
      <c r="I2708"/>
      <c r="J2708" s="241"/>
      <c r="K2708" s="241"/>
      <c r="L2708" s="241"/>
      <c r="M2708" s="241"/>
      <c r="N2708" s="241"/>
      <c r="O2708" s="241"/>
      <c r="P2708" s="241"/>
      <c r="Q2708" s="241"/>
    </row>
    <row r="2709" spans="1:17" ht="13.5" customHeight="1" x14ac:dyDescent="0.3">
      <c r="A2709"/>
      <c r="B2709" s="241"/>
      <c r="C2709" s="241"/>
      <c r="D2709" s="241"/>
      <c r="E2709" s="241"/>
      <c r="F2709" s="241"/>
      <c r="G2709" s="241"/>
      <c r="H2709" s="241"/>
      <c r="I2709"/>
      <c r="J2709" s="241"/>
      <c r="K2709" s="241"/>
      <c r="L2709" s="241"/>
      <c r="M2709" s="241"/>
      <c r="N2709" s="241"/>
      <c r="O2709" s="241"/>
      <c r="P2709" s="241"/>
      <c r="Q2709" s="241"/>
    </row>
    <row r="2710" spans="1:17" ht="13.5" customHeight="1" x14ac:dyDescent="0.3">
      <c r="A2710"/>
      <c r="B2710" s="241"/>
      <c r="C2710" s="241"/>
      <c r="D2710" s="241"/>
      <c r="E2710" s="241"/>
      <c r="F2710" s="241"/>
      <c r="G2710" s="241"/>
      <c r="H2710" s="241"/>
      <c r="I2710"/>
      <c r="J2710" s="241"/>
      <c r="K2710" s="241"/>
      <c r="L2710" s="241"/>
      <c r="M2710" s="241"/>
      <c r="N2710" s="241"/>
      <c r="O2710" s="241"/>
      <c r="P2710" s="241"/>
      <c r="Q2710" s="241"/>
    </row>
    <row r="2711" spans="1:17" ht="13.5" customHeight="1" x14ac:dyDescent="0.3">
      <c r="A2711"/>
      <c r="B2711" s="241"/>
      <c r="C2711" s="241"/>
      <c r="D2711" s="241"/>
      <c r="E2711" s="241"/>
      <c r="F2711" s="241"/>
      <c r="G2711" s="241"/>
      <c r="H2711" s="241"/>
      <c r="I2711"/>
      <c r="J2711" s="241"/>
      <c r="K2711" s="241"/>
      <c r="L2711" s="241"/>
      <c r="M2711" s="241"/>
      <c r="N2711" s="241"/>
      <c r="O2711" s="241"/>
      <c r="P2711" s="241"/>
      <c r="Q2711" s="241"/>
    </row>
    <row r="2712" spans="1:17" ht="13.5" customHeight="1" x14ac:dyDescent="0.3">
      <c r="A2712"/>
      <c r="B2712" s="241"/>
      <c r="C2712" s="241"/>
      <c r="D2712" s="241"/>
      <c r="E2712" s="241"/>
      <c r="F2712" s="241"/>
      <c r="G2712" s="241"/>
      <c r="H2712" s="241"/>
      <c r="I2712"/>
      <c r="J2712" s="241"/>
      <c r="K2712" s="241"/>
      <c r="L2712" s="241"/>
      <c r="M2712" s="241"/>
      <c r="N2712" s="241"/>
      <c r="O2712" s="241"/>
      <c r="P2712" s="241"/>
      <c r="Q2712" s="241"/>
    </row>
    <row r="2713" spans="1:17" ht="13.5" customHeight="1" x14ac:dyDescent="0.3">
      <c r="A2713"/>
      <c r="B2713" s="241"/>
      <c r="C2713" s="241"/>
      <c r="D2713" s="241"/>
      <c r="E2713" s="241"/>
      <c r="F2713" s="241"/>
      <c r="G2713" s="241"/>
      <c r="H2713" s="241"/>
      <c r="I2713"/>
      <c r="J2713" s="241"/>
      <c r="K2713" s="241"/>
      <c r="L2713" s="241"/>
      <c r="M2713" s="241"/>
      <c r="N2713" s="241"/>
      <c r="O2713" s="241"/>
      <c r="P2713" s="241"/>
      <c r="Q2713" s="241"/>
    </row>
    <row r="2714" spans="1:17" ht="13.5" customHeight="1" x14ac:dyDescent="0.3">
      <c r="A2714"/>
      <c r="B2714" s="241"/>
      <c r="C2714" s="241"/>
      <c r="D2714" s="241"/>
      <c r="E2714" s="241"/>
      <c r="F2714" s="241"/>
      <c r="G2714" s="241"/>
      <c r="H2714" s="241"/>
      <c r="I2714"/>
      <c r="J2714" s="241"/>
      <c r="K2714" s="241"/>
      <c r="L2714" s="241"/>
      <c r="M2714" s="241"/>
      <c r="N2714" s="241"/>
      <c r="O2714" s="241"/>
      <c r="P2714" s="241"/>
      <c r="Q2714" s="241"/>
    </row>
    <row r="2715" spans="1:17" ht="13.5" customHeight="1" x14ac:dyDescent="0.3">
      <c r="A2715"/>
      <c r="B2715" s="241"/>
      <c r="C2715" s="241"/>
      <c r="D2715" s="241"/>
      <c r="E2715" s="241"/>
      <c r="F2715" s="241"/>
      <c r="G2715" s="241"/>
      <c r="H2715" s="241"/>
      <c r="I2715"/>
      <c r="J2715" s="241"/>
      <c r="K2715" s="241"/>
      <c r="L2715" s="241"/>
      <c r="M2715" s="241"/>
      <c r="N2715" s="241"/>
      <c r="O2715" s="241"/>
      <c r="P2715" s="241"/>
      <c r="Q2715" s="241"/>
    </row>
    <row r="2716" spans="1:17" ht="13.5" customHeight="1" x14ac:dyDescent="0.3">
      <c r="A2716"/>
      <c r="B2716" s="241"/>
      <c r="C2716" s="241"/>
      <c r="D2716" s="241"/>
      <c r="E2716" s="241"/>
      <c r="F2716" s="241"/>
      <c r="G2716" s="241"/>
      <c r="H2716" s="241"/>
      <c r="I2716"/>
      <c r="J2716" s="241"/>
      <c r="K2716" s="241"/>
      <c r="L2716" s="241"/>
      <c r="M2716" s="241"/>
      <c r="N2716" s="241"/>
      <c r="O2716" s="241"/>
      <c r="P2716" s="241"/>
      <c r="Q2716" s="241"/>
    </row>
    <row r="2717" spans="1:17" ht="13.5" customHeight="1" x14ac:dyDescent="0.3">
      <c r="A2717"/>
      <c r="B2717" s="241"/>
      <c r="C2717" s="241"/>
      <c r="D2717" s="241"/>
      <c r="E2717" s="241"/>
      <c r="F2717" s="241"/>
      <c r="G2717" s="241"/>
      <c r="H2717" s="241"/>
      <c r="I2717"/>
      <c r="J2717" s="241"/>
      <c r="K2717" s="241"/>
      <c r="L2717" s="241"/>
      <c r="M2717" s="241"/>
      <c r="N2717" s="241"/>
      <c r="O2717" s="241"/>
      <c r="P2717" s="241"/>
      <c r="Q2717" s="241"/>
    </row>
    <row r="2718" spans="1:17" ht="13.5" customHeight="1" x14ac:dyDescent="0.3">
      <c r="A2718"/>
      <c r="B2718" s="241"/>
      <c r="C2718" s="241"/>
      <c r="D2718" s="241"/>
      <c r="E2718" s="241"/>
      <c r="F2718" s="241"/>
      <c r="G2718" s="241"/>
      <c r="H2718" s="241"/>
      <c r="I2718"/>
      <c r="J2718" s="241"/>
      <c r="K2718" s="241"/>
      <c r="L2718" s="241"/>
      <c r="M2718" s="241"/>
      <c r="N2718" s="241"/>
      <c r="O2718" s="241"/>
      <c r="P2718" s="241"/>
      <c r="Q2718" s="241"/>
    </row>
    <row r="2719" spans="1:17" ht="13.5" customHeight="1" x14ac:dyDescent="0.3">
      <c r="A2719"/>
      <c r="B2719" s="241"/>
      <c r="C2719" s="241"/>
      <c r="D2719" s="241"/>
      <c r="E2719" s="241"/>
      <c r="F2719" s="241"/>
      <c r="G2719" s="241"/>
      <c r="H2719" s="241"/>
      <c r="I2719"/>
      <c r="J2719" s="241"/>
      <c r="K2719" s="241"/>
      <c r="L2719" s="241"/>
      <c r="M2719" s="241"/>
      <c r="N2719" s="241"/>
      <c r="O2719" s="241"/>
      <c r="P2719" s="241"/>
      <c r="Q2719" s="241"/>
    </row>
    <row r="2720" spans="1:17" ht="13.5" customHeight="1" x14ac:dyDescent="0.3">
      <c r="A2720"/>
      <c r="B2720" s="241"/>
      <c r="C2720" s="241"/>
      <c r="D2720" s="241"/>
      <c r="E2720" s="241"/>
      <c r="F2720" s="241"/>
      <c r="G2720" s="241"/>
      <c r="H2720" s="241"/>
      <c r="I2720"/>
      <c r="J2720" s="241"/>
      <c r="K2720" s="241"/>
      <c r="L2720" s="241"/>
      <c r="M2720" s="241"/>
      <c r="N2720" s="241"/>
      <c r="O2720" s="241"/>
      <c r="P2720" s="241"/>
      <c r="Q2720" s="241"/>
    </row>
    <row r="2721" spans="1:17" ht="13.5" customHeight="1" x14ac:dyDescent="0.3">
      <c r="A2721"/>
      <c r="B2721" s="241"/>
      <c r="C2721" s="241"/>
      <c r="D2721" s="241"/>
      <c r="E2721" s="241"/>
      <c r="F2721" s="241"/>
      <c r="G2721" s="241"/>
      <c r="H2721" s="241"/>
      <c r="I2721"/>
      <c r="J2721" s="241"/>
      <c r="K2721" s="241"/>
      <c r="L2721" s="241"/>
      <c r="M2721" s="241"/>
      <c r="N2721" s="241"/>
      <c r="O2721" s="241"/>
      <c r="P2721" s="241"/>
      <c r="Q2721" s="241"/>
    </row>
    <row r="2722" spans="1:17" ht="13.5" customHeight="1" x14ac:dyDescent="0.3">
      <c r="A2722"/>
      <c r="B2722" s="241"/>
      <c r="C2722" s="241"/>
      <c r="D2722" s="241"/>
      <c r="E2722" s="241"/>
      <c r="F2722" s="241"/>
      <c r="G2722" s="241"/>
      <c r="H2722" s="241"/>
      <c r="I2722"/>
      <c r="J2722" s="241"/>
      <c r="K2722" s="241"/>
      <c r="L2722" s="241"/>
      <c r="M2722" s="241"/>
      <c r="N2722" s="241"/>
      <c r="O2722" s="241"/>
      <c r="P2722" s="241"/>
      <c r="Q2722" s="241"/>
    </row>
    <row r="2723" spans="1:17" ht="13.5" customHeight="1" x14ac:dyDescent="0.3">
      <c r="A2723"/>
      <c r="B2723" s="241"/>
      <c r="C2723" s="241"/>
      <c r="D2723" s="241"/>
      <c r="E2723" s="241"/>
      <c r="F2723" s="241"/>
      <c r="G2723" s="241"/>
      <c r="H2723" s="241"/>
      <c r="I2723"/>
      <c r="J2723" s="241"/>
      <c r="K2723" s="241"/>
      <c r="L2723" s="241"/>
      <c r="M2723" s="241"/>
      <c r="N2723" s="241"/>
      <c r="O2723" s="241"/>
      <c r="P2723" s="241"/>
      <c r="Q2723" s="241"/>
    </row>
    <row r="2724" spans="1:17" ht="13.5" customHeight="1" x14ac:dyDescent="0.3">
      <c r="A2724"/>
      <c r="B2724" s="241"/>
      <c r="C2724" s="241"/>
      <c r="D2724" s="241"/>
      <c r="E2724" s="241"/>
      <c r="F2724" s="241"/>
      <c r="G2724" s="241"/>
      <c r="H2724" s="241"/>
      <c r="I2724"/>
      <c r="J2724" s="241"/>
      <c r="K2724" s="241"/>
      <c r="L2724" s="241"/>
      <c r="M2724" s="241"/>
      <c r="N2724" s="241"/>
      <c r="O2724" s="241"/>
      <c r="P2724" s="241"/>
      <c r="Q2724" s="241"/>
    </row>
    <row r="2725" spans="1:17" ht="13.5" customHeight="1" x14ac:dyDescent="0.3">
      <c r="A2725"/>
      <c r="B2725" s="241"/>
      <c r="C2725" s="241"/>
      <c r="D2725" s="241"/>
      <c r="E2725" s="241"/>
      <c r="F2725" s="241"/>
      <c r="G2725" s="241"/>
      <c r="H2725" s="241"/>
      <c r="I2725"/>
      <c r="J2725" s="241"/>
      <c r="K2725" s="241"/>
      <c r="L2725" s="241"/>
      <c r="M2725" s="241"/>
      <c r="N2725" s="241"/>
      <c r="O2725" s="241"/>
      <c r="P2725" s="241"/>
      <c r="Q2725" s="241"/>
    </row>
    <row r="2726" spans="1:17" ht="13.5" customHeight="1" x14ac:dyDescent="0.3">
      <c r="A2726"/>
      <c r="B2726" s="241"/>
      <c r="C2726" s="241"/>
      <c r="D2726" s="241"/>
      <c r="E2726" s="241"/>
      <c r="F2726" s="241"/>
      <c r="G2726" s="241"/>
      <c r="H2726" s="241"/>
      <c r="I2726"/>
      <c r="J2726" s="241"/>
      <c r="K2726" s="241"/>
      <c r="L2726" s="241"/>
      <c r="M2726" s="241"/>
      <c r="N2726" s="241"/>
      <c r="O2726" s="241"/>
      <c r="P2726" s="241"/>
      <c r="Q2726" s="241"/>
    </row>
    <row r="2727" spans="1:17" ht="13.5" customHeight="1" x14ac:dyDescent="0.3">
      <c r="A2727"/>
      <c r="B2727" s="241"/>
      <c r="C2727" s="241"/>
      <c r="D2727" s="241"/>
      <c r="E2727" s="241"/>
      <c r="F2727" s="241"/>
      <c r="G2727" s="241"/>
      <c r="H2727" s="241"/>
      <c r="I2727"/>
      <c r="J2727" s="241"/>
      <c r="K2727" s="241"/>
      <c r="L2727" s="241"/>
      <c r="M2727" s="241"/>
      <c r="N2727" s="241"/>
      <c r="O2727" s="241"/>
      <c r="P2727" s="241"/>
      <c r="Q2727" s="241"/>
    </row>
    <row r="2728" spans="1:17" ht="13.5" customHeight="1" x14ac:dyDescent="0.3">
      <c r="A2728"/>
      <c r="B2728" s="241"/>
      <c r="C2728" s="241"/>
      <c r="D2728" s="241"/>
      <c r="E2728" s="241"/>
      <c r="F2728" s="241"/>
      <c r="G2728" s="241"/>
      <c r="H2728" s="241"/>
      <c r="I2728"/>
      <c r="J2728" s="241"/>
      <c r="K2728" s="241"/>
      <c r="L2728" s="241"/>
      <c r="M2728" s="241"/>
      <c r="N2728" s="241"/>
      <c r="O2728" s="241"/>
      <c r="P2728" s="241"/>
      <c r="Q2728" s="241"/>
    </row>
    <row r="2729" spans="1:17" ht="13.5" customHeight="1" x14ac:dyDescent="0.3">
      <c r="A2729"/>
      <c r="B2729" s="241"/>
      <c r="C2729" s="241"/>
      <c r="D2729" s="241"/>
      <c r="E2729" s="241"/>
      <c r="F2729" s="241"/>
      <c r="G2729" s="241"/>
      <c r="H2729" s="241"/>
      <c r="I2729"/>
      <c r="J2729" s="241"/>
      <c r="K2729" s="241"/>
      <c r="L2729" s="241"/>
      <c r="M2729" s="241"/>
      <c r="N2729" s="241"/>
      <c r="O2729" s="241"/>
      <c r="P2729" s="241"/>
      <c r="Q2729" s="241"/>
    </row>
    <row r="2730" spans="1:17" ht="13.5" customHeight="1" x14ac:dyDescent="0.3">
      <c r="A2730"/>
      <c r="B2730" s="241"/>
      <c r="C2730" s="241"/>
      <c r="D2730" s="241"/>
      <c r="E2730" s="241"/>
      <c r="F2730" s="241"/>
      <c r="G2730" s="241"/>
      <c r="H2730" s="241"/>
      <c r="I2730"/>
      <c r="J2730" s="241"/>
      <c r="K2730" s="241"/>
      <c r="L2730" s="241"/>
      <c r="M2730" s="241"/>
      <c r="N2730" s="241"/>
      <c r="O2730" s="241"/>
      <c r="P2730" s="241"/>
      <c r="Q2730" s="241"/>
    </row>
    <row r="2731" spans="1:17" ht="13.5" customHeight="1" x14ac:dyDescent="0.3">
      <c r="A2731"/>
      <c r="B2731" s="241"/>
      <c r="C2731" s="241"/>
      <c r="D2731" s="241"/>
      <c r="E2731" s="241"/>
      <c r="F2731" s="241"/>
      <c r="G2731" s="241"/>
      <c r="H2731" s="241"/>
      <c r="I2731"/>
      <c r="J2731" s="241"/>
      <c r="K2731" s="241"/>
      <c r="L2731" s="241"/>
      <c r="M2731" s="241"/>
      <c r="N2731" s="241"/>
      <c r="O2731" s="241"/>
      <c r="P2731" s="241"/>
      <c r="Q2731" s="241"/>
    </row>
    <row r="2732" spans="1:17" ht="13.5" customHeight="1" x14ac:dyDescent="0.3">
      <c r="A2732"/>
      <c r="B2732" s="241"/>
      <c r="C2732" s="241"/>
      <c r="D2732" s="241"/>
      <c r="E2732" s="241"/>
      <c r="F2732" s="241"/>
      <c r="G2732" s="241"/>
      <c r="H2732" s="241"/>
      <c r="I2732"/>
      <c r="J2732" s="241"/>
      <c r="K2732" s="241"/>
      <c r="L2732" s="241"/>
      <c r="M2732" s="241"/>
      <c r="N2732" s="241"/>
      <c r="O2732" s="241"/>
      <c r="P2732" s="241"/>
      <c r="Q2732" s="241"/>
    </row>
    <row r="2733" spans="1:17" ht="13.5" customHeight="1" x14ac:dyDescent="0.3">
      <c r="A2733"/>
      <c r="B2733" s="241"/>
      <c r="C2733" s="241"/>
      <c r="D2733" s="241"/>
      <c r="E2733" s="241"/>
      <c r="F2733" s="241"/>
      <c r="G2733" s="241"/>
      <c r="H2733" s="241"/>
      <c r="I2733"/>
      <c r="J2733" s="241"/>
      <c r="K2733" s="241"/>
      <c r="L2733" s="241"/>
      <c r="M2733" s="241"/>
      <c r="N2733" s="241"/>
      <c r="O2733" s="241"/>
      <c r="P2733" s="241"/>
      <c r="Q2733" s="241"/>
    </row>
    <row r="2734" spans="1:17" ht="13.5" customHeight="1" x14ac:dyDescent="0.3">
      <c r="A2734"/>
      <c r="B2734" s="241"/>
      <c r="C2734" s="241"/>
      <c r="D2734" s="241"/>
      <c r="E2734" s="241"/>
      <c r="F2734" s="241"/>
      <c r="G2734" s="241"/>
      <c r="H2734" s="241"/>
      <c r="I2734"/>
      <c r="J2734" s="241"/>
      <c r="K2734" s="241"/>
      <c r="L2734" s="241"/>
      <c r="M2734" s="241"/>
      <c r="N2734" s="241"/>
      <c r="O2734" s="241"/>
      <c r="P2734" s="241"/>
      <c r="Q2734" s="241"/>
    </row>
    <row r="2735" spans="1:17" ht="13.5" customHeight="1" x14ac:dyDescent="0.3">
      <c r="A2735"/>
      <c r="B2735" s="241"/>
      <c r="C2735" s="241"/>
      <c r="D2735" s="241"/>
      <c r="E2735" s="241"/>
      <c r="F2735" s="241"/>
      <c r="G2735" s="241"/>
      <c r="H2735" s="241"/>
      <c r="I2735"/>
      <c r="J2735" s="241"/>
      <c r="K2735" s="241"/>
      <c r="L2735" s="241"/>
      <c r="M2735" s="241"/>
      <c r="N2735" s="241"/>
      <c r="O2735" s="241"/>
      <c r="P2735" s="241"/>
      <c r="Q2735" s="241"/>
    </row>
    <row r="2736" spans="1:17" ht="13.5" customHeight="1" x14ac:dyDescent="0.3">
      <c r="A2736"/>
      <c r="B2736" s="241"/>
      <c r="C2736" s="241"/>
      <c r="D2736" s="241"/>
      <c r="E2736" s="241"/>
      <c r="F2736" s="241"/>
      <c r="G2736" s="241"/>
      <c r="H2736" s="241"/>
      <c r="I2736"/>
      <c r="J2736" s="241"/>
      <c r="K2736" s="241"/>
      <c r="L2736" s="241"/>
      <c r="M2736" s="241"/>
      <c r="N2736" s="241"/>
      <c r="O2736" s="241"/>
      <c r="P2736" s="241"/>
      <c r="Q2736" s="241"/>
    </row>
    <row r="2737" spans="1:17" ht="13.5" customHeight="1" x14ac:dyDescent="0.3">
      <c r="A2737"/>
      <c r="B2737" s="241"/>
      <c r="C2737" s="241"/>
      <c r="D2737" s="241"/>
      <c r="E2737" s="241"/>
      <c r="F2737" s="241"/>
      <c r="G2737" s="241"/>
      <c r="H2737" s="241"/>
      <c r="I2737"/>
      <c r="J2737" s="241"/>
      <c r="K2737" s="241"/>
      <c r="L2737" s="241"/>
      <c r="M2737" s="241"/>
      <c r="N2737" s="241"/>
      <c r="O2737" s="241"/>
      <c r="P2737" s="241"/>
      <c r="Q2737" s="241"/>
    </row>
    <row r="2738" spans="1:17" ht="13.5" customHeight="1" x14ac:dyDescent="0.3">
      <c r="A2738"/>
      <c r="B2738" s="241"/>
      <c r="C2738" s="241"/>
      <c r="D2738" s="241"/>
      <c r="E2738" s="241"/>
      <c r="F2738" s="241"/>
      <c r="G2738" s="241"/>
      <c r="H2738" s="241"/>
      <c r="I2738"/>
      <c r="J2738" s="241"/>
      <c r="K2738" s="241"/>
      <c r="L2738" s="241"/>
      <c r="M2738" s="241"/>
      <c r="N2738" s="241"/>
      <c r="O2738" s="241"/>
      <c r="P2738" s="241"/>
      <c r="Q2738" s="241"/>
    </row>
    <row r="2739" spans="1:17" ht="13.5" customHeight="1" x14ac:dyDescent="0.3">
      <c r="A2739"/>
      <c r="B2739" s="241"/>
      <c r="C2739" s="241"/>
      <c r="D2739" s="241"/>
      <c r="E2739" s="241"/>
      <c r="F2739" s="241"/>
      <c r="G2739" s="241"/>
      <c r="H2739" s="241"/>
      <c r="I2739"/>
      <c r="J2739" s="241"/>
      <c r="K2739" s="241"/>
      <c r="L2739" s="241"/>
      <c r="M2739" s="241"/>
      <c r="N2739" s="241"/>
      <c r="O2739" s="241"/>
      <c r="P2739" s="241"/>
      <c r="Q2739" s="241"/>
    </row>
    <row r="2740" spans="1:17" ht="13.5" customHeight="1" x14ac:dyDescent="0.3">
      <c r="A2740"/>
      <c r="B2740" s="241"/>
      <c r="C2740" s="241"/>
      <c r="D2740" s="241"/>
      <c r="E2740" s="241"/>
      <c r="F2740" s="241"/>
      <c r="G2740" s="241"/>
      <c r="H2740" s="241"/>
      <c r="I2740"/>
      <c r="J2740" s="241"/>
      <c r="K2740" s="241"/>
      <c r="L2740" s="241"/>
      <c r="M2740" s="241"/>
      <c r="N2740" s="241"/>
      <c r="O2740" s="241"/>
      <c r="P2740" s="241"/>
      <c r="Q2740" s="241"/>
    </row>
    <row r="2741" spans="1:17" ht="13.5" customHeight="1" x14ac:dyDescent="0.3">
      <c r="A2741"/>
      <c r="B2741" s="241"/>
      <c r="C2741" s="241"/>
      <c r="D2741" s="241"/>
      <c r="E2741" s="241"/>
      <c r="F2741" s="241"/>
      <c r="G2741" s="241"/>
      <c r="H2741" s="241"/>
      <c r="I2741"/>
      <c r="J2741" s="241"/>
      <c r="K2741" s="241"/>
      <c r="L2741" s="241"/>
      <c r="M2741" s="241"/>
      <c r="N2741" s="241"/>
      <c r="O2741" s="241"/>
      <c r="P2741" s="241"/>
      <c r="Q2741" s="241"/>
    </row>
    <row r="2742" spans="1:17" ht="13.5" customHeight="1" x14ac:dyDescent="0.3">
      <c r="A2742"/>
      <c r="B2742" s="241"/>
      <c r="C2742" s="241"/>
      <c r="D2742" s="241"/>
      <c r="E2742" s="241"/>
      <c r="F2742" s="241"/>
      <c r="G2742" s="241"/>
      <c r="H2742" s="241"/>
      <c r="I2742"/>
      <c r="J2742" s="241"/>
      <c r="K2742" s="241"/>
      <c r="L2742" s="241"/>
      <c r="M2742" s="241"/>
      <c r="N2742" s="241"/>
      <c r="O2742" s="241"/>
      <c r="P2742" s="241"/>
      <c r="Q2742" s="241"/>
    </row>
    <row r="2743" spans="1:17" ht="13.5" customHeight="1" x14ac:dyDescent="0.3">
      <c r="A2743"/>
      <c r="B2743" s="241"/>
      <c r="C2743" s="241"/>
      <c r="D2743" s="241"/>
      <c r="E2743" s="241"/>
      <c r="F2743" s="241"/>
      <c r="G2743" s="241"/>
      <c r="H2743" s="241"/>
      <c r="I2743"/>
      <c r="J2743" s="241"/>
      <c r="K2743" s="241"/>
      <c r="L2743" s="241"/>
      <c r="M2743" s="241"/>
      <c r="N2743" s="241"/>
      <c r="O2743" s="241"/>
      <c r="P2743" s="241"/>
      <c r="Q2743" s="241"/>
    </row>
    <row r="2744" spans="1:17" ht="13.5" customHeight="1" x14ac:dyDescent="0.3">
      <c r="A2744"/>
      <c r="B2744" s="241"/>
      <c r="C2744" s="241"/>
      <c r="D2744" s="241"/>
      <c r="E2744" s="241"/>
      <c r="F2744" s="241"/>
      <c r="G2744" s="241"/>
      <c r="H2744" s="241"/>
      <c r="I2744"/>
      <c r="J2744" s="241"/>
      <c r="K2744" s="241"/>
      <c r="L2744" s="241"/>
      <c r="M2744" s="241"/>
      <c r="N2744" s="241"/>
      <c r="O2744" s="241"/>
      <c r="P2744" s="241"/>
      <c r="Q2744" s="241"/>
    </row>
    <row r="2745" spans="1:17" ht="13.5" customHeight="1" x14ac:dyDescent="0.3">
      <c r="A2745"/>
      <c r="B2745" s="241"/>
      <c r="C2745" s="241"/>
      <c r="D2745" s="241"/>
      <c r="E2745" s="241"/>
      <c r="F2745" s="241"/>
      <c r="G2745" s="241"/>
      <c r="H2745" s="241"/>
      <c r="I2745"/>
      <c r="J2745" s="241"/>
      <c r="K2745" s="241"/>
      <c r="L2745" s="241"/>
      <c r="M2745" s="241"/>
      <c r="N2745" s="241"/>
      <c r="O2745" s="241"/>
      <c r="P2745" s="241"/>
      <c r="Q2745" s="241"/>
    </row>
    <row r="2746" spans="1:17" ht="13.5" customHeight="1" x14ac:dyDescent="0.3">
      <c r="A2746"/>
      <c r="B2746" s="241"/>
      <c r="C2746" s="241"/>
      <c r="D2746" s="241"/>
      <c r="E2746" s="241"/>
      <c r="F2746" s="241"/>
      <c r="G2746" s="241"/>
      <c r="H2746" s="241"/>
      <c r="I2746"/>
      <c r="J2746" s="241"/>
      <c r="K2746" s="241"/>
      <c r="L2746" s="241"/>
      <c r="M2746" s="241"/>
      <c r="N2746" s="241"/>
      <c r="O2746" s="241"/>
      <c r="P2746" s="241"/>
      <c r="Q2746" s="241"/>
    </row>
    <row r="2747" spans="1:17" ht="13.5" customHeight="1" x14ac:dyDescent="0.3">
      <c r="A2747"/>
      <c r="B2747" s="241"/>
      <c r="C2747" s="241"/>
      <c r="D2747" s="241"/>
      <c r="E2747" s="241"/>
      <c r="F2747" s="241"/>
      <c r="G2747" s="241"/>
      <c r="H2747" s="241"/>
      <c r="I2747"/>
      <c r="J2747" s="241"/>
      <c r="K2747" s="241"/>
      <c r="L2747" s="241"/>
      <c r="M2747" s="241"/>
      <c r="N2747" s="241"/>
      <c r="O2747" s="241"/>
      <c r="P2747" s="241"/>
      <c r="Q2747" s="241"/>
    </row>
    <row r="2748" spans="1:17" ht="13.5" customHeight="1" x14ac:dyDescent="0.3">
      <c r="A2748"/>
      <c r="B2748" s="241"/>
      <c r="C2748" s="241"/>
      <c r="D2748" s="241"/>
      <c r="E2748" s="241"/>
      <c r="F2748" s="241"/>
      <c r="G2748" s="241"/>
      <c r="H2748" s="241"/>
      <c r="I2748"/>
      <c r="J2748" s="241"/>
      <c r="K2748" s="241"/>
      <c r="L2748" s="241"/>
      <c r="M2748" s="241"/>
      <c r="N2748" s="241"/>
      <c r="O2748" s="241"/>
      <c r="P2748" s="241"/>
      <c r="Q2748" s="241"/>
    </row>
    <row r="2749" spans="1:17" ht="13.5" customHeight="1" x14ac:dyDescent="0.3">
      <c r="A2749"/>
      <c r="B2749" s="241"/>
      <c r="C2749" s="241"/>
      <c r="D2749" s="241"/>
      <c r="E2749" s="241"/>
      <c r="F2749" s="241"/>
      <c r="G2749" s="241"/>
      <c r="H2749" s="241"/>
      <c r="I2749"/>
      <c r="J2749" s="241"/>
      <c r="K2749" s="241"/>
      <c r="L2749" s="241"/>
      <c r="M2749" s="241"/>
      <c r="N2749" s="241"/>
      <c r="O2749" s="241"/>
      <c r="P2749" s="241"/>
      <c r="Q2749" s="241"/>
    </row>
    <row r="2750" spans="1:17" ht="13.5" customHeight="1" x14ac:dyDescent="0.3">
      <c r="A2750"/>
      <c r="B2750" s="241"/>
      <c r="C2750" s="241"/>
      <c r="D2750" s="241"/>
      <c r="E2750" s="241"/>
      <c r="F2750" s="241"/>
      <c r="G2750" s="241"/>
      <c r="H2750" s="241"/>
      <c r="I2750"/>
      <c r="J2750" s="241"/>
      <c r="K2750" s="241"/>
      <c r="L2750" s="241"/>
      <c r="M2750" s="241"/>
      <c r="N2750" s="241"/>
      <c r="O2750" s="241"/>
      <c r="P2750" s="241"/>
      <c r="Q2750" s="241"/>
    </row>
    <row r="2751" spans="1:17" ht="13.5" customHeight="1" x14ac:dyDescent="0.3">
      <c r="A2751"/>
      <c r="B2751" s="241"/>
      <c r="C2751" s="241"/>
      <c r="D2751" s="241"/>
      <c r="E2751" s="241"/>
      <c r="F2751" s="241"/>
      <c r="G2751" s="241"/>
      <c r="H2751" s="241"/>
      <c r="I2751"/>
      <c r="J2751" s="241"/>
      <c r="K2751" s="241"/>
      <c r="L2751" s="241"/>
      <c r="M2751" s="241"/>
      <c r="N2751" s="241"/>
      <c r="O2751" s="241"/>
      <c r="P2751" s="241"/>
      <c r="Q2751" s="241"/>
    </row>
    <row r="2752" spans="1:17" ht="13.5" customHeight="1" x14ac:dyDescent="0.3">
      <c r="A2752"/>
      <c r="B2752" s="241"/>
      <c r="C2752" s="241"/>
      <c r="D2752" s="241"/>
      <c r="E2752" s="241"/>
      <c r="F2752" s="241"/>
      <c r="G2752" s="241"/>
      <c r="H2752" s="241"/>
      <c r="I2752"/>
      <c r="J2752" s="241"/>
      <c r="K2752" s="241"/>
      <c r="L2752" s="241"/>
      <c r="M2752" s="241"/>
      <c r="N2752" s="241"/>
      <c r="O2752" s="241"/>
      <c r="P2752" s="241"/>
      <c r="Q2752" s="241"/>
    </row>
    <row r="2753" spans="1:17" ht="13.5" customHeight="1" x14ac:dyDescent="0.3">
      <c r="A2753"/>
      <c r="B2753" s="241"/>
      <c r="C2753" s="241"/>
      <c r="D2753" s="241"/>
      <c r="E2753" s="241"/>
      <c r="F2753" s="241"/>
      <c r="G2753" s="241"/>
      <c r="H2753" s="241"/>
      <c r="I2753"/>
      <c r="J2753" s="241"/>
      <c r="K2753" s="241"/>
      <c r="L2753" s="241"/>
      <c r="M2753" s="241"/>
      <c r="N2753" s="241"/>
      <c r="O2753" s="241"/>
      <c r="P2753" s="241"/>
      <c r="Q2753" s="241"/>
    </row>
    <row r="2754" spans="1:17" ht="13.5" customHeight="1" x14ac:dyDescent="0.3">
      <c r="A2754"/>
      <c r="B2754" s="241"/>
      <c r="C2754" s="241"/>
      <c r="D2754" s="241"/>
      <c r="E2754" s="241"/>
      <c r="F2754" s="241"/>
      <c r="G2754" s="241"/>
      <c r="H2754" s="241"/>
      <c r="I2754"/>
      <c r="J2754" s="241"/>
      <c r="K2754" s="241"/>
      <c r="L2754" s="241"/>
      <c r="M2754" s="241"/>
      <c r="N2754" s="241"/>
      <c r="O2754" s="241"/>
      <c r="P2754" s="241"/>
      <c r="Q2754" s="241"/>
    </row>
    <row r="2755" spans="1:17" ht="13.5" customHeight="1" x14ac:dyDescent="0.3">
      <c r="A2755"/>
      <c r="B2755" s="241"/>
      <c r="C2755" s="241"/>
      <c r="D2755" s="241"/>
      <c r="E2755" s="241"/>
      <c r="F2755" s="241"/>
      <c r="G2755" s="241"/>
      <c r="H2755" s="241"/>
      <c r="I2755"/>
      <c r="J2755" s="241"/>
      <c r="K2755" s="241"/>
      <c r="L2755" s="241"/>
      <c r="M2755" s="241"/>
      <c r="N2755" s="241"/>
      <c r="O2755" s="241"/>
      <c r="P2755" s="241"/>
      <c r="Q2755" s="241"/>
    </row>
    <row r="2756" spans="1:17" ht="13.5" customHeight="1" x14ac:dyDescent="0.3">
      <c r="A2756"/>
      <c r="B2756" s="241"/>
      <c r="C2756" s="241"/>
      <c r="D2756" s="241"/>
      <c r="E2756" s="241"/>
      <c r="F2756" s="241"/>
      <c r="G2756" s="241"/>
      <c r="H2756" s="241"/>
      <c r="I2756"/>
      <c r="J2756" s="241"/>
      <c r="K2756" s="241"/>
      <c r="L2756" s="241"/>
      <c r="M2756" s="241"/>
      <c r="N2756" s="241"/>
      <c r="O2756" s="241"/>
      <c r="P2756" s="241"/>
      <c r="Q2756" s="241"/>
    </row>
    <row r="2757" spans="1:17" ht="13.5" customHeight="1" x14ac:dyDescent="0.3">
      <c r="A2757"/>
      <c r="B2757" s="241"/>
      <c r="C2757" s="241"/>
      <c r="D2757" s="241"/>
      <c r="E2757" s="241"/>
      <c r="F2757" s="241"/>
      <c r="G2757" s="241"/>
      <c r="H2757" s="241"/>
      <c r="I2757"/>
      <c r="J2757" s="241"/>
      <c r="K2757" s="241"/>
      <c r="L2757" s="241"/>
      <c r="M2757" s="241"/>
      <c r="N2757" s="241"/>
      <c r="O2757" s="241"/>
      <c r="P2757" s="241"/>
      <c r="Q2757" s="241"/>
    </row>
    <row r="2758" spans="1:17" ht="13.5" customHeight="1" x14ac:dyDescent="0.3">
      <c r="A2758"/>
      <c r="B2758" s="241"/>
      <c r="C2758" s="241"/>
      <c r="D2758" s="241"/>
      <c r="E2758" s="241"/>
      <c r="F2758" s="241"/>
      <c r="G2758" s="241"/>
      <c r="H2758" s="241"/>
      <c r="I2758"/>
      <c r="J2758" s="241"/>
      <c r="K2758" s="241"/>
      <c r="L2758" s="241"/>
      <c r="M2758" s="241"/>
      <c r="N2758" s="241"/>
      <c r="O2758" s="241"/>
      <c r="P2758" s="241"/>
      <c r="Q2758" s="241"/>
    </row>
    <row r="2759" spans="1:17" ht="13.5" customHeight="1" x14ac:dyDescent="0.3">
      <c r="A2759"/>
      <c r="B2759" s="241"/>
      <c r="C2759" s="241"/>
      <c r="D2759" s="241"/>
      <c r="E2759" s="241"/>
      <c r="F2759" s="241"/>
      <c r="G2759" s="241"/>
      <c r="H2759" s="241"/>
      <c r="I2759"/>
      <c r="J2759" s="241"/>
      <c r="K2759" s="241"/>
      <c r="L2759" s="241"/>
      <c r="M2759" s="241"/>
      <c r="N2759" s="241"/>
      <c r="O2759" s="241"/>
      <c r="P2759" s="241"/>
      <c r="Q2759" s="241"/>
    </row>
    <row r="2760" spans="1:17" ht="13.5" customHeight="1" x14ac:dyDescent="0.3">
      <c r="A2760"/>
      <c r="B2760" s="241"/>
      <c r="C2760" s="241"/>
      <c r="D2760" s="241"/>
      <c r="E2760" s="241"/>
      <c r="F2760" s="241"/>
      <c r="G2760" s="241"/>
      <c r="H2760" s="241"/>
      <c r="I2760"/>
      <c r="J2760" s="241"/>
      <c r="K2760" s="241"/>
      <c r="L2760" s="241"/>
      <c r="M2760" s="241"/>
      <c r="N2760" s="241"/>
      <c r="O2760" s="241"/>
      <c r="P2760" s="241"/>
      <c r="Q2760" s="241"/>
    </row>
    <row r="2761" spans="1:17" ht="13.5" customHeight="1" x14ac:dyDescent="0.3">
      <c r="A2761"/>
      <c r="B2761" s="241"/>
      <c r="C2761" s="241"/>
      <c r="D2761" s="241"/>
      <c r="E2761" s="241"/>
      <c r="F2761" s="241"/>
      <c r="G2761" s="241"/>
      <c r="H2761" s="241"/>
      <c r="I2761"/>
      <c r="J2761" s="241"/>
      <c r="K2761" s="241"/>
      <c r="L2761" s="241"/>
      <c r="M2761" s="241"/>
      <c r="N2761" s="241"/>
      <c r="O2761" s="241"/>
      <c r="P2761" s="241"/>
      <c r="Q2761" s="241"/>
    </row>
    <row r="2762" spans="1:17" ht="13.5" customHeight="1" x14ac:dyDescent="0.3">
      <c r="A2762"/>
      <c r="B2762" s="241"/>
      <c r="C2762" s="241"/>
      <c r="D2762" s="241"/>
      <c r="E2762" s="241"/>
      <c r="F2762" s="241"/>
      <c r="G2762" s="241"/>
      <c r="H2762" s="241"/>
      <c r="I2762"/>
      <c r="J2762" s="241"/>
      <c r="K2762" s="241"/>
      <c r="L2762" s="241"/>
      <c r="M2762" s="241"/>
      <c r="N2762" s="241"/>
      <c r="O2762" s="241"/>
      <c r="P2762" s="241"/>
      <c r="Q2762" s="241"/>
    </row>
    <row r="2763" spans="1:17" ht="13.5" customHeight="1" x14ac:dyDescent="0.3">
      <c r="A2763"/>
      <c r="B2763" s="241"/>
      <c r="C2763" s="241"/>
      <c r="D2763" s="241"/>
      <c r="E2763" s="241"/>
      <c r="F2763" s="241"/>
      <c r="G2763" s="241"/>
      <c r="H2763" s="241"/>
      <c r="I2763"/>
      <c r="J2763" s="241"/>
      <c r="K2763" s="241"/>
      <c r="L2763" s="241"/>
      <c r="M2763" s="241"/>
      <c r="N2763" s="241"/>
      <c r="O2763" s="241"/>
      <c r="P2763" s="241"/>
      <c r="Q2763" s="241"/>
    </row>
    <row r="2764" spans="1:17" ht="13.5" customHeight="1" x14ac:dyDescent="0.3">
      <c r="A2764"/>
      <c r="B2764" s="241"/>
      <c r="C2764" s="241"/>
      <c r="D2764" s="241"/>
      <c r="E2764" s="241"/>
      <c r="F2764" s="241"/>
      <c r="G2764" s="241"/>
      <c r="H2764" s="241"/>
      <c r="I2764"/>
      <c r="J2764" s="241"/>
      <c r="K2764" s="241"/>
      <c r="L2764" s="241"/>
      <c r="M2764" s="241"/>
      <c r="N2764" s="241"/>
      <c r="O2764" s="241"/>
      <c r="P2764" s="241"/>
      <c r="Q2764" s="241"/>
    </row>
    <row r="2765" spans="1:17" ht="13.5" customHeight="1" x14ac:dyDescent="0.3">
      <c r="A2765"/>
      <c r="B2765" s="241"/>
      <c r="C2765" s="241"/>
      <c r="D2765" s="241"/>
      <c r="E2765" s="241"/>
      <c r="F2765" s="241"/>
      <c r="G2765" s="241"/>
      <c r="H2765" s="241"/>
      <c r="I2765"/>
      <c r="J2765" s="241"/>
      <c r="K2765" s="241"/>
      <c r="L2765" s="241"/>
      <c r="M2765" s="241"/>
      <c r="N2765" s="241"/>
      <c r="O2765" s="241"/>
      <c r="P2765" s="241"/>
      <c r="Q2765" s="241"/>
    </row>
    <row r="2766" spans="1:17" ht="13.5" customHeight="1" x14ac:dyDescent="0.3">
      <c r="A2766"/>
      <c r="B2766" s="241"/>
      <c r="C2766" s="241"/>
      <c r="D2766" s="241"/>
      <c r="E2766" s="241"/>
      <c r="F2766" s="241"/>
      <c r="G2766" s="241"/>
      <c r="H2766" s="241"/>
      <c r="I2766"/>
      <c r="J2766" s="241"/>
      <c r="K2766" s="241"/>
      <c r="L2766" s="241"/>
      <c r="M2766" s="241"/>
      <c r="N2766" s="241"/>
      <c r="O2766" s="241"/>
      <c r="P2766" s="241"/>
      <c r="Q2766" s="241"/>
    </row>
    <row r="2767" spans="1:17" ht="13.5" customHeight="1" x14ac:dyDescent="0.3">
      <c r="A2767"/>
      <c r="B2767" s="241"/>
      <c r="C2767" s="241"/>
      <c r="D2767" s="241"/>
      <c r="E2767" s="241"/>
      <c r="F2767" s="241"/>
      <c r="G2767" s="241"/>
      <c r="H2767" s="241"/>
      <c r="I2767"/>
      <c r="J2767" s="241"/>
      <c r="K2767" s="241"/>
      <c r="L2767" s="241"/>
      <c r="M2767" s="241"/>
      <c r="N2767" s="241"/>
      <c r="O2767" s="241"/>
      <c r="P2767" s="241"/>
      <c r="Q2767" s="241"/>
    </row>
    <row r="2768" spans="1:17" ht="13.5" customHeight="1" x14ac:dyDescent="0.3">
      <c r="A2768"/>
      <c r="B2768" s="241"/>
      <c r="C2768" s="241"/>
      <c r="D2768" s="241"/>
      <c r="E2768" s="241"/>
      <c r="F2768" s="241"/>
      <c r="G2768" s="241"/>
      <c r="H2768" s="241"/>
      <c r="I2768"/>
      <c r="J2768" s="241"/>
      <c r="K2768" s="241"/>
      <c r="L2768" s="241"/>
      <c r="M2768" s="241"/>
      <c r="N2768" s="241"/>
      <c r="O2768" s="241"/>
      <c r="P2768" s="241"/>
      <c r="Q2768" s="241"/>
    </row>
    <row r="2769" spans="1:17" ht="13.5" customHeight="1" x14ac:dyDescent="0.3">
      <c r="A2769"/>
      <c r="B2769" s="241"/>
      <c r="C2769" s="241"/>
      <c r="D2769" s="241"/>
      <c r="E2769" s="241"/>
      <c r="F2769" s="241"/>
      <c r="G2769" s="241"/>
      <c r="H2769" s="241"/>
      <c r="I2769"/>
      <c r="J2769" s="241"/>
      <c r="K2769" s="241"/>
      <c r="L2769" s="241"/>
      <c r="M2769" s="241"/>
      <c r="N2769" s="241"/>
      <c r="O2769" s="241"/>
      <c r="P2769" s="241"/>
      <c r="Q2769" s="241"/>
    </row>
    <row r="2770" spans="1:17" ht="13.5" customHeight="1" x14ac:dyDescent="0.3">
      <c r="A2770"/>
      <c r="B2770" s="241"/>
      <c r="C2770" s="241"/>
      <c r="D2770" s="241"/>
      <c r="E2770" s="241"/>
      <c r="F2770" s="241"/>
      <c r="G2770" s="241"/>
      <c r="H2770" s="241"/>
      <c r="I2770"/>
      <c r="J2770" s="241"/>
      <c r="K2770" s="241"/>
      <c r="L2770" s="241"/>
      <c r="M2770" s="241"/>
      <c r="N2770" s="241"/>
      <c r="O2770" s="241"/>
      <c r="P2770" s="241"/>
      <c r="Q2770" s="241"/>
    </row>
    <row r="2771" spans="1:17" ht="13.5" customHeight="1" x14ac:dyDescent="0.3">
      <c r="A2771"/>
      <c r="B2771" s="241"/>
      <c r="C2771" s="241"/>
      <c r="D2771" s="241"/>
      <c r="E2771" s="241"/>
      <c r="F2771" s="241"/>
      <c r="G2771" s="241"/>
      <c r="H2771" s="241"/>
      <c r="I2771"/>
      <c r="J2771" s="241"/>
      <c r="K2771" s="241"/>
      <c r="L2771" s="241"/>
      <c r="M2771" s="241"/>
      <c r="N2771" s="241"/>
      <c r="O2771" s="241"/>
      <c r="P2771" s="241"/>
      <c r="Q2771" s="241"/>
    </row>
    <row r="2772" spans="1:17" ht="13.5" customHeight="1" x14ac:dyDescent="0.3">
      <c r="A2772"/>
      <c r="B2772" s="241"/>
      <c r="C2772" s="241"/>
      <c r="D2772" s="241"/>
      <c r="E2772" s="241"/>
      <c r="F2772" s="241"/>
      <c r="G2772" s="241"/>
      <c r="H2772" s="241"/>
      <c r="I2772"/>
      <c r="J2772" s="241"/>
      <c r="K2772" s="241"/>
      <c r="L2772" s="241"/>
      <c r="M2772" s="241"/>
      <c r="N2772" s="241"/>
      <c r="O2772" s="241"/>
      <c r="P2772" s="241"/>
      <c r="Q2772" s="241"/>
    </row>
    <row r="2773" spans="1:17" ht="13.5" customHeight="1" x14ac:dyDescent="0.3">
      <c r="A2773"/>
      <c r="B2773" s="241"/>
      <c r="C2773" s="241"/>
      <c r="D2773" s="241"/>
      <c r="E2773" s="241"/>
      <c r="F2773" s="241"/>
      <c r="G2773" s="241"/>
      <c r="H2773" s="241"/>
      <c r="I2773"/>
      <c r="J2773" s="241"/>
      <c r="K2773" s="241"/>
      <c r="L2773" s="241"/>
      <c r="M2773" s="241"/>
      <c r="N2773" s="241"/>
      <c r="O2773" s="241"/>
      <c r="P2773" s="241"/>
      <c r="Q2773" s="241"/>
    </row>
    <row r="2774" spans="1:17" ht="13.5" customHeight="1" x14ac:dyDescent="0.3">
      <c r="A2774"/>
      <c r="B2774" s="241"/>
      <c r="C2774" s="241"/>
      <c r="D2774" s="241"/>
      <c r="E2774" s="241"/>
      <c r="F2774" s="241"/>
      <c r="G2774" s="241"/>
      <c r="H2774" s="241"/>
      <c r="I2774"/>
      <c r="J2774" s="241"/>
      <c r="K2774" s="241"/>
      <c r="L2774" s="241"/>
      <c r="M2774" s="241"/>
      <c r="N2774" s="241"/>
      <c r="O2774" s="241"/>
      <c r="P2774" s="241"/>
      <c r="Q2774" s="241"/>
    </row>
    <row r="2775" spans="1:17" ht="13.5" customHeight="1" x14ac:dyDescent="0.3">
      <c r="A2775"/>
      <c r="B2775" s="241"/>
      <c r="C2775" s="241"/>
      <c r="D2775" s="241"/>
      <c r="E2775" s="241"/>
      <c r="F2775" s="241"/>
      <c r="G2775" s="241"/>
      <c r="H2775" s="241"/>
      <c r="I2775"/>
      <c r="J2775" s="241"/>
      <c r="K2775" s="241"/>
      <c r="L2775" s="241"/>
      <c r="M2775" s="241"/>
      <c r="N2775" s="241"/>
      <c r="O2775" s="241"/>
      <c r="P2775" s="241"/>
      <c r="Q2775" s="241"/>
    </row>
    <row r="2776" spans="1:17" ht="13.5" customHeight="1" x14ac:dyDescent="0.3">
      <c r="A2776"/>
      <c r="B2776" s="241"/>
      <c r="C2776" s="241"/>
      <c r="D2776" s="241"/>
      <c r="E2776" s="241"/>
      <c r="F2776" s="241"/>
      <c r="G2776" s="241"/>
      <c r="H2776" s="241"/>
      <c r="I2776"/>
      <c r="J2776" s="241"/>
      <c r="K2776" s="241"/>
      <c r="L2776" s="241"/>
      <c r="M2776" s="241"/>
      <c r="N2776" s="241"/>
      <c r="O2776" s="241"/>
      <c r="P2776" s="241"/>
      <c r="Q2776" s="241"/>
    </row>
    <row r="2777" spans="1:17" ht="13.5" customHeight="1" x14ac:dyDescent="0.3">
      <c r="A2777"/>
      <c r="B2777" s="241"/>
      <c r="C2777" s="241"/>
      <c r="D2777" s="241"/>
      <c r="E2777" s="241"/>
      <c r="F2777" s="241"/>
      <c r="G2777" s="241"/>
      <c r="H2777" s="241"/>
      <c r="I2777"/>
      <c r="J2777" s="241"/>
      <c r="K2777" s="241"/>
      <c r="L2777" s="241"/>
      <c r="M2777" s="241"/>
      <c r="N2777" s="241"/>
      <c r="O2777" s="241"/>
      <c r="P2777" s="241"/>
      <c r="Q2777" s="241"/>
    </row>
    <row r="2778" spans="1:17" ht="13.5" customHeight="1" x14ac:dyDescent="0.3">
      <c r="A2778"/>
      <c r="B2778" s="241"/>
      <c r="C2778" s="241"/>
      <c r="D2778" s="241"/>
      <c r="E2778" s="241"/>
      <c r="F2778" s="241"/>
      <c r="G2778" s="241"/>
      <c r="H2778" s="241"/>
      <c r="I2778"/>
      <c r="J2778" s="241"/>
      <c r="K2778" s="241"/>
      <c r="L2778" s="241"/>
      <c r="M2778" s="241"/>
      <c r="N2778" s="241"/>
      <c r="O2778" s="241"/>
      <c r="P2778" s="241"/>
      <c r="Q2778" s="241"/>
    </row>
    <row r="2779" spans="1:17" ht="13.5" customHeight="1" x14ac:dyDescent="0.3">
      <c r="A2779"/>
      <c r="B2779" s="241"/>
      <c r="C2779" s="241"/>
      <c r="D2779" s="241"/>
      <c r="E2779" s="241"/>
      <c r="F2779" s="241"/>
      <c r="G2779" s="241"/>
      <c r="H2779" s="241"/>
      <c r="I2779"/>
      <c r="J2779" s="241"/>
      <c r="K2779" s="241"/>
      <c r="L2779" s="241"/>
      <c r="M2779" s="241"/>
      <c r="N2779" s="241"/>
      <c r="O2779" s="241"/>
      <c r="P2779" s="241"/>
      <c r="Q2779" s="241"/>
    </row>
    <row r="2780" spans="1:17" ht="13.5" customHeight="1" x14ac:dyDescent="0.3">
      <c r="A2780"/>
      <c r="B2780" s="241"/>
      <c r="C2780" s="241"/>
      <c r="D2780" s="241"/>
      <c r="E2780" s="241"/>
      <c r="F2780" s="241"/>
      <c r="G2780" s="241"/>
      <c r="H2780" s="241"/>
      <c r="I2780"/>
      <c r="J2780" s="241"/>
      <c r="K2780" s="241"/>
      <c r="L2780" s="241"/>
      <c r="M2780" s="241"/>
      <c r="N2780" s="241"/>
      <c r="O2780" s="241"/>
      <c r="P2780" s="241"/>
      <c r="Q2780" s="241"/>
    </row>
    <row r="2781" spans="1:17" ht="13.5" customHeight="1" x14ac:dyDescent="0.3">
      <c r="A2781"/>
      <c r="B2781" s="241"/>
      <c r="C2781" s="241"/>
      <c r="D2781" s="241"/>
      <c r="E2781" s="241"/>
      <c r="F2781" s="241"/>
      <c r="G2781" s="241"/>
      <c r="H2781" s="241"/>
      <c r="I2781"/>
      <c r="J2781" s="241"/>
      <c r="K2781" s="241"/>
      <c r="L2781" s="241"/>
      <c r="M2781" s="241"/>
      <c r="N2781" s="241"/>
      <c r="O2781" s="241"/>
      <c r="P2781" s="241"/>
      <c r="Q2781" s="241"/>
    </row>
    <row r="2782" spans="1:17" ht="13.5" customHeight="1" x14ac:dyDescent="0.3">
      <c r="A2782"/>
      <c r="B2782" s="241"/>
      <c r="C2782" s="241"/>
      <c r="D2782" s="241"/>
      <c r="E2782" s="241"/>
      <c r="F2782" s="241"/>
      <c r="G2782" s="241"/>
      <c r="H2782" s="241"/>
      <c r="I2782"/>
      <c r="J2782" s="241"/>
      <c r="K2782" s="241"/>
      <c r="L2782" s="241"/>
      <c r="M2782" s="241"/>
      <c r="N2782" s="241"/>
      <c r="O2782" s="241"/>
      <c r="P2782" s="241"/>
      <c r="Q2782" s="241"/>
    </row>
    <row r="2783" spans="1:17" ht="13.5" customHeight="1" x14ac:dyDescent="0.3">
      <c r="A2783"/>
      <c r="B2783" s="241"/>
      <c r="C2783" s="241"/>
      <c r="D2783" s="241"/>
      <c r="E2783" s="241"/>
      <c r="F2783" s="241"/>
      <c r="G2783" s="241"/>
      <c r="H2783" s="241"/>
      <c r="I2783"/>
      <c r="J2783" s="241"/>
      <c r="K2783" s="241"/>
      <c r="L2783" s="241"/>
      <c r="M2783" s="241"/>
      <c r="N2783" s="241"/>
      <c r="O2783" s="241"/>
      <c r="P2783" s="241"/>
      <c r="Q2783" s="241"/>
    </row>
    <row r="2784" spans="1:17" ht="13.5" customHeight="1" x14ac:dyDescent="0.3">
      <c r="A2784"/>
      <c r="B2784" s="241"/>
      <c r="C2784" s="241"/>
      <c r="D2784" s="241"/>
      <c r="E2784" s="241"/>
      <c r="F2784" s="241"/>
      <c r="G2784" s="241"/>
      <c r="H2784" s="241"/>
      <c r="I2784"/>
      <c r="J2784" s="241"/>
      <c r="K2784" s="241"/>
      <c r="L2784" s="241"/>
      <c r="M2784" s="241"/>
      <c r="N2784" s="241"/>
      <c r="O2784" s="241"/>
      <c r="P2784" s="241"/>
      <c r="Q2784" s="241"/>
    </row>
    <row r="2785" spans="1:17" ht="13.5" customHeight="1" x14ac:dyDescent="0.3">
      <c r="A2785"/>
      <c r="B2785" s="241"/>
      <c r="C2785" s="241"/>
      <c r="D2785" s="241"/>
      <c r="E2785" s="241"/>
      <c r="F2785" s="241"/>
      <c r="G2785" s="241"/>
      <c r="H2785" s="241"/>
      <c r="I2785"/>
      <c r="J2785" s="241"/>
      <c r="K2785" s="241"/>
      <c r="L2785" s="241"/>
      <c r="M2785" s="241"/>
      <c r="N2785" s="241"/>
      <c r="O2785" s="241"/>
      <c r="P2785" s="241"/>
      <c r="Q2785" s="241"/>
    </row>
    <row r="2786" spans="1:17" ht="13.5" customHeight="1" x14ac:dyDescent="0.3">
      <c r="A2786"/>
      <c r="B2786" s="241"/>
      <c r="C2786" s="241"/>
      <c r="D2786" s="241"/>
      <c r="E2786" s="241"/>
      <c r="F2786" s="241"/>
      <c r="G2786" s="241"/>
      <c r="H2786" s="241"/>
      <c r="I2786"/>
      <c r="J2786" s="241"/>
      <c r="K2786" s="241"/>
      <c r="L2786" s="241"/>
      <c r="M2786" s="241"/>
      <c r="N2786" s="241"/>
      <c r="O2786" s="241"/>
      <c r="P2786" s="241"/>
      <c r="Q2786" s="241"/>
    </row>
    <row r="2787" spans="1:17" ht="13.5" customHeight="1" x14ac:dyDescent="0.3">
      <c r="A2787"/>
      <c r="B2787" s="241"/>
      <c r="C2787" s="241"/>
      <c r="D2787" s="241"/>
      <c r="E2787" s="241"/>
      <c r="F2787" s="241"/>
      <c r="G2787" s="241"/>
      <c r="H2787" s="241"/>
      <c r="I2787"/>
      <c r="J2787" s="241"/>
      <c r="K2787" s="241"/>
      <c r="L2787" s="241"/>
      <c r="M2787" s="241"/>
      <c r="N2787" s="241"/>
      <c r="O2787" s="241"/>
      <c r="P2787" s="241"/>
      <c r="Q2787" s="241"/>
    </row>
    <row r="2788" spans="1:17" ht="13.5" customHeight="1" x14ac:dyDescent="0.3">
      <c r="A2788"/>
      <c r="B2788" s="241"/>
      <c r="C2788" s="241"/>
      <c r="D2788" s="241"/>
      <c r="E2788" s="241"/>
      <c r="F2788" s="241"/>
      <c r="G2788" s="241"/>
      <c r="H2788" s="241"/>
      <c r="I2788"/>
      <c r="J2788" s="241"/>
      <c r="K2788" s="241"/>
      <c r="L2788" s="241"/>
      <c r="M2788" s="241"/>
      <c r="N2788" s="241"/>
      <c r="O2788" s="241"/>
      <c r="P2788" s="241"/>
      <c r="Q2788" s="241"/>
    </row>
    <row r="2789" spans="1:17" ht="13.5" customHeight="1" x14ac:dyDescent="0.3">
      <c r="A2789"/>
      <c r="B2789" s="241"/>
      <c r="C2789" s="241"/>
      <c r="D2789" s="241"/>
      <c r="E2789" s="241"/>
      <c r="F2789" s="241"/>
      <c r="G2789" s="241"/>
      <c r="H2789" s="241"/>
      <c r="I2789"/>
      <c r="J2789" s="241"/>
      <c r="K2789" s="241"/>
      <c r="L2789" s="241"/>
      <c r="M2789" s="241"/>
      <c r="N2789" s="241"/>
      <c r="O2789" s="241"/>
      <c r="P2789" s="241"/>
      <c r="Q2789" s="241"/>
    </row>
    <row r="2790" spans="1:17" ht="13.5" customHeight="1" x14ac:dyDescent="0.3">
      <c r="A2790"/>
      <c r="B2790" s="241"/>
      <c r="C2790" s="241"/>
      <c r="D2790" s="241"/>
      <c r="E2790" s="241"/>
      <c r="F2790" s="241"/>
      <c r="G2790" s="241"/>
      <c r="H2790" s="241"/>
      <c r="I2790"/>
      <c r="J2790" s="241"/>
      <c r="K2790" s="241"/>
      <c r="L2790" s="241"/>
      <c r="M2790" s="241"/>
      <c r="N2790" s="241"/>
      <c r="O2790" s="241"/>
      <c r="P2790" s="241"/>
      <c r="Q2790" s="241"/>
    </row>
    <row r="2791" spans="1:17" ht="13.5" customHeight="1" x14ac:dyDescent="0.3">
      <c r="A2791"/>
      <c r="B2791" s="241"/>
      <c r="C2791" s="241"/>
      <c r="D2791" s="241"/>
      <c r="E2791" s="241"/>
      <c r="F2791" s="241"/>
      <c r="G2791" s="241"/>
      <c r="H2791" s="241"/>
      <c r="I2791"/>
      <c r="J2791" s="241"/>
      <c r="K2791" s="241"/>
      <c r="L2791" s="241"/>
      <c r="M2791" s="241"/>
      <c r="N2791" s="241"/>
      <c r="O2791" s="241"/>
      <c r="P2791" s="241"/>
      <c r="Q2791" s="241"/>
    </row>
    <row r="2792" spans="1:17" ht="13.5" customHeight="1" x14ac:dyDescent="0.3">
      <c r="A2792"/>
      <c r="B2792" s="241"/>
      <c r="C2792" s="241"/>
      <c r="D2792" s="241"/>
      <c r="E2792" s="241"/>
      <c r="F2792" s="241"/>
      <c r="G2792" s="241"/>
      <c r="H2792" s="241"/>
      <c r="I2792"/>
      <c r="J2792" s="241"/>
      <c r="K2792" s="241"/>
      <c r="L2792" s="241"/>
      <c r="M2792" s="241"/>
      <c r="N2792" s="241"/>
      <c r="O2792" s="241"/>
      <c r="P2792" s="241"/>
      <c r="Q2792" s="241"/>
    </row>
    <row r="2793" spans="1:17" ht="13.5" customHeight="1" x14ac:dyDescent="0.3">
      <c r="A2793"/>
      <c r="B2793" s="241"/>
      <c r="C2793" s="241"/>
      <c r="D2793" s="241"/>
      <c r="E2793" s="241"/>
      <c r="F2793" s="241"/>
      <c r="G2793" s="241"/>
      <c r="H2793" s="241"/>
      <c r="I2793"/>
      <c r="J2793" s="241"/>
      <c r="K2793" s="241"/>
      <c r="L2793" s="241"/>
      <c r="M2793" s="241"/>
      <c r="N2793" s="241"/>
      <c r="O2793" s="241"/>
      <c r="P2793" s="241"/>
      <c r="Q2793" s="241"/>
    </row>
    <row r="2794" spans="1:17" ht="13.5" customHeight="1" x14ac:dyDescent="0.3">
      <c r="A2794"/>
      <c r="B2794" s="241"/>
      <c r="C2794" s="241"/>
      <c r="D2794" s="241"/>
      <c r="E2794" s="241"/>
      <c r="F2794" s="241"/>
      <c r="G2794" s="241"/>
      <c r="H2794" s="241"/>
      <c r="I2794"/>
      <c r="J2794" s="241"/>
      <c r="K2794" s="241"/>
      <c r="L2794" s="241"/>
      <c r="M2794" s="241"/>
      <c r="N2794" s="241"/>
      <c r="O2794" s="241"/>
      <c r="P2794" s="241"/>
      <c r="Q2794" s="241"/>
    </row>
    <row r="2795" spans="1:17" ht="13.5" customHeight="1" x14ac:dyDescent="0.3">
      <c r="A2795"/>
      <c r="B2795" s="241"/>
      <c r="C2795" s="241"/>
      <c r="D2795" s="241"/>
      <c r="E2795" s="241"/>
      <c r="F2795" s="241"/>
      <c r="G2795" s="241"/>
      <c r="H2795" s="241"/>
      <c r="I2795"/>
      <c r="J2795" s="241"/>
      <c r="K2795" s="241"/>
      <c r="L2795" s="241"/>
      <c r="M2795" s="241"/>
      <c r="N2795" s="241"/>
      <c r="O2795" s="241"/>
      <c r="P2795" s="241"/>
      <c r="Q2795" s="241"/>
    </row>
    <row r="2796" spans="1:17" ht="13.5" customHeight="1" x14ac:dyDescent="0.3">
      <c r="A2796"/>
      <c r="B2796" s="241"/>
      <c r="C2796" s="241"/>
      <c r="D2796" s="241"/>
      <c r="E2796" s="241"/>
      <c r="F2796" s="241"/>
      <c r="G2796" s="241"/>
      <c r="H2796" s="241"/>
      <c r="I2796"/>
      <c r="J2796" s="241"/>
      <c r="K2796" s="241"/>
      <c r="L2796" s="241"/>
      <c r="M2796" s="241"/>
      <c r="N2796" s="241"/>
      <c r="O2796" s="241"/>
      <c r="P2796" s="241"/>
      <c r="Q2796" s="241"/>
    </row>
    <row r="2797" spans="1:17" ht="13.5" customHeight="1" x14ac:dyDescent="0.3">
      <c r="A2797"/>
      <c r="B2797" s="241"/>
      <c r="C2797" s="241"/>
      <c r="D2797" s="241"/>
      <c r="E2797" s="241"/>
      <c r="F2797" s="241"/>
      <c r="G2797" s="241"/>
      <c r="H2797" s="241"/>
      <c r="I2797"/>
      <c r="J2797" s="241"/>
      <c r="K2797" s="241"/>
      <c r="L2797" s="241"/>
      <c r="M2797" s="241"/>
      <c r="N2797" s="241"/>
      <c r="O2797" s="241"/>
      <c r="P2797" s="241"/>
      <c r="Q2797" s="241"/>
    </row>
    <row r="2798" spans="1:17" ht="13.5" customHeight="1" x14ac:dyDescent="0.3">
      <c r="A2798"/>
      <c r="B2798" s="241"/>
      <c r="C2798" s="241"/>
      <c r="D2798" s="241"/>
      <c r="E2798" s="241"/>
      <c r="F2798" s="241"/>
      <c r="G2798" s="241"/>
      <c r="H2798" s="241"/>
      <c r="I2798"/>
      <c r="J2798" s="241"/>
      <c r="K2798" s="241"/>
      <c r="L2798" s="241"/>
      <c r="M2798" s="241"/>
      <c r="N2798" s="241"/>
      <c r="O2798" s="241"/>
      <c r="P2798" s="241"/>
      <c r="Q2798" s="241"/>
    </row>
    <row r="2799" spans="1:17" ht="13.5" customHeight="1" x14ac:dyDescent="0.3">
      <c r="A2799"/>
      <c r="B2799" s="241"/>
      <c r="C2799" s="241"/>
      <c r="D2799" s="241"/>
      <c r="E2799" s="241"/>
      <c r="F2799" s="241"/>
      <c r="G2799" s="241"/>
      <c r="H2799" s="241"/>
      <c r="I2799"/>
      <c r="J2799" s="241"/>
      <c r="K2799" s="241"/>
      <c r="L2799" s="241"/>
      <c r="M2799" s="241"/>
      <c r="N2799" s="241"/>
      <c r="O2799" s="241"/>
      <c r="P2799" s="241"/>
      <c r="Q2799" s="241"/>
    </row>
    <row r="2800" spans="1:17" ht="13.5" customHeight="1" x14ac:dyDescent="0.3">
      <c r="A2800"/>
      <c r="B2800" s="241"/>
      <c r="C2800" s="241"/>
      <c r="D2800" s="241"/>
      <c r="E2800" s="241"/>
      <c r="F2800" s="241"/>
      <c r="G2800" s="241"/>
      <c r="H2800" s="241"/>
      <c r="I2800"/>
      <c r="J2800" s="241"/>
      <c r="K2800" s="241"/>
      <c r="L2800" s="241"/>
      <c r="M2800" s="241"/>
      <c r="N2800" s="241"/>
      <c r="O2800" s="241"/>
      <c r="P2800" s="241"/>
      <c r="Q2800" s="241"/>
    </row>
    <row r="2801" spans="1:17" ht="13.5" customHeight="1" x14ac:dyDescent="0.3">
      <c r="A2801"/>
      <c r="B2801" s="241"/>
      <c r="C2801" s="241"/>
      <c r="D2801" s="241"/>
      <c r="E2801" s="241"/>
      <c r="F2801" s="241"/>
      <c r="G2801" s="241"/>
      <c r="H2801" s="241"/>
      <c r="I2801"/>
      <c r="J2801" s="241"/>
      <c r="K2801" s="241"/>
      <c r="L2801" s="241"/>
      <c r="M2801" s="241"/>
      <c r="N2801" s="241"/>
      <c r="O2801" s="241"/>
      <c r="P2801" s="241"/>
      <c r="Q2801" s="241"/>
    </row>
    <row r="2802" spans="1:17" ht="13.5" customHeight="1" x14ac:dyDescent="0.3">
      <c r="A2802"/>
      <c r="B2802" s="241"/>
      <c r="C2802" s="241"/>
      <c r="D2802" s="241"/>
      <c r="E2802" s="241"/>
      <c r="F2802" s="241"/>
      <c r="G2802" s="241"/>
      <c r="H2802" s="241"/>
      <c r="I2802"/>
      <c r="J2802" s="241"/>
      <c r="K2802" s="241"/>
      <c r="L2802" s="241"/>
      <c r="M2802" s="241"/>
      <c r="N2802" s="241"/>
      <c r="O2802" s="241"/>
      <c r="P2802" s="241"/>
      <c r="Q2802" s="241"/>
    </row>
    <row r="2803" spans="1:17" ht="13.5" customHeight="1" x14ac:dyDescent="0.3">
      <c r="A2803"/>
      <c r="B2803" s="241"/>
      <c r="C2803" s="241"/>
      <c r="D2803" s="241"/>
      <c r="E2803" s="241"/>
      <c r="F2803" s="241"/>
      <c r="G2803" s="241"/>
      <c r="H2803" s="241"/>
      <c r="I2803"/>
      <c r="J2803" s="241"/>
      <c r="K2803" s="241"/>
      <c r="L2803" s="241"/>
      <c r="M2803" s="241"/>
      <c r="N2803" s="241"/>
      <c r="O2803" s="241"/>
      <c r="P2803" s="241"/>
      <c r="Q2803" s="241"/>
    </row>
    <row r="2804" spans="1:17" ht="13.5" customHeight="1" x14ac:dyDescent="0.3">
      <c r="A2804"/>
      <c r="B2804" s="241"/>
      <c r="C2804" s="241"/>
      <c r="D2804" s="241"/>
      <c r="E2804" s="241"/>
      <c r="F2804" s="241"/>
      <c r="G2804" s="241"/>
      <c r="H2804" s="241"/>
      <c r="I2804"/>
      <c r="J2804" s="241"/>
      <c r="K2804" s="241"/>
      <c r="L2804" s="241"/>
      <c r="M2804" s="241"/>
      <c r="N2804" s="241"/>
      <c r="O2804" s="241"/>
      <c r="P2804" s="241"/>
      <c r="Q2804" s="241"/>
    </row>
    <row r="2805" spans="1:17" ht="13.5" customHeight="1" x14ac:dyDescent="0.3">
      <c r="A2805"/>
      <c r="B2805" s="241"/>
      <c r="C2805" s="241"/>
      <c r="D2805" s="241"/>
      <c r="E2805" s="241"/>
      <c r="F2805" s="241"/>
      <c r="G2805" s="241"/>
      <c r="H2805" s="241"/>
      <c r="I2805"/>
      <c r="J2805" s="241"/>
      <c r="K2805" s="241"/>
      <c r="L2805" s="241"/>
      <c r="M2805" s="241"/>
      <c r="N2805" s="241"/>
      <c r="O2805" s="241"/>
      <c r="P2805" s="241"/>
      <c r="Q2805" s="241"/>
    </row>
    <row r="2806" spans="1:17" ht="13.5" customHeight="1" x14ac:dyDescent="0.3">
      <c r="A2806"/>
      <c r="B2806" s="241"/>
      <c r="C2806" s="241"/>
      <c r="D2806" s="241"/>
      <c r="E2806" s="241"/>
      <c r="F2806" s="241"/>
      <c r="G2806" s="241"/>
      <c r="H2806" s="241"/>
      <c r="I2806"/>
      <c r="J2806" s="241"/>
      <c r="K2806" s="241"/>
      <c r="L2806" s="241"/>
      <c r="M2806" s="241"/>
      <c r="N2806" s="241"/>
      <c r="O2806" s="241"/>
      <c r="P2806" s="241"/>
      <c r="Q2806" s="241"/>
    </row>
    <row r="2807" spans="1:17" ht="13.5" customHeight="1" x14ac:dyDescent="0.3">
      <c r="A2807"/>
      <c r="B2807" s="241"/>
      <c r="C2807" s="241"/>
      <c r="D2807" s="241"/>
      <c r="E2807" s="241"/>
      <c r="F2807" s="241"/>
      <c r="G2807" s="241"/>
      <c r="H2807" s="241"/>
      <c r="I2807"/>
      <c r="J2807" s="241"/>
      <c r="K2807" s="241"/>
      <c r="L2807" s="241"/>
      <c r="M2807" s="241"/>
      <c r="N2807" s="241"/>
      <c r="O2807" s="241"/>
      <c r="P2807" s="241"/>
      <c r="Q2807" s="241"/>
    </row>
    <row r="2808" spans="1:17" ht="13.5" customHeight="1" x14ac:dyDescent="0.3">
      <c r="A2808"/>
      <c r="B2808" s="241"/>
      <c r="C2808" s="241"/>
      <c r="D2808" s="241"/>
      <c r="E2808" s="241"/>
      <c r="F2808" s="241"/>
      <c r="G2808" s="241"/>
      <c r="H2808" s="241"/>
      <c r="I2808"/>
      <c r="J2808" s="241"/>
      <c r="K2808" s="241"/>
      <c r="L2808" s="241"/>
      <c r="M2808" s="241"/>
      <c r="N2808" s="241"/>
      <c r="O2808" s="241"/>
      <c r="P2808" s="241"/>
      <c r="Q2808" s="241"/>
    </row>
    <row r="2809" spans="1:17" ht="13.5" customHeight="1" x14ac:dyDescent="0.3">
      <c r="A2809"/>
      <c r="B2809" s="241"/>
      <c r="C2809" s="241"/>
      <c r="D2809" s="241"/>
      <c r="E2809" s="241"/>
      <c r="F2809" s="241"/>
      <c r="G2809" s="241"/>
      <c r="H2809" s="241"/>
      <c r="I2809"/>
      <c r="J2809" s="241"/>
      <c r="K2809" s="241"/>
      <c r="L2809" s="241"/>
      <c r="M2809" s="241"/>
      <c r="N2809" s="241"/>
      <c r="O2809" s="241"/>
      <c r="P2809" s="241"/>
      <c r="Q2809" s="241"/>
    </row>
    <row r="2810" spans="1:17" ht="13.5" customHeight="1" x14ac:dyDescent="0.3">
      <c r="A2810"/>
      <c r="B2810" s="241"/>
      <c r="C2810" s="241"/>
      <c r="D2810" s="241"/>
      <c r="E2810" s="241"/>
      <c r="F2810" s="241"/>
      <c r="G2810" s="241"/>
      <c r="H2810" s="241"/>
      <c r="I2810"/>
      <c r="J2810" s="241"/>
      <c r="K2810" s="241"/>
      <c r="L2810" s="241"/>
      <c r="M2810" s="241"/>
      <c r="N2810" s="241"/>
      <c r="O2810" s="241"/>
      <c r="P2810" s="241"/>
      <c r="Q2810" s="241"/>
    </row>
    <row r="2811" spans="1:17" ht="13.5" customHeight="1" x14ac:dyDescent="0.3">
      <c r="A2811"/>
      <c r="B2811" s="241"/>
      <c r="C2811" s="241"/>
      <c r="D2811" s="241"/>
      <c r="E2811" s="241"/>
      <c r="F2811" s="241"/>
      <c r="G2811" s="241"/>
      <c r="H2811" s="241"/>
      <c r="I2811"/>
      <c r="J2811" s="241"/>
      <c r="K2811" s="241"/>
      <c r="L2811" s="241"/>
      <c r="M2811" s="241"/>
      <c r="N2811" s="241"/>
      <c r="O2811" s="241"/>
      <c r="P2811" s="241"/>
      <c r="Q2811" s="241"/>
    </row>
    <row r="2812" spans="1:17" ht="13.5" customHeight="1" x14ac:dyDescent="0.3">
      <c r="A2812"/>
      <c r="B2812" s="241"/>
      <c r="C2812" s="241"/>
      <c r="D2812" s="241"/>
      <c r="E2812" s="241"/>
      <c r="F2812" s="241"/>
      <c r="G2812" s="241"/>
      <c r="H2812" s="241"/>
      <c r="I2812"/>
      <c r="J2812" s="241"/>
      <c r="K2812" s="241"/>
      <c r="L2812" s="241"/>
      <c r="M2812" s="241"/>
      <c r="N2812" s="241"/>
      <c r="O2812" s="241"/>
      <c r="P2812" s="241"/>
      <c r="Q2812" s="241"/>
    </row>
    <row r="2813" spans="1:17" ht="13.5" customHeight="1" x14ac:dyDescent="0.3">
      <c r="A2813"/>
      <c r="B2813" s="241"/>
      <c r="C2813" s="241"/>
      <c r="D2813" s="241"/>
      <c r="E2813" s="241"/>
      <c r="F2813" s="241"/>
      <c r="G2813" s="241"/>
      <c r="H2813" s="241"/>
      <c r="I2813"/>
      <c r="J2813" s="241"/>
      <c r="K2813" s="241"/>
      <c r="L2813" s="241"/>
      <c r="M2813" s="241"/>
      <c r="N2813" s="241"/>
      <c r="O2813" s="241"/>
      <c r="P2813" s="241"/>
      <c r="Q2813" s="241"/>
    </row>
    <row r="2814" spans="1:17" ht="13.5" customHeight="1" x14ac:dyDescent="0.3">
      <c r="A2814"/>
      <c r="B2814" s="241"/>
      <c r="C2814" s="241"/>
      <c r="D2814" s="241"/>
      <c r="E2814" s="241"/>
      <c r="F2814" s="241"/>
      <c r="G2814" s="241"/>
      <c r="H2814" s="241"/>
      <c r="I2814"/>
      <c r="J2814" s="241"/>
      <c r="K2814" s="241"/>
      <c r="L2814" s="241"/>
      <c r="M2814" s="241"/>
      <c r="N2814" s="241"/>
      <c r="O2814" s="241"/>
      <c r="P2814" s="241"/>
      <c r="Q2814" s="241"/>
    </row>
    <row r="2815" spans="1:17" ht="13.5" customHeight="1" x14ac:dyDescent="0.3">
      <c r="A2815"/>
      <c r="B2815" s="241"/>
      <c r="C2815" s="241"/>
      <c r="D2815" s="241"/>
      <c r="E2815" s="241"/>
      <c r="F2815" s="241"/>
      <c r="G2815" s="241"/>
      <c r="H2815" s="241"/>
      <c r="I2815"/>
      <c r="J2815" s="241"/>
      <c r="K2815" s="241"/>
      <c r="L2815" s="241"/>
      <c r="M2815" s="241"/>
      <c r="N2815" s="241"/>
      <c r="O2815" s="241"/>
      <c r="P2815" s="241"/>
      <c r="Q2815" s="241"/>
    </row>
    <row r="2816" spans="1:17" ht="13.5" customHeight="1" x14ac:dyDescent="0.3">
      <c r="A2816"/>
      <c r="B2816" s="241"/>
      <c r="C2816" s="241"/>
      <c r="D2816" s="241"/>
      <c r="E2816" s="241"/>
      <c r="F2816" s="241"/>
      <c r="G2816" s="241"/>
      <c r="H2816" s="241"/>
      <c r="I2816"/>
      <c r="J2816" s="241"/>
      <c r="K2816" s="241"/>
      <c r="L2816" s="241"/>
      <c r="M2816" s="241"/>
      <c r="N2816" s="241"/>
      <c r="O2816" s="241"/>
      <c r="P2816" s="241"/>
      <c r="Q2816" s="241"/>
    </row>
    <row r="2817" spans="1:17" ht="13.5" customHeight="1" x14ac:dyDescent="0.3">
      <c r="A2817"/>
      <c r="B2817" s="241"/>
      <c r="C2817" s="241"/>
      <c r="D2817" s="241"/>
      <c r="E2817" s="241"/>
      <c r="F2817" s="241"/>
      <c r="G2817" s="241"/>
      <c r="H2817" s="241"/>
      <c r="I2817"/>
      <c r="J2817" s="241"/>
      <c r="K2817" s="241"/>
      <c r="L2817" s="241"/>
      <c r="M2817" s="241"/>
      <c r="N2817" s="241"/>
      <c r="O2817" s="241"/>
      <c r="P2817" s="241"/>
      <c r="Q2817" s="241"/>
    </row>
    <row r="2818" spans="1:17" ht="13.5" customHeight="1" x14ac:dyDescent="0.3">
      <c r="A2818"/>
      <c r="B2818" s="241"/>
      <c r="C2818" s="241"/>
      <c r="D2818" s="241"/>
      <c r="E2818" s="241"/>
      <c r="F2818" s="241"/>
      <c r="G2818" s="241"/>
      <c r="H2818" s="241"/>
      <c r="I2818"/>
      <c r="J2818" s="241"/>
      <c r="K2818" s="241"/>
      <c r="L2818" s="241"/>
      <c r="M2818" s="241"/>
      <c r="N2818" s="241"/>
      <c r="O2818" s="241"/>
      <c r="P2818" s="241"/>
      <c r="Q2818" s="241"/>
    </row>
    <row r="2819" spans="1:17" ht="13.5" customHeight="1" x14ac:dyDescent="0.3">
      <c r="A2819"/>
      <c r="B2819" s="241"/>
      <c r="C2819" s="241"/>
      <c r="D2819" s="241"/>
      <c r="E2819" s="241"/>
      <c r="F2819" s="241"/>
      <c r="G2819" s="241"/>
      <c r="H2819" s="241"/>
      <c r="I2819"/>
      <c r="J2819" s="241"/>
      <c r="K2819" s="241"/>
      <c r="L2819" s="241"/>
      <c r="M2819" s="241"/>
      <c r="N2819" s="241"/>
      <c r="O2819" s="241"/>
      <c r="P2819" s="241"/>
      <c r="Q2819" s="241"/>
    </row>
    <row r="2820" spans="1:17" ht="13.5" customHeight="1" x14ac:dyDescent="0.3">
      <c r="A2820"/>
      <c r="B2820" s="241"/>
      <c r="C2820" s="241"/>
      <c r="D2820" s="241"/>
      <c r="E2820" s="241"/>
      <c r="F2820" s="241"/>
      <c r="G2820" s="241"/>
      <c r="H2820" s="241"/>
      <c r="I2820"/>
      <c r="J2820" s="241"/>
      <c r="K2820" s="241"/>
      <c r="L2820" s="241"/>
      <c r="M2820" s="241"/>
      <c r="N2820" s="241"/>
      <c r="O2820" s="241"/>
      <c r="P2820" s="241"/>
      <c r="Q2820" s="241"/>
    </row>
    <row r="2821" spans="1:17" ht="13.5" customHeight="1" x14ac:dyDescent="0.3">
      <c r="A2821"/>
      <c r="B2821" s="241"/>
      <c r="C2821" s="241"/>
      <c r="D2821" s="241"/>
      <c r="E2821" s="241"/>
      <c r="F2821" s="241"/>
      <c r="G2821" s="241"/>
      <c r="H2821" s="241"/>
      <c r="I2821"/>
      <c r="J2821" s="241"/>
      <c r="K2821" s="241"/>
      <c r="L2821" s="241"/>
      <c r="M2821" s="241"/>
      <c r="N2821" s="241"/>
      <c r="O2821" s="241"/>
      <c r="P2821" s="241"/>
      <c r="Q2821" s="241"/>
    </row>
    <row r="2822" spans="1:17" ht="13.5" customHeight="1" x14ac:dyDescent="0.3">
      <c r="A2822"/>
      <c r="B2822" s="241"/>
      <c r="C2822" s="241"/>
      <c r="D2822" s="241"/>
      <c r="E2822" s="241"/>
      <c r="F2822" s="241"/>
      <c r="G2822" s="241"/>
      <c r="H2822" s="241"/>
      <c r="I2822"/>
      <c r="J2822" s="241"/>
      <c r="K2822" s="241"/>
      <c r="L2822" s="241"/>
      <c r="M2822" s="241"/>
      <c r="N2822" s="241"/>
      <c r="O2822" s="241"/>
      <c r="P2822" s="241"/>
      <c r="Q2822" s="241"/>
    </row>
    <row r="2823" spans="1:17" ht="13.5" customHeight="1" x14ac:dyDescent="0.3">
      <c r="A2823"/>
      <c r="B2823" s="241"/>
      <c r="C2823" s="241"/>
      <c r="D2823" s="241"/>
      <c r="E2823" s="241"/>
      <c r="F2823" s="241"/>
      <c r="G2823" s="241"/>
      <c r="H2823" s="241"/>
      <c r="I2823"/>
      <c r="J2823" s="241"/>
      <c r="K2823" s="241"/>
      <c r="L2823" s="241"/>
      <c r="M2823" s="241"/>
      <c r="N2823" s="241"/>
      <c r="O2823" s="241"/>
      <c r="P2823" s="241"/>
      <c r="Q2823" s="241"/>
    </row>
    <row r="2824" spans="1:17" ht="13.5" customHeight="1" x14ac:dyDescent="0.3">
      <c r="A2824"/>
      <c r="B2824" s="241"/>
      <c r="C2824" s="241"/>
      <c r="D2824" s="241"/>
      <c r="E2824" s="241"/>
      <c r="F2824" s="241"/>
      <c r="G2824" s="241"/>
      <c r="H2824" s="241"/>
      <c r="I2824"/>
      <c r="J2824" s="241"/>
      <c r="K2824" s="241"/>
      <c r="L2824" s="241"/>
      <c r="M2824" s="241"/>
      <c r="N2824" s="241"/>
      <c r="O2824" s="241"/>
      <c r="P2824" s="241"/>
      <c r="Q2824" s="241"/>
    </row>
    <row r="2825" spans="1:17" ht="13.5" customHeight="1" x14ac:dyDescent="0.3">
      <c r="A2825"/>
      <c r="B2825" s="241"/>
      <c r="C2825" s="241"/>
      <c r="D2825" s="241"/>
      <c r="E2825" s="241"/>
      <c r="F2825" s="241"/>
      <c r="G2825" s="241"/>
      <c r="H2825" s="241"/>
      <c r="I2825"/>
      <c r="J2825" s="241"/>
      <c r="K2825" s="241"/>
      <c r="L2825" s="241"/>
      <c r="M2825" s="241"/>
      <c r="N2825" s="241"/>
      <c r="O2825" s="241"/>
      <c r="P2825" s="241"/>
      <c r="Q2825" s="241"/>
    </row>
    <row r="2826" spans="1:17" ht="13.5" customHeight="1" x14ac:dyDescent="0.3">
      <c r="A2826"/>
      <c r="B2826" s="241"/>
      <c r="C2826" s="241"/>
      <c r="D2826" s="241"/>
      <c r="E2826" s="241"/>
      <c r="F2826" s="241"/>
      <c r="G2826" s="241"/>
      <c r="H2826" s="241"/>
      <c r="I2826"/>
      <c r="J2826" s="241"/>
      <c r="K2826" s="241"/>
      <c r="L2826" s="241"/>
      <c r="M2826" s="241"/>
      <c r="N2826" s="241"/>
      <c r="O2826" s="241"/>
      <c r="P2826" s="241"/>
      <c r="Q2826" s="241"/>
    </row>
    <row r="2827" spans="1:17" ht="13.5" customHeight="1" x14ac:dyDescent="0.3">
      <c r="A2827"/>
      <c r="B2827" s="241"/>
      <c r="C2827" s="241"/>
      <c r="D2827" s="241"/>
      <c r="E2827" s="241"/>
      <c r="F2827" s="241"/>
      <c r="G2827" s="241"/>
      <c r="H2827" s="241"/>
      <c r="I2827"/>
      <c r="J2827" s="241"/>
      <c r="K2827" s="241"/>
      <c r="L2827" s="241"/>
      <c r="M2827" s="241"/>
      <c r="N2827" s="241"/>
      <c r="O2827" s="241"/>
      <c r="P2827" s="241"/>
      <c r="Q2827" s="241"/>
    </row>
    <row r="2828" spans="1:17" ht="13.5" customHeight="1" x14ac:dyDescent="0.3">
      <c r="A2828"/>
      <c r="B2828" s="241"/>
      <c r="C2828" s="241"/>
      <c r="D2828" s="241"/>
      <c r="E2828" s="241"/>
      <c r="F2828" s="241"/>
      <c r="G2828" s="241"/>
      <c r="H2828" s="241"/>
      <c r="I2828"/>
      <c r="J2828" s="241"/>
      <c r="K2828" s="241"/>
      <c r="L2828" s="241"/>
      <c r="M2828" s="241"/>
      <c r="N2828" s="241"/>
      <c r="O2828" s="241"/>
      <c r="P2828" s="241"/>
      <c r="Q2828" s="241"/>
    </row>
    <row r="2829" spans="1:17" ht="13.5" customHeight="1" x14ac:dyDescent="0.3">
      <c r="A2829"/>
      <c r="B2829" s="241"/>
      <c r="C2829" s="241"/>
      <c r="D2829" s="241"/>
      <c r="E2829" s="241"/>
      <c r="F2829" s="241"/>
      <c r="G2829" s="241"/>
      <c r="H2829" s="241"/>
      <c r="I2829"/>
      <c r="J2829" s="241"/>
      <c r="K2829" s="241"/>
      <c r="L2829" s="241"/>
      <c r="M2829" s="241"/>
      <c r="N2829" s="241"/>
      <c r="O2829" s="241"/>
      <c r="P2829" s="241"/>
      <c r="Q2829" s="241"/>
    </row>
    <row r="2830" spans="1:17" ht="13.5" customHeight="1" x14ac:dyDescent="0.3">
      <c r="A2830"/>
      <c r="B2830" s="241"/>
      <c r="C2830" s="241"/>
      <c r="D2830" s="241"/>
      <c r="E2830" s="241"/>
      <c r="F2830" s="241"/>
      <c r="G2830" s="241"/>
      <c r="H2830" s="241"/>
      <c r="I2830"/>
      <c r="J2830" s="241"/>
      <c r="K2830" s="241"/>
      <c r="L2830" s="241"/>
      <c r="M2830" s="241"/>
      <c r="N2830" s="241"/>
      <c r="O2830" s="241"/>
      <c r="P2830" s="241"/>
      <c r="Q2830" s="241"/>
    </row>
    <row r="2831" spans="1:17" ht="13.5" customHeight="1" x14ac:dyDescent="0.3">
      <c r="A2831"/>
      <c r="B2831" s="241"/>
      <c r="C2831" s="241"/>
      <c r="D2831" s="241"/>
      <c r="E2831" s="241"/>
      <c r="F2831" s="241"/>
      <c r="G2831" s="241"/>
      <c r="H2831" s="241"/>
      <c r="I2831"/>
      <c r="J2831" s="241"/>
      <c r="K2831" s="241"/>
      <c r="L2831" s="241"/>
      <c r="M2831" s="241"/>
      <c r="N2831" s="241"/>
      <c r="O2831" s="241"/>
      <c r="P2831" s="241"/>
      <c r="Q2831" s="241"/>
    </row>
    <row r="2832" spans="1:17" ht="13.5" customHeight="1" x14ac:dyDescent="0.3">
      <c r="A2832"/>
      <c r="B2832" s="241"/>
      <c r="C2832" s="241"/>
      <c r="D2832" s="241"/>
      <c r="E2832" s="241"/>
      <c r="F2832" s="241"/>
      <c r="G2832" s="241"/>
      <c r="H2832" s="241"/>
      <c r="I2832"/>
      <c r="J2832" s="241"/>
      <c r="K2832" s="241"/>
      <c r="L2832" s="241"/>
      <c r="M2832" s="241"/>
      <c r="N2832" s="241"/>
      <c r="O2832" s="241"/>
      <c r="P2832" s="241"/>
      <c r="Q2832" s="241"/>
    </row>
    <row r="2833" spans="1:17" ht="13.5" customHeight="1" x14ac:dyDescent="0.3">
      <c r="A2833"/>
      <c r="B2833" s="241"/>
      <c r="C2833" s="241"/>
      <c r="D2833" s="241"/>
      <c r="E2833" s="241"/>
      <c r="F2833" s="241"/>
      <c r="G2833" s="241"/>
      <c r="H2833" s="241"/>
      <c r="I2833"/>
      <c r="J2833" s="241"/>
      <c r="K2833" s="241"/>
      <c r="L2833" s="241"/>
      <c r="M2833" s="241"/>
      <c r="N2833" s="241"/>
      <c r="O2833" s="241"/>
      <c r="P2833" s="241"/>
      <c r="Q2833" s="241"/>
    </row>
    <row r="2834" spans="1:17" ht="13.5" customHeight="1" x14ac:dyDescent="0.3">
      <c r="A2834"/>
      <c r="B2834" s="241"/>
      <c r="C2834" s="241"/>
      <c r="D2834" s="241"/>
      <c r="E2834" s="241"/>
      <c r="F2834" s="241"/>
      <c r="G2834" s="241"/>
      <c r="H2834" s="241"/>
      <c r="I2834"/>
      <c r="J2834" s="241"/>
      <c r="K2834" s="241"/>
      <c r="L2834" s="241"/>
      <c r="M2834" s="241"/>
      <c r="N2834" s="241"/>
      <c r="O2834" s="241"/>
      <c r="P2834" s="241"/>
      <c r="Q2834" s="241"/>
    </row>
    <row r="2835" spans="1:17" ht="13.5" customHeight="1" x14ac:dyDescent="0.3">
      <c r="A2835"/>
      <c r="B2835" s="241"/>
      <c r="C2835" s="241"/>
      <c r="D2835" s="241"/>
      <c r="E2835" s="241"/>
      <c r="F2835" s="241"/>
      <c r="G2835" s="241"/>
      <c r="H2835" s="241"/>
      <c r="I2835"/>
      <c r="J2835" s="241"/>
      <c r="K2835" s="241"/>
      <c r="L2835" s="241"/>
      <c r="M2835" s="241"/>
      <c r="N2835" s="241"/>
      <c r="O2835" s="241"/>
      <c r="P2835" s="241"/>
      <c r="Q2835" s="241"/>
    </row>
    <row r="2836" spans="1:17" ht="13.5" customHeight="1" x14ac:dyDescent="0.3">
      <c r="A2836"/>
      <c r="B2836" s="241"/>
      <c r="C2836" s="241"/>
      <c r="D2836" s="241"/>
      <c r="E2836" s="241"/>
      <c r="F2836" s="241"/>
      <c r="G2836" s="241"/>
      <c r="H2836" s="241"/>
      <c r="I2836"/>
      <c r="J2836" s="241"/>
      <c r="K2836" s="241"/>
      <c r="L2836" s="241"/>
      <c r="M2836" s="241"/>
      <c r="N2836" s="241"/>
      <c r="O2836" s="241"/>
      <c r="P2836" s="241"/>
      <c r="Q2836" s="241"/>
    </row>
    <row r="2837" spans="1:17" ht="13.5" customHeight="1" x14ac:dyDescent="0.3">
      <c r="A2837"/>
      <c r="B2837" s="241"/>
      <c r="C2837" s="241"/>
      <c r="D2837" s="241"/>
      <c r="E2837" s="241"/>
      <c r="F2837" s="241"/>
      <c r="G2837" s="241"/>
      <c r="H2837" s="241"/>
      <c r="I2837"/>
      <c r="J2837" s="241"/>
      <c r="K2837" s="241"/>
      <c r="L2837" s="241"/>
      <c r="M2837" s="241"/>
      <c r="N2837" s="241"/>
      <c r="O2837" s="241"/>
      <c r="P2837" s="241"/>
      <c r="Q2837" s="241"/>
    </row>
    <row r="2838" spans="1:17" ht="13.5" customHeight="1" x14ac:dyDescent="0.3">
      <c r="A2838"/>
      <c r="B2838" s="241"/>
      <c r="C2838" s="241"/>
      <c r="D2838" s="241"/>
      <c r="E2838" s="241"/>
      <c r="F2838" s="241"/>
      <c r="G2838" s="241"/>
      <c r="H2838" s="241"/>
      <c r="I2838"/>
      <c r="J2838" s="241"/>
      <c r="K2838" s="241"/>
      <c r="L2838" s="241"/>
      <c r="M2838" s="241"/>
      <c r="N2838" s="241"/>
      <c r="O2838" s="241"/>
      <c r="P2838" s="241"/>
      <c r="Q2838" s="241"/>
    </row>
    <row r="2839" spans="1:17" ht="13.5" customHeight="1" x14ac:dyDescent="0.3">
      <c r="A2839"/>
      <c r="B2839" s="241"/>
      <c r="C2839" s="241"/>
      <c r="D2839" s="241"/>
      <c r="E2839" s="241"/>
      <c r="F2839" s="241"/>
      <c r="G2839" s="241"/>
      <c r="H2839" s="241"/>
      <c r="I2839"/>
      <c r="J2839" s="241"/>
      <c r="K2839" s="241"/>
      <c r="L2839" s="241"/>
      <c r="M2839" s="241"/>
      <c r="N2839" s="241"/>
      <c r="O2839" s="241"/>
      <c r="P2839" s="241"/>
      <c r="Q2839" s="241"/>
    </row>
    <row r="2840" spans="1:17" ht="13.5" customHeight="1" x14ac:dyDescent="0.3">
      <c r="A2840"/>
      <c r="B2840" s="241"/>
      <c r="C2840" s="241"/>
      <c r="D2840" s="241"/>
      <c r="E2840" s="241"/>
      <c r="F2840" s="241"/>
      <c r="G2840" s="241"/>
      <c r="H2840" s="241"/>
      <c r="I2840"/>
      <c r="J2840" s="241"/>
      <c r="K2840" s="241"/>
      <c r="L2840" s="241"/>
      <c r="M2840" s="241"/>
      <c r="N2840" s="241"/>
      <c r="O2840" s="241"/>
      <c r="P2840" s="241"/>
      <c r="Q2840" s="241"/>
    </row>
    <row r="2841" spans="1:17" ht="13.5" customHeight="1" x14ac:dyDescent="0.3">
      <c r="A2841"/>
      <c r="B2841" s="241"/>
      <c r="C2841" s="241"/>
      <c r="D2841" s="241"/>
      <c r="E2841" s="241"/>
      <c r="F2841" s="241"/>
      <c r="G2841" s="241"/>
      <c r="H2841" s="241"/>
      <c r="I2841"/>
      <c r="J2841" s="241"/>
      <c r="K2841" s="241"/>
      <c r="L2841" s="241"/>
      <c r="M2841" s="241"/>
      <c r="N2841" s="241"/>
      <c r="O2841" s="241"/>
      <c r="P2841" s="241"/>
      <c r="Q2841" s="241"/>
    </row>
    <row r="2842" spans="1:17" ht="13.5" customHeight="1" x14ac:dyDescent="0.3">
      <c r="A2842"/>
      <c r="B2842" s="241"/>
      <c r="C2842" s="241"/>
      <c r="D2842" s="241"/>
      <c r="E2842" s="241"/>
      <c r="F2842" s="241"/>
      <c r="G2842" s="241"/>
      <c r="H2842" s="241"/>
      <c r="I2842"/>
      <c r="J2842" s="241"/>
      <c r="K2842" s="241"/>
      <c r="L2842" s="241"/>
      <c r="M2842" s="241"/>
      <c r="N2842" s="241"/>
      <c r="O2842" s="241"/>
      <c r="P2842" s="241"/>
      <c r="Q2842" s="241"/>
    </row>
    <row r="2843" spans="1:17" ht="13.5" customHeight="1" x14ac:dyDescent="0.3">
      <c r="A2843"/>
      <c r="B2843" s="241"/>
      <c r="C2843" s="241"/>
      <c r="D2843" s="241"/>
      <c r="E2843" s="241"/>
      <c r="F2843" s="241"/>
      <c r="G2843" s="241"/>
      <c r="H2843" s="241"/>
      <c r="I2843"/>
      <c r="J2843" s="241"/>
      <c r="K2843" s="241"/>
      <c r="L2843" s="241"/>
      <c r="M2843" s="241"/>
      <c r="N2843" s="241"/>
      <c r="O2843" s="241"/>
      <c r="P2843" s="241"/>
      <c r="Q2843" s="241"/>
    </row>
    <row r="2844" spans="1:17" ht="13.5" customHeight="1" x14ac:dyDescent="0.3">
      <c r="A2844"/>
      <c r="B2844" s="241"/>
      <c r="C2844" s="241"/>
      <c r="D2844" s="241"/>
      <c r="E2844" s="241"/>
      <c r="F2844" s="241"/>
      <c r="G2844" s="241"/>
      <c r="H2844" s="241"/>
      <c r="I2844"/>
      <c r="J2844" s="241"/>
      <c r="K2844" s="241"/>
      <c r="L2844" s="241"/>
      <c r="M2844" s="241"/>
      <c r="N2844" s="241"/>
      <c r="O2844" s="241"/>
      <c r="P2844" s="241"/>
      <c r="Q2844" s="241"/>
    </row>
    <row r="2845" spans="1:17" ht="13.5" customHeight="1" x14ac:dyDescent="0.3">
      <c r="A2845"/>
      <c r="B2845" s="241"/>
      <c r="C2845" s="241"/>
      <c r="D2845" s="241"/>
      <c r="E2845" s="241"/>
      <c r="F2845" s="241"/>
      <c r="G2845" s="241"/>
      <c r="H2845" s="241"/>
      <c r="I2845"/>
      <c r="J2845" s="241"/>
      <c r="K2845" s="241"/>
      <c r="L2845" s="241"/>
      <c r="M2845" s="241"/>
      <c r="N2845" s="241"/>
      <c r="O2845" s="241"/>
      <c r="P2845" s="241"/>
      <c r="Q2845" s="241"/>
    </row>
    <row r="2846" spans="1:17" ht="13.5" customHeight="1" x14ac:dyDescent="0.3">
      <c r="A2846"/>
      <c r="B2846" s="241"/>
      <c r="C2846" s="241"/>
      <c r="D2846" s="241"/>
      <c r="E2846" s="241"/>
      <c r="F2846" s="241"/>
      <c r="G2846" s="241"/>
      <c r="H2846" s="241"/>
      <c r="I2846"/>
      <c r="J2846" s="241"/>
      <c r="K2846" s="241"/>
      <c r="L2846" s="241"/>
      <c r="M2846" s="241"/>
      <c r="N2846" s="241"/>
      <c r="O2846" s="241"/>
      <c r="P2846" s="241"/>
      <c r="Q2846" s="241"/>
    </row>
    <row r="2847" spans="1:17" ht="13.5" customHeight="1" x14ac:dyDescent="0.3">
      <c r="A2847"/>
      <c r="B2847" s="241"/>
      <c r="C2847" s="241"/>
      <c r="D2847" s="241"/>
      <c r="E2847" s="241"/>
      <c r="F2847" s="241"/>
      <c r="G2847" s="241"/>
      <c r="H2847" s="241"/>
      <c r="I2847"/>
      <c r="J2847" s="241"/>
      <c r="K2847" s="241"/>
      <c r="L2847" s="241"/>
      <c r="M2847" s="241"/>
      <c r="N2847" s="241"/>
      <c r="O2847" s="241"/>
      <c r="P2847" s="241"/>
      <c r="Q2847" s="241"/>
    </row>
    <row r="2848" spans="1:17" ht="13.5" customHeight="1" x14ac:dyDescent="0.3">
      <c r="A2848"/>
      <c r="B2848" s="241"/>
      <c r="C2848" s="241"/>
      <c r="D2848" s="241"/>
      <c r="E2848" s="241"/>
      <c r="F2848" s="241"/>
      <c r="G2848" s="241"/>
      <c r="H2848" s="241"/>
      <c r="I2848"/>
      <c r="J2848" s="241"/>
      <c r="K2848" s="241"/>
      <c r="L2848" s="241"/>
      <c r="M2848" s="241"/>
      <c r="N2848" s="241"/>
      <c r="O2848" s="241"/>
      <c r="P2848" s="241"/>
      <c r="Q2848" s="241"/>
    </row>
    <row r="2849" spans="1:17" ht="13.5" customHeight="1" x14ac:dyDescent="0.3">
      <c r="A2849"/>
      <c r="B2849" s="241"/>
      <c r="C2849" s="241"/>
      <c r="D2849" s="241"/>
      <c r="E2849" s="241"/>
      <c r="F2849" s="241"/>
      <c r="G2849" s="241"/>
      <c r="H2849" s="241"/>
      <c r="I2849"/>
      <c r="J2849" s="241"/>
      <c r="K2849" s="241"/>
      <c r="L2849" s="241"/>
      <c r="M2849" s="241"/>
      <c r="N2849" s="241"/>
      <c r="O2849" s="241"/>
      <c r="P2849" s="241"/>
      <c r="Q2849" s="241"/>
    </row>
    <row r="2850" spans="1:17" ht="13.5" customHeight="1" x14ac:dyDescent="0.3">
      <c r="A2850"/>
      <c r="B2850" s="241"/>
      <c r="C2850" s="241"/>
      <c r="D2850" s="241"/>
      <c r="E2850" s="241"/>
      <c r="F2850" s="241"/>
      <c r="G2850" s="241"/>
      <c r="H2850" s="241"/>
      <c r="I2850"/>
      <c r="J2850" s="241"/>
      <c r="K2850" s="241"/>
      <c r="L2850" s="241"/>
      <c r="M2850" s="241"/>
      <c r="N2850" s="241"/>
      <c r="O2850" s="241"/>
      <c r="P2850" s="241"/>
      <c r="Q2850" s="241"/>
    </row>
    <row r="2851" spans="1:17" ht="13.5" customHeight="1" x14ac:dyDescent="0.3">
      <c r="A2851"/>
      <c r="B2851" s="241"/>
      <c r="C2851" s="241"/>
      <c r="D2851" s="241"/>
      <c r="E2851" s="241"/>
      <c r="F2851" s="241"/>
      <c r="G2851" s="241"/>
      <c r="H2851" s="241"/>
      <c r="I2851"/>
      <c r="J2851" s="241"/>
      <c r="K2851" s="241"/>
      <c r="L2851" s="241"/>
      <c r="M2851" s="241"/>
      <c r="N2851" s="241"/>
      <c r="O2851" s="241"/>
      <c r="P2851" s="241"/>
      <c r="Q2851" s="241"/>
    </row>
    <row r="2852" spans="1:17" ht="13.5" customHeight="1" x14ac:dyDescent="0.3">
      <c r="A2852"/>
      <c r="B2852" s="241"/>
      <c r="C2852" s="241"/>
      <c r="D2852" s="241"/>
      <c r="E2852" s="241"/>
      <c r="F2852" s="241"/>
      <c r="G2852" s="241"/>
      <c r="H2852" s="241"/>
      <c r="I2852"/>
      <c r="J2852" s="241"/>
      <c r="K2852" s="241"/>
      <c r="L2852" s="241"/>
      <c r="M2852" s="241"/>
      <c r="N2852" s="241"/>
      <c r="O2852" s="241"/>
      <c r="P2852" s="241"/>
      <c r="Q2852" s="241"/>
    </row>
    <row r="2853" spans="1:17" ht="13.5" customHeight="1" x14ac:dyDescent="0.3">
      <c r="A2853"/>
      <c r="B2853" s="241"/>
      <c r="C2853" s="241"/>
      <c r="D2853" s="241"/>
      <c r="E2853" s="241"/>
      <c r="F2853" s="241"/>
      <c r="G2853" s="241"/>
      <c r="H2853" s="241"/>
      <c r="I2853"/>
      <c r="J2853" s="241"/>
      <c r="K2853" s="241"/>
      <c r="L2853" s="241"/>
      <c r="M2853" s="241"/>
      <c r="N2853" s="241"/>
      <c r="O2853" s="241"/>
      <c r="P2853" s="241"/>
      <c r="Q2853" s="241"/>
    </row>
    <row r="2854" spans="1:17" ht="13.5" customHeight="1" x14ac:dyDescent="0.3">
      <c r="A2854"/>
      <c r="B2854" s="241"/>
      <c r="C2854" s="241"/>
      <c r="D2854" s="241"/>
      <c r="E2854" s="241"/>
      <c r="F2854" s="241"/>
      <c r="G2854" s="241"/>
      <c r="H2854" s="241"/>
      <c r="I2854"/>
      <c r="J2854" s="241"/>
      <c r="K2854" s="241"/>
      <c r="L2854" s="241"/>
      <c r="M2854" s="241"/>
      <c r="N2854" s="241"/>
      <c r="O2854" s="241"/>
      <c r="P2854" s="241"/>
      <c r="Q2854" s="241"/>
    </row>
    <row r="2855" spans="1:17" ht="13.5" customHeight="1" x14ac:dyDescent="0.3">
      <c r="A2855"/>
      <c r="B2855" s="241"/>
      <c r="C2855" s="241"/>
      <c r="D2855" s="241"/>
      <c r="E2855" s="241"/>
      <c r="F2855" s="241"/>
      <c r="G2855" s="241"/>
      <c r="H2855" s="241"/>
      <c r="I2855"/>
      <c r="J2855" s="241"/>
      <c r="K2855" s="241"/>
      <c r="L2855" s="241"/>
      <c r="M2855" s="241"/>
      <c r="N2855" s="241"/>
      <c r="O2855" s="241"/>
      <c r="P2855" s="241"/>
      <c r="Q2855" s="241"/>
    </row>
    <row r="2856" spans="1:17" ht="13.5" customHeight="1" x14ac:dyDescent="0.3">
      <c r="A2856"/>
      <c r="B2856" s="241"/>
      <c r="C2856" s="241"/>
      <c r="D2856" s="241"/>
      <c r="E2856" s="241"/>
      <c r="F2856" s="241"/>
      <c r="G2856" s="241"/>
      <c r="H2856" s="241"/>
      <c r="I2856"/>
      <c r="J2856" s="241"/>
      <c r="K2856" s="241"/>
      <c r="L2856" s="241"/>
      <c r="M2856" s="241"/>
      <c r="N2856" s="241"/>
      <c r="O2856" s="241"/>
      <c r="P2856" s="241"/>
      <c r="Q2856" s="241"/>
    </row>
    <row r="2857" spans="1:17" ht="13.5" customHeight="1" x14ac:dyDescent="0.3">
      <c r="A2857"/>
      <c r="B2857" s="241"/>
      <c r="C2857" s="241"/>
      <c r="D2857" s="241"/>
      <c r="E2857" s="241"/>
      <c r="F2857" s="241"/>
      <c r="G2857" s="241"/>
      <c r="H2857" s="241"/>
      <c r="I2857"/>
      <c r="J2857" s="241"/>
      <c r="K2857" s="241"/>
      <c r="L2857" s="241"/>
      <c r="M2857" s="241"/>
      <c r="N2857" s="241"/>
      <c r="O2857" s="241"/>
      <c r="P2857" s="241"/>
      <c r="Q2857" s="241"/>
    </row>
    <row r="2858" spans="1:17" ht="13.5" customHeight="1" x14ac:dyDescent="0.3">
      <c r="A2858"/>
      <c r="B2858" s="241"/>
      <c r="C2858" s="241"/>
      <c r="D2858" s="241"/>
      <c r="E2858" s="241"/>
      <c r="F2858" s="241"/>
      <c r="G2858" s="241"/>
      <c r="H2858" s="241"/>
      <c r="I2858"/>
      <c r="J2858" s="241"/>
      <c r="K2858" s="241"/>
      <c r="L2858" s="241"/>
      <c r="M2858" s="241"/>
      <c r="N2858" s="241"/>
      <c r="O2858" s="241"/>
      <c r="P2858" s="241"/>
      <c r="Q2858" s="241"/>
    </row>
    <row r="2859" spans="1:17" ht="13.5" customHeight="1" x14ac:dyDescent="0.3">
      <c r="A2859"/>
      <c r="B2859" s="241"/>
      <c r="C2859" s="241"/>
      <c r="D2859" s="241"/>
      <c r="E2859" s="241"/>
      <c r="F2859" s="241"/>
      <c r="G2859" s="241"/>
      <c r="H2859" s="241"/>
      <c r="I2859"/>
      <c r="J2859" s="241"/>
      <c r="K2859" s="241"/>
      <c r="L2859" s="241"/>
      <c r="M2859" s="241"/>
      <c r="N2859" s="241"/>
      <c r="O2859" s="241"/>
      <c r="P2859" s="241"/>
      <c r="Q2859" s="241"/>
    </row>
    <row r="2860" spans="1:17" ht="13.5" customHeight="1" x14ac:dyDescent="0.3">
      <c r="A2860"/>
      <c r="B2860" s="241"/>
      <c r="C2860" s="241"/>
      <c r="D2860" s="241"/>
      <c r="E2860" s="241"/>
      <c r="F2860" s="241"/>
      <c r="G2860" s="241"/>
      <c r="H2860" s="241"/>
      <c r="I2860"/>
      <c r="J2860" s="241"/>
      <c r="K2860" s="241"/>
      <c r="L2860" s="241"/>
      <c r="M2860" s="241"/>
      <c r="N2860" s="241"/>
      <c r="O2860" s="241"/>
      <c r="P2860" s="241"/>
      <c r="Q2860" s="241"/>
    </row>
    <row r="2861" spans="1:17" ht="13.5" customHeight="1" x14ac:dyDescent="0.3">
      <c r="A2861"/>
      <c r="B2861" s="241"/>
      <c r="C2861" s="241"/>
      <c r="D2861" s="241"/>
      <c r="E2861" s="241"/>
      <c r="F2861" s="241"/>
      <c r="G2861" s="241"/>
      <c r="H2861" s="241"/>
      <c r="I2861"/>
      <c r="J2861" s="241"/>
      <c r="K2861" s="241"/>
      <c r="L2861" s="241"/>
      <c r="M2861" s="241"/>
      <c r="N2861" s="241"/>
      <c r="O2861" s="241"/>
      <c r="P2861" s="241"/>
      <c r="Q2861" s="241"/>
    </row>
    <row r="2862" spans="1:17" ht="13.5" customHeight="1" x14ac:dyDescent="0.3">
      <c r="A2862"/>
      <c r="B2862" s="241"/>
      <c r="C2862" s="241"/>
      <c r="D2862" s="241"/>
      <c r="E2862" s="241"/>
      <c r="F2862" s="241"/>
      <c r="G2862" s="241"/>
      <c r="H2862" s="241"/>
      <c r="I2862"/>
      <c r="J2862" s="241"/>
      <c r="K2862" s="241"/>
      <c r="L2862" s="241"/>
      <c r="M2862" s="241"/>
      <c r="N2862" s="241"/>
      <c r="O2862" s="241"/>
      <c r="P2862" s="241"/>
      <c r="Q2862" s="241"/>
    </row>
    <row r="2863" spans="1:17" ht="13.5" customHeight="1" x14ac:dyDescent="0.3">
      <c r="A2863"/>
      <c r="B2863" s="241"/>
      <c r="C2863" s="241"/>
      <c r="D2863" s="241"/>
      <c r="E2863" s="241"/>
      <c r="F2863" s="241"/>
      <c r="G2863" s="241"/>
      <c r="H2863" s="241"/>
      <c r="I2863"/>
      <c r="J2863" s="241"/>
      <c r="K2863" s="241"/>
      <c r="L2863" s="241"/>
      <c r="M2863" s="241"/>
      <c r="N2863" s="241"/>
      <c r="O2863" s="241"/>
      <c r="P2863" s="241"/>
      <c r="Q2863" s="241"/>
    </row>
    <row r="2864" spans="1:17" ht="13.5" customHeight="1" x14ac:dyDescent="0.3">
      <c r="A2864"/>
      <c r="B2864" s="241"/>
      <c r="C2864" s="241"/>
      <c r="D2864" s="241"/>
      <c r="E2864" s="241"/>
      <c r="F2864" s="241"/>
      <c r="G2864" s="241"/>
      <c r="H2864" s="241"/>
      <c r="I2864"/>
      <c r="J2864" s="241"/>
      <c r="K2864" s="241"/>
      <c r="L2864" s="241"/>
      <c r="M2864" s="241"/>
      <c r="N2864" s="241"/>
      <c r="O2864" s="241"/>
      <c r="P2864" s="241"/>
      <c r="Q2864" s="241"/>
    </row>
    <row r="2865" spans="1:17" ht="13.5" customHeight="1" x14ac:dyDescent="0.3">
      <c r="A2865"/>
      <c r="B2865" s="241"/>
      <c r="C2865" s="241"/>
      <c r="D2865" s="241"/>
      <c r="E2865" s="241"/>
      <c r="F2865" s="241"/>
      <c r="G2865" s="241"/>
      <c r="H2865" s="241"/>
      <c r="I2865"/>
      <c r="J2865" s="241"/>
      <c r="K2865" s="241"/>
      <c r="L2865" s="241"/>
      <c r="M2865" s="241"/>
      <c r="N2865" s="241"/>
      <c r="O2865" s="241"/>
      <c r="P2865" s="241"/>
      <c r="Q2865" s="241"/>
    </row>
    <row r="2866" spans="1:17" ht="13.5" customHeight="1" x14ac:dyDescent="0.3">
      <c r="A2866"/>
      <c r="B2866" s="241"/>
      <c r="C2866" s="241"/>
      <c r="D2866" s="241"/>
      <c r="E2866" s="241"/>
      <c r="F2866" s="241"/>
      <c r="G2866" s="241"/>
      <c r="H2866" s="241"/>
      <c r="I2866"/>
      <c r="J2866" s="241"/>
      <c r="K2866" s="241"/>
      <c r="L2866" s="241"/>
      <c r="M2866" s="241"/>
      <c r="N2866" s="241"/>
      <c r="O2866" s="241"/>
      <c r="P2866" s="241"/>
      <c r="Q2866" s="241"/>
    </row>
    <row r="2867" spans="1:17" ht="13.5" customHeight="1" x14ac:dyDescent="0.3">
      <c r="A2867"/>
      <c r="B2867" s="241"/>
      <c r="C2867" s="241"/>
      <c r="D2867" s="241"/>
      <c r="E2867" s="241"/>
      <c r="F2867" s="241"/>
      <c r="G2867" s="241"/>
      <c r="H2867" s="241"/>
      <c r="I2867"/>
      <c r="J2867" s="241"/>
      <c r="K2867" s="241"/>
      <c r="L2867" s="241"/>
      <c r="M2867" s="241"/>
      <c r="N2867" s="241"/>
      <c r="O2867" s="241"/>
      <c r="P2867" s="241"/>
      <c r="Q2867" s="241"/>
    </row>
    <row r="2868" spans="1:17" ht="13.5" customHeight="1" x14ac:dyDescent="0.3">
      <c r="A2868"/>
      <c r="B2868" s="241"/>
      <c r="C2868" s="241"/>
      <c r="D2868" s="241"/>
      <c r="E2868" s="241"/>
      <c r="F2868" s="241"/>
      <c r="G2868" s="241"/>
      <c r="H2868" s="241"/>
      <c r="I2868"/>
      <c r="J2868" s="241"/>
      <c r="K2868" s="241"/>
      <c r="L2868" s="241"/>
      <c r="M2868" s="241"/>
      <c r="N2868" s="241"/>
      <c r="O2868" s="241"/>
      <c r="P2868" s="241"/>
      <c r="Q2868" s="241"/>
    </row>
    <row r="2869" spans="1:17" ht="13.5" customHeight="1" x14ac:dyDescent="0.3">
      <c r="A2869"/>
      <c r="B2869" s="241"/>
      <c r="C2869" s="241"/>
      <c r="D2869" s="241"/>
      <c r="E2869" s="241"/>
      <c r="F2869" s="241"/>
      <c r="G2869" s="241"/>
      <c r="H2869" s="241"/>
      <c r="I2869"/>
      <c r="J2869" s="241"/>
      <c r="K2869" s="241"/>
      <c r="L2869" s="241"/>
      <c r="M2869" s="241"/>
      <c r="N2869" s="241"/>
      <c r="O2869" s="241"/>
      <c r="P2869" s="241"/>
      <c r="Q2869" s="241"/>
    </row>
    <row r="2870" spans="1:17" ht="13.5" customHeight="1" x14ac:dyDescent="0.3">
      <c r="A2870"/>
      <c r="B2870" s="241"/>
      <c r="C2870" s="241"/>
      <c r="D2870" s="241"/>
      <c r="E2870" s="241"/>
      <c r="F2870" s="241"/>
      <c r="G2870" s="241"/>
      <c r="H2870" s="241"/>
      <c r="I2870"/>
      <c r="J2870" s="241"/>
      <c r="K2870" s="241"/>
      <c r="L2870" s="241"/>
      <c r="M2870" s="241"/>
      <c r="N2870" s="241"/>
      <c r="O2870" s="241"/>
      <c r="P2870" s="241"/>
      <c r="Q2870" s="241"/>
    </row>
    <row r="2871" spans="1:17" ht="13.5" customHeight="1" x14ac:dyDescent="0.3">
      <c r="A2871"/>
      <c r="B2871" s="241"/>
      <c r="C2871" s="241"/>
      <c r="D2871" s="241"/>
      <c r="E2871" s="241"/>
      <c r="F2871" s="241"/>
      <c r="G2871" s="241"/>
      <c r="H2871" s="241"/>
      <c r="I2871"/>
      <c r="J2871" s="241"/>
      <c r="K2871" s="241"/>
      <c r="L2871" s="241"/>
      <c r="M2871" s="241"/>
      <c r="N2871" s="241"/>
      <c r="O2871" s="241"/>
      <c r="P2871" s="241"/>
      <c r="Q2871" s="241"/>
    </row>
    <row r="2872" spans="1:17" ht="13.5" customHeight="1" x14ac:dyDescent="0.3">
      <c r="A2872"/>
      <c r="B2872" s="241"/>
      <c r="C2872" s="241"/>
      <c r="D2872" s="241"/>
      <c r="E2872" s="241"/>
      <c r="F2872" s="241"/>
      <c r="G2872" s="241"/>
      <c r="H2872" s="241"/>
      <c r="I2872"/>
      <c r="J2872" s="241"/>
      <c r="K2872" s="241"/>
      <c r="L2872" s="241"/>
      <c r="M2872" s="241"/>
      <c r="N2872" s="241"/>
      <c r="O2872" s="241"/>
      <c r="P2872" s="241"/>
      <c r="Q2872" s="241"/>
    </row>
    <row r="2873" spans="1:17" ht="13.5" customHeight="1" x14ac:dyDescent="0.3">
      <c r="A2873"/>
      <c r="B2873" s="241"/>
      <c r="C2873" s="241"/>
      <c r="D2873" s="241"/>
      <c r="E2873" s="241"/>
      <c r="F2873" s="241"/>
      <c r="G2873" s="241"/>
      <c r="H2873" s="241"/>
      <c r="I2873"/>
      <c r="J2873" s="241"/>
      <c r="K2873" s="241"/>
      <c r="L2873" s="241"/>
      <c r="M2873" s="241"/>
      <c r="N2873" s="241"/>
      <c r="O2873" s="241"/>
      <c r="P2873" s="241"/>
      <c r="Q2873" s="241"/>
    </row>
    <row r="2874" spans="1:17" ht="13.5" customHeight="1" x14ac:dyDescent="0.3">
      <c r="A2874"/>
      <c r="B2874" s="241"/>
      <c r="C2874" s="241"/>
      <c r="D2874" s="241"/>
      <c r="E2874" s="241"/>
      <c r="F2874" s="241"/>
      <c r="G2874" s="241"/>
      <c r="H2874" s="241"/>
      <c r="I2874"/>
      <c r="J2874" s="241"/>
      <c r="K2874" s="241"/>
      <c r="L2874" s="241"/>
      <c r="M2874" s="241"/>
      <c r="N2874" s="241"/>
      <c r="O2874" s="241"/>
      <c r="P2874" s="241"/>
      <c r="Q2874" s="241"/>
    </row>
    <row r="2875" spans="1:17" ht="13.5" customHeight="1" x14ac:dyDescent="0.3">
      <c r="A2875"/>
      <c r="B2875" s="241"/>
      <c r="C2875" s="241"/>
      <c r="D2875" s="241"/>
      <c r="E2875" s="241"/>
      <c r="F2875" s="241"/>
      <c r="G2875" s="241"/>
      <c r="H2875" s="241"/>
      <c r="I2875"/>
      <c r="J2875" s="241"/>
      <c r="K2875" s="241"/>
      <c r="L2875" s="241"/>
      <c r="M2875" s="241"/>
      <c r="N2875" s="241"/>
      <c r="O2875" s="241"/>
      <c r="P2875" s="241"/>
      <c r="Q2875" s="241"/>
    </row>
    <row r="2876" spans="1:17" ht="13.5" customHeight="1" x14ac:dyDescent="0.3">
      <c r="A2876"/>
      <c r="B2876" s="241"/>
      <c r="C2876" s="241"/>
      <c r="D2876" s="241"/>
      <c r="E2876" s="241"/>
      <c r="F2876" s="241"/>
      <c r="G2876" s="241"/>
      <c r="H2876" s="241"/>
      <c r="I2876"/>
      <c r="J2876" s="241"/>
      <c r="K2876" s="241"/>
      <c r="L2876" s="241"/>
      <c r="M2876" s="241"/>
      <c r="N2876" s="241"/>
      <c r="O2876" s="241"/>
      <c r="P2876" s="241"/>
      <c r="Q2876" s="241"/>
    </row>
    <row r="2877" spans="1:17" ht="13.5" customHeight="1" x14ac:dyDescent="0.3">
      <c r="A2877"/>
      <c r="B2877" s="241"/>
      <c r="C2877" s="241"/>
      <c r="D2877" s="241"/>
      <c r="E2877" s="241"/>
      <c r="F2877" s="241"/>
      <c r="G2877" s="241"/>
      <c r="H2877" s="241"/>
      <c r="I2877"/>
      <c r="J2877" s="241"/>
      <c r="K2877" s="241"/>
      <c r="L2877" s="241"/>
      <c r="M2877" s="241"/>
      <c r="N2877" s="241"/>
      <c r="O2877" s="241"/>
      <c r="P2877" s="241"/>
      <c r="Q2877" s="241"/>
    </row>
    <row r="2878" spans="1:17" ht="13.5" customHeight="1" x14ac:dyDescent="0.3">
      <c r="A2878"/>
      <c r="B2878" s="241"/>
      <c r="C2878" s="241"/>
      <c r="D2878" s="241"/>
      <c r="E2878" s="241"/>
      <c r="F2878" s="241"/>
      <c r="G2878" s="241"/>
      <c r="H2878" s="241"/>
      <c r="I2878"/>
      <c r="J2878" s="241"/>
      <c r="K2878" s="241"/>
      <c r="L2878" s="241"/>
      <c r="M2878" s="241"/>
      <c r="N2878" s="241"/>
      <c r="O2878" s="241"/>
      <c r="P2878" s="241"/>
      <c r="Q2878" s="241"/>
    </row>
    <row r="2879" spans="1:17" ht="13.5" customHeight="1" x14ac:dyDescent="0.3">
      <c r="A2879"/>
      <c r="B2879" s="241"/>
      <c r="C2879" s="241"/>
      <c r="D2879" s="241"/>
      <c r="E2879" s="241"/>
      <c r="F2879" s="241"/>
      <c r="G2879" s="241"/>
      <c r="H2879" s="241"/>
      <c r="I2879"/>
      <c r="J2879" s="241"/>
      <c r="K2879" s="241"/>
      <c r="L2879" s="241"/>
      <c r="M2879" s="241"/>
      <c r="N2879" s="241"/>
      <c r="O2879" s="241"/>
      <c r="P2879" s="241"/>
      <c r="Q2879" s="241"/>
    </row>
    <row r="2880" spans="1:17" ht="13.5" customHeight="1" x14ac:dyDescent="0.3">
      <c r="A2880"/>
      <c r="B2880" s="241"/>
      <c r="C2880" s="241"/>
      <c r="D2880" s="241"/>
      <c r="E2880" s="241"/>
      <c r="F2880" s="241"/>
      <c r="G2880" s="241"/>
      <c r="H2880" s="241"/>
      <c r="I2880"/>
      <c r="J2880" s="241"/>
      <c r="K2880" s="241"/>
      <c r="L2880" s="241"/>
      <c r="M2880" s="241"/>
      <c r="N2880" s="241"/>
      <c r="O2880" s="241"/>
      <c r="P2880" s="241"/>
      <c r="Q2880" s="241"/>
    </row>
    <row r="2881" spans="1:17" ht="13.5" customHeight="1" x14ac:dyDescent="0.3">
      <c r="A2881"/>
      <c r="B2881" s="241"/>
      <c r="C2881" s="241"/>
      <c r="D2881" s="241"/>
      <c r="E2881" s="241"/>
      <c r="F2881" s="241"/>
      <c r="G2881" s="241"/>
      <c r="H2881" s="241"/>
      <c r="I2881"/>
      <c r="J2881" s="241"/>
      <c r="K2881" s="241"/>
      <c r="L2881" s="241"/>
      <c r="M2881" s="241"/>
      <c r="N2881" s="241"/>
      <c r="O2881" s="241"/>
      <c r="P2881" s="241"/>
      <c r="Q2881" s="241"/>
    </row>
    <row r="2882" spans="1:17" ht="13.5" customHeight="1" x14ac:dyDescent="0.3">
      <c r="A2882"/>
      <c r="B2882" s="241"/>
      <c r="C2882" s="241"/>
      <c r="D2882" s="241"/>
      <c r="E2882" s="241"/>
      <c r="F2882" s="241"/>
      <c r="G2882" s="241"/>
      <c r="H2882" s="241"/>
      <c r="I2882"/>
      <c r="J2882" s="241"/>
      <c r="K2882" s="241"/>
      <c r="L2882" s="241"/>
      <c r="M2882" s="241"/>
      <c r="N2882" s="241"/>
      <c r="O2882" s="241"/>
      <c r="P2882" s="241"/>
      <c r="Q2882" s="241"/>
    </row>
    <row r="2883" spans="1:17" ht="13.5" customHeight="1" x14ac:dyDescent="0.3">
      <c r="A2883"/>
      <c r="B2883" s="241"/>
      <c r="C2883" s="241"/>
      <c r="D2883" s="241"/>
      <c r="E2883" s="241"/>
      <c r="F2883" s="241"/>
      <c r="G2883" s="241"/>
      <c r="H2883" s="241"/>
      <c r="I2883"/>
      <c r="J2883" s="241"/>
      <c r="K2883" s="241"/>
      <c r="L2883" s="241"/>
      <c r="M2883" s="241"/>
      <c r="N2883" s="241"/>
      <c r="O2883" s="241"/>
      <c r="P2883" s="241"/>
      <c r="Q2883" s="241"/>
    </row>
    <row r="2884" spans="1:17" ht="13.5" customHeight="1" x14ac:dyDescent="0.3">
      <c r="A2884"/>
      <c r="B2884" s="241"/>
      <c r="C2884" s="241"/>
      <c r="D2884" s="241"/>
      <c r="E2884" s="241"/>
      <c r="F2884" s="241"/>
      <c r="G2884" s="241"/>
      <c r="H2884" s="241"/>
      <c r="I2884"/>
      <c r="J2884" s="241"/>
      <c r="K2884" s="241"/>
      <c r="L2884" s="241"/>
      <c r="M2884" s="241"/>
      <c r="N2884" s="241"/>
      <c r="O2884" s="241"/>
      <c r="P2884" s="241"/>
      <c r="Q2884" s="241"/>
    </row>
    <row r="2885" spans="1:17" ht="13.5" customHeight="1" x14ac:dyDescent="0.3">
      <c r="A2885"/>
      <c r="B2885" s="241"/>
      <c r="C2885" s="241"/>
      <c r="D2885" s="241"/>
      <c r="E2885" s="241"/>
      <c r="F2885" s="241"/>
      <c r="G2885" s="241"/>
      <c r="H2885" s="241"/>
      <c r="I2885"/>
      <c r="J2885" s="241"/>
      <c r="K2885" s="241"/>
      <c r="L2885" s="241"/>
      <c r="M2885" s="241"/>
      <c r="N2885" s="241"/>
      <c r="O2885" s="241"/>
      <c r="P2885" s="241"/>
      <c r="Q2885" s="241"/>
    </row>
    <row r="2886" spans="1:17" ht="13.5" customHeight="1" x14ac:dyDescent="0.3">
      <c r="A2886"/>
      <c r="B2886" s="241"/>
      <c r="C2886" s="241"/>
      <c r="D2886" s="241"/>
      <c r="E2886" s="241"/>
      <c r="F2886" s="241"/>
      <c r="G2886" s="241"/>
      <c r="H2886" s="241"/>
      <c r="I2886"/>
      <c r="J2886" s="241"/>
      <c r="K2886" s="241"/>
      <c r="L2886" s="241"/>
      <c r="M2886" s="241"/>
      <c r="N2886" s="241"/>
      <c r="O2886" s="241"/>
      <c r="P2886" s="241"/>
      <c r="Q2886" s="241"/>
    </row>
    <row r="2887" spans="1:17" ht="13.5" customHeight="1" x14ac:dyDescent="0.3">
      <c r="A2887"/>
      <c r="B2887" s="241"/>
      <c r="C2887" s="241"/>
      <c r="D2887" s="241"/>
      <c r="E2887" s="241"/>
      <c r="F2887" s="241"/>
      <c r="G2887" s="241"/>
      <c r="H2887" s="241"/>
      <c r="I2887"/>
      <c r="J2887" s="241"/>
      <c r="K2887" s="241"/>
      <c r="L2887" s="241"/>
      <c r="M2887" s="241"/>
      <c r="N2887" s="241"/>
      <c r="O2887" s="241"/>
      <c r="P2887" s="241"/>
      <c r="Q2887" s="241"/>
    </row>
    <row r="2888" spans="1:17" ht="13.5" customHeight="1" x14ac:dyDescent="0.3">
      <c r="A2888"/>
      <c r="B2888" s="241"/>
      <c r="C2888" s="241"/>
      <c r="D2888" s="241"/>
      <c r="E2888" s="241"/>
      <c r="F2888" s="241"/>
      <c r="G2888" s="241"/>
      <c r="H2888" s="241"/>
      <c r="I2888"/>
      <c r="J2888" s="241"/>
      <c r="K2888" s="241"/>
      <c r="L2888" s="241"/>
      <c r="M2888" s="241"/>
      <c r="N2888" s="241"/>
      <c r="O2888" s="241"/>
      <c r="P2888" s="241"/>
      <c r="Q2888" s="241"/>
    </row>
    <row r="2889" spans="1:17" ht="13.5" customHeight="1" x14ac:dyDescent="0.3">
      <c r="A2889"/>
      <c r="B2889" s="241"/>
      <c r="C2889" s="241"/>
      <c r="D2889" s="241"/>
      <c r="E2889" s="241"/>
      <c r="F2889" s="241"/>
      <c r="G2889" s="241"/>
      <c r="H2889" s="241"/>
      <c r="I2889"/>
      <c r="J2889" s="241"/>
      <c r="K2889" s="241"/>
      <c r="L2889" s="241"/>
      <c r="M2889" s="241"/>
      <c r="N2889" s="241"/>
      <c r="O2889" s="241"/>
      <c r="P2889" s="241"/>
      <c r="Q2889" s="241"/>
    </row>
    <row r="2890" spans="1:17" ht="13.5" customHeight="1" x14ac:dyDescent="0.3">
      <c r="A2890"/>
      <c r="B2890" s="241"/>
      <c r="C2890" s="241"/>
      <c r="D2890" s="241"/>
      <c r="E2890" s="241"/>
      <c r="F2890" s="241"/>
      <c r="G2890" s="241"/>
      <c r="H2890" s="241"/>
      <c r="I2890"/>
      <c r="J2890" s="241"/>
      <c r="K2890" s="241"/>
      <c r="L2890" s="241"/>
      <c r="M2890" s="241"/>
      <c r="N2890" s="241"/>
      <c r="O2890" s="241"/>
      <c r="P2890" s="241"/>
      <c r="Q2890" s="241"/>
    </row>
    <row r="2891" spans="1:17" ht="13.5" customHeight="1" x14ac:dyDescent="0.3">
      <c r="A2891"/>
      <c r="B2891" s="241"/>
      <c r="C2891" s="241"/>
      <c r="D2891" s="241"/>
      <c r="E2891" s="241"/>
      <c r="F2891" s="241"/>
      <c r="G2891" s="241"/>
      <c r="H2891" s="241"/>
      <c r="I2891"/>
      <c r="J2891" s="241"/>
      <c r="K2891" s="241"/>
      <c r="L2891" s="241"/>
      <c r="M2891" s="241"/>
      <c r="N2891" s="241"/>
      <c r="O2891" s="241"/>
      <c r="P2891" s="241"/>
      <c r="Q2891" s="241"/>
    </row>
    <row r="2892" spans="1:17" ht="13.5" customHeight="1" x14ac:dyDescent="0.3">
      <c r="A2892"/>
      <c r="B2892" s="241"/>
      <c r="C2892" s="241"/>
      <c r="D2892" s="241"/>
      <c r="E2892" s="241"/>
      <c r="F2892" s="241"/>
      <c r="G2892" s="241"/>
      <c r="H2892" s="241"/>
      <c r="I2892"/>
      <c r="J2892" s="241"/>
      <c r="K2892" s="241"/>
      <c r="L2892" s="241"/>
      <c r="M2892" s="241"/>
      <c r="N2892" s="241"/>
      <c r="O2892" s="241"/>
      <c r="P2892" s="241"/>
      <c r="Q2892" s="241"/>
    </row>
    <row r="2893" spans="1:17" ht="13.5" customHeight="1" x14ac:dyDescent="0.3">
      <c r="A2893"/>
      <c r="B2893" s="241"/>
      <c r="C2893" s="241"/>
      <c r="D2893" s="241"/>
      <c r="E2893" s="241"/>
      <c r="F2893" s="241"/>
      <c r="G2893" s="241"/>
      <c r="H2893" s="241"/>
      <c r="I2893"/>
      <c r="J2893" s="241"/>
      <c r="K2893" s="241"/>
      <c r="L2893" s="241"/>
      <c r="M2893" s="241"/>
      <c r="N2893" s="241"/>
      <c r="O2893" s="241"/>
      <c r="P2893" s="241"/>
      <c r="Q2893" s="241"/>
    </row>
    <row r="2894" spans="1:17" ht="13.5" customHeight="1" x14ac:dyDescent="0.3">
      <c r="A2894"/>
      <c r="B2894" s="241"/>
      <c r="C2894" s="241"/>
      <c r="D2894" s="241"/>
      <c r="E2894" s="241"/>
      <c r="F2894" s="241"/>
      <c r="G2894" s="241"/>
      <c r="H2894" s="241"/>
      <c r="I2894"/>
      <c r="J2894" s="241"/>
      <c r="K2894" s="241"/>
      <c r="L2894" s="241"/>
      <c r="M2894" s="241"/>
      <c r="N2894" s="241"/>
      <c r="O2894" s="241"/>
      <c r="P2894" s="241"/>
      <c r="Q2894" s="241"/>
    </row>
    <row r="2895" spans="1:17" ht="13.5" customHeight="1" x14ac:dyDescent="0.3">
      <c r="A2895"/>
      <c r="B2895" s="241"/>
      <c r="C2895" s="241"/>
      <c r="D2895" s="241"/>
      <c r="E2895" s="241"/>
      <c r="F2895" s="241"/>
      <c r="G2895" s="241"/>
      <c r="H2895" s="241"/>
      <c r="I2895"/>
      <c r="J2895" s="241"/>
      <c r="K2895" s="241"/>
      <c r="L2895" s="241"/>
      <c r="M2895" s="241"/>
      <c r="N2895" s="241"/>
      <c r="O2895" s="241"/>
      <c r="P2895" s="241"/>
      <c r="Q2895" s="241"/>
    </row>
    <row r="2896" spans="1:17" ht="13.5" customHeight="1" x14ac:dyDescent="0.3">
      <c r="A2896"/>
      <c r="B2896" s="241"/>
      <c r="C2896" s="241"/>
      <c r="D2896" s="241"/>
      <c r="E2896" s="241"/>
      <c r="F2896" s="241"/>
      <c r="G2896" s="241"/>
      <c r="H2896" s="241"/>
      <c r="I2896"/>
      <c r="J2896" s="241"/>
      <c r="K2896" s="241"/>
      <c r="L2896" s="241"/>
      <c r="M2896" s="241"/>
      <c r="N2896" s="241"/>
      <c r="O2896" s="241"/>
      <c r="P2896" s="241"/>
      <c r="Q2896" s="241"/>
    </row>
    <row r="2897" spans="1:17" ht="13.5" customHeight="1" x14ac:dyDescent="0.3">
      <c r="A2897"/>
      <c r="B2897" s="241"/>
      <c r="C2897" s="241"/>
      <c r="D2897" s="241"/>
      <c r="E2897" s="241"/>
      <c r="F2897" s="241"/>
      <c r="G2897" s="241"/>
      <c r="H2897" s="241"/>
      <c r="I2897"/>
      <c r="J2897" s="241"/>
      <c r="K2897" s="241"/>
      <c r="L2897" s="241"/>
      <c r="M2897" s="241"/>
      <c r="N2897" s="241"/>
      <c r="O2897" s="241"/>
      <c r="P2897" s="241"/>
      <c r="Q2897" s="241"/>
    </row>
    <row r="2898" spans="1:17" ht="13.5" customHeight="1" x14ac:dyDescent="0.3">
      <c r="A2898"/>
      <c r="B2898" s="241"/>
      <c r="C2898" s="241"/>
      <c r="D2898" s="241"/>
      <c r="E2898" s="241"/>
      <c r="F2898" s="241"/>
      <c r="G2898" s="241"/>
      <c r="H2898" s="241"/>
      <c r="I2898"/>
      <c r="J2898" s="241"/>
      <c r="K2898" s="241"/>
      <c r="L2898" s="241"/>
      <c r="M2898" s="241"/>
      <c r="N2898" s="241"/>
      <c r="O2898" s="241"/>
      <c r="P2898" s="241"/>
      <c r="Q2898" s="241"/>
    </row>
    <row r="2899" spans="1:17" ht="13.5" customHeight="1" x14ac:dyDescent="0.3">
      <c r="A2899"/>
      <c r="B2899" s="241"/>
      <c r="C2899" s="241"/>
      <c r="D2899" s="241"/>
      <c r="E2899" s="241"/>
      <c r="F2899" s="241"/>
      <c r="G2899" s="241"/>
      <c r="H2899" s="241"/>
      <c r="I2899"/>
      <c r="J2899" s="241"/>
      <c r="K2899" s="241"/>
      <c r="L2899" s="241"/>
      <c r="M2899" s="241"/>
      <c r="N2899" s="241"/>
      <c r="O2899" s="241"/>
      <c r="P2899" s="241"/>
      <c r="Q2899" s="241"/>
    </row>
    <row r="2900" spans="1:17" ht="13.5" customHeight="1" x14ac:dyDescent="0.3">
      <c r="A2900"/>
      <c r="B2900" s="241"/>
      <c r="C2900" s="241"/>
      <c r="D2900" s="241"/>
      <c r="E2900" s="241"/>
      <c r="F2900" s="241"/>
      <c r="G2900" s="241"/>
      <c r="H2900" s="241"/>
      <c r="I2900"/>
      <c r="J2900" s="241"/>
      <c r="K2900" s="241"/>
      <c r="L2900" s="241"/>
      <c r="M2900" s="241"/>
      <c r="N2900" s="241"/>
      <c r="O2900" s="241"/>
      <c r="P2900" s="241"/>
      <c r="Q2900" s="241"/>
    </row>
    <row r="2901" spans="1:17" ht="13.5" customHeight="1" x14ac:dyDescent="0.3">
      <c r="A2901"/>
      <c r="B2901" s="241"/>
      <c r="C2901" s="241"/>
      <c r="D2901" s="241"/>
      <c r="E2901" s="241"/>
      <c r="F2901" s="241"/>
      <c r="G2901" s="241"/>
      <c r="H2901" s="241"/>
      <c r="I2901"/>
      <c r="J2901" s="241"/>
      <c r="K2901" s="241"/>
      <c r="L2901" s="241"/>
      <c r="M2901" s="241"/>
      <c r="N2901" s="241"/>
      <c r="O2901" s="241"/>
      <c r="P2901" s="241"/>
      <c r="Q2901" s="241"/>
    </row>
    <row r="2902" spans="1:17" ht="13.5" customHeight="1" x14ac:dyDescent="0.3">
      <c r="A2902"/>
      <c r="B2902" s="241"/>
      <c r="C2902" s="241"/>
      <c r="D2902" s="241"/>
      <c r="E2902" s="241"/>
      <c r="F2902" s="241"/>
      <c r="G2902" s="241"/>
      <c r="H2902" s="241"/>
      <c r="I2902"/>
      <c r="J2902" s="241"/>
      <c r="K2902" s="241"/>
      <c r="L2902" s="241"/>
      <c r="M2902" s="241"/>
      <c r="N2902" s="241"/>
      <c r="O2902" s="241"/>
      <c r="P2902" s="241"/>
      <c r="Q2902" s="241"/>
    </row>
    <row r="2903" spans="1:17" ht="13.5" customHeight="1" x14ac:dyDescent="0.3">
      <c r="A2903"/>
      <c r="B2903" s="241"/>
      <c r="C2903" s="241"/>
      <c r="D2903" s="241"/>
      <c r="E2903" s="241"/>
      <c r="F2903" s="241"/>
      <c r="G2903" s="241"/>
      <c r="H2903" s="241"/>
      <c r="I2903"/>
      <c r="J2903" s="241"/>
      <c r="K2903" s="241"/>
      <c r="L2903" s="241"/>
      <c r="M2903" s="241"/>
      <c r="N2903" s="241"/>
      <c r="O2903" s="241"/>
      <c r="P2903" s="241"/>
      <c r="Q2903" s="241"/>
    </row>
    <row r="2904" spans="1:17" ht="13.5" customHeight="1" x14ac:dyDescent="0.3">
      <c r="A2904"/>
      <c r="B2904" s="241"/>
      <c r="C2904" s="241"/>
      <c r="D2904" s="241"/>
      <c r="E2904" s="241"/>
      <c r="F2904" s="241"/>
      <c r="G2904" s="241"/>
      <c r="H2904" s="241"/>
      <c r="I2904"/>
      <c r="J2904" s="241"/>
      <c r="K2904" s="241"/>
      <c r="L2904" s="241"/>
      <c r="M2904" s="241"/>
      <c r="N2904" s="241"/>
      <c r="O2904" s="241"/>
      <c r="P2904" s="241"/>
      <c r="Q2904" s="241"/>
    </row>
    <row r="2905" spans="1:17" ht="13.5" customHeight="1" x14ac:dyDescent="0.3">
      <c r="A2905"/>
      <c r="B2905" s="241"/>
      <c r="C2905" s="241"/>
      <c r="D2905" s="241"/>
      <c r="E2905" s="241"/>
      <c r="F2905" s="241"/>
      <c r="G2905" s="241"/>
      <c r="H2905" s="241"/>
      <c r="I2905"/>
      <c r="J2905" s="241"/>
      <c r="K2905" s="241"/>
      <c r="L2905" s="241"/>
      <c r="M2905" s="241"/>
      <c r="N2905" s="241"/>
      <c r="O2905" s="241"/>
      <c r="P2905" s="241"/>
      <c r="Q2905" s="241"/>
    </row>
    <row r="2906" spans="1:17" ht="13.5" customHeight="1" x14ac:dyDescent="0.3">
      <c r="A2906"/>
      <c r="B2906" s="241"/>
      <c r="C2906" s="241"/>
      <c r="D2906" s="241"/>
      <c r="E2906" s="241"/>
      <c r="F2906" s="241"/>
      <c r="G2906" s="241"/>
      <c r="H2906" s="241"/>
      <c r="I2906"/>
      <c r="J2906" s="241"/>
      <c r="K2906" s="241"/>
      <c r="L2906" s="241"/>
      <c r="M2906" s="241"/>
      <c r="N2906" s="241"/>
      <c r="O2906" s="241"/>
      <c r="P2906" s="241"/>
      <c r="Q2906" s="241"/>
    </row>
    <row r="2907" spans="1:17" ht="13.5" customHeight="1" x14ac:dyDescent="0.3">
      <c r="A2907"/>
      <c r="B2907" s="241"/>
      <c r="C2907" s="241"/>
      <c r="D2907" s="241"/>
      <c r="E2907" s="241"/>
      <c r="F2907" s="241"/>
      <c r="G2907" s="241"/>
      <c r="H2907" s="241"/>
      <c r="I2907"/>
      <c r="J2907" s="241"/>
      <c r="K2907" s="241"/>
      <c r="L2907" s="241"/>
      <c r="M2907" s="241"/>
      <c r="N2907" s="241"/>
      <c r="O2907" s="241"/>
      <c r="P2907" s="241"/>
      <c r="Q2907" s="241"/>
    </row>
    <row r="2908" spans="1:17" ht="13.5" customHeight="1" x14ac:dyDescent="0.3">
      <c r="A2908"/>
      <c r="B2908" s="241"/>
      <c r="C2908" s="241"/>
      <c r="D2908" s="241"/>
      <c r="E2908" s="241"/>
      <c r="F2908" s="241"/>
      <c r="G2908" s="241"/>
      <c r="H2908" s="241"/>
      <c r="I2908"/>
      <c r="J2908" s="241"/>
      <c r="K2908" s="241"/>
      <c r="L2908" s="241"/>
      <c r="M2908" s="241"/>
      <c r="N2908" s="241"/>
      <c r="O2908" s="241"/>
      <c r="P2908" s="241"/>
      <c r="Q2908" s="241"/>
    </row>
    <row r="2909" spans="1:17" ht="13.5" customHeight="1" x14ac:dyDescent="0.3">
      <c r="A2909"/>
      <c r="B2909" s="241"/>
      <c r="C2909" s="241"/>
      <c r="D2909" s="241"/>
      <c r="E2909" s="241"/>
      <c r="F2909" s="241"/>
      <c r="G2909" s="241"/>
      <c r="H2909" s="241"/>
      <c r="I2909"/>
      <c r="J2909" s="241"/>
      <c r="K2909" s="241"/>
      <c r="L2909" s="241"/>
      <c r="M2909" s="241"/>
      <c r="N2909" s="241"/>
      <c r="O2909" s="241"/>
      <c r="P2909" s="241"/>
      <c r="Q2909" s="241"/>
    </row>
    <row r="2910" spans="1:17" ht="13.5" customHeight="1" x14ac:dyDescent="0.3">
      <c r="A2910"/>
      <c r="B2910" s="241"/>
      <c r="C2910" s="241"/>
      <c r="D2910" s="241"/>
      <c r="E2910" s="241"/>
      <c r="F2910" s="241"/>
      <c r="G2910" s="241"/>
      <c r="H2910" s="241"/>
      <c r="I2910"/>
      <c r="J2910" s="241"/>
      <c r="K2910" s="241"/>
      <c r="L2910" s="241"/>
      <c r="M2910" s="241"/>
      <c r="N2910" s="241"/>
      <c r="O2910" s="241"/>
      <c r="P2910" s="241"/>
      <c r="Q2910" s="241"/>
    </row>
    <row r="2911" spans="1:17" ht="13.5" customHeight="1" x14ac:dyDescent="0.3">
      <c r="A2911"/>
      <c r="B2911" s="241"/>
      <c r="C2911" s="241"/>
      <c r="D2911" s="241"/>
      <c r="E2911" s="241"/>
      <c r="F2911" s="241"/>
      <c r="G2911" s="241"/>
      <c r="H2911" s="241"/>
      <c r="I2911"/>
      <c r="J2911" s="241"/>
      <c r="K2911" s="241"/>
      <c r="L2911" s="241"/>
      <c r="M2911" s="241"/>
      <c r="N2911" s="241"/>
      <c r="O2911" s="241"/>
      <c r="P2911" s="241"/>
      <c r="Q2911" s="241"/>
    </row>
    <row r="2912" spans="1:17" ht="13.5" customHeight="1" x14ac:dyDescent="0.3">
      <c r="A2912"/>
      <c r="B2912" s="241"/>
      <c r="C2912" s="241"/>
      <c r="D2912" s="241"/>
      <c r="E2912" s="241"/>
      <c r="F2912" s="241"/>
      <c r="G2912" s="241"/>
      <c r="H2912" s="241"/>
      <c r="I2912"/>
      <c r="J2912" s="241"/>
      <c r="K2912" s="241"/>
      <c r="L2912" s="241"/>
      <c r="M2912" s="241"/>
      <c r="N2912" s="241"/>
      <c r="O2912" s="241"/>
      <c r="P2912" s="241"/>
      <c r="Q2912" s="241"/>
    </row>
    <row r="2913" spans="1:17" ht="13.5" customHeight="1" x14ac:dyDescent="0.3">
      <c r="A2913"/>
      <c r="B2913" s="241"/>
      <c r="C2913" s="241"/>
      <c r="D2913" s="241"/>
      <c r="E2913" s="241"/>
      <c r="F2913" s="241"/>
      <c r="G2913" s="241"/>
      <c r="H2913" s="241"/>
      <c r="I2913"/>
      <c r="J2913" s="241"/>
      <c r="K2913" s="241"/>
      <c r="L2913" s="241"/>
      <c r="M2913" s="241"/>
      <c r="N2913" s="241"/>
      <c r="O2913" s="241"/>
      <c r="P2913" s="241"/>
      <c r="Q2913" s="241"/>
    </row>
    <row r="2914" spans="1:17" ht="13.5" customHeight="1" x14ac:dyDescent="0.3">
      <c r="A2914"/>
      <c r="B2914" s="241"/>
      <c r="C2914" s="241"/>
      <c r="D2914" s="241"/>
      <c r="E2914" s="241"/>
      <c r="F2914" s="241"/>
      <c r="G2914" s="241"/>
      <c r="H2914" s="241"/>
      <c r="I2914"/>
      <c r="J2914" s="241"/>
      <c r="K2914" s="241"/>
      <c r="L2914" s="241"/>
      <c r="M2914" s="241"/>
      <c r="N2914" s="241"/>
      <c r="O2914" s="241"/>
      <c r="P2914" s="241"/>
      <c r="Q2914" s="241"/>
    </row>
    <row r="2915" spans="1:17" ht="13.5" customHeight="1" x14ac:dyDescent="0.3">
      <c r="A2915"/>
      <c r="B2915" s="241"/>
      <c r="C2915" s="241"/>
      <c r="D2915" s="241"/>
      <c r="E2915" s="241"/>
      <c r="F2915" s="241"/>
      <c r="G2915" s="241"/>
      <c r="H2915" s="241"/>
      <c r="I2915"/>
      <c r="J2915" s="241"/>
      <c r="K2915" s="241"/>
      <c r="L2915" s="241"/>
      <c r="M2915" s="241"/>
      <c r="N2915" s="241"/>
      <c r="O2915" s="241"/>
      <c r="P2915" s="241"/>
      <c r="Q2915" s="241"/>
    </row>
    <row r="2916" spans="1:17" ht="13.5" customHeight="1" x14ac:dyDescent="0.3">
      <c r="A2916"/>
      <c r="B2916" s="241"/>
      <c r="C2916" s="241"/>
      <c r="D2916" s="241"/>
      <c r="E2916" s="241"/>
      <c r="F2916" s="241"/>
      <c r="G2916" s="241"/>
      <c r="H2916" s="241"/>
      <c r="I2916"/>
      <c r="J2916" s="241"/>
      <c r="K2916" s="241"/>
      <c r="L2916" s="241"/>
      <c r="M2916" s="241"/>
      <c r="N2916" s="241"/>
      <c r="O2916" s="241"/>
      <c r="P2916" s="241"/>
      <c r="Q2916" s="241"/>
    </row>
    <row r="2917" spans="1:17" ht="13.5" customHeight="1" x14ac:dyDescent="0.3">
      <c r="A2917"/>
      <c r="B2917" s="241"/>
      <c r="C2917" s="241"/>
      <c r="D2917" s="241"/>
      <c r="E2917" s="241"/>
      <c r="F2917" s="241"/>
      <c r="G2917" s="241"/>
      <c r="H2917" s="241"/>
      <c r="I2917"/>
      <c r="J2917" s="241"/>
      <c r="K2917" s="241"/>
      <c r="L2917" s="241"/>
      <c r="M2917" s="241"/>
      <c r="N2917" s="241"/>
      <c r="O2917" s="241"/>
      <c r="P2917" s="241"/>
      <c r="Q2917" s="241"/>
    </row>
    <row r="2918" spans="1:17" ht="13.5" customHeight="1" x14ac:dyDescent="0.3">
      <c r="A2918"/>
      <c r="B2918" s="241"/>
      <c r="C2918" s="241"/>
      <c r="D2918" s="241"/>
      <c r="E2918" s="241"/>
      <c r="F2918" s="241"/>
      <c r="G2918" s="241"/>
      <c r="H2918" s="241"/>
      <c r="I2918"/>
      <c r="J2918" s="241"/>
      <c r="K2918" s="241"/>
      <c r="L2918" s="241"/>
      <c r="M2918" s="241"/>
      <c r="N2918" s="241"/>
      <c r="O2918" s="241"/>
      <c r="P2918" s="241"/>
      <c r="Q2918" s="241"/>
    </row>
    <row r="2919" spans="1:17" ht="13.5" customHeight="1" x14ac:dyDescent="0.3">
      <c r="A2919"/>
      <c r="B2919" s="241"/>
      <c r="C2919" s="241"/>
      <c r="D2919" s="241"/>
      <c r="E2919" s="241"/>
      <c r="F2919" s="241"/>
      <c r="G2919" s="241"/>
      <c r="H2919" s="241"/>
      <c r="I2919"/>
      <c r="J2919" s="241"/>
      <c r="K2919" s="241"/>
      <c r="L2919" s="241"/>
      <c r="M2919" s="241"/>
      <c r="N2919" s="241"/>
      <c r="O2919" s="241"/>
      <c r="P2919" s="241"/>
      <c r="Q2919" s="241"/>
    </row>
    <row r="2920" spans="1:17" ht="13.5" customHeight="1" x14ac:dyDescent="0.3">
      <c r="A2920"/>
      <c r="B2920" s="241"/>
      <c r="C2920" s="241"/>
      <c r="D2920" s="241"/>
      <c r="E2920" s="241"/>
      <c r="F2920" s="241"/>
      <c r="G2920" s="241"/>
      <c r="H2920" s="241"/>
      <c r="I2920"/>
      <c r="J2920" s="241"/>
      <c r="K2920" s="241"/>
      <c r="L2920" s="241"/>
      <c r="M2920" s="241"/>
      <c r="N2920" s="241"/>
      <c r="O2920" s="241"/>
      <c r="P2920" s="241"/>
      <c r="Q2920" s="241"/>
    </row>
    <row r="2921" spans="1:17" ht="13.5" customHeight="1" x14ac:dyDescent="0.3">
      <c r="A2921"/>
      <c r="B2921" s="241"/>
      <c r="C2921" s="241"/>
      <c r="D2921" s="241"/>
      <c r="E2921" s="241"/>
      <c r="F2921" s="241"/>
      <c r="G2921" s="241"/>
      <c r="H2921" s="241"/>
      <c r="I2921"/>
      <c r="J2921" s="241"/>
      <c r="K2921" s="241"/>
      <c r="L2921" s="241"/>
      <c r="M2921" s="241"/>
      <c r="N2921" s="241"/>
      <c r="O2921" s="241"/>
      <c r="P2921" s="241"/>
      <c r="Q2921" s="241"/>
    </row>
    <row r="2922" spans="1:17" ht="13.5" customHeight="1" x14ac:dyDescent="0.3">
      <c r="A2922"/>
      <c r="B2922" s="241"/>
      <c r="C2922" s="241"/>
      <c r="D2922" s="241"/>
      <c r="E2922" s="241"/>
      <c r="F2922" s="241"/>
      <c r="G2922" s="241"/>
      <c r="H2922" s="241"/>
      <c r="I2922"/>
      <c r="J2922" s="241"/>
      <c r="K2922" s="241"/>
      <c r="L2922" s="241"/>
      <c r="M2922" s="241"/>
      <c r="N2922" s="241"/>
      <c r="O2922" s="241"/>
      <c r="P2922" s="241"/>
      <c r="Q2922" s="241"/>
    </row>
    <row r="2923" spans="1:17" ht="13.5" customHeight="1" x14ac:dyDescent="0.3">
      <c r="A2923"/>
      <c r="B2923" s="241"/>
      <c r="C2923" s="241"/>
      <c r="D2923" s="241"/>
      <c r="E2923" s="241"/>
      <c r="F2923" s="241"/>
      <c r="G2923" s="241"/>
      <c r="H2923" s="241"/>
      <c r="I2923"/>
      <c r="J2923" s="241"/>
      <c r="K2923" s="241"/>
      <c r="L2923" s="241"/>
      <c r="M2923" s="241"/>
      <c r="N2923" s="241"/>
      <c r="O2923" s="241"/>
      <c r="P2923" s="241"/>
      <c r="Q2923" s="241"/>
    </row>
    <row r="2924" spans="1:17" ht="13.5" customHeight="1" x14ac:dyDescent="0.3">
      <c r="A2924"/>
      <c r="B2924" s="241"/>
      <c r="C2924" s="241"/>
      <c r="D2924" s="241"/>
      <c r="E2924" s="241"/>
      <c r="F2924" s="241"/>
      <c r="G2924" s="241"/>
      <c r="H2924" s="241"/>
      <c r="I2924"/>
      <c r="J2924" s="241"/>
      <c r="K2924" s="241"/>
      <c r="L2924" s="241"/>
      <c r="M2924" s="241"/>
      <c r="N2924" s="241"/>
      <c r="O2924" s="241"/>
      <c r="P2924" s="241"/>
      <c r="Q2924" s="241"/>
    </row>
    <row r="2925" spans="1:17" ht="13.5" customHeight="1" x14ac:dyDescent="0.3">
      <c r="A2925"/>
      <c r="B2925" s="241"/>
      <c r="C2925" s="241"/>
      <c r="D2925" s="241"/>
      <c r="E2925" s="241"/>
      <c r="F2925" s="241"/>
      <c r="G2925" s="241"/>
      <c r="H2925" s="241"/>
      <c r="I2925"/>
      <c r="J2925" s="241"/>
      <c r="K2925" s="241"/>
      <c r="L2925" s="241"/>
      <c r="M2925" s="241"/>
      <c r="N2925" s="241"/>
      <c r="O2925" s="241"/>
      <c r="P2925" s="241"/>
      <c r="Q2925" s="241"/>
    </row>
    <row r="2926" spans="1:17" ht="13.5" customHeight="1" x14ac:dyDescent="0.3">
      <c r="A2926"/>
      <c r="B2926" s="241"/>
      <c r="C2926" s="241"/>
      <c r="D2926" s="241"/>
      <c r="E2926" s="241"/>
      <c r="F2926" s="241"/>
      <c r="G2926" s="241"/>
      <c r="H2926" s="241"/>
      <c r="I2926"/>
      <c r="J2926" s="241"/>
      <c r="K2926" s="241"/>
      <c r="L2926" s="241"/>
      <c r="M2926" s="241"/>
      <c r="N2926" s="241"/>
      <c r="O2926" s="241"/>
      <c r="P2926" s="241"/>
      <c r="Q2926" s="241"/>
    </row>
    <row r="2927" spans="1:17" ht="13.5" customHeight="1" x14ac:dyDescent="0.3">
      <c r="A2927"/>
      <c r="B2927" s="241"/>
      <c r="C2927" s="241"/>
      <c r="D2927" s="241"/>
      <c r="E2927" s="241"/>
      <c r="F2927" s="241"/>
      <c r="G2927" s="241"/>
      <c r="H2927" s="241"/>
      <c r="I2927"/>
      <c r="J2927" s="241"/>
      <c r="K2927" s="241"/>
      <c r="L2927" s="241"/>
      <c r="M2927" s="241"/>
      <c r="N2927" s="241"/>
      <c r="O2927" s="241"/>
      <c r="P2927" s="241"/>
      <c r="Q2927" s="241"/>
    </row>
    <row r="2928" spans="1:17" ht="13.5" customHeight="1" x14ac:dyDescent="0.3">
      <c r="A2928"/>
      <c r="B2928" s="241"/>
      <c r="C2928" s="241"/>
      <c r="D2928" s="241"/>
      <c r="E2928" s="241"/>
      <c r="F2928" s="241"/>
      <c r="G2928" s="241"/>
      <c r="H2928" s="241"/>
      <c r="I2928"/>
      <c r="J2928" s="241"/>
      <c r="K2928" s="241"/>
      <c r="L2928" s="241"/>
      <c r="M2928" s="241"/>
      <c r="N2928" s="241"/>
      <c r="O2928" s="241"/>
      <c r="P2928" s="241"/>
      <c r="Q2928" s="241"/>
    </row>
    <row r="2929" spans="1:17" ht="13.5" customHeight="1" x14ac:dyDescent="0.3">
      <c r="A2929"/>
      <c r="B2929" s="241"/>
      <c r="C2929" s="241"/>
      <c r="D2929" s="241"/>
      <c r="E2929" s="241"/>
      <c r="F2929" s="241"/>
      <c r="G2929" s="241"/>
      <c r="H2929" s="241"/>
      <c r="I2929"/>
      <c r="J2929" s="241"/>
      <c r="K2929" s="241"/>
      <c r="L2929" s="241"/>
      <c r="M2929" s="241"/>
      <c r="N2929" s="241"/>
      <c r="O2929" s="241"/>
      <c r="P2929" s="241"/>
      <c r="Q2929" s="241"/>
    </row>
    <row r="2930" spans="1:17" ht="13.5" customHeight="1" x14ac:dyDescent="0.3">
      <c r="A2930"/>
      <c r="B2930" s="241"/>
      <c r="C2930" s="241"/>
      <c r="D2930" s="241"/>
      <c r="E2930" s="241"/>
      <c r="F2930" s="241"/>
      <c r="G2930" s="241"/>
      <c r="H2930" s="241"/>
      <c r="I2930"/>
      <c r="J2930" s="241"/>
      <c r="K2930" s="241"/>
      <c r="L2930" s="241"/>
      <c r="M2930" s="241"/>
      <c r="N2930" s="241"/>
      <c r="O2930" s="241"/>
      <c r="P2930" s="241"/>
      <c r="Q2930" s="241"/>
    </row>
    <row r="2931" spans="1:17" ht="13.5" customHeight="1" x14ac:dyDescent="0.3">
      <c r="A2931"/>
      <c r="B2931" s="241"/>
      <c r="C2931" s="241"/>
      <c r="D2931" s="241"/>
      <c r="E2931" s="241"/>
      <c r="F2931" s="241"/>
      <c r="G2931" s="241"/>
      <c r="H2931" s="241"/>
      <c r="I2931"/>
      <c r="J2931" s="241"/>
      <c r="K2931" s="241"/>
      <c r="L2931" s="241"/>
      <c r="M2931" s="241"/>
      <c r="N2931" s="241"/>
      <c r="O2931" s="241"/>
      <c r="P2931" s="241"/>
      <c r="Q2931" s="241"/>
    </row>
    <row r="2932" spans="1:17" ht="13.5" customHeight="1" x14ac:dyDescent="0.3">
      <c r="A2932"/>
      <c r="B2932" s="241"/>
      <c r="C2932" s="241"/>
      <c r="D2932" s="241"/>
      <c r="E2932" s="241"/>
      <c r="F2932" s="241"/>
      <c r="G2932" s="241"/>
      <c r="H2932" s="241"/>
      <c r="I2932"/>
      <c r="J2932" s="241"/>
      <c r="K2932" s="241"/>
      <c r="L2932" s="241"/>
      <c r="M2932" s="241"/>
      <c r="N2932" s="241"/>
      <c r="O2932" s="241"/>
      <c r="P2932" s="241"/>
      <c r="Q2932" s="241"/>
    </row>
    <row r="2933" spans="1:17" ht="13.5" customHeight="1" x14ac:dyDescent="0.3">
      <c r="A2933"/>
      <c r="B2933" s="241"/>
      <c r="C2933" s="241"/>
      <c r="D2933" s="241"/>
      <c r="E2933" s="241"/>
      <c r="F2933" s="241"/>
      <c r="G2933" s="241"/>
      <c r="H2933" s="241"/>
      <c r="I2933"/>
      <c r="J2933" s="241"/>
      <c r="K2933" s="241"/>
      <c r="L2933" s="241"/>
      <c r="M2933" s="241"/>
      <c r="N2933" s="241"/>
      <c r="O2933" s="241"/>
      <c r="P2933" s="241"/>
      <c r="Q2933" s="241"/>
    </row>
    <row r="2934" spans="1:17" ht="13.5" customHeight="1" x14ac:dyDescent="0.3">
      <c r="A2934"/>
      <c r="B2934" s="241"/>
      <c r="C2934" s="241"/>
      <c r="D2934" s="241"/>
      <c r="E2934" s="241"/>
      <c r="F2934" s="241"/>
      <c r="G2934" s="241"/>
      <c r="H2934" s="241"/>
      <c r="I2934"/>
      <c r="J2934" s="241"/>
      <c r="K2934" s="241"/>
      <c r="L2934" s="241"/>
      <c r="M2934" s="241"/>
      <c r="N2934" s="241"/>
      <c r="O2934" s="241"/>
      <c r="P2934" s="241"/>
      <c r="Q2934" s="241"/>
    </row>
    <row r="2935" spans="1:17" ht="13.5" customHeight="1" x14ac:dyDescent="0.3">
      <c r="A2935"/>
      <c r="B2935" s="241"/>
      <c r="C2935" s="241"/>
      <c r="D2935" s="241"/>
      <c r="E2935" s="241"/>
      <c r="F2935" s="241"/>
      <c r="G2935" s="241"/>
      <c r="H2935" s="241"/>
      <c r="I2935"/>
      <c r="J2935" s="241"/>
      <c r="K2935" s="241"/>
      <c r="L2935" s="241"/>
      <c r="M2935" s="241"/>
      <c r="N2935" s="241"/>
      <c r="O2935" s="241"/>
      <c r="P2935" s="241"/>
      <c r="Q2935" s="241"/>
    </row>
    <row r="2936" spans="1:17" ht="13.5" customHeight="1" x14ac:dyDescent="0.3">
      <c r="A2936"/>
      <c r="B2936" s="241"/>
      <c r="C2936" s="241"/>
      <c r="D2936" s="241"/>
      <c r="E2936" s="241"/>
      <c r="F2936" s="241"/>
      <c r="G2936" s="241"/>
      <c r="H2936" s="241"/>
      <c r="I2936"/>
      <c r="J2936" s="241"/>
      <c r="K2936" s="241"/>
      <c r="L2936" s="241"/>
      <c r="M2936" s="241"/>
      <c r="N2936" s="241"/>
      <c r="O2936" s="241"/>
      <c r="P2936" s="241"/>
      <c r="Q2936" s="241"/>
    </row>
    <row r="2937" spans="1:17" ht="13.5" customHeight="1" x14ac:dyDescent="0.3">
      <c r="A2937"/>
      <c r="B2937" s="241"/>
      <c r="C2937" s="241"/>
      <c r="D2937" s="241"/>
      <c r="E2937" s="241"/>
      <c r="F2937" s="241"/>
      <c r="G2937" s="241"/>
      <c r="H2937" s="241"/>
      <c r="I2937"/>
      <c r="J2937" s="241"/>
      <c r="K2937" s="241"/>
      <c r="L2937" s="241"/>
      <c r="M2937" s="241"/>
      <c r="N2937" s="241"/>
      <c r="O2937" s="241"/>
      <c r="P2937" s="241"/>
      <c r="Q2937" s="241"/>
    </row>
    <row r="2938" spans="1:17" ht="13.5" customHeight="1" x14ac:dyDescent="0.3">
      <c r="A2938"/>
      <c r="B2938" s="241"/>
      <c r="C2938" s="241"/>
      <c r="D2938" s="241"/>
      <c r="E2938" s="241"/>
      <c r="F2938" s="241"/>
      <c r="G2938" s="241"/>
      <c r="H2938" s="241"/>
      <c r="I2938"/>
      <c r="J2938" s="241"/>
      <c r="K2938" s="241"/>
      <c r="L2938" s="241"/>
      <c r="M2938" s="241"/>
      <c r="N2938" s="241"/>
      <c r="O2938" s="241"/>
      <c r="P2938" s="241"/>
      <c r="Q2938" s="241"/>
    </row>
    <row r="2939" spans="1:17" ht="13.5" customHeight="1" x14ac:dyDescent="0.3">
      <c r="A2939"/>
      <c r="B2939" s="241"/>
      <c r="C2939" s="241"/>
      <c r="D2939" s="241"/>
      <c r="E2939" s="241"/>
      <c r="F2939" s="241"/>
      <c r="G2939" s="241"/>
      <c r="H2939" s="241"/>
      <c r="I2939"/>
      <c r="J2939" s="241"/>
      <c r="K2939" s="241"/>
      <c r="L2939" s="241"/>
      <c r="M2939" s="241"/>
      <c r="N2939" s="241"/>
      <c r="O2939" s="241"/>
      <c r="P2939" s="241"/>
      <c r="Q2939" s="241"/>
    </row>
    <row r="2940" spans="1:17" ht="13.5" customHeight="1" x14ac:dyDescent="0.3">
      <c r="A2940"/>
      <c r="B2940" s="241"/>
      <c r="C2940" s="241"/>
      <c r="D2940" s="241"/>
      <c r="E2940" s="241"/>
      <c r="F2940" s="241"/>
      <c r="G2940" s="241"/>
      <c r="H2940" s="241"/>
      <c r="I2940"/>
      <c r="J2940" s="241"/>
      <c r="K2940" s="241"/>
      <c r="L2940" s="241"/>
      <c r="M2940" s="241"/>
      <c r="N2940" s="241"/>
      <c r="O2940" s="241"/>
      <c r="P2940" s="241"/>
      <c r="Q2940" s="241"/>
    </row>
    <row r="2941" spans="1:17" ht="13.5" customHeight="1" x14ac:dyDescent="0.3">
      <c r="A2941"/>
      <c r="B2941" s="241"/>
      <c r="C2941" s="241"/>
      <c r="D2941" s="241"/>
      <c r="E2941" s="241"/>
      <c r="F2941" s="241"/>
      <c r="G2941" s="241"/>
      <c r="H2941" s="241"/>
      <c r="I2941"/>
      <c r="J2941" s="241"/>
      <c r="K2941" s="241"/>
      <c r="L2941" s="241"/>
      <c r="M2941" s="241"/>
      <c r="N2941" s="241"/>
      <c r="O2941" s="241"/>
      <c r="P2941" s="241"/>
      <c r="Q2941" s="241"/>
    </row>
    <row r="2942" spans="1:17" ht="13.5" customHeight="1" x14ac:dyDescent="0.3">
      <c r="A2942"/>
      <c r="B2942" s="241"/>
      <c r="C2942" s="241"/>
      <c r="D2942" s="241"/>
      <c r="E2942" s="241"/>
      <c r="F2942" s="241"/>
      <c r="G2942" s="241"/>
      <c r="H2942" s="241"/>
      <c r="I2942"/>
      <c r="J2942" s="241"/>
      <c r="K2942" s="241"/>
      <c r="L2942" s="241"/>
      <c r="M2942" s="241"/>
      <c r="N2942" s="241"/>
      <c r="O2942" s="241"/>
      <c r="P2942" s="241"/>
      <c r="Q2942" s="241"/>
    </row>
    <row r="2943" spans="1:17" ht="13.5" customHeight="1" x14ac:dyDescent="0.3">
      <c r="A2943"/>
      <c r="B2943" s="241"/>
      <c r="C2943" s="241"/>
      <c r="D2943" s="241"/>
      <c r="E2943" s="241"/>
      <c r="F2943" s="241"/>
      <c r="G2943" s="241"/>
      <c r="H2943" s="241"/>
      <c r="I2943"/>
      <c r="J2943" s="241"/>
      <c r="K2943" s="241"/>
      <c r="L2943" s="241"/>
      <c r="M2943" s="241"/>
      <c r="N2943" s="241"/>
      <c r="O2943" s="241"/>
      <c r="P2943" s="241"/>
      <c r="Q2943" s="241"/>
    </row>
    <row r="2944" spans="1:17" ht="13.5" customHeight="1" x14ac:dyDescent="0.3">
      <c r="A2944"/>
      <c r="B2944" s="241"/>
      <c r="C2944" s="241"/>
      <c r="D2944" s="241"/>
      <c r="E2944" s="241"/>
      <c r="F2944" s="241"/>
      <c r="G2944" s="241"/>
      <c r="H2944" s="241"/>
      <c r="I2944"/>
      <c r="J2944" s="241"/>
      <c r="K2944" s="241"/>
      <c r="L2944" s="241"/>
      <c r="M2944" s="241"/>
      <c r="N2944" s="241"/>
      <c r="O2944" s="241"/>
      <c r="P2944" s="241"/>
      <c r="Q2944" s="241"/>
    </row>
    <row r="2945" spans="1:17" ht="13.5" customHeight="1" x14ac:dyDescent="0.3">
      <c r="A2945"/>
      <c r="B2945" s="241"/>
      <c r="C2945" s="241"/>
      <c r="D2945" s="241"/>
      <c r="E2945" s="241"/>
      <c r="F2945" s="241"/>
      <c r="G2945" s="241"/>
      <c r="H2945" s="241"/>
      <c r="I2945"/>
      <c r="J2945" s="241"/>
      <c r="K2945" s="241"/>
      <c r="L2945" s="241"/>
      <c r="M2945" s="241"/>
      <c r="N2945" s="241"/>
      <c r="O2945" s="241"/>
      <c r="P2945" s="241"/>
      <c r="Q2945" s="241"/>
    </row>
    <row r="2946" spans="1:17" ht="13.5" customHeight="1" x14ac:dyDescent="0.3">
      <c r="A2946"/>
      <c r="B2946" s="241"/>
      <c r="C2946" s="241"/>
      <c r="D2946" s="241"/>
      <c r="E2946" s="241"/>
      <c r="F2946" s="241"/>
      <c r="G2946" s="241"/>
      <c r="H2946" s="241"/>
      <c r="I2946"/>
      <c r="J2946" s="241"/>
      <c r="K2946" s="241"/>
      <c r="L2946" s="241"/>
      <c r="M2946" s="241"/>
      <c r="N2946" s="241"/>
      <c r="O2946" s="241"/>
      <c r="P2946" s="241"/>
      <c r="Q2946" s="241"/>
    </row>
    <row r="2947" spans="1:17" ht="13.5" customHeight="1" x14ac:dyDescent="0.3">
      <c r="A2947"/>
      <c r="B2947" s="241"/>
      <c r="C2947" s="241"/>
      <c r="D2947" s="241"/>
      <c r="E2947" s="241"/>
      <c r="F2947" s="241"/>
      <c r="G2947" s="241"/>
      <c r="H2947" s="241"/>
      <c r="I2947"/>
      <c r="J2947" s="241"/>
      <c r="K2947" s="241"/>
      <c r="L2947" s="241"/>
      <c r="M2947" s="241"/>
      <c r="N2947" s="241"/>
      <c r="O2947" s="241"/>
      <c r="P2947" s="241"/>
      <c r="Q2947" s="241"/>
    </row>
    <row r="2948" spans="1:17" ht="13.5" customHeight="1" x14ac:dyDescent="0.3">
      <c r="A2948"/>
      <c r="B2948" s="241"/>
      <c r="C2948" s="241"/>
      <c r="D2948" s="241"/>
      <c r="E2948" s="241"/>
      <c r="F2948" s="241"/>
      <c r="G2948" s="241"/>
      <c r="H2948" s="241"/>
      <c r="I2948"/>
      <c r="J2948" s="241"/>
      <c r="K2948" s="241"/>
      <c r="L2948" s="241"/>
      <c r="M2948" s="241"/>
      <c r="N2948" s="241"/>
      <c r="O2948" s="241"/>
      <c r="P2948" s="241"/>
      <c r="Q2948" s="241"/>
    </row>
    <row r="2949" spans="1:17" ht="13.5" customHeight="1" x14ac:dyDescent="0.3">
      <c r="A2949"/>
      <c r="B2949" s="241"/>
      <c r="C2949" s="241"/>
      <c r="D2949" s="241"/>
      <c r="E2949" s="241"/>
      <c r="F2949" s="241"/>
      <c r="G2949" s="241"/>
      <c r="H2949" s="241"/>
      <c r="I2949"/>
      <c r="J2949" s="241"/>
      <c r="K2949" s="241"/>
      <c r="L2949" s="241"/>
      <c r="M2949" s="241"/>
      <c r="N2949" s="241"/>
      <c r="O2949" s="241"/>
      <c r="P2949" s="241"/>
      <c r="Q2949" s="241"/>
    </row>
    <row r="2950" spans="1:17" ht="13.5" customHeight="1" x14ac:dyDescent="0.3">
      <c r="A2950"/>
      <c r="B2950" s="241"/>
      <c r="C2950" s="241"/>
      <c r="D2950" s="241"/>
      <c r="E2950" s="241"/>
      <c r="F2950" s="241"/>
      <c r="G2950" s="241"/>
      <c r="H2950" s="241"/>
      <c r="I2950"/>
      <c r="J2950" s="241"/>
      <c r="K2950" s="241"/>
      <c r="L2950" s="241"/>
      <c r="M2950" s="241"/>
      <c r="N2950" s="241"/>
      <c r="O2950" s="241"/>
      <c r="P2950" s="241"/>
      <c r="Q2950" s="241"/>
    </row>
    <row r="2951" spans="1:17" ht="13.5" customHeight="1" x14ac:dyDescent="0.3">
      <c r="A2951"/>
      <c r="B2951" s="241"/>
      <c r="C2951" s="241"/>
      <c r="D2951" s="241"/>
      <c r="E2951" s="241"/>
      <c r="F2951" s="241"/>
      <c r="G2951" s="241"/>
      <c r="H2951" s="241"/>
      <c r="I2951"/>
      <c r="J2951" s="241"/>
      <c r="K2951" s="241"/>
      <c r="L2951" s="241"/>
      <c r="M2951" s="241"/>
      <c r="N2951" s="241"/>
      <c r="O2951" s="241"/>
      <c r="P2951" s="241"/>
      <c r="Q2951" s="241"/>
    </row>
    <row r="2952" spans="1:17" ht="13.5" customHeight="1" x14ac:dyDescent="0.3">
      <c r="A2952"/>
      <c r="B2952" s="241"/>
      <c r="C2952" s="241"/>
      <c r="D2952" s="241"/>
      <c r="E2952" s="241"/>
      <c r="F2952" s="241"/>
      <c r="G2952" s="241"/>
      <c r="H2952" s="241"/>
      <c r="I2952"/>
      <c r="J2952" s="241"/>
      <c r="K2952" s="241"/>
      <c r="L2952" s="241"/>
      <c r="M2952" s="241"/>
      <c r="N2952" s="241"/>
      <c r="O2952" s="241"/>
      <c r="P2952" s="241"/>
      <c r="Q2952" s="241"/>
    </row>
    <row r="2953" spans="1:17" ht="13.5" customHeight="1" x14ac:dyDescent="0.3">
      <c r="A2953"/>
      <c r="B2953" s="241"/>
      <c r="C2953" s="241"/>
      <c r="D2953" s="241"/>
      <c r="E2953" s="241"/>
      <c r="F2953" s="241"/>
      <c r="G2953" s="241"/>
      <c r="H2953" s="241"/>
      <c r="I2953"/>
      <c r="J2953" s="241"/>
      <c r="K2953" s="241"/>
      <c r="L2953" s="241"/>
      <c r="M2953" s="241"/>
      <c r="N2953" s="241"/>
      <c r="O2953" s="241"/>
      <c r="P2953" s="241"/>
      <c r="Q2953" s="241"/>
    </row>
    <row r="2954" spans="1:17" ht="13.5" customHeight="1" x14ac:dyDescent="0.3">
      <c r="A2954"/>
      <c r="B2954" s="241"/>
      <c r="C2954" s="241"/>
      <c r="D2954" s="241"/>
      <c r="E2954" s="241"/>
      <c r="F2954" s="241"/>
      <c r="G2954" s="241"/>
      <c r="H2954" s="241"/>
      <c r="I2954"/>
      <c r="J2954" s="241"/>
      <c r="K2954" s="241"/>
      <c r="L2954" s="241"/>
      <c r="M2954" s="241"/>
      <c r="N2954" s="241"/>
      <c r="O2954" s="241"/>
      <c r="P2954" s="241"/>
      <c r="Q2954" s="241"/>
    </row>
    <row r="2955" spans="1:17" ht="13.5" customHeight="1" x14ac:dyDescent="0.3">
      <c r="A2955"/>
      <c r="B2955" s="241"/>
      <c r="C2955" s="241"/>
      <c r="D2955" s="241"/>
      <c r="E2955" s="241"/>
      <c r="F2955" s="241"/>
      <c r="G2955" s="241"/>
      <c r="H2955" s="241"/>
      <c r="I2955"/>
      <c r="J2955" s="241"/>
      <c r="K2955" s="241"/>
      <c r="L2955" s="241"/>
      <c r="M2955" s="241"/>
      <c r="N2955" s="241"/>
      <c r="O2955" s="241"/>
      <c r="P2955" s="241"/>
      <c r="Q2955" s="241"/>
    </row>
    <row r="2956" spans="1:17" ht="13.5" customHeight="1" x14ac:dyDescent="0.3">
      <c r="A2956"/>
      <c r="B2956" s="241"/>
      <c r="C2956" s="241"/>
      <c r="D2956" s="241"/>
      <c r="E2956" s="241"/>
      <c r="F2956" s="241"/>
      <c r="G2956" s="241"/>
      <c r="H2956" s="241"/>
      <c r="I2956"/>
      <c r="J2956" s="241"/>
      <c r="K2956" s="241"/>
      <c r="L2956" s="241"/>
      <c r="M2956" s="241"/>
      <c r="N2956" s="241"/>
      <c r="O2956" s="241"/>
      <c r="P2956" s="241"/>
      <c r="Q2956" s="241"/>
    </row>
    <row r="2957" spans="1:17" ht="13.5" customHeight="1" x14ac:dyDescent="0.3">
      <c r="A2957"/>
      <c r="B2957" s="241"/>
      <c r="C2957" s="241"/>
      <c r="D2957" s="241"/>
      <c r="E2957" s="241"/>
      <c r="F2957" s="241"/>
      <c r="G2957" s="241"/>
      <c r="H2957" s="241"/>
      <c r="I2957"/>
      <c r="J2957" s="241"/>
      <c r="K2957" s="241"/>
      <c r="L2957" s="241"/>
      <c r="M2957" s="241"/>
      <c r="N2957" s="241"/>
      <c r="O2957" s="241"/>
      <c r="P2957" s="241"/>
      <c r="Q2957" s="241"/>
    </row>
    <row r="2958" spans="1:17" ht="13.5" customHeight="1" x14ac:dyDescent="0.3">
      <c r="A2958"/>
      <c r="B2958" s="241"/>
      <c r="C2958" s="241"/>
      <c r="D2958" s="241"/>
      <c r="E2958" s="241"/>
      <c r="F2958" s="241"/>
      <c r="G2958" s="241"/>
      <c r="H2958" s="241"/>
      <c r="I2958"/>
      <c r="J2958" s="241"/>
      <c r="K2958" s="241"/>
      <c r="L2958" s="241"/>
      <c r="M2958" s="241"/>
      <c r="N2958" s="241"/>
      <c r="O2958" s="241"/>
      <c r="P2958" s="241"/>
      <c r="Q2958" s="241"/>
    </row>
    <row r="2959" spans="1:17" ht="13.5" customHeight="1" x14ac:dyDescent="0.3">
      <c r="A2959"/>
      <c r="B2959" s="241"/>
      <c r="C2959" s="241"/>
      <c r="D2959" s="241"/>
      <c r="E2959" s="241"/>
      <c r="F2959" s="241"/>
      <c r="G2959" s="241"/>
      <c r="H2959" s="241"/>
      <c r="I2959"/>
      <c r="J2959" s="241"/>
      <c r="K2959" s="241"/>
      <c r="L2959" s="241"/>
      <c r="M2959" s="241"/>
      <c r="N2959" s="241"/>
      <c r="O2959" s="241"/>
      <c r="P2959" s="241"/>
      <c r="Q2959" s="241"/>
    </row>
    <row r="2960" spans="1:17" ht="13.5" customHeight="1" x14ac:dyDescent="0.3">
      <c r="A2960"/>
      <c r="B2960" s="241"/>
      <c r="C2960" s="241"/>
      <c r="D2960" s="241"/>
      <c r="E2960" s="241"/>
      <c r="F2960" s="241"/>
      <c r="G2960" s="241"/>
      <c r="H2960" s="241"/>
      <c r="I2960"/>
      <c r="J2960" s="241"/>
      <c r="K2960" s="241"/>
      <c r="L2960" s="241"/>
      <c r="M2960" s="241"/>
      <c r="N2960" s="241"/>
      <c r="O2960" s="241"/>
      <c r="P2960" s="241"/>
      <c r="Q2960" s="241"/>
    </row>
    <row r="2961" spans="1:17" ht="13.5" customHeight="1" x14ac:dyDescent="0.3">
      <c r="A2961"/>
      <c r="B2961" s="241"/>
      <c r="C2961" s="241"/>
      <c r="D2961" s="241"/>
      <c r="E2961" s="241"/>
      <c r="F2961" s="241"/>
      <c r="G2961" s="241"/>
      <c r="H2961" s="241"/>
      <c r="I2961"/>
      <c r="J2961" s="241"/>
      <c r="K2961" s="241"/>
      <c r="L2961" s="241"/>
      <c r="M2961" s="241"/>
      <c r="N2961" s="241"/>
      <c r="O2961" s="241"/>
      <c r="P2961" s="241"/>
      <c r="Q2961" s="241"/>
    </row>
    <row r="2962" spans="1:17" ht="13.5" customHeight="1" x14ac:dyDescent="0.3">
      <c r="A2962"/>
      <c r="B2962" s="241"/>
      <c r="C2962" s="241"/>
      <c r="D2962" s="241"/>
      <c r="E2962" s="241"/>
      <c r="F2962" s="241"/>
      <c r="G2962" s="241"/>
      <c r="H2962" s="241"/>
      <c r="I2962"/>
      <c r="J2962" s="241"/>
      <c r="K2962" s="241"/>
      <c r="L2962" s="241"/>
      <c r="M2962" s="241"/>
      <c r="N2962" s="241"/>
      <c r="O2962" s="241"/>
      <c r="P2962" s="241"/>
      <c r="Q2962" s="241"/>
    </row>
    <row r="2963" spans="1:17" ht="13.5" customHeight="1" x14ac:dyDescent="0.3">
      <c r="A2963"/>
      <c r="B2963" s="241"/>
      <c r="C2963" s="241"/>
      <c r="D2963" s="241"/>
      <c r="E2963" s="241"/>
      <c r="F2963" s="241"/>
      <c r="G2963" s="241"/>
      <c r="H2963" s="241"/>
      <c r="I2963"/>
      <c r="J2963" s="241"/>
      <c r="K2963" s="241"/>
      <c r="L2963" s="241"/>
      <c r="M2963" s="241"/>
      <c r="N2963" s="241"/>
      <c r="O2963" s="241"/>
      <c r="P2963" s="241"/>
      <c r="Q2963" s="241"/>
    </row>
    <row r="2964" spans="1:17" ht="13.5" customHeight="1" x14ac:dyDescent="0.3">
      <c r="A2964"/>
      <c r="B2964" s="241"/>
      <c r="C2964" s="241"/>
      <c r="D2964" s="241"/>
      <c r="E2964" s="241"/>
      <c r="F2964" s="241"/>
      <c r="G2964" s="241"/>
      <c r="H2964" s="241"/>
      <c r="I2964"/>
      <c r="J2964" s="241"/>
      <c r="K2964" s="241"/>
      <c r="L2964" s="241"/>
      <c r="M2964" s="241"/>
      <c r="N2964" s="241"/>
      <c r="O2964" s="241"/>
      <c r="P2964" s="241"/>
      <c r="Q2964" s="241"/>
    </row>
    <row r="2965" spans="1:17" ht="13.5" customHeight="1" x14ac:dyDescent="0.3">
      <c r="A2965"/>
      <c r="B2965" s="241"/>
      <c r="C2965" s="241"/>
      <c r="D2965" s="241"/>
      <c r="E2965" s="241"/>
      <c r="F2965" s="241"/>
      <c r="G2965" s="241"/>
      <c r="H2965" s="241"/>
      <c r="I2965"/>
      <c r="J2965" s="241"/>
      <c r="K2965" s="241"/>
      <c r="L2965" s="241"/>
      <c r="M2965" s="241"/>
      <c r="N2965" s="241"/>
      <c r="O2965" s="241"/>
      <c r="P2965" s="241"/>
      <c r="Q2965" s="241"/>
    </row>
    <row r="2966" spans="1:17" ht="13.5" customHeight="1" x14ac:dyDescent="0.3">
      <c r="A2966"/>
      <c r="B2966" s="241"/>
      <c r="C2966" s="241"/>
      <c r="D2966" s="241"/>
      <c r="E2966" s="241"/>
      <c r="F2966" s="241"/>
      <c r="G2966" s="241"/>
      <c r="H2966" s="241"/>
      <c r="I2966"/>
      <c r="J2966" s="241"/>
      <c r="K2966" s="241"/>
      <c r="L2966" s="241"/>
      <c r="M2966" s="241"/>
      <c r="N2966" s="241"/>
      <c r="O2966" s="241"/>
      <c r="P2966" s="241"/>
      <c r="Q2966" s="241"/>
    </row>
    <row r="2967" spans="1:17" ht="13.5" customHeight="1" x14ac:dyDescent="0.3">
      <c r="A2967"/>
      <c r="B2967" s="241"/>
      <c r="C2967" s="241"/>
      <c r="D2967" s="241"/>
      <c r="E2967" s="241"/>
      <c r="F2967" s="241"/>
      <c r="G2967" s="241"/>
      <c r="H2967" s="241"/>
      <c r="I2967"/>
      <c r="J2967" s="241"/>
      <c r="K2967" s="241"/>
      <c r="L2967" s="241"/>
      <c r="M2967" s="241"/>
      <c r="N2967" s="241"/>
      <c r="O2967" s="241"/>
      <c r="P2967" s="241"/>
      <c r="Q2967" s="241"/>
    </row>
    <row r="2968" spans="1:17" ht="13.5" customHeight="1" x14ac:dyDescent="0.3">
      <c r="A2968"/>
      <c r="B2968" s="241"/>
      <c r="C2968" s="241"/>
      <c r="D2968" s="241"/>
      <c r="E2968" s="241"/>
      <c r="F2968" s="241"/>
      <c r="G2968" s="241"/>
      <c r="H2968" s="241"/>
      <c r="I2968"/>
      <c r="J2968" s="241"/>
      <c r="K2968" s="241"/>
      <c r="L2968" s="241"/>
      <c r="M2968" s="241"/>
      <c r="N2968" s="241"/>
      <c r="O2968" s="241"/>
      <c r="P2968" s="241"/>
      <c r="Q2968" s="241"/>
    </row>
    <row r="2969" spans="1:17" ht="13.5" customHeight="1" x14ac:dyDescent="0.3">
      <c r="A2969"/>
      <c r="B2969" s="241"/>
      <c r="C2969" s="241"/>
      <c r="D2969" s="241"/>
      <c r="E2969" s="241"/>
      <c r="F2969" s="241"/>
      <c r="G2969" s="241"/>
      <c r="H2969" s="241"/>
      <c r="I2969"/>
      <c r="J2969" s="241"/>
      <c r="K2969" s="241"/>
      <c r="L2969" s="241"/>
      <c r="M2969" s="241"/>
      <c r="N2969" s="241"/>
      <c r="O2969" s="241"/>
      <c r="P2969" s="241"/>
      <c r="Q2969" s="241"/>
    </row>
    <row r="2970" spans="1:17" ht="13.5" customHeight="1" x14ac:dyDescent="0.3">
      <c r="A2970"/>
      <c r="B2970" s="241"/>
      <c r="C2970" s="241"/>
      <c r="D2970" s="241"/>
      <c r="E2970" s="241"/>
      <c r="F2970" s="241"/>
      <c r="G2970" s="241"/>
      <c r="H2970" s="241"/>
      <c r="I2970"/>
      <c r="J2970" s="241"/>
      <c r="K2970" s="241"/>
      <c r="L2970" s="241"/>
      <c r="M2970" s="241"/>
      <c r="N2970" s="241"/>
      <c r="O2970" s="241"/>
      <c r="P2970" s="241"/>
      <c r="Q2970" s="241"/>
    </row>
    <row r="2971" spans="1:17" ht="13.5" customHeight="1" x14ac:dyDescent="0.3">
      <c r="A2971"/>
      <c r="B2971" s="241"/>
      <c r="C2971" s="241"/>
      <c r="D2971" s="241"/>
      <c r="E2971" s="241"/>
      <c r="F2971" s="241"/>
      <c r="G2971" s="241"/>
      <c r="H2971" s="241"/>
      <c r="I2971"/>
      <c r="J2971" s="241"/>
      <c r="K2971" s="241"/>
      <c r="L2971" s="241"/>
      <c r="M2971" s="241"/>
      <c r="N2971" s="241"/>
      <c r="O2971" s="241"/>
      <c r="P2971" s="241"/>
      <c r="Q2971" s="241"/>
    </row>
    <row r="2972" spans="1:17" ht="13.5" customHeight="1" x14ac:dyDescent="0.3">
      <c r="A2972"/>
      <c r="B2972" s="241"/>
      <c r="C2972" s="241"/>
      <c r="D2972" s="241"/>
      <c r="E2972" s="241"/>
      <c r="F2972" s="241"/>
      <c r="G2972" s="241"/>
      <c r="H2972" s="241"/>
      <c r="I2972"/>
      <c r="J2972" s="241"/>
      <c r="K2972" s="241"/>
      <c r="L2972" s="241"/>
      <c r="M2972" s="241"/>
      <c r="N2972" s="241"/>
      <c r="O2972" s="241"/>
      <c r="P2972" s="241"/>
      <c r="Q2972" s="241"/>
    </row>
    <row r="2973" spans="1:17" ht="13.5" customHeight="1" x14ac:dyDescent="0.3">
      <c r="A2973"/>
      <c r="B2973" s="241"/>
      <c r="C2973" s="241"/>
      <c r="D2973" s="241"/>
      <c r="E2973" s="241"/>
      <c r="F2973" s="241"/>
      <c r="G2973" s="241"/>
      <c r="H2973" s="241"/>
      <c r="I2973"/>
      <c r="J2973" s="241"/>
      <c r="K2973" s="241"/>
      <c r="L2973" s="241"/>
      <c r="M2973" s="241"/>
      <c r="N2973" s="241"/>
      <c r="O2973" s="241"/>
      <c r="P2973" s="241"/>
      <c r="Q2973" s="241"/>
    </row>
    <row r="2974" spans="1:17" ht="13.5" customHeight="1" x14ac:dyDescent="0.3">
      <c r="A2974"/>
      <c r="B2974" s="241"/>
      <c r="C2974" s="241"/>
      <c r="D2974" s="241"/>
      <c r="E2974" s="241"/>
      <c r="F2974" s="241"/>
      <c r="G2974" s="241"/>
      <c r="H2974" s="241"/>
      <c r="I2974"/>
      <c r="J2974" s="241"/>
      <c r="K2974" s="241"/>
      <c r="L2974" s="241"/>
      <c r="M2974" s="241"/>
      <c r="N2974" s="241"/>
      <c r="O2974" s="241"/>
      <c r="P2974" s="241"/>
      <c r="Q2974" s="241"/>
    </row>
    <row r="2975" spans="1:17" ht="13.5" customHeight="1" x14ac:dyDescent="0.3">
      <c r="A2975"/>
      <c r="B2975" s="241"/>
      <c r="C2975" s="241"/>
      <c r="D2975" s="241"/>
      <c r="E2975" s="241"/>
      <c r="F2975" s="241"/>
      <c r="G2975" s="241"/>
      <c r="H2975" s="241"/>
      <c r="I2975"/>
      <c r="J2975" s="241"/>
      <c r="K2975" s="241"/>
      <c r="L2975" s="241"/>
      <c r="M2975" s="241"/>
      <c r="N2975" s="241"/>
      <c r="O2975" s="241"/>
      <c r="P2975" s="241"/>
      <c r="Q2975" s="241"/>
    </row>
    <row r="2976" spans="1:17" ht="13.5" customHeight="1" x14ac:dyDescent="0.3">
      <c r="A2976"/>
      <c r="B2976" s="241"/>
      <c r="C2976" s="241"/>
      <c r="D2976" s="241"/>
      <c r="E2976" s="241"/>
      <c r="F2976" s="241"/>
      <c r="G2976" s="241"/>
      <c r="H2976" s="241"/>
      <c r="I2976"/>
      <c r="J2976" s="241"/>
      <c r="K2976" s="241"/>
      <c r="L2976" s="241"/>
      <c r="M2976" s="241"/>
      <c r="N2976" s="241"/>
      <c r="O2976" s="241"/>
      <c r="P2976" s="241"/>
      <c r="Q2976" s="241"/>
    </row>
    <row r="2977" spans="1:17" ht="13.5" customHeight="1" x14ac:dyDescent="0.3">
      <c r="A2977"/>
      <c r="B2977" s="241"/>
      <c r="C2977" s="241"/>
      <c r="D2977" s="241"/>
      <c r="E2977" s="241"/>
      <c r="F2977" s="241"/>
      <c r="G2977" s="241"/>
      <c r="H2977" s="241"/>
      <c r="I2977"/>
      <c r="J2977" s="241"/>
      <c r="K2977" s="241"/>
      <c r="L2977" s="241"/>
      <c r="M2977" s="241"/>
      <c r="N2977" s="241"/>
      <c r="O2977" s="241"/>
      <c r="P2977" s="241"/>
      <c r="Q2977" s="241"/>
    </row>
    <row r="2978" spans="1:17" ht="13.5" customHeight="1" x14ac:dyDescent="0.3">
      <c r="A2978"/>
      <c r="B2978" s="241"/>
      <c r="C2978" s="241"/>
      <c r="D2978" s="241"/>
      <c r="E2978" s="241"/>
      <c r="F2978" s="241"/>
      <c r="G2978" s="241"/>
      <c r="H2978" s="241"/>
      <c r="I2978"/>
      <c r="J2978" s="241"/>
      <c r="K2978" s="241"/>
      <c r="L2978" s="241"/>
      <c r="M2978" s="241"/>
      <c r="N2978" s="241"/>
      <c r="O2978" s="241"/>
      <c r="P2978" s="241"/>
      <c r="Q2978" s="241"/>
    </row>
    <row r="2979" spans="1:17" ht="13.5" customHeight="1" x14ac:dyDescent="0.3">
      <c r="A2979"/>
      <c r="B2979" s="241"/>
      <c r="C2979" s="241"/>
      <c r="D2979" s="241"/>
      <c r="E2979" s="241"/>
      <c r="F2979" s="241"/>
      <c r="G2979" s="241"/>
      <c r="H2979" s="241"/>
      <c r="I2979"/>
      <c r="J2979" s="241"/>
      <c r="K2979" s="241"/>
      <c r="L2979" s="241"/>
      <c r="M2979" s="241"/>
      <c r="N2979" s="241"/>
      <c r="O2979" s="241"/>
      <c r="P2979" s="241"/>
      <c r="Q2979" s="241"/>
    </row>
    <row r="2980" spans="1:17" ht="13.5" customHeight="1" x14ac:dyDescent="0.3">
      <c r="A2980"/>
      <c r="B2980" s="241"/>
      <c r="C2980" s="241"/>
      <c r="D2980" s="241"/>
      <c r="E2980" s="241"/>
      <c r="F2980" s="241"/>
      <c r="G2980" s="241"/>
      <c r="H2980" s="241"/>
      <c r="I2980"/>
      <c r="J2980" s="241"/>
      <c r="K2980" s="241"/>
      <c r="L2980" s="241"/>
      <c r="M2980" s="241"/>
      <c r="N2980" s="241"/>
      <c r="O2980" s="241"/>
      <c r="P2980" s="241"/>
      <c r="Q2980" s="241"/>
    </row>
    <row r="2981" spans="1:17" ht="13.5" customHeight="1" x14ac:dyDescent="0.3">
      <c r="A2981"/>
      <c r="B2981" s="241"/>
      <c r="C2981" s="241"/>
      <c r="D2981" s="241"/>
      <c r="E2981" s="241"/>
      <c r="F2981" s="241"/>
      <c r="G2981" s="241"/>
      <c r="H2981" s="241"/>
      <c r="I2981"/>
      <c r="J2981" s="241"/>
      <c r="K2981" s="241"/>
      <c r="L2981" s="241"/>
      <c r="M2981" s="241"/>
      <c r="N2981" s="241"/>
      <c r="O2981" s="241"/>
      <c r="P2981" s="241"/>
      <c r="Q2981" s="241"/>
    </row>
    <row r="2982" spans="1:17" ht="13.5" customHeight="1" x14ac:dyDescent="0.3">
      <c r="A2982"/>
      <c r="B2982" s="241"/>
      <c r="C2982" s="241"/>
      <c r="D2982" s="241"/>
      <c r="E2982" s="241"/>
      <c r="F2982" s="241"/>
      <c r="G2982" s="241"/>
      <c r="H2982" s="241"/>
      <c r="I2982"/>
      <c r="J2982" s="241"/>
      <c r="K2982" s="241"/>
      <c r="L2982" s="241"/>
      <c r="M2982" s="241"/>
      <c r="N2982" s="241"/>
      <c r="O2982" s="241"/>
      <c r="P2982" s="241"/>
      <c r="Q2982" s="241"/>
    </row>
    <row r="2983" spans="1:17" ht="13.5" customHeight="1" x14ac:dyDescent="0.3">
      <c r="A2983"/>
      <c r="B2983" s="241"/>
      <c r="C2983" s="241"/>
      <c r="D2983" s="241"/>
      <c r="E2983" s="241"/>
      <c r="F2983" s="241"/>
      <c r="G2983" s="241"/>
      <c r="H2983" s="241"/>
      <c r="I2983"/>
      <c r="J2983" s="241"/>
      <c r="K2983" s="241"/>
      <c r="L2983" s="241"/>
      <c r="M2983" s="241"/>
      <c r="N2983" s="241"/>
      <c r="O2983" s="241"/>
      <c r="P2983" s="241"/>
      <c r="Q2983" s="241"/>
    </row>
    <row r="2984" spans="1:17" ht="13.5" customHeight="1" x14ac:dyDescent="0.3">
      <c r="A2984"/>
      <c r="B2984" s="241"/>
      <c r="C2984" s="241"/>
      <c r="D2984" s="241"/>
      <c r="E2984" s="241"/>
      <c r="F2984" s="241"/>
      <c r="G2984" s="241"/>
      <c r="H2984" s="241"/>
      <c r="I2984"/>
      <c r="J2984" s="241"/>
      <c r="K2984" s="241"/>
      <c r="L2984" s="241"/>
      <c r="M2984" s="241"/>
      <c r="N2984" s="241"/>
      <c r="O2984" s="241"/>
      <c r="P2984" s="241"/>
      <c r="Q2984" s="241"/>
    </row>
    <row r="2985" spans="1:17" ht="13.5" customHeight="1" x14ac:dyDescent="0.3">
      <c r="A2985"/>
      <c r="B2985" s="241"/>
      <c r="C2985" s="241"/>
      <c r="D2985" s="241"/>
      <c r="E2985" s="241"/>
      <c r="F2985" s="241"/>
      <c r="G2985" s="241"/>
      <c r="H2985" s="241"/>
      <c r="I2985"/>
      <c r="J2985" s="241"/>
      <c r="K2985" s="241"/>
      <c r="L2985" s="241"/>
      <c r="M2985" s="241"/>
      <c r="N2985" s="241"/>
      <c r="O2985" s="241"/>
      <c r="P2985" s="241"/>
      <c r="Q2985" s="241"/>
    </row>
    <row r="2986" spans="1:17" ht="13.5" customHeight="1" x14ac:dyDescent="0.3">
      <c r="A2986"/>
      <c r="B2986" s="241"/>
      <c r="C2986" s="241"/>
      <c r="D2986" s="241"/>
      <c r="E2986" s="241"/>
      <c r="F2986" s="241"/>
      <c r="G2986" s="241"/>
      <c r="H2986" s="241"/>
      <c r="I2986"/>
      <c r="J2986" s="241"/>
      <c r="K2986" s="241"/>
      <c r="L2986" s="241"/>
      <c r="M2986" s="241"/>
      <c r="N2986" s="241"/>
      <c r="O2986" s="241"/>
      <c r="P2986" s="241"/>
      <c r="Q2986" s="241"/>
    </row>
    <row r="2987" spans="1:17" ht="13.5" customHeight="1" x14ac:dyDescent="0.3">
      <c r="A2987"/>
      <c r="B2987" s="241"/>
      <c r="C2987" s="241"/>
      <c r="D2987" s="241"/>
      <c r="E2987" s="241"/>
      <c r="F2987" s="241"/>
      <c r="G2987" s="241"/>
      <c r="H2987" s="241"/>
      <c r="I2987"/>
      <c r="J2987" s="241"/>
      <c r="K2987" s="241"/>
      <c r="L2987" s="241"/>
      <c r="M2987" s="241"/>
      <c r="N2987" s="241"/>
      <c r="O2987" s="241"/>
      <c r="P2987" s="241"/>
      <c r="Q2987" s="241"/>
    </row>
    <row r="2988" spans="1:17" ht="13.5" customHeight="1" x14ac:dyDescent="0.3">
      <c r="A2988"/>
      <c r="B2988" s="241"/>
      <c r="C2988" s="241"/>
      <c r="D2988" s="241"/>
      <c r="E2988" s="241"/>
      <c r="F2988" s="241"/>
      <c r="G2988" s="241"/>
      <c r="H2988" s="241"/>
      <c r="I2988"/>
      <c r="J2988" s="241"/>
      <c r="K2988" s="241"/>
      <c r="L2988" s="241"/>
      <c r="M2988" s="241"/>
      <c r="N2988" s="241"/>
      <c r="O2988" s="241"/>
      <c r="P2988" s="241"/>
      <c r="Q2988" s="241"/>
    </row>
    <row r="2989" spans="1:17" ht="13.5" customHeight="1" x14ac:dyDescent="0.3">
      <c r="A2989"/>
      <c r="B2989" s="241"/>
      <c r="C2989" s="241"/>
      <c r="D2989" s="241"/>
      <c r="E2989" s="241"/>
      <c r="F2989" s="241"/>
      <c r="G2989" s="241"/>
      <c r="H2989" s="241"/>
      <c r="I2989"/>
      <c r="J2989" s="241"/>
      <c r="K2989" s="241"/>
      <c r="L2989" s="241"/>
      <c r="M2989" s="241"/>
      <c r="N2989" s="241"/>
      <c r="O2989" s="241"/>
      <c r="P2989" s="241"/>
      <c r="Q2989" s="241"/>
    </row>
    <row r="2990" spans="1:17" ht="13.5" customHeight="1" x14ac:dyDescent="0.3">
      <c r="A2990"/>
      <c r="B2990" s="241"/>
      <c r="C2990" s="241"/>
      <c r="D2990" s="241"/>
      <c r="E2990" s="241"/>
      <c r="F2990" s="241"/>
      <c r="G2990" s="241"/>
      <c r="H2990" s="241"/>
      <c r="I2990"/>
      <c r="J2990" s="241"/>
      <c r="K2990" s="241"/>
      <c r="L2990" s="241"/>
      <c r="M2990" s="241"/>
      <c r="N2990" s="241"/>
      <c r="O2990" s="241"/>
      <c r="P2990" s="241"/>
      <c r="Q2990" s="241"/>
    </row>
    <row r="2991" spans="1:17" ht="13.5" customHeight="1" x14ac:dyDescent="0.3">
      <c r="A2991"/>
      <c r="B2991" s="241"/>
      <c r="C2991" s="241"/>
      <c r="D2991" s="241"/>
      <c r="E2991" s="241"/>
      <c r="F2991" s="241"/>
      <c r="G2991" s="241"/>
      <c r="H2991" s="241"/>
      <c r="I2991"/>
      <c r="J2991" s="241"/>
      <c r="K2991" s="241"/>
      <c r="L2991" s="241"/>
      <c r="M2991" s="241"/>
      <c r="N2991" s="241"/>
      <c r="O2991" s="241"/>
      <c r="P2991" s="241"/>
      <c r="Q2991" s="241"/>
    </row>
    <row r="2992" spans="1:17" ht="13.5" customHeight="1" x14ac:dyDescent="0.3">
      <c r="A2992"/>
      <c r="B2992" s="241"/>
      <c r="C2992" s="241"/>
      <c r="D2992" s="241"/>
      <c r="E2992" s="241"/>
      <c r="F2992" s="241"/>
      <c r="G2992" s="241"/>
      <c r="H2992" s="241"/>
      <c r="I2992"/>
      <c r="J2992" s="241"/>
      <c r="K2992" s="241"/>
      <c r="L2992" s="241"/>
      <c r="M2992" s="241"/>
      <c r="N2992" s="241"/>
      <c r="O2992" s="241"/>
      <c r="P2992" s="241"/>
      <c r="Q2992" s="241"/>
    </row>
    <row r="2993" spans="1:17" ht="13.5" customHeight="1" x14ac:dyDescent="0.3">
      <c r="A2993"/>
      <c r="B2993" s="241"/>
      <c r="C2993" s="241"/>
      <c r="D2993" s="241"/>
      <c r="E2993" s="241"/>
      <c r="F2993" s="241"/>
      <c r="G2993" s="241"/>
      <c r="H2993" s="241"/>
      <c r="I2993"/>
      <c r="J2993" s="241"/>
      <c r="K2993" s="241"/>
      <c r="L2993" s="241"/>
      <c r="M2993" s="241"/>
      <c r="N2993" s="241"/>
      <c r="O2993" s="241"/>
      <c r="P2993" s="241"/>
      <c r="Q2993" s="241"/>
    </row>
    <row r="2994" spans="1:17" ht="13.5" customHeight="1" x14ac:dyDescent="0.3">
      <c r="A2994"/>
      <c r="B2994" s="241"/>
      <c r="C2994" s="241"/>
      <c r="D2994" s="241"/>
      <c r="E2994" s="241"/>
      <c r="F2994" s="241"/>
      <c r="G2994" s="241"/>
      <c r="H2994" s="241"/>
      <c r="I2994"/>
      <c r="J2994" s="241"/>
      <c r="K2994" s="241"/>
      <c r="L2994" s="241"/>
      <c r="M2994" s="241"/>
      <c r="N2994" s="241"/>
      <c r="O2994" s="241"/>
      <c r="P2994" s="241"/>
      <c r="Q2994" s="241"/>
    </row>
    <row r="2995" spans="1:17" ht="13.5" customHeight="1" x14ac:dyDescent="0.3">
      <c r="A2995"/>
      <c r="B2995" s="241"/>
      <c r="C2995" s="241"/>
      <c r="D2995" s="241"/>
      <c r="E2995" s="241"/>
      <c r="F2995" s="241"/>
      <c r="G2995" s="241"/>
      <c r="H2995" s="241"/>
      <c r="I2995"/>
      <c r="J2995" s="241"/>
      <c r="K2995" s="241"/>
      <c r="L2995" s="241"/>
      <c r="M2995" s="241"/>
      <c r="N2995" s="241"/>
      <c r="O2995" s="241"/>
      <c r="P2995" s="241"/>
      <c r="Q2995" s="241"/>
    </row>
    <row r="2996" spans="1:17" ht="13.5" customHeight="1" x14ac:dyDescent="0.3">
      <c r="A2996"/>
      <c r="B2996" s="241"/>
      <c r="C2996" s="241"/>
      <c r="D2996" s="241"/>
      <c r="E2996" s="241"/>
      <c r="F2996" s="241"/>
      <c r="G2996" s="241"/>
      <c r="H2996" s="241"/>
      <c r="I2996"/>
      <c r="J2996" s="241"/>
      <c r="K2996" s="241"/>
      <c r="L2996" s="241"/>
      <c r="M2996" s="241"/>
      <c r="N2996" s="241"/>
      <c r="O2996" s="241"/>
      <c r="P2996" s="241"/>
      <c r="Q2996" s="241"/>
    </row>
    <row r="2997" spans="1:17" ht="13.5" customHeight="1" x14ac:dyDescent="0.3">
      <c r="A2997"/>
      <c r="B2997" s="241"/>
      <c r="C2997" s="241"/>
      <c r="D2997" s="241"/>
      <c r="E2997" s="241"/>
      <c r="F2997" s="241"/>
      <c r="G2997" s="241"/>
      <c r="H2997" s="241"/>
      <c r="I2997"/>
      <c r="J2997" s="241"/>
      <c r="K2997" s="241"/>
      <c r="L2997" s="241"/>
      <c r="M2997" s="241"/>
      <c r="N2997" s="241"/>
      <c r="O2997" s="241"/>
      <c r="P2997" s="241"/>
      <c r="Q2997" s="241"/>
    </row>
    <row r="2998" spans="1:17" ht="13.5" customHeight="1" x14ac:dyDescent="0.3">
      <c r="A2998"/>
      <c r="B2998" s="241"/>
      <c r="C2998" s="241"/>
      <c r="D2998" s="241"/>
      <c r="E2998" s="241"/>
      <c r="F2998" s="241"/>
      <c r="G2998" s="241"/>
      <c r="H2998" s="241"/>
      <c r="I2998"/>
      <c r="J2998" s="241"/>
      <c r="K2998" s="241"/>
      <c r="L2998" s="241"/>
      <c r="M2998" s="241"/>
      <c r="N2998" s="241"/>
      <c r="O2998" s="241"/>
      <c r="P2998" s="241"/>
      <c r="Q2998" s="241"/>
    </row>
    <row r="2999" spans="1:17" ht="13.5" customHeight="1" x14ac:dyDescent="0.3">
      <c r="A2999"/>
      <c r="B2999" s="241"/>
      <c r="C2999" s="241"/>
      <c r="D2999" s="241"/>
      <c r="E2999" s="241"/>
      <c r="F2999" s="241"/>
      <c r="G2999" s="241"/>
      <c r="H2999" s="241"/>
      <c r="I2999"/>
      <c r="J2999" s="241"/>
      <c r="K2999" s="241"/>
      <c r="L2999" s="241"/>
      <c r="M2999" s="241"/>
      <c r="N2999" s="241"/>
      <c r="O2999" s="241"/>
      <c r="P2999" s="241"/>
      <c r="Q2999" s="241"/>
    </row>
    <row r="3000" spans="1:17" ht="13.5" customHeight="1" x14ac:dyDescent="0.3">
      <c r="A3000"/>
      <c r="B3000" s="241"/>
      <c r="C3000" s="241"/>
      <c r="D3000" s="241"/>
      <c r="E3000" s="241"/>
      <c r="F3000" s="241"/>
      <c r="G3000" s="241"/>
      <c r="H3000" s="241"/>
      <c r="I3000"/>
      <c r="J3000" s="241"/>
      <c r="K3000" s="241"/>
      <c r="L3000" s="241"/>
      <c r="M3000" s="241"/>
      <c r="N3000" s="241"/>
      <c r="O3000" s="241"/>
      <c r="P3000" s="241"/>
      <c r="Q3000" s="241"/>
    </row>
    <row r="3001" spans="1:17" ht="13.5" customHeight="1" x14ac:dyDescent="0.3">
      <c r="A3001"/>
      <c r="B3001" s="241"/>
      <c r="C3001" s="241"/>
      <c r="D3001" s="241"/>
      <c r="E3001" s="241"/>
      <c r="F3001" s="241"/>
      <c r="G3001" s="241"/>
      <c r="H3001" s="241"/>
      <c r="I3001"/>
      <c r="J3001" s="241"/>
      <c r="K3001" s="241"/>
      <c r="L3001" s="241"/>
      <c r="M3001" s="241"/>
      <c r="N3001" s="241"/>
      <c r="O3001" s="241"/>
      <c r="P3001" s="241"/>
      <c r="Q3001" s="241"/>
    </row>
    <row r="3002" spans="1:17" ht="13.5" customHeight="1" x14ac:dyDescent="0.3">
      <c r="A3002"/>
      <c r="B3002" s="241"/>
      <c r="C3002" s="241"/>
      <c r="D3002" s="241"/>
      <c r="E3002" s="241"/>
      <c r="F3002" s="241"/>
      <c r="G3002" s="241"/>
      <c r="H3002" s="241"/>
      <c r="I3002"/>
      <c r="J3002" s="241"/>
      <c r="K3002" s="241"/>
      <c r="L3002" s="241"/>
      <c r="M3002" s="241"/>
      <c r="N3002" s="241"/>
      <c r="O3002" s="241"/>
      <c r="P3002" s="241"/>
      <c r="Q3002" s="241"/>
    </row>
    <row r="3003" spans="1:17" ht="13.5" customHeight="1" x14ac:dyDescent="0.3">
      <c r="A3003"/>
      <c r="B3003" s="241"/>
      <c r="C3003" s="241"/>
      <c r="D3003" s="241"/>
      <c r="E3003" s="241"/>
      <c r="F3003" s="241"/>
      <c r="G3003" s="241"/>
      <c r="H3003" s="241"/>
      <c r="I3003"/>
      <c r="J3003" s="241"/>
      <c r="K3003" s="241"/>
      <c r="L3003" s="241"/>
      <c r="M3003" s="241"/>
      <c r="N3003" s="241"/>
      <c r="O3003" s="241"/>
      <c r="P3003" s="241"/>
      <c r="Q3003" s="241"/>
    </row>
    <row r="3004" spans="1:17" ht="13.5" customHeight="1" x14ac:dyDescent="0.3">
      <c r="A3004"/>
      <c r="B3004" s="241"/>
      <c r="C3004" s="241"/>
      <c r="D3004" s="241"/>
      <c r="E3004" s="241"/>
      <c r="F3004" s="241"/>
      <c r="G3004" s="241"/>
      <c r="H3004" s="241"/>
      <c r="I3004"/>
      <c r="J3004" s="241"/>
      <c r="K3004" s="241"/>
      <c r="L3004" s="241"/>
      <c r="M3004" s="241"/>
      <c r="N3004" s="241"/>
      <c r="O3004" s="241"/>
      <c r="P3004" s="241"/>
      <c r="Q3004" s="241"/>
    </row>
    <row r="3005" spans="1:17" ht="13.5" customHeight="1" x14ac:dyDescent="0.3">
      <c r="A3005"/>
      <c r="B3005" s="241"/>
      <c r="C3005" s="241"/>
      <c r="D3005" s="241"/>
      <c r="E3005" s="241"/>
      <c r="F3005" s="241"/>
      <c r="G3005" s="241"/>
      <c r="H3005" s="241"/>
      <c r="I3005"/>
      <c r="J3005" s="241"/>
      <c r="K3005" s="241"/>
      <c r="L3005" s="241"/>
      <c r="M3005" s="241"/>
      <c r="N3005" s="241"/>
      <c r="O3005" s="241"/>
      <c r="P3005" s="241"/>
      <c r="Q3005" s="241"/>
    </row>
    <row r="3006" spans="1:17" ht="13.5" customHeight="1" x14ac:dyDescent="0.3">
      <c r="A3006"/>
      <c r="B3006" s="241"/>
      <c r="C3006" s="241"/>
      <c r="D3006" s="241"/>
      <c r="E3006" s="241"/>
      <c r="F3006" s="241"/>
      <c r="G3006" s="241"/>
      <c r="H3006" s="241"/>
      <c r="I3006"/>
      <c r="J3006" s="241"/>
      <c r="K3006" s="241"/>
      <c r="L3006" s="241"/>
      <c r="M3006" s="241"/>
      <c r="N3006" s="241"/>
      <c r="O3006" s="241"/>
      <c r="P3006" s="241"/>
      <c r="Q3006" s="241"/>
    </row>
    <row r="3007" spans="1:17" ht="13.5" customHeight="1" x14ac:dyDescent="0.3">
      <c r="A3007"/>
      <c r="B3007" s="241"/>
      <c r="C3007" s="241"/>
      <c r="D3007" s="241"/>
      <c r="E3007" s="241"/>
      <c r="F3007" s="241"/>
      <c r="G3007" s="241"/>
      <c r="H3007" s="241"/>
      <c r="I3007"/>
      <c r="J3007" s="241"/>
      <c r="K3007" s="241"/>
      <c r="L3007" s="241"/>
      <c r="M3007" s="241"/>
      <c r="N3007" s="241"/>
      <c r="O3007" s="241"/>
      <c r="P3007" s="241"/>
      <c r="Q3007" s="241"/>
    </row>
    <row r="3008" spans="1:17" ht="13.5" customHeight="1" x14ac:dyDescent="0.3">
      <c r="A3008"/>
      <c r="B3008" s="241"/>
      <c r="C3008" s="241"/>
      <c r="D3008" s="241"/>
      <c r="E3008" s="241"/>
      <c r="F3008" s="241"/>
      <c r="G3008" s="241"/>
      <c r="H3008" s="241"/>
      <c r="I3008"/>
      <c r="J3008" s="241"/>
      <c r="K3008" s="241"/>
      <c r="L3008" s="241"/>
      <c r="M3008" s="241"/>
      <c r="N3008" s="241"/>
      <c r="O3008" s="241"/>
      <c r="P3008" s="241"/>
      <c r="Q3008" s="241"/>
    </row>
    <row r="3009" spans="1:17" ht="13.5" customHeight="1" x14ac:dyDescent="0.3">
      <c r="A3009"/>
      <c r="B3009" s="241"/>
      <c r="C3009" s="241"/>
      <c r="D3009" s="241"/>
      <c r="E3009" s="241"/>
      <c r="F3009" s="241"/>
      <c r="G3009" s="241"/>
      <c r="H3009" s="241"/>
      <c r="I3009"/>
      <c r="J3009" s="241"/>
      <c r="K3009" s="241"/>
      <c r="L3009" s="241"/>
      <c r="M3009" s="241"/>
      <c r="N3009" s="241"/>
      <c r="O3009" s="241"/>
      <c r="P3009" s="241"/>
      <c r="Q3009" s="241"/>
    </row>
    <row r="3010" spans="1:17" ht="13.5" customHeight="1" x14ac:dyDescent="0.3">
      <c r="A3010"/>
      <c r="B3010" s="241"/>
      <c r="C3010" s="241"/>
      <c r="D3010" s="241"/>
      <c r="E3010" s="241"/>
      <c r="F3010" s="241"/>
      <c r="G3010" s="241"/>
      <c r="H3010" s="241"/>
      <c r="I3010"/>
      <c r="J3010" s="241"/>
      <c r="K3010" s="241"/>
      <c r="L3010" s="241"/>
      <c r="M3010" s="241"/>
      <c r="N3010" s="241"/>
      <c r="O3010" s="241"/>
      <c r="P3010" s="241"/>
      <c r="Q3010" s="241"/>
    </row>
    <row r="3011" spans="1:17" ht="13.5" customHeight="1" x14ac:dyDescent="0.3">
      <c r="A3011"/>
      <c r="B3011" s="241"/>
      <c r="C3011" s="241"/>
      <c r="D3011" s="241"/>
      <c r="E3011" s="241"/>
      <c r="F3011" s="241"/>
      <c r="G3011" s="241"/>
      <c r="H3011" s="241"/>
      <c r="I3011"/>
      <c r="J3011" s="241"/>
      <c r="K3011" s="241"/>
      <c r="L3011" s="241"/>
      <c r="M3011" s="241"/>
      <c r="N3011" s="241"/>
      <c r="O3011" s="241"/>
      <c r="P3011" s="241"/>
      <c r="Q3011" s="241"/>
    </row>
    <row r="3012" spans="1:17" ht="13.5" customHeight="1" x14ac:dyDescent="0.3">
      <c r="A3012"/>
      <c r="B3012" s="241"/>
      <c r="C3012" s="241"/>
      <c r="D3012" s="241"/>
      <c r="E3012" s="241"/>
      <c r="F3012" s="241"/>
      <c r="G3012" s="241"/>
      <c r="H3012" s="241"/>
      <c r="I3012"/>
      <c r="J3012" s="241"/>
      <c r="K3012" s="241"/>
      <c r="L3012" s="241"/>
      <c r="M3012" s="241"/>
      <c r="N3012" s="241"/>
      <c r="O3012" s="241"/>
      <c r="P3012" s="241"/>
      <c r="Q3012" s="241"/>
    </row>
    <row r="3013" spans="1:17" ht="13.5" customHeight="1" x14ac:dyDescent="0.3">
      <c r="A3013"/>
      <c r="B3013" s="241"/>
      <c r="C3013" s="241"/>
      <c r="D3013" s="241"/>
      <c r="E3013" s="241"/>
      <c r="F3013" s="241"/>
      <c r="G3013" s="241"/>
      <c r="H3013" s="241"/>
      <c r="I3013"/>
      <c r="J3013" s="241"/>
      <c r="K3013" s="241"/>
      <c r="L3013" s="241"/>
      <c r="M3013" s="241"/>
      <c r="N3013" s="241"/>
      <c r="O3013" s="241"/>
      <c r="P3013" s="241"/>
      <c r="Q3013" s="241"/>
    </row>
    <row r="3014" spans="1:17" ht="13.5" customHeight="1" x14ac:dyDescent="0.3">
      <c r="A3014"/>
      <c r="B3014" s="241"/>
      <c r="C3014" s="241"/>
      <c r="D3014" s="241"/>
      <c r="E3014" s="241"/>
      <c r="F3014" s="241"/>
      <c r="G3014" s="241"/>
      <c r="H3014" s="241"/>
      <c r="I3014"/>
      <c r="J3014" s="241"/>
      <c r="K3014" s="241"/>
      <c r="L3014" s="241"/>
      <c r="M3014" s="241"/>
      <c r="N3014" s="241"/>
      <c r="O3014" s="241"/>
      <c r="P3014" s="241"/>
      <c r="Q3014" s="241"/>
    </row>
    <row r="3015" spans="1:17" ht="13.5" customHeight="1" x14ac:dyDescent="0.3">
      <c r="A3015"/>
      <c r="B3015" s="241"/>
      <c r="C3015" s="241"/>
      <c r="D3015" s="241"/>
      <c r="E3015" s="241"/>
      <c r="F3015" s="241"/>
      <c r="G3015" s="241"/>
      <c r="H3015" s="241"/>
      <c r="I3015"/>
      <c r="J3015" s="241"/>
      <c r="K3015" s="241"/>
      <c r="L3015" s="241"/>
      <c r="M3015" s="241"/>
      <c r="N3015" s="241"/>
      <c r="O3015" s="241"/>
      <c r="P3015" s="241"/>
      <c r="Q3015" s="241"/>
    </row>
    <row r="3016" spans="1:17" ht="13.5" customHeight="1" x14ac:dyDescent="0.3">
      <c r="A3016"/>
      <c r="B3016" s="241"/>
      <c r="C3016" s="241"/>
      <c r="D3016" s="241"/>
      <c r="E3016" s="241"/>
      <c r="F3016" s="241"/>
      <c r="G3016" s="241"/>
      <c r="H3016" s="241"/>
      <c r="I3016"/>
      <c r="J3016" s="241"/>
      <c r="K3016" s="241"/>
      <c r="L3016" s="241"/>
      <c r="M3016" s="241"/>
      <c r="N3016" s="241"/>
      <c r="O3016" s="241"/>
      <c r="P3016" s="241"/>
      <c r="Q3016" s="241"/>
    </row>
    <row r="3017" spans="1:17" ht="13.5" customHeight="1" x14ac:dyDescent="0.3">
      <c r="A3017"/>
      <c r="B3017" s="241"/>
      <c r="C3017" s="241"/>
      <c r="D3017" s="241"/>
      <c r="E3017" s="241"/>
      <c r="F3017" s="241"/>
      <c r="G3017" s="241"/>
      <c r="H3017" s="241"/>
      <c r="I3017"/>
      <c r="J3017" s="241"/>
      <c r="K3017" s="241"/>
      <c r="L3017" s="241"/>
      <c r="M3017" s="241"/>
      <c r="N3017" s="241"/>
      <c r="O3017" s="241"/>
      <c r="P3017" s="241"/>
      <c r="Q3017" s="241"/>
    </row>
    <row r="3018" spans="1:17" ht="13.5" customHeight="1" x14ac:dyDescent="0.3">
      <c r="A3018"/>
      <c r="B3018" s="241"/>
      <c r="C3018" s="241"/>
      <c r="D3018" s="241"/>
      <c r="E3018" s="241"/>
      <c r="F3018" s="241"/>
      <c r="G3018" s="241"/>
      <c r="H3018" s="241"/>
      <c r="I3018"/>
      <c r="J3018" s="241"/>
      <c r="K3018" s="241"/>
      <c r="L3018" s="241"/>
      <c r="M3018" s="241"/>
      <c r="N3018" s="241"/>
      <c r="O3018" s="241"/>
      <c r="P3018" s="241"/>
      <c r="Q3018" s="241"/>
    </row>
    <row r="3019" spans="1:17" ht="13.5" customHeight="1" x14ac:dyDescent="0.3">
      <c r="A3019"/>
      <c r="B3019" s="241"/>
      <c r="C3019" s="241"/>
      <c r="D3019" s="241"/>
      <c r="E3019" s="241"/>
      <c r="F3019" s="241"/>
      <c r="G3019" s="241"/>
      <c r="H3019" s="241"/>
      <c r="I3019"/>
      <c r="J3019" s="241"/>
      <c r="K3019" s="241"/>
      <c r="L3019" s="241"/>
      <c r="M3019" s="241"/>
      <c r="N3019" s="241"/>
      <c r="O3019" s="241"/>
      <c r="P3019" s="241"/>
      <c r="Q3019" s="241"/>
    </row>
    <row r="3020" spans="1:17" ht="13.5" customHeight="1" x14ac:dyDescent="0.3">
      <c r="A3020"/>
      <c r="B3020" s="241"/>
      <c r="C3020" s="241"/>
      <c r="D3020" s="241"/>
      <c r="E3020" s="241"/>
      <c r="F3020" s="241"/>
      <c r="G3020" s="241"/>
      <c r="H3020" s="241"/>
      <c r="I3020"/>
      <c r="J3020" s="241"/>
      <c r="K3020" s="241"/>
      <c r="L3020" s="241"/>
      <c r="M3020" s="241"/>
      <c r="N3020" s="241"/>
      <c r="O3020" s="241"/>
      <c r="P3020" s="241"/>
      <c r="Q3020" s="241"/>
    </row>
    <row r="3021" spans="1:17" ht="13.5" customHeight="1" x14ac:dyDescent="0.3">
      <c r="A3021"/>
      <c r="B3021" s="241"/>
      <c r="C3021" s="241"/>
      <c r="D3021" s="241"/>
      <c r="E3021" s="241"/>
      <c r="F3021" s="241"/>
      <c r="G3021" s="241"/>
      <c r="H3021" s="241"/>
      <c r="I3021"/>
      <c r="J3021" s="241"/>
      <c r="K3021" s="241"/>
      <c r="L3021" s="241"/>
      <c r="M3021" s="241"/>
      <c r="N3021" s="241"/>
      <c r="O3021" s="241"/>
      <c r="P3021" s="241"/>
      <c r="Q3021" s="241"/>
    </row>
    <row r="3022" spans="1:17" ht="13.5" customHeight="1" x14ac:dyDescent="0.3">
      <c r="A3022"/>
      <c r="B3022" s="241"/>
      <c r="C3022" s="241"/>
      <c r="D3022" s="241"/>
      <c r="E3022" s="241"/>
      <c r="F3022" s="241"/>
      <c r="G3022" s="241"/>
      <c r="H3022" s="241"/>
      <c r="I3022"/>
      <c r="J3022" s="241"/>
      <c r="K3022" s="241"/>
      <c r="L3022" s="241"/>
      <c r="M3022" s="241"/>
      <c r="N3022" s="241"/>
      <c r="O3022" s="241"/>
      <c r="P3022" s="241"/>
      <c r="Q3022" s="241"/>
    </row>
    <row r="3023" spans="1:17" ht="13.5" customHeight="1" x14ac:dyDescent="0.3">
      <c r="A3023"/>
      <c r="B3023" s="241"/>
      <c r="C3023" s="241"/>
      <c r="D3023" s="241"/>
      <c r="E3023" s="241"/>
      <c r="F3023" s="241"/>
      <c r="G3023" s="241"/>
      <c r="H3023" s="241"/>
      <c r="I3023"/>
      <c r="J3023" s="241"/>
      <c r="K3023" s="241"/>
      <c r="L3023" s="241"/>
      <c r="M3023" s="241"/>
      <c r="N3023" s="241"/>
      <c r="O3023" s="241"/>
      <c r="P3023" s="241"/>
      <c r="Q3023" s="241"/>
    </row>
    <row r="3024" spans="1:17" ht="13.5" customHeight="1" x14ac:dyDescent="0.3">
      <c r="A3024"/>
      <c r="B3024" s="241"/>
      <c r="C3024" s="241"/>
      <c r="D3024" s="241"/>
      <c r="E3024" s="241"/>
      <c r="F3024" s="241"/>
      <c r="G3024" s="241"/>
      <c r="H3024" s="241"/>
      <c r="I3024"/>
      <c r="J3024" s="241"/>
      <c r="K3024" s="241"/>
      <c r="L3024" s="241"/>
      <c r="M3024" s="241"/>
      <c r="N3024" s="241"/>
      <c r="O3024" s="241"/>
      <c r="P3024" s="241"/>
      <c r="Q3024" s="241"/>
    </row>
    <row r="3025" spans="1:17" ht="13.5" customHeight="1" x14ac:dyDescent="0.3">
      <c r="A3025"/>
      <c r="B3025" s="241"/>
      <c r="C3025" s="241"/>
      <c r="D3025" s="241"/>
      <c r="E3025" s="241"/>
      <c r="F3025" s="241"/>
      <c r="G3025" s="241"/>
      <c r="H3025" s="241"/>
      <c r="I3025"/>
      <c r="J3025" s="241"/>
      <c r="K3025" s="241"/>
      <c r="L3025" s="241"/>
      <c r="M3025" s="241"/>
      <c r="N3025" s="241"/>
      <c r="O3025" s="241"/>
      <c r="P3025" s="241"/>
      <c r="Q3025" s="241"/>
    </row>
    <row r="3026" spans="1:17" ht="13.5" customHeight="1" x14ac:dyDescent="0.3">
      <c r="A3026"/>
      <c r="B3026" s="241"/>
      <c r="C3026" s="241"/>
      <c r="D3026" s="241"/>
      <c r="E3026" s="241"/>
      <c r="F3026" s="241"/>
      <c r="G3026" s="241"/>
      <c r="H3026" s="241"/>
      <c r="I3026"/>
      <c r="J3026" s="241"/>
      <c r="K3026" s="241"/>
      <c r="L3026" s="241"/>
      <c r="M3026" s="241"/>
      <c r="N3026" s="241"/>
      <c r="O3026" s="241"/>
      <c r="P3026" s="241"/>
      <c r="Q3026" s="241"/>
    </row>
    <row r="3027" spans="1:17" ht="13.5" customHeight="1" x14ac:dyDescent="0.3">
      <c r="A3027"/>
      <c r="B3027" s="241"/>
      <c r="C3027" s="241"/>
      <c r="D3027" s="241"/>
      <c r="E3027" s="241"/>
      <c r="F3027" s="241"/>
      <c r="G3027" s="241"/>
      <c r="H3027" s="241"/>
      <c r="I3027"/>
      <c r="J3027" s="241"/>
      <c r="K3027" s="241"/>
      <c r="L3027" s="241"/>
      <c r="M3027" s="241"/>
      <c r="N3027" s="241"/>
      <c r="O3027" s="241"/>
      <c r="P3027" s="241"/>
      <c r="Q3027" s="241"/>
    </row>
    <row r="3028" spans="1:17" ht="13.5" customHeight="1" x14ac:dyDescent="0.3">
      <c r="A3028"/>
      <c r="B3028" s="241"/>
      <c r="C3028" s="241"/>
      <c r="D3028" s="241"/>
      <c r="E3028" s="241"/>
      <c r="F3028" s="241"/>
      <c r="G3028" s="241"/>
      <c r="H3028" s="241"/>
      <c r="I3028"/>
      <c r="J3028" s="241"/>
      <c r="K3028" s="241"/>
      <c r="L3028" s="241"/>
      <c r="M3028" s="241"/>
      <c r="N3028" s="241"/>
      <c r="O3028" s="241"/>
      <c r="P3028" s="241"/>
      <c r="Q3028" s="241"/>
    </row>
    <row r="3029" spans="1:17" ht="13.5" customHeight="1" x14ac:dyDescent="0.3">
      <c r="A3029"/>
      <c r="B3029" s="241"/>
      <c r="C3029" s="241"/>
      <c r="D3029" s="241"/>
      <c r="E3029" s="241"/>
      <c r="F3029" s="241"/>
      <c r="G3029" s="241"/>
      <c r="H3029" s="241"/>
      <c r="I3029"/>
      <c r="J3029" s="241"/>
      <c r="K3029" s="241"/>
      <c r="L3029" s="241"/>
      <c r="M3029" s="241"/>
      <c r="N3029" s="241"/>
      <c r="O3029" s="241"/>
      <c r="P3029" s="241"/>
      <c r="Q3029" s="241"/>
    </row>
    <row r="3030" spans="1:17" ht="13.5" customHeight="1" x14ac:dyDescent="0.3">
      <c r="A3030"/>
      <c r="B3030" s="241"/>
      <c r="C3030" s="241"/>
      <c r="D3030" s="241"/>
      <c r="E3030" s="241"/>
      <c r="F3030" s="241"/>
      <c r="G3030" s="241"/>
      <c r="H3030" s="241"/>
      <c r="I3030"/>
      <c r="J3030" s="241"/>
      <c r="K3030" s="241"/>
      <c r="L3030" s="241"/>
      <c r="M3030" s="241"/>
      <c r="N3030" s="241"/>
      <c r="O3030" s="241"/>
      <c r="P3030" s="241"/>
      <c r="Q3030" s="241"/>
    </row>
    <row r="3031" spans="1:17" ht="13.5" customHeight="1" x14ac:dyDescent="0.3">
      <c r="A3031"/>
      <c r="B3031" s="241"/>
      <c r="C3031" s="241"/>
      <c r="D3031" s="241"/>
      <c r="E3031" s="241"/>
      <c r="F3031" s="241"/>
      <c r="G3031" s="241"/>
      <c r="H3031" s="241"/>
      <c r="I3031"/>
      <c r="J3031" s="241"/>
      <c r="K3031" s="241"/>
      <c r="L3031" s="241"/>
      <c r="M3031" s="241"/>
      <c r="N3031" s="241"/>
      <c r="O3031" s="241"/>
      <c r="P3031" s="241"/>
      <c r="Q3031" s="241"/>
    </row>
    <row r="3032" spans="1:17" ht="13.5" customHeight="1" x14ac:dyDescent="0.3">
      <c r="A3032"/>
      <c r="B3032" s="241"/>
      <c r="C3032" s="241"/>
      <c r="D3032" s="241"/>
      <c r="E3032" s="241"/>
      <c r="F3032" s="241"/>
      <c r="G3032" s="241"/>
      <c r="H3032" s="241"/>
      <c r="I3032"/>
      <c r="J3032" s="241"/>
      <c r="K3032" s="241"/>
      <c r="L3032" s="241"/>
      <c r="M3032" s="241"/>
      <c r="N3032" s="241"/>
      <c r="O3032" s="241"/>
      <c r="P3032" s="241"/>
      <c r="Q3032" s="241"/>
    </row>
    <row r="3033" spans="1:17" ht="13.5" customHeight="1" x14ac:dyDescent="0.3">
      <c r="A3033"/>
      <c r="B3033" s="241"/>
      <c r="C3033" s="241"/>
      <c r="D3033" s="241"/>
      <c r="E3033" s="241"/>
      <c r="F3033" s="241"/>
      <c r="G3033" s="241"/>
      <c r="H3033" s="241"/>
      <c r="I3033"/>
      <c r="J3033" s="241"/>
      <c r="K3033" s="241"/>
      <c r="L3033" s="241"/>
      <c r="M3033" s="241"/>
      <c r="N3033" s="241"/>
      <c r="O3033" s="241"/>
      <c r="P3033" s="241"/>
      <c r="Q3033" s="241"/>
    </row>
    <row r="3034" spans="1:17" ht="13.5" customHeight="1" x14ac:dyDescent="0.3">
      <c r="A3034"/>
      <c r="B3034" s="241"/>
      <c r="C3034" s="241"/>
      <c r="D3034" s="241"/>
      <c r="E3034" s="241"/>
      <c r="F3034" s="241"/>
      <c r="G3034" s="241"/>
      <c r="H3034" s="241"/>
      <c r="I3034"/>
      <c r="J3034" s="241"/>
      <c r="K3034" s="241"/>
      <c r="L3034" s="241"/>
      <c r="M3034" s="241"/>
      <c r="N3034" s="241"/>
      <c r="O3034" s="241"/>
      <c r="P3034" s="241"/>
      <c r="Q3034" s="241"/>
    </row>
    <row r="3035" spans="1:17" ht="13.5" customHeight="1" x14ac:dyDescent="0.3">
      <c r="A3035"/>
      <c r="B3035" s="241"/>
      <c r="C3035" s="241"/>
      <c r="D3035" s="241"/>
      <c r="E3035" s="241"/>
      <c r="F3035" s="241"/>
      <c r="G3035" s="241"/>
      <c r="H3035" s="241"/>
      <c r="I3035"/>
      <c r="J3035" s="241"/>
      <c r="K3035" s="241"/>
      <c r="L3035" s="241"/>
      <c r="M3035" s="241"/>
      <c r="N3035" s="241"/>
      <c r="O3035" s="241"/>
      <c r="P3035" s="241"/>
      <c r="Q3035" s="241"/>
    </row>
    <row r="3036" spans="1:17" ht="13.5" customHeight="1" x14ac:dyDescent="0.3">
      <c r="A3036"/>
      <c r="B3036" s="241"/>
      <c r="C3036" s="241"/>
      <c r="D3036" s="241"/>
      <c r="E3036" s="241"/>
      <c r="F3036" s="241"/>
      <c r="G3036" s="241"/>
      <c r="H3036" s="241"/>
      <c r="I3036"/>
      <c r="J3036" s="241"/>
      <c r="K3036" s="241"/>
      <c r="L3036" s="241"/>
      <c r="M3036" s="241"/>
      <c r="N3036" s="241"/>
      <c r="O3036" s="241"/>
      <c r="P3036" s="241"/>
      <c r="Q3036" s="241"/>
    </row>
    <row r="3037" spans="1:17" ht="13.5" customHeight="1" x14ac:dyDescent="0.3">
      <c r="A3037"/>
      <c r="B3037" s="241"/>
      <c r="C3037" s="241"/>
      <c r="D3037" s="241"/>
      <c r="E3037" s="241"/>
      <c r="F3037" s="241"/>
      <c r="G3037" s="241"/>
      <c r="H3037" s="241"/>
      <c r="I3037"/>
      <c r="J3037" s="241"/>
      <c r="K3037" s="241"/>
      <c r="L3037" s="241"/>
      <c r="M3037" s="241"/>
      <c r="N3037" s="241"/>
      <c r="O3037" s="241"/>
      <c r="P3037" s="241"/>
      <c r="Q3037" s="241"/>
    </row>
    <row r="3038" spans="1:17" ht="13.5" customHeight="1" x14ac:dyDescent="0.3">
      <c r="A3038"/>
      <c r="B3038" s="241"/>
      <c r="C3038" s="241"/>
      <c r="D3038" s="241"/>
      <c r="E3038" s="241"/>
      <c r="F3038" s="241"/>
      <c r="G3038" s="241"/>
      <c r="H3038" s="241"/>
      <c r="I3038"/>
      <c r="J3038" s="241"/>
      <c r="K3038" s="241"/>
      <c r="L3038" s="241"/>
      <c r="M3038" s="241"/>
      <c r="N3038" s="241"/>
      <c r="O3038" s="241"/>
      <c r="P3038" s="241"/>
      <c r="Q3038" s="241"/>
    </row>
    <row r="3039" spans="1:17" ht="13.5" customHeight="1" x14ac:dyDescent="0.3">
      <c r="A3039"/>
      <c r="B3039" s="241"/>
      <c r="C3039" s="241"/>
      <c r="D3039" s="241"/>
      <c r="E3039" s="241"/>
      <c r="F3039" s="241"/>
      <c r="G3039" s="241"/>
      <c r="H3039" s="241"/>
      <c r="I3039"/>
      <c r="J3039" s="241"/>
      <c r="K3039" s="241"/>
      <c r="L3039" s="241"/>
      <c r="M3039" s="241"/>
      <c r="N3039" s="241"/>
      <c r="O3039" s="241"/>
      <c r="P3039" s="241"/>
      <c r="Q3039" s="241"/>
    </row>
    <row r="3040" spans="1:17" ht="13.5" customHeight="1" x14ac:dyDescent="0.3">
      <c r="A3040"/>
      <c r="B3040" s="241"/>
      <c r="C3040" s="241"/>
      <c r="D3040" s="241"/>
      <c r="E3040" s="241"/>
      <c r="F3040" s="241"/>
      <c r="G3040" s="241"/>
      <c r="H3040" s="241"/>
      <c r="I3040"/>
      <c r="J3040" s="241"/>
      <c r="K3040" s="241"/>
      <c r="L3040" s="241"/>
      <c r="M3040" s="241"/>
      <c r="N3040" s="241"/>
      <c r="O3040" s="241"/>
      <c r="P3040" s="241"/>
      <c r="Q3040" s="241"/>
    </row>
    <row r="3041" spans="1:17" ht="13.5" customHeight="1" x14ac:dyDescent="0.3">
      <c r="A3041"/>
      <c r="B3041" s="241"/>
      <c r="C3041" s="241"/>
      <c r="D3041" s="241"/>
      <c r="E3041" s="241"/>
      <c r="F3041" s="241"/>
      <c r="G3041" s="241"/>
      <c r="H3041" s="241"/>
      <c r="I3041"/>
      <c r="J3041" s="241"/>
      <c r="K3041" s="241"/>
      <c r="L3041" s="241"/>
      <c r="M3041" s="241"/>
      <c r="N3041" s="241"/>
      <c r="O3041" s="241"/>
      <c r="P3041" s="241"/>
      <c r="Q3041" s="241"/>
    </row>
    <row r="3042" spans="1:17" ht="13.5" customHeight="1" x14ac:dyDescent="0.3">
      <c r="A3042"/>
      <c r="B3042" s="241"/>
      <c r="C3042" s="241"/>
      <c r="D3042" s="241"/>
      <c r="E3042" s="241"/>
      <c r="F3042" s="241"/>
      <c r="G3042" s="241"/>
      <c r="H3042" s="241"/>
      <c r="I3042"/>
      <c r="J3042" s="241"/>
      <c r="K3042" s="241"/>
      <c r="L3042" s="241"/>
      <c r="M3042" s="241"/>
      <c r="N3042" s="241"/>
      <c r="O3042" s="241"/>
      <c r="P3042" s="241"/>
      <c r="Q3042" s="241"/>
    </row>
    <row r="3043" spans="1:17" ht="13.5" customHeight="1" x14ac:dyDescent="0.3">
      <c r="A3043"/>
      <c r="B3043" s="241"/>
      <c r="C3043" s="241"/>
      <c r="D3043" s="241"/>
      <c r="E3043" s="241"/>
      <c r="F3043" s="241"/>
      <c r="G3043" s="241"/>
      <c r="H3043" s="241"/>
      <c r="I3043"/>
      <c r="J3043" s="241"/>
      <c r="K3043" s="241"/>
      <c r="L3043" s="241"/>
      <c r="M3043" s="241"/>
      <c r="N3043" s="241"/>
      <c r="O3043" s="241"/>
      <c r="P3043" s="241"/>
      <c r="Q3043" s="241"/>
    </row>
    <row r="3044" spans="1:17" ht="13.5" customHeight="1" x14ac:dyDescent="0.3">
      <c r="A3044"/>
      <c r="B3044" s="241"/>
      <c r="C3044" s="241"/>
      <c r="D3044" s="241"/>
      <c r="E3044" s="241"/>
      <c r="F3044" s="241"/>
      <c r="G3044" s="241"/>
      <c r="H3044" s="241"/>
      <c r="I3044"/>
      <c r="J3044" s="241"/>
      <c r="K3044" s="241"/>
      <c r="L3044" s="241"/>
      <c r="M3044" s="241"/>
      <c r="N3044" s="241"/>
      <c r="O3044" s="241"/>
      <c r="P3044" s="241"/>
      <c r="Q3044" s="241"/>
    </row>
    <row r="3045" spans="1:17" ht="13.5" customHeight="1" x14ac:dyDescent="0.3">
      <c r="A3045"/>
      <c r="B3045" s="241"/>
      <c r="C3045" s="241"/>
      <c r="D3045" s="241"/>
      <c r="E3045" s="241"/>
      <c r="F3045" s="241"/>
      <c r="G3045" s="241"/>
      <c r="H3045" s="241"/>
      <c r="I3045"/>
      <c r="J3045" s="241"/>
      <c r="K3045" s="241"/>
      <c r="L3045" s="241"/>
      <c r="M3045" s="241"/>
      <c r="N3045" s="241"/>
      <c r="O3045" s="241"/>
      <c r="P3045" s="241"/>
      <c r="Q3045" s="241"/>
    </row>
    <row r="3046" spans="1:17" ht="13.5" customHeight="1" x14ac:dyDescent="0.3">
      <c r="A3046"/>
      <c r="B3046" s="241"/>
      <c r="C3046" s="241"/>
      <c r="D3046" s="241"/>
      <c r="E3046" s="241"/>
      <c r="F3046" s="241"/>
      <c r="G3046" s="241"/>
      <c r="H3046" s="241"/>
      <c r="I3046"/>
      <c r="J3046" s="241"/>
      <c r="K3046" s="241"/>
      <c r="L3046" s="241"/>
      <c r="M3046" s="241"/>
      <c r="N3046" s="241"/>
      <c r="O3046" s="241"/>
      <c r="P3046" s="241"/>
      <c r="Q3046" s="241"/>
    </row>
    <row r="3047" spans="1:17" ht="13.5" customHeight="1" x14ac:dyDescent="0.3">
      <c r="A3047"/>
      <c r="B3047" s="241"/>
      <c r="C3047" s="241"/>
      <c r="D3047" s="241"/>
      <c r="E3047" s="241"/>
      <c r="F3047" s="241"/>
      <c r="G3047" s="241"/>
      <c r="H3047" s="241"/>
      <c r="I3047"/>
      <c r="J3047" s="241"/>
      <c r="K3047" s="241"/>
      <c r="L3047" s="241"/>
      <c r="M3047" s="241"/>
      <c r="N3047" s="241"/>
      <c r="O3047" s="241"/>
      <c r="P3047" s="241"/>
      <c r="Q3047" s="241"/>
    </row>
    <row r="3048" spans="1:17" ht="13.5" customHeight="1" x14ac:dyDescent="0.3">
      <c r="A3048"/>
      <c r="B3048" s="241"/>
      <c r="C3048" s="241"/>
      <c r="D3048" s="241"/>
      <c r="E3048" s="241"/>
      <c r="F3048" s="241"/>
      <c r="G3048" s="241"/>
      <c r="H3048" s="241"/>
      <c r="I3048"/>
      <c r="J3048" s="241"/>
      <c r="K3048" s="241"/>
      <c r="L3048" s="241"/>
      <c r="M3048" s="241"/>
      <c r="N3048" s="241"/>
      <c r="O3048" s="241"/>
      <c r="P3048" s="241"/>
      <c r="Q3048" s="241"/>
    </row>
    <row r="3049" spans="1:17" ht="13.5" customHeight="1" x14ac:dyDescent="0.3">
      <c r="A3049"/>
      <c r="B3049" s="241"/>
      <c r="C3049" s="241"/>
      <c r="D3049" s="241"/>
      <c r="E3049" s="241"/>
      <c r="F3049" s="241"/>
      <c r="G3049" s="241"/>
      <c r="H3049" s="241"/>
      <c r="I3049"/>
      <c r="J3049" s="241"/>
      <c r="K3049" s="241"/>
      <c r="L3049" s="241"/>
      <c r="M3049" s="241"/>
      <c r="N3049" s="241"/>
      <c r="O3049" s="241"/>
      <c r="P3049" s="241"/>
      <c r="Q3049" s="241"/>
    </row>
    <row r="3050" spans="1:17" ht="13.5" customHeight="1" x14ac:dyDescent="0.3">
      <c r="A3050"/>
      <c r="B3050" s="241"/>
      <c r="C3050" s="241"/>
      <c r="D3050" s="241"/>
      <c r="E3050" s="241"/>
      <c r="F3050" s="241"/>
      <c r="G3050" s="241"/>
      <c r="H3050" s="241"/>
      <c r="I3050"/>
      <c r="J3050" s="241"/>
      <c r="K3050" s="241"/>
      <c r="L3050" s="241"/>
      <c r="M3050" s="241"/>
      <c r="N3050" s="241"/>
      <c r="O3050" s="241"/>
      <c r="P3050" s="241"/>
      <c r="Q3050" s="241"/>
    </row>
    <row r="3051" spans="1:17" ht="13.5" customHeight="1" x14ac:dyDescent="0.3">
      <c r="A3051"/>
      <c r="B3051" s="241"/>
      <c r="C3051" s="241"/>
      <c r="D3051" s="241"/>
      <c r="E3051" s="241"/>
      <c r="F3051" s="241"/>
      <c r="G3051" s="241"/>
      <c r="H3051" s="241"/>
      <c r="I3051"/>
      <c r="J3051" s="241"/>
      <c r="K3051" s="241"/>
      <c r="L3051" s="241"/>
      <c r="M3051" s="241"/>
      <c r="N3051" s="241"/>
      <c r="O3051" s="241"/>
      <c r="P3051" s="241"/>
      <c r="Q3051" s="241"/>
    </row>
    <row r="3052" spans="1:17" ht="13.5" customHeight="1" x14ac:dyDescent="0.3">
      <c r="A3052"/>
      <c r="B3052" s="241"/>
      <c r="C3052" s="241"/>
      <c r="D3052" s="241"/>
      <c r="E3052" s="241"/>
      <c r="F3052" s="241"/>
      <c r="G3052" s="241"/>
      <c r="H3052" s="241"/>
      <c r="I3052"/>
      <c r="J3052" s="241"/>
      <c r="K3052" s="241"/>
      <c r="L3052" s="241"/>
      <c r="M3052" s="241"/>
      <c r="N3052" s="241"/>
      <c r="O3052" s="241"/>
      <c r="P3052" s="241"/>
      <c r="Q3052" s="241"/>
    </row>
    <row r="3053" spans="1:17" ht="13.5" customHeight="1" x14ac:dyDescent="0.3">
      <c r="A3053"/>
      <c r="B3053" s="241"/>
      <c r="C3053" s="241"/>
      <c r="D3053" s="241"/>
      <c r="E3053" s="241"/>
      <c r="F3053" s="241"/>
      <c r="G3053" s="241"/>
      <c r="H3053" s="241"/>
      <c r="I3053"/>
      <c r="J3053" s="241"/>
      <c r="K3053" s="241"/>
      <c r="L3053" s="241"/>
      <c r="M3053" s="241"/>
      <c r="N3053" s="241"/>
      <c r="O3053" s="241"/>
      <c r="P3053" s="241"/>
      <c r="Q3053" s="241"/>
    </row>
    <row r="3054" spans="1:17" ht="13.5" customHeight="1" x14ac:dyDescent="0.3">
      <c r="A3054"/>
      <c r="B3054" s="241"/>
      <c r="C3054" s="241"/>
      <c r="D3054" s="241"/>
      <c r="E3054" s="241"/>
      <c r="F3054" s="241"/>
      <c r="G3054" s="241"/>
      <c r="H3054" s="241"/>
      <c r="I3054"/>
      <c r="J3054" s="241"/>
      <c r="K3054" s="241"/>
      <c r="L3054" s="241"/>
      <c r="M3054" s="241"/>
      <c r="N3054" s="241"/>
      <c r="O3054" s="241"/>
      <c r="P3054" s="241"/>
      <c r="Q3054" s="241"/>
    </row>
    <row r="3055" spans="1:17" ht="13.5" customHeight="1" x14ac:dyDescent="0.3">
      <c r="A3055"/>
      <c r="B3055" s="241"/>
      <c r="C3055" s="241"/>
      <c r="D3055" s="241"/>
      <c r="E3055" s="241"/>
      <c r="F3055" s="241"/>
      <c r="G3055" s="241"/>
      <c r="H3055" s="241"/>
      <c r="I3055"/>
      <c r="J3055" s="241"/>
      <c r="K3055" s="241"/>
      <c r="L3055" s="241"/>
      <c r="M3055" s="241"/>
      <c r="N3055" s="241"/>
      <c r="O3055" s="241"/>
      <c r="P3055" s="241"/>
      <c r="Q3055" s="241"/>
    </row>
    <row r="3056" spans="1:17" ht="13.5" customHeight="1" x14ac:dyDescent="0.3">
      <c r="A3056"/>
      <c r="B3056" s="241"/>
      <c r="C3056" s="241"/>
      <c r="D3056" s="241"/>
      <c r="E3056" s="241"/>
      <c r="F3056" s="241"/>
      <c r="G3056" s="241"/>
      <c r="H3056" s="241"/>
      <c r="I3056"/>
      <c r="J3056" s="241"/>
      <c r="K3056" s="241"/>
      <c r="L3056" s="241"/>
      <c r="M3056" s="241"/>
      <c r="N3056" s="241"/>
      <c r="O3056" s="241"/>
      <c r="P3056" s="241"/>
      <c r="Q3056" s="241"/>
    </row>
    <row r="3057" spans="1:17" ht="13.5" customHeight="1" x14ac:dyDescent="0.3">
      <c r="A3057"/>
      <c r="B3057" s="241"/>
      <c r="C3057" s="241"/>
      <c r="D3057" s="241"/>
      <c r="E3057" s="241"/>
      <c r="F3057" s="241"/>
      <c r="G3057" s="241"/>
      <c r="H3057" s="241"/>
      <c r="I3057"/>
      <c r="J3057" s="241"/>
      <c r="K3057" s="241"/>
      <c r="L3057" s="241"/>
      <c r="M3057" s="241"/>
      <c r="N3057" s="241"/>
      <c r="O3057" s="241"/>
      <c r="P3057" s="241"/>
      <c r="Q3057" s="241"/>
    </row>
    <row r="3058" spans="1:17" ht="13.5" customHeight="1" x14ac:dyDescent="0.3">
      <c r="A3058"/>
      <c r="B3058" s="241"/>
      <c r="C3058" s="241"/>
      <c r="D3058" s="241"/>
      <c r="E3058" s="241"/>
      <c r="F3058" s="241"/>
      <c r="G3058" s="241"/>
      <c r="H3058" s="241"/>
      <c r="I3058"/>
      <c r="J3058" s="241"/>
      <c r="K3058" s="241"/>
      <c r="L3058" s="241"/>
      <c r="M3058" s="241"/>
      <c r="N3058" s="241"/>
      <c r="O3058" s="241"/>
      <c r="P3058" s="241"/>
      <c r="Q3058" s="241"/>
    </row>
    <row r="3059" spans="1:17" ht="13.5" customHeight="1" x14ac:dyDescent="0.3">
      <c r="A3059"/>
      <c r="B3059" s="241"/>
      <c r="C3059" s="241"/>
      <c r="D3059" s="241"/>
      <c r="E3059" s="241"/>
      <c r="F3059" s="241"/>
      <c r="G3059" s="241"/>
      <c r="H3059" s="241"/>
      <c r="I3059"/>
      <c r="J3059" s="241"/>
      <c r="K3059" s="241"/>
      <c r="L3059" s="241"/>
      <c r="M3059" s="241"/>
      <c r="N3059" s="241"/>
      <c r="O3059" s="241"/>
      <c r="P3059" s="241"/>
      <c r="Q3059" s="241"/>
    </row>
    <row r="3060" spans="1:17" ht="13.5" customHeight="1" x14ac:dyDescent="0.3">
      <c r="A3060"/>
      <c r="B3060" s="241"/>
      <c r="C3060" s="241"/>
      <c r="D3060" s="241"/>
      <c r="E3060" s="241"/>
      <c r="F3060" s="241"/>
      <c r="G3060" s="241"/>
      <c r="H3060" s="241"/>
      <c r="I3060"/>
      <c r="J3060" s="241"/>
      <c r="K3060" s="241"/>
      <c r="L3060" s="241"/>
      <c r="M3060" s="241"/>
      <c r="N3060" s="241"/>
      <c r="O3060" s="241"/>
      <c r="P3060" s="241"/>
      <c r="Q3060" s="241"/>
    </row>
    <row r="3061" spans="1:17" ht="13.5" customHeight="1" x14ac:dyDescent="0.3">
      <c r="A3061"/>
      <c r="B3061" s="241"/>
      <c r="C3061" s="241"/>
      <c r="D3061" s="241"/>
      <c r="E3061" s="241"/>
      <c r="F3061" s="241"/>
      <c r="G3061" s="241"/>
      <c r="H3061" s="241"/>
      <c r="I3061"/>
      <c r="J3061" s="241"/>
      <c r="K3061" s="241"/>
      <c r="L3061" s="241"/>
      <c r="M3061" s="241"/>
      <c r="N3061" s="241"/>
      <c r="O3061" s="241"/>
      <c r="P3061" s="241"/>
      <c r="Q3061" s="241"/>
    </row>
    <row r="3062" spans="1:17" ht="13.5" customHeight="1" x14ac:dyDescent="0.3">
      <c r="A3062"/>
      <c r="B3062" s="241"/>
      <c r="C3062" s="241"/>
      <c r="D3062" s="241"/>
      <c r="E3062" s="241"/>
      <c r="F3062" s="241"/>
      <c r="G3062" s="241"/>
      <c r="H3062" s="241"/>
      <c r="I3062"/>
      <c r="J3062" s="241"/>
      <c r="K3062" s="241"/>
      <c r="L3062" s="241"/>
      <c r="M3062" s="241"/>
      <c r="N3062" s="241"/>
      <c r="O3062" s="241"/>
      <c r="P3062" s="241"/>
      <c r="Q3062" s="241"/>
    </row>
    <row r="3063" spans="1:17" ht="13.5" customHeight="1" x14ac:dyDescent="0.3">
      <c r="A3063"/>
      <c r="B3063" s="241"/>
      <c r="C3063" s="241"/>
      <c r="D3063" s="241"/>
      <c r="E3063" s="241"/>
      <c r="F3063" s="241"/>
      <c r="G3063" s="241"/>
      <c r="H3063" s="241"/>
      <c r="I3063"/>
      <c r="J3063" s="241"/>
      <c r="K3063" s="241"/>
      <c r="L3063" s="241"/>
      <c r="M3063" s="241"/>
      <c r="N3063" s="241"/>
      <c r="O3063" s="241"/>
      <c r="P3063" s="241"/>
      <c r="Q3063" s="241"/>
    </row>
    <row r="3064" spans="1:17" ht="13.5" customHeight="1" x14ac:dyDescent="0.3">
      <c r="A3064"/>
      <c r="B3064" s="241"/>
      <c r="C3064" s="241"/>
      <c r="D3064" s="241"/>
      <c r="E3064" s="241"/>
      <c r="F3064" s="241"/>
      <c r="G3064" s="241"/>
      <c r="H3064" s="241"/>
      <c r="I3064"/>
      <c r="J3064" s="241"/>
      <c r="K3064" s="241"/>
      <c r="L3064" s="241"/>
      <c r="M3064" s="241"/>
      <c r="N3064" s="241"/>
      <c r="O3064" s="241"/>
      <c r="P3064" s="241"/>
      <c r="Q3064" s="241"/>
    </row>
    <row r="3065" spans="1:17" ht="13.5" customHeight="1" x14ac:dyDescent="0.3">
      <c r="A3065"/>
      <c r="B3065" s="241"/>
      <c r="C3065" s="241"/>
      <c r="D3065" s="241"/>
      <c r="E3065" s="241"/>
      <c r="F3065" s="241"/>
      <c r="G3065" s="241"/>
      <c r="H3065" s="241"/>
      <c r="I3065"/>
      <c r="J3065" s="241"/>
      <c r="K3065" s="241"/>
      <c r="L3065" s="241"/>
      <c r="M3065" s="241"/>
      <c r="N3065" s="241"/>
      <c r="O3065" s="241"/>
      <c r="P3065" s="241"/>
      <c r="Q3065" s="241"/>
    </row>
    <row r="3066" spans="1:17" ht="13.5" customHeight="1" x14ac:dyDescent="0.3">
      <c r="A3066"/>
      <c r="B3066" s="241"/>
      <c r="C3066" s="241"/>
      <c r="D3066" s="241"/>
      <c r="E3066" s="241"/>
      <c r="F3066" s="241"/>
      <c r="G3066" s="241"/>
      <c r="H3066" s="241"/>
      <c r="I3066"/>
      <c r="J3066" s="241"/>
      <c r="K3066" s="241"/>
      <c r="L3066" s="241"/>
      <c r="M3066" s="241"/>
      <c r="N3066" s="241"/>
      <c r="O3066" s="241"/>
      <c r="P3066" s="241"/>
      <c r="Q3066" s="241"/>
    </row>
    <row r="3067" spans="1:17" ht="13.5" customHeight="1" x14ac:dyDescent="0.3">
      <c r="A3067"/>
      <c r="B3067" s="241"/>
      <c r="C3067" s="241"/>
      <c r="D3067" s="241"/>
      <c r="E3067" s="241"/>
      <c r="F3067" s="241"/>
      <c r="G3067" s="241"/>
      <c r="H3067" s="241"/>
      <c r="I3067"/>
      <c r="J3067" s="241"/>
      <c r="K3067" s="241"/>
      <c r="L3067" s="241"/>
      <c r="M3067" s="241"/>
      <c r="N3067" s="241"/>
      <c r="O3067" s="241"/>
      <c r="P3067" s="241"/>
      <c r="Q3067" s="241"/>
    </row>
    <row r="3068" spans="1:17" ht="13.5" customHeight="1" x14ac:dyDescent="0.3">
      <c r="A3068"/>
      <c r="B3068" s="241"/>
      <c r="C3068" s="241"/>
      <c r="D3068" s="241"/>
      <c r="E3068" s="241"/>
      <c r="F3068" s="241"/>
      <c r="G3068" s="241"/>
      <c r="H3068" s="241"/>
      <c r="I3068"/>
      <c r="J3068" s="241"/>
      <c r="K3068" s="241"/>
      <c r="L3068" s="241"/>
      <c r="M3068" s="241"/>
      <c r="N3068" s="241"/>
      <c r="O3068" s="241"/>
      <c r="P3068" s="241"/>
      <c r="Q3068" s="241"/>
    </row>
    <row r="3069" spans="1:17" ht="13.5" customHeight="1" x14ac:dyDescent="0.3">
      <c r="A3069"/>
      <c r="B3069" s="241"/>
      <c r="C3069" s="241"/>
      <c r="D3069" s="241"/>
      <c r="E3069" s="241"/>
      <c r="F3069" s="241"/>
      <c r="G3069" s="241"/>
      <c r="H3069" s="241"/>
      <c r="I3069"/>
      <c r="J3069" s="241"/>
      <c r="K3069" s="241"/>
      <c r="L3069" s="241"/>
      <c r="M3069" s="241"/>
      <c r="N3069" s="241"/>
      <c r="O3069" s="241"/>
      <c r="P3069" s="241"/>
      <c r="Q3069" s="241"/>
    </row>
    <row r="3070" spans="1:17" ht="13.5" customHeight="1" x14ac:dyDescent="0.3">
      <c r="A3070"/>
      <c r="B3070" s="241"/>
      <c r="C3070" s="241"/>
      <c r="D3070" s="241"/>
      <c r="E3070" s="241"/>
      <c r="F3070" s="241"/>
      <c r="G3070" s="241"/>
      <c r="H3070" s="241"/>
      <c r="I3070"/>
      <c r="J3070" s="241"/>
      <c r="K3070" s="241"/>
      <c r="L3070" s="241"/>
      <c r="M3070" s="241"/>
      <c r="N3070" s="241"/>
      <c r="O3070" s="241"/>
      <c r="P3070" s="241"/>
      <c r="Q3070" s="241"/>
    </row>
    <row r="3071" spans="1:17" ht="13.5" customHeight="1" x14ac:dyDescent="0.3">
      <c r="A3071"/>
      <c r="B3071" s="241"/>
      <c r="C3071" s="241"/>
      <c r="D3071" s="241"/>
      <c r="E3071" s="241"/>
      <c r="F3071" s="241"/>
      <c r="G3071" s="241"/>
      <c r="H3071" s="241"/>
      <c r="I3071"/>
      <c r="J3071" s="241"/>
      <c r="K3071" s="241"/>
      <c r="L3071" s="241"/>
      <c r="M3071" s="241"/>
      <c r="N3071" s="241"/>
      <c r="O3071" s="241"/>
      <c r="P3071" s="241"/>
      <c r="Q3071" s="241"/>
    </row>
    <row r="3072" spans="1:17" ht="13.5" customHeight="1" x14ac:dyDescent="0.3">
      <c r="A3072"/>
      <c r="B3072" s="241"/>
      <c r="C3072" s="241"/>
      <c r="D3072" s="241"/>
      <c r="E3072" s="241"/>
      <c r="F3072" s="241"/>
      <c r="G3072" s="241"/>
      <c r="H3072" s="241"/>
      <c r="I3072"/>
      <c r="J3072" s="241"/>
      <c r="K3072" s="241"/>
      <c r="L3072" s="241"/>
      <c r="M3072" s="241"/>
      <c r="N3072" s="241"/>
      <c r="O3072" s="241"/>
      <c r="P3072" s="241"/>
      <c r="Q3072" s="241"/>
    </row>
    <row r="3073" spans="1:17" ht="13.5" customHeight="1" x14ac:dyDescent="0.3">
      <c r="A3073"/>
      <c r="B3073" s="241"/>
      <c r="C3073" s="241"/>
      <c r="D3073" s="241"/>
      <c r="E3073" s="241"/>
      <c r="F3073" s="241"/>
      <c r="G3073" s="241"/>
      <c r="H3073" s="241"/>
      <c r="I3073"/>
      <c r="J3073" s="241"/>
      <c r="K3073" s="241"/>
      <c r="L3073" s="241"/>
      <c r="M3073" s="241"/>
      <c r="N3073" s="241"/>
      <c r="O3073" s="241"/>
      <c r="P3073" s="241"/>
      <c r="Q3073" s="241"/>
    </row>
    <row r="3074" spans="1:17" ht="13.5" customHeight="1" x14ac:dyDescent="0.3">
      <c r="A3074"/>
      <c r="B3074" s="241"/>
      <c r="C3074" s="241"/>
      <c r="D3074" s="241"/>
      <c r="E3074" s="241"/>
      <c r="F3074" s="241"/>
      <c r="G3074" s="241"/>
      <c r="H3074" s="241"/>
      <c r="I3074"/>
      <c r="J3074" s="241"/>
      <c r="K3074" s="241"/>
      <c r="L3074" s="241"/>
      <c r="M3074" s="241"/>
      <c r="N3074" s="241"/>
      <c r="O3074" s="241"/>
      <c r="P3074" s="241"/>
      <c r="Q3074" s="241"/>
    </row>
    <row r="3075" spans="1:17" ht="13.5" customHeight="1" x14ac:dyDescent="0.3">
      <c r="A3075"/>
      <c r="B3075" s="241"/>
      <c r="C3075" s="241"/>
      <c r="D3075" s="241"/>
      <c r="E3075" s="241"/>
      <c r="F3075" s="241"/>
      <c r="G3075" s="241"/>
      <c r="H3075" s="241"/>
      <c r="I3075"/>
      <c r="J3075" s="241"/>
      <c r="K3075" s="241"/>
      <c r="L3075" s="241"/>
      <c r="M3075" s="241"/>
      <c r="N3075" s="241"/>
      <c r="O3075" s="241"/>
      <c r="P3075" s="241"/>
      <c r="Q3075" s="241"/>
    </row>
    <row r="3076" spans="1:17" ht="13.5" customHeight="1" x14ac:dyDescent="0.3">
      <c r="A3076"/>
      <c r="B3076" s="241"/>
      <c r="C3076" s="241"/>
      <c r="D3076" s="241"/>
      <c r="E3076" s="241"/>
      <c r="F3076" s="241"/>
      <c r="G3076" s="241"/>
      <c r="H3076" s="241"/>
      <c r="I3076"/>
      <c r="J3076" s="241"/>
      <c r="K3076" s="241"/>
      <c r="L3076" s="241"/>
      <c r="M3076" s="241"/>
      <c r="N3076" s="241"/>
      <c r="O3076" s="241"/>
      <c r="P3076" s="241"/>
      <c r="Q3076" s="241"/>
    </row>
    <row r="3077" spans="1:17" ht="13.5" customHeight="1" x14ac:dyDescent="0.3">
      <c r="A3077"/>
      <c r="B3077" s="241"/>
      <c r="C3077" s="241"/>
      <c r="D3077" s="241"/>
      <c r="E3077" s="241"/>
      <c r="F3077" s="241"/>
      <c r="G3077" s="241"/>
      <c r="H3077" s="241"/>
      <c r="I3077"/>
      <c r="J3077" s="241"/>
      <c r="K3077" s="241"/>
      <c r="L3077" s="241"/>
      <c r="M3077" s="241"/>
      <c r="N3077" s="241"/>
      <c r="O3077" s="241"/>
      <c r="P3077" s="241"/>
      <c r="Q3077" s="241"/>
    </row>
    <row r="3078" spans="1:17" ht="13.5" customHeight="1" x14ac:dyDescent="0.3">
      <c r="A3078"/>
      <c r="B3078" s="241"/>
      <c r="C3078" s="241"/>
      <c r="D3078" s="241"/>
      <c r="E3078" s="241"/>
      <c r="F3078" s="241"/>
      <c r="G3078" s="241"/>
      <c r="H3078" s="241"/>
      <c r="I3078"/>
      <c r="J3078" s="241"/>
      <c r="K3078" s="241"/>
      <c r="L3078" s="241"/>
      <c r="M3078" s="241"/>
      <c r="N3078" s="241"/>
      <c r="O3078" s="241"/>
      <c r="P3078" s="241"/>
      <c r="Q3078" s="241"/>
    </row>
    <row r="3079" spans="1:17" ht="13.5" customHeight="1" x14ac:dyDescent="0.3">
      <c r="A3079"/>
      <c r="B3079" s="241"/>
      <c r="C3079" s="241"/>
      <c r="D3079" s="241"/>
      <c r="E3079" s="241"/>
      <c r="F3079" s="241"/>
      <c r="G3079" s="241"/>
      <c r="H3079" s="241"/>
      <c r="I3079"/>
      <c r="J3079" s="241"/>
      <c r="K3079" s="241"/>
      <c r="L3079" s="241"/>
      <c r="M3079" s="241"/>
      <c r="N3079" s="241"/>
      <c r="O3079" s="241"/>
      <c r="P3079" s="241"/>
      <c r="Q3079" s="241"/>
    </row>
    <row r="3080" spans="1:17" ht="13.5" customHeight="1" x14ac:dyDescent="0.3">
      <c r="A3080"/>
      <c r="B3080" s="241"/>
      <c r="C3080" s="241"/>
      <c r="D3080" s="241"/>
      <c r="E3080" s="241"/>
      <c r="F3080" s="241"/>
      <c r="G3080" s="241"/>
      <c r="H3080" s="241"/>
      <c r="I3080"/>
      <c r="J3080" s="241"/>
      <c r="K3080" s="241"/>
      <c r="L3080" s="241"/>
      <c r="M3080" s="241"/>
      <c r="N3080" s="241"/>
      <c r="O3080" s="241"/>
      <c r="P3080" s="241"/>
      <c r="Q3080" s="241"/>
    </row>
    <row r="3081" spans="1:17" ht="13.5" customHeight="1" x14ac:dyDescent="0.3">
      <c r="A3081"/>
      <c r="B3081" s="241"/>
      <c r="C3081" s="241"/>
      <c r="D3081" s="241"/>
      <c r="E3081" s="241"/>
      <c r="F3081" s="241"/>
      <c r="G3081" s="241"/>
      <c r="H3081" s="241"/>
      <c r="I3081"/>
      <c r="J3081" s="241"/>
      <c r="K3081" s="241"/>
      <c r="L3081" s="241"/>
      <c r="M3081" s="241"/>
      <c r="N3081" s="241"/>
      <c r="O3081" s="241"/>
      <c r="P3081" s="241"/>
      <c r="Q3081" s="241"/>
    </row>
    <row r="3082" spans="1:17" ht="13.5" customHeight="1" x14ac:dyDescent="0.3">
      <c r="A3082"/>
      <c r="B3082" s="241"/>
      <c r="C3082" s="241"/>
      <c r="D3082" s="241"/>
      <c r="E3082" s="241"/>
      <c r="F3082" s="241"/>
      <c r="G3082" s="241"/>
      <c r="H3082" s="241"/>
      <c r="I3082"/>
      <c r="J3082" s="241"/>
      <c r="K3082" s="241"/>
      <c r="L3082" s="241"/>
      <c r="M3082" s="241"/>
      <c r="N3082" s="241"/>
      <c r="O3082" s="241"/>
      <c r="P3082" s="241"/>
      <c r="Q3082" s="241"/>
    </row>
    <row r="3083" spans="1:17" ht="13.5" customHeight="1" x14ac:dyDescent="0.3">
      <c r="A3083"/>
      <c r="B3083" s="241"/>
      <c r="C3083" s="241"/>
      <c r="D3083" s="241"/>
      <c r="E3083" s="241"/>
      <c r="F3083" s="241"/>
      <c r="G3083" s="241"/>
      <c r="H3083" s="241"/>
      <c r="I3083"/>
      <c r="J3083" s="241"/>
      <c r="K3083" s="241"/>
      <c r="L3083" s="241"/>
      <c r="M3083" s="241"/>
      <c r="N3083" s="241"/>
      <c r="O3083" s="241"/>
      <c r="P3083" s="241"/>
      <c r="Q3083" s="241"/>
    </row>
    <row r="3084" spans="1:17" ht="13.5" customHeight="1" x14ac:dyDescent="0.3">
      <c r="A3084"/>
      <c r="B3084" s="241"/>
      <c r="C3084" s="241"/>
      <c r="D3084" s="241"/>
      <c r="E3084" s="241"/>
      <c r="F3084" s="241"/>
      <c r="G3084" s="241"/>
      <c r="H3084" s="241"/>
      <c r="I3084"/>
      <c r="J3084" s="241"/>
      <c r="K3084" s="241"/>
      <c r="L3084" s="241"/>
      <c r="M3084" s="241"/>
      <c r="N3084" s="241"/>
      <c r="O3084" s="241"/>
      <c r="P3084" s="241"/>
      <c r="Q3084" s="241"/>
    </row>
    <row r="3085" spans="1:17" ht="13.5" customHeight="1" x14ac:dyDescent="0.3">
      <c r="A3085"/>
      <c r="B3085" s="241"/>
      <c r="C3085" s="241"/>
      <c r="D3085" s="241"/>
      <c r="E3085" s="241"/>
      <c r="F3085" s="241"/>
      <c r="G3085" s="241"/>
      <c r="H3085" s="241"/>
      <c r="I3085"/>
      <c r="J3085" s="241"/>
      <c r="K3085" s="241"/>
      <c r="L3085" s="241"/>
      <c r="M3085" s="241"/>
      <c r="N3085" s="241"/>
      <c r="O3085" s="241"/>
      <c r="P3085" s="241"/>
      <c r="Q3085" s="241"/>
    </row>
    <row r="3086" spans="1:17" ht="13.5" customHeight="1" x14ac:dyDescent="0.3">
      <c r="A3086"/>
      <c r="B3086" s="241"/>
      <c r="C3086" s="241"/>
      <c r="D3086" s="241"/>
      <c r="E3086" s="241"/>
      <c r="F3086" s="241"/>
      <c r="G3086" s="241"/>
      <c r="H3086" s="241"/>
      <c r="I3086"/>
      <c r="J3086" s="241"/>
      <c r="K3086" s="241"/>
      <c r="L3086" s="241"/>
      <c r="M3086" s="241"/>
      <c r="N3086" s="241"/>
      <c r="O3086" s="241"/>
      <c r="P3086" s="241"/>
      <c r="Q3086" s="241"/>
    </row>
    <row r="3087" spans="1:17" ht="13.5" customHeight="1" x14ac:dyDescent="0.3">
      <c r="A3087"/>
      <c r="B3087" s="241"/>
      <c r="C3087" s="241"/>
      <c r="D3087" s="241"/>
      <c r="E3087" s="241"/>
      <c r="F3087" s="241"/>
      <c r="G3087" s="241"/>
      <c r="H3087" s="241"/>
      <c r="I3087"/>
      <c r="J3087" s="241"/>
      <c r="K3087" s="241"/>
      <c r="L3087" s="241"/>
      <c r="M3087" s="241"/>
      <c r="N3087" s="241"/>
      <c r="O3087" s="241"/>
      <c r="P3087" s="241"/>
      <c r="Q3087" s="241"/>
    </row>
    <row r="3088" spans="1:17" ht="13.5" customHeight="1" x14ac:dyDescent="0.3">
      <c r="A3088"/>
      <c r="B3088" s="241"/>
      <c r="C3088" s="241"/>
      <c r="D3088" s="241"/>
      <c r="E3088" s="241"/>
      <c r="F3088" s="241"/>
      <c r="G3088" s="241"/>
      <c r="H3088" s="241"/>
      <c r="I3088"/>
      <c r="J3088" s="241"/>
      <c r="K3088" s="241"/>
      <c r="L3088" s="241"/>
      <c r="M3088" s="241"/>
      <c r="N3088" s="241"/>
      <c r="O3088" s="241"/>
      <c r="P3088" s="241"/>
      <c r="Q3088" s="241"/>
    </row>
    <row r="3089" spans="1:17" ht="13.5" customHeight="1" x14ac:dyDescent="0.3">
      <c r="A3089"/>
      <c r="B3089" s="241"/>
      <c r="C3089" s="241"/>
      <c r="D3089" s="241"/>
      <c r="E3089" s="241"/>
      <c r="F3089" s="241"/>
      <c r="G3089" s="241"/>
      <c r="H3089" s="241"/>
      <c r="I3089"/>
      <c r="J3089" s="241"/>
      <c r="K3089" s="241"/>
      <c r="L3089" s="241"/>
      <c r="M3089" s="241"/>
      <c r="N3089" s="241"/>
      <c r="O3089" s="241"/>
      <c r="P3089" s="241"/>
      <c r="Q3089" s="241"/>
    </row>
    <row r="3090" spans="1:17" ht="13.5" customHeight="1" x14ac:dyDescent="0.3">
      <c r="A3090"/>
      <c r="B3090" s="241"/>
      <c r="C3090" s="241"/>
      <c r="D3090" s="241"/>
      <c r="E3090" s="241"/>
      <c r="F3090" s="241"/>
      <c r="G3090" s="241"/>
      <c r="H3090" s="241"/>
      <c r="I3090"/>
      <c r="J3090" s="241"/>
      <c r="K3090" s="241"/>
      <c r="L3090" s="241"/>
      <c r="M3090" s="241"/>
      <c r="N3090" s="241"/>
      <c r="O3090" s="241"/>
      <c r="P3090" s="241"/>
      <c r="Q3090" s="241"/>
    </row>
    <row r="3091" spans="1:17" ht="13.5" customHeight="1" x14ac:dyDescent="0.3">
      <c r="A3091"/>
      <c r="B3091" s="241"/>
      <c r="C3091" s="241"/>
      <c r="D3091" s="241"/>
      <c r="E3091" s="241"/>
      <c r="F3091" s="241"/>
      <c r="G3091" s="241"/>
      <c r="H3091" s="241"/>
      <c r="I3091"/>
      <c r="J3091" s="241"/>
      <c r="K3091" s="241"/>
      <c r="L3091" s="241"/>
      <c r="M3091" s="241"/>
      <c r="N3091" s="241"/>
      <c r="O3091" s="241"/>
      <c r="P3091" s="241"/>
      <c r="Q3091" s="241"/>
    </row>
    <row r="3092" spans="1:17" ht="13.5" customHeight="1" x14ac:dyDescent="0.3">
      <c r="A3092"/>
      <c r="B3092" s="241"/>
      <c r="C3092" s="241"/>
      <c r="D3092" s="241"/>
      <c r="E3092" s="241"/>
      <c r="F3092" s="241"/>
      <c r="G3092" s="241"/>
      <c r="H3092" s="241"/>
      <c r="I3092"/>
      <c r="J3092" s="241"/>
      <c r="K3092" s="241"/>
      <c r="L3092" s="241"/>
      <c r="M3092" s="241"/>
      <c r="N3092" s="241"/>
      <c r="O3092" s="241"/>
      <c r="P3092" s="241"/>
      <c r="Q3092" s="241"/>
    </row>
    <row r="3093" spans="1:17" ht="13.5" customHeight="1" x14ac:dyDescent="0.3">
      <c r="A3093"/>
      <c r="B3093" s="241"/>
      <c r="C3093" s="241"/>
      <c r="D3093" s="241"/>
      <c r="E3093" s="241"/>
      <c r="F3093" s="241"/>
      <c r="G3093" s="241"/>
      <c r="H3093" s="241"/>
      <c r="I3093"/>
      <c r="J3093" s="241"/>
      <c r="K3093" s="241"/>
      <c r="L3093" s="241"/>
      <c r="M3093" s="241"/>
      <c r="N3093" s="241"/>
      <c r="O3093" s="241"/>
      <c r="P3093" s="241"/>
      <c r="Q3093" s="241"/>
    </row>
    <row r="3094" spans="1:17" ht="13.5" customHeight="1" x14ac:dyDescent="0.3">
      <c r="A3094"/>
      <c r="B3094" s="241"/>
      <c r="C3094" s="241"/>
      <c r="D3094" s="241"/>
      <c r="E3094" s="241"/>
      <c r="F3094" s="241"/>
      <c r="G3094" s="241"/>
      <c r="H3094" s="241"/>
      <c r="I3094"/>
      <c r="J3094" s="241"/>
      <c r="K3094" s="241"/>
      <c r="L3094" s="241"/>
      <c r="M3094" s="241"/>
      <c r="N3094" s="241"/>
      <c r="O3094" s="241"/>
      <c r="P3094" s="241"/>
      <c r="Q3094" s="241"/>
    </row>
    <row r="3095" spans="1:17" ht="13.5" customHeight="1" x14ac:dyDescent="0.3">
      <c r="A3095"/>
      <c r="B3095" s="241"/>
      <c r="C3095" s="241"/>
      <c r="D3095" s="241"/>
      <c r="E3095" s="241"/>
      <c r="F3095" s="241"/>
      <c r="G3095" s="241"/>
      <c r="H3095" s="241"/>
      <c r="I3095"/>
      <c r="J3095" s="241"/>
      <c r="K3095" s="241"/>
      <c r="L3095" s="241"/>
      <c r="M3095" s="241"/>
      <c r="N3095" s="241"/>
      <c r="O3095" s="241"/>
      <c r="P3095" s="241"/>
      <c r="Q3095" s="241"/>
    </row>
    <row r="3096" spans="1:17" ht="13.5" customHeight="1" x14ac:dyDescent="0.3">
      <c r="A3096"/>
      <c r="B3096" s="241"/>
      <c r="C3096" s="241"/>
      <c r="D3096" s="241"/>
      <c r="E3096" s="241"/>
      <c r="F3096" s="241"/>
      <c r="G3096" s="241"/>
      <c r="H3096" s="241"/>
      <c r="I3096"/>
      <c r="J3096" s="241"/>
      <c r="K3096" s="241"/>
      <c r="L3096" s="241"/>
      <c r="M3096" s="241"/>
      <c r="N3096" s="241"/>
      <c r="O3096" s="241"/>
      <c r="P3096" s="241"/>
      <c r="Q3096" s="241"/>
    </row>
    <row r="3097" spans="1:17" ht="13.5" customHeight="1" x14ac:dyDescent="0.3">
      <c r="A3097"/>
      <c r="B3097" s="241"/>
      <c r="C3097" s="241"/>
      <c r="D3097" s="241"/>
      <c r="E3097" s="241"/>
      <c r="F3097" s="241"/>
      <c r="G3097" s="241"/>
      <c r="H3097" s="241"/>
      <c r="I3097"/>
      <c r="J3097" s="241"/>
      <c r="K3097" s="241"/>
      <c r="L3097" s="241"/>
      <c r="M3097" s="241"/>
      <c r="N3097" s="241"/>
      <c r="O3097" s="241"/>
      <c r="P3097" s="241"/>
      <c r="Q3097" s="241"/>
    </row>
    <row r="3098" spans="1:17" ht="13.5" customHeight="1" x14ac:dyDescent="0.3">
      <c r="A3098"/>
      <c r="B3098" s="241"/>
      <c r="C3098" s="241"/>
      <c r="D3098" s="241"/>
      <c r="E3098" s="241"/>
      <c r="F3098" s="241"/>
      <c r="G3098" s="241"/>
      <c r="H3098" s="241"/>
      <c r="I3098"/>
      <c r="J3098" s="241"/>
      <c r="K3098" s="241"/>
      <c r="L3098" s="241"/>
      <c r="M3098" s="241"/>
      <c r="N3098" s="241"/>
      <c r="O3098" s="241"/>
      <c r="P3098" s="241"/>
      <c r="Q3098" s="241"/>
    </row>
    <row r="3099" spans="1:17" ht="13.5" customHeight="1" x14ac:dyDescent="0.3">
      <c r="A3099"/>
      <c r="B3099" s="241"/>
      <c r="C3099" s="241"/>
      <c r="D3099" s="241"/>
      <c r="E3099" s="241"/>
      <c r="F3099" s="241"/>
      <c r="G3099" s="241"/>
      <c r="H3099" s="241"/>
      <c r="I3099"/>
      <c r="J3099" s="241"/>
      <c r="K3099" s="241"/>
      <c r="L3099" s="241"/>
      <c r="M3099" s="241"/>
      <c r="N3099" s="241"/>
      <c r="O3099" s="241"/>
      <c r="P3099" s="241"/>
      <c r="Q3099" s="241"/>
    </row>
    <row r="3100" spans="1:17" ht="13.5" customHeight="1" x14ac:dyDescent="0.3">
      <c r="A3100"/>
      <c r="B3100" s="241"/>
      <c r="C3100" s="241"/>
      <c r="D3100" s="241"/>
      <c r="E3100" s="241"/>
      <c r="F3100" s="241"/>
      <c r="G3100" s="241"/>
      <c r="H3100" s="241"/>
      <c r="I3100"/>
      <c r="J3100" s="241"/>
      <c r="K3100" s="241"/>
      <c r="L3100" s="241"/>
      <c r="M3100" s="241"/>
      <c r="N3100" s="241"/>
      <c r="O3100" s="241"/>
      <c r="P3100" s="241"/>
      <c r="Q3100" s="241"/>
    </row>
    <row r="3101" spans="1:17" ht="13.5" customHeight="1" x14ac:dyDescent="0.3">
      <c r="A3101"/>
      <c r="B3101" s="241"/>
      <c r="C3101" s="241"/>
      <c r="D3101" s="241"/>
      <c r="E3101" s="241"/>
      <c r="F3101" s="241"/>
      <c r="G3101" s="241"/>
      <c r="H3101" s="241"/>
      <c r="I3101"/>
      <c r="J3101" s="241"/>
      <c r="K3101" s="241"/>
      <c r="L3101" s="241"/>
      <c r="M3101" s="241"/>
      <c r="N3101" s="241"/>
      <c r="O3101" s="241"/>
      <c r="P3101" s="241"/>
      <c r="Q3101" s="241"/>
    </row>
    <row r="3102" spans="1:17" ht="13.5" customHeight="1" x14ac:dyDescent="0.3">
      <c r="A3102"/>
      <c r="B3102" s="241"/>
      <c r="C3102" s="241"/>
      <c r="D3102" s="241"/>
      <c r="E3102" s="241"/>
      <c r="F3102" s="241"/>
      <c r="G3102" s="241"/>
      <c r="H3102" s="241"/>
      <c r="I3102"/>
      <c r="J3102" s="241"/>
      <c r="K3102" s="241"/>
      <c r="L3102" s="241"/>
      <c r="M3102" s="241"/>
      <c r="N3102" s="241"/>
      <c r="O3102" s="241"/>
      <c r="P3102" s="241"/>
      <c r="Q3102" s="241"/>
    </row>
    <row r="3103" spans="1:17" ht="13.5" customHeight="1" x14ac:dyDescent="0.3">
      <c r="A3103"/>
      <c r="B3103" s="241"/>
      <c r="C3103" s="241"/>
      <c r="D3103" s="241"/>
      <c r="E3103" s="241"/>
      <c r="F3103" s="241"/>
      <c r="G3103" s="241"/>
      <c r="H3103" s="241"/>
      <c r="I3103"/>
      <c r="J3103" s="241"/>
      <c r="K3103" s="241"/>
      <c r="L3103" s="241"/>
      <c r="M3103" s="241"/>
      <c r="N3103" s="241"/>
      <c r="O3103" s="241"/>
      <c r="P3103" s="241"/>
      <c r="Q3103" s="241"/>
    </row>
    <row r="3104" spans="1:17" ht="13.5" customHeight="1" x14ac:dyDescent="0.3">
      <c r="A3104"/>
      <c r="B3104" s="241"/>
      <c r="C3104" s="241"/>
      <c r="D3104" s="241"/>
      <c r="E3104" s="241"/>
      <c r="F3104" s="241"/>
      <c r="G3104" s="241"/>
      <c r="H3104" s="241"/>
      <c r="I3104"/>
      <c r="J3104" s="241"/>
      <c r="K3104" s="241"/>
      <c r="L3104" s="241"/>
      <c r="M3104" s="241"/>
      <c r="N3104" s="241"/>
      <c r="O3104" s="241"/>
      <c r="P3104" s="241"/>
      <c r="Q3104" s="241"/>
    </row>
    <row r="3105" spans="1:17" ht="13.5" customHeight="1" x14ac:dyDescent="0.3">
      <c r="A3105"/>
      <c r="B3105" s="241"/>
      <c r="C3105" s="241"/>
      <c r="D3105" s="241"/>
      <c r="E3105" s="241"/>
      <c r="F3105" s="241"/>
      <c r="G3105" s="241"/>
      <c r="H3105" s="241"/>
      <c r="I3105"/>
      <c r="J3105" s="241"/>
      <c r="K3105" s="241"/>
      <c r="L3105" s="241"/>
      <c r="M3105" s="241"/>
      <c r="N3105" s="241"/>
      <c r="O3105" s="241"/>
      <c r="P3105" s="241"/>
      <c r="Q3105" s="241"/>
    </row>
    <row r="3106" spans="1:17" ht="13.5" customHeight="1" x14ac:dyDescent="0.3">
      <c r="A3106"/>
      <c r="B3106" s="241"/>
      <c r="C3106" s="241"/>
      <c r="D3106" s="241"/>
      <c r="E3106" s="241"/>
      <c r="F3106" s="241"/>
      <c r="G3106" s="241"/>
      <c r="H3106" s="241"/>
      <c r="I3106"/>
      <c r="J3106" s="241"/>
      <c r="K3106" s="241"/>
      <c r="L3106" s="241"/>
      <c r="M3106" s="241"/>
      <c r="N3106" s="241"/>
      <c r="O3106" s="241"/>
      <c r="P3106" s="241"/>
      <c r="Q3106" s="241"/>
    </row>
    <row r="3107" spans="1:17" ht="13.5" customHeight="1" x14ac:dyDescent="0.3">
      <c r="A3107"/>
      <c r="B3107" s="241"/>
      <c r="C3107" s="241"/>
      <c r="D3107" s="241"/>
      <c r="E3107" s="241"/>
      <c r="F3107" s="241"/>
      <c r="G3107" s="241"/>
      <c r="H3107" s="241"/>
      <c r="I3107"/>
      <c r="J3107" s="241"/>
      <c r="K3107" s="241"/>
      <c r="L3107" s="241"/>
      <c r="M3107" s="241"/>
      <c r="N3107" s="241"/>
      <c r="O3107" s="241"/>
      <c r="P3107" s="241"/>
      <c r="Q3107" s="241"/>
    </row>
    <row r="3108" spans="1:17" ht="13.5" customHeight="1" x14ac:dyDescent="0.3">
      <c r="A3108"/>
      <c r="B3108" s="241"/>
      <c r="C3108" s="241"/>
      <c r="D3108" s="241"/>
      <c r="E3108" s="241"/>
      <c r="F3108" s="241"/>
      <c r="G3108" s="241"/>
      <c r="H3108" s="241"/>
      <c r="I3108"/>
      <c r="J3108" s="241"/>
      <c r="K3108" s="241"/>
      <c r="L3108" s="241"/>
      <c r="M3108" s="241"/>
      <c r="N3108" s="241"/>
      <c r="O3108" s="241"/>
      <c r="P3108" s="241"/>
      <c r="Q3108" s="241"/>
    </row>
    <row r="3109" spans="1:17" ht="13.5" customHeight="1" x14ac:dyDescent="0.3">
      <c r="A3109"/>
      <c r="B3109" s="241"/>
      <c r="C3109" s="241"/>
      <c r="D3109" s="241"/>
      <c r="E3109" s="241"/>
      <c r="F3109" s="241"/>
      <c r="G3109" s="241"/>
      <c r="H3109" s="241"/>
      <c r="I3109"/>
      <c r="J3109" s="241"/>
      <c r="K3109" s="241"/>
      <c r="L3109" s="241"/>
      <c r="M3109" s="241"/>
      <c r="N3109" s="241"/>
      <c r="O3109" s="241"/>
      <c r="P3109" s="241"/>
      <c r="Q3109" s="241"/>
    </row>
    <row r="3110" spans="1:17" ht="13.5" customHeight="1" x14ac:dyDescent="0.3">
      <c r="A3110"/>
      <c r="B3110" s="241"/>
      <c r="C3110" s="241"/>
      <c r="D3110" s="241"/>
      <c r="E3110" s="241"/>
      <c r="F3110" s="241"/>
      <c r="G3110" s="241"/>
      <c r="H3110" s="241"/>
      <c r="I3110"/>
      <c r="J3110" s="241"/>
      <c r="K3110" s="241"/>
      <c r="L3110" s="241"/>
      <c r="M3110" s="241"/>
      <c r="N3110" s="241"/>
      <c r="O3110" s="241"/>
      <c r="P3110" s="241"/>
      <c r="Q3110" s="241"/>
    </row>
    <row r="3111" spans="1:17" ht="13.5" customHeight="1" x14ac:dyDescent="0.3">
      <c r="A3111"/>
      <c r="B3111" s="241"/>
      <c r="C3111" s="241"/>
      <c r="D3111" s="241"/>
      <c r="E3111" s="241"/>
      <c r="F3111" s="241"/>
      <c r="G3111" s="241"/>
      <c r="H3111" s="241"/>
      <c r="I3111"/>
      <c r="J3111" s="241"/>
      <c r="K3111" s="241"/>
      <c r="L3111" s="241"/>
      <c r="M3111" s="241"/>
      <c r="N3111" s="241"/>
      <c r="O3111" s="241"/>
      <c r="P3111" s="241"/>
      <c r="Q3111" s="241"/>
    </row>
    <row r="3112" spans="1:17" ht="13.5" customHeight="1" x14ac:dyDescent="0.3">
      <c r="A3112"/>
      <c r="B3112" s="241"/>
      <c r="C3112" s="241"/>
      <c r="D3112" s="241"/>
      <c r="E3112" s="241"/>
      <c r="F3112" s="241"/>
      <c r="G3112" s="241"/>
      <c r="H3112" s="241"/>
      <c r="I3112"/>
      <c r="J3112" s="241"/>
      <c r="K3112" s="241"/>
      <c r="L3112" s="241"/>
      <c r="M3112" s="241"/>
      <c r="N3112" s="241"/>
      <c r="O3112" s="241"/>
      <c r="P3112" s="241"/>
      <c r="Q3112" s="241"/>
    </row>
    <row r="3113" spans="1:17" ht="13.5" customHeight="1" x14ac:dyDescent="0.3">
      <c r="A3113"/>
      <c r="B3113" s="241"/>
      <c r="C3113" s="241"/>
      <c r="D3113" s="241"/>
      <c r="E3113" s="241"/>
      <c r="F3113" s="241"/>
      <c r="G3113" s="241"/>
      <c r="H3113" s="241"/>
      <c r="I3113"/>
      <c r="J3113" s="241"/>
      <c r="K3113" s="241"/>
      <c r="L3113" s="241"/>
      <c r="M3113" s="241"/>
      <c r="N3113" s="241"/>
      <c r="O3113" s="241"/>
      <c r="P3113" s="241"/>
      <c r="Q3113" s="241"/>
    </row>
    <row r="3114" spans="1:17" ht="13.5" customHeight="1" x14ac:dyDescent="0.3">
      <c r="A3114"/>
      <c r="B3114" s="241"/>
      <c r="C3114" s="241"/>
      <c r="D3114" s="241"/>
      <c r="E3114" s="241"/>
      <c r="F3114" s="241"/>
      <c r="G3114" s="241"/>
      <c r="H3114" s="241"/>
      <c r="I3114"/>
      <c r="J3114" s="241"/>
      <c r="K3114" s="241"/>
      <c r="L3114" s="241"/>
      <c r="M3114" s="241"/>
      <c r="N3114" s="241"/>
      <c r="O3114" s="241"/>
      <c r="P3114" s="241"/>
      <c r="Q3114" s="241"/>
    </row>
    <row r="3115" spans="1:17" ht="13.5" customHeight="1" x14ac:dyDescent="0.3">
      <c r="A3115"/>
      <c r="B3115" s="241"/>
      <c r="C3115" s="241"/>
      <c r="D3115" s="241"/>
      <c r="E3115" s="241"/>
      <c r="F3115" s="241"/>
      <c r="G3115" s="241"/>
      <c r="H3115" s="241"/>
      <c r="I3115"/>
      <c r="J3115" s="241"/>
      <c r="K3115" s="241"/>
      <c r="L3115" s="241"/>
      <c r="M3115" s="241"/>
      <c r="N3115" s="241"/>
      <c r="O3115" s="241"/>
      <c r="P3115" s="241"/>
      <c r="Q3115" s="241"/>
    </row>
    <row r="3116" spans="1:17" ht="13.5" customHeight="1" x14ac:dyDescent="0.3">
      <c r="A3116"/>
      <c r="B3116" s="241"/>
      <c r="C3116" s="241"/>
      <c r="D3116" s="241"/>
      <c r="E3116" s="241"/>
      <c r="F3116" s="241"/>
      <c r="G3116" s="241"/>
      <c r="H3116" s="241"/>
      <c r="I3116"/>
      <c r="J3116" s="241"/>
      <c r="K3116" s="241"/>
      <c r="L3116" s="241"/>
      <c r="M3116" s="241"/>
      <c r="N3116" s="241"/>
      <c r="O3116" s="241"/>
      <c r="P3116" s="241"/>
      <c r="Q3116" s="241"/>
    </row>
    <row r="3117" spans="1:17" ht="13.5" customHeight="1" x14ac:dyDescent="0.3">
      <c r="A3117"/>
      <c r="B3117" s="241"/>
      <c r="C3117" s="241"/>
      <c r="D3117" s="241"/>
      <c r="E3117" s="241"/>
      <c r="F3117" s="241"/>
      <c r="G3117" s="241"/>
      <c r="H3117" s="241"/>
      <c r="I3117"/>
      <c r="J3117" s="241"/>
      <c r="K3117" s="241"/>
      <c r="L3117" s="241"/>
      <c r="M3117" s="241"/>
      <c r="N3117" s="241"/>
      <c r="O3117" s="241"/>
      <c r="P3117" s="241"/>
      <c r="Q3117" s="241"/>
    </row>
    <row r="3118" spans="1:17" ht="13.5" customHeight="1" x14ac:dyDescent="0.3">
      <c r="A3118"/>
      <c r="B3118" s="241"/>
      <c r="C3118" s="241"/>
      <c r="D3118" s="241"/>
      <c r="E3118" s="241"/>
      <c r="F3118" s="241"/>
      <c r="G3118" s="241"/>
      <c r="H3118" s="241"/>
      <c r="I3118"/>
      <c r="J3118" s="241"/>
      <c r="K3118" s="241"/>
      <c r="L3118" s="241"/>
      <c r="M3118" s="241"/>
      <c r="N3118" s="241"/>
      <c r="O3118" s="241"/>
      <c r="P3118" s="241"/>
      <c r="Q3118" s="241"/>
    </row>
    <row r="3119" spans="1:17" ht="13.5" customHeight="1" x14ac:dyDescent="0.3">
      <c r="A3119"/>
      <c r="B3119" s="241"/>
      <c r="C3119" s="241"/>
      <c r="D3119" s="241"/>
      <c r="E3119" s="241"/>
      <c r="F3119" s="241"/>
      <c r="G3119" s="241"/>
      <c r="H3119" s="241"/>
      <c r="I3119"/>
      <c r="J3119" s="241"/>
      <c r="K3119" s="241"/>
      <c r="L3119" s="241"/>
      <c r="M3119" s="241"/>
      <c r="N3119" s="241"/>
      <c r="O3119" s="241"/>
      <c r="P3119" s="241"/>
      <c r="Q3119" s="241"/>
    </row>
    <row r="3120" spans="1:17" ht="13.5" customHeight="1" x14ac:dyDescent="0.3">
      <c r="A3120"/>
      <c r="B3120" s="241"/>
      <c r="C3120" s="241"/>
      <c r="D3120" s="241"/>
      <c r="E3120" s="241"/>
      <c r="F3120" s="241"/>
      <c r="G3120" s="241"/>
      <c r="H3120" s="241"/>
      <c r="I3120"/>
      <c r="J3120" s="241"/>
      <c r="K3120" s="241"/>
      <c r="L3120" s="241"/>
      <c r="M3120" s="241"/>
      <c r="N3120" s="241"/>
      <c r="O3120" s="241"/>
      <c r="P3120" s="241"/>
      <c r="Q3120" s="241"/>
    </row>
    <row r="3121" spans="1:17" ht="13.5" customHeight="1" x14ac:dyDescent="0.3">
      <c r="A3121"/>
      <c r="B3121" s="241"/>
      <c r="C3121" s="241"/>
      <c r="D3121" s="241"/>
      <c r="E3121" s="241"/>
      <c r="F3121" s="241"/>
      <c r="G3121" s="241"/>
      <c r="H3121" s="241"/>
      <c r="I3121"/>
      <c r="J3121" s="241"/>
      <c r="K3121" s="241"/>
      <c r="L3121" s="241"/>
      <c r="M3121" s="241"/>
      <c r="N3121" s="241"/>
      <c r="O3121" s="241"/>
      <c r="P3121" s="241"/>
      <c r="Q3121" s="241"/>
    </row>
    <row r="3122" spans="1:17" ht="13.5" customHeight="1" x14ac:dyDescent="0.3">
      <c r="A3122"/>
      <c r="B3122" s="241"/>
      <c r="C3122" s="241"/>
      <c r="D3122" s="241"/>
      <c r="E3122" s="241"/>
      <c r="F3122" s="241"/>
      <c r="G3122" s="241"/>
      <c r="H3122" s="241"/>
      <c r="I3122"/>
      <c r="J3122" s="241"/>
      <c r="K3122" s="241"/>
      <c r="L3122" s="241"/>
      <c r="M3122" s="241"/>
      <c r="N3122" s="241"/>
      <c r="O3122" s="241"/>
      <c r="P3122" s="241"/>
      <c r="Q3122" s="241"/>
    </row>
    <row r="3123" spans="1:17" ht="13.5" customHeight="1" x14ac:dyDescent="0.3">
      <c r="A3123"/>
      <c r="B3123" s="241"/>
      <c r="C3123" s="241"/>
      <c r="D3123" s="241"/>
      <c r="E3123" s="241"/>
      <c r="F3123" s="241"/>
      <c r="G3123" s="241"/>
      <c r="H3123" s="241"/>
      <c r="I3123"/>
      <c r="J3123" s="241"/>
      <c r="K3123" s="241"/>
      <c r="L3123" s="241"/>
      <c r="M3123" s="241"/>
      <c r="N3123" s="241"/>
      <c r="O3123" s="241"/>
      <c r="P3123" s="241"/>
      <c r="Q3123" s="241"/>
    </row>
    <row r="3124" spans="1:17" ht="13.5" customHeight="1" x14ac:dyDescent="0.3">
      <c r="A3124"/>
      <c r="B3124" s="241"/>
      <c r="C3124" s="241"/>
      <c r="D3124" s="241"/>
      <c r="E3124" s="241"/>
      <c r="F3124" s="241"/>
      <c r="G3124" s="241"/>
      <c r="H3124" s="241"/>
      <c r="I3124"/>
      <c r="J3124" s="241"/>
      <c r="K3124" s="241"/>
      <c r="L3124" s="241"/>
      <c r="M3124" s="241"/>
      <c r="N3124" s="241"/>
      <c r="O3124" s="241"/>
      <c r="P3124" s="241"/>
      <c r="Q3124" s="241"/>
    </row>
    <row r="3125" spans="1:17" ht="13.5" customHeight="1" x14ac:dyDescent="0.3">
      <c r="A3125"/>
      <c r="B3125" s="241"/>
      <c r="C3125" s="241"/>
      <c r="D3125" s="241"/>
      <c r="E3125" s="241"/>
      <c r="F3125" s="241"/>
      <c r="G3125" s="241"/>
      <c r="H3125" s="241"/>
      <c r="I3125"/>
      <c r="J3125" s="241"/>
      <c r="K3125" s="241"/>
      <c r="L3125" s="241"/>
      <c r="M3125" s="241"/>
      <c r="N3125" s="241"/>
      <c r="O3125" s="241"/>
      <c r="P3125" s="241"/>
      <c r="Q3125" s="241"/>
    </row>
    <row r="3126" spans="1:17" ht="13.5" customHeight="1" x14ac:dyDescent="0.3">
      <c r="A3126"/>
      <c r="B3126" s="241"/>
      <c r="C3126" s="241"/>
      <c r="D3126" s="241"/>
      <c r="E3126" s="241"/>
      <c r="F3126" s="241"/>
      <c r="G3126" s="241"/>
      <c r="H3126" s="241"/>
      <c r="I3126"/>
      <c r="J3126" s="241"/>
      <c r="K3126" s="241"/>
      <c r="L3126" s="241"/>
      <c r="M3126" s="241"/>
      <c r="N3126" s="241"/>
      <c r="O3126" s="241"/>
      <c r="P3126" s="241"/>
      <c r="Q3126" s="241"/>
    </row>
    <row r="3127" spans="1:17" ht="13.5" customHeight="1" x14ac:dyDescent="0.3">
      <c r="A3127"/>
      <c r="B3127" s="241"/>
      <c r="C3127" s="241"/>
      <c r="D3127" s="241"/>
      <c r="E3127" s="241"/>
      <c r="F3127" s="241"/>
      <c r="G3127" s="241"/>
      <c r="H3127" s="241"/>
      <c r="I3127"/>
      <c r="J3127" s="241"/>
      <c r="K3127" s="241"/>
      <c r="L3127" s="241"/>
      <c r="M3127" s="241"/>
      <c r="N3127" s="241"/>
      <c r="O3127" s="241"/>
      <c r="P3127" s="241"/>
      <c r="Q3127" s="241"/>
    </row>
    <row r="3128" spans="1:17" ht="13.5" customHeight="1" x14ac:dyDescent="0.3">
      <c r="A3128"/>
      <c r="B3128" s="241"/>
      <c r="C3128" s="241"/>
      <c r="D3128" s="241"/>
      <c r="E3128" s="241"/>
      <c r="F3128" s="241"/>
      <c r="G3128" s="241"/>
      <c r="H3128" s="241"/>
      <c r="I3128"/>
      <c r="J3128" s="241"/>
      <c r="K3128" s="241"/>
      <c r="L3128" s="241"/>
      <c r="M3128" s="241"/>
      <c r="N3128" s="241"/>
      <c r="O3128" s="241"/>
      <c r="P3128" s="241"/>
      <c r="Q3128" s="241"/>
    </row>
    <row r="3129" spans="1:17" ht="13.5" customHeight="1" x14ac:dyDescent="0.3">
      <c r="A3129"/>
      <c r="B3129" s="241"/>
      <c r="C3129" s="241"/>
      <c r="D3129" s="241"/>
      <c r="E3129" s="241"/>
      <c r="F3129" s="241"/>
      <c r="G3129" s="241"/>
      <c r="H3129" s="241"/>
      <c r="I3129"/>
      <c r="J3129" s="241"/>
      <c r="K3129" s="241"/>
      <c r="L3129" s="241"/>
      <c r="M3129" s="241"/>
      <c r="N3129" s="241"/>
      <c r="O3129" s="241"/>
      <c r="P3129" s="241"/>
      <c r="Q3129" s="241"/>
    </row>
    <row r="3130" spans="1:17" ht="13.5" customHeight="1" x14ac:dyDescent="0.3">
      <c r="A3130"/>
      <c r="B3130" s="241"/>
      <c r="C3130" s="241"/>
      <c r="D3130" s="241"/>
      <c r="E3130" s="241"/>
      <c r="F3130" s="241"/>
      <c r="G3130" s="241"/>
      <c r="H3130" s="241"/>
      <c r="I3130"/>
      <c r="J3130" s="241"/>
      <c r="K3130" s="241"/>
      <c r="L3130" s="241"/>
      <c r="M3130" s="241"/>
      <c r="N3130" s="241"/>
      <c r="O3130" s="241"/>
      <c r="P3130" s="241"/>
      <c r="Q3130" s="241"/>
    </row>
    <row r="3131" spans="1:17" ht="13.5" customHeight="1" x14ac:dyDescent="0.3">
      <c r="A3131"/>
      <c r="B3131" s="241"/>
      <c r="C3131" s="241"/>
      <c r="D3131" s="241"/>
      <c r="E3131" s="241"/>
      <c r="F3131" s="241"/>
      <c r="G3131" s="241"/>
      <c r="H3131" s="241"/>
      <c r="I3131"/>
      <c r="J3131" s="241"/>
      <c r="K3131" s="241"/>
      <c r="L3131" s="241"/>
      <c r="M3131" s="241"/>
      <c r="N3131" s="241"/>
      <c r="O3131" s="241"/>
      <c r="P3131" s="241"/>
      <c r="Q3131" s="241"/>
    </row>
    <row r="3132" spans="1:17" ht="13.5" customHeight="1" x14ac:dyDescent="0.3">
      <c r="A3132"/>
      <c r="B3132" s="241"/>
      <c r="C3132" s="241"/>
      <c r="D3132" s="241"/>
      <c r="E3132" s="241"/>
      <c r="F3132" s="241"/>
      <c r="G3132" s="241"/>
      <c r="H3132" s="241"/>
      <c r="I3132"/>
      <c r="J3132" s="241"/>
      <c r="K3132" s="241"/>
      <c r="L3132" s="241"/>
      <c r="M3132" s="241"/>
      <c r="N3132" s="241"/>
      <c r="O3132" s="241"/>
      <c r="P3132" s="241"/>
      <c r="Q3132" s="241"/>
    </row>
    <row r="3133" spans="1:17" ht="13.5" customHeight="1" x14ac:dyDescent="0.3">
      <c r="A3133"/>
      <c r="B3133" s="241"/>
      <c r="C3133" s="241"/>
      <c r="D3133" s="241"/>
      <c r="E3133" s="241"/>
      <c r="F3133" s="241"/>
      <c r="G3133" s="241"/>
      <c r="H3133" s="241"/>
      <c r="I3133"/>
      <c r="J3133" s="241"/>
      <c r="K3133" s="241"/>
      <c r="L3133" s="241"/>
      <c r="M3133" s="241"/>
      <c r="N3133" s="241"/>
      <c r="O3133" s="241"/>
      <c r="P3133" s="241"/>
      <c r="Q3133" s="241"/>
    </row>
    <row r="3134" spans="1:17" ht="13.5" customHeight="1" x14ac:dyDescent="0.3">
      <c r="A3134"/>
      <c r="B3134" s="241"/>
      <c r="C3134" s="241"/>
      <c r="D3134" s="241"/>
      <c r="E3134" s="241"/>
      <c r="F3134" s="241"/>
      <c r="G3134" s="241"/>
      <c r="H3134" s="241"/>
      <c r="I3134"/>
      <c r="J3134" s="241"/>
      <c r="K3134" s="241"/>
      <c r="L3134" s="241"/>
      <c r="M3134" s="241"/>
      <c r="N3134" s="241"/>
      <c r="O3134" s="241"/>
      <c r="P3134" s="241"/>
      <c r="Q3134" s="241"/>
    </row>
    <row r="3135" spans="1:17" ht="13.5" customHeight="1" x14ac:dyDescent="0.3">
      <c r="A3135"/>
      <c r="B3135" s="241"/>
      <c r="C3135" s="241"/>
      <c r="D3135" s="241"/>
      <c r="E3135" s="241"/>
      <c r="F3135" s="241"/>
      <c r="G3135" s="241"/>
      <c r="H3135" s="241"/>
      <c r="I3135"/>
      <c r="J3135" s="241"/>
      <c r="K3135" s="241"/>
      <c r="L3135" s="241"/>
      <c r="M3135" s="241"/>
      <c r="N3135" s="241"/>
      <c r="O3135" s="241"/>
      <c r="P3135" s="241"/>
      <c r="Q3135" s="241"/>
    </row>
    <row r="3136" spans="1:17" ht="13.5" customHeight="1" x14ac:dyDescent="0.3">
      <c r="A3136"/>
      <c r="B3136" s="241"/>
      <c r="C3136" s="241"/>
      <c r="D3136" s="241"/>
      <c r="E3136" s="241"/>
      <c r="F3136" s="241"/>
      <c r="G3136" s="241"/>
      <c r="H3136" s="241"/>
      <c r="I3136"/>
      <c r="J3136" s="241"/>
      <c r="K3136" s="241"/>
      <c r="L3136" s="241"/>
      <c r="M3136" s="241"/>
      <c r="N3136" s="241"/>
      <c r="O3136" s="241"/>
      <c r="P3136" s="241"/>
      <c r="Q3136" s="241"/>
    </row>
    <row r="3137" spans="1:17" ht="13.5" customHeight="1" x14ac:dyDescent="0.3">
      <c r="A3137"/>
      <c r="B3137" s="241"/>
      <c r="C3137" s="241"/>
      <c r="D3137" s="241"/>
      <c r="E3137" s="241"/>
      <c r="F3137" s="241"/>
      <c r="G3137" s="241"/>
      <c r="H3137" s="241"/>
      <c r="I3137"/>
      <c r="J3137" s="241"/>
      <c r="K3137" s="241"/>
      <c r="L3137" s="241"/>
      <c r="M3137" s="241"/>
      <c r="N3137" s="241"/>
      <c r="O3137" s="241"/>
      <c r="P3137" s="241"/>
      <c r="Q3137" s="241"/>
    </row>
    <row r="3138" spans="1:17" ht="13.5" customHeight="1" x14ac:dyDescent="0.3">
      <c r="A3138"/>
      <c r="B3138" s="241"/>
      <c r="C3138" s="241"/>
      <c r="D3138" s="241"/>
      <c r="E3138" s="241"/>
      <c r="F3138" s="241"/>
      <c r="G3138" s="241"/>
      <c r="H3138" s="241"/>
      <c r="I3138"/>
      <c r="J3138" s="241"/>
      <c r="K3138" s="241"/>
      <c r="L3138" s="241"/>
      <c r="M3138" s="241"/>
      <c r="N3138" s="241"/>
      <c r="O3138" s="241"/>
      <c r="P3138" s="241"/>
      <c r="Q3138" s="241"/>
    </row>
    <row r="3139" spans="1:17" ht="13.5" customHeight="1" x14ac:dyDescent="0.3">
      <c r="A3139"/>
      <c r="B3139" s="241"/>
      <c r="C3139" s="241"/>
      <c r="D3139" s="241"/>
      <c r="E3139" s="241"/>
      <c r="F3139" s="241"/>
      <c r="G3139" s="241"/>
      <c r="H3139" s="241"/>
      <c r="I3139"/>
      <c r="J3139" s="241"/>
      <c r="K3139" s="241"/>
      <c r="L3139" s="241"/>
      <c r="M3139" s="241"/>
      <c r="N3139" s="241"/>
      <c r="O3139" s="241"/>
      <c r="P3139" s="241"/>
      <c r="Q3139" s="241"/>
    </row>
    <row r="3140" spans="1:17" ht="13.5" customHeight="1" x14ac:dyDescent="0.3">
      <c r="A3140"/>
      <c r="B3140" s="241"/>
      <c r="C3140" s="241"/>
      <c r="D3140" s="241"/>
      <c r="E3140" s="241"/>
      <c r="F3140" s="241"/>
      <c r="G3140" s="241"/>
      <c r="H3140" s="241"/>
      <c r="I3140"/>
      <c r="J3140" s="241"/>
      <c r="K3140" s="241"/>
      <c r="L3140" s="241"/>
      <c r="M3140" s="241"/>
      <c r="N3140" s="241"/>
      <c r="O3140" s="241"/>
      <c r="P3140" s="241"/>
      <c r="Q3140" s="241"/>
    </row>
    <row r="3141" spans="1:17" ht="13.5" customHeight="1" x14ac:dyDescent="0.3">
      <c r="A3141"/>
      <c r="B3141" s="241"/>
      <c r="C3141" s="241"/>
      <c r="D3141" s="241"/>
      <c r="E3141" s="241"/>
      <c r="F3141" s="241"/>
      <c r="G3141" s="241"/>
      <c r="H3141" s="241"/>
      <c r="I3141"/>
      <c r="J3141" s="241"/>
      <c r="K3141" s="241"/>
      <c r="L3141" s="241"/>
      <c r="M3141" s="241"/>
      <c r="N3141" s="241"/>
      <c r="O3141" s="241"/>
      <c r="P3141" s="241"/>
      <c r="Q3141" s="241"/>
    </row>
    <row r="3142" spans="1:17" ht="13.5" customHeight="1" x14ac:dyDescent="0.3">
      <c r="A3142"/>
      <c r="B3142" s="241"/>
      <c r="C3142" s="241"/>
      <c r="D3142" s="241"/>
      <c r="E3142" s="241"/>
      <c r="F3142" s="241"/>
      <c r="G3142" s="241"/>
      <c r="H3142" s="241"/>
      <c r="I3142"/>
      <c r="J3142" s="241"/>
      <c r="K3142" s="241"/>
      <c r="L3142" s="241"/>
      <c r="M3142" s="241"/>
      <c r="N3142" s="241"/>
      <c r="O3142" s="241"/>
      <c r="P3142" s="241"/>
      <c r="Q3142" s="241"/>
    </row>
    <row r="3143" spans="1:17" ht="13.5" customHeight="1" x14ac:dyDescent="0.3">
      <c r="A3143"/>
      <c r="B3143" s="241"/>
      <c r="C3143" s="241"/>
      <c r="D3143" s="241"/>
      <c r="E3143" s="241"/>
      <c r="F3143" s="241"/>
      <c r="G3143" s="241"/>
      <c r="H3143" s="241"/>
      <c r="I3143"/>
      <c r="J3143" s="241"/>
      <c r="K3143" s="241"/>
      <c r="L3143" s="241"/>
      <c r="M3143" s="241"/>
      <c r="N3143" s="241"/>
      <c r="O3143" s="241"/>
      <c r="P3143" s="241"/>
      <c r="Q3143" s="241"/>
    </row>
    <row r="3144" spans="1:17" ht="13.5" customHeight="1" x14ac:dyDescent="0.3">
      <c r="A3144"/>
      <c r="B3144" s="241"/>
      <c r="C3144" s="241"/>
      <c r="D3144" s="241"/>
      <c r="E3144" s="241"/>
      <c r="F3144" s="241"/>
      <c r="G3144" s="241"/>
      <c r="H3144" s="241"/>
      <c r="I3144"/>
      <c r="J3144" s="241"/>
      <c r="K3144" s="241"/>
      <c r="L3144" s="241"/>
      <c r="M3144" s="241"/>
      <c r="N3144" s="241"/>
      <c r="O3144" s="241"/>
      <c r="P3144" s="241"/>
      <c r="Q3144" s="241"/>
    </row>
    <row r="3145" spans="1:17" ht="13.5" customHeight="1" x14ac:dyDescent="0.3">
      <c r="A3145"/>
      <c r="B3145" s="241"/>
      <c r="C3145" s="241"/>
      <c r="D3145" s="241"/>
      <c r="E3145" s="241"/>
      <c r="F3145" s="241"/>
      <c r="G3145" s="241"/>
      <c r="H3145" s="241"/>
      <c r="I3145"/>
      <c r="J3145" s="241"/>
      <c r="K3145" s="241"/>
      <c r="L3145" s="241"/>
      <c r="M3145" s="241"/>
      <c r="N3145" s="241"/>
      <c r="O3145" s="241"/>
      <c r="P3145" s="241"/>
      <c r="Q3145" s="241"/>
    </row>
    <row r="3146" spans="1:17" ht="13.5" customHeight="1" x14ac:dyDescent="0.3">
      <c r="A3146"/>
      <c r="B3146" s="241"/>
      <c r="C3146" s="241"/>
      <c r="D3146" s="241"/>
      <c r="E3146" s="241"/>
      <c r="F3146" s="241"/>
      <c r="G3146" s="241"/>
      <c r="H3146" s="241"/>
      <c r="I3146"/>
      <c r="J3146" s="241"/>
      <c r="K3146" s="241"/>
      <c r="L3146" s="241"/>
      <c r="M3146" s="241"/>
      <c r="N3146" s="241"/>
      <c r="O3146" s="241"/>
      <c r="P3146" s="241"/>
      <c r="Q3146" s="241"/>
    </row>
    <row r="3147" spans="1:17" ht="13.5" customHeight="1" x14ac:dyDescent="0.3">
      <c r="A3147"/>
      <c r="B3147" s="241"/>
      <c r="C3147" s="241"/>
      <c r="D3147" s="241"/>
      <c r="E3147" s="241"/>
      <c r="F3147" s="241"/>
      <c r="G3147" s="241"/>
      <c r="H3147" s="241"/>
      <c r="I3147"/>
      <c r="J3147" s="241"/>
      <c r="K3147" s="241"/>
      <c r="L3147" s="241"/>
      <c r="M3147" s="241"/>
      <c r="N3147" s="241"/>
      <c r="O3147" s="241"/>
      <c r="P3147" s="241"/>
      <c r="Q3147" s="241"/>
    </row>
    <row r="3148" spans="1:17" ht="13.5" customHeight="1" x14ac:dyDescent="0.3">
      <c r="A3148"/>
      <c r="B3148" s="241"/>
      <c r="C3148" s="241"/>
      <c r="D3148" s="241"/>
      <c r="E3148" s="241"/>
      <c r="F3148" s="241"/>
      <c r="G3148" s="241"/>
      <c r="H3148" s="241"/>
      <c r="I3148"/>
      <c r="J3148" s="241"/>
      <c r="K3148" s="241"/>
      <c r="L3148" s="241"/>
      <c r="M3148" s="241"/>
      <c r="N3148" s="241"/>
      <c r="O3148" s="241"/>
      <c r="P3148" s="241"/>
      <c r="Q3148" s="241"/>
    </row>
    <row r="3149" spans="1:17" ht="13.5" customHeight="1" x14ac:dyDescent="0.3">
      <c r="A3149"/>
      <c r="B3149" s="241"/>
      <c r="C3149" s="241"/>
      <c r="D3149" s="241"/>
      <c r="E3149" s="241"/>
      <c r="F3149" s="241"/>
      <c r="G3149" s="241"/>
      <c r="H3149" s="241"/>
      <c r="I3149"/>
      <c r="J3149" s="241"/>
      <c r="K3149" s="241"/>
      <c r="L3149" s="241"/>
      <c r="M3149" s="241"/>
      <c r="N3149" s="241"/>
      <c r="O3149" s="241"/>
      <c r="P3149" s="241"/>
      <c r="Q3149" s="241"/>
    </row>
    <row r="3150" spans="1:17" ht="13.5" customHeight="1" x14ac:dyDescent="0.3">
      <c r="A3150"/>
      <c r="B3150" s="241"/>
      <c r="C3150" s="241"/>
      <c r="D3150" s="241"/>
      <c r="E3150" s="241"/>
      <c r="F3150" s="241"/>
      <c r="G3150" s="241"/>
      <c r="H3150" s="241"/>
      <c r="I3150"/>
      <c r="J3150" s="241"/>
      <c r="K3150" s="241"/>
      <c r="L3150" s="241"/>
      <c r="M3150" s="241"/>
      <c r="N3150" s="241"/>
      <c r="O3150" s="241"/>
      <c r="P3150" s="241"/>
      <c r="Q3150" s="241"/>
    </row>
    <row r="3151" spans="1:17" ht="13.5" customHeight="1" x14ac:dyDescent="0.3">
      <c r="A3151"/>
      <c r="B3151" s="241"/>
      <c r="C3151" s="241"/>
      <c r="D3151" s="241"/>
      <c r="E3151" s="241"/>
      <c r="F3151" s="241"/>
      <c r="G3151" s="241"/>
      <c r="H3151" s="241"/>
      <c r="I3151"/>
      <c r="J3151" s="241"/>
      <c r="K3151" s="241"/>
      <c r="L3151" s="241"/>
      <c r="M3151" s="241"/>
      <c r="N3151" s="241"/>
      <c r="O3151" s="241"/>
      <c r="P3151" s="241"/>
      <c r="Q3151" s="241"/>
    </row>
    <row r="3152" spans="1:17" ht="13.5" customHeight="1" x14ac:dyDescent="0.3">
      <c r="A3152"/>
      <c r="B3152" s="241"/>
      <c r="C3152" s="241"/>
      <c r="D3152" s="241"/>
      <c r="E3152" s="241"/>
      <c r="F3152" s="241"/>
      <c r="G3152" s="241"/>
      <c r="H3152" s="241"/>
      <c r="I3152"/>
      <c r="J3152" s="241"/>
      <c r="K3152" s="241"/>
      <c r="L3152" s="241"/>
      <c r="M3152" s="241"/>
      <c r="N3152" s="241"/>
      <c r="O3152" s="241"/>
      <c r="P3152" s="241"/>
      <c r="Q3152" s="241"/>
    </row>
    <row r="3153" spans="1:17" ht="13.5" customHeight="1" x14ac:dyDescent="0.3">
      <c r="A3153"/>
      <c r="B3153" s="241"/>
      <c r="C3153" s="241"/>
      <c r="D3153" s="241"/>
      <c r="E3153" s="241"/>
      <c r="F3153" s="241"/>
      <c r="G3153" s="241"/>
      <c r="H3153" s="241"/>
      <c r="I3153"/>
      <c r="J3153" s="241"/>
      <c r="K3153" s="241"/>
      <c r="L3153" s="241"/>
      <c r="M3153" s="241"/>
      <c r="N3153" s="241"/>
      <c r="O3153" s="241"/>
      <c r="P3153" s="241"/>
      <c r="Q3153" s="241"/>
    </row>
    <row r="3154" spans="1:17" ht="13.5" customHeight="1" x14ac:dyDescent="0.3">
      <c r="A3154"/>
      <c r="B3154" s="241"/>
      <c r="C3154" s="241"/>
      <c r="D3154" s="241"/>
      <c r="E3154" s="241"/>
      <c r="F3154" s="241"/>
      <c r="G3154" s="241"/>
      <c r="H3154" s="241"/>
      <c r="I3154"/>
      <c r="J3154" s="241"/>
      <c r="K3154" s="241"/>
      <c r="L3154" s="241"/>
      <c r="M3154" s="241"/>
      <c r="N3154" s="241"/>
      <c r="O3154" s="241"/>
      <c r="P3154" s="241"/>
      <c r="Q3154" s="241"/>
    </row>
    <row r="3155" spans="1:17" ht="13.5" customHeight="1" x14ac:dyDescent="0.3">
      <c r="A3155"/>
      <c r="B3155" s="241"/>
      <c r="C3155" s="241"/>
      <c r="D3155" s="241"/>
      <c r="E3155" s="241"/>
      <c r="F3155" s="241"/>
      <c r="G3155" s="241"/>
      <c r="H3155" s="241"/>
      <c r="I3155"/>
      <c r="J3155" s="241"/>
      <c r="K3155" s="241"/>
      <c r="L3155" s="241"/>
      <c r="M3155" s="241"/>
      <c r="N3155" s="241"/>
      <c r="O3155" s="241"/>
      <c r="P3155" s="241"/>
      <c r="Q3155" s="241"/>
    </row>
    <row r="3156" spans="1:17" ht="13.5" customHeight="1" x14ac:dyDescent="0.3">
      <c r="A3156"/>
      <c r="B3156" s="241"/>
      <c r="C3156" s="241"/>
      <c r="D3156" s="241"/>
      <c r="E3156" s="241"/>
      <c r="F3156" s="241"/>
      <c r="G3156" s="241"/>
      <c r="H3156" s="241"/>
      <c r="I3156"/>
      <c r="J3156" s="241"/>
      <c r="K3156" s="241"/>
      <c r="L3156" s="241"/>
      <c r="M3156" s="241"/>
      <c r="N3156" s="241"/>
      <c r="O3156" s="241"/>
      <c r="P3156" s="241"/>
      <c r="Q3156" s="241"/>
    </row>
    <row r="3157" spans="1:17" ht="13.5" customHeight="1" x14ac:dyDescent="0.3">
      <c r="A3157"/>
      <c r="B3157" s="241"/>
      <c r="C3157" s="241"/>
      <c r="D3157" s="241"/>
      <c r="E3157" s="241"/>
      <c r="F3157" s="241"/>
      <c r="G3157" s="241"/>
      <c r="H3157" s="241"/>
      <c r="I3157"/>
      <c r="J3157" s="241"/>
      <c r="K3157" s="241"/>
      <c r="L3157" s="241"/>
      <c r="M3157" s="241"/>
      <c r="N3157" s="241"/>
      <c r="O3157" s="241"/>
      <c r="P3157" s="241"/>
      <c r="Q3157" s="241"/>
    </row>
    <row r="3158" spans="1:17" ht="13.5" customHeight="1" x14ac:dyDescent="0.3">
      <c r="A3158"/>
      <c r="B3158" s="241"/>
      <c r="C3158" s="241"/>
      <c r="D3158" s="241"/>
      <c r="E3158" s="241"/>
      <c r="F3158" s="241"/>
      <c r="G3158" s="241"/>
      <c r="H3158" s="241"/>
      <c r="I3158"/>
      <c r="J3158" s="241"/>
      <c r="K3158" s="241"/>
      <c r="L3158" s="241"/>
      <c r="M3158" s="241"/>
      <c r="N3158" s="241"/>
      <c r="O3158" s="241"/>
      <c r="P3158" s="241"/>
      <c r="Q3158" s="241"/>
    </row>
    <row r="3159" spans="1:17" ht="13.5" customHeight="1" x14ac:dyDescent="0.3">
      <c r="A3159"/>
      <c r="B3159" s="241"/>
      <c r="C3159" s="241"/>
      <c r="D3159" s="241"/>
      <c r="E3159" s="241"/>
      <c r="F3159" s="241"/>
      <c r="G3159" s="241"/>
      <c r="H3159" s="241"/>
      <c r="I3159"/>
      <c r="J3159" s="241"/>
      <c r="K3159" s="241"/>
      <c r="L3159" s="241"/>
      <c r="M3159" s="241"/>
      <c r="N3159" s="241"/>
      <c r="O3159" s="241"/>
      <c r="P3159" s="241"/>
      <c r="Q3159" s="241"/>
    </row>
    <row r="3160" spans="1:17" ht="13.5" customHeight="1" x14ac:dyDescent="0.3">
      <c r="A3160"/>
      <c r="B3160" s="241"/>
      <c r="C3160" s="241"/>
      <c r="D3160" s="241"/>
      <c r="E3160" s="241"/>
      <c r="F3160" s="241"/>
      <c r="G3160" s="241"/>
      <c r="H3160" s="241"/>
      <c r="I3160"/>
      <c r="J3160" s="241"/>
      <c r="K3160" s="241"/>
      <c r="L3160" s="241"/>
      <c r="M3160" s="241"/>
      <c r="N3160" s="241"/>
      <c r="O3160" s="241"/>
      <c r="P3160" s="241"/>
      <c r="Q3160" s="241"/>
    </row>
    <row r="3161" spans="1:17" ht="13.5" customHeight="1" x14ac:dyDescent="0.3">
      <c r="A3161"/>
      <c r="B3161" s="241"/>
      <c r="C3161" s="241"/>
      <c r="D3161" s="241"/>
      <c r="E3161" s="241"/>
      <c r="F3161" s="241"/>
      <c r="G3161" s="241"/>
      <c r="H3161" s="241"/>
      <c r="I3161"/>
      <c r="J3161" s="241"/>
      <c r="K3161" s="241"/>
      <c r="L3161" s="241"/>
      <c r="M3161" s="241"/>
      <c r="N3161" s="241"/>
      <c r="O3161" s="241"/>
      <c r="P3161" s="241"/>
      <c r="Q3161" s="241"/>
    </row>
    <row r="3162" spans="1:17" ht="13.5" customHeight="1" x14ac:dyDescent="0.3">
      <c r="A3162"/>
      <c r="B3162" s="241"/>
      <c r="C3162" s="241"/>
      <c r="D3162" s="241"/>
      <c r="E3162" s="241"/>
      <c r="F3162" s="241"/>
      <c r="G3162" s="241"/>
      <c r="H3162" s="241"/>
      <c r="I3162"/>
      <c r="J3162" s="241"/>
      <c r="K3162" s="241"/>
      <c r="L3162" s="241"/>
      <c r="M3162" s="241"/>
      <c r="N3162" s="241"/>
      <c r="O3162" s="241"/>
      <c r="P3162" s="241"/>
      <c r="Q3162" s="241"/>
    </row>
    <row r="3163" spans="1:17" ht="13.5" customHeight="1" x14ac:dyDescent="0.3">
      <c r="A3163"/>
      <c r="B3163" s="241"/>
      <c r="C3163" s="241"/>
      <c r="D3163" s="241"/>
      <c r="E3163" s="241"/>
      <c r="F3163" s="241"/>
      <c r="G3163" s="241"/>
      <c r="H3163" s="241"/>
      <c r="I3163"/>
      <c r="J3163" s="241"/>
      <c r="K3163" s="241"/>
      <c r="L3163" s="241"/>
      <c r="M3163" s="241"/>
      <c r="N3163" s="241"/>
      <c r="O3163" s="241"/>
      <c r="P3163" s="241"/>
      <c r="Q3163" s="241"/>
    </row>
    <row r="3164" spans="1:17" ht="13.5" customHeight="1" x14ac:dyDescent="0.3">
      <c r="A3164"/>
      <c r="B3164" s="241"/>
      <c r="C3164" s="241"/>
      <c r="D3164" s="241"/>
      <c r="E3164" s="241"/>
      <c r="F3164" s="241"/>
      <c r="G3164" s="241"/>
      <c r="H3164" s="241"/>
      <c r="I3164"/>
      <c r="J3164" s="241"/>
      <c r="K3164" s="241"/>
      <c r="L3164" s="241"/>
      <c r="M3164" s="241"/>
      <c r="N3164" s="241"/>
      <c r="O3164" s="241"/>
      <c r="P3164" s="241"/>
      <c r="Q3164" s="241"/>
    </row>
    <row r="3165" spans="1:17" ht="13.5" customHeight="1" x14ac:dyDescent="0.3">
      <c r="A3165"/>
      <c r="B3165" s="241"/>
      <c r="C3165" s="241"/>
      <c r="D3165" s="241"/>
      <c r="E3165" s="241"/>
      <c r="F3165" s="241"/>
      <c r="G3165" s="241"/>
      <c r="H3165" s="241"/>
      <c r="I3165"/>
      <c r="J3165" s="241"/>
      <c r="K3165" s="241"/>
      <c r="L3165" s="241"/>
      <c r="M3165" s="241"/>
      <c r="N3165" s="241"/>
      <c r="O3165" s="241"/>
      <c r="P3165" s="241"/>
      <c r="Q3165" s="241"/>
    </row>
    <row r="3166" spans="1:17" ht="13.5" customHeight="1" x14ac:dyDescent="0.3">
      <c r="A3166"/>
      <c r="B3166" s="241"/>
      <c r="C3166" s="241"/>
      <c r="D3166" s="241"/>
      <c r="E3166" s="241"/>
      <c r="F3166" s="241"/>
      <c r="G3166" s="241"/>
      <c r="H3166" s="241"/>
      <c r="I3166"/>
      <c r="J3166" s="241"/>
      <c r="K3166" s="241"/>
      <c r="L3166" s="241"/>
      <c r="M3166" s="241"/>
      <c r="N3166" s="241"/>
      <c r="O3166" s="241"/>
      <c r="P3166" s="241"/>
      <c r="Q3166" s="241"/>
    </row>
    <row r="3167" spans="1:17" ht="13.5" customHeight="1" x14ac:dyDescent="0.3">
      <c r="A3167"/>
      <c r="B3167" s="241"/>
      <c r="C3167" s="241"/>
      <c r="D3167" s="241"/>
      <c r="E3167" s="241"/>
      <c r="F3167" s="241"/>
      <c r="G3167" s="241"/>
      <c r="H3167" s="241"/>
      <c r="I3167"/>
      <c r="J3167" s="241"/>
      <c r="K3167" s="241"/>
      <c r="L3167" s="241"/>
      <c r="M3167" s="241"/>
      <c r="N3167" s="241"/>
      <c r="O3167" s="241"/>
      <c r="P3167" s="241"/>
      <c r="Q3167" s="241"/>
    </row>
    <row r="3168" spans="1:17" ht="13.5" customHeight="1" x14ac:dyDescent="0.3">
      <c r="A3168"/>
      <c r="B3168" s="241"/>
      <c r="C3168" s="241"/>
      <c r="D3168" s="241"/>
      <c r="E3168" s="241"/>
      <c r="F3168" s="241"/>
      <c r="G3168" s="241"/>
      <c r="H3168" s="241"/>
      <c r="I3168"/>
      <c r="J3168" s="241"/>
      <c r="K3168" s="241"/>
      <c r="L3168" s="241"/>
      <c r="M3168" s="241"/>
      <c r="N3168" s="241"/>
      <c r="O3168" s="241"/>
      <c r="P3168" s="241"/>
      <c r="Q3168" s="241"/>
    </row>
    <row r="3169" spans="1:17" ht="13.5" customHeight="1" x14ac:dyDescent="0.3">
      <c r="A3169"/>
      <c r="B3169" s="241"/>
      <c r="C3169" s="241"/>
      <c r="D3169" s="241"/>
      <c r="E3169" s="241"/>
      <c r="F3169" s="241"/>
      <c r="G3169" s="241"/>
      <c r="H3169" s="241"/>
      <c r="I3169"/>
      <c r="J3169" s="241"/>
      <c r="K3169" s="241"/>
      <c r="L3169" s="241"/>
      <c r="M3169" s="241"/>
      <c r="N3169" s="241"/>
      <c r="O3169" s="241"/>
      <c r="P3169" s="241"/>
      <c r="Q3169" s="241"/>
    </row>
    <row r="3170" spans="1:17" ht="13.5" customHeight="1" x14ac:dyDescent="0.3">
      <c r="A3170"/>
      <c r="B3170" s="241"/>
      <c r="C3170" s="241"/>
      <c r="D3170" s="241"/>
      <c r="E3170" s="241"/>
      <c r="F3170" s="241"/>
      <c r="G3170" s="241"/>
      <c r="H3170" s="241"/>
      <c r="I3170"/>
      <c r="J3170" s="241"/>
      <c r="K3170" s="241"/>
      <c r="L3170" s="241"/>
      <c r="M3170" s="241"/>
      <c r="N3170" s="241"/>
      <c r="O3170" s="241"/>
      <c r="P3170" s="241"/>
      <c r="Q3170" s="241"/>
    </row>
    <row r="3171" spans="1:17" ht="13.5" customHeight="1" x14ac:dyDescent="0.3">
      <c r="A3171"/>
      <c r="B3171" s="241"/>
      <c r="C3171" s="241"/>
      <c r="D3171" s="241"/>
      <c r="E3171" s="241"/>
      <c r="F3171" s="241"/>
      <c r="G3171" s="241"/>
      <c r="H3171" s="241"/>
      <c r="I3171"/>
      <c r="J3171" s="241"/>
      <c r="K3171" s="241"/>
      <c r="L3171" s="241"/>
      <c r="M3171" s="241"/>
      <c r="N3171" s="241"/>
      <c r="O3171" s="241"/>
      <c r="P3171" s="241"/>
      <c r="Q3171" s="241"/>
    </row>
    <row r="3172" spans="1:17" ht="13.5" customHeight="1" x14ac:dyDescent="0.3">
      <c r="A3172"/>
      <c r="B3172" s="241"/>
      <c r="C3172" s="241"/>
      <c r="D3172" s="241"/>
      <c r="E3172" s="241"/>
      <c r="F3172" s="241"/>
      <c r="G3172" s="241"/>
      <c r="H3172" s="241"/>
      <c r="I3172"/>
      <c r="J3172" s="241"/>
      <c r="K3172" s="241"/>
      <c r="L3172" s="241"/>
      <c r="M3172" s="241"/>
      <c r="N3172" s="241"/>
      <c r="O3172" s="241"/>
      <c r="P3172" s="241"/>
      <c r="Q3172" s="241"/>
    </row>
    <row r="3173" spans="1:17" ht="13.5" customHeight="1" x14ac:dyDescent="0.3">
      <c r="A3173"/>
      <c r="B3173" s="241"/>
      <c r="C3173" s="241"/>
      <c r="D3173" s="241"/>
      <c r="E3173" s="241"/>
      <c r="F3173" s="241"/>
      <c r="G3173" s="241"/>
      <c r="H3173" s="241"/>
      <c r="I3173"/>
      <c r="J3173" s="241"/>
      <c r="K3173" s="241"/>
      <c r="L3173" s="241"/>
      <c r="M3173" s="241"/>
      <c r="N3173" s="241"/>
      <c r="O3173" s="241"/>
      <c r="P3173" s="241"/>
      <c r="Q3173" s="241"/>
    </row>
    <row r="3174" spans="1:17" ht="13.5" customHeight="1" x14ac:dyDescent="0.3">
      <c r="A3174"/>
      <c r="B3174" s="241"/>
      <c r="C3174" s="241"/>
      <c r="D3174" s="241"/>
      <c r="E3174" s="241"/>
      <c r="F3174" s="241"/>
      <c r="G3174" s="241"/>
      <c r="H3174" s="241"/>
      <c r="I3174"/>
      <c r="J3174" s="241"/>
      <c r="K3174" s="241"/>
      <c r="L3174" s="241"/>
      <c r="M3174" s="241"/>
      <c r="N3174" s="241"/>
      <c r="O3174" s="241"/>
      <c r="P3174" s="241"/>
      <c r="Q3174" s="241"/>
    </row>
    <row r="3175" spans="1:17" ht="13.5" customHeight="1" x14ac:dyDescent="0.3">
      <c r="A3175"/>
      <c r="B3175" s="241"/>
      <c r="C3175" s="241"/>
      <c r="D3175" s="241"/>
      <c r="E3175" s="241"/>
      <c r="F3175" s="241"/>
      <c r="G3175" s="241"/>
      <c r="H3175" s="241"/>
      <c r="I3175"/>
      <c r="J3175" s="241"/>
      <c r="K3175" s="241"/>
      <c r="L3175" s="241"/>
      <c r="M3175" s="241"/>
      <c r="N3175" s="241"/>
      <c r="O3175" s="241"/>
      <c r="P3175" s="241"/>
      <c r="Q3175" s="241"/>
    </row>
    <row r="3176" spans="1:17" ht="13.5" customHeight="1" x14ac:dyDescent="0.3">
      <c r="A3176"/>
      <c r="B3176" s="241"/>
      <c r="C3176" s="241"/>
      <c r="D3176" s="241"/>
      <c r="E3176" s="241"/>
      <c r="F3176" s="241"/>
      <c r="G3176" s="241"/>
      <c r="H3176" s="241"/>
      <c r="I3176"/>
      <c r="J3176" s="241"/>
      <c r="K3176" s="241"/>
      <c r="L3176" s="241"/>
      <c r="M3176" s="241"/>
      <c r="N3176" s="241"/>
      <c r="O3176" s="241"/>
      <c r="P3176" s="241"/>
      <c r="Q3176" s="241"/>
    </row>
    <row r="3177" spans="1:17" ht="13.5" customHeight="1" x14ac:dyDescent="0.3">
      <c r="A3177"/>
      <c r="B3177" s="241"/>
      <c r="C3177" s="241"/>
      <c r="D3177" s="241"/>
      <c r="E3177" s="241"/>
      <c r="F3177" s="241"/>
      <c r="G3177" s="241"/>
      <c r="H3177" s="241"/>
      <c r="I3177"/>
      <c r="J3177" s="241"/>
      <c r="K3177" s="241"/>
      <c r="L3177" s="241"/>
      <c r="M3177" s="241"/>
      <c r="N3177" s="241"/>
      <c r="O3177" s="241"/>
      <c r="P3177" s="241"/>
      <c r="Q3177" s="241"/>
    </row>
    <row r="3178" spans="1:17" ht="13.5" customHeight="1" x14ac:dyDescent="0.3">
      <c r="A3178"/>
      <c r="B3178" s="241"/>
      <c r="C3178" s="241"/>
      <c r="D3178" s="241"/>
      <c r="E3178" s="241"/>
      <c r="F3178" s="241"/>
      <c r="G3178" s="241"/>
      <c r="H3178" s="241"/>
      <c r="I3178"/>
      <c r="J3178" s="241"/>
      <c r="K3178" s="241"/>
      <c r="L3178" s="241"/>
      <c r="M3178" s="241"/>
      <c r="N3178" s="241"/>
      <c r="O3178" s="241"/>
      <c r="P3178" s="241"/>
      <c r="Q3178" s="241"/>
    </row>
    <row r="3179" spans="1:17" ht="13.5" customHeight="1" x14ac:dyDescent="0.3">
      <c r="A3179"/>
      <c r="B3179" s="241"/>
      <c r="C3179" s="241"/>
      <c r="D3179" s="241"/>
      <c r="E3179" s="241"/>
      <c r="F3179" s="241"/>
      <c r="G3179" s="241"/>
      <c r="H3179" s="241"/>
      <c r="I3179"/>
      <c r="J3179" s="241"/>
      <c r="K3179" s="241"/>
      <c r="L3179" s="241"/>
      <c r="M3179" s="241"/>
      <c r="N3179" s="241"/>
      <c r="O3179" s="241"/>
      <c r="P3179" s="241"/>
      <c r="Q3179" s="241"/>
    </row>
    <row r="3180" spans="1:17" ht="13.5" customHeight="1" x14ac:dyDescent="0.3">
      <c r="A3180"/>
      <c r="B3180" s="241"/>
      <c r="C3180" s="241"/>
      <c r="D3180" s="241"/>
      <c r="E3180" s="241"/>
      <c r="F3180" s="241"/>
      <c r="G3180" s="241"/>
      <c r="H3180" s="241"/>
      <c r="I3180"/>
      <c r="J3180" s="241"/>
      <c r="K3180" s="241"/>
      <c r="L3180" s="241"/>
      <c r="M3180" s="241"/>
      <c r="N3180" s="241"/>
      <c r="O3180" s="241"/>
      <c r="P3180" s="241"/>
      <c r="Q3180" s="241"/>
    </row>
    <row r="3181" spans="1:17" ht="13.5" customHeight="1" x14ac:dyDescent="0.3">
      <c r="A3181"/>
      <c r="B3181" s="241"/>
      <c r="C3181" s="241"/>
      <c r="D3181" s="241"/>
      <c r="E3181" s="241"/>
      <c r="F3181" s="241"/>
      <c r="G3181" s="241"/>
      <c r="H3181" s="241"/>
      <c r="I3181"/>
      <c r="J3181" s="241"/>
      <c r="K3181" s="241"/>
      <c r="L3181" s="241"/>
      <c r="M3181" s="241"/>
      <c r="N3181" s="241"/>
      <c r="O3181" s="241"/>
      <c r="P3181" s="241"/>
      <c r="Q3181" s="241"/>
    </row>
    <row r="3182" spans="1:17" ht="13.5" customHeight="1" x14ac:dyDescent="0.3">
      <c r="A3182"/>
      <c r="B3182" s="241"/>
      <c r="C3182" s="241"/>
      <c r="D3182" s="241"/>
      <c r="E3182" s="241"/>
      <c r="F3182" s="241"/>
      <c r="G3182" s="241"/>
      <c r="H3182" s="241"/>
      <c r="I3182"/>
      <c r="J3182" s="241"/>
      <c r="K3182" s="241"/>
      <c r="L3182" s="241"/>
      <c r="M3182" s="241"/>
      <c r="N3182" s="241"/>
      <c r="O3182" s="241"/>
      <c r="P3182" s="241"/>
      <c r="Q3182" s="241"/>
    </row>
    <row r="3183" spans="1:17" ht="13.5" customHeight="1" x14ac:dyDescent="0.3">
      <c r="A3183"/>
      <c r="B3183" s="241"/>
      <c r="C3183" s="241"/>
      <c r="D3183" s="241"/>
      <c r="E3183" s="241"/>
      <c r="F3183" s="241"/>
      <c r="G3183" s="241"/>
      <c r="H3183" s="241"/>
      <c r="I3183"/>
      <c r="J3183" s="241"/>
      <c r="K3183" s="241"/>
      <c r="L3183" s="241"/>
      <c r="M3183" s="241"/>
      <c r="N3183" s="241"/>
      <c r="O3183" s="241"/>
      <c r="P3183" s="241"/>
      <c r="Q3183" s="241"/>
    </row>
    <row r="3184" spans="1:17" ht="13.5" customHeight="1" x14ac:dyDescent="0.3">
      <c r="A3184"/>
      <c r="B3184" s="241"/>
      <c r="C3184" s="241"/>
      <c r="D3184" s="241"/>
      <c r="E3184" s="241"/>
      <c r="F3184" s="241"/>
      <c r="G3184" s="241"/>
      <c r="H3184" s="241"/>
      <c r="I3184"/>
      <c r="J3184" s="241"/>
      <c r="K3184" s="241"/>
      <c r="L3184" s="241"/>
      <c r="M3184" s="241"/>
      <c r="N3184" s="241"/>
      <c r="O3184" s="241"/>
      <c r="P3184" s="241"/>
      <c r="Q3184" s="241"/>
    </row>
    <row r="3185" spans="1:17" ht="13.5" customHeight="1" x14ac:dyDescent="0.3">
      <c r="A3185"/>
      <c r="B3185" s="241"/>
      <c r="C3185" s="241"/>
      <c r="D3185" s="241"/>
      <c r="E3185" s="241"/>
      <c r="F3185" s="241"/>
      <c r="G3185" s="241"/>
      <c r="H3185" s="241"/>
      <c r="I3185"/>
      <c r="J3185" s="241"/>
      <c r="K3185" s="241"/>
      <c r="L3185" s="241"/>
      <c r="M3185" s="241"/>
      <c r="N3185" s="241"/>
      <c r="O3185" s="241"/>
      <c r="P3185" s="241"/>
      <c r="Q3185" s="241"/>
    </row>
    <row r="3186" spans="1:17" ht="13.5" customHeight="1" x14ac:dyDescent="0.3">
      <c r="A3186"/>
      <c r="B3186" s="241"/>
      <c r="C3186" s="241"/>
      <c r="D3186" s="241"/>
      <c r="E3186" s="241"/>
      <c r="F3186" s="241"/>
      <c r="G3186" s="241"/>
      <c r="H3186" s="241"/>
      <c r="I3186"/>
      <c r="J3186" s="241"/>
      <c r="K3186" s="241"/>
      <c r="L3186" s="241"/>
      <c r="M3186" s="241"/>
      <c r="N3186" s="241"/>
      <c r="O3186" s="241"/>
      <c r="P3186" s="241"/>
      <c r="Q3186" s="241"/>
    </row>
    <row r="3187" spans="1:17" ht="13.5" customHeight="1" x14ac:dyDescent="0.3">
      <c r="A3187"/>
      <c r="B3187" s="241"/>
      <c r="C3187" s="241"/>
      <c r="D3187" s="241"/>
      <c r="E3187" s="241"/>
      <c r="F3187" s="241"/>
      <c r="G3187" s="241"/>
      <c r="H3187" s="241"/>
      <c r="I3187"/>
      <c r="J3187" s="241"/>
      <c r="K3187" s="241"/>
      <c r="L3187" s="241"/>
      <c r="M3187" s="241"/>
      <c r="N3187" s="241"/>
      <c r="O3187" s="241"/>
      <c r="P3187" s="241"/>
      <c r="Q3187" s="241"/>
    </row>
    <row r="3188" spans="1:17" ht="13.5" customHeight="1" x14ac:dyDescent="0.3">
      <c r="A3188"/>
      <c r="B3188" s="241"/>
      <c r="C3188" s="241"/>
      <c r="D3188" s="241"/>
      <c r="E3188" s="241"/>
      <c r="F3188" s="241"/>
      <c r="G3188" s="241"/>
      <c r="H3188" s="241"/>
      <c r="I3188"/>
      <c r="J3188" s="241"/>
      <c r="K3188" s="241"/>
      <c r="L3188" s="241"/>
      <c r="M3188" s="241"/>
      <c r="N3188" s="241"/>
      <c r="O3188" s="241"/>
      <c r="P3188" s="241"/>
      <c r="Q3188" s="241"/>
    </row>
    <row r="3189" spans="1:17" ht="13.5" customHeight="1" x14ac:dyDescent="0.3">
      <c r="A3189"/>
      <c r="B3189" s="241"/>
      <c r="C3189" s="241"/>
      <c r="D3189" s="241"/>
      <c r="E3189" s="241"/>
      <c r="F3189" s="241"/>
      <c r="G3189" s="241"/>
      <c r="H3189" s="241"/>
      <c r="I3189"/>
      <c r="J3189" s="241"/>
      <c r="K3189" s="241"/>
      <c r="L3189" s="241"/>
      <c r="M3189" s="241"/>
      <c r="N3189" s="241"/>
      <c r="O3189" s="241"/>
      <c r="P3189" s="241"/>
      <c r="Q3189" s="241"/>
    </row>
    <row r="3190" spans="1:17" ht="13.5" customHeight="1" x14ac:dyDescent="0.3">
      <c r="A3190"/>
      <c r="B3190" s="241"/>
      <c r="C3190" s="241"/>
      <c r="D3190" s="241"/>
      <c r="E3190" s="241"/>
      <c r="F3190" s="241"/>
      <c r="G3190" s="241"/>
      <c r="H3190" s="241"/>
      <c r="I3190"/>
      <c r="J3190" s="241"/>
      <c r="K3190" s="241"/>
      <c r="L3190" s="241"/>
      <c r="M3190" s="241"/>
      <c r="N3190" s="241"/>
      <c r="O3190" s="241"/>
      <c r="P3190" s="241"/>
      <c r="Q3190" s="241"/>
    </row>
    <row r="3191" spans="1:17" ht="13.5" customHeight="1" x14ac:dyDescent="0.3">
      <c r="A3191"/>
      <c r="B3191" s="241"/>
      <c r="C3191" s="241"/>
      <c r="D3191" s="241"/>
      <c r="E3191" s="241"/>
      <c r="F3191" s="241"/>
      <c r="G3191" s="241"/>
      <c r="H3191" s="241"/>
      <c r="I3191"/>
      <c r="J3191" s="241"/>
      <c r="K3191" s="241"/>
      <c r="L3191" s="241"/>
      <c r="M3191" s="241"/>
      <c r="N3191" s="241"/>
      <c r="O3191" s="241"/>
      <c r="P3191" s="241"/>
      <c r="Q3191" s="241"/>
    </row>
    <row r="3192" spans="1:17" ht="13.5" customHeight="1" x14ac:dyDescent="0.3">
      <c r="A3192"/>
      <c r="B3192" s="241"/>
      <c r="C3192" s="241"/>
      <c r="D3192" s="241"/>
      <c r="E3192" s="241"/>
      <c r="F3192" s="241"/>
      <c r="G3192" s="241"/>
      <c r="H3192" s="241"/>
      <c r="I3192"/>
      <c r="J3192" s="241"/>
      <c r="K3192" s="241"/>
      <c r="L3192" s="241"/>
      <c r="M3192" s="241"/>
      <c r="N3192" s="241"/>
      <c r="O3192" s="241"/>
      <c r="P3192" s="241"/>
      <c r="Q3192" s="241"/>
    </row>
    <row r="3193" spans="1:17" ht="13.5" customHeight="1" x14ac:dyDescent="0.3">
      <c r="A3193"/>
      <c r="B3193" s="241"/>
      <c r="C3193" s="241"/>
      <c r="D3193" s="241"/>
      <c r="E3193" s="241"/>
      <c r="F3193" s="241"/>
      <c r="G3193" s="241"/>
      <c r="H3193" s="241"/>
      <c r="I3193"/>
      <c r="J3193" s="241"/>
      <c r="K3193" s="241"/>
      <c r="L3193" s="241"/>
      <c r="M3193" s="241"/>
      <c r="N3193" s="241"/>
      <c r="O3193" s="241"/>
      <c r="P3193" s="241"/>
      <c r="Q3193" s="241"/>
    </row>
    <row r="3194" spans="1:17" ht="13.5" customHeight="1" x14ac:dyDescent="0.3">
      <c r="A3194"/>
      <c r="B3194" s="241"/>
      <c r="C3194" s="241"/>
      <c r="D3194" s="241"/>
      <c r="E3194" s="241"/>
      <c r="F3194" s="241"/>
      <c r="G3194" s="241"/>
      <c r="H3194" s="241"/>
      <c r="I3194"/>
      <c r="J3194" s="241"/>
      <c r="K3194" s="241"/>
      <c r="L3194" s="241"/>
      <c r="M3194" s="241"/>
      <c r="N3194" s="241"/>
      <c r="O3194" s="241"/>
      <c r="P3194" s="241"/>
      <c r="Q3194" s="241"/>
    </row>
    <row r="3195" spans="1:17" ht="13.5" customHeight="1" x14ac:dyDescent="0.3">
      <c r="A3195"/>
      <c r="B3195" s="241"/>
      <c r="C3195" s="241"/>
      <c r="D3195" s="241"/>
      <c r="E3195" s="241"/>
      <c r="F3195" s="241"/>
      <c r="G3195" s="241"/>
      <c r="H3195" s="241"/>
      <c r="I3195"/>
      <c r="J3195" s="241"/>
      <c r="K3195" s="241"/>
      <c r="L3195" s="241"/>
      <c r="M3195" s="241"/>
      <c r="N3195" s="241"/>
      <c r="O3195" s="241"/>
      <c r="P3195" s="241"/>
      <c r="Q3195" s="241"/>
    </row>
    <row r="3196" spans="1:17" ht="13.5" customHeight="1" x14ac:dyDescent="0.3">
      <c r="A3196"/>
      <c r="B3196" s="241"/>
      <c r="C3196" s="241"/>
      <c r="D3196" s="241"/>
      <c r="E3196" s="241"/>
      <c r="F3196" s="241"/>
      <c r="G3196" s="241"/>
      <c r="H3196" s="241"/>
      <c r="I3196"/>
      <c r="J3196" s="241"/>
      <c r="K3196" s="241"/>
      <c r="L3196" s="241"/>
      <c r="M3196" s="241"/>
      <c r="N3196" s="241"/>
      <c r="O3196" s="241"/>
      <c r="P3196" s="241"/>
      <c r="Q3196" s="241"/>
    </row>
    <row r="3197" spans="1:17" ht="13.5" customHeight="1" x14ac:dyDescent="0.3">
      <c r="A3197"/>
      <c r="B3197" s="241"/>
      <c r="C3197" s="241"/>
      <c r="D3197" s="241"/>
      <c r="E3197" s="241"/>
      <c r="F3197" s="241"/>
      <c r="G3197" s="241"/>
      <c r="H3197" s="241"/>
      <c r="I3197"/>
      <c r="J3197" s="241"/>
      <c r="K3197" s="241"/>
      <c r="L3197" s="241"/>
      <c r="M3197" s="241"/>
      <c r="N3197" s="241"/>
      <c r="O3197" s="241"/>
      <c r="P3197" s="241"/>
      <c r="Q3197" s="241"/>
    </row>
    <row r="3198" spans="1:17" ht="13.5" customHeight="1" x14ac:dyDescent="0.3">
      <c r="A3198"/>
      <c r="B3198" s="241"/>
      <c r="C3198" s="241"/>
      <c r="D3198" s="241"/>
      <c r="E3198" s="241"/>
      <c r="F3198" s="241"/>
      <c r="G3198" s="241"/>
      <c r="H3198" s="241"/>
      <c r="I3198"/>
      <c r="J3198" s="241"/>
      <c r="K3198" s="241"/>
      <c r="L3198" s="241"/>
      <c r="M3198" s="241"/>
      <c r="N3198" s="241"/>
      <c r="O3198" s="241"/>
      <c r="P3198" s="241"/>
      <c r="Q3198" s="241"/>
    </row>
    <row r="3199" spans="1:17" ht="13.5" customHeight="1" x14ac:dyDescent="0.3">
      <c r="A3199"/>
      <c r="B3199" s="241"/>
      <c r="C3199" s="241"/>
      <c r="D3199" s="241"/>
      <c r="E3199" s="241"/>
      <c r="F3199" s="241"/>
      <c r="G3199" s="241"/>
      <c r="H3199" s="241"/>
      <c r="I3199"/>
      <c r="J3199" s="241"/>
      <c r="K3199" s="241"/>
      <c r="L3199" s="241"/>
      <c r="M3199" s="241"/>
      <c r="N3199" s="241"/>
      <c r="O3199" s="241"/>
      <c r="P3199" s="241"/>
      <c r="Q3199" s="241"/>
    </row>
    <row r="3200" spans="1:17" ht="13.5" customHeight="1" x14ac:dyDescent="0.3">
      <c r="A3200"/>
      <c r="B3200" s="241"/>
      <c r="C3200" s="241"/>
      <c r="D3200" s="241"/>
      <c r="E3200" s="241"/>
      <c r="F3200" s="241"/>
      <c r="G3200" s="241"/>
      <c r="H3200" s="241"/>
      <c r="I3200"/>
      <c r="J3200" s="241"/>
      <c r="K3200" s="241"/>
      <c r="L3200" s="241"/>
      <c r="M3200" s="241"/>
      <c r="N3200" s="241"/>
      <c r="O3200" s="241"/>
      <c r="P3200" s="241"/>
      <c r="Q3200" s="241"/>
    </row>
    <row r="3201" spans="1:17" ht="13.5" customHeight="1" x14ac:dyDescent="0.3">
      <c r="A3201"/>
      <c r="B3201" s="241"/>
      <c r="C3201" s="241"/>
      <c r="D3201" s="241"/>
      <c r="E3201" s="241"/>
      <c r="F3201" s="241"/>
      <c r="G3201" s="241"/>
      <c r="H3201" s="241"/>
      <c r="I3201"/>
      <c r="J3201" s="241"/>
      <c r="K3201" s="241"/>
      <c r="L3201" s="241"/>
      <c r="M3201" s="241"/>
      <c r="N3201" s="241"/>
      <c r="O3201" s="241"/>
      <c r="P3201" s="241"/>
      <c r="Q3201" s="241"/>
    </row>
    <row r="3202" spans="1:17" ht="13.5" customHeight="1" x14ac:dyDescent="0.3">
      <c r="A3202"/>
      <c r="B3202" s="241"/>
      <c r="C3202" s="241"/>
      <c r="D3202" s="241"/>
      <c r="E3202" s="241"/>
      <c r="F3202" s="241"/>
      <c r="G3202" s="241"/>
      <c r="H3202" s="241"/>
      <c r="I3202"/>
      <c r="J3202" s="241"/>
      <c r="K3202" s="241"/>
      <c r="L3202" s="241"/>
      <c r="M3202" s="241"/>
      <c r="N3202" s="241"/>
      <c r="O3202" s="241"/>
      <c r="P3202" s="241"/>
      <c r="Q3202" s="241"/>
    </row>
    <row r="3203" spans="1:17" ht="13.5" customHeight="1" x14ac:dyDescent="0.3">
      <c r="A3203"/>
      <c r="B3203" s="241"/>
      <c r="C3203" s="241"/>
      <c r="D3203" s="241"/>
      <c r="E3203" s="241"/>
      <c r="F3203" s="241"/>
      <c r="G3203" s="241"/>
      <c r="H3203" s="241"/>
      <c r="I3203"/>
      <c r="J3203" s="241"/>
      <c r="K3203" s="241"/>
      <c r="L3203" s="241"/>
      <c r="M3203" s="241"/>
      <c r="N3203" s="241"/>
      <c r="O3203" s="241"/>
      <c r="P3203" s="241"/>
      <c r="Q3203" s="241"/>
    </row>
    <row r="3204" spans="1:17" ht="13.5" customHeight="1" x14ac:dyDescent="0.3">
      <c r="A3204"/>
      <c r="B3204" s="241"/>
      <c r="C3204" s="241"/>
      <c r="D3204" s="241"/>
      <c r="E3204" s="241"/>
      <c r="F3204" s="241"/>
      <c r="G3204" s="241"/>
      <c r="H3204" s="241"/>
      <c r="I3204"/>
      <c r="J3204" s="241"/>
      <c r="K3204" s="241"/>
      <c r="L3204" s="241"/>
      <c r="M3204" s="241"/>
      <c r="N3204" s="241"/>
      <c r="O3204" s="241"/>
      <c r="P3204" s="241"/>
      <c r="Q3204" s="241"/>
    </row>
    <row r="3205" spans="1:17" ht="13.5" customHeight="1" x14ac:dyDescent="0.3">
      <c r="A3205"/>
      <c r="B3205" s="241"/>
      <c r="C3205" s="241"/>
      <c r="D3205" s="241"/>
      <c r="E3205" s="241"/>
      <c r="F3205" s="241"/>
      <c r="G3205" s="241"/>
      <c r="H3205" s="241"/>
      <c r="I3205"/>
      <c r="J3205" s="241"/>
      <c r="K3205" s="241"/>
      <c r="L3205" s="241"/>
      <c r="M3205" s="241"/>
      <c r="N3205" s="241"/>
      <c r="O3205" s="241"/>
      <c r="P3205" s="241"/>
      <c r="Q3205" s="241"/>
    </row>
    <row r="3206" spans="1:17" ht="13.5" customHeight="1" x14ac:dyDescent="0.3">
      <c r="A3206"/>
      <c r="B3206" s="241"/>
      <c r="C3206" s="241"/>
      <c r="D3206" s="241"/>
      <c r="E3206" s="241"/>
      <c r="F3206" s="241"/>
      <c r="G3206" s="241"/>
      <c r="H3206" s="241"/>
      <c r="I3206"/>
      <c r="J3206" s="241"/>
      <c r="K3206" s="241"/>
      <c r="L3206" s="241"/>
      <c r="M3206" s="241"/>
      <c r="N3206" s="241"/>
      <c r="O3206" s="241"/>
      <c r="P3206" s="241"/>
      <c r="Q3206" s="241"/>
    </row>
    <row r="3207" spans="1:17" ht="13.5" customHeight="1" x14ac:dyDescent="0.3">
      <c r="A3207"/>
      <c r="B3207" s="241"/>
      <c r="C3207" s="241"/>
      <c r="D3207" s="241"/>
      <c r="E3207" s="241"/>
      <c r="F3207" s="241"/>
      <c r="G3207" s="241"/>
      <c r="H3207" s="241"/>
      <c r="I3207"/>
      <c r="J3207" s="241"/>
      <c r="K3207" s="241"/>
      <c r="L3207" s="241"/>
      <c r="M3207" s="241"/>
      <c r="N3207" s="241"/>
      <c r="O3207" s="241"/>
      <c r="P3207" s="241"/>
      <c r="Q3207" s="241"/>
    </row>
    <row r="3208" spans="1:17" ht="13.5" customHeight="1" x14ac:dyDescent="0.3">
      <c r="A3208"/>
      <c r="B3208" s="241"/>
      <c r="C3208" s="241"/>
      <c r="D3208" s="241"/>
      <c r="E3208" s="241"/>
      <c r="F3208" s="241"/>
      <c r="G3208" s="241"/>
      <c r="H3208" s="241"/>
      <c r="I3208"/>
      <c r="J3208" s="241"/>
      <c r="K3208" s="241"/>
      <c r="L3208" s="241"/>
      <c r="M3208" s="241"/>
      <c r="N3208" s="241"/>
      <c r="O3208" s="241"/>
      <c r="P3208" s="241"/>
      <c r="Q3208" s="241"/>
    </row>
    <row r="3209" spans="1:17" ht="13.5" customHeight="1" x14ac:dyDescent="0.3">
      <c r="A3209"/>
      <c r="B3209" s="241"/>
      <c r="C3209" s="241"/>
      <c r="D3209" s="241"/>
      <c r="E3209" s="241"/>
      <c r="F3209" s="241"/>
      <c r="G3209" s="241"/>
      <c r="H3209" s="241"/>
      <c r="I3209"/>
      <c r="J3209" s="241"/>
      <c r="K3209" s="241"/>
      <c r="L3209" s="241"/>
      <c r="M3209" s="241"/>
      <c r="N3209" s="241"/>
      <c r="O3209" s="241"/>
      <c r="P3209" s="241"/>
      <c r="Q3209" s="241"/>
    </row>
    <row r="3210" spans="1:17" ht="13.5" customHeight="1" x14ac:dyDescent="0.3">
      <c r="A3210"/>
      <c r="B3210" s="241"/>
      <c r="C3210" s="241"/>
      <c r="D3210" s="241"/>
      <c r="E3210" s="241"/>
      <c r="F3210" s="241"/>
      <c r="G3210" s="241"/>
      <c r="H3210" s="241"/>
      <c r="I3210"/>
      <c r="J3210" s="241"/>
      <c r="K3210" s="241"/>
      <c r="L3210" s="241"/>
      <c r="M3210" s="241"/>
      <c r="N3210" s="241"/>
      <c r="O3210" s="241"/>
      <c r="P3210" s="241"/>
      <c r="Q3210" s="241"/>
    </row>
    <row r="3211" spans="1:17" ht="13.5" customHeight="1" x14ac:dyDescent="0.3">
      <c r="A3211"/>
      <c r="B3211" s="241"/>
      <c r="C3211" s="241"/>
      <c r="D3211" s="241"/>
      <c r="E3211" s="241"/>
      <c r="F3211" s="241"/>
      <c r="G3211" s="241"/>
      <c r="H3211" s="241"/>
      <c r="I3211"/>
      <c r="J3211" s="241"/>
      <c r="K3211" s="241"/>
      <c r="L3211" s="241"/>
      <c r="M3211" s="241"/>
      <c r="N3211" s="241"/>
      <c r="O3211" s="241"/>
      <c r="P3211" s="241"/>
      <c r="Q3211" s="241"/>
    </row>
    <row r="3212" spans="1:17" ht="13.5" customHeight="1" x14ac:dyDescent="0.3">
      <c r="A3212"/>
      <c r="B3212" s="241"/>
      <c r="C3212" s="241"/>
      <c r="D3212" s="241"/>
      <c r="E3212" s="241"/>
      <c r="F3212" s="241"/>
      <c r="G3212" s="241"/>
      <c r="H3212" s="241"/>
      <c r="I3212"/>
      <c r="J3212" s="241"/>
      <c r="K3212" s="241"/>
      <c r="L3212" s="241"/>
      <c r="M3212" s="241"/>
      <c r="N3212" s="241"/>
      <c r="O3212" s="241"/>
      <c r="P3212" s="241"/>
      <c r="Q3212" s="241"/>
    </row>
    <row r="3213" spans="1:17" ht="13.5" customHeight="1" x14ac:dyDescent="0.3">
      <c r="A3213"/>
      <c r="B3213" s="241"/>
      <c r="C3213" s="241"/>
      <c r="D3213" s="241"/>
      <c r="E3213" s="241"/>
      <c r="F3213" s="241"/>
      <c r="G3213" s="241"/>
      <c r="H3213" s="241"/>
      <c r="I3213"/>
      <c r="J3213" s="241"/>
      <c r="K3213" s="241"/>
      <c r="L3213" s="241"/>
      <c r="M3213" s="241"/>
      <c r="N3213" s="241"/>
      <c r="O3213" s="241"/>
      <c r="P3213" s="241"/>
      <c r="Q3213" s="241"/>
    </row>
    <row r="3214" spans="1:17" ht="13.5" customHeight="1" x14ac:dyDescent="0.3">
      <c r="A3214"/>
      <c r="B3214" s="241"/>
      <c r="C3214" s="241"/>
      <c r="D3214" s="241"/>
      <c r="E3214" s="241"/>
      <c r="F3214" s="241"/>
      <c r="G3214" s="241"/>
      <c r="H3214" s="241"/>
      <c r="I3214"/>
      <c r="J3214" s="241"/>
      <c r="K3214" s="241"/>
      <c r="L3214" s="241"/>
      <c r="M3214" s="241"/>
      <c r="N3214" s="241"/>
      <c r="O3214" s="241"/>
      <c r="P3214" s="241"/>
      <c r="Q3214" s="241"/>
    </row>
    <row r="3215" spans="1:17" ht="13.5" customHeight="1" x14ac:dyDescent="0.3">
      <c r="A3215"/>
      <c r="B3215" s="241"/>
      <c r="C3215" s="241"/>
      <c r="D3215" s="241"/>
      <c r="E3215" s="241"/>
      <c r="F3215" s="241"/>
      <c r="G3215" s="241"/>
      <c r="H3215" s="241"/>
      <c r="I3215"/>
      <c r="J3215" s="241"/>
      <c r="K3215" s="241"/>
      <c r="L3215" s="241"/>
      <c r="M3215" s="241"/>
      <c r="N3215" s="241"/>
      <c r="O3215" s="241"/>
      <c r="P3215" s="241"/>
      <c r="Q3215" s="241"/>
    </row>
    <row r="3216" spans="1:17" ht="13.5" customHeight="1" x14ac:dyDescent="0.3">
      <c r="A3216"/>
      <c r="B3216" s="241"/>
      <c r="C3216" s="241"/>
      <c r="D3216" s="241"/>
      <c r="E3216" s="241"/>
      <c r="F3216" s="241"/>
      <c r="G3216" s="241"/>
      <c r="H3216" s="241"/>
      <c r="I3216"/>
      <c r="J3216" s="241"/>
      <c r="K3216" s="241"/>
      <c r="L3216" s="241"/>
      <c r="M3216" s="241"/>
      <c r="N3216" s="241"/>
      <c r="O3216" s="241"/>
      <c r="P3216" s="241"/>
      <c r="Q3216" s="241"/>
    </row>
    <row r="3217" spans="1:17" ht="13.5" customHeight="1" x14ac:dyDescent="0.3">
      <c r="A3217"/>
      <c r="B3217" s="241"/>
      <c r="C3217" s="241"/>
      <c r="D3217" s="241"/>
      <c r="E3217" s="241"/>
      <c r="F3217" s="241"/>
      <c r="G3217" s="241"/>
      <c r="H3217" s="241"/>
      <c r="I3217"/>
      <c r="J3217" s="241"/>
      <c r="K3217" s="241"/>
      <c r="L3217" s="241"/>
      <c r="M3217" s="241"/>
      <c r="N3217" s="241"/>
      <c r="O3217" s="241"/>
      <c r="P3217" s="241"/>
      <c r="Q3217" s="241"/>
    </row>
    <row r="3218" spans="1:17" ht="13.5" customHeight="1" x14ac:dyDescent="0.3">
      <c r="A3218"/>
      <c r="B3218" s="241"/>
      <c r="C3218" s="241"/>
      <c r="D3218" s="241"/>
      <c r="E3218" s="241"/>
      <c r="F3218" s="241"/>
      <c r="G3218" s="241"/>
      <c r="H3218" s="241"/>
      <c r="I3218"/>
      <c r="J3218" s="241"/>
      <c r="K3218" s="241"/>
      <c r="L3218" s="241"/>
      <c r="M3218" s="241"/>
      <c r="N3218" s="241"/>
      <c r="O3218" s="241"/>
      <c r="P3218" s="241"/>
      <c r="Q3218" s="241"/>
    </row>
    <row r="3219" spans="1:17" ht="13.5" customHeight="1" x14ac:dyDescent="0.3">
      <c r="A3219"/>
      <c r="B3219" s="241"/>
      <c r="C3219" s="241"/>
      <c r="D3219" s="241"/>
      <c r="E3219" s="241"/>
      <c r="F3219" s="241"/>
      <c r="G3219" s="241"/>
      <c r="H3219" s="241"/>
      <c r="I3219"/>
      <c r="J3219" s="241"/>
      <c r="K3219" s="241"/>
      <c r="L3219" s="241"/>
      <c r="M3219" s="241"/>
      <c r="N3219" s="241"/>
      <c r="O3219" s="241"/>
      <c r="P3219" s="241"/>
      <c r="Q3219" s="241"/>
    </row>
    <row r="3220" spans="1:17" ht="13.5" customHeight="1" x14ac:dyDescent="0.3">
      <c r="A3220"/>
      <c r="B3220" s="241"/>
      <c r="C3220" s="241"/>
      <c r="D3220" s="241"/>
      <c r="E3220" s="241"/>
      <c r="F3220" s="241"/>
      <c r="G3220" s="241"/>
      <c r="H3220" s="241"/>
      <c r="I3220"/>
      <c r="J3220" s="241"/>
      <c r="K3220" s="241"/>
      <c r="L3220" s="241"/>
      <c r="M3220" s="241"/>
      <c r="N3220" s="241"/>
      <c r="O3220" s="241"/>
      <c r="P3220" s="241"/>
      <c r="Q3220" s="241"/>
    </row>
    <row r="3221" spans="1:17" ht="13.5" customHeight="1" x14ac:dyDescent="0.3">
      <c r="A3221"/>
      <c r="B3221" s="241"/>
      <c r="C3221" s="241"/>
      <c r="D3221" s="241"/>
      <c r="E3221" s="241"/>
      <c r="F3221" s="241"/>
      <c r="G3221" s="241"/>
      <c r="H3221" s="241"/>
      <c r="I3221"/>
      <c r="J3221" s="241"/>
      <c r="K3221" s="241"/>
      <c r="L3221" s="241"/>
      <c r="M3221" s="241"/>
      <c r="N3221" s="241"/>
      <c r="O3221" s="241"/>
      <c r="P3221" s="241"/>
      <c r="Q3221" s="241"/>
    </row>
    <row r="3222" spans="1:17" ht="13.5" customHeight="1" x14ac:dyDescent="0.3">
      <c r="A3222"/>
      <c r="B3222" s="241"/>
      <c r="C3222" s="241"/>
      <c r="D3222" s="241"/>
      <c r="E3222" s="241"/>
      <c r="F3222" s="241"/>
      <c r="G3222" s="241"/>
      <c r="H3222" s="241"/>
      <c r="I3222"/>
      <c r="J3222" s="241"/>
      <c r="K3222" s="241"/>
      <c r="L3222" s="241"/>
      <c r="M3222" s="241"/>
      <c r="N3222" s="241"/>
      <c r="O3222" s="241"/>
      <c r="P3222" s="241"/>
      <c r="Q3222" s="241"/>
    </row>
    <row r="3223" spans="1:17" ht="13.5" customHeight="1" x14ac:dyDescent="0.3">
      <c r="A3223"/>
      <c r="B3223" s="241"/>
      <c r="C3223" s="241"/>
      <c r="D3223" s="241"/>
      <c r="E3223" s="241"/>
      <c r="F3223" s="241"/>
      <c r="G3223" s="241"/>
      <c r="H3223" s="241"/>
      <c r="I3223"/>
      <c r="J3223" s="241"/>
      <c r="K3223" s="241"/>
      <c r="L3223" s="241"/>
      <c r="M3223" s="241"/>
      <c r="N3223" s="241"/>
      <c r="O3223" s="241"/>
      <c r="P3223" s="241"/>
      <c r="Q3223" s="241"/>
    </row>
    <row r="3224" spans="1:17" ht="13.5" customHeight="1" x14ac:dyDescent="0.3">
      <c r="A3224"/>
      <c r="B3224" s="241"/>
      <c r="C3224" s="241"/>
      <c r="D3224" s="241"/>
      <c r="E3224" s="241"/>
      <c r="F3224" s="241"/>
      <c r="G3224" s="241"/>
      <c r="H3224" s="241"/>
      <c r="I3224"/>
      <c r="J3224" s="241"/>
      <c r="K3224" s="241"/>
      <c r="L3224" s="241"/>
      <c r="M3224" s="241"/>
      <c r="N3224" s="241"/>
      <c r="O3224" s="241"/>
      <c r="P3224" s="241"/>
      <c r="Q3224" s="241"/>
    </row>
    <row r="3225" spans="1:17" ht="13.5" customHeight="1" x14ac:dyDescent="0.3">
      <c r="A3225"/>
      <c r="B3225" s="241"/>
      <c r="C3225" s="241"/>
      <c r="D3225" s="241"/>
      <c r="E3225" s="241"/>
      <c r="F3225" s="241"/>
      <c r="G3225" s="241"/>
      <c r="H3225" s="241"/>
      <c r="I3225"/>
      <c r="J3225" s="241"/>
      <c r="K3225" s="241"/>
      <c r="L3225" s="241"/>
      <c r="M3225" s="241"/>
      <c r="N3225" s="241"/>
      <c r="O3225" s="241"/>
      <c r="P3225" s="241"/>
      <c r="Q3225" s="241"/>
    </row>
    <row r="3226" spans="1:17" ht="13.5" customHeight="1" x14ac:dyDescent="0.3">
      <c r="A3226"/>
      <c r="B3226" s="241"/>
      <c r="C3226" s="241"/>
      <c r="D3226" s="241"/>
      <c r="E3226" s="241"/>
      <c r="F3226" s="241"/>
      <c r="G3226" s="241"/>
      <c r="H3226" s="241"/>
      <c r="I3226"/>
      <c r="J3226" s="241"/>
      <c r="K3226" s="241"/>
      <c r="L3226" s="241"/>
      <c r="M3226" s="241"/>
      <c r="N3226" s="241"/>
      <c r="O3226" s="241"/>
      <c r="P3226" s="241"/>
      <c r="Q3226" s="241"/>
    </row>
    <row r="3227" spans="1:17" ht="13.5" customHeight="1" x14ac:dyDescent="0.3">
      <c r="A3227"/>
      <c r="B3227" s="241"/>
      <c r="C3227" s="241"/>
      <c r="D3227" s="241"/>
      <c r="E3227" s="241"/>
      <c r="F3227" s="241"/>
      <c r="G3227" s="241"/>
      <c r="H3227" s="241"/>
      <c r="I3227"/>
      <c r="J3227" s="241"/>
      <c r="K3227" s="241"/>
      <c r="L3227" s="241"/>
      <c r="M3227" s="241"/>
      <c r="N3227" s="241"/>
      <c r="O3227" s="241"/>
      <c r="P3227" s="241"/>
      <c r="Q3227" s="241"/>
    </row>
    <row r="3228" spans="1:17" ht="13.5" customHeight="1" x14ac:dyDescent="0.3">
      <c r="A3228"/>
      <c r="B3228" s="241"/>
      <c r="C3228" s="241"/>
      <c r="D3228" s="241"/>
      <c r="E3228" s="241"/>
      <c r="F3228" s="241"/>
      <c r="G3228" s="241"/>
      <c r="H3228" s="241"/>
      <c r="I3228"/>
      <c r="J3228" s="241"/>
      <c r="K3228" s="241"/>
      <c r="L3228" s="241"/>
      <c r="M3228" s="241"/>
      <c r="N3228" s="241"/>
      <c r="O3228" s="241"/>
      <c r="P3228" s="241"/>
      <c r="Q3228" s="241"/>
    </row>
    <row r="3229" spans="1:17" ht="13.5" customHeight="1" x14ac:dyDescent="0.3">
      <c r="A3229"/>
      <c r="B3229" s="241"/>
      <c r="C3229" s="241"/>
      <c r="D3229" s="241"/>
      <c r="E3229" s="241"/>
      <c r="F3229" s="241"/>
      <c r="G3229" s="241"/>
      <c r="H3229" s="241"/>
      <c r="I3229"/>
      <c r="J3229" s="241"/>
      <c r="K3229" s="241"/>
      <c r="L3229" s="241"/>
      <c r="M3229" s="241"/>
      <c r="N3229" s="241"/>
      <c r="O3229" s="241"/>
      <c r="P3229" s="241"/>
      <c r="Q3229" s="241"/>
    </row>
    <row r="3230" spans="1:17" ht="13.5" customHeight="1" x14ac:dyDescent="0.3">
      <c r="A3230"/>
      <c r="B3230" s="241"/>
      <c r="C3230" s="241"/>
      <c r="D3230" s="241"/>
      <c r="E3230" s="241"/>
      <c r="F3230" s="241"/>
      <c r="G3230" s="241"/>
      <c r="H3230" s="241"/>
      <c r="I3230"/>
      <c r="J3230" s="241"/>
      <c r="K3230" s="241"/>
      <c r="L3230" s="241"/>
      <c r="M3230" s="241"/>
      <c r="N3230" s="241"/>
      <c r="O3230" s="241"/>
      <c r="P3230" s="241"/>
      <c r="Q3230" s="241"/>
    </row>
    <row r="3231" spans="1:17" ht="13.5" customHeight="1" x14ac:dyDescent="0.3">
      <c r="A3231"/>
      <c r="B3231" s="241"/>
      <c r="C3231" s="241"/>
      <c r="D3231" s="241"/>
      <c r="E3231" s="241"/>
      <c r="F3231" s="241"/>
      <c r="G3231" s="241"/>
      <c r="H3231" s="241"/>
      <c r="I3231"/>
      <c r="J3231" s="241"/>
      <c r="K3231" s="241"/>
      <c r="L3231" s="241"/>
      <c r="M3231" s="241"/>
      <c r="N3231" s="241"/>
      <c r="O3231" s="241"/>
      <c r="P3231" s="241"/>
      <c r="Q3231" s="241"/>
    </row>
    <row r="3232" spans="1:17" ht="13.5" customHeight="1" x14ac:dyDescent="0.3">
      <c r="A3232"/>
      <c r="B3232" s="241"/>
      <c r="C3232" s="241"/>
      <c r="D3232" s="241"/>
      <c r="E3232" s="241"/>
      <c r="F3232" s="241"/>
      <c r="G3232" s="241"/>
      <c r="H3232" s="241"/>
      <c r="I3232"/>
      <c r="J3232" s="241"/>
      <c r="K3232" s="241"/>
      <c r="L3232" s="241"/>
      <c r="M3232" s="241"/>
      <c r="N3232" s="241"/>
      <c r="O3232" s="241"/>
      <c r="P3232" s="241"/>
      <c r="Q3232" s="241"/>
    </row>
    <row r="3233" spans="1:17" ht="13.5" customHeight="1" x14ac:dyDescent="0.3">
      <c r="A3233"/>
      <c r="B3233" s="241"/>
      <c r="C3233" s="241"/>
      <c r="D3233" s="241"/>
      <c r="E3233" s="241"/>
      <c r="F3233" s="241"/>
      <c r="G3233" s="241"/>
      <c r="H3233" s="241"/>
      <c r="I3233"/>
      <c r="J3233" s="241"/>
      <c r="K3233" s="241"/>
      <c r="L3233" s="241"/>
      <c r="M3233" s="241"/>
      <c r="N3233" s="241"/>
      <c r="O3233" s="241"/>
      <c r="P3233" s="241"/>
      <c r="Q3233" s="241"/>
    </row>
    <row r="3234" spans="1:17" ht="13.5" customHeight="1" x14ac:dyDescent="0.3">
      <c r="A3234"/>
      <c r="B3234" s="241"/>
      <c r="C3234" s="241"/>
      <c r="D3234" s="241"/>
      <c r="E3234" s="241"/>
      <c r="F3234" s="241"/>
      <c r="G3234" s="241"/>
      <c r="H3234" s="241"/>
      <c r="I3234"/>
      <c r="J3234" s="241"/>
      <c r="K3234" s="241"/>
      <c r="L3234" s="241"/>
      <c r="M3234" s="241"/>
      <c r="N3234" s="241"/>
      <c r="O3234" s="241"/>
      <c r="P3234" s="241"/>
      <c r="Q3234" s="241"/>
    </row>
    <row r="3235" spans="1:17" ht="13.5" customHeight="1" x14ac:dyDescent="0.3">
      <c r="A3235"/>
      <c r="B3235" s="241"/>
      <c r="C3235" s="241"/>
      <c r="D3235" s="241"/>
      <c r="E3235" s="241"/>
      <c r="F3235" s="241"/>
      <c r="G3235" s="241"/>
      <c r="H3235" s="241"/>
      <c r="I3235"/>
      <c r="J3235" s="241"/>
      <c r="K3235" s="241"/>
      <c r="L3235" s="241"/>
      <c r="M3235" s="241"/>
      <c r="N3235" s="241"/>
      <c r="O3235" s="241"/>
      <c r="P3235" s="241"/>
      <c r="Q3235" s="241"/>
    </row>
    <row r="3236" spans="1:17" ht="13.5" customHeight="1" x14ac:dyDescent="0.3">
      <c r="A3236"/>
      <c r="B3236" s="241"/>
      <c r="C3236" s="241"/>
      <c r="D3236" s="241"/>
      <c r="E3236" s="241"/>
      <c r="F3236" s="241"/>
      <c r="G3236" s="241"/>
      <c r="H3236" s="241"/>
      <c r="I3236"/>
      <c r="J3236" s="241"/>
      <c r="K3236" s="241"/>
      <c r="L3236" s="241"/>
      <c r="M3236" s="241"/>
      <c r="N3236" s="241"/>
      <c r="O3236" s="241"/>
      <c r="P3236" s="241"/>
      <c r="Q3236" s="241"/>
    </row>
    <row r="3237" spans="1:17" ht="13.5" customHeight="1" x14ac:dyDescent="0.3">
      <c r="A3237"/>
      <c r="B3237" s="241"/>
      <c r="C3237" s="241"/>
      <c r="D3237" s="241"/>
      <c r="E3237" s="241"/>
      <c r="F3237" s="241"/>
      <c r="G3237" s="241"/>
      <c r="H3237" s="241"/>
      <c r="I3237"/>
      <c r="J3237" s="241"/>
      <c r="K3237" s="241"/>
      <c r="L3237" s="241"/>
      <c r="M3237" s="241"/>
      <c r="N3237" s="241"/>
      <c r="O3237" s="241"/>
      <c r="P3237" s="241"/>
      <c r="Q3237" s="241"/>
    </row>
    <row r="3238" spans="1:17" ht="13.5" customHeight="1" x14ac:dyDescent="0.3">
      <c r="A3238"/>
      <c r="B3238" s="241"/>
      <c r="C3238" s="241"/>
      <c r="D3238" s="241"/>
      <c r="E3238" s="241"/>
      <c r="F3238" s="241"/>
      <c r="G3238" s="241"/>
      <c r="H3238" s="241"/>
      <c r="I3238"/>
      <c r="J3238" s="241"/>
      <c r="K3238" s="241"/>
      <c r="L3238" s="241"/>
      <c r="M3238" s="241"/>
      <c r="N3238" s="241"/>
      <c r="O3238" s="241"/>
      <c r="P3238" s="241"/>
      <c r="Q3238" s="241"/>
    </row>
    <row r="3239" spans="1:17" ht="13.5" customHeight="1" x14ac:dyDescent="0.3">
      <c r="A3239"/>
      <c r="B3239" s="241"/>
      <c r="C3239" s="241"/>
      <c r="D3239" s="241"/>
      <c r="E3239" s="241"/>
      <c r="F3239" s="241"/>
      <c r="G3239" s="241"/>
      <c r="H3239" s="241"/>
      <c r="I3239"/>
      <c r="J3239" s="241"/>
      <c r="K3239" s="241"/>
      <c r="L3239" s="241"/>
      <c r="M3239" s="241"/>
      <c r="N3239" s="241"/>
      <c r="O3239" s="241"/>
      <c r="P3239" s="241"/>
      <c r="Q3239" s="241"/>
    </row>
    <row r="3240" spans="1:17" ht="13.5" customHeight="1" x14ac:dyDescent="0.3">
      <c r="A3240"/>
      <c r="B3240" s="241"/>
      <c r="C3240" s="241"/>
      <c r="D3240" s="241"/>
      <c r="E3240" s="241"/>
      <c r="F3240" s="241"/>
      <c r="G3240" s="241"/>
      <c r="H3240" s="241"/>
      <c r="I3240"/>
      <c r="J3240" s="241"/>
      <c r="K3240" s="241"/>
      <c r="L3240" s="241"/>
      <c r="M3240" s="241"/>
      <c r="N3240" s="241"/>
      <c r="O3240" s="241"/>
      <c r="P3240" s="241"/>
      <c r="Q3240" s="241"/>
    </row>
    <row r="3241" spans="1:17" ht="13.5" customHeight="1" x14ac:dyDescent="0.3">
      <c r="A3241"/>
      <c r="B3241" s="241"/>
      <c r="C3241" s="241"/>
      <c r="D3241" s="241"/>
      <c r="E3241" s="241"/>
      <c r="F3241" s="241"/>
      <c r="G3241" s="241"/>
      <c r="H3241" s="241"/>
      <c r="I3241"/>
      <c r="J3241" s="241"/>
      <c r="K3241" s="241"/>
      <c r="L3241" s="241"/>
      <c r="M3241" s="241"/>
      <c r="N3241" s="241"/>
      <c r="O3241" s="241"/>
      <c r="P3241" s="241"/>
      <c r="Q3241" s="241"/>
    </row>
    <row r="3242" spans="1:17" ht="13.5" customHeight="1" x14ac:dyDescent="0.3">
      <c r="A3242"/>
      <c r="B3242" s="241"/>
      <c r="C3242" s="241"/>
      <c r="D3242" s="241"/>
      <c r="E3242" s="241"/>
      <c r="F3242" s="241"/>
      <c r="G3242" s="241"/>
      <c r="H3242" s="241"/>
      <c r="I3242"/>
      <c r="J3242" s="241"/>
      <c r="K3242" s="241"/>
      <c r="L3242" s="241"/>
      <c r="M3242" s="241"/>
      <c r="N3242" s="241"/>
      <c r="O3242" s="241"/>
      <c r="P3242" s="241"/>
      <c r="Q3242" s="241"/>
    </row>
    <row r="3243" spans="1:17" ht="13.5" customHeight="1" x14ac:dyDescent="0.3">
      <c r="A3243"/>
      <c r="B3243" s="241"/>
      <c r="C3243" s="241"/>
      <c r="D3243" s="241"/>
      <c r="E3243" s="241"/>
      <c r="F3243" s="241"/>
      <c r="G3243" s="241"/>
      <c r="H3243" s="241"/>
      <c r="I3243"/>
      <c r="J3243" s="241"/>
      <c r="K3243" s="241"/>
      <c r="L3243" s="241"/>
      <c r="M3243" s="241"/>
      <c r="N3243" s="241"/>
      <c r="O3243" s="241"/>
      <c r="P3243" s="241"/>
      <c r="Q3243" s="241"/>
    </row>
    <row r="3244" spans="1:17" ht="13.5" customHeight="1" x14ac:dyDescent="0.3">
      <c r="A3244"/>
      <c r="B3244" s="241"/>
      <c r="C3244" s="241"/>
      <c r="D3244" s="241"/>
      <c r="E3244" s="241"/>
      <c r="F3244" s="241"/>
      <c r="G3244" s="241"/>
      <c r="H3244" s="241"/>
      <c r="I3244"/>
      <c r="J3244" s="241"/>
      <c r="K3244" s="241"/>
      <c r="L3244" s="241"/>
      <c r="M3244" s="241"/>
      <c r="N3244" s="241"/>
      <c r="O3244" s="241"/>
      <c r="P3244" s="241"/>
      <c r="Q3244" s="241"/>
    </row>
    <row r="3245" spans="1:17" ht="13.5" customHeight="1" x14ac:dyDescent="0.3">
      <c r="A3245"/>
      <c r="B3245" s="241"/>
      <c r="C3245" s="241"/>
      <c r="D3245" s="241"/>
      <c r="E3245" s="241"/>
      <c r="F3245" s="241"/>
      <c r="G3245" s="241"/>
      <c r="H3245" s="241"/>
      <c r="I3245"/>
      <c r="J3245" s="241"/>
      <c r="K3245" s="241"/>
      <c r="L3245" s="241"/>
      <c r="M3245" s="241"/>
      <c r="N3245" s="241"/>
      <c r="O3245" s="241"/>
      <c r="P3245" s="241"/>
      <c r="Q3245" s="241"/>
    </row>
    <row r="3246" spans="1:17" ht="13.5" customHeight="1" x14ac:dyDescent="0.3">
      <c r="A3246"/>
      <c r="B3246" s="241"/>
      <c r="C3246" s="241"/>
      <c r="D3246" s="241"/>
      <c r="E3246" s="241"/>
      <c r="F3246" s="241"/>
      <c r="G3246" s="241"/>
      <c r="H3246" s="241"/>
      <c r="I3246"/>
      <c r="J3246" s="241"/>
      <c r="K3246" s="241"/>
      <c r="L3246" s="241"/>
      <c r="M3246" s="241"/>
      <c r="N3246" s="241"/>
      <c r="O3246" s="241"/>
      <c r="P3246" s="241"/>
      <c r="Q3246" s="241"/>
    </row>
    <row r="3247" spans="1:17" ht="13.5" customHeight="1" x14ac:dyDescent="0.3">
      <c r="A3247"/>
      <c r="B3247" s="241"/>
      <c r="C3247" s="241"/>
      <c r="D3247" s="241"/>
      <c r="E3247" s="241"/>
      <c r="F3247" s="241"/>
      <c r="G3247" s="241"/>
      <c r="H3247" s="241"/>
      <c r="I3247"/>
      <c r="J3247" s="241"/>
      <c r="K3247" s="241"/>
      <c r="L3247" s="241"/>
      <c r="M3247" s="241"/>
      <c r="N3247" s="241"/>
      <c r="O3247" s="241"/>
      <c r="P3247" s="241"/>
      <c r="Q3247" s="241"/>
    </row>
    <row r="3248" spans="1:17" ht="13.5" customHeight="1" x14ac:dyDescent="0.3">
      <c r="A3248"/>
      <c r="B3248" s="241"/>
      <c r="C3248" s="241"/>
      <c r="D3248" s="241"/>
      <c r="E3248" s="241"/>
      <c r="F3248" s="241"/>
      <c r="G3248" s="241"/>
      <c r="H3248" s="241"/>
      <c r="I3248"/>
      <c r="J3248" s="241"/>
      <c r="K3248" s="241"/>
      <c r="L3248" s="241"/>
      <c r="M3248" s="241"/>
      <c r="N3248" s="241"/>
      <c r="O3248" s="241"/>
      <c r="P3248" s="241"/>
      <c r="Q3248" s="241"/>
    </row>
    <row r="3249" spans="1:17" ht="13.5" customHeight="1" x14ac:dyDescent="0.3">
      <c r="A3249"/>
      <c r="B3249" s="241"/>
      <c r="C3249" s="241"/>
      <c r="D3249" s="241"/>
      <c r="E3249" s="241"/>
      <c r="F3249" s="241"/>
      <c r="G3249" s="241"/>
      <c r="H3249" s="241"/>
      <c r="I3249"/>
      <c r="J3249" s="241"/>
      <c r="K3249" s="241"/>
      <c r="L3249" s="241"/>
      <c r="M3249" s="241"/>
      <c r="N3249" s="241"/>
      <c r="O3249" s="241"/>
      <c r="P3249" s="241"/>
      <c r="Q3249" s="241"/>
    </row>
    <row r="3250" spans="1:17" ht="13.5" customHeight="1" x14ac:dyDescent="0.3">
      <c r="A3250"/>
      <c r="B3250" s="241"/>
      <c r="C3250" s="241"/>
      <c r="D3250" s="241"/>
      <c r="E3250" s="241"/>
      <c r="F3250" s="241"/>
      <c r="G3250" s="241"/>
      <c r="H3250" s="241"/>
      <c r="I3250"/>
      <c r="J3250" s="241"/>
      <c r="K3250" s="241"/>
      <c r="L3250" s="241"/>
      <c r="M3250" s="241"/>
      <c r="N3250" s="241"/>
      <c r="O3250" s="241"/>
      <c r="P3250" s="241"/>
      <c r="Q3250" s="241"/>
    </row>
    <row r="3251" spans="1:17" ht="13.5" customHeight="1" x14ac:dyDescent="0.3">
      <c r="A3251"/>
      <c r="B3251" s="241"/>
      <c r="C3251" s="241"/>
      <c r="D3251" s="241"/>
      <c r="E3251" s="241"/>
      <c r="F3251" s="241"/>
      <c r="G3251" s="241"/>
      <c r="H3251" s="241"/>
      <c r="I3251"/>
      <c r="J3251" s="241"/>
      <c r="K3251" s="241"/>
      <c r="L3251" s="241"/>
      <c r="M3251" s="241"/>
      <c r="N3251" s="241"/>
      <c r="O3251" s="241"/>
      <c r="P3251" s="241"/>
      <c r="Q3251" s="241"/>
    </row>
    <row r="3252" spans="1:17" ht="13.5" customHeight="1" x14ac:dyDescent="0.3">
      <c r="A3252"/>
      <c r="B3252" s="241"/>
      <c r="C3252" s="241"/>
      <c r="D3252" s="241"/>
      <c r="E3252" s="241"/>
      <c r="F3252" s="241"/>
      <c r="G3252" s="241"/>
      <c r="H3252" s="241"/>
      <c r="I3252"/>
      <c r="J3252" s="241"/>
      <c r="K3252" s="241"/>
      <c r="L3252" s="241"/>
      <c r="M3252" s="241"/>
      <c r="N3252" s="241"/>
      <c r="O3252" s="241"/>
      <c r="P3252" s="241"/>
      <c r="Q3252" s="241"/>
    </row>
    <row r="3253" spans="1:17" ht="13.5" customHeight="1" x14ac:dyDescent="0.3">
      <c r="A3253"/>
      <c r="B3253" s="241"/>
      <c r="C3253" s="241"/>
      <c r="D3253" s="241"/>
      <c r="E3253" s="241"/>
      <c r="F3253" s="241"/>
      <c r="G3253" s="241"/>
      <c r="H3253" s="241"/>
      <c r="I3253"/>
      <c r="J3253" s="241"/>
      <c r="K3253" s="241"/>
      <c r="L3253" s="241"/>
      <c r="M3253" s="241"/>
      <c r="N3253" s="241"/>
      <c r="O3253" s="241"/>
      <c r="P3253" s="241"/>
      <c r="Q3253" s="241"/>
    </row>
    <row r="3254" spans="1:17" ht="13.5" customHeight="1" x14ac:dyDescent="0.3">
      <c r="A3254"/>
      <c r="B3254" s="241"/>
      <c r="C3254" s="241"/>
      <c r="D3254" s="241"/>
      <c r="E3254" s="241"/>
      <c r="F3254" s="241"/>
      <c r="G3254" s="241"/>
      <c r="H3254" s="241"/>
      <c r="I3254"/>
      <c r="J3254" s="241"/>
      <c r="K3254" s="241"/>
      <c r="L3254" s="241"/>
      <c r="M3254" s="241"/>
      <c r="N3254" s="241"/>
      <c r="O3254" s="241"/>
      <c r="P3254" s="241"/>
      <c r="Q3254" s="241"/>
    </row>
    <row r="3255" spans="1:17" ht="13.5" customHeight="1" x14ac:dyDescent="0.3">
      <c r="A3255"/>
      <c r="B3255" s="241"/>
      <c r="C3255" s="241"/>
      <c r="D3255" s="241"/>
      <c r="E3255" s="241"/>
      <c r="F3255" s="241"/>
      <c r="G3255" s="241"/>
      <c r="H3255" s="241"/>
      <c r="I3255"/>
      <c r="J3255" s="241"/>
      <c r="K3255" s="241"/>
      <c r="L3255" s="241"/>
      <c r="M3255" s="241"/>
      <c r="N3255" s="241"/>
      <c r="O3255" s="241"/>
      <c r="P3255" s="241"/>
      <c r="Q3255" s="241"/>
    </row>
    <row r="3256" spans="1:17" ht="13.5" customHeight="1" x14ac:dyDescent="0.3">
      <c r="A3256"/>
      <c r="B3256" s="241"/>
      <c r="C3256" s="241"/>
      <c r="D3256" s="241"/>
      <c r="E3256" s="241"/>
      <c r="F3256" s="241"/>
      <c r="G3256" s="241"/>
      <c r="H3256" s="241"/>
      <c r="I3256"/>
      <c r="J3256" s="241"/>
      <c r="K3256" s="241"/>
      <c r="L3256" s="241"/>
      <c r="M3256" s="241"/>
      <c r="N3256" s="241"/>
      <c r="O3256" s="241"/>
      <c r="P3256" s="241"/>
      <c r="Q3256" s="241"/>
    </row>
    <row r="3257" spans="1:17" ht="13.5" customHeight="1" x14ac:dyDescent="0.3">
      <c r="A3257"/>
      <c r="B3257" s="241"/>
      <c r="C3257" s="241"/>
      <c r="D3257" s="241"/>
      <c r="E3257" s="241"/>
      <c r="F3257" s="241"/>
      <c r="G3257" s="241"/>
      <c r="H3257" s="241"/>
      <c r="I3257"/>
      <c r="J3257" s="241"/>
      <c r="K3257" s="241"/>
      <c r="L3257" s="241"/>
      <c r="M3257" s="241"/>
      <c r="N3257" s="241"/>
      <c r="O3257" s="241"/>
      <c r="P3257" s="241"/>
      <c r="Q3257" s="241"/>
    </row>
    <row r="3258" spans="1:17" ht="13.5" customHeight="1" x14ac:dyDescent="0.3">
      <c r="A3258"/>
      <c r="B3258" s="241"/>
      <c r="C3258" s="241"/>
      <c r="D3258" s="241"/>
      <c r="E3258" s="241"/>
      <c r="F3258" s="241"/>
      <c r="G3258" s="241"/>
      <c r="H3258" s="241"/>
      <c r="I3258"/>
      <c r="J3258" s="241"/>
      <c r="K3258" s="241"/>
      <c r="L3258" s="241"/>
      <c r="M3258" s="241"/>
      <c r="N3258" s="241"/>
      <c r="O3258" s="241"/>
      <c r="P3258" s="241"/>
      <c r="Q3258" s="241"/>
    </row>
    <row r="3259" spans="1:17" ht="13.5" customHeight="1" x14ac:dyDescent="0.3">
      <c r="A3259"/>
      <c r="B3259" s="241"/>
      <c r="C3259" s="241"/>
      <c r="D3259" s="241"/>
      <c r="E3259" s="241"/>
      <c r="F3259" s="241"/>
      <c r="G3259" s="241"/>
      <c r="H3259" s="241"/>
      <c r="I3259"/>
      <c r="J3259" s="241"/>
      <c r="K3259" s="241"/>
      <c r="L3259" s="241"/>
      <c r="M3259" s="241"/>
      <c r="N3259" s="241"/>
      <c r="O3259" s="241"/>
      <c r="P3259" s="241"/>
      <c r="Q3259" s="241"/>
    </row>
    <row r="3260" spans="1:17" ht="13.5" customHeight="1" x14ac:dyDescent="0.3">
      <c r="A3260"/>
      <c r="B3260" s="241"/>
      <c r="C3260" s="241"/>
      <c r="D3260" s="241"/>
      <c r="E3260" s="241"/>
      <c r="F3260" s="241"/>
      <c r="G3260" s="241"/>
      <c r="H3260" s="241"/>
      <c r="I3260"/>
      <c r="J3260" s="241"/>
      <c r="K3260" s="241"/>
      <c r="L3260" s="241"/>
      <c r="M3260" s="241"/>
      <c r="N3260" s="241"/>
      <c r="O3260" s="241"/>
      <c r="P3260" s="241"/>
      <c r="Q3260" s="241"/>
    </row>
    <row r="3261" spans="1:17" ht="13.5" customHeight="1" x14ac:dyDescent="0.3">
      <c r="A3261"/>
      <c r="B3261" s="241"/>
      <c r="C3261" s="241"/>
      <c r="D3261" s="241"/>
      <c r="E3261" s="241"/>
      <c r="F3261" s="241"/>
      <c r="G3261" s="241"/>
      <c r="H3261" s="241"/>
      <c r="I3261"/>
      <c r="J3261" s="241"/>
      <c r="K3261" s="241"/>
      <c r="L3261" s="241"/>
      <c r="M3261" s="241"/>
      <c r="N3261" s="241"/>
      <c r="O3261" s="241"/>
      <c r="P3261" s="241"/>
      <c r="Q3261" s="241"/>
    </row>
    <row r="3262" spans="1:17" ht="13.5" customHeight="1" x14ac:dyDescent="0.3">
      <c r="A3262"/>
      <c r="B3262" s="241"/>
      <c r="C3262" s="241"/>
      <c r="D3262" s="241"/>
      <c r="E3262" s="241"/>
      <c r="F3262" s="241"/>
      <c r="G3262" s="241"/>
      <c r="H3262" s="241"/>
      <c r="I3262"/>
      <c r="J3262" s="241"/>
      <c r="K3262" s="241"/>
      <c r="L3262" s="241"/>
      <c r="M3262" s="241"/>
      <c r="N3262" s="241"/>
      <c r="O3262" s="241"/>
      <c r="P3262" s="241"/>
      <c r="Q3262" s="241"/>
    </row>
    <row r="3263" spans="1:17" ht="13.5" customHeight="1" x14ac:dyDescent="0.3">
      <c r="A3263"/>
      <c r="B3263" s="241"/>
      <c r="C3263" s="241"/>
      <c r="D3263" s="241"/>
      <c r="E3263" s="241"/>
      <c r="F3263" s="241"/>
      <c r="G3263" s="241"/>
      <c r="H3263" s="241"/>
      <c r="I3263"/>
      <c r="J3263" s="241"/>
      <c r="K3263" s="241"/>
      <c r="L3263" s="241"/>
      <c r="M3263" s="241"/>
      <c r="N3263" s="241"/>
      <c r="O3263" s="241"/>
      <c r="P3263" s="241"/>
      <c r="Q3263" s="241"/>
    </row>
    <row r="3264" spans="1:17" ht="13.5" customHeight="1" x14ac:dyDescent="0.3">
      <c r="A3264"/>
      <c r="B3264" s="241"/>
      <c r="C3264" s="241"/>
      <c r="D3264" s="241"/>
      <c r="E3264" s="241"/>
      <c r="F3264" s="241"/>
      <c r="G3264" s="241"/>
      <c r="H3264" s="241"/>
      <c r="I3264"/>
      <c r="J3264" s="241"/>
      <c r="K3264" s="241"/>
      <c r="L3264" s="241"/>
      <c r="M3264" s="241"/>
      <c r="N3264" s="241"/>
      <c r="O3264" s="241"/>
      <c r="P3264" s="241"/>
      <c r="Q3264" s="241"/>
    </row>
    <row r="3265" spans="1:17" ht="13.5" customHeight="1" x14ac:dyDescent="0.3">
      <c r="A3265"/>
      <c r="B3265" s="241"/>
      <c r="C3265" s="241"/>
      <c r="D3265" s="241"/>
      <c r="E3265" s="241"/>
      <c r="F3265" s="241"/>
      <c r="G3265" s="241"/>
      <c r="H3265" s="241"/>
      <c r="I3265"/>
      <c r="J3265" s="241"/>
      <c r="K3265" s="241"/>
      <c r="L3265" s="241"/>
      <c r="M3265" s="241"/>
      <c r="N3265" s="241"/>
      <c r="O3265" s="241"/>
      <c r="P3265" s="241"/>
      <c r="Q3265" s="241"/>
    </row>
    <row r="3266" spans="1:17" ht="13.5" customHeight="1" x14ac:dyDescent="0.3">
      <c r="A3266"/>
      <c r="B3266" s="241"/>
      <c r="C3266" s="241"/>
      <c r="D3266" s="241"/>
      <c r="E3266" s="241"/>
      <c r="F3266" s="241"/>
      <c r="G3266" s="241"/>
      <c r="H3266" s="241"/>
      <c r="I3266"/>
      <c r="J3266" s="241"/>
      <c r="K3266" s="241"/>
      <c r="L3266" s="241"/>
      <c r="M3266" s="241"/>
      <c r="N3266" s="241"/>
      <c r="O3266" s="241"/>
      <c r="P3266" s="241"/>
      <c r="Q3266" s="241"/>
    </row>
    <row r="3267" spans="1:17" ht="13.5" customHeight="1" x14ac:dyDescent="0.3">
      <c r="A3267"/>
      <c r="B3267" s="241"/>
      <c r="C3267" s="241"/>
      <c r="D3267" s="241"/>
      <c r="E3267" s="241"/>
      <c r="F3267" s="241"/>
      <c r="G3267" s="241"/>
      <c r="H3267" s="241"/>
      <c r="I3267"/>
      <c r="J3267" s="241"/>
      <c r="K3267" s="241"/>
      <c r="L3267" s="241"/>
      <c r="M3267" s="241"/>
      <c r="N3267" s="241"/>
      <c r="O3267" s="241"/>
      <c r="P3267" s="241"/>
      <c r="Q3267" s="241"/>
    </row>
    <row r="3268" spans="1:17" ht="13.5" customHeight="1" x14ac:dyDescent="0.3">
      <c r="A3268"/>
      <c r="B3268" s="241"/>
      <c r="C3268" s="241"/>
      <c r="D3268" s="241"/>
      <c r="E3268" s="241"/>
      <c r="F3268" s="241"/>
      <c r="G3268" s="241"/>
      <c r="H3268" s="241"/>
      <c r="I3268"/>
      <c r="J3268" s="241"/>
      <c r="K3268" s="241"/>
      <c r="L3268" s="241"/>
      <c r="M3268" s="241"/>
      <c r="N3268" s="241"/>
      <c r="O3268" s="241"/>
      <c r="P3268" s="241"/>
      <c r="Q3268" s="241"/>
    </row>
    <row r="3269" spans="1:17" ht="13.5" customHeight="1" x14ac:dyDescent="0.3">
      <c r="A3269"/>
      <c r="B3269" s="241"/>
      <c r="C3269" s="241"/>
      <c r="D3269" s="241"/>
      <c r="E3269" s="241"/>
      <c r="F3269" s="241"/>
      <c r="G3269" s="241"/>
      <c r="H3269" s="241"/>
      <c r="I3269"/>
      <c r="J3269" s="241"/>
      <c r="K3269" s="241"/>
      <c r="L3269" s="241"/>
      <c r="M3269" s="241"/>
      <c r="N3269" s="241"/>
      <c r="O3269" s="241"/>
      <c r="P3269" s="241"/>
      <c r="Q3269" s="241"/>
    </row>
    <row r="3270" spans="1:17" ht="13.5" customHeight="1" x14ac:dyDescent="0.3">
      <c r="A3270"/>
      <c r="B3270" s="241"/>
      <c r="C3270" s="241"/>
      <c r="D3270" s="241"/>
      <c r="E3270" s="241"/>
      <c r="F3270" s="241"/>
      <c r="G3270" s="241"/>
      <c r="H3270" s="241"/>
      <c r="I3270"/>
      <c r="J3270" s="241"/>
      <c r="K3270" s="241"/>
      <c r="L3270" s="241"/>
      <c r="M3270" s="241"/>
      <c r="N3270" s="241"/>
      <c r="O3270" s="241"/>
      <c r="P3270" s="241"/>
      <c r="Q3270" s="241"/>
    </row>
    <row r="3271" spans="1:17" ht="13.5" customHeight="1" x14ac:dyDescent="0.3">
      <c r="A3271"/>
      <c r="B3271" s="241"/>
      <c r="C3271" s="241"/>
      <c r="D3271" s="241"/>
      <c r="E3271" s="241"/>
      <c r="F3271" s="241"/>
      <c r="G3271" s="241"/>
      <c r="H3271" s="241"/>
      <c r="I3271"/>
      <c r="J3271" s="241"/>
      <c r="K3271" s="241"/>
      <c r="L3271" s="241"/>
      <c r="M3271" s="241"/>
      <c r="N3271" s="241"/>
      <c r="O3271" s="241"/>
      <c r="P3271" s="241"/>
      <c r="Q3271" s="241"/>
    </row>
    <row r="3272" spans="1:17" ht="13.5" customHeight="1" x14ac:dyDescent="0.3">
      <c r="A3272"/>
      <c r="B3272" s="241"/>
      <c r="C3272" s="241"/>
      <c r="D3272" s="241"/>
      <c r="E3272" s="241"/>
      <c r="F3272" s="241"/>
      <c r="G3272" s="241"/>
      <c r="H3272" s="241"/>
      <c r="I3272"/>
      <c r="J3272" s="241"/>
      <c r="K3272" s="241"/>
      <c r="L3272" s="241"/>
      <c r="M3272" s="241"/>
      <c r="N3272" s="241"/>
      <c r="O3272" s="241"/>
      <c r="P3272" s="241"/>
      <c r="Q3272" s="241"/>
    </row>
    <row r="3273" spans="1:17" ht="13.5" customHeight="1" x14ac:dyDescent="0.3">
      <c r="A3273"/>
      <c r="B3273" s="241"/>
      <c r="C3273" s="241"/>
      <c r="D3273" s="241"/>
      <c r="E3273" s="241"/>
      <c r="F3273" s="241"/>
      <c r="G3273" s="241"/>
      <c r="H3273" s="241"/>
      <c r="I3273"/>
      <c r="J3273" s="241"/>
      <c r="K3273" s="241"/>
      <c r="L3273" s="241"/>
      <c r="M3273" s="241"/>
      <c r="N3273" s="241"/>
      <c r="O3273" s="241"/>
      <c r="P3273" s="241"/>
      <c r="Q3273" s="241"/>
    </row>
    <row r="3274" spans="1:17" ht="13.5" customHeight="1" x14ac:dyDescent="0.3">
      <c r="A3274"/>
      <c r="B3274" s="241"/>
      <c r="C3274" s="241"/>
      <c r="D3274" s="241"/>
      <c r="E3274" s="241"/>
      <c r="F3274" s="241"/>
      <c r="G3274" s="241"/>
      <c r="H3274" s="241"/>
      <c r="I3274"/>
      <c r="J3274" s="241"/>
      <c r="K3274" s="241"/>
      <c r="L3274" s="241"/>
      <c r="M3274" s="241"/>
      <c r="N3274" s="241"/>
      <c r="O3274" s="241"/>
      <c r="P3274" s="241"/>
      <c r="Q3274" s="241"/>
    </row>
    <row r="3275" spans="1:17" ht="13.5" customHeight="1" x14ac:dyDescent="0.3">
      <c r="A3275"/>
      <c r="B3275" s="241"/>
      <c r="C3275" s="241"/>
      <c r="D3275" s="241"/>
      <c r="E3275" s="241"/>
      <c r="F3275" s="241"/>
      <c r="G3275" s="241"/>
      <c r="H3275" s="241"/>
      <c r="I3275"/>
      <c r="J3275" s="241"/>
      <c r="K3275" s="241"/>
      <c r="L3275" s="241"/>
      <c r="M3275" s="241"/>
      <c r="N3275" s="241"/>
      <c r="O3275" s="241"/>
      <c r="P3275" s="241"/>
      <c r="Q3275" s="241"/>
    </row>
    <row r="3276" spans="1:17" ht="13.5" customHeight="1" x14ac:dyDescent="0.3">
      <c r="A3276"/>
      <c r="B3276" s="241"/>
      <c r="C3276" s="241"/>
      <c r="D3276" s="241"/>
      <c r="E3276" s="241"/>
      <c r="F3276" s="241"/>
      <c r="G3276" s="241"/>
      <c r="H3276" s="241"/>
      <c r="I3276"/>
      <c r="J3276" s="241"/>
      <c r="K3276" s="241"/>
      <c r="L3276" s="241"/>
      <c r="M3276" s="241"/>
      <c r="N3276" s="241"/>
      <c r="O3276" s="241"/>
      <c r="P3276" s="241"/>
      <c r="Q3276" s="241"/>
    </row>
    <row r="3277" spans="1:17" ht="13.5" customHeight="1" x14ac:dyDescent="0.3">
      <c r="A3277"/>
      <c r="B3277" s="241"/>
      <c r="C3277" s="241"/>
      <c r="D3277" s="241"/>
      <c r="E3277" s="241"/>
      <c r="F3277" s="241"/>
      <c r="G3277" s="241"/>
      <c r="H3277" s="241"/>
      <c r="I3277"/>
      <c r="J3277" s="241"/>
      <c r="K3277" s="241"/>
      <c r="L3277" s="241"/>
      <c r="M3277" s="241"/>
      <c r="N3277" s="241"/>
      <c r="O3277" s="241"/>
      <c r="P3277" s="241"/>
      <c r="Q3277" s="241"/>
    </row>
    <row r="3278" spans="1:17" ht="13.5" customHeight="1" x14ac:dyDescent="0.3">
      <c r="A3278"/>
      <c r="B3278" s="241"/>
      <c r="C3278" s="241"/>
      <c r="D3278" s="241"/>
      <c r="E3278" s="241"/>
      <c r="F3278" s="241"/>
      <c r="G3278" s="241"/>
      <c r="H3278" s="241"/>
      <c r="I3278"/>
      <c r="J3278" s="241"/>
      <c r="K3278" s="241"/>
      <c r="L3278" s="241"/>
      <c r="M3278" s="241"/>
      <c r="N3278" s="241"/>
      <c r="O3278" s="241"/>
      <c r="P3278" s="241"/>
      <c r="Q3278" s="241"/>
    </row>
    <row r="3279" spans="1:17" ht="13.5" customHeight="1" x14ac:dyDescent="0.3">
      <c r="A3279"/>
      <c r="B3279" s="241"/>
      <c r="C3279" s="241"/>
      <c r="D3279" s="241"/>
      <c r="E3279" s="241"/>
      <c r="F3279" s="241"/>
      <c r="G3279" s="241"/>
      <c r="H3279" s="241"/>
      <c r="I3279"/>
      <c r="J3279" s="241"/>
      <c r="K3279" s="241"/>
      <c r="L3279" s="241"/>
      <c r="M3279" s="241"/>
      <c r="N3279" s="241"/>
      <c r="O3279" s="241"/>
      <c r="P3279" s="241"/>
      <c r="Q3279" s="241"/>
    </row>
    <row r="3280" spans="1:17" ht="13.5" customHeight="1" x14ac:dyDescent="0.3">
      <c r="A3280"/>
      <c r="B3280" s="241"/>
      <c r="C3280" s="241"/>
      <c r="D3280" s="241"/>
      <c r="E3280" s="241"/>
      <c r="F3280" s="241"/>
      <c r="G3280" s="241"/>
      <c r="H3280" s="241"/>
      <c r="I3280"/>
      <c r="J3280" s="241"/>
      <c r="K3280" s="241"/>
      <c r="L3280" s="241"/>
      <c r="M3280" s="241"/>
      <c r="N3280" s="241"/>
      <c r="O3280" s="241"/>
      <c r="P3280" s="241"/>
      <c r="Q3280" s="241"/>
    </row>
    <row r="3281" spans="1:17" ht="13.5" customHeight="1" x14ac:dyDescent="0.3">
      <c r="A3281"/>
      <c r="B3281" s="241"/>
      <c r="C3281" s="241"/>
      <c r="D3281" s="241"/>
      <c r="E3281" s="241"/>
      <c r="F3281" s="241"/>
      <c r="G3281" s="241"/>
      <c r="H3281" s="241"/>
      <c r="I3281"/>
      <c r="J3281" s="241"/>
      <c r="K3281" s="241"/>
      <c r="L3281" s="241"/>
      <c r="M3281" s="241"/>
      <c r="N3281" s="241"/>
      <c r="O3281" s="241"/>
      <c r="P3281" s="241"/>
      <c r="Q3281" s="241"/>
    </row>
    <row r="3282" spans="1:17" ht="13.5" customHeight="1" x14ac:dyDescent="0.3">
      <c r="A3282"/>
      <c r="B3282" s="241"/>
      <c r="C3282" s="241"/>
      <c r="D3282" s="241"/>
      <c r="E3282" s="241"/>
      <c r="F3282" s="241"/>
      <c r="G3282" s="241"/>
      <c r="H3282" s="241"/>
      <c r="I3282"/>
      <c r="J3282" s="241"/>
      <c r="K3282" s="241"/>
      <c r="L3282" s="241"/>
      <c r="M3282" s="241"/>
      <c r="N3282" s="241"/>
      <c r="O3282" s="241"/>
      <c r="P3282" s="241"/>
      <c r="Q3282" s="241"/>
    </row>
    <row r="3283" spans="1:17" ht="13.5" customHeight="1" x14ac:dyDescent="0.3">
      <c r="A3283"/>
      <c r="B3283" s="241"/>
      <c r="C3283" s="241"/>
      <c r="D3283" s="241"/>
      <c r="E3283" s="241"/>
      <c r="F3283" s="241"/>
      <c r="G3283" s="241"/>
      <c r="H3283" s="241"/>
      <c r="I3283"/>
      <c r="J3283" s="241"/>
      <c r="K3283" s="241"/>
      <c r="L3283" s="241"/>
      <c r="M3283" s="241"/>
      <c r="N3283" s="241"/>
      <c r="O3283" s="241"/>
      <c r="P3283" s="241"/>
      <c r="Q3283" s="241"/>
    </row>
    <row r="3284" spans="1:17" ht="13.5" customHeight="1" x14ac:dyDescent="0.3">
      <c r="A3284"/>
      <c r="B3284" s="241"/>
      <c r="C3284" s="241"/>
      <c r="D3284" s="241"/>
      <c r="E3284" s="241"/>
      <c r="F3284" s="241"/>
      <c r="G3284" s="241"/>
      <c r="H3284" s="241"/>
      <c r="I3284"/>
      <c r="J3284" s="241"/>
      <c r="K3284" s="241"/>
      <c r="L3284" s="241"/>
      <c r="M3284" s="241"/>
      <c r="N3284" s="241"/>
      <c r="O3284" s="241"/>
      <c r="P3284" s="241"/>
      <c r="Q3284" s="241"/>
    </row>
    <row r="3285" spans="1:17" ht="13.5" customHeight="1" x14ac:dyDescent="0.3">
      <c r="A3285"/>
      <c r="B3285" s="241"/>
      <c r="C3285" s="241"/>
      <c r="D3285" s="241"/>
      <c r="E3285" s="241"/>
      <c r="F3285" s="241"/>
      <c r="G3285" s="241"/>
      <c r="H3285" s="241"/>
      <c r="I3285"/>
      <c r="J3285" s="241"/>
      <c r="K3285" s="241"/>
      <c r="L3285" s="241"/>
      <c r="M3285" s="241"/>
      <c r="N3285" s="241"/>
      <c r="O3285" s="241"/>
      <c r="P3285" s="241"/>
      <c r="Q3285" s="241"/>
    </row>
    <row r="3286" spans="1:17" ht="13.5" customHeight="1" x14ac:dyDescent="0.3">
      <c r="A3286"/>
      <c r="B3286" s="241"/>
      <c r="C3286" s="241"/>
      <c r="D3286" s="241"/>
      <c r="E3286" s="241"/>
      <c r="F3286" s="241"/>
      <c r="G3286" s="241"/>
      <c r="H3286" s="241"/>
      <c r="I3286"/>
      <c r="J3286" s="241"/>
      <c r="K3286" s="241"/>
      <c r="L3286" s="241"/>
      <c r="M3286" s="241"/>
      <c r="N3286" s="241"/>
      <c r="O3286" s="241"/>
      <c r="P3286" s="241"/>
      <c r="Q3286" s="241"/>
    </row>
    <row r="3287" spans="1:17" ht="13.5" customHeight="1" x14ac:dyDescent="0.3">
      <c r="A3287"/>
      <c r="B3287" s="241"/>
      <c r="C3287" s="241"/>
      <c r="D3287" s="241"/>
      <c r="E3287" s="241"/>
      <c r="F3287" s="241"/>
      <c r="G3287" s="241"/>
      <c r="H3287" s="241"/>
      <c r="I3287"/>
      <c r="J3287" s="241"/>
      <c r="K3287" s="241"/>
      <c r="L3287" s="241"/>
      <c r="M3287" s="241"/>
      <c r="N3287" s="241"/>
      <c r="O3287" s="241"/>
      <c r="P3287" s="241"/>
      <c r="Q3287" s="241"/>
    </row>
    <row r="3288" spans="1:17" ht="13.5" customHeight="1" x14ac:dyDescent="0.3">
      <c r="A3288"/>
      <c r="B3288" s="241"/>
      <c r="C3288" s="241"/>
      <c r="D3288" s="241"/>
      <c r="E3288" s="241"/>
      <c r="F3288" s="241"/>
      <c r="G3288" s="241"/>
      <c r="H3288" s="241"/>
      <c r="I3288"/>
      <c r="J3288" s="241"/>
      <c r="K3288" s="241"/>
      <c r="L3288" s="241"/>
      <c r="M3288" s="241"/>
      <c r="N3288" s="241"/>
      <c r="O3288" s="241"/>
      <c r="P3288" s="241"/>
      <c r="Q3288" s="241"/>
    </row>
    <row r="3289" spans="1:17" ht="13.5" customHeight="1" x14ac:dyDescent="0.3">
      <c r="A3289"/>
      <c r="B3289" s="241"/>
      <c r="C3289" s="241"/>
      <c r="D3289" s="241"/>
      <c r="E3289" s="241"/>
      <c r="F3289" s="241"/>
      <c r="G3289" s="241"/>
      <c r="H3289" s="241"/>
      <c r="I3289"/>
      <c r="J3289" s="241"/>
      <c r="K3289" s="241"/>
      <c r="L3289" s="241"/>
      <c r="M3289" s="241"/>
      <c r="N3289" s="241"/>
      <c r="O3289" s="241"/>
      <c r="P3289" s="241"/>
      <c r="Q3289" s="241"/>
    </row>
    <row r="3290" spans="1:17" ht="13.5" customHeight="1" x14ac:dyDescent="0.3">
      <c r="A3290"/>
      <c r="B3290" s="241"/>
      <c r="C3290" s="241"/>
      <c r="D3290" s="241"/>
      <c r="E3290" s="241"/>
      <c r="F3290" s="241"/>
      <c r="G3290" s="241"/>
      <c r="H3290" s="241"/>
      <c r="I3290"/>
      <c r="J3290" s="241"/>
      <c r="K3290" s="241"/>
      <c r="L3290" s="241"/>
      <c r="M3290" s="241"/>
      <c r="N3290" s="241"/>
      <c r="O3290" s="241"/>
      <c r="P3290" s="241"/>
      <c r="Q3290" s="241"/>
    </row>
    <row r="3291" spans="1:17" ht="13.5" customHeight="1" x14ac:dyDescent="0.3">
      <c r="A3291"/>
      <c r="B3291" s="241"/>
      <c r="C3291" s="241"/>
      <c r="D3291" s="241"/>
      <c r="E3291" s="241"/>
      <c r="F3291" s="241"/>
      <c r="G3291" s="241"/>
      <c r="H3291" s="241"/>
      <c r="I3291"/>
      <c r="J3291" s="241"/>
      <c r="K3291" s="241"/>
      <c r="L3291" s="241"/>
      <c r="M3291" s="241"/>
      <c r="N3291" s="241"/>
      <c r="O3291" s="241"/>
      <c r="P3291" s="241"/>
      <c r="Q3291" s="241"/>
    </row>
    <row r="3292" spans="1:17" ht="13.5" customHeight="1" x14ac:dyDescent="0.3">
      <c r="A3292"/>
      <c r="B3292" s="241"/>
      <c r="C3292" s="241"/>
      <c r="D3292" s="241"/>
      <c r="E3292" s="241"/>
      <c r="F3292" s="241"/>
      <c r="G3292" s="241"/>
      <c r="H3292" s="241"/>
      <c r="I3292"/>
      <c r="J3292" s="241"/>
      <c r="K3292" s="241"/>
      <c r="L3292" s="241"/>
      <c r="M3292" s="241"/>
      <c r="N3292" s="241"/>
      <c r="O3292" s="241"/>
      <c r="P3292" s="241"/>
      <c r="Q3292" s="241"/>
    </row>
    <row r="3293" spans="1:17" ht="13.5" customHeight="1" x14ac:dyDescent="0.3">
      <c r="A3293"/>
      <c r="B3293" s="241"/>
      <c r="C3293" s="241"/>
      <c r="D3293" s="241"/>
      <c r="E3293" s="241"/>
      <c r="F3293" s="241"/>
      <c r="G3293" s="241"/>
      <c r="H3293" s="241"/>
      <c r="I3293"/>
      <c r="J3293" s="241"/>
      <c r="K3293" s="241"/>
      <c r="L3293" s="241"/>
      <c r="M3293" s="241"/>
      <c r="N3293" s="241"/>
      <c r="O3293" s="241"/>
      <c r="P3293" s="241"/>
      <c r="Q3293" s="241"/>
    </row>
    <row r="3294" spans="1:17" ht="13.5" customHeight="1" x14ac:dyDescent="0.3">
      <c r="A3294"/>
      <c r="B3294" s="241"/>
      <c r="C3294" s="241"/>
      <c r="D3294" s="241"/>
      <c r="E3294" s="241"/>
      <c r="F3294" s="241"/>
      <c r="G3294" s="241"/>
      <c r="H3294" s="241"/>
      <c r="I3294"/>
      <c r="J3294" s="241"/>
      <c r="K3294" s="241"/>
      <c r="L3294" s="241"/>
      <c r="M3294" s="241"/>
      <c r="N3294" s="241"/>
      <c r="O3294" s="241"/>
      <c r="P3294" s="241"/>
      <c r="Q3294" s="241"/>
    </row>
    <row r="3295" spans="1:17" ht="13.5" customHeight="1" x14ac:dyDescent="0.3">
      <c r="A3295"/>
      <c r="B3295" s="241"/>
      <c r="C3295" s="241"/>
      <c r="D3295" s="241"/>
      <c r="E3295" s="241"/>
      <c r="F3295" s="241"/>
      <c r="G3295" s="241"/>
      <c r="H3295" s="241"/>
      <c r="I3295"/>
      <c r="J3295" s="241"/>
      <c r="K3295" s="241"/>
      <c r="L3295" s="241"/>
      <c r="M3295" s="241"/>
      <c r="N3295" s="241"/>
      <c r="O3295" s="241"/>
      <c r="P3295" s="241"/>
      <c r="Q3295" s="241"/>
    </row>
    <row r="3296" spans="1:17" ht="13.5" customHeight="1" x14ac:dyDescent="0.3">
      <c r="A3296"/>
      <c r="B3296" s="241"/>
      <c r="C3296" s="241"/>
      <c r="D3296" s="241"/>
      <c r="E3296" s="241"/>
      <c r="F3296" s="241"/>
      <c r="G3296" s="241"/>
      <c r="H3296" s="241"/>
      <c r="I3296"/>
      <c r="J3296" s="241"/>
      <c r="K3296" s="241"/>
      <c r="L3296" s="241"/>
      <c r="M3296" s="241"/>
      <c r="N3296" s="241"/>
      <c r="O3296" s="241"/>
      <c r="P3296" s="241"/>
      <c r="Q3296" s="241"/>
    </row>
    <row r="3297" spans="1:17" ht="13.5" customHeight="1" x14ac:dyDescent="0.3">
      <c r="A3297"/>
      <c r="B3297" s="241"/>
      <c r="C3297" s="241"/>
      <c r="D3297" s="241"/>
      <c r="E3297" s="241"/>
      <c r="F3297" s="241"/>
      <c r="G3297" s="241"/>
      <c r="H3297" s="241"/>
      <c r="I3297"/>
      <c r="J3297" s="241"/>
      <c r="K3297" s="241"/>
      <c r="L3297" s="241"/>
      <c r="M3297" s="241"/>
      <c r="N3297" s="241"/>
      <c r="O3297" s="241"/>
      <c r="P3297" s="241"/>
      <c r="Q3297" s="241"/>
    </row>
    <row r="3298" spans="1:17" ht="13.5" customHeight="1" x14ac:dyDescent="0.3">
      <c r="A3298"/>
      <c r="B3298" s="241"/>
      <c r="C3298" s="241"/>
      <c r="D3298" s="241"/>
      <c r="E3298" s="241"/>
      <c r="F3298" s="241"/>
      <c r="G3298" s="241"/>
      <c r="H3298" s="241"/>
      <c r="I3298"/>
      <c r="J3298" s="241"/>
      <c r="K3298" s="241"/>
      <c r="L3298" s="241"/>
      <c r="M3298" s="241"/>
      <c r="N3298" s="241"/>
      <c r="O3298" s="241"/>
      <c r="P3298" s="241"/>
      <c r="Q3298" s="241"/>
    </row>
    <row r="3299" spans="1:17" ht="13.5" customHeight="1" x14ac:dyDescent="0.3">
      <c r="A3299"/>
      <c r="B3299" s="241"/>
      <c r="C3299" s="241"/>
      <c r="D3299" s="241"/>
      <c r="E3299" s="241"/>
      <c r="F3299" s="241"/>
      <c r="G3299" s="241"/>
      <c r="H3299" s="241"/>
      <c r="I3299"/>
      <c r="J3299" s="241"/>
      <c r="K3299" s="241"/>
      <c r="L3299" s="241"/>
      <c r="M3299" s="241"/>
      <c r="N3299" s="241"/>
      <c r="O3299" s="241"/>
      <c r="P3299" s="241"/>
      <c r="Q3299" s="241"/>
    </row>
    <row r="3300" spans="1:17" ht="13.5" customHeight="1" x14ac:dyDescent="0.3">
      <c r="A3300"/>
      <c r="B3300" s="241"/>
      <c r="C3300" s="241"/>
      <c r="D3300" s="241"/>
      <c r="E3300" s="241"/>
      <c r="F3300" s="241"/>
      <c r="G3300" s="241"/>
      <c r="H3300" s="241"/>
      <c r="I3300"/>
      <c r="J3300" s="241"/>
      <c r="K3300" s="241"/>
      <c r="L3300" s="241"/>
      <c r="M3300" s="241"/>
      <c r="N3300" s="241"/>
      <c r="O3300" s="241"/>
      <c r="P3300" s="241"/>
      <c r="Q3300" s="241"/>
    </row>
    <row r="3301" spans="1:17" ht="13.5" customHeight="1" x14ac:dyDescent="0.3">
      <c r="A3301"/>
      <c r="B3301" s="241"/>
      <c r="C3301" s="241"/>
      <c r="D3301" s="241"/>
      <c r="E3301" s="241"/>
      <c r="F3301" s="241"/>
      <c r="G3301" s="241"/>
      <c r="H3301" s="241"/>
      <c r="I3301"/>
      <c r="J3301" s="241"/>
      <c r="K3301" s="241"/>
      <c r="L3301" s="241"/>
      <c r="M3301" s="241"/>
      <c r="N3301" s="241"/>
      <c r="O3301" s="241"/>
      <c r="P3301" s="241"/>
      <c r="Q3301" s="241"/>
    </row>
    <row r="3302" spans="1:17" ht="13.5" customHeight="1" x14ac:dyDescent="0.3">
      <c r="A3302"/>
      <c r="B3302" s="241"/>
      <c r="C3302" s="241"/>
      <c r="D3302" s="241"/>
      <c r="E3302" s="241"/>
      <c r="F3302" s="241"/>
      <c r="G3302" s="241"/>
      <c r="H3302" s="241"/>
      <c r="I3302"/>
      <c r="J3302" s="241"/>
      <c r="K3302" s="241"/>
      <c r="L3302" s="241"/>
      <c r="M3302" s="241"/>
      <c r="N3302" s="241"/>
      <c r="O3302" s="241"/>
      <c r="P3302" s="241"/>
      <c r="Q3302" s="241"/>
    </row>
    <row r="3303" spans="1:17" ht="13.5" customHeight="1" x14ac:dyDescent="0.3">
      <c r="A3303"/>
      <c r="B3303" s="241"/>
      <c r="C3303" s="241"/>
      <c r="D3303" s="241"/>
      <c r="E3303" s="241"/>
      <c r="F3303" s="241"/>
      <c r="G3303" s="241"/>
      <c r="H3303" s="241"/>
      <c r="I3303"/>
      <c r="J3303" s="241"/>
      <c r="K3303" s="241"/>
      <c r="L3303" s="241"/>
      <c r="M3303" s="241"/>
      <c r="N3303" s="241"/>
      <c r="O3303" s="241"/>
      <c r="P3303" s="241"/>
      <c r="Q3303" s="241"/>
    </row>
    <row r="3304" spans="1:17" ht="13.5" customHeight="1" x14ac:dyDescent="0.3">
      <c r="A3304"/>
      <c r="B3304" s="241"/>
      <c r="C3304" s="241"/>
      <c r="D3304" s="241"/>
      <c r="E3304" s="241"/>
      <c r="F3304" s="241"/>
      <c r="G3304" s="241"/>
      <c r="H3304" s="241"/>
      <c r="I3304"/>
      <c r="J3304" s="241"/>
      <c r="K3304" s="241"/>
      <c r="L3304" s="241"/>
      <c r="M3304" s="241"/>
      <c r="N3304" s="241"/>
      <c r="O3304" s="241"/>
      <c r="P3304" s="241"/>
      <c r="Q3304" s="241"/>
    </row>
    <row r="3305" spans="1:17" ht="13.5" customHeight="1" x14ac:dyDescent="0.3">
      <c r="A3305"/>
      <c r="B3305" s="241"/>
      <c r="C3305" s="241"/>
      <c r="D3305" s="241"/>
      <c r="E3305" s="241"/>
      <c r="F3305" s="241"/>
      <c r="G3305" s="241"/>
      <c r="H3305" s="241"/>
      <c r="I3305"/>
      <c r="J3305" s="241"/>
      <c r="K3305" s="241"/>
      <c r="L3305" s="241"/>
      <c r="M3305" s="241"/>
      <c r="N3305" s="241"/>
      <c r="O3305" s="241"/>
      <c r="P3305" s="241"/>
      <c r="Q3305" s="241"/>
    </row>
    <row r="3306" spans="1:17" ht="13.5" customHeight="1" x14ac:dyDescent="0.3">
      <c r="A3306"/>
      <c r="B3306" s="241"/>
      <c r="C3306" s="241"/>
      <c r="D3306" s="241"/>
      <c r="E3306" s="241"/>
      <c r="F3306" s="241"/>
      <c r="G3306" s="241"/>
      <c r="H3306" s="241"/>
      <c r="I3306"/>
      <c r="J3306" s="241"/>
      <c r="K3306" s="241"/>
      <c r="L3306" s="241"/>
      <c r="M3306" s="241"/>
      <c r="N3306" s="241"/>
      <c r="O3306" s="241"/>
      <c r="P3306" s="241"/>
      <c r="Q3306" s="241"/>
    </row>
    <row r="3307" spans="1:17" ht="13.5" customHeight="1" x14ac:dyDescent="0.3">
      <c r="A3307"/>
      <c r="B3307" s="241"/>
      <c r="C3307" s="241"/>
      <c r="D3307" s="241"/>
      <c r="E3307" s="241"/>
      <c r="F3307" s="241"/>
      <c r="G3307" s="241"/>
      <c r="H3307" s="241"/>
      <c r="I3307"/>
      <c r="J3307" s="241"/>
      <c r="K3307" s="241"/>
      <c r="L3307" s="241"/>
      <c r="M3307" s="241"/>
      <c r="N3307" s="241"/>
      <c r="O3307" s="241"/>
      <c r="P3307" s="241"/>
      <c r="Q3307" s="241"/>
    </row>
    <row r="3308" spans="1:17" ht="13.5" customHeight="1" x14ac:dyDescent="0.3">
      <c r="A3308"/>
      <c r="B3308" s="241"/>
      <c r="C3308" s="241"/>
      <c r="D3308" s="241"/>
      <c r="E3308" s="241"/>
      <c r="F3308" s="241"/>
      <c r="G3308" s="241"/>
      <c r="H3308" s="241"/>
      <c r="I3308"/>
      <c r="J3308" s="241"/>
      <c r="K3308" s="241"/>
      <c r="L3308" s="241"/>
      <c r="M3308" s="241"/>
      <c r="N3308" s="241"/>
      <c r="O3308" s="241"/>
      <c r="P3308" s="241"/>
      <c r="Q3308" s="241"/>
    </row>
    <row r="3309" spans="1:17" ht="13.5" customHeight="1" x14ac:dyDescent="0.3">
      <c r="A3309"/>
      <c r="B3309" s="241"/>
      <c r="C3309" s="241"/>
      <c r="D3309" s="241"/>
      <c r="E3309" s="241"/>
      <c r="F3309" s="241"/>
      <c r="G3309" s="241"/>
      <c r="H3309" s="241"/>
      <c r="I3309"/>
      <c r="J3309" s="241"/>
      <c r="K3309" s="241"/>
      <c r="L3309" s="241"/>
      <c r="M3309" s="241"/>
      <c r="N3309" s="241"/>
      <c r="O3309" s="241"/>
      <c r="P3309" s="241"/>
      <c r="Q3309" s="241"/>
    </row>
    <row r="3310" spans="1:17" ht="13.5" customHeight="1" x14ac:dyDescent="0.3">
      <c r="A3310"/>
      <c r="B3310" s="241"/>
      <c r="C3310" s="241"/>
      <c r="D3310" s="241"/>
      <c r="E3310" s="241"/>
      <c r="F3310" s="241"/>
      <c r="G3310" s="241"/>
      <c r="H3310" s="241"/>
      <c r="I3310"/>
      <c r="J3310" s="241"/>
      <c r="K3310" s="241"/>
      <c r="L3310" s="241"/>
      <c r="M3310" s="241"/>
      <c r="N3310" s="241"/>
      <c r="O3310" s="241"/>
      <c r="P3310" s="241"/>
      <c r="Q3310" s="241"/>
    </row>
    <row r="3311" spans="1:17" ht="13.5" customHeight="1" x14ac:dyDescent="0.3">
      <c r="A3311"/>
      <c r="B3311" s="241"/>
      <c r="C3311" s="241"/>
      <c r="D3311" s="241"/>
      <c r="E3311" s="241"/>
      <c r="F3311" s="241"/>
      <c r="G3311" s="241"/>
      <c r="H3311" s="241"/>
      <c r="I3311"/>
      <c r="J3311" s="241"/>
      <c r="K3311" s="241"/>
      <c r="L3311" s="241"/>
      <c r="M3311" s="241"/>
      <c r="N3311" s="241"/>
      <c r="O3311" s="241"/>
      <c r="P3311" s="241"/>
      <c r="Q3311" s="241"/>
    </row>
    <row r="3312" spans="1:17" ht="13.5" customHeight="1" x14ac:dyDescent="0.3">
      <c r="A3312"/>
      <c r="B3312" s="241"/>
      <c r="C3312" s="241"/>
      <c r="D3312" s="241"/>
      <c r="E3312" s="241"/>
      <c r="F3312" s="241"/>
      <c r="G3312" s="241"/>
      <c r="H3312" s="241"/>
      <c r="I3312"/>
      <c r="J3312" s="241"/>
      <c r="K3312" s="241"/>
      <c r="L3312" s="241"/>
      <c r="M3312" s="241"/>
      <c r="N3312" s="241"/>
      <c r="O3312" s="241"/>
      <c r="P3312" s="241"/>
      <c r="Q3312" s="241"/>
    </row>
    <row r="3313" spans="1:17" ht="13.5" customHeight="1" x14ac:dyDescent="0.3">
      <c r="A3313"/>
      <c r="B3313" s="241"/>
      <c r="C3313" s="241"/>
      <c r="D3313" s="241"/>
      <c r="E3313" s="241"/>
      <c r="F3313" s="241"/>
      <c r="G3313" s="241"/>
      <c r="H3313" s="241"/>
      <c r="I3313"/>
      <c r="J3313" s="241"/>
      <c r="K3313" s="241"/>
      <c r="L3313" s="241"/>
      <c r="M3313" s="241"/>
      <c r="N3313" s="241"/>
      <c r="O3313" s="241"/>
      <c r="P3313" s="241"/>
      <c r="Q3313" s="241"/>
    </row>
    <row r="3314" spans="1:17" ht="13.5" customHeight="1" x14ac:dyDescent="0.3">
      <c r="A3314"/>
      <c r="B3314" s="241"/>
      <c r="C3314" s="241"/>
      <c r="D3314" s="241"/>
      <c r="E3314" s="241"/>
      <c r="F3314" s="241"/>
      <c r="G3314" s="241"/>
      <c r="H3314" s="241"/>
      <c r="I3314"/>
      <c r="J3314" s="241"/>
      <c r="K3314" s="241"/>
      <c r="L3314" s="241"/>
      <c r="M3314" s="241"/>
      <c r="N3314" s="241"/>
      <c r="O3314" s="241"/>
      <c r="P3314" s="241"/>
      <c r="Q3314" s="241"/>
    </row>
    <row r="3315" spans="1:17" ht="13.5" customHeight="1" x14ac:dyDescent="0.3">
      <c r="A3315"/>
      <c r="B3315" s="241"/>
      <c r="C3315" s="241"/>
      <c r="D3315" s="241"/>
      <c r="E3315" s="241"/>
      <c r="F3315" s="241"/>
      <c r="G3315" s="241"/>
      <c r="H3315" s="241"/>
      <c r="I3315"/>
      <c r="J3315" s="241"/>
      <c r="K3315" s="241"/>
      <c r="L3315" s="241"/>
      <c r="M3315" s="241"/>
      <c r="N3315" s="241"/>
      <c r="O3315" s="241"/>
      <c r="P3315" s="241"/>
      <c r="Q3315" s="241"/>
    </row>
    <row r="3316" spans="1:17" ht="13.5" customHeight="1" x14ac:dyDescent="0.3">
      <c r="A3316"/>
      <c r="B3316" s="241"/>
      <c r="C3316" s="241"/>
      <c r="D3316" s="241"/>
      <c r="E3316" s="241"/>
      <c r="F3316" s="241"/>
      <c r="G3316" s="241"/>
      <c r="H3316" s="241"/>
      <c r="I3316"/>
      <c r="J3316" s="241"/>
      <c r="K3316" s="241"/>
      <c r="L3316" s="241"/>
      <c r="M3316" s="241"/>
      <c r="N3316" s="241"/>
      <c r="O3316" s="241"/>
      <c r="P3316" s="241"/>
      <c r="Q3316" s="241"/>
    </row>
    <row r="3317" spans="1:17" ht="13.5" customHeight="1" x14ac:dyDescent="0.3">
      <c r="A3317"/>
      <c r="B3317" s="241"/>
      <c r="C3317" s="241"/>
      <c r="D3317" s="241"/>
      <c r="E3317" s="241"/>
      <c r="F3317" s="241"/>
      <c r="G3317" s="241"/>
      <c r="H3317" s="241"/>
      <c r="I3317"/>
      <c r="J3317" s="241"/>
      <c r="K3317" s="241"/>
      <c r="L3317" s="241"/>
      <c r="M3317" s="241"/>
      <c r="N3317" s="241"/>
      <c r="O3317" s="241"/>
      <c r="P3317" s="241"/>
      <c r="Q3317" s="241"/>
    </row>
    <row r="3318" spans="1:17" ht="13.5" customHeight="1" x14ac:dyDescent="0.3">
      <c r="A3318"/>
      <c r="B3318" s="241"/>
      <c r="C3318" s="241"/>
      <c r="D3318" s="241"/>
      <c r="E3318" s="241"/>
      <c r="F3318" s="241"/>
      <c r="G3318" s="241"/>
      <c r="H3318" s="241"/>
      <c r="I3318"/>
      <c r="J3318" s="241"/>
      <c r="K3318" s="241"/>
      <c r="L3318" s="241"/>
      <c r="M3318" s="241"/>
      <c r="N3318" s="241"/>
      <c r="O3318" s="241"/>
      <c r="P3318" s="241"/>
      <c r="Q3318" s="241"/>
    </row>
    <row r="3319" spans="1:17" ht="13.5" customHeight="1" x14ac:dyDescent="0.3">
      <c r="A3319"/>
      <c r="B3319" s="241"/>
      <c r="C3319" s="241"/>
      <c r="D3319" s="241"/>
      <c r="E3319" s="241"/>
      <c r="F3319" s="241"/>
      <c r="G3319" s="241"/>
      <c r="H3319" s="241"/>
      <c r="I3319"/>
      <c r="J3319" s="241"/>
      <c r="K3319" s="241"/>
      <c r="L3319" s="241"/>
      <c r="M3319" s="241"/>
      <c r="N3319" s="241"/>
      <c r="O3319" s="241"/>
      <c r="P3319" s="241"/>
      <c r="Q3319" s="241"/>
    </row>
    <row r="3320" spans="1:17" ht="13.5" customHeight="1" x14ac:dyDescent="0.3">
      <c r="A3320"/>
      <c r="B3320" s="241"/>
      <c r="C3320" s="241"/>
      <c r="D3320" s="241"/>
      <c r="E3320" s="241"/>
      <c r="F3320" s="241"/>
      <c r="G3320" s="241"/>
      <c r="H3320" s="241"/>
      <c r="I3320"/>
      <c r="J3320" s="241"/>
      <c r="K3320" s="241"/>
      <c r="L3320" s="241"/>
      <c r="M3320" s="241"/>
      <c r="N3320" s="241"/>
      <c r="O3320" s="241"/>
      <c r="P3320" s="241"/>
      <c r="Q3320" s="241"/>
    </row>
    <row r="3321" spans="1:17" ht="13.5" customHeight="1" x14ac:dyDescent="0.3">
      <c r="A3321"/>
      <c r="B3321" s="241"/>
      <c r="C3321" s="241"/>
      <c r="D3321" s="241"/>
      <c r="E3321" s="241"/>
      <c r="F3321" s="241"/>
      <c r="G3321" s="241"/>
      <c r="H3321" s="241"/>
      <c r="I3321"/>
      <c r="J3321" s="241"/>
      <c r="K3321" s="241"/>
      <c r="L3321" s="241"/>
      <c r="M3321" s="241"/>
      <c r="N3321" s="241"/>
      <c r="O3321" s="241"/>
      <c r="P3321" s="241"/>
      <c r="Q3321" s="241"/>
    </row>
    <row r="3322" spans="1:17" ht="13.5" customHeight="1" x14ac:dyDescent="0.3">
      <c r="A3322"/>
      <c r="B3322" s="241"/>
      <c r="C3322" s="241"/>
      <c r="D3322" s="241"/>
      <c r="E3322" s="241"/>
      <c r="F3322" s="241"/>
      <c r="G3322" s="241"/>
      <c r="H3322" s="241"/>
      <c r="I3322"/>
      <c r="J3322" s="241"/>
      <c r="K3322" s="241"/>
      <c r="L3322" s="241"/>
      <c r="M3322" s="241"/>
      <c r="N3322" s="241"/>
      <c r="O3322" s="241"/>
      <c r="P3322" s="241"/>
      <c r="Q3322" s="241"/>
    </row>
    <row r="3323" spans="1:17" ht="13.5" customHeight="1" x14ac:dyDescent="0.3">
      <c r="A3323"/>
      <c r="B3323" s="241"/>
      <c r="C3323" s="241"/>
      <c r="D3323" s="241"/>
      <c r="E3323" s="241"/>
      <c r="F3323" s="241"/>
      <c r="G3323" s="241"/>
      <c r="H3323" s="241"/>
      <c r="I3323"/>
      <c r="J3323" s="241"/>
      <c r="K3323" s="241"/>
      <c r="L3323" s="241"/>
      <c r="M3323" s="241"/>
      <c r="N3323" s="241"/>
      <c r="O3323" s="241"/>
      <c r="P3323" s="241"/>
      <c r="Q3323" s="241"/>
    </row>
    <row r="3324" spans="1:17" ht="13.5" customHeight="1" x14ac:dyDescent="0.3">
      <c r="A3324"/>
      <c r="B3324" s="241"/>
      <c r="C3324" s="241"/>
      <c r="D3324" s="241"/>
      <c r="E3324" s="241"/>
      <c r="F3324" s="241"/>
      <c r="G3324" s="241"/>
      <c r="H3324" s="241"/>
      <c r="I3324"/>
      <c r="J3324" s="241"/>
      <c r="K3324" s="241"/>
      <c r="L3324" s="241"/>
      <c r="M3324" s="241"/>
      <c r="N3324" s="241"/>
      <c r="O3324" s="241"/>
      <c r="P3324" s="241"/>
      <c r="Q3324" s="241"/>
    </row>
    <row r="3325" spans="1:17" ht="13.5" customHeight="1" x14ac:dyDescent="0.3">
      <c r="A3325"/>
      <c r="B3325" s="241"/>
      <c r="C3325" s="241"/>
      <c r="D3325" s="241"/>
      <c r="E3325" s="241"/>
      <c r="F3325" s="241"/>
      <c r="G3325" s="241"/>
      <c r="H3325" s="241"/>
      <c r="I3325"/>
      <c r="J3325" s="241"/>
      <c r="K3325" s="241"/>
      <c r="L3325" s="241"/>
      <c r="M3325" s="241"/>
      <c r="N3325" s="241"/>
      <c r="O3325" s="241"/>
      <c r="P3325" s="241"/>
      <c r="Q3325" s="241"/>
    </row>
    <row r="3326" spans="1:17" ht="13.5" customHeight="1" x14ac:dyDescent="0.3">
      <c r="A3326"/>
      <c r="B3326" s="241"/>
      <c r="C3326" s="241"/>
      <c r="D3326" s="241"/>
      <c r="E3326" s="241"/>
      <c r="F3326" s="241"/>
      <c r="G3326" s="241"/>
      <c r="H3326" s="241"/>
      <c r="I3326"/>
      <c r="J3326" s="241"/>
      <c r="K3326" s="241"/>
      <c r="L3326" s="241"/>
      <c r="M3326" s="241"/>
      <c r="N3326" s="241"/>
      <c r="O3326" s="241"/>
      <c r="P3326" s="241"/>
      <c r="Q3326" s="241"/>
    </row>
    <row r="3327" spans="1:17" ht="13.5" customHeight="1" x14ac:dyDescent="0.3">
      <c r="A3327"/>
      <c r="B3327" s="241"/>
      <c r="C3327" s="241"/>
      <c r="D3327" s="241"/>
      <c r="E3327" s="241"/>
      <c r="F3327" s="241"/>
      <c r="G3327" s="241"/>
      <c r="H3327" s="241"/>
      <c r="I3327"/>
      <c r="J3327" s="241"/>
      <c r="K3327" s="241"/>
      <c r="L3327" s="241"/>
      <c r="M3327" s="241"/>
      <c r="N3327" s="241"/>
      <c r="O3327" s="241"/>
      <c r="P3327" s="241"/>
      <c r="Q3327" s="241"/>
    </row>
    <row r="3328" spans="1:17" ht="13.5" customHeight="1" x14ac:dyDescent="0.3">
      <c r="A3328"/>
      <c r="B3328" s="241"/>
      <c r="C3328" s="241"/>
      <c r="D3328" s="241"/>
      <c r="E3328" s="241"/>
      <c r="F3328" s="241"/>
      <c r="G3328" s="241"/>
      <c r="H3328" s="241"/>
      <c r="I3328"/>
      <c r="J3328" s="241"/>
      <c r="K3328" s="241"/>
      <c r="L3328" s="241"/>
      <c r="M3328" s="241"/>
      <c r="N3328" s="241"/>
      <c r="O3328" s="241"/>
      <c r="P3328" s="241"/>
      <c r="Q3328" s="241"/>
    </row>
    <row r="3329" spans="1:17" ht="13.5" customHeight="1" x14ac:dyDescent="0.3">
      <c r="A3329"/>
      <c r="B3329" s="241"/>
      <c r="C3329" s="241"/>
      <c r="D3329" s="241"/>
      <c r="E3329" s="241"/>
      <c r="F3329" s="241"/>
      <c r="G3329" s="241"/>
      <c r="H3329" s="241"/>
      <c r="I3329"/>
      <c r="J3329" s="241"/>
      <c r="K3329" s="241"/>
      <c r="L3329" s="241"/>
      <c r="M3329" s="241"/>
      <c r="N3329" s="241"/>
      <c r="O3329" s="241"/>
      <c r="P3329" s="241"/>
      <c r="Q3329" s="241"/>
    </row>
    <row r="3330" spans="1:17" ht="13.5" customHeight="1" x14ac:dyDescent="0.3">
      <c r="A3330"/>
      <c r="B3330" s="241"/>
      <c r="C3330" s="241"/>
      <c r="D3330" s="241"/>
      <c r="E3330" s="241"/>
      <c r="F3330" s="241"/>
      <c r="G3330" s="241"/>
      <c r="H3330" s="241"/>
      <c r="I3330"/>
      <c r="J3330" s="241"/>
      <c r="K3330" s="241"/>
      <c r="L3330" s="241"/>
      <c r="M3330" s="241"/>
      <c r="N3330" s="241"/>
      <c r="O3330" s="241"/>
      <c r="P3330" s="241"/>
      <c r="Q3330" s="241"/>
    </row>
    <row r="3331" spans="1:17" ht="13.5" customHeight="1" x14ac:dyDescent="0.3">
      <c r="A3331"/>
      <c r="B3331" s="241"/>
      <c r="C3331" s="241"/>
      <c r="D3331" s="241"/>
      <c r="E3331" s="241"/>
      <c r="F3331" s="241"/>
      <c r="G3331" s="241"/>
      <c r="H3331" s="241"/>
      <c r="I3331"/>
      <c r="J3331" s="241"/>
      <c r="K3331" s="241"/>
      <c r="L3331" s="241"/>
      <c r="M3331" s="241"/>
      <c r="N3331" s="241"/>
      <c r="O3331" s="241"/>
      <c r="P3331" s="241"/>
      <c r="Q3331" s="241"/>
    </row>
    <row r="3332" spans="1:17" ht="13.5" customHeight="1" x14ac:dyDescent="0.3">
      <c r="A3332"/>
      <c r="B3332" s="241"/>
      <c r="C3332" s="241"/>
      <c r="D3332" s="241"/>
      <c r="E3332" s="241"/>
      <c r="F3332" s="241"/>
      <c r="G3332" s="241"/>
      <c r="H3332" s="241"/>
      <c r="I3332"/>
      <c r="J3332" s="241"/>
      <c r="K3332" s="241"/>
      <c r="L3332" s="241"/>
      <c r="M3332" s="241"/>
      <c r="N3332" s="241"/>
      <c r="O3332" s="241"/>
      <c r="P3332" s="241"/>
      <c r="Q3332" s="241"/>
    </row>
    <row r="3333" spans="1:17" ht="13.5" customHeight="1" x14ac:dyDescent="0.3">
      <c r="A3333"/>
      <c r="B3333" s="241"/>
      <c r="C3333" s="241"/>
      <c r="D3333" s="241"/>
      <c r="E3333" s="241"/>
      <c r="F3333" s="241"/>
      <c r="G3333" s="241"/>
      <c r="H3333" s="241"/>
      <c r="I3333"/>
      <c r="J3333" s="241"/>
      <c r="K3333" s="241"/>
      <c r="L3333" s="241"/>
      <c r="M3333" s="241"/>
      <c r="N3333" s="241"/>
      <c r="O3333" s="241"/>
      <c r="P3333" s="241"/>
      <c r="Q3333" s="241"/>
    </row>
    <row r="3334" spans="1:17" ht="13.5" customHeight="1" x14ac:dyDescent="0.3">
      <c r="A3334"/>
      <c r="B3334" s="241"/>
      <c r="C3334" s="241"/>
      <c r="D3334" s="241"/>
      <c r="E3334" s="241"/>
      <c r="F3334" s="241"/>
      <c r="G3334" s="241"/>
      <c r="H3334" s="241"/>
      <c r="I3334"/>
      <c r="J3334" s="241"/>
      <c r="K3334" s="241"/>
      <c r="L3334" s="241"/>
      <c r="M3334" s="241"/>
      <c r="N3334" s="241"/>
      <c r="O3334" s="241"/>
      <c r="P3334" s="241"/>
      <c r="Q3334" s="241"/>
    </row>
    <row r="3335" spans="1:17" ht="13.5" customHeight="1" x14ac:dyDescent="0.3">
      <c r="A3335"/>
      <c r="B3335" s="241"/>
      <c r="C3335" s="241"/>
      <c r="D3335" s="241"/>
      <c r="E3335" s="241"/>
      <c r="F3335" s="241"/>
      <c r="G3335" s="241"/>
      <c r="H3335" s="241"/>
      <c r="I3335"/>
      <c r="J3335" s="241"/>
      <c r="K3335" s="241"/>
      <c r="L3335" s="241"/>
      <c r="M3335" s="241"/>
      <c r="N3335" s="241"/>
      <c r="O3335" s="241"/>
      <c r="P3335" s="241"/>
      <c r="Q3335" s="241"/>
    </row>
    <row r="3336" spans="1:17" ht="13.5" customHeight="1" x14ac:dyDescent="0.3">
      <c r="A3336"/>
      <c r="B3336" s="241"/>
      <c r="C3336" s="241"/>
      <c r="D3336" s="241"/>
      <c r="E3336" s="241"/>
      <c r="F3336" s="241"/>
      <c r="G3336" s="241"/>
      <c r="H3336" s="241"/>
      <c r="I3336"/>
      <c r="J3336" s="241"/>
      <c r="K3336" s="241"/>
      <c r="L3336" s="241"/>
      <c r="M3336" s="241"/>
      <c r="N3336" s="241"/>
      <c r="O3336" s="241"/>
      <c r="P3336" s="241"/>
      <c r="Q3336" s="241"/>
    </row>
    <row r="3337" spans="1:17" ht="13.5" customHeight="1" x14ac:dyDescent="0.3">
      <c r="A3337"/>
      <c r="B3337" s="241"/>
      <c r="C3337" s="241"/>
      <c r="D3337" s="241"/>
      <c r="E3337" s="241"/>
      <c r="F3337" s="241"/>
      <c r="G3337" s="241"/>
      <c r="H3337" s="241"/>
      <c r="I3337"/>
      <c r="J3337" s="241"/>
      <c r="K3337" s="241"/>
      <c r="L3337" s="241"/>
      <c r="M3337" s="241"/>
      <c r="N3337" s="241"/>
      <c r="O3337" s="241"/>
      <c r="P3337" s="241"/>
      <c r="Q3337" s="241"/>
    </row>
    <row r="3338" spans="1:17" ht="13.5" customHeight="1" x14ac:dyDescent="0.3">
      <c r="A3338"/>
      <c r="B3338" s="241"/>
      <c r="C3338" s="241"/>
      <c r="D3338" s="241"/>
      <c r="E3338" s="241"/>
      <c r="F3338" s="241"/>
      <c r="G3338" s="241"/>
      <c r="H3338" s="241"/>
      <c r="I3338"/>
      <c r="J3338" s="241"/>
      <c r="K3338" s="241"/>
      <c r="L3338" s="241"/>
      <c r="M3338" s="241"/>
      <c r="N3338" s="241"/>
      <c r="O3338" s="241"/>
      <c r="P3338" s="241"/>
      <c r="Q3338" s="241"/>
    </row>
    <row r="3339" spans="1:17" ht="13.5" customHeight="1" x14ac:dyDescent="0.3">
      <c r="A3339"/>
      <c r="B3339" s="241"/>
      <c r="C3339" s="241"/>
      <c r="D3339" s="241"/>
      <c r="E3339" s="241"/>
      <c r="F3339" s="241"/>
      <c r="G3339" s="241"/>
      <c r="H3339" s="241"/>
      <c r="I3339"/>
      <c r="J3339" s="241"/>
      <c r="K3339" s="241"/>
      <c r="L3339" s="241"/>
      <c r="M3339" s="241"/>
      <c r="N3339" s="241"/>
      <c r="O3339" s="241"/>
      <c r="P3339" s="241"/>
      <c r="Q3339" s="241"/>
    </row>
    <row r="3340" spans="1:17" ht="13.5" customHeight="1" x14ac:dyDescent="0.3">
      <c r="A3340"/>
      <c r="B3340" s="241"/>
      <c r="C3340" s="241"/>
      <c r="D3340" s="241"/>
      <c r="E3340" s="241"/>
      <c r="F3340" s="241"/>
      <c r="G3340" s="241"/>
      <c r="H3340" s="241"/>
      <c r="I3340"/>
      <c r="J3340" s="241"/>
      <c r="K3340" s="241"/>
      <c r="L3340" s="241"/>
      <c r="M3340" s="241"/>
      <c r="N3340" s="241"/>
      <c r="O3340" s="241"/>
      <c r="P3340" s="241"/>
      <c r="Q3340" s="241"/>
    </row>
    <row r="3341" spans="1:17" ht="13.5" customHeight="1" x14ac:dyDescent="0.3">
      <c r="A3341"/>
      <c r="B3341" s="241"/>
      <c r="C3341" s="241"/>
      <c r="D3341" s="241"/>
      <c r="E3341" s="241"/>
      <c r="F3341" s="241"/>
      <c r="G3341" s="241"/>
      <c r="H3341" s="241"/>
      <c r="I3341"/>
      <c r="J3341" s="241"/>
      <c r="K3341" s="241"/>
      <c r="L3341" s="241"/>
      <c r="M3341" s="241"/>
      <c r="N3341" s="241"/>
      <c r="O3341" s="241"/>
      <c r="P3341" s="241"/>
      <c r="Q3341" s="241"/>
    </row>
    <row r="3342" spans="1:17" ht="13.5" customHeight="1" x14ac:dyDescent="0.3">
      <c r="A3342"/>
      <c r="B3342" s="241"/>
      <c r="C3342" s="241"/>
      <c r="D3342" s="241"/>
      <c r="E3342" s="241"/>
      <c r="F3342" s="241"/>
      <c r="G3342" s="241"/>
      <c r="H3342" s="241"/>
      <c r="I3342"/>
      <c r="J3342" s="241"/>
      <c r="K3342" s="241"/>
      <c r="L3342" s="241"/>
      <c r="M3342" s="241"/>
      <c r="N3342" s="241"/>
      <c r="O3342" s="241"/>
      <c r="P3342" s="241"/>
      <c r="Q3342" s="241"/>
    </row>
    <row r="3343" spans="1:17" ht="13.5" customHeight="1" x14ac:dyDescent="0.3">
      <c r="A3343"/>
      <c r="B3343" s="241"/>
      <c r="C3343" s="241"/>
      <c r="D3343" s="241"/>
      <c r="E3343" s="241"/>
      <c r="F3343" s="241"/>
      <c r="G3343" s="241"/>
      <c r="H3343" s="241"/>
      <c r="I3343"/>
      <c r="J3343" s="241"/>
      <c r="K3343" s="241"/>
      <c r="L3343" s="241"/>
      <c r="M3343" s="241"/>
      <c r="N3343" s="241"/>
      <c r="O3343" s="241"/>
      <c r="P3343" s="241"/>
      <c r="Q3343" s="241"/>
    </row>
    <row r="3344" spans="1:17" ht="13.5" customHeight="1" x14ac:dyDescent="0.3">
      <c r="A3344"/>
      <c r="B3344" s="241"/>
      <c r="C3344" s="241"/>
      <c r="D3344" s="241"/>
      <c r="E3344" s="241"/>
      <c r="F3344" s="241"/>
      <c r="G3344" s="241"/>
      <c r="H3344" s="241"/>
      <c r="I3344"/>
      <c r="J3344" s="241"/>
      <c r="K3344" s="241"/>
      <c r="L3344" s="241"/>
      <c r="M3344" s="241"/>
      <c r="N3344" s="241"/>
      <c r="O3344" s="241"/>
      <c r="P3344" s="241"/>
      <c r="Q3344" s="241"/>
    </row>
    <row r="3345" spans="1:17" ht="13.5" customHeight="1" x14ac:dyDescent="0.3">
      <c r="A3345"/>
      <c r="B3345" s="241"/>
      <c r="C3345" s="241"/>
      <c r="D3345" s="241"/>
      <c r="E3345" s="241"/>
      <c r="F3345" s="241"/>
      <c r="G3345" s="241"/>
      <c r="H3345" s="241"/>
      <c r="I3345"/>
      <c r="J3345" s="241"/>
      <c r="K3345" s="241"/>
      <c r="L3345" s="241"/>
      <c r="M3345" s="241"/>
      <c r="N3345" s="241"/>
      <c r="O3345" s="241"/>
      <c r="P3345" s="241"/>
      <c r="Q3345" s="241"/>
    </row>
    <row r="3346" spans="1:17" ht="13.5" customHeight="1" x14ac:dyDescent="0.3">
      <c r="A3346"/>
      <c r="B3346" s="241"/>
      <c r="C3346" s="241"/>
      <c r="D3346" s="241"/>
      <c r="E3346" s="241"/>
      <c r="F3346" s="241"/>
      <c r="G3346" s="241"/>
      <c r="H3346" s="241"/>
      <c r="I3346"/>
      <c r="J3346" s="241"/>
      <c r="K3346" s="241"/>
      <c r="L3346" s="241"/>
      <c r="M3346" s="241"/>
      <c r="N3346" s="241"/>
      <c r="O3346" s="241"/>
      <c r="P3346" s="241"/>
      <c r="Q3346" s="241"/>
    </row>
    <row r="3347" spans="1:17" ht="13.5" customHeight="1" x14ac:dyDescent="0.3">
      <c r="A3347"/>
      <c r="B3347" s="241"/>
      <c r="C3347" s="241"/>
      <c r="D3347" s="241"/>
      <c r="E3347" s="241"/>
      <c r="F3347" s="241"/>
      <c r="G3347" s="241"/>
      <c r="H3347" s="241"/>
      <c r="I3347"/>
      <c r="J3347" s="241"/>
      <c r="K3347" s="241"/>
      <c r="L3347" s="241"/>
      <c r="M3347" s="241"/>
      <c r="N3347" s="241"/>
      <c r="O3347" s="241"/>
      <c r="P3347" s="241"/>
      <c r="Q3347" s="241"/>
    </row>
    <row r="3348" spans="1:17" ht="13.5" customHeight="1" x14ac:dyDescent="0.3">
      <c r="A3348"/>
      <c r="B3348" s="241"/>
      <c r="C3348" s="241"/>
      <c r="D3348" s="241"/>
      <c r="E3348" s="241"/>
      <c r="F3348" s="241"/>
      <c r="G3348" s="241"/>
      <c r="H3348" s="241"/>
      <c r="I3348"/>
      <c r="J3348" s="241"/>
      <c r="K3348" s="241"/>
      <c r="L3348" s="241"/>
      <c r="M3348" s="241"/>
      <c r="N3348" s="241"/>
      <c r="O3348" s="241"/>
      <c r="P3348" s="241"/>
      <c r="Q3348" s="241"/>
    </row>
    <row r="3349" spans="1:17" ht="13.5" customHeight="1" x14ac:dyDescent="0.3">
      <c r="A3349"/>
      <c r="B3349" s="241"/>
      <c r="C3349" s="241"/>
      <c r="D3349" s="241"/>
      <c r="E3349" s="241"/>
      <c r="F3349" s="241"/>
      <c r="G3349" s="241"/>
      <c r="H3349" s="241"/>
      <c r="I3349"/>
      <c r="J3349" s="241"/>
      <c r="K3349" s="241"/>
      <c r="L3349" s="241"/>
      <c r="M3349" s="241"/>
      <c r="N3349" s="241"/>
      <c r="O3349" s="241"/>
      <c r="P3349" s="241"/>
      <c r="Q3349" s="241"/>
    </row>
    <row r="3350" spans="1:17" ht="13.5" customHeight="1" x14ac:dyDescent="0.3">
      <c r="A3350"/>
      <c r="B3350" s="241"/>
      <c r="C3350" s="241"/>
      <c r="D3350" s="241"/>
      <c r="E3350" s="241"/>
      <c r="F3350" s="241"/>
      <c r="G3350" s="241"/>
      <c r="H3350" s="241"/>
      <c r="I3350"/>
      <c r="J3350" s="241"/>
      <c r="K3350" s="241"/>
      <c r="L3350" s="241"/>
      <c r="M3350" s="241"/>
      <c r="N3350" s="241"/>
      <c r="O3350" s="241"/>
      <c r="P3350" s="241"/>
      <c r="Q3350" s="241"/>
    </row>
    <row r="3351" spans="1:17" ht="13.5" customHeight="1" x14ac:dyDescent="0.3">
      <c r="A3351"/>
      <c r="B3351" s="241"/>
      <c r="C3351" s="241"/>
      <c r="D3351" s="241"/>
      <c r="E3351" s="241"/>
      <c r="F3351" s="241"/>
      <c r="G3351" s="241"/>
      <c r="H3351" s="241"/>
      <c r="I3351"/>
      <c r="J3351" s="241"/>
      <c r="K3351" s="241"/>
      <c r="L3351" s="241"/>
      <c r="M3351" s="241"/>
      <c r="N3351" s="241"/>
      <c r="O3351" s="241"/>
      <c r="P3351" s="241"/>
      <c r="Q3351" s="241"/>
    </row>
    <row r="3352" spans="1:17" ht="13.5" customHeight="1" x14ac:dyDescent="0.3">
      <c r="A3352"/>
      <c r="B3352" s="241"/>
      <c r="C3352" s="241"/>
      <c r="D3352" s="241"/>
      <c r="E3352" s="241"/>
      <c r="F3352" s="241"/>
      <c r="G3352" s="241"/>
      <c r="H3352" s="241"/>
      <c r="I3352"/>
      <c r="J3352" s="241"/>
      <c r="K3352" s="241"/>
      <c r="L3352" s="241"/>
      <c r="M3352" s="241"/>
      <c r="N3352" s="241"/>
      <c r="O3352" s="241"/>
      <c r="P3352" s="241"/>
      <c r="Q3352" s="241"/>
    </row>
    <row r="3353" spans="1:17" ht="13.5" customHeight="1" x14ac:dyDescent="0.3">
      <c r="A3353"/>
      <c r="B3353" s="241"/>
      <c r="C3353" s="241"/>
      <c r="D3353" s="241"/>
      <c r="E3353" s="241"/>
      <c r="F3353" s="241"/>
      <c r="G3353" s="241"/>
      <c r="H3353" s="241"/>
      <c r="I3353"/>
      <c r="J3353" s="241"/>
      <c r="K3353" s="241"/>
      <c r="L3353" s="241"/>
      <c r="M3353" s="241"/>
      <c r="N3353" s="241"/>
      <c r="O3353" s="241"/>
      <c r="P3353" s="241"/>
      <c r="Q3353" s="241"/>
    </row>
    <row r="3354" spans="1:17" ht="13.5" customHeight="1" x14ac:dyDescent="0.3">
      <c r="A3354"/>
      <c r="B3354" s="241"/>
      <c r="C3354" s="241"/>
      <c r="D3354" s="241"/>
      <c r="E3354" s="241"/>
      <c r="F3354" s="241"/>
      <c r="G3354" s="241"/>
      <c r="H3354" s="241"/>
      <c r="I3354"/>
      <c r="J3354" s="241"/>
      <c r="K3354" s="241"/>
      <c r="L3354" s="241"/>
      <c r="M3354" s="241"/>
      <c r="N3354" s="241"/>
      <c r="O3354" s="241"/>
      <c r="P3354" s="241"/>
      <c r="Q3354" s="241"/>
    </row>
    <row r="3355" spans="1:17" ht="13.5" customHeight="1" x14ac:dyDescent="0.3">
      <c r="A3355"/>
      <c r="B3355" s="241"/>
      <c r="C3355" s="241"/>
      <c r="D3355" s="241"/>
      <c r="E3355" s="241"/>
      <c r="F3355" s="241"/>
      <c r="G3355" s="241"/>
      <c r="H3355" s="241"/>
      <c r="I3355"/>
      <c r="J3355" s="241"/>
      <c r="K3355" s="241"/>
      <c r="L3355" s="241"/>
      <c r="M3355" s="241"/>
      <c r="N3355" s="241"/>
      <c r="O3355" s="241"/>
      <c r="P3355" s="241"/>
      <c r="Q3355" s="241"/>
    </row>
    <row r="3356" spans="1:17" ht="13.5" customHeight="1" x14ac:dyDescent="0.3">
      <c r="A3356"/>
      <c r="B3356" s="241"/>
      <c r="C3356" s="241"/>
      <c r="D3356" s="241"/>
      <c r="E3356" s="241"/>
      <c r="F3356" s="241"/>
      <c r="G3356" s="241"/>
      <c r="H3356" s="241"/>
      <c r="I3356"/>
      <c r="J3356" s="241"/>
      <c r="K3356" s="241"/>
      <c r="L3356" s="241"/>
      <c r="M3356" s="241"/>
      <c r="N3356" s="241"/>
      <c r="O3356" s="241"/>
      <c r="P3356" s="241"/>
      <c r="Q3356" s="241"/>
    </row>
    <row r="3357" spans="1:17" ht="13.5" customHeight="1" x14ac:dyDescent="0.3">
      <c r="A3357"/>
      <c r="B3357" s="241"/>
      <c r="C3357" s="241"/>
      <c r="D3357" s="241"/>
      <c r="E3357" s="241"/>
      <c r="F3357" s="241"/>
      <c r="G3357" s="241"/>
      <c r="H3357" s="241"/>
      <c r="I3357"/>
      <c r="J3357" s="241"/>
      <c r="K3357" s="241"/>
      <c r="L3357" s="241"/>
      <c r="M3357" s="241"/>
      <c r="N3357" s="241"/>
      <c r="O3357" s="241"/>
      <c r="P3357" s="241"/>
      <c r="Q3357" s="241"/>
    </row>
    <row r="3358" spans="1:17" ht="13.5" customHeight="1" x14ac:dyDescent="0.3">
      <c r="A3358"/>
      <c r="B3358" s="241"/>
      <c r="C3358" s="241"/>
      <c r="D3358" s="241"/>
      <c r="E3358" s="241"/>
      <c r="F3358" s="241"/>
      <c r="G3358" s="241"/>
      <c r="H3358" s="241"/>
      <c r="I3358"/>
      <c r="J3358" s="241"/>
      <c r="K3358" s="241"/>
      <c r="L3358" s="241"/>
      <c r="M3358" s="241"/>
      <c r="N3358" s="241"/>
      <c r="O3358" s="241"/>
      <c r="P3358" s="241"/>
      <c r="Q3358" s="241"/>
    </row>
    <row r="3359" spans="1:17" ht="13.5" customHeight="1" x14ac:dyDescent="0.3">
      <c r="A3359"/>
      <c r="B3359" s="241"/>
      <c r="C3359" s="241"/>
      <c r="D3359" s="241"/>
      <c r="E3359" s="241"/>
      <c r="F3359" s="241"/>
      <c r="G3359" s="241"/>
      <c r="H3359" s="241"/>
      <c r="I3359"/>
      <c r="J3359" s="241"/>
      <c r="K3359" s="241"/>
      <c r="L3359" s="241"/>
      <c r="M3359" s="241"/>
      <c r="N3359" s="241"/>
      <c r="O3359" s="241"/>
      <c r="P3359" s="241"/>
      <c r="Q3359" s="241"/>
    </row>
    <row r="3360" spans="1:17" ht="13.5" customHeight="1" x14ac:dyDescent="0.3">
      <c r="A3360"/>
      <c r="B3360" s="241"/>
      <c r="C3360" s="241"/>
      <c r="D3360" s="241"/>
      <c r="E3360" s="241"/>
      <c r="F3360" s="241"/>
      <c r="G3360" s="241"/>
      <c r="H3360" s="241"/>
      <c r="I3360"/>
      <c r="J3360" s="241"/>
      <c r="K3360" s="241"/>
      <c r="L3360" s="241"/>
      <c r="M3360" s="241"/>
      <c r="N3360" s="241"/>
      <c r="O3360" s="241"/>
      <c r="P3360" s="241"/>
      <c r="Q3360" s="241"/>
    </row>
    <row r="3361" spans="1:17" ht="13.5" customHeight="1" x14ac:dyDescent="0.3">
      <c r="A3361"/>
      <c r="B3361" s="241"/>
      <c r="C3361" s="241"/>
      <c r="D3361" s="241"/>
      <c r="E3361" s="241"/>
      <c r="F3361" s="241"/>
      <c r="G3361" s="241"/>
      <c r="H3361" s="241"/>
      <c r="I3361"/>
      <c r="J3361" s="241"/>
      <c r="K3361" s="241"/>
      <c r="L3361" s="241"/>
      <c r="M3361" s="241"/>
      <c r="N3361" s="241"/>
      <c r="O3361" s="241"/>
      <c r="P3361" s="241"/>
      <c r="Q3361" s="241"/>
    </row>
    <row r="3362" spans="1:17" ht="13.5" customHeight="1" x14ac:dyDescent="0.3">
      <c r="A3362"/>
      <c r="B3362" s="241"/>
      <c r="C3362" s="241"/>
      <c r="D3362" s="241"/>
      <c r="E3362" s="241"/>
      <c r="F3362" s="241"/>
      <c r="G3362" s="241"/>
      <c r="H3362" s="241"/>
      <c r="I3362"/>
      <c r="J3362" s="241"/>
      <c r="K3362" s="241"/>
      <c r="L3362" s="241"/>
      <c r="M3362" s="241"/>
      <c r="N3362" s="241"/>
      <c r="O3362" s="241"/>
      <c r="P3362" s="241"/>
      <c r="Q3362" s="241"/>
    </row>
    <row r="3363" spans="1:17" ht="13.5" customHeight="1" x14ac:dyDescent="0.3">
      <c r="A3363"/>
      <c r="B3363" s="241"/>
      <c r="C3363" s="241"/>
      <c r="D3363" s="241"/>
      <c r="E3363" s="241"/>
      <c r="F3363" s="241"/>
      <c r="G3363" s="241"/>
      <c r="H3363" s="241"/>
      <c r="I3363"/>
      <c r="J3363" s="241"/>
      <c r="K3363" s="241"/>
      <c r="L3363" s="241"/>
      <c r="M3363" s="241"/>
      <c r="N3363" s="241"/>
      <c r="O3363" s="241"/>
      <c r="P3363" s="241"/>
      <c r="Q3363" s="241"/>
    </row>
    <row r="3364" spans="1:17" ht="13.5" customHeight="1" x14ac:dyDescent="0.3">
      <c r="A3364"/>
      <c r="B3364" s="241"/>
      <c r="C3364" s="241"/>
      <c r="D3364" s="241"/>
      <c r="E3364" s="241"/>
      <c r="F3364" s="241"/>
      <c r="G3364" s="241"/>
      <c r="H3364" s="241"/>
      <c r="I3364"/>
      <c r="J3364" s="241"/>
      <c r="K3364" s="241"/>
      <c r="L3364" s="241"/>
      <c r="M3364" s="241"/>
      <c r="N3364" s="241"/>
      <c r="O3364" s="241"/>
      <c r="P3364" s="241"/>
      <c r="Q3364" s="241"/>
    </row>
    <row r="3365" spans="1:17" ht="13.5" customHeight="1" x14ac:dyDescent="0.3">
      <c r="A3365"/>
      <c r="B3365" s="241"/>
      <c r="C3365" s="241"/>
      <c r="D3365" s="241"/>
      <c r="E3365" s="241"/>
      <c r="F3365" s="241"/>
      <c r="G3365" s="241"/>
      <c r="H3365" s="241"/>
      <c r="I3365"/>
      <c r="J3365" s="241"/>
      <c r="K3365" s="241"/>
      <c r="L3365" s="241"/>
      <c r="M3365" s="241"/>
      <c r="N3365" s="241"/>
      <c r="O3365" s="241"/>
      <c r="P3365" s="241"/>
      <c r="Q3365" s="241"/>
    </row>
    <row r="3366" spans="1:17" ht="13.5" customHeight="1" x14ac:dyDescent="0.3">
      <c r="A3366"/>
      <c r="B3366" s="241"/>
      <c r="C3366" s="241"/>
      <c r="D3366" s="241"/>
      <c r="E3366" s="241"/>
      <c r="F3366" s="241"/>
      <c r="G3366" s="241"/>
      <c r="H3366" s="241"/>
      <c r="I3366"/>
      <c r="J3366" s="241"/>
      <c r="K3366" s="241"/>
      <c r="L3366" s="241"/>
      <c r="M3366" s="241"/>
      <c r="N3366" s="241"/>
      <c r="O3366" s="241"/>
      <c r="P3366" s="241"/>
      <c r="Q3366" s="241"/>
    </row>
    <row r="3367" spans="1:17" ht="13.5" customHeight="1" x14ac:dyDescent="0.3">
      <c r="A3367"/>
      <c r="B3367" s="241"/>
      <c r="C3367" s="241"/>
      <c r="D3367" s="241"/>
      <c r="E3367" s="241"/>
      <c r="F3367" s="241"/>
      <c r="G3367" s="241"/>
      <c r="H3367" s="241"/>
      <c r="I3367"/>
      <c r="J3367" s="241"/>
      <c r="K3367" s="241"/>
      <c r="L3367" s="241"/>
      <c r="M3367" s="241"/>
      <c r="N3367" s="241"/>
      <c r="O3367" s="241"/>
      <c r="P3367" s="241"/>
      <c r="Q3367" s="241"/>
    </row>
    <row r="3368" spans="1:17" ht="13.5" customHeight="1" x14ac:dyDescent="0.3">
      <c r="A3368"/>
      <c r="B3368" s="241"/>
      <c r="C3368" s="241"/>
      <c r="D3368" s="241"/>
      <c r="E3368" s="241"/>
      <c r="F3368" s="241"/>
      <c r="G3368" s="241"/>
      <c r="H3368" s="241"/>
      <c r="I3368"/>
      <c r="J3368" s="241"/>
      <c r="K3368" s="241"/>
      <c r="L3368" s="241"/>
      <c r="M3368" s="241"/>
      <c r="N3368" s="241"/>
      <c r="O3368" s="241"/>
      <c r="P3368" s="241"/>
      <c r="Q3368" s="241"/>
    </row>
    <row r="3369" spans="1:17" ht="13.5" customHeight="1" x14ac:dyDescent="0.3">
      <c r="A3369"/>
      <c r="B3369" s="241"/>
      <c r="C3369" s="241"/>
      <c r="D3369" s="241"/>
      <c r="E3369" s="241"/>
      <c r="F3369" s="241"/>
      <c r="G3369" s="241"/>
      <c r="H3369" s="241"/>
      <c r="I3369"/>
      <c r="J3369" s="241"/>
      <c r="K3369" s="241"/>
      <c r="L3369" s="241"/>
      <c r="M3369" s="241"/>
      <c r="N3369" s="241"/>
      <c r="O3369" s="241"/>
      <c r="P3369" s="241"/>
      <c r="Q3369" s="241"/>
    </row>
    <row r="3370" spans="1:17" ht="13.5" customHeight="1" x14ac:dyDescent="0.3">
      <c r="A3370"/>
      <c r="B3370" s="241"/>
      <c r="C3370" s="241"/>
      <c r="D3370" s="241"/>
      <c r="E3370" s="241"/>
      <c r="F3370" s="241"/>
      <c r="G3370" s="241"/>
      <c r="H3370" s="241"/>
      <c r="I3370"/>
      <c r="J3370" s="241"/>
      <c r="K3370" s="241"/>
      <c r="L3370" s="241"/>
      <c r="M3370" s="241"/>
      <c r="N3370" s="241"/>
      <c r="O3370" s="241"/>
      <c r="P3370" s="241"/>
      <c r="Q3370" s="241"/>
    </row>
    <row r="3371" spans="1:17" ht="13.5" customHeight="1" x14ac:dyDescent="0.3">
      <c r="A3371"/>
      <c r="B3371" s="241"/>
      <c r="C3371" s="241"/>
      <c r="D3371" s="241"/>
      <c r="E3371" s="241"/>
      <c r="F3371" s="241"/>
      <c r="G3371" s="241"/>
      <c r="H3371" s="241"/>
      <c r="I3371"/>
      <c r="J3371" s="241"/>
      <c r="K3371" s="241"/>
      <c r="L3371" s="241"/>
      <c r="M3371" s="241"/>
      <c r="N3371" s="241"/>
      <c r="O3371" s="241"/>
      <c r="P3371" s="241"/>
      <c r="Q3371" s="241"/>
    </row>
    <row r="3372" spans="1:17" ht="13.5" customHeight="1" x14ac:dyDescent="0.3">
      <c r="A3372"/>
      <c r="B3372" s="241"/>
      <c r="C3372" s="241"/>
      <c r="D3372" s="241"/>
      <c r="E3372" s="241"/>
      <c r="F3372" s="241"/>
      <c r="G3372" s="241"/>
      <c r="H3372" s="241"/>
      <c r="I3372"/>
      <c r="J3372" s="241"/>
      <c r="K3372" s="241"/>
      <c r="L3372" s="241"/>
      <c r="M3372" s="241"/>
      <c r="N3372" s="241"/>
      <c r="O3372" s="241"/>
      <c r="P3372" s="241"/>
      <c r="Q3372" s="241"/>
    </row>
    <row r="3373" spans="1:17" ht="13.5" customHeight="1" x14ac:dyDescent="0.3">
      <c r="A3373"/>
      <c r="B3373" s="241"/>
      <c r="C3373" s="241"/>
      <c r="D3373" s="241"/>
      <c r="E3373" s="241"/>
      <c r="F3373" s="241"/>
      <c r="G3373" s="241"/>
      <c r="H3373" s="241"/>
      <c r="I3373"/>
      <c r="J3373" s="241"/>
      <c r="K3373" s="241"/>
      <c r="L3373" s="241"/>
      <c r="M3373" s="241"/>
      <c r="N3373" s="241"/>
      <c r="O3373" s="241"/>
      <c r="P3373" s="241"/>
      <c r="Q3373" s="241"/>
    </row>
    <row r="3374" spans="1:17" ht="13.5" customHeight="1" x14ac:dyDescent="0.3">
      <c r="A3374"/>
      <c r="B3374" s="241"/>
      <c r="C3374" s="241"/>
      <c r="D3374" s="241"/>
      <c r="E3374" s="241"/>
      <c r="F3374" s="241"/>
      <c r="G3374" s="241"/>
      <c r="H3374" s="241"/>
      <c r="I3374"/>
      <c r="J3374" s="241"/>
      <c r="K3374" s="241"/>
      <c r="L3374" s="241"/>
      <c r="M3374" s="241"/>
      <c r="N3374" s="241"/>
      <c r="O3374" s="241"/>
      <c r="P3374" s="241"/>
      <c r="Q3374" s="241"/>
    </row>
    <row r="3375" spans="1:17" ht="13.5" customHeight="1" x14ac:dyDescent="0.3">
      <c r="A3375"/>
      <c r="B3375" s="241"/>
      <c r="C3375" s="241"/>
      <c r="D3375" s="241"/>
      <c r="E3375" s="241"/>
      <c r="F3375" s="241"/>
      <c r="G3375" s="241"/>
      <c r="H3375" s="241"/>
      <c r="I3375"/>
      <c r="J3375" s="241"/>
      <c r="K3375" s="241"/>
      <c r="L3375" s="241"/>
      <c r="M3375" s="241"/>
      <c r="N3375" s="241"/>
      <c r="O3375" s="241"/>
      <c r="P3375" s="241"/>
      <c r="Q3375" s="241"/>
    </row>
    <row r="3376" spans="1:17" ht="13.5" customHeight="1" x14ac:dyDescent="0.3">
      <c r="A3376"/>
      <c r="B3376" s="241"/>
      <c r="C3376" s="241"/>
      <c r="D3376" s="241"/>
      <c r="E3376" s="241"/>
      <c r="F3376" s="241"/>
      <c r="G3376" s="241"/>
      <c r="H3376" s="241"/>
      <c r="I3376"/>
      <c r="J3376" s="241"/>
      <c r="K3376" s="241"/>
      <c r="L3376" s="241"/>
      <c r="M3376" s="241"/>
      <c r="N3376" s="241"/>
      <c r="O3376" s="241"/>
      <c r="P3376" s="241"/>
      <c r="Q3376" s="241"/>
    </row>
    <row r="3377" spans="1:17" ht="13.5" customHeight="1" x14ac:dyDescent="0.3">
      <c r="A3377"/>
      <c r="B3377" s="241"/>
      <c r="C3377" s="241"/>
      <c r="D3377" s="241"/>
      <c r="E3377" s="241"/>
      <c r="F3377" s="241"/>
      <c r="G3377" s="241"/>
      <c r="H3377" s="241"/>
      <c r="I3377"/>
      <c r="J3377" s="241"/>
      <c r="K3377" s="241"/>
      <c r="L3377" s="241"/>
      <c r="M3377" s="241"/>
      <c r="N3377" s="241"/>
      <c r="O3377" s="241"/>
      <c r="P3377" s="241"/>
      <c r="Q3377" s="241"/>
    </row>
    <row r="3378" spans="1:17" ht="13.5" customHeight="1" x14ac:dyDescent="0.3">
      <c r="A3378"/>
      <c r="B3378" s="241"/>
      <c r="C3378" s="241"/>
      <c r="D3378" s="241"/>
      <c r="E3378" s="241"/>
      <c r="F3378" s="241"/>
      <c r="G3378" s="241"/>
      <c r="H3378" s="241"/>
      <c r="I3378"/>
      <c r="J3378" s="241"/>
      <c r="K3378" s="241"/>
      <c r="L3378" s="241"/>
      <c r="M3378" s="241"/>
      <c r="N3378" s="241"/>
      <c r="O3378" s="241"/>
      <c r="P3378" s="241"/>
      <c r="Q3378" s="241"/>
    </row>
    <row r="3379" spans="1:17" ht="13.5" customHeight="1" x14ac:dyDescent="0.3">
      <c r="A3379"/>
      <c r="B3379" s="241"/>
      <c r="C3379" s="241"/>
      <c r="D3379" s="241"/>
      <c r="E3379" s="241"/>
      <c r="F3379" s="241"/>
      <c r="G3379" s="241"/>
      <c r="H3379" s="241"/>
      <c r="I3379"/>
      <c r="J3379" s="241"/>
      <c r="K3379" s="241"/>
      <c r="L3379" s="241"/>
      <c r="M3379" s="241"/>
      <c r="N3379" s="241"/>
      <c r="O3379" s="241"/>
      <c r="P3379" s="241"/>
      <c r="Q3379" s="241"/>
    </row>
    <row r="3380" spans="1:17" ht="13.5" customHeight="1" x14ac:dyDescent="0.3">
      <c r="A3380"/>
      <c r="B3380" s="241"/>
      <c r="C3380" s="241"/>
      <c r="D3380" s="241"/>
      <c r="E3380" s="241"/>
      <c r="F3380" s="241"/>
      <c r="G3380" s="241"/>
      <c r="H3380" s="241"/>
      <c r="I3380"/>
      <c r="J3380" s="241"/>
      <c r="K3380" s="241"/>
      <c r="L3380" s="241"/>
      <c r="M3380" s="241"/>
      <c r="N3380" s="241"/>
      <c r="O3380" s="241"/>
      <c r="P3380" s="241"/>
      <c r="Q3380" s="241"/>
    </row>
    <row r="3381" spans="1:17" ht="13.5" customHeight="1" x14ac:dyDescent="0.3">
      <c r="A3381"/>
      <c r="B3381" s="241"/>
      <c r="C3381" s="241"/>
      <c r="D3381" s="241"/>
      <c r="E3381" s="241"/>
      <c r="F3381" s="241"/>
      <c r="G3381" s="241"/>
      <c r="H3381" s="241"/>
      <c r="I3381"/>
      <c r="J3381" s="241"/>
      <c r="K3381" s="241"/>
      <c r="L3381" s="241"/>
      <c r="M3381" s="241"/>
      <c r="N3381" s="241"/>
      <c r="O3381" s="241"/>
      <c r="P3381" s="241"/>
      <c r="Q3381" s="241"/>
    </row>
    <row r="3382" spans="1:17" ht="13.5" customHeight="1" x14ac:dyDescent="0.3">
      <c r="A3382"/>
      <c r="B3382" s="241"/>
      <c r="C3382" s="241"/>
      <c r="D3382" s="241"/>
      <c r="E3382" s="241"/>
      <c r="F3382" s="241"/>
      <c r="G3382" s="241"/>
      <c r="H3382" s="241"/>
      <c r="I3382"/>
      <c r="J3382" s="241"/>
      <c r="K3382" s="241"/>
      <c r="L3382" s="241"/>
      <c r="M3382" s="241"/>
      <c r="N3382" s="241"/>
      <c r="O3382" s="241"/>
      <c r="P3382" s="241"/>
      <c r="Q3382" s="241"/>
    </row>
    <row r="3383" spans="1:17" ht="13.5" customHeight="1" x14ac:dyDescent="0.3">
      <c r="A3383"/>
      <c r="B3383" s="241"/>
      <c r="C3383" s="241"/>
      <c r="D3383" s="241"/>
      <c r="E3383" s="241"/>
      <c r="F3383" s="241"/>
      <c r="G3383" s="241"/>
      <c r="H3383" s="241"/>
      <c r="I3383"/>
      <c r="J3383" s="241"/>
      <c r="K3383" s="241"/>
      <c r="L3383" s="241"/>
      <c r="M3383" s="241"/>
      <c r="N3383" s="241"/>
      <c r="O3383" s="241"/>
      <c r="P3383" s="241"/>
      <c r="Q3383" s="241"/>
    </row>
    <row r="3384" spans="1:17" ht="13.5" customHeight="1" x14ac:dyDescent="0.3">
      <c r="A3384"/>
      <c r="B3384" s="241"/>
      <c r="C3384" s="241"/>
      <c r="D3384" s="241"/>
      <c r="E3384" s="241"/>
      <c r="F3384" s="241"/>
      <c r="G3384" s="241"/>
      <c r="H3384" s="241"/>
      <c r="I3384"/>
      <c r="J3384" s="241"/>
      <c r="K3384" s="241"/>
      <c r="L3384" s="241"/>
      <c r="M3384" s="241"/>
      <c r="N3384" s="241"/>
      <c r="O3384" s="241"/>
      <c r="P3384" s="241"/>
      <c r="Q3384" s="241"/>
    </row>
    <row r="3385" spans="1:17" ht="13.5" customHeight="1" x14ac:dyDescent="0.3">
      <c r="A3385"/>
      <c r="B3385" s="241"/>
      <c r="C3385" s="241"/>
      <c r="D3385" s="241"/>
      <c r="E3385" s="241"/>
      <c r="F3385" s="241"/>
      <c r="G3385" s="241"/>
      <c r="H3385" s="241"/>
      <c r="I3385"/>
      <c r="J3385" s="241"/>
      <c r="K3385" s="241"/>
      <c r="L3385" s="241"/>
      <c r="M3385" s="241"/>
      <c r="N3385" s="241"/>
      <c r="O3385" s="241"/>
      <c r="P3385" s="241"/>
      <c r="Q3385" s="241"/>
    </row>
    <row r="3386" spans="1:17" ht="13.5" customHeight="1" x14ac:dyDescent="0.3">
      <c r="A3386"/>
      <c r="B3386" s="241"/>
      <c r="C3386" s="241"/>
      <c r="D3386" s="241"/>
      <c r="E3386" s="241"/>
      <c r="F3386" s="241"/>
      <c r="G3386" s="241"/>
      <c r="H3386" s="241"/>
      <c r="I3386"/>
      <c r="J3386" s="241"/>
      <c r="K3386" s="241"/>
      <c r="L3386" s="241"/>
      <c r="M3386" s="241"/>
      <c r="N3386" s="241"/>
      <c r="O3386" s="241"/>
      <c r="P3386" s="241"/>
      <c r="Q3386" s="241"/>
    </row>
    <row r="3387" spans="1:17" ht="13.5" customHeight="1" x14ac:dyDescent="0.3">
      <c r="A3387"/>
      <c r="B3387" s="241"/>
      <c r="C3387" s="241"/>
      <c r="D3387" s="241"/>
      <c r="E3387" s="241"/>
      <c r="F3387" s="241"/>
      <c r="G3387" s="241"/>
      <c r="H3387" s="241"/>
      <c r="I3387"/>
      <c r="J3387" s="241"/>
      <c r="K3387" s="241"/>
      <c r="L3387" s="241"/>
      <c r="M3387" s="241"/>
      <c r="N3387" s="241"/>
      <c r="O3387" s="241"/>
      <c r="P3387" s="241"/>
      <c r="Q3387" s="241"/>
    </row>
    <row r="3388" spans="1:17" ht="13.5" customHeight="1" x14ac:dyDescent="0.3">
      <c r="A3388"/>
      <c r="B3388" s="241"/>
      <c r="C3388" s="241"/>
      <c r="D3388" s="241"/>
      <c r="E3388" s="241"/>
      <c r="F3388" s="241"/>
      <c r="G3388" s="241"/>
      <c r="H3388" s="241"/>
      <c r="I3388"/>
      <c r="J3388" s="241"/>
      <c r="K3388" s="241"/>
      <c r="L3388" s="241"/>
      <c r="M3388" s="241"/>
      <c r="N3388" s="241"/>
      <c r="O3388" s="241"/>
      <c r="P3388" s="241"/>
      <c r="Q3388" s="241"/>
    </row>
    <row r="3389" spans="1:17" ht="13.5" customHeight="1" x14ac:dyDescent="0.3">
      <c r="A3389"/>
      <c r="B3389" s="241"/>
      <c r="C3389" s="241"/>
      <c r="D3389" s="241"/>
      <c r="E3389" s="241"/>
      <c r="F3389" s="241"/>
      <c r="G3389" s="241"/>
      <c r="H3389" s="241"/>
      <c r="I3389"/>
      <c r="J3389" s="241"/>
      <c r="K3389" s="241"/>
      <c r="L3389" s="241"/>
      <c r="M3389" s="241"/>
      <c r="N3389" s="241"/>
      <c r="O3389" s="241"/>
      <c r="P3389" s="241"/>
      <c r="Q3389" s="241"/>
    </row>
    <row r="3390" spans="1:17" ht="13.5" customHeight="1" x14ac:dyDescent="0.3">
      <c r="A3390"/>
      <c r="B3390" s="241"/>
      <c r="C3390" s="241"/>
      <c r="D3390" s="241"/>
      <c r="E3390" s="241"/>
      <c r="F3390" s="241"/>
      <c r="G3390" s="241"/>
      <c r="H3390" s="241"/>
      <c r="I3390"/>
      <c r="J3390" s="241"/>
      <c r="K3390" s="241"/>
      <c r="L3390" s="241"/>
      <c r="M3390" s="241"/>
      <c r="N3390" s="241"/>
      <c r="O3390" s="241"/>
      <c r="P3390" s="241"/>
      <c r="Q3390" s="241"/>
    </row>
    <row r="3391" spans="1:17" ht="13.5" customHeight="1" x14ac:dyDescent="0.3">
      <c r="A3391"/>
      <c r="B3391" s="241"/>
      <c r="C3391" s="241"/>
      <c r="D3391" s="241"/>
      <c r="E3391" s="241"/>
      <c r="F3391" s="241"/>
      <c r="G3391" s="241"/>
      <c r="H3391" s="241"/>
      <c r="I3391"/>
      <c r="J3391" s="241"/>
      <c r="K3391" s="241"/>
      <c r="L3391" s="241"/>
      <c r="M3391" s="241"/>
      <c r="N3391" s="241"/>
      <c r="O3391" s="241"/>
      <c r="P3391" s="241"/>
      <c r="Q3391" s="241"/>
    </row>
    <row r="3392" spans="1:17" ht="13.5" customHeight="1" x14ac:dyDescent="0.3">
      <c r="A3392"/>
      <c r="B3392" s="241"/>
      <c r="C3392" s="241"/>
      <c r="D3392" s="241"/>
      <c r="E3392" s="241"/>
      <c r="F3392" s="241"/>
      <c r="G3392" s="241"/>
      <c r="H3392" s="241"/>
      <c r="I3392"/>
      <c r="J3392" s="241"/>
      <c r="K3392" s="241"/>
      <c r="L3392" s="241"/>
      <c r="M3392" s="241"/>
      <c r="N3392" s="241"/>
      <c r="O3392" s="241"/>
      <c r="P3392" s="241"/>
      <c r="Q3392" s="241"/>
    </row>
    <row r="3393" spans="1:17" ht="13.5" customHeight="1" x14ac:dyDescent="0.3">
      <c r="A3393"/>
      <c r="B3393" s="241"/>
      <c r="C3393" s="241"/>
      <c r="D3393" s="241"/>
      <c r="E3393" s="241"/>
      <c r="F3393" s="241"/>
      <c r="G3393" s="241"/>
      <c r="H3393" s="241"/>
      <c r="I3393"/>
      <c r="J3393" s="241"/>
      <c r="K3393" s="241"/>
      <c r="L3393" s="241"/>
      <c r="M3393" s="241"/>
      <c r="N3393" s="241"/>
      <c r="O3393" s="241"/>
      <c r="P3393" s="241"/>
      <c r="Q3393" s="241"/>
    </row>
    <row r="3394" spans="1:17" ht="13.5" customHeight="1" x14ac:dyDescent="0.3">
      <c r="A3394"/>
      <c r="B3394" s="241"/>
      <c r="C3394" s="241"/>
      <c r="D3394" s="241"/>
      <c r="E3394" s="241"/>
      <c r="F3394" s="241"/>
      <c r="G3394" s="241"/>
      <c r="H3394" s="241"/>
      <c r="I3394"/>
      <c r="J3394" s="241"/>
      <c r="K3394" s="241"/>
      <c r="L3394" s="241"/>
      <c r="M3394" s="241"/>
      <c r="N3394" s="241"/>
      <c r="O3394" s="241"/>
      <c r="P3394" s="241"/>
      <c r="Q3394" s="241"/>
    </row>
    <row r="3395" spans="1:17" ht="13.5" customHeight="1" x14ac:dyDescent="0.3">
      <c r="A3395"/>
      <c r="B3395" s="241"/>
      <c r="C3395" s="241"/>
      <c r="D3395" s="241"/>
      <c r="E3395" s="241"/>
      <c r="F3395" s="241"/>
      <c r="G3395" s="241"/>
      <c r="H3395" s="241"/>
      <c r="I3395"/>
      <c r="J3395" s="241"/>
      <c r="K3395" s="241"/>
      <c r="L3395" s="241"/>
      <c r="M3395" s="241"/>
      <c r="N3395" s="241"/>
      <c r="O3395" s="241"/>
      <c r="P3395" s="241"/>
      <c r="Q3395" s="241"/>
    </row>
    <row r="3396" spans="1:17" ht="13.5" customHeight="1" x14ac:dyDescent="0.3">
      <c r="A3396"/>
      <c r="B3396" s="241"/>
      <c r="C3396" s="241"/>
      <c r="D3396" s="241"/>
      <c r="E3396" s="241"/>
      <c r="F3396" s="241"/>
      <c r="G3396" s="241"/>
      <c r="H3396" s="241"/>
      <c r="I3396"/>
      <c r="J3396" s="241"/>
      <c r="K3396" s="241"/>
      <c r="L3396" s="241"/>
      <c r="M3396" s="241"/>
      <c r="N3396" s="241"/>
      <c r="O3396" s="241"/>
      <c r="P3396" s="241"/>
      <c r="Q3396" s="241"/>
    </row>
    <row r="3397" spans="1:17" ht="13.5" customHeight="1" x14ac:dyDescent="0.3">
      <c r="A3397"/>
      <c r="B3397" s="241"/>
      <c r="C3397" s="241"/>
      <c r="D3397" s="241"/>
      <c r="E3397" s="241"/>
      <c r="F3397" s="241"/>
      <c r="G3397" s="241"/>
      <c r="H3397" s="241"/>
      <c r="I3397"/>
      <c r="J3397" s="241"/>
      <c r="K3397" s="241"/>
      <c r="L3397" s="241"/>
      <c r="M3397" s="241"/>
      <c r="N3397" s="241"/>
      <c r="O3397" s="241"/>
      <c r="P3397" s="241"/>
      <c r="Q3397" s="241"/>
    </row>
    <row r="3398" spans="1:17" ht="13.5" customHeight="1" x14ac:dyDescent="0.3">
      <c r="A3398"/>
      <c r="B3398" s="241"/>
      <c r="C3398" s="241"/>
      <c r="D3398" s="241"/>
      <c r="E3398" s="241"/>
      <c r="F3398" s="241"/>
      <c r="G3398" s="241"/>
      <c r="H3398" s="241"/>
      <c r="I3398"/>
      <c r="J3398" s="241"/>
      <c r="K3398" s="241"/>
      <c r="L3398" s="241"/>
      <c r="M3398" s="241"/>
      <c r="N3398" s="241"/>
      <c r="O3398" s="241"/>
      <c r="P3398" s="241"/>
      <c r="Q3398" s="241"/>
    </row>
    <row r="3399" spans="1:17" ht="13.5" customHeight="1" x14ac:dyDescent="0.3">
      <c r="A3399"/>
      <c r="B3399" s="241"/>
      <c r="C3399" s="241"/>
      <c r="D3399" s="241"/>
      <c r="E3399" s="241"/>
      <c r="F3399" s="241"/>
      <c r="G3399" s="241"/>
      <c r="H3399" s="241"/>
      <c r="I3399"/>
      <c r="J3399" s="241"/>
      <c r="K3399" s="241"/>
      <c r="L3399" s="241"/>
      <c r="M3399" s="241"/>
      <c r="N3399" s="241"/>
      <c r="O3399" s="241"/>
      <c r="P3399" s="241"/>
      <c r="Q3399" s="241"/>
    </row>
    <row r="3400" spans="1:17" ht="13.5" customHeight="1" x14ac:dyDescent="0.3">
      <c r="A3400"/>
      <c r="B3400" s="241"/>
      <c r="C3400" s="241"/>
      <c r="D3400" s="241"/>
      <c r="E3400" s="241"/>
      <c r="F3400" s="241"/>
      <c r="G3400" s="241"/>
      <c r="H3400" s="241"/>
      <c r="I3400"/>
      <c r="J3400" s="241"/>
      <c r="K3400" s="241"/>
      <c r="L3400" s="241"/>
      <c r="M3400" s="241"/>
      <c r="N3400" s="241"/>
      <c r="O3400" s="241"/>
      <c r="P3400" s="241"/>
      <c r="Q3400" s="241"/>
    </row>
    <row r="3401" spans="1:17" ht="13.5" customHeight="1" x14ac:dyDescent="0.3">
      <c r="A3401"/>
      <c r="B3401" s="241"/>
      <c r="C3401" s="241"/>
      <c r="D3401" s="241"/>
      <c r="E3401" s="241"/>
      <c r="F3401" s="241"/>
      <c r="G3401" s="241"/>
      <c r="H3401" s="241"/>
      <c r="I3401"/>
      <c r="J3401" s="241"/>
      <c r="K3401" s="241"/>
      <c r="L3401" s="241"/>
      <c r="M3401" s="241"/>
      <c r="N3401" s="241"/>
      <c r="O3401" s="241"/>
      <c r="P3401" s="241"/>
      <c r="Q3401" s="241"/>
    </row>
    <row r="3402" spans="1:17" ht="13.5" customHeight="1" x14ac:dyDescent="0.3">
      <c r="A3402"/>
      <c r="B3402" s="241"/>
      <c r="C3402" s="241"/>
      <c r="D3402" s="241"/>
      <c r="E3402" s="241"/>
      <c r="F3402" s="241"/>
      <c r="G3402" s="241"/>
      <c r="H3402" s="241"/>
      <c r="I3402"/>
      <c r="J3402" s="241"/>
      <c r="K3402" s="241"/>
      <c r="L3402" s="241"/>
      <c r="M3402" s="241"/>
      <c r="N3402" s="241"/>
      <c r="O3402" s="241"/>
      <c r="P3402" s="241"/>
      <c r="Q3402" s="241"/>
    </row>
    <row r="3403" spans="1:17" ht="13.5" customHeight="1" x14ac:dyDescent="0.3">
      <c r="A3403"/>
      <c r="B3403" s="241"/>
      <c r="C3403" s="241"/>
      <c r="D3403" s="241"/>
      <c r="E3403" s="241"/>
      <c r="F3403" s="241"/>
      <c r="G3403" s="241"/>
      <c r="H3403" s="241"/>
      <c r="I3403"/>
      <c r="J3403" s="241"/>
      <c r="K3403" s="241"/>
      <c r="L3403" s="241"/>
      <c r="M3403" s="241"/>
      <c r="N3403" s="241"/>
      <c r="O3403" s="241"/>
      <c r="P3403" s="241"/>
      <c r="Q3403" s="241"/>
    </row>
    <row r="3404" spans="1:17" ht="13.5" customHeight="1" x14ac:dyDescent="0.3">
      <c r="A3404"/>
      <c r="B3404" s="241"/>
      <c r="C3404" s="241"/>
      <c r="D3404" s="241"/>
      <c r="E3404" s="241"/>
      <c r="F3404" s="241"/>
      <c r="G3404" s="241"/>
      <c r="H3404" s="241"/>
      <c r="I3404"/>
      <c r="J3404" s="241"/>
      <c r="K3404" s="241"/>
      <c r="L3404" s="241"/>
      <c r="M3404" s="241"/>
      <c r="N3404" s="241"/>
      <c r="O3404" s="241"/>
      <c r="P3404" s="241"/>
      <c r="Q3404" s="241"/>
    </row>
    <row r="3405" spans="1:17" ht="13.5" customHeight="1" x14ac:dyDescent="0.3">
      <c r="A3405"/>
      <c r="B3405" s="241"/>
      <c r="C3405" s="241"/>
      <c r="D3405" s="241"/>
      <c r="E3405" s="241"/>
      <c r="F3405" s="241"/>
      <c r="G3405" s="241"/>
      <c r="H3405" s="241"/>
      <c r="I3405"/>
      <c r="J3405" s="241"/>
      <c r="K3405" s="241"/>
      <c r="L3405" s="241"/>
      <c r="M3405" s="241"/>
      <c r="N3405" s="241"/>
      <c r="O3405" s="241"/>
      <c r="P3405" s="241"/>
      <c r="Q3405" s="241"/>
    </row>
    <row r="3406" spans="1:17" ht="13.5" customHeight="1" x14ac:dyDescent="0.3">
      <c r="A3406"/>
      <c r="B3406" s="241"/>
      <c r="C3406" s="241"/>
      <c r="D3406" s="241"/>
      <c r="E3406" s="241"/>
      <c r="F3406" s="241"/>
      <c r="G3406" s="241"/>
      <c r="H3406" s="241"/>
      <c r="I3406"/>
      <c r="J3406" s="241"/>
      <c r="K3406" s="241"/>
      <c r="L3406" s="241"/>
      <c r="M3406" s="241"/>
      <c r="N3406" s="241"/>
      <c r="O3406" s="241"/>
      <c r="P3406" s="241"/>
      <c r="Q3406" s="241"/>
    </row>
    <row r="3407" spans="1:17" ht="13.5" customHeight="1" x14ac:dyDescent="0.3">
      <c r="A3407"/>
      <c r="B3407" s="241"/>
      <c r="C3407" s="241"/>
      <c r="D3407" s="241"/>
      <c r="E3407" s="241"/>
      <c r="F3407" s="241"/>
      <c r="G3407" s="241"/>
      <c r="H3407" s="241"/>
      <c r="I3407"/>
      <c r="J3407" s="241"/>
      <c r="K3407" s="241"/>
      <c r="L3407" s="241"/>
      <c r="M3407" s="241"/>
      <c r="N3407" s="241"/>
      <c r="O3407" s="241"/>
      <c r="P3407" s="241"/>
      <c r="Q3407" s="241"/>
    </row>
    <row r="3408" spans="1:17" ht="13.5" customHeight="1" x14ac:dyDescent="0.3">
      <c r="A3408"/>
      <c r="B3408" s="241"/>
      <c r="C3408" s="241"/>
      <c r="D3408" s="241"/>
      <c r="E3408" s="241"/>
      <c r="F3408" s="241"/>
      <c r="G3408" s="241"/>
      <c r="H3408" s="241"/>
      <c r="I3408"/>
      <c r="J3408" s="241"/>
      <c r="K3408" s="241"/>
      <c r="L3408" s="241"/>
      <c r="M3408" s="241"/>
      <c r="N3408" s="241"/>
      <c r="O3408" s="241"/>
      <c r="P3408" s="241"/>
      <c r="Q3408" s="241"/>
    </row>
    <row r="3409" spans="1:17" ht="13.5" customHeight="1" x14ac:dyDescent="0.3">
      <c r="A3409"/>
      <c r="B3409" s="241"/>
      <c r="C3409" s="241"/>
      <c r="D3409" s="241"/>
      <c r="E3409" s="241"/>
      <c r="F3409" s="241"/>
      <c r="G3409" s="241"/>
      <c r="H3409" s="241"/>
      <c r="I3409"/>
      <c r="J3409" s="241"/>
      <c r="K3409" s="241"/>
      <c r="L3409" s="241"/>
      <c r="M3409" s="241"/>
      <c r="N3409" s="241"/>
      <c r="O3409" s="241"/>
      <c r="P3409" s="241"/>
      <c r="Q3409" s="241"/>
    </row>
    <row r="3410" spans="1:17" ht="13.5" customHeight="1" x14ac:dyDescent="0.3">
      <c r="A3410"/>
      <c r="B3410" s="241"/>
      <c r="C3410" s="241"/>
      <c r="D3410" s="241"/>
      <c r="E3410" s="241"/>
      <c r="F3410" s="241"/>
      <c r="G3410" s="241"/>
      <c r="H3410" s="241"/>
      <c r="I3410"/>
      <c r="J3410" s="241"/>
      <c r="K3410" s="241"/>
      <c r="L3410" s="241"/>
      <c r="M3410" s="241"/>
      <c r="N3410" s="241"/>
      <c r="O3410" s="241"/>
      <c r="P3410" s="241"/>
      <c r="Q3410" s="241"/>
    </row>
    <row r="3411" spans="1:17" ht="13.5" customHeight="1" x14ac:dyDescent="0.3">
      <c r="A3411"/>
      <c r="B3411" s="241"/>
      <c r="C3411" s="241"/>
      <c r="D3411" s="241"/>
      <c r="E3411" s="241"/>
      <c r="F3411" s="241"/>
      <c r="G3411" s="241"/>
      <c r="H3411" s="241"/>
      <c r="I3411"/>
      <c r="J3411" s="241"/>
      <c r="K3411" s="241"/>
      <c r="L3411" s="241"/>
      <c r="M3411" s="241"/>
      <c r="N3411" s="241"/>
      <c r="O3411" s="241"/>
      <c r="P3411" s="241"/>
      <c r="Q3411" s="241"/>
    </row>
    <row r="3412" spans="1:17" ht="13.5" customHeight="1" x14ac:dyDescent="0.3">
      <c r="A3412"/>
      <c r="B3412" s="241"/>
      <c r="C3412" s="241"/>
      <c r="D3412" s="241"/>
      <c r="E3412" s="241"/>
      <c r="F3412" s="241"/>
      <c r="G3412" s="241"/>
      <c r="H3412" s="241"/>
      <c r="I3412"/>
      <c r="J3412" s="241"/>
      <c r="K3412" s="241"/>
      <c r="L3412" s="241"/>
      <c r="M3412" s="241"/>
      <c r="N3412" s="241"/>
      <c r="O3412" s="241"/>
      <c r="P3412" s="241"/>
      <c r="Q3412" s="241"/>
    </row>
    <row r="3413" spans="1:17" ht="13.5" customHeight="1" x14ac:dyDescent="0.3">
      <c r="A3413"/>
      <c r="B3413" s="241"/>
      <c r="C3413" s="241"/>
      <c r="D3413" s="241"/>
      <c r="E3413" s="241"/>
      <c r="F3413" s="241"/>
      <c r="G3413" s="241"/>
      <c r="H3413" s="241"/>
      <c r="I3413"/>
      <c r="J3413" s="241"/>
      <c r="K3413" s="241"/>
      <c r="L3413" s="241"/>
      <c r="M3413" s="241"/>
      <c r="N3413" s="241"/>
      <c r="O3413" s="241"/>
      <c r="P3413" s="241"/>
      <c r="Q3413" s="241"/>
    </row>
    <row r="3414" spans="1:17" ht="13.5" customHeight="1" x14ac:dyDescent="0.3">
      <c r="A3414"/>
      <c r="B3414" s="241"/>
      <c r="C3414" s="241"/>
      <c r="D3414" s="241"/>
      <c r="E3414" s="241"/>
      <c r="F3414" s="241"/>
      <c r="G3414" s="241"/>
      <c r="H3414" s="241"/>
      <c r="I3414"/>
      <c r="J3414" s="241"/>
      <c r="K3414" s="241"/>
      <c r="L3414" s="241"/>
      <c r="M3414" s="241"/>
      <c r="N3414" s="241"/>
      <c r="O3414" s="241"/>
      <c r="P3414" s="241"/>
      <c r="Q3414" s="241"/>
    </row>
    <row r="3415" spans="1:17" ht="13.5" customHeight="1" x14ac:dyDescent="0.3">
      <c r="A3415"/>
      <c r="B3415" s="241"/>
      <c r="C3415" s="241"/>
      <c r="D3415" s="241"/>
      <c r="E3415" s="241"/>
      <c r="F3415" s="241"/>
      <c r="G3415" s="241"/>
      <c r="H3415" s="241"/>
      <c r="I3415"/>
      <c r="J3415" s="241"/>
      <c r="K3415" s="241"/>
      <c r="L3415" s="241"/>
      <c r="M3415" s="241"/>
      <c r="N3415" s="241"/>
      <c r="O3415" s="241"/>
      <c r="P3415" s="241"/>
      <c r="Q3415" s="241"/>
    </row>
    <row r="3416" spans="1:17" ht="13.5" customHeight="1" x14ac:dyDescent="0.3">
      <c r="A3416"/>
      <c r="B3416" s="241"/>
      <c r="C3416" s="241"/>
      <c r="D3416" s="241"/>
      <c r="E3416" s="241"/>
      <c r="F3416" s="241"/>
      <c r="G3416" s="241"/>
      <c r="H3416" s="241"/>
      <c r="I3416"/>
      <c r="J3416" s="241"/>
      <c r="K3416" s="241"/>
      <c r="L3416" s="241"/>
      <c r="M3416" s="241"/>
      <c r="N3416" s="241"/>
      <c r="O3416" s="241"/>
      <c r="P3416" s="241"/>
      <c r="Q3416" s="241"/>
    </row>
    <row r="3417" spans="1:17" ht="13.5" customHeight="1" x14ac:dyDescent="0.3">
      <c r="A3417"/>
      <c r="B3417" s="241"/>
      <c r="C3417" s="241"/>
      <c r="D3417" s="241"/>
      <c r="E3417" s="241"/>
      <c r="F3417" s="241"/>
      <c r="G3417" s="241"/>
      <c r="H3417" s="241"/>
      <c r="I3417"/>
      <c r="J3417" s="241"/>
      <c r="K3417" s="241"/>
      <c r="L3417" s="241"/>
      <c r="M3417" s="241"/>
      <c r="N3417" s="241"/>
      <c r="O3417" s="241"/>
      <c r="P3417" s="241"/>
      <c r="Q3417" s="241"/>
    </row>
    <row r="3418" spans="1:17" ht="13.5" customHeight="1" x14ac:dyDescent="0.3">
      <c r="A3418"/>
      <c r="B3418" s="241"/>
      <c r="C3418" s="241"/>
      <c r="D3418" s="241"/>
      <c r="E3418" s="241"/>
      <c r="F3418" s="241"/>
      <c r="G3418" s="241"/>
      <c r="H3418" s="241"/>
      <c r="I3418"/>
      <c r="J3418" s="241"/>
      <c r="K3418" s="241"/>
      <c r="L3418" s="241"/>
      <c r="M3418" s="241"/>
      <c r="N3418" s="241"/>
      <c r="O3418" s="241"/>
      <c r="P3418" s="241"/>
      <c r="Q3418" s="241"/>
    </row>
    <row r="3419" spans="1:17" ht="13.5" customHeight="1" x14ac:dyDescent="0.3">
      <c r="A3419"/>
      <c r="B3419" s="241"/>
      <c r="C3419" s="241"/>
      <c r="D3419" s="241"/>
      <c r="E3419" s="241"/>
      <c r="F3419" s="241"/>
      <c r="G3419" s="241"/>
      <c r="H3419" s="241"/>
      <c r="I3419"/>
      <c r="J3419" s="241"/>
      <c r="K3419" s="241"/>
      <c r="L3419" s="241"/>
      <c r="M3419" s="241"/>
      <c r="N3419" s="241"/>
      <c r="O3419" s="241"/>
      <c r="P3419" s="241"/>
      <c r="Q3419" s="241"/>
    </row>
    <row r="3420" spans="1:17" ht="13.5" customHeight="1" x14ac:dyDescent="0.3">
      <c r="A3420"/>
      <c r="B3420" s="241"/>
      <c r="C3420" s="241"/>
      <c r="D3420" s="241"/>
      <c r="E3420" s="241"/>
      <c r="F3420" s="241"/>
      <c r="G3420" s="241"/>
      <c r="H3420" s="241"/>
      <c r="I3420"/>
      <c r="J3420" s="241"/>
      <c r="K3420" s="241"/>
      <c r="L3420" s="241"/>
      <c r="M3420" s="241"/>
      <c r="N3420" s="241"/>
      <c r="O3420" s="241"/>
      <c r="P3420" s="241"/>
      <c r="Q3420" s="241"/>
    </row>
    <row r="3421" spans="1:17" ht="13.5" customHeight="1" x14ac:dyDescent="0.3">
      <c r="A3421"/>
      <c r="B3421" s="241"/>
      <c r="C3421" s="241"/>
      <c r="D3421" s="241"/>
      <c r="E3421" s="241"/>
      <c r="F3421" s="241"/>
      <c r="G3421" s="241"/>
      <c r="H3421" s="241"/>
      <c r="I3421"/>
      <c r="J3421" s="241"/>
      <c r="K3421" s="241"/>
      <c r="L3421" s="241"/>
      <c r="M3421" s="241"/>
      <c r="N3421" s="241"/>
      <c r="O3421" s="241"/>
      <c r="P3421" s="241"/>
      <c r="Q3421" s="241"/>
    </row>
    <row r="3422" spans="1:17" ht="13.5" customHeight="1" x14ac:dyDescent="0.3">
      <c r="A3422"/>
      <c r="B3422" s="241"/>
      <c r="C3422" s="241"/>
      <c r="D3422" s="241"/>
      <c r="E3422" s="241"/>
      <c r="F3422" s="241"/>
      <c r="G3422" s="241"/>
      <c r="H3422" s="241"/>
      <c r="I3422"/>
      <c r="J3422" s="241"/>
      <c r="K3422" s="241"/>
      <c r="L3422" s="241"/>
      <c r="M3422" s="241"/>
      <c r="N3422" s="241"/>
      <c r="O3422" s="241"/>
      <c r="P3422" s="241"/>
      <c r="Q3422" s="241"/>
    </row>
    <row r="3423" spans="1:17" ht="13.5" customHeight="1" x14ac:dyDescent="0.3">
      <c r="A3423"/>
      <c r="B3423" s="241"/>
      <c r="C3423" s="241"/>
      <c r="D3423" s="241"/>
      <c r="E3423" s="241"/>
      <c r="F3423" s="241"/>
      <c r="G3423" s="241"/>
      <c r="H3423" s="241"/>
      <c r="I3423"/>
      <c r="J3423" s="241"/>
      <c r="K3423" s="241"/>
      <c r="L3423" s="241"/>
      <c r="M3423" s="241"/>
      <c r="N3423" s="241"/>
      <c r="O3423" s="241"/>
      <c r="P3423" s="241"/>
      <c r="Q3423" s="241"/>
    </row>
    <row r="3424" spans="1:17" ht="13.5" customHeight="1" x14ac:dyDescent="0.3">
      <c r="A3424"/>
      <c r="B3424" s="241"/>
      <c r="C3424" s="241"/>
      <c r="D3424" s="241"/>
      <c r="E3424" s="241"/>
      <c r="F3424" s="241"/>
      <c r="G3424" s="241"/>
      <c r="H3424" s="241"/>
      <c r="I3424"/>
      <c r="J3424" s="241"/>
      <c r="K3424" s="241"/>
      <c r="L3424" s="241"/>
      <c r="M3424" s="241"/>
      <c r="N3424" s="241"/>
      <c r="O3424" s="241"/>
      <c r="P3424" s="241"/>
      <c r="Q3424" s="241"/>
    </row>
    <row r="3425" spans="1:17" ht="13.5" customHeight="1" x14ac:dyDescent="0.3">
      <c r="A3425"/>
      <c r="B3425" s="241"/>
      <c r="C3425" s="241"/>
      <c r="D3425" s="241"/>
      <c r="E3425" s="241"/>
      <c r="F3425" s="241"/>
      <c r="G3425" s="241"/>
      <c r="H3425" s="241"/>
      <c r="I3425"/>
      <c r="J3425" s="241"/>
      <c r="K3425" s="241"/>
      <c r="L3425" s="241"/>
      <c r="M3425" s="241"/>
      <c r="N3425" s="241"/>
      <c r="O3425" s="241"/>
      <c r="P3425" s="241"/>
      <c r="Q3425" s="241"/>
    </row>
    <row r="3426" spans="1:17" ht="13.5" customHeight="1" x14ac:dyDescent="0.3">
      <c r="A3426"/>
      <c r="B3426" s="241"/>
      <c r="C3426" s="241"/>
      <c r="D3426" s="241"/>
      <c r="E3426" s="241"/>
      <c r="F3426" s="241"/>
      <c r="G3426" s="241"/>
      <c r="H3426" s="241"/>
      <c r="I3426"/>
      <c r="J3426" s="241"/>
      <c r="K3426" s="241"/>
      <c r="L3426" s="241"/>
      <c r="M3426" s="241"/>
      <c r="N3426" s="241"/>
      <c r="O3426" s="241"/>
      <c r="P3426" s="241"/>
      <c r="Q3426" s="241"/>
    </row>
    <row r="3427" spans="1:17" ht="13.5" customHeight="1" x14ac:dyDescent="0.3">
      <c r="A3427"/>
      <c r="B3427" s="241"/>
      <c r="C3427" s="241"/>
      <c r="D3427" s="241"/>
      <c r="E3427" s="241"/>
      <c r="F3427" s="241"/>
      <c r="G3427" s="241"/>
      <c r="H3427" s="241"/>
      <c r="I3427"/>
      <c r="J3427" s="241"/>
      <c r="K3427" s="241"/>
      <c r="L3427" s="241"/>
      <c r="M3427" s="241"/>
      <c r="N3427" s="241"/>
      <c r="O3427" s="241"/>
      <c r="P3427" s="241"/>
      <c r="Q3427" s="241"/>
    </row>
    <row r="3428" spans="1:17" ht="13.5" customHeight="1" x14ac:dyDescent="0.3">
      <c r="A3428"/>
      <c r="B3428" s="241"/>
      <c r="C3428" s="241"/>
      <c r="D3428" s="241"/>
      <c r="E3428" s="241"/>
      <c r="F3428" s="241"/>
      <c r="G3428" s="241"/>
      <c r="H3428" s="241"/>
      <c r="I3428"/>
      <c r="J3428" s="241"/>
      <c r="K3428" s="241"/>
      <c r="L3428" s="241"/>
      <c r="M3428" s="241"/>
      <c r="N3428" s="241"/>
      <c r="O3428" s="241"/>
      <c r="P3428" s="241"/>
      <c r="Q3428" s="241"/>
    </row>
    <row r="3429" spans="1:17" ht="13.5" customHeight="1" x14ac:dyDescent="0.3">
      <c r="A3429"/>
      <c r="B3429" s="241"/>
      <c r="C3429" s="241"/>
      <c r="D3429" s="241"/>
      <c r="E3429" s="241"/>
      <c r="F3429" s="241"/>
      <c r="G3429" s="241"/>
      <c r="H3429" s="241"/>
      <c r="I3429"/>
      <c r="J3429" s="241"/>
      <c r="K3429" s="241"/>
      <c r="L3429" s="241"/>
      <c r="M3429" s="241"/>
      <c r="N3429" s="241"/>
      <c r="O3429" s="241"/>
      <c r="P3429" s="241"/>
      <c r="Q3429" s="241"/>
    </row>
    <row r="3430" spans="1:17" ht="13.5" customHeight="1" x14ac:dyDescent="0.3">
      <c r="A3430"/>
      <c r="B3430" s="241"/>
      <c r="C3430" s="241"/>
      <c r="D3430" s="241"/>
      <c r="E3430" s="241"/>
      <c r="F3430" s="241"/>
      <c r="G3430" s="241"/>
      <c r="H3430" s="241"/>
      <c r="I3430"/>
      <c r="J3430" s="241"/>
      <c r="K3430" s="241"/>
      <c r="L3430" s="241"/>
      <c r="M3430" s="241"/>
      <c r="N3430" s="241"/>
      <c r="O3430" s="241"/>
      <c r="P3430" s="241"/>
      <c r="Q3430" s="241"/>
    </row>
    <row r="3431" spans="1:17" ht="13.5" customHeight="1" x14ac:dyDescent="0.3">
      <c r="A3431"/>
      <c r="B3431" s="241"/>
      <c r="C3431" s="241"/>
      <c r="D3431" s="241"/>
      <c r="E3431" s="241"/>
      <c r="F3431" s="241"/>
      <c r="G3431" s="241"/>
      <c r="H3431" s="241"/>
      <c r="I3431"/>
      <c r="J3431" s="241"/>
      <c r="K3431" s="241"/>
      <c r="L3431" s="241"/>
      <c r="M3431" s="241"/>
      <c r="N3431" s="241"/>
      <c r="O3431" s="241"/>
      <c r="P3431" s="241"/>
      <c r="Q3431" s="241"/>
    </row>
    <row r="3432" spans="1:17" ht="13.5" customHeight="1" x14ac:dyDescent="0.3">
      <c r="A3432"/>
      <c r="B3432" s="241"/>
      <c r="C3432" s="241"/>
      <c r="D3432" s="241"/>
      <c r="E3432" s="241"/>
      <c r="F3432" s="241"/>
      <c r="G3432" s="241"/>
      <c r="H3432" s="241"/>
      <c r="I3432"/>
      <c r="J3432" s="241"/>
      <c r="K3432" s="241"/>
      <c r="L3432" s="241"/>
      <c r="M3432" s="241"/>
      <c r="N3432" s="241"/>
      <c r="O3432" s="241"/>
      <c r="P3432" s="241"/>
      <c r="Q3432" s="241"/>
    </row>
    <row r="3433" spans="1:17" ht="13.5" customHeight="1" x14ac:dyDescent="0.3">
      <c r="A3433"/>
      <c r="B3433" s="241"/>
      <c r="C3433" s="241"/>
      <c r="D3433" s="241"/>
      <c r="E3433" s="241"/>
      <c r="F3433" s="241"/>
      <c r="G3433" s="241"/>
      <c r="H3433" s="241"/>
      <c r="I3433"/>
      <c r="J3433" s="241"/>
      <c r="K3433" s="241"/>
      <c r="L3433" s="241"/>
      <c r="M3433" s="241"/>
      <c r="N3433" s="241"/>
      <c r="O3433" s="241"/>
      <c r="P3433" s="241"/>
      <c r="Q3433" s="241"/>
    </row>
    <row r="3434" spans="1:17" ht="13.5" customHeight="1" x14ac:dyDescent="0.3">
      <c r="A3434"/>
      <c r="B3434" s="241"/>
      <c r="C3434" s="241"/>
      <c r="D3434" s="241"/>
      <c r="E3434" s="241"/>
      <c r="F3434" s="241"/>
      <c r="G3434" s="241"/>
      <c r="H3434" s="241"/>
      <c r="I3434"/>
      <c r="J3434" s="241"/>
      <c r="K3434" s="241"/>
      <c r="L3434" s="241"/>
      <c r="M3434" s="241"/>
      <c r="N3434" s="241"/>
      <c r="O3434" s="241"/>
      <c r="P3434" s="241"/>
      <c r="Q3434" s="241"/>
    </row>
    <row r="3435" spans="1:17" ht="13.5" customHeight="1" x14ac:dyDescent="0.3">
      <c r="A3435"/>
      <c r="B3435" s="241"/>
      <c r="C3435" s="241"/>
      <c r="D3435" s="241"/>
      <c r="E3435" s="241"/>
      <c r="F3435" s="241"/>
      <c r="G3435" s="241"/>
      <c r="H3435" s="241"/>
      <c r="I3435"/>
      <c r="J3435" s="241"/>
      <c r="K3435" s="241"/>
      <c r="L3435" s="241"/>
      <c r="M3435" s="241"/>
      <c r="N3435" s="241"/>
      <c r="O3435" s="241"/>
      <c r="P3435" s="241"/>
      <c r="Q3435" s="241"/>
    </row>
    <row r="3436" spans="1:17" ht="13.5" customHeight="1" x14ac:dyDescent="0.3">
      <c r="A3436"/>
      <c r="B3436" s="241"/>
      <c r="C3436" s="241"/>
      <c r="D3436" s="241"/>
      <c r="E3436" s="241"/>
      <c r="F3436" s="241"/>
      <c r="G3436" s="241"/>
      <c r="H3436" s="241"/>
      <c r="I3436"/>
      <c r="J3436" s="241"/>
      <c r="K3436" s="241"/>
      <c r="L3436" s="241"/>
      <c r="M3436" s="241"/>
      <c r="N3436" s="241"/>
      <c r="O3436" s="241"/>
      <c r="P3436" s="241"/>
      <c r="Q3436" s="241"/>
    </row>
    <row r="3437" spans="1:17" ht="13.5" customHeight="1" x14ac:dyDescent="0.3">
      <c r="A3437"/>
      <c r="B3437" s="241"/>
      <c r="C3437" s="241"/>
      <c r="D3437" s="241"/>
      <c r="E3437" s="241"/>
      <c r="F3437" s="241"/>
      <c r="G3437" s="241"/>
      <c r="H3437" s="241"/>
      <c r="I3437"/>
      <c r="J3437" s="241"/>
      <c r="K3437" s="241"/>
      <c r="L3437" s="241"/>
      <c r="M3437" s="241"/>
      <c r="N3437" s="241"/>
      <c r="O3437" s="241"/>
      <c r="P3437" s="241"/>
      <c r="Q3437" s="241"/>
    </row>
    <row r="3438" spans="1:17" ht="13.5" customHeight="1" x14ac:dyDescent="0.3">
      <c r="A3438"/>
      <c r="B3438" s="241"/>
      <c r="C3438" s="241"/>
      <c r="D3438" s="241"/>
      <c r="E3438" s="241"/>
      <c r="F3438" s="241"/>
      <c r="G3438" s="241"/>
      <c r="H3438" s="241"/>
      <c r="I3438"/>
      <c r="J3438" s="241"/>
      <c r="K3438" s="241"/>
      <c r="L3438" s="241"/>
      <c r="M3438" s="241"/>
      <c r="N3438" s="241"/>
      <c r="O3438" s="241"/>
      <c r="P3438" s="241"/>
      <c r="Q3438" s="241"/>
    </row>
    <row r="3439" spans="1:17" ht="13.5" customHeight="1" x14ac:dyDescent="0.3">
      <c r="A3439"/>
      <c r="B3439" s="241"/>
      <c r="C3439" s="241"/>
      <c r="D3439" s="241"/>
      <c r="E3439" s="241"/>
      <c r="F3439" s="241"/>
      <c r="G3439" s="241"/>
      <c r="H3439" s="241"/>
      <c r="I3439"/>
      <c r="J3439" s="241"/>
      <c r="K3439" s="241"/>
      <c r="L3439" s="241"/>
      <c r="M3439" s="241"/>
      <c r="N3439" s="241"/>
      <c r="O3439" s="241"/>
      <c r="P3439" s="241"/>
      <c r="Q3439" s="241"/>
    </row>
    <row r="3440" spans="1:17" ht="13.5" customHeight="1" x14ac:dyDescent="0.3">
      <c r="A3440"/>
      <c r="B3440" s="241"/>
      <c r="C3440" s="241"/>
      <c r="D3440" s="241"/>
      <c r="E3440" s="241"/>
      <c r="F3440" s="241"/>
      <c r="G3440" s="241"/>
      <c r="H3440" s="241"/>
      <c r="I3440"/>
      <c r="J3440" s="241"/>
      <c r="K3440" s="241"/>
      <c r="L3440" s="241"/>
      <c r="M3440" s="241"/>
      <c r="N3440" s="241"/>
      <c r="O3440" s="241"/>
      <c r="P3440" s="241"/>
      <c r="Q3440" s="241"/>
    </row>
    <row r="3441" spans="1:17" ht="13.5" customHeight="1" x14ac:dyDescent="0.3">
      <c r="A3441"/>
      <c r="B3441" s="241"/>
      <c r="C3441" s="241"/>
      <c r="D3441" s="241"/>
      <c r="E3441" s="241"/>
      <c r="F3441" s="241"/>
      <c r="G3441" s="241"/>
      <c r="H3441" s="241"/>
      <c r="I3441"/>
      <c r="J3441" s="241"/>
      <c r="K3441" s="241"/>
      <c r="L3441" s="241"/>
      <c r="M3441" s="241"/>
      <c r="N3441" s="241"/>
      <c r="O3441" s="241"/>
      <c r="P3441" s="241"/>
      <c r="Q3441" s="241"/>
    </row>
    <row r="3442" spans="1:17" ht="13.5" customHeight="1" x14ac:dyDescent="0.3">
      <c r="A3442"/>
      <c r="B3442" s="241"/>
      <c r="C3442" s="241"/>
      <c r="D3442" s="241"/>
      <c r="E3442" s="241"/>
      <c r="F3442" s="241"/>
      <c r="G3442" s="241"/>
      <c r="H3442" s="241"/>
      <c r="I3442"/>
      <c r="J3442" s="241"/>
      <c r="K3442" s="241"/>
      <c r="L3442" s="241"/>
      <c r="M3442" s="241"/>
      <c r="N3442" s="241"/>
      <c r="O3442" s="241"/>
      <c r="P3442" s="241"/>
      <c r="Q3442" s="241"/>
    </row>
    <row r="3443" spans="1:17" ht="13.5" customHeight="1" x14ac:dyDescent="0.3">
      <c r="A3443"/>
      <c r="B3443" s="241"/>
      <c r="C3443" s="241"/>
      <c r="D3443" s="241"/>
      <c r="E3443" s="241"/>
      <c r="F3443" s="241"/>
      <c r="G3443" s="241"/>
      <c r="H3443" s="241"/>
      <c r="I3443"/>
      <c r="J3443" s="241"/>
      <c r="K3443" s="241"/>
      <c r="L3443" s="241"/>
      <c r="M3443" s="241"/>
      <c r="N3443" s="241"/>
      <c r="O3443" s="241"/>
      <c r="P3443" s="241"/>
      <c r="Q3443" s="241"/>
    </row>
    <row r="3444" spans="1:17" ht="13.5" customHeight="1" x14ac:dyDescent="0.3">
      <c r="A3444"/>
      <c r="B3444" s="241"/>
      <c r="C3444" s="241"/>
      <c r="D3444" s="241"/>
      <c r="E3444" s="241"/>
      <c r="F3444" s="241"/>
      <c r="G3444" s="241"/>
      <c r="H3444" s="241"/>
      <c r="I3444"/>
      <c r="J3444" s="241"/>
      <c r="K3444" s="241"/>
      <c r="L3444" s="241"/>
      <c r="M3444" s="241"/>
      <c r="N3444" s="241"/>
      <c r="O3444" s="241"/>
      <c r="P3444" s="241"/>
      <c r="Q3444" s="241"/>
    </row>
    <row r="3445" spans="1:17" ht="13.5" customHeight="1" x14ac:dyDescent="0.3">
      <c r="A3445"/>
      <c r="B3445" s="241"/>
      <c r="C3445" s="241"/>
      <c r="D3445" s="241"/>
      <c r="E3445" s="241"/>
      <c r="F3445" s="241"/>
      <c r="G3445" s="241"/>
      <c r="H3445" s="241"/>
      <c r="I3445"/>
      <c r="J3445" s="241"/>
      <c r="K3445" s="241"/>
      <c r="L3445" s="241"/>
      <c r="M3445" s="241"/>
      <c r="N3445" s="241"/>
      <c r="O3445" s="241"/>
      <c r="P3445" s="241"/>
      <c r="Q3445" s="241"/>
    </row>
    <row r="3446" spans="1:17" ht="13.5" customHeight="1" x14ac:dyDescent="0.3">
      <c r="A3446"/>
      <c r="B3446" s="241"/>
      <c r="C3446" s="241"/>
      <c r="D3446" s="241"/>
      <c r="E3446" s="241"/>
      <c r="F3446" s="241"/>
      <c r="G3446" s="241"/>
      <c r="H3446" s="241"/>
      <c r="I3446"/>
      <c r="J3446" s="241"/>
      <c r="K3446" s="241"/>
      <c r="L3446" s="241"/>
      <c r="M3446" s="241"/>
      <c r="N3446" s="241"/>
      <c r="O3446" s="241"/>
      <c r="P3446" s="241"/>
      <c r="Q3446" s="241"/>
    </row>
    <row r="3447" spans="1:17" ht="13.5" customHeight="1" x14ac:dyDescent="0.3">
      <c r="A3447"/>
      <c r="B3447" s="241"/>
      <c r="C3447" s="241"/>
      <c r="D3447" s="241"/>
      <c r="E3447" s="241"/>
      <c r="F3447" s="241"/>
      <c r="G3447" s="241"/>
      <c r="H3447" s="241"/>
      <c r="I3447"/>
      <c r="J3447" s="241"/>
      <c r="K3447" s="241"/>
      <c r="L3447" s="241"/>
      <c r="M3447" s="241"/>
      <c r="N3447" s="241"/>
      <c r="O3447" s="241"/>
      <c r="P3447" s="241"/>
      <c r="Q3447" s="241"/>
    </row>
    <row r="3448" spans="1:17" ht="13.5" customHeight="1" x14ac:dyDescent="0.3">
      <c r="A3448"/>
      <c r="B3448" s="241"/>
      <c r="C3448" s="241"/>
      <c r="D3448" s="241"/>
      <c r="E3448" s="241"/>
      <c r="F3448" s="241"/>
      <c r="G3448" s="241"/>
      <c r="H3448" s="241"/>
      <c r="I3448"/>
      <c r="J3448" s="241"/>
      <c r="K3448" s="241"/>
      <c r="L3448" s="241"/>
      <c r="M3448" s="241"/>
      <c r="N3448" s="241"/>
      <c r="O3448" s="241"/>
      <c r="P3448" s="241"/>
      <c r="Q3448" s="241"/>
    </row>
    <row r="3449" spans="1:17" ht="13.5" customHeight="1" x14ac:dyDescent="0.3">
      <c r="A3449"/>
      <c r="B3449" s="241"/>
      <c r="C3449" s="241"/>
      <c r="D3449" s="241"/>
      <c r="E3449" s="241"/>
      <c r="F3449" s="241"/>
      <c r="G3449" s="241"/>
      <c r="H3449" s="241"/>
      <c r="I3449"/>
      <c r="J3449" s="241"/>
      <c r="K3449" s="241"/>
      <c r="L3449" s="241"/>
      <c r="M3449" s="241"/>
      <c r="N3449" s="241"/>
      <c r="O3449" s="241"/>
      <c r="P3449" s="241"/>
      <c r="Q3449" s="241"/>
    </row>
    <row r="3450" spans="1:17" ht="13.5" customHeight="1" x14ac:dyDescent="0.3">
      <c r="A3450"/>
      <c r="B3450" s="241"/>
      <c r="C3450" s="241"/>
      <c r="D3450" s="241"/>
      <c r="E3450" s="241"/>
      <c r="F3450" s="241"/>
      <c r="G3450" s="241"/>
      <c r="H3450" s="241"/>
      <c r="I3450"/>
      <c r="J3450" s="241"/>
      <c r="K3450" s="241"/>
      <c r="L3450" s="241"/>
      <c r="M3450" s="241"/>
      <c r="N3450" s="241"/>
      <c r="O3450" s="241"/>
      <c r="P3450" s="241"/>
      <c r="Q3450" s="241"/>
    </row>
    <row r="3451" spans="1:17" ht="13.5" customHeight="1" x14ac:dyDescent="0.3">
      <c r="A3451"/>
      <c r="B3451" s="241"/>
      <c r="C3451" s="241"/>
      <c r="D3451" s="241"/>
      <c r="E3451" s="241"/>
      <c r="F3451" s="241"/>
      <c r="G3451" s="241"/>
      <c r="H3451" s="241"/>
      <c r="I3451"/>
      <c r="J3451" s="241"/>
      <c r="K3451" s="241"/>
      <c r="L3451" s="241"/>
      <c r="M3451" s="241"/>
      <c r="N3451" s="241"/>
      <c r="O3451" s="241"/>
      <c r="P3451" s="241"/>
      <c r="Q3451" s="241"/>
    </row>
    <row r="3452" spans="1:17" ht="13.5" customHeight="1" x14ac:dyDescent="0.3">
      <c r="A3452"/>
      <c r="B3452" s="241"/>
      <c r="C3452" s="241"/>
      <c r="D3452" s="241"/>
      <c r="E3452" s="241"/>
      <c r="F3452" s="241"/>
      <c r="G3452" s="241"/>
      <c r="H3452" s="241"/>
      <c r="I3452"/>
      <c r="J3452" s="241"/>
      <c r="K3452" s="241"/>
      <c r="L3452" s="241"/>
      <c r="M3452" s="241"/>
      <c r="N3452" s="241"/>
      <c r="O3452" s="241"/>
      <c r="P3452" s="241"/>
      <c r="Q3452" s="241"/>
    </row>
    <row r="3453" spans="1:17" ht="13.5" customHeight="1" x14ac:dyDescent="0.3">
      <c r="A3453"/>
      <c r="B3453" s="241"/>
      <c r="C3453" s="241"/>
      <c r="D3453" s="241"/>
      <c r="E3453" s="241"/>
      <c r="F3453" s="241"/>
      <c r="G3453" s="241"/>
      <c r="H3453" s="241"/>
      <c r="I3453"/>
      <c r="J3453" s="241"/>
      <c r="K3453" s="241"/>
      <c r="L3453" s="241"/>
      <c r="M3453" s="241"/>
      <c r="N3453" s="241"/>
      <c r="O3453" s="241"/>
      <c r="P3453" s="241"/>
      <c r="Q3453" s="241"/>
    </row>
    <row r="3454" spans="1:17" ht="13.5" customHeight="1" x14ac:dyDescent="0.3">
      <c r="A3454"/>
      <c r="B3454" s="241"/>
      <c r="C3454" s="241"/>
      <c r="D3454" s="241"/>
      <c r="E3454" s="241"/>
      <c r="F3454" s="241"/>
      <c r="G3454" s="241"/>
      <c r="H3454" s="241"/>
      <c r="I3454"/>
      <c r="J3454" s="241"/>
      <c r="K3454" s="241"/>
      <c r="L3454" s="241"/>
      <c r="M3454" s="241"/>
      <c r="N3454" s="241"/>
      <c r="O3454" s="241"/>
      <c r="P3454" s="241"/>
      <c r="Q3454" s="241"/>
    </row>
    <row r="3455" spans="1:17" ht="13.5" customHeight="1" x14ac:dyDescent="0.3">
      <c r="A3455"/>
      <c r="B3455" s="241"/>
      <c r="C3455" s="241"/>
      <c r="D3455" s="241"/>
      <c r="E3455" s="241"/>
      <c r="F3455" s="241"/>
      <c r="G3455" s="241"/>
      <c r="H3455" s="241"/>
      <c r="I3455"/>
      <c r="J3455" s="241"/>
      <c r="K3455" s="241"/>
      <c r="L3455" s="241"/>
      <c r="M3455" s="241"/>
      <c r="N3455" s="241"/>
      <c r="O3455" s="241"/>
      <c r="P3455" s="241"/>
      <c r="Q3455" s="241"/>
    </row>
    <row r="3456" spans="1:17" ht="13.5" customHeight="1" x14ac:dyDescent="0.3">
      <c r="A3456"/>
      <c r="B3456" s="241"/>
      <c r="C3456" s="241"/>
      <c r="D3456" s="241"/>
      <c r="E3456" s="241"/>
      <c r="F3456" s="241"/>
      <c r="G3456" s="241"/>
      <c r="H3456" s="241"/>
      <c r="I3456"/>
      <c r="J3456" s="241"/>
      <c r="K3456" s="241"/>
      <c r="L3456" s="241"/>
      <c r="M3456" s="241"/>
      <c r="N3456" s="241"/>
      <c r="O3456" s="241"/>
      <c r="P3456" s="241"/>
      <c r="Q3456" s="241"/>
    </row>
    <row r="3457" spans="1:17" ht="13.5" customHeight="1" x14ac:dyDescent="0.3">
      <c r="A3457"/>
      <c r="B3457" s="241"/>
      <c r="C3457" s="241"/>
      <c r="D3457" s="241"/>
      <c r="E3457" s="241"/>
      <c r="F3457" s="241"/>
      <c r="G3457" s="241"/>
      <c r="H3457" s="241"/>
      <c r="I3457"/>
      <c r="J3457" s="241"/>
      <c r="K3457" s="241"/>
      <c r="L3457" s="241"/>
      <c r="M3457" s="241"/>
      <c r="N3457" s="241"/>
      <c r="O3457" s="241"/>
      <c r="P3457" s="241"/>
      <c r="Q3457" s="241"/>
    </row>
    <row r="3458" spans="1:17" ht="13.5" customHeight="1" x14ac:dyDescent="0.3">
      <c r="A3458"/>
      <c r="B3458" s="241"/>
      <c r="C3458" s="241"/>
      <c r="D3458" s="241"/>
      <c r="E3458" s="241"/>
      <c r="F3458" s="241"/>
      <c r="G3458" s="241"/>
      <c r="H3458" s="241"/>
      <c r="I3458"/>
      <c r="J3458" s="241"/>
      <c r="K3458" s="241"/>
      <c r="L3458" s="241"/>
      <c r="M3458" s="241"/>
      <c r="N3458" s="241"/>
      <c r="O3458" s="241"/>
      <c r="P3458" s="241"/>
      <c r="Q3458" s="241"/>
    </row>
    <row r="3459" spans="1:17" ht="13.5" customHeight="1" x14ac:dyDescent="0.3">
      <c r="A3459"/>
      <c r="B3459" s="241"/>
      <c r="C3459" s="241"/>
      <c r="D3459" s="241"/>
      <c r="E3459" s="241"/>
      <c r="F3459" s="241"/>
      <c r="G3459" s="241"/>
      <c r="H3459" s="241"/>
      <c r="I3459"/>
      <c r="J3459" s="241"/>
      <c r="K3459" s="241"/>
      <c r="L3459" s="241"/>
      <c r="M3459" s="241"/>
      <c r="N3459" s="241"/>
      <c r="O3459" s="241"/>
      <c r="P3459" s="241"/>
      <c r="Q3459" s="241"/>
    </row>
    <row r="3460" spans="1:17" ht="13.5" customHeight="1" x14ac:dyDescent="0.3">
      <c r="A3460"/>
      <c r="B3460" s="241"/>
      <c r="C3460" s="241"/>
      <c r="D3460" s="241"/>
      <c r="E3460" s="241"/>
      <c r="F3460" s="241"/>
      <c r="G3460" s="241"/>
      <c r="H3460" s="241"/>
      <c r="I3460"/>
      <c r="J3460" s="241"/>
      <c r="K3460" s="241"/>
      <c r="L3460" s="241"/>
      <c r="M3460" s="241"/>
      <c r="N3460" s="241"/>
      <c r="O3460" s="241"/>
      <c r="P3460" s="241"/>
      <c r="Q3460" s="241"/>
    </row>
    <row r="3461" spans="1:17" ht="13.5" customHeight="1" x14ac:dyDescent="0.3">
      <c r="A3461"/>
      <c r="B3461" s="241"/>
      <c r="C3461" s="241"/>
      <c r="D3461" s="241"/>
      <c r="E3461" s="241"/>
      <c r="F3461" s="241"/>
      <c r="G3461" s="241"/>
      <c r="H3461" s="241"/>
      <c r="I3461"/>
      <c r="J3461" s="241"/>
      <c r="K3461" s="241"/>
      <c r="L3461" s="241"/>
      <c r="M3461" s="241"/>
      <c r="N3461" s="241"/>
      <c r="O3461" s="241"/>
      <c r="P3461" s="241"/>
      <c r="Q3461" s="241"/>
    </row>
    <row r="3462" spans="1:17" ht="13.5" customHeight="1" x14ac:dyDescent="0.3">
      <c r="A3462"/>
      <c r="B3462" s="241"/>
      <c r="C3462" s="241"/>
      <c r="D3462" s="241"/>
      <c r="E3462" s="241"/>
      <c r="F3462" s="241"/>
      <c r="G3462" s="241"/>
      <c r="H3462" s="241"/>
      <c r="I3462"/>
      <c r="J3462" s="241"/>
      <c r="K3462" s="241"/>
      <c r="L3462" s="241"/>
      <c r="M3462" s="241"/>
      <c r="N3462" s="241"/>
      <c r="O3462" s="241"/>
      <c r="P3462" s="241"/>
      <c r="Q3462" s="241"/>
    </row>
    <row r="3463" spans="1:17" ht="13.5" customHeight="1" x14ac:dyDescent="0.3">
      <c r="A3463"/>
      <c r="B3463" s="241"/>
      <c r="C3463" s="241"/>
      <c r="D3463" s="241"/>
      <c r="E3463" s="241"/>
      <c r="F3463" s="241"/>
      <c r="G3463" s="241"/>
      <c r="H3463" s="241"/>
      <c r="I3463"/>
      <c r="J3463" s="241"/>
      <c r="K3463" s="241"/>
      <c r="L3463" s="241"/>
      <c r="M3463" s="241"/>
      <c r="N3463" s="241"/>
      <c r="O3463" s="241"/>
      <c r="P3463" s="241"/>
      <c r="Q3463" s="241"/>
    </row>
    <row r="3464" spans="1:17" ht="13.5" customHeight="1" x14ac:dyDescent="0.3">
      <c r="A3464"/>
      <c r="B3464" s="241"/>
      <c r="C3464" s="241"/>
      <c r="D3464" s="241"/>
      <c r="E3464" s="241"/>
      <c r="F3464" s="241"/>
      <c r="G3464" s="241"/>
      <c r="H3464" s="241"/>
      <c r="I3464"/>
      <c r="J3464" s="241"/>
      <c r="K3464" s="241"/>
      <c r="L3464" s="241"/>
      <c r="M3464" s="241"/>
      <c r="N3464" s="241"/>
      <c r="O3464" s="241"/>
      <c r="P3464" s="241"/>
      <c r="Q3464" s="241"/>
    </row>
    <row r="3465" spans="1:17" ht="13.5" customHeight="1" x14ac:dyDescent="0.3">
      <c r="A3465"/>
      <c r="B3465" s="241"/>
      <c r="C3465" s="241"/>
      <c r="D3465" s="241"/>
      <c r="E3465" s="241"/>
      <c r="F3465" s="241"/>
      <c r="G3465" s="241"/>
      <c r="H3465" s="241"/>
      <c r="I3465"/>
      <c r="J3465" s="241"/>
      <c r="K3465" s="241"/>
      <c r="L3465" s="241"/>
      <c r="M3465" s="241"/>
      <c r="N3465" s="241"/>
      <c r="O3465" s="241"/>
      <c r="P3465" s="241"/>
      <c r="Q3465" s="241"/>
    </row>
    <row r="3466" spans="1:17" ht="13.5" customHeight="1" x14ac:dyDescent="0.3">
      <c r="A3466"/>
      <c r="B3466" s="241"/>
      <c r="C3466" s="241"/>
      <c r="D3466" s="241"/>
      <c r="E3466" s="241"/>
      <c r="F3466" s="241"/>
      <c r="G3466" s="241"/>
      <c r="H3466" s="241"/>
      <c r="I3466"/>
      <c r="J3466" s="241"/>
      <c r="K3466" s="241"/>
      <c r="L3466" s="241"/>
      <c r="M3466" s="241"/>
      <c r="N3466" s="241"/>
      <c r="O3466" s="241"/>
      <c r="P3466" s="241"/>
      <c r="Q3466" s="241"/>
    </row>
    <row r="3467" spans="1:17" ht="13.5" customHeight="1" x14ac:dyDescent="0.3">
      <c r="A3467"/>
      <c r="B3467" s="241"/>
      <c r="C3467" s="241"/>
      <c r="D3467" s="241"/>
      <c r="E3467" s="241"/>
      <c r="F3467" s="241"/>
      <c r="G3467" s="241"/>
      <c r="H3467" s="241"/>
      <c r="I3467"/>
      <c r="J3467" s="241"/>
      <c r="K3467" s="241"/>
      <c r="L3467" s="241"/>
      <c r="M3467" s="241"/>
      <c r="N3467" s="241"/>
      <c r="O3467" s="241"/>
      <c r="P3467" s="241"/>
      <c r="Q3467" s="241"/>
    </row>
    <row r="3468" spans="1:17" ht="13.5" customHeight="1" x14ac:dyDescent="0.3">
      <c r="A3468"/>
      <c r="B3468" s="241"/>
      <c r="C3468" s="241"/>
      <c r="D3468" s="241"/>
      <c r="E3468" s="241"/>
      <c r="F3468" s="241"/>
      <c r="G3468" s="241"/>
      <c r="H3468" s="241"/>
      <c r="I3468"/>
      <c r="J3468" s="241"/>
      <c r="K3468" s="241"/>
      <c r="L3468" s="241"/>
      <c r="M3468" s="241"/>
      <c r="N3468" s="241"/>
      <c r="O3468" s="241"/>
      <c r="P3468" s="241"/>
      <c r="Q3468" s="241"/>
    </row>
    <row r="3469" spans="1:17" ht="13.5" customHeight="1" x14ac:dyDescent="0.3">
      <c r="A3469"/>
      <c r="B3469" s="241"/>
      <c r="C3469" s="241"/>
      <c r="D3469" s="241"/>
      <c r="E3469" s="241"/>
      <c r="F3469" s="241"/>
      <c r="G3469" s="241"/>
      <c r="H3469" s="241"/>
      <c r="I3469"/>
      <c r="J3469" s="241"/>
      <c r="K3469" s="241"/>
      <c r="L3469" s="241"/>
      <c r="M3469" s="241"/>
      <c r="N3469" s="241"/>
      <c r="O3469" s="241"/>
      <c r="P3469" s="241"/>
      <c r="Q3469" s="241"/>
    </row>
    <row r="3470" spans="1:17" ht="13.5" customHeight="1" x14ac:dyDescent="0.3">
      <c r="A3470"/>
      <c r="B3470" s="241"/>
      <c r="C3470" s="241"/>
      <c r="D3470" s="241"/>
      <c r="E3470" s="241"/>
      <c r="F3470" s="241"/>
      <c r="G3470" s="241"/>
      <c r="H3470" s="241"/>
      <c r="I3470"/>
      <c r="J3470" s="241"/>
      <c r="K3470" s="241"/>
      <c r="L3470" s="241"/>
      <c r="M3470" s="241"/>
      <c r="N3470" s="241"/>
      <c r="O3470" s="241"/>
      <c r="P3470" s="241"/>
      <c r="Q3470" s="241"/>
    </row>
    <row r="3471" spans="1:17" ht="13.5" customHeight="1" x14ac:dyDescent="0.3">
      <c r="A3471"/>
      <c r="B3471" s="241"/>
      <c r="C3471" s="241"/>
      <c r="D3471" s="241"/>
      <c r="E3471" s="241"/>
      <c r="F3471" s="241"/>
      <c r="G3471" s="241"/>
      <c r="H3471" s="241"/>
      <c r="I3471"/>
      <c r="J3471" s="241"/>
      <c r="K3471" s="241"/>
      <c r="L3471" s="241"/>
      <c r="M3471" s="241"/>
      <c r="N3471" s="241"/>
      <c r="O3471" s="241"/>
      <c r="P3471" s="241"/>
      <c r="Q3471" s="241"/>
    </row>
    <row r="3472" spans="1:17" ht="13.5" customHeight="1" x14ac:dyDescent="0.3">
      <c r="A3472"/>
      <c r="B3472" s="241"/>
      <c r="C3472" s="241"/>
      <c r="D3472" s="241"/>
      <c r="E3472" s="241"/>
      <c r="F3472" s="241"/>
      <c r="G3472" s="241"/>
      <c r="H3472" s="241"/>
      <c r="I3472"/>
      <c r="J3472" s="241"/>
      <c r="K3472" s="241"/>
      <c r="L3472" s="241"/>
      <c r="M3472" s="241"/>
      <c r="N3472" s="241"/>
      <c r="O3472" s="241"/>
      <c r="P3472" s="241"/>
      <c r="Q3472" s="241"/>
    </row>
    <row r="3473" spans="1:17" ht="13.5" customHeight="1" x14ac:dyDescent="0.3">
      <c r="A3473"/>
      <c r="B3473" s="241"/>
      <c r="C3473" s="241"/>
      <c r="D3473" s="241"/>
      <c r="E3473" s="241"/>
      <c r="F3473" s="241"/>
      <c r="G3473" s="241"/>
      <c r="H3473" s="241"/>
      <c r="I3473"/>
      <c r="J3473" s="241"/>
      <c r="K3473" s="241"/>
      <c r="L3473" s="241"/>
      <c r="M3473" s="241"/>
      <c r="N3473" s="241"/>
      <c r="O3473" s="241"/>
      <c r="P3473" s="241"/>
      <c r="Q3473" s="241"/>
    </row>
    <row r="3474" spans="1:17" ht="13.5" customHeight="1" x14ac:dyDescent="0.3">
      <c r="A3474"/>
      <c r="B3474" s="241"/>
      <c r="C3474" s="241"/>
      <c r="D3474" s="241"/>
      <c r="E3474" s="241"/>
      <c r="F3474" s="241"/>
      <c r="G3474" s="241"/>
      <c r="H3474" s="241"/>
      <c r="I3474"/>
      <c r="J3474" s="241"/>
      <c r="K3474" s="241"/>
      <c r="L3474" s="241"/>
      <c r="M3474" s="241"/>
      <c r="N3474" s="241"/>
      <c r="O3474" s="241"/>
      <c r="P3474" s="241"/>
      <c r="Q3474" s="241"/>
    </row>
    <row r="3475" spans="1:17" ht="13.5" customHeight="1" x14ac:dyDescent="0.3">
      <c r="A3475"/>
      <c r="B3475" s="241"/>
      <c r="C3475" s="241"/>
      <c r="D3475" s="241"/>
      <c r="E3475" s="241"/>
      <c r="F3475" s="241"/>
      <c r="G3475" s="241"/>
      <c r="H3475" s="241"/>
      <c r="I3475"/>
      <c r="J3475" s="241"/>
      <c r="K3475" s="241"/>
      <c r="L3475" s="241"/>
      <c r="M3475" s="241"/>
      <c r="N3475" s="241"/>
      <c r="O3475" s="241"/>
      <c r="P3475" s="241"/>
      <c r="Q3475" s="241"/>
    </row>
    <row r="3476" spans="1:17" ht="13.5" customHeight="1" x14ac:dyDescent="0.3">
      <c r="A3476"/>
      <c r="B3476" s="241"/>
      <c r="C3476" s="241"/>
      <c r="D3476" s="241"/>
      <c r="E3476" s="241"/>
      <c r="F3476" s="241"/>
      <c r="G3476" s="241"/>
      <c r="H3476" s="241"/>
      <c r="I3476"/>
      <c r="J3476" s="241"/>
      <c r="K3476" s="241"/>
      <c r="L3476" s="241"/>
      <c r="M3476" s="241"/>
      <c r="N3476" s="241"/>
      <c r="O3476" s="241"/>
      <c r="P3476" s="241"/>
      <c r="Q3476" s="241"/>
    </row>
    <row r="3477" spans="1:17" ht="13.5" customHeight="1" x14ac:dyDescent="0.3">
      <c r="A3477"/>
      <c r="B3477" s="241"/>
      <c r="C3477" s="241"/>
      <c r="D3477" s="241"/>
      <c r="E3477" s="241"/>
      <c r="F3477" s="241"/>
      <c r="G3477" s="241"/>
      <c r="H3477" s="241"/>
      <c r="I3477"/>
      <c r="J3477" s="241"/>
      <c r="K3477" s="241"/>
      <c r="L3477" s="241"/>
      <c r="M3477" s="241"/>
      <c r="N3477" s="241"/>
      <c r="O3477" s="241"/>
      <c r="P3477" s="241"/>
      <c r="Q3477" s="241"/>
    </row>
    <row r="3478" spans="1:17" ht="13.5" customHeight="1" x14ac:dyDescent="0.3">
      <c r="A3478"/>
      <c r="B3478" s="241"/>
      <c r="C3478" s="241"/>
      <c r="D3478" s="241"/>
      <c r="E3478" s="241"/>
      <c r="F3478" s="241"/>
      <c r="G3478" s="241"/>
      <c r="H3478" s="241"/>
      <c r="I3478"/>
      <c r="J3478" s="241"/>
      <c r="K3478" s="241"/>
      <c r="L3478" s="241"/>
      <c r="M3478" s="241"/>
      <c r="N3478" s="241"/>
      <c r="O3478" s="241"/>
      <c r="P3478" s="241"/>
      <c r="Q3478" s="241"/>
    </row>
    <row r="3479" spans="1:17" ht="13.5" customHeight="1" x14ac:dyDescent="0.3">
      <c r="A3479"/>
      <c r="B3479" s="241"/>
      <c r="C3479" s="241"/>
      <c r="D3479" s="241"/>
      <c r="E3479" s="241"/>
      <c r="F3479" s="241"/>
      <c r="G3479" s="241"/>
      <c r="H3479" s="241"/>
      <c r="I3479"/>
      <c r="J3479" s="241"/>
      <c r="K3479" s="241"/>
      <c r="L3479" s="241"/>
      <c r="M3479" s="241"/>
      <c r="N3479" s="241"/>
      <c r="O3479" s="241"/>
      <c r="P3479" s="241"/>
      <c r="Q3479" s="241"/>
    </row>
    <row r="3480" spans="1:17" ht="13.5" customHeight="1" x14ac:dyDescent="0.3">
      <c r="A3480"/>
      <c r="B3480" s="241"/>
      <c r="C3480" s="241"/>
      <c r="D3480" s="241"/>
      <c r="E3480" s="241"/>
      <c r="F3480" s="241"/>
      <c r="G3480" s="241"/>
      <c r="H3480" s="241"/>
      <c r="I3480"/>
      <c r="J3480" s="241"/>
      <c r="K3480" s="241"/>
      <c r="L3480" s="241"/>
      <c r="M3480" s="241"/>
      <c r="N3480" s="241"/>
      <c r="O3480" s="241"/>
      <c r="P3480" s="241"/>
      <c r="Q3480" s="241"/>
    </row>
    <row r="3481" spans="1:17" ht="13.5" customHeight="1" x14ac:dyDescent="0.3">
      <c r="A3481"/>
      <c r="B3481" s="241"/>
      <c r="C3481" s="241"/>
      <c r="D3481" s="241"/>
      <c r="E3481" s="241"/>
      <c r="F3481" s="241"/>
      <c r="G3481" s="241"/>
      <c r="H3481" s="241"/>
      <c r="I3481"/>
      <c r="J3481" s="241"/>
      <c r="K3481" s="241"/>
      <c r="L3481" s="241"/>
      <c r="M3481" s="241"/>
      <c r="N3481" s="241"/>
      <c r="O3481" s="241"/>
      <c r="P3481" s="241"/>
      <c r="Q3481" s="241"/>
    </row>
    <row r="3482" spans="1:17" ht="13.5" customHeight="1" x14ac:dyDescent="0.3">
      <c r="A3482"/>
      <c r="B3482" s="241"/>
      <c r="C3482" s="241"/>
      <c r="D3482" s="241"/>
      <c r="E3482" s="241"/>
      <c r="F3482" s="241"/>
      <c r="G3482" s="241"/>
      <c r="H3482" s="241"/>
      <c r="I3482"/>
      <c r="J3482" s="241"/>
      <c r="K3482" s="241"/>
      <c r="L3482" s="241"/>
      <c r="M3482" s="241"/>
      <c r="N3482" s="241"/>
      <c r="O3482" s="241"/>
      <c r="P3482" s="241"/>
      <c r="Q3482" s="241"/>
    </row>
    <row r="3483" spans="1:17" ht="13.5" customHeight="1" x14ac:dyDescent="0.3">
      <c r="A3483"/>
      <c r="B3483" s="241"/>
      <c r="C3483" s="241"/>
      <c r="D3483" s="241"/>
      <c r="E3483" s="241"/>
      <c r="F3483" s="241"/>
      <c r="G3483" s="241"/>
      <c r="H3483" s="241"/>
      <c r="I3483"/>
      <c r="J3483" s="241"/>
      <c r="K3483" s="241"/>
      <c r="L3483" s="241"/>
      <c r="M3483" s="241"/>
      <c r="N3483" s="241"/>
      <c r="O3483" s="241"/>
      <c r="P3483" s="241"/>
      <c r="Q3483" s="241"/>
    </row>
    <row r="3484" spans="1:17" ht="13.5" customHeight="1" x14ac:dyDescent="0.3">
      <c r="A3484"/>
      <c r="B3484" s="241"/>
      <c r="C3484" s="241"/>
      <c r="D3484" s="241"/>
      <c r="E3484" s="241"/>
      <c r="F3484" s="241"/>
      <c r="G3484" s="241"/>
      <c r="H3484" s="241"/>
      <c r="I3484"/>
      <c r="J3484" s="241"/>
      <c r="K3484" s="241"/>
      <c r="L3484" s="241"/>
      <c r="M3484" s="241"/>
      <c r="N3484" s="241"/>
      <c r="O3484" s="241"/>
      <c r="P3484" s="241"/>
      <c r="Q3484" s="241"/>
    </row>
    <row r="3485" spans="1:17" ht="13.5" customHeight="1" x14ac:dyDescent="0.3">
      <c r="A3485"/>
      <c r="B3485" s="241"/>
      <c r="C3485" s="241"/>
      <c r="D3485" s="241"/>
      <c r="E3485" s="241"/>
      <c r="F3485" s="241"/>
      <c r="G3485" s="241"/>
      <c r="H3485" s="241"/>
      <c r="I3485"/>
      <c r="J3485" s="241"/>
      <c r="K3485" s="241"/>
      <c r="L3485" s="241"/>
      <c r="M3485" s="241"/>
      <c r="N3485" s="241"/>
      <c r="O3485" s="241"/>
      <c r="P3485" s="241"/>
      <c r="Q3485" s="241"/>
    </row>
    <row r="3486" spans="1:17" ht="13.5" customHeight="1" x14ac:dyDescent="0.3">
      <c r="A3486"/>
      <c r="B3486" s="241"/>
      <c r="C3486" s="241"/>
      <c r="D3486" s="241"/>
      <c r="E3486" s="241"/>
      <c r="F3486" s="241"/>
      <c r="G3486" s="241"/>
      <c r="H3486" s="241"/>
      <c r="I3486"/>
      <c r="J3486" s="241"/>
      <c r="K3486" s="241"/>
      <c r="L3486" s="241"/>
      <c r="M3486" s="241"/>
      <c r="N3486" s="241"/>
      <c r="O3486" s="241"/>
      <c r="P3486" s="241"/>
      <c r="Q3486" s="241"/>
    </row>
    <row r="3487" spans="1:17" ht="13.5" customHeight="1" x14ac:dyDescent="0.3">
      <c r="A3487"/>
      <c r="B3487" s="241"/>
      <c r="C3487" s="241"/>
      <c r="D3487" s="241"/>
      <c r="E3487" s="241"/>
      <c r="F3487" s="241"/>
      <c r="G3487" s="241"/>
      <c r="H3487" s="241"/>
      <c r="I3487"/>
      <c r="J3487" s="241"/>
      <c r="K3487" s="241"/>
      <c r="L3487" s="241"/>
      <c r="M3487" s="241"/>
      <c r="N3487" s="241"/>
      <c r="O3487" s="241"/>
      <c r="P3487" s="241"/>
      <c r="Q3487" s="241"/>
    </row>
    <row r="3488" spans="1:17" ht="13.5" customHeight="1" x14ac:dyDescent="0.3">
      <c r="A3488"/>
      <c r="B3488" s="241"/>
      <c r="C3488" s="241"/>
      <c r="D3488" s="241"/>
      <c r="E3488" s="241"/>
      <c r="F3488" s="241"/>
      <c r="G3488" s="241"/>
      <c r="H3488" s="241"/>
      <c r="I3488"/>
      <c r="J3488" s="241"/>
      <c r="K3488" s="241"/>
      <c r="L3488" s="241"/>
      <c r="M3488" s="241"/>
      <c r="N3488" s="241"/>
      <c r="O3488" s="241"/>
      <c r="P3488" s="241"/>
      <c r="Q3488" s="241"/>
    </row>
    <row r="3489" spans="1:17" ht="13.5" customHeight="1" x14ac:dyDescent="0.3">
      <c r="A3489"/>
      <c r="B3489" s="241"/>
      <c r="C3489" s="241"/>
      <c r="D3489" s="241"/>
      <c r="E3489" s="241"/>
      <c r="F3489" s="241"/>
      <c r="G3489" s="241"/>
      <c r="H3489" s="241"/>
      <c r="I3489"/>
      <c r="J3489" s="241"/>
      <c r="K3489" s="241"/>
      <c r="L3489" s="241"/>
      <c r="M3489" s="241"/>
      <c r="N3489" s="241"/>
      <c r="O3489" s="241"/>
      <c r="P3489" s="241"/>
      <c r="Q3489" s="241"/>
    </row>
    <row r="3490" spans="1:17" ht="13.5" customHeight="1" x14ac:dyDescent="0.3">
      <c r="A3490"/>
      <c r="B3490" s="241"/>
      <c r="C3490" s="241"/>
      <c r="D3490" s="241"/>
      <c r="E3490" s="241"/>
      <c r="F3490" s="241"/>
      <c r="G3490" s="241"/>
      <c r="H3490" s="241"/>
      <c r="I3490"/>
      <c r="J3490" s="241"/>
      <c r="K3490" s="241"/>
      <c r="L3490" s="241"/>
      <c r="M3490" s="241"/>
      <c r="N3490" s="241"/>
      <c r="O3490" s="241"/>
      <c r="P3490" s="241"/>
      <c r="Q3490" s="241"/>
    </row>
    <row r="3491" spans="1:17" ht="13.5" customHeight="1" x14ac:dyDescent="0.3">
      <c r="A3491"/>
      <c r="B3491" s="241"/>
      <c r="C3491" s="241"/>
      <c r="D3491" s="241"/>
      <c r="E3491" s="241"/>
      <c r="F3491" s="241"/>
      <c r="G3491" s="241"/>
      <c r="H3491" s="241"/>
      <c r="I3491"/>
      <c r="J3491" s="241"/>
      <c r="K3491" s="241"/>
      <c r="L3491" s="241"/>
      <c r="M3491" s="241"/>
      <c r="N3491" s="241"/>
      <c r="O3491" s="241"/>
      <c r="P3491" s="241"/>
      <c r="Q3491" s="241"/>
    </row>
    <row r="3492" spans="1:17" ht="13.5" customHeight="1" x14ac:dyDescent="0.3">
      <c r="A3492"/>
      <c r="B3492" s="241"/>
      <c r="C3492" s="241"/>
      <c r="D3492" s="241"/>
      <c r="E3492" s="241"/>
      <c r="F3492" s="241"/>
      <c r="G3492" s="241"/>
      <c r="H3492" s="241"/>
      <c r="I3492"/>
      <c r="J3492" s="241"/>
      <c r="K3492" s="241"/>
      <c r="L3492" s="241"/>
      <c r="M3492" s="241"/>
      <c r="N3492" s="241"/>
      <c r="O3492" s="241"/>
      <c r="P3492" s="241"/>
      <c r="Q3492" s="241"/>
    </row>
    <row r="3493" spans="1:17" ht="13.5" customHeight="1" x14ac:dyDescent="0.3">
      <c r="A3493"/>
      <c r="B3493" s="241"/>
      <c r="C3493" s="241"/>
      <c r="D3493" s="241"/>
      <c r="E3493" s="241"/>
      <c r="F3493" s="241"/>
      <c r="G3493" s="241"/>
      <c r="H3493" s="241"/>
      <c r="I3493"/>
      <c r="J3493" s="241"/>
      <c r="K3493" s="241"/>
      <c r="L3493" s="241"/>
      <c r="M3493" s="241"/>
      <c r="N3493" s="241"/>
      <c r="O3493" s="241"/>
      <c r="P3493" s="241"/>
      <c r="Q3493" s="241"/>
    </row>
    <row r="3494" spans="1:17" ht="13.5" customHeight="1" x14ac:dyDescent="0.3">
      <c r="A3494"/>
      <c r="B3494" s="241"/>
      <c r="C3494" s="241"/>
      <c r="D3494" s="241"/>
      <c r="E3494" s="241"/>
      <c r="F3494" s="241"/>
      <c r="G3494" s="241"/>
      <c r="H3494" s="241"/>
      <c r="I3494"/>
      <c r="J3494" s="241"/>
      <c r="K3494" s="241"/>
      <c r="L3494" s="241"/>
      <c r="M3494" s="241"/>
      <c r="N3494" s="241"/>
      <c r="O3494" s="241"/>
      <c r="P3494" s="241"/>
      <c r="Q3494" s="241"/>
    </row>
    <row r="3495" spans="1:17" ht="13.5" customHeight="1" x14ac:dyDescent="0.3">
      <c r="A3495"/>
      <c r="B3495" s="241"/>
      <c r="C3495" s="241"/>
      <c r="D3495" s="241"/>
      <c r="E3495" s="241"/>
      <c r="F3495" s="241"/>
      <c r="G3495" s="241"/>
      <c r="H3495" s="241"/>
      <c r="I3495"/>
      <c r="J3495" s="241"/>
      <c r="K3495" s="241"/>
      <c r="L3495" s="241"/>
      <c r="M3495" s="241"/>
      <c r="N3495" s="241"/>
      <c r="O3495" s="241"/>
      <c r="P3495" s="241"/>
      <c r="Q3495" s="241"/>
    </row>
    <row r="3496" spans="1:17" ht="13.5" customHeight="1" x14ac:dyDescent="0.3">
      <c r="A3496"/>
      <c r="B3496" s="241"/>
      <c r="C3496" s="241"/>
      <c r="D3496" s="241"/>
      <c r="E3496" s="241"/>
      <c r="F3496" s="241"/>
      <c r="G3496" s="241"/>
      <c r="H3496" s="241"/>
      <c r="I3496"/>
      <c r="J3496" s="241"/>
      <c r="K3496" s="241"/>
      <c r="L3496" s="241"/>
      <c r="M3496" s="241"/>
      <c r="N3496" s="241"/>
      <c r="O3496" s="241"/>
      <c r="P3496" s="241"/>
      <c r="Q3496" s="241"/>
    </row>
    <row r="3497" spans="1:17" ht="13.5" customHeight="1" x14ac:dyDescent="0.3">
      <c r="A3497"/>
      <c r="B3497" s="241"/>
      <c r="C3497" s="241"/>
      <c r="D3497" s="241"/>
      <c r="E3497" s="241"/>
      <c r="F3497" s="241"/>
      <c r="G3497" s="241"/>
      <c r="H3497" s="241"/>
      <c r="I3497"/>
      <c r="J3497" s="241"/>
      <c r="K3497" s="241"/>
      <c r="L3497" s="241"/>
      <c r="M3497" s="241"/>
      <c r="N3497" s="241"/>
      <c r="O3497" s="241"/>
      <c r="P3497" s="241"/>
      <c r="Q3497" s="241"/>
    </row>
    <row r="3498" spans="1:17" ht="13.5" customHeight="1" x14ac:dyDescent="0.3">
      <c r="A3498"/>
      <c r="B3498" s="241"/>
      <c r="C3498" s="241"/>
      <c r="D3498" s="241"/>
      <c r="E3498" s="241"/>
      <c r="F3498" s="241"/>
      <c r="G3498" s="241"/>
      <c r="H3498" s="241"/>
      <c r="I3498"/>
      <c r="J3498" s="241"/>
      <c r="K3498" s="241"/>
      <c r="L3498" s="241"/>
      <c r="M3498" s="241"/>
      <c r="N3498" s="241"/>
      <c r="O3498" s="241"/>
      <c r="P3498" s="241"/>
      <c r="Q3498" s="241"/>
    </row>
    <row r="3499" spans="1:17" ht="13.5" customHeight="1" x14ac:dyDescent="0.3">
      <c r="A3499"/>
      <c r="B3499" s="241"/>
      <c r="C3499" s="241"/>
      <c r="D3499" s="241"/>
      <c r="E3499" s="241"/>
      <c r="F3499" s="241"/>
      <c r="G3499" s="241"/>
      <c r="H3499" s="241"/>
      <c r="I3499"/>
      <c r="J3499" s="241"/>
      <c r="K3499" s="241"/>
      <c r="L3499" s="241"/>
      <c r="M3499" s="241"/>
      <c r="N3499" s="241"/>
      <c r="O3499" s="241"/>
      <c r="P3499" s="241"/>
      <c r="Q3499" s="241"/>
    </row>
    <row r="3500" spans="1:17" ht="13.5" customHeight="1" x14ac:dyDescent="0.3">
      <c r="A3500"/>
      <c r="B3500" s="241"/>
      <c r="C3500" s="241"/>
      <c r="D3500" s="241"/>
      <c r="E3500" s="241"/>
      <c r="F3500" s="241"/>
      <c r="G3500" s="241"/>
      <c r="H3500" s="241"/>
      <c r="I3500"/>
      <c r="J3500" s="241"/>
      <c r="K3500" s="241"/>
      <c r="L3500" s="241"/>
      <c r="M3500" s="241"/>
      <c r="N3500" s="241"/>
      <c r="O3500" s="241"/>
      <c r="P3500" s="241"/>
      <c r="Q3500" s="241"/>
    </row>
    <row r="3501" spans="1:17" ht="13.5" customHeight="1" x14ac:dyDescent="0.3">
      <c r="A3501"/>
      <c r="B3501" s="241"/>
      <c r="C3501" s="241"/>
      <c r="D3501" s="241"/>
      <c r="E3501" s="241"/>
      <c r="F3501" s="241"/>
      <c r="G3501" s="241"/>
      <c r="H3501" s="241"/>
      <c r="I3501"/>
      <c r="J3501" s="241"/>
      <c r="K3501" s="241"/>
      <c r="L3501" s="241"/>
      <c r="M3501" s="241"/>
      <c r="N3501" s="241"/>
      <c r="O3501" s="241"/>
      <c r="P3501" s="241"/>
      <c r="Q3501" s="241"/>
    </row>
    <row r="3502" spans="1:17" ht="13.5" customHeight="1" x14ac:dyDescent="0.3">
      <c r="A3502"/>
      <c r="B3502" s="241"/>
      <c r="C3502" s="241"/>
      <c r="D3502" s="241"/>
      <c r="E3502" s="241"/>
      <c r="F3502" s="241"/>
      <c r="G3502" s="241"/>
      <c r="H3502" s="241"/>
      <c r="I3502"/>
      <c r="J3502" s="241"/>
      <c r="K3502" s="241"/>
      <c r="L3502" s="241"/>
      <c r="M3502" s="241"/>
      <c r="N3502" s="241"/>
      <c r="O3502" s="241"/>
      <c r="P3502" s="241"/>
      <c r="Q3502" s="241"/>
    </row>
    <row r="3503" spans="1:17" ht="13.5" customHeight="1" x14ac:dyDescent="0.3">
      <c r="A3503"/>
      <c r="B3503" s="241"/>
      <c r="C3503" s="241"/>
      <c r="D3503" s="241"/>
      <c r="E3503" s="241"/>
      <c r="F3503" s="241"/>
      <c r="G3503" s="241"/>
      <c r="H3503" s="241"/>
      <c r="I3503"/>
      <c r="J3503" s="241"/>
      <c r="K3503" s="241"/>
      <c r="L3503" s="241"/>
      <c r="M3503" s="241"/>
      <c r="N3503" s="241"/>
      <c r="O3503" s="241"/>
      <c r="P3503" s="241"/>
      <c r="Q3503" s="241"/>
    </row>
    <row r="3504" spans="1:17" ht="13.5" customHeight="1" x14ac:dyDescent="0.3">
      <c r="A3504"/>
      <c r="B3504" s="241"/>
      <c r="C3504" s="241"/>
      <c r="D3504" s="241"/>
      <c r="E3504" s="241"/>
      <c r="F3504" s="241"/>
      <c r="G3504" s="241"/>
      <c r="H3504" s="241"/>
      <c r="I3504"/>
      <c r="J3504" s="241"/>
      <c r="K3504" s="241"/>
      <c r="L3504" s="241"/>
      <c r="M3504" s="241"/>
      <c r="N3504" s="241"/>
      <c r="O3504" s="241"/>
      <c r="P3504" s="241"/>
      <c r="Q3504" s="241"/>
    </row>
    <row r="3505" spans="1:17" ht="13.5" customHeight="1" x14ac:dyDescent="0.3">
      <c r="A3505"/>
      <c r="B3505" s="241"/>
      <c r="C3505" s="241"/>
      <c r="D3505" s="241"/>
      <c r="E3505" s="241"/>
      <c r="F3505" s="241"/>
      <c r="G3505" s="241"/>
      <c r="H3505" s="241"/>
      <c r="I3505"/>
      <c r="J3505" s="241"/>
      <c r="K3505" s="241"/>
      <c r="L3505" s="241"/>
      <c r="M3505" s="241"/>
      <c r="N3505" s="241"/>
      <c r="O3505" s="241"/>
      <c r="P3505" s="241"/>
      <c r="Q3505" s="241"/>
    </row>
    <row r="3506" spans="1:17" ht="13.5" customHeight="1" x14ac:dyDescent="0.3">
      <c r="A3506"/>
      <c r="B3506" s="241"/>
      <c r="C3506" s="241"/>
      <c r="D3506" s="241"/>
      <c r="E3506" s="241"/>
      <c r="F3506" s="241"/>
      <c r="G3506" s="241"/>
      <c r="H3506" s="241"/>
      <c r="I3506"/>
      <c r="J3506" s="241"/>
      <c r="K3506" s="241"/>
      <c r="L3506" s="241"/>
      <c r="M3506" s="241"/>
      <c r="N3506" s="241"/>
      <c r="O3506" s="241"/>
      <c r="P3506" s="241"/>
      <c r="Q3506" s="241"/>
    </row>
    <row r="3507" spans="1:17" ht="13.5" customHeight="1" x14ac:dyDescent="0.3">
      <c r="A3507"/>
      <c r="B3507" s="241"/>
      <c r="C3507" s="241"/>
      <c r="D3507" s="241"/>
      <c r="E3507" s="241"/>
      <c r="F3507" s="241"/>
      <c r="G3507" s="241"/>
      <c r="H3507" s="241"/>
      <c r="I3507"/>
      <c r="J3507" s="241"/>
      <c r="K3507" s="241"/>
      <c r="L3507" s="241"/>
      <c r="M3507" s="241"/>
      <c r="N3507" s="241"/>
      <c r="O3507" s="241"/>
      <c r="P3507" s="241"/>
      <c r="Q3507" s="241"/>
    </row>
    <row r="3508" spans="1:17" ht="13.5" customHeight="1" x14ac:dyDescent="0.3">
      <c r="A3508"/>
      <c r="B3508" s="241"/>
      <c r="C3508" s="241"/>
      <c r="D3508" s="241"/>
      <c r="E3508" s="241"/>
      <c r="F3508" s="241"/>
      <c r="G3508" s="241"/>
      <c r="H3508" s="241"/>
      <c r="I3508"/>
      <c r="J3508" s="241"/>
      <c r="K3508" s="241"/>
      <c r="L3508" s="241"/>
      <c r="M3508" s="241"/>
      <c r="N3508" s="241"/>
      <c r="O3508" s="241"/>
      <c r="P3508" s="241"/>
      <c r="Q3508" s="241"/>
    </row>
    <row r="3509" spans="1:17" ht="13.5" customHeight="1" x14ac:dyDescent="0.3">
      <c r="A3509"/>
      <c r="B3509" s="241"/>
      <c r="C3509" s="241"/>
      <c r="D3509" s="241"/>
      <c r="E3509" s="241"/>
      <c r="F3509" s="241"/>
      <c r="G3509" s="241"/>
      <c r="H3509" s="241"/>
      <c r="I3509"/>
      <c r="J3509" s="241"/>
      <c r="K3509" s="241"/>
      <c r="L3509" s="241"/>
      <c r="M3509" s="241"/>
      <c r="N3509" s="241"/>
      <c r="O3509" s="241"/>
      <c r="P3509" s="241"/>
      <c r="Q3509" s="241"/>
    </row>
    <row r="3510" spans="1:17" ht="13.5" customHeight="1" x14ac:dyDescent="0.3">
      <c r="A3510"/>
      <c r="B3510" s="241"/>
      <c r="C3510" s="241"/>
      <c r="D3510" s="241"/>
      <c r="E3510" s="241"/>
      <c r="F3510" s="241"/>
      <c r="G3510" s="241"/>
      <c r="H3510" s="241"/>
      <c r="I3510"/>
      <c r="J3510" s="241"/>
      <c r="K3510" s="241"/>
      <c r="L3510" s="241"/>
      <c r="M3510" s="241"/>
      <c r="N3510" s="241"/>
      <c r="O3510" s="241"/>
      <c r="P3510" s="241"/>
      <c r="Q3510" s="241"/>
    </row>
    <row r="3511" spans="1:17" ht="13.5" customHeight="1" x14ac:dyDescent="0.3">
      <c r="A3511"/>
      <c r="B3511" s="241"/>
      <c r="C3511" s="241"/>
      <c r="D3511" s="241"/>
      <c r="E3511" s="241"/>
      <c r="F3511" s="241"/>
      <c r="G3511" s="241"/>
      <c r="H3511" s="241"/>
      <c r="I3511"/>
      <c r="J3511" s="241"/>
      <c r="K3511" s="241"/>
      <c r="L3511" s="241"/>
      <c r="M3511" s="241"/>
      <c r="N3511" s="241"/>
      <c r="O3511" s="241"/>
      <c r="P3511" s="241"/>
      <c r="Q3511" s="241"/>
    </row>
    <row r="3512" spans="1:17" ht="13.5" customHeight="1" x14ac:dyDescent="0.3">
      <c r="A3512"/>
      <c r="B3512" s="241"/>
      <c r="C3512" s="241"/>
      <c r="D3512" s="241"/>
      <c r="E3512" s="241"/>
      <c r="F3512" s="241"/>
      <c r="G3512" s="241"/>
      <c r="H3512" s="241"/>
      <c r="I3512"/>
      <c r="J3512" s="241"/>
      <c r="K3512" s="241"/>
      <c r="L3512" s="241"/>
      <c r="M3512" s="241"/>
      <c r="N3512" s="241"/>
      <c r="O3512" s="241"/>
      <c r="P3512" s="241"/>
      <c r="Q3512" s="241"/>
    </row>
    <row r="3513" spans="1:17" ht="13.5" customHeight="1" x14ac:dyDescent="0.3">
      <c r="A3513"/>
      <c r="B3513" s="241"/>
      <c r="C3513" s="241"/>
      <c r="D3513" s="241"/>
      <c r="E3513" s="241"/>
      <c r="F3513" s="241"/>
      <c r="G3513" s="241"/>
      <c r="H3513" s="241"/>
      <c r="I3513"/>
      <c r="J3513" s="241"/>
      <c r="K3513" s="241"/>
      <c r="L3513" s="241"/>
      <c r="M3513" s="241"/>
      <c r="N3513" s="241"/>
      <c r="O3513" s="241"/>
      <c r="P3513" s="241"/>
      <c r="Q3513" s="241"/>
    </row>
    <row r="3514" spans="1:17" ht="13.5" customHeight="1" x14ac:dyDescent="0.3">
      <c r="A3514"/>
      <c r="B3514" s="241"/>
      <c r="C3514" s="241"/>
      <c r="D3514" s="241"/>
      <c r="E3514" s="241"/>
      <c r="F3514" s="241"/>
      <c r="G3514" s="241"/>
      <c r="H3514" s="241"/>
      <c r="I3514"/>
      <c r="J3514" s="241"/>
      <c r="K3514" s="241"/>
      <c r="L3514" s="241"/>
      <c r="M3514" s="241"/>
      <c r="N3514" s="241"/>
      <c r="O3514" s="241"/>
      <c r="P3514" s="241"/>
      <c r="Q3514" s="241"/>
    </row>
    <row r="3515" spans="1:17" ht="13.5" customHeight="1" x14ac:dyDescent="0.3">
      <c r="A3515"/>
      <c r="B3515" s="241"/>
      <c r="C3515" s="241"/>
      <c r="D3515" s="241"/>
      <c r="E3515" s="241"/>
      <c r="F3515" s="241"/>
      <c r="G3515" s="241"/>
      <c r="H3515" s="241"/>
      <c r="I3515"/>
      <c r="J3515" s="241"/>
      <c r="K3515" s="241"/>
      <c r="L3515" s="241"/>
      <c r="M3515" s="241"/>
      <c r="N3515" s="241"/>
      <c r="O3515" s="241"/>
      <c r="P3515" s="241"/>
      <c r="Q3515" s="241"/>
    </row>
    <row r="3516" spans="1:17" ht="13.5" customHeight="1" x14ac:dyDescent="0.3">
      <c r="A3516"/>
      <c r="B3516" s="241"/>
      <c r="C3516" s="241"/>
      <c r="D3516" s="241"/>
      <c r="E3516" s="241"/>
      <c r="F3516" s="241"/>
      <c r="G3516" s="241"/>
      <c r="H3516" s="241"/>
      <c r="I3516"/>
      <c r="J3516" s="241"/>
      <c r="K3516" s="241"/>
      <c r="L3516" s="241"/>
      <c r="M3516" s="241"/>
      <c r="N3516" s="241"/>
      <c r="O3516" s="241"/>
      <c r="P3516" s="241"/>
      <c r="Q3516" s="241"/>
    </row>
    <row r="3517" spans="1:17" ht="13.5" customHeight="1" x14ac:dyDescent="0.3">
      <c r="A3517"/>
      <c r="B3517" s="241"/>
      <c r="C3517" s="241"/>
      <c r="D3517" s="241"/>
      <c r="E3517" s="241"/>
      <c r="F3517" s="241"/>
      <c r="G3517" s="241"/>
      <c r="H3517" s="241"/>
      <c r="I3517"/>
      <c r="J3517" s="241"/>
      <c r="K3517" s="241"/>
      <c r="L3517" s="241"/>
      <c r="M3517" s="241"/>
      <c r="N3517" s="241"/>
      <c r="O3517" s="241"/>
      <c r="P3517" s="241"/>
      <c r="Q3517" s="241"/>
    </row>
    <row r="3518" spans="1:17" ht="13.5" customHeight="1" x14ac:dyDescent="0.3">
      <c r="A3518"/>
      <c r="B3518" s="241"/>
      <c r="C3518" s="241"/>
      <c r="D3518" s="241"/>
      <c r="E3518" s="241"/>
      <c r="F3518" s="241"/>
      <c r="G3518" s="241"/>
      <c r="H3518" s="241"/>
      <c r="I3518"/>
      <c r="J3518" s="241"/>
      <c r="K3518" s="241"/>
      <c r="L3518" s="241"/>
      <c r="M3518" s="241"/>
      <c r="N3518" s="241"/>
      <c r="O3518" s="241"/>
      <c r="P3518" s="241"/>
      <c r="Q3518" s="241"/>
    </row>
    <row r="3519" spans="1:17" ht="13.5" customHeight="1" x14ac:dyDescent="0.3">
      <c r="A3519"/>
      <c r="B3519" s="241"/>
      <c r="C3519" s="241"/>
      <c r="D3519" s="241"/>
      <c r="E3519" s="241"/>
      <c r="F3519" s="241"/>
      <c r="G3519" s="241"/>
      <c r="H3519" s="241"/>
      <c r="I3519"/>
      <c r="J3519" s="241"/>
      <c r="K3519" s="241"/>
      <c r="L3519" s="241"/>
      <c r="M3519" s="241"/>
      <c r="N3519" s="241"/>
      <c r="O3519" s="241"/>
      <c r="P3519" s="241"/>
      <c r="Q3519" s="241"/>
    </row>
    <row r="3520" spans="1:17" ht="13.5" customHeight="1" x14ac:dyDescent="0.3">
      <c r="A3520"/>
      <c r="B3520" s="241"/>
      <c r="C3520" s="241"/>
      <c r="D3520" s="241"/>
      <c r="E3520" s="241"/>
      <c r="F3520" s="241"/>
      <c r="G3520" s="241"/>
      <c r="H3520" s="241"/>
      <c r="I3520"/>
      <c r="J3520" s="241"/>
      <c r="K3520" s="241"/>
      <c r="L3520" s="241"/>
      <c r="M3520" s="241"/>
      <c r="N3520" s="241"/>
      <c r="O3520" s="241"/>
      <c r="P3520" s="241"/>
      <c r="Q3520" s="241"/>
    </row>
    <row r="3521" spans="1:17" ht="13.5" customHeight="1" x14ac:dyDescent="0.3">
      <c r="A3521"/>
      <c r="B3521" s="241"/>
      <c r="C3521" s="241"/>
      <c r="D3521" s="241"/>
      <c r="E3521" s="241"/>
      <c r="F3521" s="241"/>
      <c r="G3521" s="241"/>
      <c r="H3521" s="241"/>
      <c r="I3521"/>
      <c r="J3521" s="241"/>
      <c r="K3521" s="241"/>
      <c r="L3521" s="241"/>
      <c r="M3521" s="241"/>
      <c r="N3521" s="241"/>
      <c r="O3521" s="241"/>
      <c r="P3521" s="241"/>
      <c r="Q3521" s="241"/>
    </row>
    <row r="3522" spans="1:17" ht="13.5" customHeight="1" x14ac:dyDescent="0.3">
      <c r="A3522"/>
      <c r="B3522" s="241"/>
      <c r="C3522" s="241"/>
      <c r="D3522" s="241"/>
      <c r="E3522" s="241"/>
      <c r="F3522" s="241"/>
      <c r="G3522" s="241"/>
      <c r="H3522" s="241"/>
      <c r="I3522"/>
      <c r="J3522" s="241"/>
      <c r="K3522" s="241"/>
      <c r="L3522" s="241"/>
      <c r="M3522" s="241"/>
      <c r="N3522" s="241"/>
      <c r="O3522" s="241"/>
      <c r="P3522" s="241"/>
      <c r="Q3522" s="241"/>
    </row>
    <row r="3523" spans="1:17" ht="13.5" customHeight="1" x14ac:dyDescent="0.3">
      <c r="A3523"/>
      <c r="B3523" s="241"/>
      <c r="C3523" s="241"/>
      <c r="D3523" s="241"/>
      <c r="E3523" s="241"/>
      <c r="F3523" s="241"/>
      <c r="G3523" s="241"/>
      <c r="H3523" s="241"/>
      <c r="I3523"/>
      <c r="J3523" s="241"/>
      <c r="K3523" s="241"/>
      <c r="L3523" s="241"/>
      <c r="M3523" s="241"/>
      <c r="N3523" s="241"/>
      <c r="O3523" s="241"/>
      <c r="P3523" s="241"/>
      <c r="Q3523" s="241"/>
    </row>
    <row r="3524" spans="1:17" ht="13.5" customHeight="1" x14ac:dyDescent="0.3">
      <c r="A3524"/>
      <c r="B3524" s="241"/>
      <c r="C3524" s="241"/>
      <c r="D3524" s="241"/>
      <c r="E3524" s="241"/>
      <c r="F3524" s="241"/>
      <c r="G3524" s="241"/>
      <c r="H3524" s="241"/>
      <c r="I3524"/>
      <c r="J3524" s="241"/>
      <c r="K3524" s="241"/>
      <c r="L3524" s="241"/>
      <c r="M3524" s="241"/>
      <c r="N3524" s="241"/>
      <c r="O3524" s="241"/>
      <c r="P3524" s="241"/>
      <c r="Q3524" s="241"/>
    </row>
    <row r="3525" spans="1:17" ht="13.5" customHeight="1" x14ac:dyDescent="0.3">
      <c r="A3525"/>
      <c r="B3525" s="241"/>
      <c r="C3525" s="241"/>
      <c r="D3525" s="241"/>
      <c r="E3525" s="241"/>
      <c r="F3525" s="241"/>
      <c r="G3525" s="241"/>
      <c r="H3525" s="241"/>
      <c r="I3525"/>
      <c r="J3525" s="241"/>
      <c r="K3525" s="241"/>
      <c r="L3525" s="241"/>
      <c r="M3525" s="241"/>
      <c r="N3525" s="241"/>
      <c r="O3525" s="241"/>
      <c r="P3525" s="241"/>
      <c r="Q3525" s="241"/>
    </row>
    <row r="3526" spans="1:17" ht="13.5" customHeight="1" x14ac:dyDescent="0.3">
      <c r="A3526"/>
      <c r="B3526" s="241"/>
      <c r="C3526" s="241"/>
      <c r="D3526" s="241"/>
      <c r="E3526" s="241"/>
      <c r="F3526" s="241"/>
      <c r="G3526" s="241"/>
      <c r="H3526" s="241"/>
      <c r="I3526"/>
      <c r="J3526" s="241"/>
      <c r="K3526" s="241"/>
      <c r="L3526" s="241"/>
      <c r="M3526" s="241"/>
      <c r="N3526" s="241"/>
      <c r="O3526" s="241"/>
      <c r="P3526" s="241"/>
      <c r="Q3526" s="241"/>
    </row>
    <row r="3527" spans="1:17" ht="13.5" customHeight="1" x14ac:dyDescent="0.3">
      <c r="A3527"/>
      <c r="B3527" s="241"/>
      <c r="C3527" s="241"/>
      <c r="D3527" s="241"/>
      <c r="E3527" s="241"/>
      <c r="F3527" s="241"/>
      <c r="G3527" s="241"/>
      <c r="H3527" s="241"/>
      <c r="I3527"/>
      <c r="J3527" s="241"/>
      <c r="K3527" s="241"/>
      <c r="L3527" s="241"/>
      <c r="M3527" s="241"/>
      <c r="N3527" s="241"/>
      <c r="O3527" s="241"/>
      <c r="P3527" s="241"/>
      <c r="Q3527" s="241"/>
    </row>
    <row r="3528" spans="1:17" ht="13.5" customHeight="1" x14ac:dyDescent="0.3">
      <c r="A3528"/>
      <c r="B3528" s="241"/>
      <c r="C3528" s="241"/>
      <c r="D3528" s="241"/>
      <c r="E3528" s="241"/>
      <c r="F3528" s="241"/>
      <c r="G3528" s="241"/>
      <c r="H3528" s="241"/>
      <c r="I3528"/>
      <c r="J3528" s="241"/>
      <c r="K3528" s="241"/>
      <c r="L3528" s="241"/>
      <c r="M3528" s="241"/>
      <c r="N3528" s="241"/>
      <c r="O3528" s="241"/>
      <c r="P3528" s="241"/>
      <c r="Q3528" s="241"/>
    </row>
    <row r="3529" spans="1:17" ht="13.5" customHeight="1" x14ac:dyDescent="0.3">
      <c r="A3529"/>
      <c r="B3529" s="241"/>
      <c r="C3529" s="241"/>
      <c r="D3529" s="241"/>
      <c r="E3529" s="241"/>
      <c r="F3529" s="241"/>
      <c r="G3529" s="241"/>
      <c r="H3529" s="241"/>
      <c r="I3529"/>
      <c r="J3529" s="241"/>
      <c r="K3529" s="241"/>
      <c r="L3529" s="241"/>
      <c r="M3529" s="241"/>
      <c r="N3529" s="241"/>
      <c r="O3529" s="241"/>
      <c r="P3529" s="241"/>
      <c r="Q3529" s="241"/>
    </row>
    <row r="3530" spans="1:17" ht="13.5" customHeight="1" x14ac:dyDescent="0.3">
      <c r="A3530"/>
      <c r="B3530" s="241"/>
      <c r="C3530" s="241"/>
      <c r="D3530" s="241"/>
      <c r="E3530" s="241"/>
      <c r="F3530" s="241"/>
      <c r="G3530" s="241"/>
      <c r="H3530" s="241"/>
      <c r="I3530"/>
      <c r="J3530" s="241"/>
      <c r="K3530" s="241"/>
      <c r="L3530" s="241"/>
      <c r="M3530" s="241"/>
      <c r="N3530" s="241"/>
      <c r="O3530" s="241"/>
      <c r="P3530" s="241"/>
      <c r="Q3530" s="241"/>
    </row>
    <row r="3531" spans="1:17" ht="13.5" customHeight="1" x14ac:dyDescent="0.3">
      <c r="A3531"/>
      <c r="B3531" s="241"/>
      <c r="C3531" s="241"/>
      <c r="D3531" s="241"/>
      <c r="E3531" s="241"/>
      <c r="F3531" s="241"/>
      <c r="G3531" s="241"/>
      <c r="H3531" s="241"/>
      <c r="I3531"/>
      <c r="J3531" s="241"/>
      <c r="K3531" s="241"/>
      <c r="L3531" s="241"/>
      <c r="M3531" s="241"/>
      <c r="N3531" s="241"/>
      <c r="O3531" s="241"/>
      <c r="P3531" s="241"/>
      <c r="Q3531" s="241"/>
    </row>
    <row r="3532" spans="1:17" ht="13.5" customHeight="1" x14ac:dyDescent="0.3">
      <c r="A3532"/>
      <c r="B3532" s="241"/>
      <c r="C3532" s="241"/>
      <c r="D3532" s="241"/>
      <c r="E3532" s="241"/>
      <c r="F3532" s="241"/>
      <c r="G3532" s="241"/>
      <c r="H3532" s="241"/>
      <c r="I3532"/>
      <c r="J3532" s="241"/>
      <c r="K3532" s="241"/>
      <c r="L3532" s="241"/>
      <c r="M3532" s="241"/>
      <c r="N3532" s="241"/>
      <c r="O3532" s="241"/>
      <c r="P3532" s="241"/>
      <c r="Q3532" s="241"/>
    </row>
    <row r="3533" spans="1:17" ht="13.5" customHeight="1" x14ac:dyDescent="0.3">
      <c r="A3533"/>
      <c r="B3533" s="241"/>
      <c r="C3533" s="241"/>
      <c r="D3533" s="241"/>
      <c r="E3533" s="241"/>
      <c r="F3533" s="241"/>
      <c r="G3533" s="241"/>
      <c r="H3533" s="241"/>
      <c r="I3533"/>
      <c r="J3533" s="241"/>
      <c r="K3533" s="241"/>
      <c r="L3533" s="241"/>
      <c r="M3533" s="241"/>
      <c r="N3533" s="241"/>
      <c r="O3533" s="241"/>
      <c r="P3533" s="241"/>
      <c r="Q3533" s="241"/>
    </row>
    <row r="3534" spans="1:17" ht="13.5" customHeight="1" x14ac:dyDescent="0.3">
      <c r="A3534"/>
      <c r="B3534" s="241"/>
      <c r="C3534" s="241"/>
      <c r="D3534" s="241"/>
      <c r="E3534" s="241"/>
      <c r="F3534" s="241"/>
      <c r="G3534" s="241"/>
      <c r="H3534" s="241"/>
      <c r="I3534"/>
      <c r="J3534" s="241"/>
      <c r="K3534" s="241"/>
      <c r="L3534" s="241"/>
      <c r="M3534" s="241"/>
      <c r="N3534" s="241"/>
      <c r="O3534" s="241"/>
      <c r="P3534" s="241"/>
      <c r="Q3534" s="241"/>
    </row>
    <row r="3535" spans="1:17" ht="13.5" customHeight="1" x14ac:dyDescent="0.3">
      <c r="A3535"/>
      <c r="B3535" s="241"/>
      <c r="C3535" s="241"/>
      <c r="D3535" s="241"/>
      <c r="E3535" s="241"/>
      <c r="F3535" s="241"/>
      <c r="G3535" s="241"/>
      <c r="H3535" s="241"/>
      <c r="I3535"/>
      <c r="J3535" s="241"/>
      <c r="K3535" s="241"/>
      <c r="L3535" s="241"/>
      <c r="M3535" s="241"/>
      <c r="N3535" s="241"/>
      <c r="O3535" s="241"/>
      <c r="P3535" s="241"/>
      <c r="Q3535" s="241"/>
    </row>
    <row r="3536" spans="1:17" ht="13.5" customHeight="1" x14ac:dyDescent="0.3">
      <c r="A3536"/>
      <c r="B3536" s="241"/>
      <c r="C3536" s="241"/>
      <c r="D3536" s="241"/>
      <c r="E3536" s="241"/>
      <c r="F3536" s="241"/>
      <c r="G3536" s="241"/>
      <c r="H3536" s="241"/>
      <c r="I3536"/>
      <c r="J3536" s="241"/>
      <c r="K3536" s="241"/>
      <c r="L3536" s="241"/>
      <c r="M3536" s="241"/>
      <c r="N3536" s="241"/>
      <c r="O3536" s="241"/>
      <c r="P3536" s="241"/>
      <c r="Q3536" s="241"/>
    </row>
    <row r="3537" spans="1:17" ht="13.5" customHeight="1" x14ac:dyDescent="0.3">
      <c r="A3537"/>
      <c r="B3537" s="241"/>
      <c r="C3537" s="241"/>
      <c r="D3537" s="241"/>
      <c r="E3537" s="241"/>
      <c r="F3537" s="241"/>
      <c r="G3537" s="241"/>
      <c r="H3537" s="241"/>
      <c r="I3537"/>
      <c r="J3537" s="241"/>
      <c r="K3537" s="241"/>
      <c r="L3537" s="241"/>
      <c r="M3537" s="241"/>
      <c r="N3537" s="241"/>
      <c r="O3537" s="241"/>
      <c r="P3537" s="241"/>
      <c r="Q3537" s="241"/>
    </row>
    <row r="3538" spans="1:17" ht="13.5" customHeight="1" x14ac:dyDescent="0.3">
      <c r="A3538"/>
      <c r="B3538" s="241"/>
      <c r="C3538" s="241"/>
      <c r="D3538" s="241"/>
      <c r="E3538" s="241"/>
      <c r="F3538" s="241"/>
      <c r="G3538" s="241"/>
      <c r="H3538" s="241"/>
      <c r="I3538"/>
      <c r="J3538" s="241"/>
      <c r="K3538" s="241"/>
      <c r="L3538" s="241"/>
      <c r="M3538" s="241"/>
      <c r="N3538" s="241"/>
      <c r="O3538" s="241"/>
      <c r="P3538" s="241"/>
      <c r="Q3538" s="241"/>
    </row>
    <row r="3539" spans="1:17" ht="13.5" customHeight="1" x14ac:dyDescent="0.3">
      <c r="A3539"/>
      <c r="B3539" s="241"/>
      <c r="C3539" s="241"/>
      <c r="D3539" s="241"/>
      <c r="E3539" s="241"/>
      <c r="F3539" s="241"/>
      <c r="G3539" s="241"/>
      <c r="H3539" s="241"/>
      <c r="I3539"/>
      <c r="J3539" s="241"/>
      <c r="K3539" s="241"/>
      <c r="L3539" s="241"/>
      <c r="M3539" s="241"/>
      <c r="N3539" s="241"/>
      <c r="O3539" s="241"/>
      <c r="P3539" s="241"/>
      <c r="Q3539" s="241"/>
    </row>
    <row r="3540" spans="1:17" ht="13.5" customHeight="1" x14ac:dyDescent="0.3">
      <c r="A3540"/>
      <c r="B3540" s="241"/>
      <c r="C3540" s="241"/>
      <c r="D3540" s="241"/>
      <c r="E3540" s="241"/>
      <c r="F3540" s="241"/>
      <c r="G3540" s="241"/>
      <c r="H3540" s="241"/>
      <c r="I3540"/>
      <c r="J3540" s="241"/>
      <c r="K3540" s="241"/>
      <c r="L3540" s="241"/>
      <c r="M3540" s="241"/>
      <c r="N3540" s="241"/>
      <c r="O3540" s="241"/>
      <c r="P3540" s="241"/>
      <c r="Q3540" s="241"/>
    </row>
    <row r="3541" spans="1:17" ht="13.5" customHeight="1" x14ac:dyDescent="0.3">
      <c r="A3541"/>
      <c r="B3541" s="241"/>
      <c r="C3541" s="241"/>
      <c r="D3541" s="241"/>
      <c r="E3541" s="241"/>
      <c r="F3541" s="241"/>
      <c r="G3541" s="241"/>
      <c r="H3541" s="241"/>
      <c r="I3541"/>
      <c r="J3541" s="241"/>
      <c r="K3541" s="241"/>
      <c r="L3541" s="241"/>
      <c r="M3541" s="241"/>
      <c r="N3541" s="241"/>
      <c r="O3541" s="241"/>
      <c r="P3541" s="241"/>
      <c r="Q3541" s="241"/>
    </row>
    <row r="3542" spans="1:17" ht="13.5" customHeight="1" x14ac:dyDescent="0.3">
      <c r="A3542"/>
      <c r="B3542" s="241"/>
      <c r="C3542" s="241"/>
      <c r="D3542" s="241"/>
      <c r="E3542" s="241"/>
      <c r="F3542" s="241"/>
      <c r="G3542" s="241"/>
      <c r="H3542" s="241"/>
      <c r="I3542"/>
      <c r="J3542" s="241"/>
      <c r="K3542" s="241"/>
      <c r="L3542" s="241"/>
      <c r="M3542" s="241"/>
      <c r="N3542" s="241"/>
      <c r="O3542" s="241"/>
      <c r="P3542" s="241"/>
      <c r="Q3542" s="241"/>
    </row>
    <row r="3543" spans="1:17" ht="13.5" customHeight="1" x14ac:dyDescent="0.3">
      <c r="A3543"/>
      <c r="B3543" s="241"/>
      <c r="C3543" s="241"/>
      <c r="D3543" s="241"/>
      <c r="E3543" s="241"/>
      <c r="F3543" s="241"/>
      <c r="G3543" s="241"/>
      <c r="H3543" s="241"/>
      <c r="I3543"/>
      <c r="J3543" s="241"/>
      <c r="K3543" s="241"/>
      <c r="L3543" s="241"/>
      <c r="M3543" s="241"/>
      <c r="N3543" s="241"/>
      <c r="O3543" s="241"/>
      <c r="P3543" s="241"/>
      <c r="Q3543" s="241"/>
    </row>
    <row r="3544" spans="1:17" ht="13.5" customHeight="1" x14ac:dyDescent="0.3">
      <c r="A3544"/>
      <c r="B3544" s="241"/>
      <c r="C3544" s="241"/>
      <c r="D3544" s="241"/>
      <c r="E3544" s="241"/>
      <c r="F3544" s="241"/>
      <c r="G3544" s="241"/>
      <c r="H3544" s="241"/>
      <c r="I3544"/>
      <c r="J3544" s="241"/>
      <c r="K3544" s="241"/>
      <c r="L3544" s="241"/>
      <c r="M3544" s="241"/>
      <c r="N3544" s="241"/>
      <c r="O3544" s="241"/>
      <c r="P3544" s="241"/>
      <c r="Q3544" s="241"/>
    </row>
    <row r="3545" spans="1:17" ht="13.5" customHeight="1" x14ac:dyDescent="0.3">
      <c r="A3545"/>
      <c r="B3545" s="241"/>
      <c r="C3545" s="241"/>
      <c r="D3545" s="241"/>
      <c r="E3545" s="241"/>
      <c r="F3545" s="241"/>
      <c r="G3545" s="241"/>
      <c r="H3545" s="241"/>
      <c r="I3545"/>
      <c r="J3545" s="241"/>
      <c r="K3545" s="241"/>
      <c r="L3545" s="241"/>
      <c r="M3545" s="241"/>
      <c r="N3545" s="241"/>
      <c r="O3545" s="241"/>
      <c r="P3545" s="241"/>
      <c r="Q3545" s="241"/>
    </row>
    <row r="3546" spans="1:17" ht="13.5" customHeight="1" x14ac:dyDescent="0.3">
      <c r="A3546"/>
      <c r="B3546" s="241"/>
      <c r="C3546" s="241"/>
      <c r="D3546" s="241"/>
      <c r="E3546" s="241"/>
      <c r="F3546" s="241"/>
      <c r="G3546" s="241"/>
      <c r="H3546" s="241"/>
      <c r="I3546"/>
      <c r="J3546" s="241"/>
      <c r="K3546" s="241"/>
      <c r="L3546" s="241"/>
      <c r="M3546" s="241"/>
      <c r="N3546" s="241"/>
      <c r="O3546" s="241"/>
      <c r="P3546" s="241"/>
      <c r="Q3546" s="241"/>
    </row>
    <row r="3547" spans="1:17" ht="13.5" customHeight="1" x14ac:dyDescent="0.3">
      <c r="A3547"/>
      <c r="B3547" s="241"/>
      <c r="C3547" s="241"/>
      <c r="D3547" s="241"/>
      <c r="E3547" s="241"/>
      <c r="F3547" s="241"/>
      <c r="G3547" s="241"/>
      <c r="H3547" s="241"/>
      <c r="I3547"/>
      <c r="J3547" s="241"/>
      <c r="K3547" s="241"/>
      <c r="L3547" s="241"/>
      <c r="M3547" s="241"/>
      <c r="N3547" s="241"/>
      <c r="O3547" s="241"/>
      <c r="P3547" s="241"/>
      <c r="Q3547" s="241"/>
    </row>
    <row r="3548" spans="1:17" ht="13.5" customHeight="1" x14ac:dyDescent="0.3">
      <c r="A3548"/>
      <c r="B3548" s="241"/>
      <c r="C3548" s="241"/>
      <c r="D3548" s="241"/>
      <c r="E3548" s="241"/>
      <c r="F3548" s="241"/>
      <c r="G3548" s="241"/>
      <c r="H3548" s="241"/>
      <c r="I3548"/>
      <c r="J3548" s="241"/>
      <c r="K3548" s="241"/>
      <c r="L3548" s="241"/>
      <c r="M3548" s="241"/>
      <c r="N3548" s="241"/>
      <c r="O3548" s="241"/>
      <c r="P3548" s="241"/>
      <c r="Q3548" s="241"/>
    </row>
    <row r="3549" spans="1:17" ht="13.5" customHeight="1" x14ac:dyDescent="0.3">
      <c r="A3549"/>
      <c r="B3549" s="241"/>
      <c r="C3549" s="241"/>
      <c r="D3549" s="241"/>
      <c r="E3549" s="241"/>
      <c r="F3549" s="241"/>
      <c r="G3549" s="241"/>
      <c r="H3549" s="241"/>
      <c r="I3549"/>
      <c r="J3549" s="241"/>
      <c r="K3549" s="241"/>
      <c r="L3549" s="241"/>
      <c r="M3549" s="241"/>
      <c r="N3549" s="241"/>
      <c r="O3549" s="241"/>
      <c r="P3549" s="241"/>
      <c r="Q3549" s="241"/>
    </row>
    <row r="3550" spans="1:17" ht="13.5" customHeight="1" x14ac:dyDescent="0.3">
      <c r="A3550"/>
      <c r="B3550" s="241"/>
      <c r="C3550" s="241"/>
      <c r="D3550" s="241"/>
      <c r="E3550" s="241"/>
      <c r="F3550" s="241"/>
      <c r="G3550" s="241"/>
      <c r="H3550" s="241"/>
      <c r="I3550"/>
      <c r="J3550" s="241"/>
      <c r="K3550" s="241"/>
      <c r="L3550" s="241"/>
      <c r="M3550" s="241"/>
      <c r="N3550" s="241"/>
      <c r="O3550" s="241"/>
      <c r="P3550" s="241"/>
      <c r="Q3550" s="241"/>
    </row>
    <row r="3551" spans="1:17" ht="13.5" customHeight="1" x14ac:dyDescent="0.3">
      <c r="A3551"/>
      <c r="B3551" s="241"/>
      <c r="C3551" s="241"/>
      <c r="D3551" s="241"/>
      <c r="E3551" s="241"/>
      <c r="F3551" s="241"/>
      <c r="G3551" s="241"/>
      <c r="H3551" s="241"/>
      <c r="I3551"/>
      <c r="J3551" s="241"/>
      <c r="K3551" s="241"/>
      <c r="L3551" s="241"/>
      <c r="M3551" s="241"/>
      <c r="N3551" s="241"/>
      <c r="O3551" s="241"/>
      <c r="P3551" s="241"/>
      <c r="Q3551" s="241"/>
    </row>
    <row r="3552" spans="1:17" ht="13.5" customHeight="1" x14ac:dyDescent="0.3">
      <c r="A3552"/>
      <c r="B3552" s="241"/>
      <c r="C3552" s="241"/>
      <c r="D3552" s="241"/>
      <c r="E3552" s="241"/>
      <c r="F3552" s="241"/>
      <c r="G3552" s="241"/>
      <c r="H3552" s="241"/>
      <c r="I3552"/>
      <c r="J3552" s="241"/>
      <c r="K3552" s="241"/>
      <c r="L3552" s="241"/>
      <c r="M3552" s="241"/>
      <c r="N3552" s="241"/>
      <c r="O3552" s="241"/>
      <c r="P3552" s="241"/>
      <c r="Q3552" s="241"/>
    </row>
    <row r="3553" spans="1:17" ht="13.5" customHeight="1" x14ac:dyDescent="0.3">
      <c r="A3553"/>
      <c r="B3553" s="241"/>
      <c r="C3553" s="241"/>
      <c r="D3553" s="241"/>
      <c r="E3553" s="241"/>
      <c r="F3553" s="241"/>
      <c r="G3553" s="241"/>
      <c r="H3553" s="241"/>
      <c r="I3553"/>
      <c r="J3553" s="241"/>
      <c r="K3553" s="241"/>
      <c r="L3553" s="241"/>
      <c r="M3553" s="241"/>
      <c r="N3553" s="241"/>
      <c r="O3553" s="241"/>
      <c r="P3553" s="241"/>
      <c r="Q3553" s="241"/>
    </row>
    <row r="3554" spans="1:17" ht="13.5" customHeight="1" x14ac:dyDescent="0.3">
      <c r="A3554"/>
      <c r="B3554" s="241"/>
      <c r="C3554" s="241"/>
      <c r="D3554" s="241"/>
      <c r="E3554" s="241"/>
      <c r="F3554" s="241"/>
      <c r="G3554" s="241"/>
      <c r="H3554" s="241"/>
      <c r="I3554"/>
      <c r="J3554" s="241"/>
      <c r="K3554" s="241"/>
      <c r="L3554" s="241"/>
      <c r="M3554" s="241"/>
      <c r="N3554" s="241"/>
      <c r="O3554" s="241"/>
      <c r="P3554" s="241"/>
      <c r="Q3554" s="241"/>
    </row>
    <row r="3555" spans="1:17" ht="13.5" customHeight="1" x14ac:dyDescent="0.3">
      <c r="A3555"/>
      <c r="B3555" s="241"/>
      <c r="C3555" s="241"/>
      <c r="D3555" s="241"/>
      <c r="E3555" s="241"/>
      <c r="F3555" s="241"/>
      <c r="G3555" s="241"/>
      <c r="H3555" s="241"/>
      <c r="I3555"/>
      <c r="J3555" s="241"/>
      <c r="K3555" s="241"/>
      <c r="L3555" s="241"/>
      <c r="M3555" s="241"/>
      <c r="N3555" s="241"/>
      <c r="O3555" s="241"/>
      <c r="P3555" s="241"/>
      <c r="Q3555" s="241"/>
    </row>
    <row r="3556" spans="1:17" ht="13.5" customHeight="1" x14ac:dyDescent="0.3">
      <c r="A3556"/>
      <c r="B3556" s="241"/>
      <c r="C3556" s="241"/>
      <c r="D3556" s="241"/>
      <c r="E3556" s="241"/>
      <c r="F3556" s="241"/>
      <c r="G3556" s="241"/>
      <c r="H3556" s="241"/>
      <c r="I3556"/>
      <c r="J3556" s="241"/>
      <c r="K3556" s="241"/>
      <c r="L3556" s="241"/>
      <c r="M3556" s="241"/>
      <c r="N3556" s="241"/>
      <c r="O3556" s="241"/>
      <c r="P3556" s="241"/>
      <c r="Q3556" s="241"/>
    </row>
    <row r="3557" spans="1:17" ht="13.5" customHeight="1" x14ac:dyDescent="0.3">
      <c r="A3557"/>
      <c r="B3557" s="241"/>
      <c r="C3557" s="241"/>
      <c r="D3557" s="241"/>
      <c r="E3557" s="241"/>
      <c r="F3557" s="241"/>
      <c r="G3557" s="241"/>
      <c r="H3557" s="241"/>
      <c r="I3557"/>
      <c r="J3557" s="241"/>
      <c r="K3557" s="241"/>
      <c r="L3557" s="241"/>
      <c r="M3557" s="241"/>
      <c r="N3557" s="241"/>
      <c r="O3557" s="241"/>
      <c r="P3557" s="241"/>
      <c r="Q3557" s="241"/>
    </row>
    <row r="3558" spans="1:17" ht="13.5" customHeight="1" x14ac:dyDescent="0.3">
      <c r="A3558"/>
      <c r="B3558" s="241"/>
      <c r="C3558" s="241"/>
      <c r="D3558" s="241"/>
      <c r="E3558" s="241"/>
      <c r="F3558" s="241"/>
      <c r="G3558" s="241"/>
      <c r="H3558" s="241"/>
      <c r="I3558"/>
      <c r="J3558" s="241"/>
      <c r="K3558" s="241"/>
      <c r="L3558" s="241"/>
      <c r="M3558" s="241"/>
      <c r="N3558" s="241"/>
      <c r="O3558" s="241"/>
      <c r="P3558" s="241"/>
      <c r="Q3558" s="241"/>
    </row>
    <row r="3559" spans="1:17" ht="13.5" customHeight="1" x14ac:dyDescent="0.3">
      <c r="A3559"/>
      <c r="B3559" s="241"/>
      <c r="C3559" s="241"/>
      <c r="D3559" s="241"/>
      <c r="E3559" s="241"/>
      <c r="F3559" s="241"/>
      <c r="G3559" s="241"/>
      <c r="H3559" s="241"/>
      <c r="I3559"/>
      <c r="J3559" s="241"/>
      <c r="K3559" s="241"/>
      <c r="L3559" s="241"/>
      <c r="M3559" s="241"/>
      <c r="N3559" s="241"/>
      <c r="O3559" s="241"/>
      <c r="P3559" s="241"/>
      <c r="Q3559" s="241"/>
    </row>
    <row r="3560" spans="1:17" ht="13.5" customHeight="1" x14ac:dyDescent="0.3">
      <c r="A3560"/>
      <c r="B3560" s="241"/>
      <c r="C3560" s="241"/>
      <c r="D3560" s="241"/>
      <c r="E3560" s="241"/>
      <c r="F3560" s="241"/>
      <c r="G3560" s="241"/>
      <c r="H3560" s="241"/>
      <c r="I3560"/>
      <c r="J3560" s="241"/>
      <c r="K3560" s="241"/>
      <c r="L3560" s="241"/>
      <c r="M3560" s="241"/>
      <c r="N3560" s="241"/>
      <c r="O3560" s="241"/>
      <c r="P3560" s="241"/>
      <c r="Q3560" s="241"/>
    </row>
    <row r="3561" spans="1:17" ht="13.5" customHeight="1" x14ac:dyDescent="0.3">
      <c r="A3561"/>
      <c r="B3561" s="241"/>
      <c r="C3561" s="241"/>
      <c r="D3561" s="241"/>
      <c r="E3561" s="241"/>
      <c r="F3561" s="241"/>
      <c r="G3561" s="241"/>
      <c r="H3561" s="241"/>
      <c r="I3561"/>
      <c r="J3561" s="241"/>
      <c r="K3561" s="241"/>
      <c r="L3561" s="241"/>
      <c r="M3561" s="241"/>
      <c r="N3561" s="241"/>
      <c r="O3561" s="241"/>
      <c r="P3561" s="241"/>
      <c r="Q3561" s="241"/>
    </row>
    <row r="3562" spans="1:17" ht="13.5" customHeight="1" x14ac:dyDescent="0.3">
      <c r="A3562"/>
      <c r="B3562" s="241"/>
      <c r="C3562" s="241"/>
      <c r="D3562" s="241"/>
      <c r="E3562" s="241"/>
      <c r="F3562" s="241"/>
      <c r="G3562" s="241"/>
      <c r="H3562" s="241"/>
      <c r="I3562"/>
      <c r="J3562" s="241"/>
      <c r="K3562" s="241"/>
      <c r="L3562" s="241"/>
      <c r="M3562" s="241"/>
      <c r="N3562" s="241"/>
      <c r="O3562" s="241"/>
      <c r="P3562" s="241"/>
      <c r="Q3562" s="241"/>
    </row>
    <row r="3563" spans="1:17" ht="13.5" customHeight="1" x14ac:dyDescent="0.3">
      <c r="A3563"/>
      <c r="B3563" s="241"/>
      <c r="C3563" s="241"/>
      <c r="D3563" s="241"/>
      <c r="E3563" s="241"/>
      <c r="F3563" s="241"/>
      <c r="G3563" s="241"/>
      <c r="H3563" s="241"/>
      <c r="I3563"/>
      <c r="J3563" s="241"/>
      <c r="K3563" s="241"/>
      <c r="L3563" s="241"/>
      <c r="M3563" s="241"/>
      <c r="N3563" s="241"/>
      <c r="O3563" s="241"/>
      <c r="P3563" s="241"/>
      <c r="Q3563" s="241"/>
    </row>
    <row r="3564" spans="1:17" ht="13.5" customHeight="1" x14ac:dyDescent="0.3">
      <c r="A3564"/>
      <c r="B3564" s="241"/>
      <c r="C3564" s="241"/>
      <c r="D3564" s="241"/>
      <c r="E3564" s="241"/>
      <c r="F3564" s="241"/>
      <c r="G3564" s="241"/>
      <c r="H3564" s="241"/>
      <c r="I3564"/>
      <c r="J3564" s="241"/>
      <c r="K3564" s="241"/>
      <c r="L3564" s="241"/>
      <c r="M3564" s="241"/>
      <c r="N3564" s="241"/>
      <c r="O3564" s="241"/>
      <c r="P3564" s="241"/>
      <c r="Q3564" s="241"/>
    </row>
    <row r="3565" spans="1:17" ht="13.5" customHeight="1" x14ac:dyDescent="0.3">
      <c r="A3565"/>
      <c r="B3565" s="241"/>
      <c r="C3565" s="241"/>
      <c r="D3565" s="241"/>
      <c r="E3565" s="241"/>
      <c r="F3565" s="241"/>
      <c r="G3565" s="241"/>
      <c r="H3565" s="241"/>
      <c r="I3565"/>
      <c r="J3565" s="241"/>
      <c r="K3565" s="241"/>
      <c r="L3565" s="241"/>
      <c r="M3565" s="241"/>
      <c r="N3565" s="241"/>
      <c r="O3565" s="241"/>
      <c r="P3565" s="241"/>
      <c r="Q3565" s="241"/>
    </row>
    <row r="3566" spans="1:17" ht="13.5" customHeight="1" x14ac:dyDescent="0.3">
      <c r="A3566"/>
      <c r="B3566" s="241"/>
      <c r="C3566" s="241"/>
      <c r="D3566" s="241"/>
      <c r="E3566" s="241"/>
      <c r="F3566" s="241"/>
      <c r="G3566" s="241"/>
      <c r="H3566" s="241"/>
      <c r="I3566"/>
      <c r="J3566" s="241"/>
      <c r="K3566" s="241"/>
      <c r="L3566" s="241"/>
      <c r="M3566" s="241"/>
      <c r="N3566" s="241"/>
      <c r="O3566" s="241"/>
      <c r="P3566" s="241"/>
      <c r="Q3566" s="241"/>
    </row>
    <row r="3567" spans="1:17" ht="13.5" customHeight="1" x14ac:dyDescent="0.3">
      <c r="A3567"/>
      <c r="B3567" s="241"/>
      <c r="C3567" s="241"/>
      <c r="D3567" s="241"/>
      <c r="E3567" s="241"/>
      <c r="F3567" s="241"/>
      <c r="G3567" s="241"/>
      <c r="H3567" s="241"/>
      <c r="I3567"/>
      <c r="J3567" s="241"/>
      <c r="K3567" s="241"/>
      <c r="L3567" s="241"/>
      <c r="M3567" s="241"/>
      <c r="N3567" s="241"/>
      <c r="O3567" s="241"/>
      <c r="P3567" s="241"/>
      <c r="Q3567" s="241"/>
    </row>
    <row r="3568" spans="1:17" ht="13.5" customHeight="1" x14ac:dyDescent="0.3">
      <c r="A3568"/>
      <c r="B3568" s="241"/>
      <c r="C3568" s="241"/>
      <c r="D3568" s="241"/>
      <c r="E3568" s="241"/>
      <c r="F3568" s="241"/>
      <c r="G3568" s="241"/>
      <c r="H3568" s="241"/>
      <c r="I3568"/>
      <c r="J3568" s="241"/>
      <c r="K3568" s="241"/>
      <c r="L3568" s="241"/>
      <c r="M3568" s="241"/>
      <c r="N3568" s="241"/>
      <c r="O3568" s="241"/>
      <c r="P3568" s="241"/>
      <c r="Q3568" s="241"/>
    </row>
    <row r="3569" spans="1:17" ht="13.5" customHeight="1" x14ac:dyDescent="0.3">
      <c r="A3569"/>
      <c r="B3569" s="241"/>
      <c r="C3569" s="241"/>
      <c r="D3569" s="241"/>
      <c r="E3569" s="241"/>
      <c r="F3569" s="241"/>
      <c r="G3569" s="241"/>
      <c r="H3569" s="241"/>
      <c r="I3569"/>
      <c r="J3569" s="241"/>
      <c r="K3569" s="241"/>
      <c r="L3569" s="241"/>
      <c r="M3569" s="241"/>
      <c r="N3569" s="241"/>
      <c r="O3569" s="241"/>
      <c r="P3569" s="241"/>
      <c r="Q3569" s="241"/>
    </row>
    <row r="3570" spans="1:17" ht="13.5" customHeight="1" x14ac:dyDescent="0.3">
      <c r="A3570"/>
      <c r="B3570" s="241"/>
      <c r="C3570" s="241"/>
      <c r="D3570" s="241"/>
      <c r="E3570" s="241"/>
      <c r="F3570" s="241"/>
      <c r="G3570" s="241"/>
      <c r="H3570" s="241"/>
      <c r="I3570"/>
      <c r="J3570" s="241"/>
      <c r="K3570" s="241"/>
      <c r="L3570" s="241"/>
      <c r="M3570" s="241"/>
      <c r="N3570" s="241"/>
      <c r="O3570" s="241"/>
      <c r="P3570" s="241"/>
      <c r="Q3570" s="241"/>
    </row>
    <row r="3571" spans="1:17" ht="13.5" customHeight="1" x14ac:dyDescent="0.3">
      <c r="A3571"/>
      <c r="B3571" s="241"/>
      <c r="C3571" s="241"/>
      <c r="D3571" s="241"/>
      <c r="E3571" s="241"/>
      <c r="F3571" s="241"/>
      <c r="G3571" s="241"/>
      <c r="H3571" s="241"/>
      <c r="I3571"/>
      <c r="J3571" s="241"/>
      <c r="K3571" s="241"/>
      <c r="L3571" s="241"/>
      <c r="M3571" s="241"/>
      <c r="N3571" s="241"/>
      <c r="O3571" s="241"/>
      <c r="P3571" s="241"/>
      <c r="Q3571" s="241"/>
    </row>
    <row r="3572" spans="1:17" ht="13.5" customHeight="1" x14ac:dyDescent="0.3">
      <c r="A3572"/>
      <c r="B3572" s="241"/>
      <c r="C3572" s="241"/>
      <c r="D3572" s="241"/>
      <c r="E3572" s="241"/>
      <c r="F3572" s="241"/>
      <c r="G3572" s="241"/>
      <c r="H3572" s="241"/>
      <c r="I3572"/>
      <c r="J3572" s="241"/>
      <c r="K3572" s="241"/>
      <c r="L3572" s="241"/>
      <c r="M3572" s="241"/>
      <c r="N3572" s="241"/>
      <c r="O3572" s="241"/>
      <c r="P3572" s="241"/>
      <c r="Q3572" s="241"/>
    </row>
    <row r="3573" spans="1:17" ht="13.5" customHeight="1" x14ac:dyDescent="0.3">
      <c r="A3573"/>
      <c r="B3573" s="241"/>
      <c r="C3573" s="241"/>
      <c r="D3573" s="241"/>
      <c r="E3573" s="241"/>
      <c r="F3573" s="241"/>
      <c r="G3573" s="241"/>
      <c r="H3573" s="241"/>
      <c r="I3573"/>
      <c r="J3573" s="241"/>
      <c r="K3573" s="241"/>
      <c r="L3573" s="241"/>
      <c r="M3573" s="241"/>
      <c r="N3573" s="241"/>
      <c r="O3573" s="241"/>
      <c r="P3573" s="241"/>
      <c r="Q3573" s="241"/>
    </row>
    <row r="3574" spans="1:17" ht="13.5" customHeight="1" x14ac:dyDescent="0.3">
      <c r="A3574"/>
      <c r="B3574" s="241"/>
      <c r="C3574" s="241"/>
      <c r="D3574" s="241"/>
      <c r="E3574" s="241"/>
      <c r="F3574" s="241"/>
      <c r="G3574" s="241"/>
      <c r="H3574" s="241"/>
      <c r="I3574"/>
      <c r="J3574" s="241"/>
      <c r="K3574" s="241"/>
      <c r="L3574" s="241"/>
      <c r="M3574" s="241"/>
      <c r="N3574" s="241"/>
      <c r="O3574" s="241"/>
      <c r="P3574" s="241"/>
      <c r="Q3574" s="241"/>
    </row>
    <row r="3575" spans="1:17" ht="13.5" customHeight="1" x14ac:dyDescent="0.3">
      <c r="A3575"/>
      <c r="B3575" s="241"/>
      <c r="C3575" s="241"/>
      <c r="D3575" s="241"/>
      <c r="E3575" s="241"/>
      <c r="F3575" s="241"/>
      <c r="G3575" s="241"/>
      <c r="H3575" s="241"/>
      <c r="I3575"/>
      <c r="J3575" s="241"/>
      <c r="K3575" s="241"/>
      <c r="L3575" s="241"/>
      <c r="M3575" s="241"/>
      <c r="N3575" s="241"/>
      <c r="O3575" s="241"/>
      <c r="P3575" s="241"/>
      <c r="Q3575" s="241"/>
    </row>
    <row r="3576" spans="1:17" ht="13.5" customHeight="1" x14ac:dyDescent="0.3">
      <c r="A3576"/>
      <c r="B3576" s="241"/>
      <c r="C3576" s="241"/>
      <c r="D3576" s="241"/>
      <c r="E3576" s="241"/>
      <c r="F3576" s="241"/>
      <c r="G3576" s="241"/>
      <c r="H3576" s="241"/>
      <c r="I3576"/>
      <c r="J3576" s="241"/>
      <c r="K3576" s="241"/>
      <c r="L3576" s="241"/>
      <c r="M3576" s="241"/>
      <c r="N3576" s="241"/>
      <c r="O3576" s="241"/>
      <c r="P3576" s="241"/>
      <c r="Q3576" s="241"/>
    </row>
    <row r="3577" spans="1:17" ht="13.5" customHeight="1" x14ac:dyDescent="0.3">
      <c r="A3577"/>
      <c r="B3577" s="241"/>
      <c r="C3577" s="241"/>
      <c r="D3577" s="241"/>
      <c r="E3577" s="241"/>
      <c r="F3577" s="241"/>
      <c r="G3577" s="241"/>
      <c r="H3577" s="241"/>
      <c r="I3577"/>
      <c r="J3577" s="241"/>
      <c r="K3577" s="241"/>
      <c r="L3577" s="241"/>
      <c r="M3577" s="241"/>
      <c r="N3577" s="241"/>
      <c r="O3577" s="241"/>
      <c r="P3577" s="241"/>
      <c r="Q3577" s="241"/>
    </row>
    <row r="3578" spans="1:17" ht="13.5" customHeight="1" x14ac:dyDescent="0.3">
      <c r="A3578"/>
      <c r="B3578" s="241"/>
      <c r="C3578" s="241"/>
      <c r="D3578" s="241"/>
      <c r="E3578" s="241"/>
      <c r="F3578" s="241"/>
      <c r="G3578" s="241"/>
      <c r="H3578" s="241"/>
      <c r="I3578"/>
      <c r="J3578" s="241"/>
      <c r="K3578" s="241"/>
      <c r="L3578" s="241"/>
      <c r="M3578" s="241"/>
      <c r="N3578" s="241"/>
      <c r="O3578" s="241"/>
      <c r="P3578" s="241"/>
      <c r="Q3578" s="241"/>
    </row>
    <row r="3579" spans="1:17" ht="13.5" customHeight="1" x14ac:dyDescent="0.3">
      <c r="A3579"/>
      <c r="B3579" s="241"/>
      <c r="C3579" s="241"/>
      <c r="D3579" s="241"/>
      <c r="E3579" s="241"/>
      <c r="F3579" s="241"/>
      <c r="G3579" s="241"/>
      <c r="H3579" s="241"/>
      <c r="I3579"/>
      <c r="J3579" s="241"/>
      <c r="K3579" s="241"/>
      <c r="L3579" s="241"/>
      <c r="M3579" s="241"/>
      <c r="N3579" s="241"/>
      <c r="O3579" s="241"/>
      <c r="P3579" s="241"/>
      <c r="Q3579" s="241"/>
    </row>
    <row r="3580" spans="1:17" ht="13.5" customHeight="1" x14ac:dyDescent="0.3">
      <c r="A3580"/>
      <c r="B3580" s="241"/>
      <c r="C3580" s="241"/>
      <c r="D3580" s="241"/>
      <c r="E3580" s="241"/>
      <c r="F3580" s="241"/>
      <c r="G3580" s="241"/>
      <c r="H3580" s="241"/>
      <c r="I3580"/>
      <c r="J3580" s="241"/>
      <c r="K3580" s="241"/>
      <c r="L3580" s="241"/>
      <c r="M3580" s="241"/>
      <c r="N3580" s="241"/>
      <c r="O3580" s="241"/>
      <c r="P3580" s="241"/>
      <c r="Q3580" s="241"/>
    </row>
    <row r="3581" spans="1:17" ht="13.5" customHeight="1" x14ac:dyDescent="0.3">
      <c r="A3581"/>
      <c r="B3581" s="241"/>
      <c r="C3581" s="241"/>
      <c r="D3581" s="241"/>
      <c r="E3581" s="241"/>
      <c r="F3581" s="241"/>
      <c r="G3581" s="241"/>
      <c r="H3581" s="241"/>
      <c r="I3581"/>
      <c r="J3581" s="241"/>
      <c r="K3581" s="241"/>
      <c r="L3581" s="241"/>
      <c r="M3581" s="241"/>
      <c r="N3581" s="241"/>
      <c r="O3581" s="241"/>
      <c r="P3581" s="241"/>
      <c r="Q3581" s="241"/>
    </row>
    <row r="3582" spans="1:17" ht="13.5" customHeight="1" x14ac:dyDescent="0.3">
      <c r="A3582"/>
      <c r="B3582" s="241"/>
      <c r="C3582" s="241"/>
      <c r="D3582" s="241"/>
      <c r="E3582" s="241"/>
      <c r="F3582" s="241"/>
      <c r="G3582" s="241"/>
      <c r="H3582" s="241"/>
      <c r="I3582"/>
      <c r="J3582" s="241"/>
      <c r="K3582" s="241"/>
      <c r="L3582" s="241"/>
      <c r="M3582" s="241"/>
      <c r="N3582" s="241"/>
      <c r="O3582" s="241"/>
      <c r="P3582" s="241"/>
      <c r="Q3582" s="241"/>
    </row>
    <row r="3583" spans="1:17" ht="13.5" customHeight="1" x14ac:dyDescent="0.3">
      <c r="A3583"/>
      <c r="B3583" s="241"/>
      <c r="C3583" s="241"/>
      <c r="D3583" s="241"/>
      <c r="E3583" s="241"/>
      <c r="F3583" s="241"/>
      <c r="G3583" s="241"/>
      <c r="H3583" s="241"/>
      <c r="I3583"/>
      <c r="J3583" s="241"/>
      <c r="K3583" s="241"/>
      <c r="L3583" s="241"/>
      <c r="M3583" s="241"/>
      <c r="N3583" s="241"/>
      <c r="O3583" s="241"/>
      <c r="P3583" s="241"/>
      <c r="Q3583" s="241"/>
    </row>
    <row r="3584" spans="1:17" ht="13.5" customHeight="1" x14ac:dyDescent="0.3">
      <c r="A3584"/>
      <c r="B3584" s="241"/>
      <c r="C3584" s="241"/>
      <c r="D3584" s="241"/>
      <c r="E3584" s="241"/>
      <c r="F3584" s="241"/>
      <c r="G3584" s="241"/>
      <c r="H3584" s="241"/>
      <c r="I3584"/>
      <c r="J3584" s="241"/>
      <c r="K3584" s="241"/>
      <c r="L3584" s="241"/>
      <c r="M3584" s="241"/>
      <c r="N3584" s="241"/>
      <c r="O3584" s="241"/>
      <c r="P3584" s="241"/>
      <c r="Q3584" s="241"/>
    </row>
    <row r="3585" spans="1:17" ht="13.5" customHeight="1" x14ac:dyDescent="0.3">
      <c r="A3585"/>
      <c r="B3585" s="241"/>
      <c r="C3585" s="241"/>
      <c r="D3585" s="241"/>
      <c r="E3585" s="241"/>
      <c r="F3585" s="241"/>
      <c r="G3585" s="241"/>
      <c r="H3585" s="241"/>
      <c r="I3585"/>
      <c r="J3585" s="241"/>
      <c r="K3585" s="241"/>
      <c r="L3585" s="241"/>
      <c r="M3585" s="241"/>
      <c r="N3585" s="241"/>
      <c r="O3585" s="241"/>
      <c r="P3585" s="241"/>
      <c r="Q3585" s="241"/>
    </row>
    <row r="3586" spans="1:17" ht="13.5" customHeight="1" x14ac:dyDescent="0.3">
      <c r="A3586"/>
      <c r="B3586" s="241"/>
      <c r="C3586" s="241"/>
      <c r="D3586" s="241"/>
      <c r="E3586" s="241"/>
      <c r="F3586" s="241"/>
      <c r="G3586" s="241"/>
      <c r="H3586" s="241"/>
      <c r="I3586"/>
      <c r="J3586" s="241"/>
      <c r="K3586" s="241"/>
      <c r="L3586" s="241"/>
      <c r="M3586" s="241"/>
      <c r="N3586" s="241"/>
      <c r="O3586" s="241"/>
      <c r="P3586" s="241"/>
      <c r="Q3586" s="241"/>
    </row>
    <row r="3587" spans="1:17" ht="13.5" customHeight="1" x14ac:dyDescent="0.3">
      <c r="A3587"/>
      <c r="B3587" s="241"/>
      <c r="C3587" s="241"/>
      <c r="D3587" s="241"/>
      <c r="E3587" s="241"/>
      <c r="F3587" s="241"/>
      <c r="G3587" s="241"/>
      <c r="H3587" s="241"/>
      <c r="I3587"/>
      <c r="J3587" s="241"/>
      <c r="K3587" s="241"/>
      <c r="L3587" s="241"/>
      <c r="M3587" s="241"/>
      <c r="N3587" s="241"/>
      <c r="O3587" s="241"/>
      <c r="P3587" s="241"/>
      <c r="Q3587" s="241"/>
    </row>
    <row r="3588" spans="1:17" ht="13.5" customHeight="1" x14ac:dyDescent="0.3">
      <c r="A3588"/>
      <c r="B3588" s="241"/>
      <c r="C3588" s="241"/>
      <c r="D3588" s="241"/>
      <c r="E3588" s="241"/>
      <c r="F3588" s="241"/>
      <c r="G3588" s="241"/>
      <c r="H3588" s="241"/>
      <c r="I3588"/>
      <c r="J3588" s="241"/>
      <c r="K3588" s="241"/>
      <c r="L3588" s="241"/>
      <c r="M3588" s="241"/>
      <c r="N3588" s="241"/>
      <c r="O3588" s="241"/>
      <c r="P3588" s="241"/>
      <c r="Q3588" s="241"/>
    </row>
    <row r="3589" spans="1:17" ht="13.5" customHeight="1" x14ac:dyDescent="0.3">
      <c r="A3589"/>
      <c r="B3589" s="241"/>
      <c r="C3589" s="241"/>
      <c r="D3589" s="241"/>
      <c r="E3589" s="241"/>
      <c r="F3589" s="241"/>
      <c r="G3589" s="241"/>
      <c r="H3589" s="241"/>
      <c r="I3589"/>
      <c r="J3589" s="241"/>
      <c r="K3589" s="241"/>
      <c r="L3589" s="241"/>
      <c r="M3589" s="241"/>
      <c r="N3589" s="241"/>
      <c r="O3589" s="241"/>
      <c r="P3589" s="241"/>
      <c r="Q3589" s="241"/>
    </row>
    <row r="3590" spans="1:17" ht="13.5" customHeight="1" x14ac:dyDescent="0.3">
      <c r="A3590"/>
      <c r="B3590" s="241"/>
      <c r="C3590" s="241"/>
      <c r="D3590" s="241"/>
      <c r="E3590" s="241"/>
      <c r="F3590" s="241"/>
      <c r="G3590" s="241"/>
      <c r="H3590" s="241"/>
      <c r="I3590"/>
      <c r="J3590" s="241"/>
      <c r="K3590" s="241"/>
      <c r="L3590" s="241"/>
      <c r="M3590" s="241"/>
      <c r="N3590" s="241"/>
      <c r="O3590" s="241"/>
      <c r="P3590" s="241"/>
      <c r="Q3590" s="241"/>
    </row>
    <row r="3591" spans="1:17" ht="13.5" customHeight="1" x14ac:dyDescent="0.3">
      <c r="A3591"/>
      <c r="B3591" s="241"/>
      <c r="C3591" s="241"/>
      <c r="D3591" s="241"/>
      <c r="E3591" s="241"/>
      <c r="F3591" s="241"/>
      <c r="G3591" s="241"/>
      <c r="H3591" s="241"/>
      <c r="I3591"/>
      <c r="J3591" s="241"/>
      <c r="K3591" s="241"/>
      <c r="L3591" s="241"/>
      <c r="M3591" s="241"/>
      <c r="N3591" s="241"/>
      <c r="O3591" s="241"/>
      <c r="P3591" s="241"/>
      <c r="Q3591" s="241"/>
    </row>
    <row r="3592" spans="1:17" ht="13.5" customHeight="1" x14ac:dyDescent="0.3">
      <c r="A3592"/>
      <c r="B3592" s="241"/>
      <c r="C3592" s="241"/>
      <c r="D3592" s="241"/>
      <c r="E3592" s="241"/>
      <c r="F3592" s="241"/>
      <c r="G3592" s="241"/>
      <c r="H3592" s="241"/>
      <c r="I3592"/>
      <c r="J3592" s="241"/>
      <c r="K3592" s="241"/>
      <c r="L3592" s="241"/>
      <c r="M3592" s="241"/>
      <c r="N3592" s="241"/>
      <c r="O3592" s="241"/>
      <c r="P3592" s="241"/>
      <c r="Q3592" s="241"/>
    </row>
    <row r="3593" spans="1:17" ht="13.5" customHeight="1" x14ac:dyDescent="0.3">
      <c r="A3593"/>
      <c r="B3593" s="241"/>
      <c r="C3593" s="241"/>
      <c r="D3593" s="241"/>
      <c r="E3593" s="241"/>
      <c r="F3593" s="241"/>
      <c r="G3593" s="241"/>
      <c r="H3593" s="241"/>
      <c r="I3593"/>
      <c r="J3593" s="241"/>
      <c r="K3593" s="241"/>
      <c r="L3593" s="241"/>
      <c r="M3593" s="241"/>
      <c r="N3593" s="241"/>
      <c r="O3593" s="241"/>
      <c r="P3593" s="241"/>
      <c r="Q3593" s="241"/>
    </row>
    <row r="3594" spans="1:17" ht="13.5" customHeight="1" x14ac:dyDescent="0.3">
      <c r="A3594"/>
      <c r="B3594" s="241"/>
      <c r="C3594" s="241"/>
      <c r="D3594" s="241"/>
      <c r="E3594" s="241"/>
      <c r="F3594" s="241"/>
      <c r="G3594" s="241"/>
      <c r="H3594" s="241"/>
      <c r="I3594"/>
      <c r="J3594" s="241"/>
      <c r="K3594" s="241"/>
      <c r="L3594" s="241"/>
      <c r="M3594" s="241"/>
      <c r="N3594" s="241"/>
      <c r="O3594" s="241"/>
      <c r="P3594" s="241"/>
      <c r="Q3594" s="241"/>
    </row>
    <row r="3595" spans="1:17" ht="13.5" customHeight="1" x14ac:dyDescent="0.3">
      <c r="A3595"/>
      <c r="B3595" s="241"/>
      <c r="C3595" s="241"/>
      <c r="D3595" s="241"/>
      <c r="E3595" s="241"/>
      <c r="F3595" s="241"/>
      <c r="G3595" s="241"/>
      <c r="H3595" s="241"/>
      <c r="I3595"/>
      <c r="J3595" s="241"/>
      <c r="K3595" s="241"/>
      <c r="L3595" s="241"/>
      <c r="M3595" s="241"/>
      <c r="N3595" s="241"/>
      <c r="O3595" s="241"/>
      <c r="P3595" s="241"/>
      <c r="Q3595" s="241"/>
    </row>
    <row r="3596" spans="1:17" ht="13.5" customHeight="1" x14ac:dyDescent="0.3">
      <c r="A3596"/>
      <c r="B3596" s="241"/>
      <c r="C3596" s="241"/>
      <c r="D3596" s="241"/>
      <c r="E3596" s="241"/>
      <c r="F3596" s="241"/>
      <c r="G3596" s="241"/>
      <c r="H3596" s="241"/>
      <c r="I3596"/>
      <c r="J3596" s="241"/>
      <c r="K3596" s="241"/>
      <c r="L3596" s="241"/>
      <c r="M3596" s="241"/>
      <c r="N3596" s="241"/>
      <c r="O3596" s="241"/>
      <c r="P3596" s="241"/>
      <c r="Q3596" s="241"/>
    </row>
    <row r="3597" spans="1:17" ht="13.5" customHeight="1" x14ac:dyDescent="0.3">
      <c r="A3597"/>
      <c r="B3597" s="241"/>
      <c r="C3597" s="241"/>
      <c r="D3597" s="241"/>
      <c r="E3597" s="241"/>
      <c r="F3597" s="241"/>
      <c r="G3597" s="241"/>
      <c r="H3597" s="241"/>
      <c r="I3597"/>
      <c r="J3597" s="241"/>
      <c r="K3597" s="241"/>
      <c r="L3597" s="241"/>
      <c r="M3597" s="241"/>
      <c r="N3597" s="241"/>
      <c r="O3597" s="241"/>
      <c r="P3597" s="241"/>
      <c r="Q3597" s="241"/>
    </row>
    <row r="3598" spans="1:17" ht="13.5" customHeight="1" x14ac:dyDescent="0.3">
      <c r="A3598"/>
      <c r="B3598" s="241"/>
      <c r="C3598" s="241"/>
      <c r="D3598" s="241"/>
      <c r="E3598" s="241"/>
      <c r="F3598" s="241"/>
      <c r="G3598" s="241"/>
      <c r="H3598" s="241"/>
      <c r="I3598"/>
      <c r="J3598" s="241"/>
      <c r="K3598" s="241"/>
      <c r="L3598" s="241"/>
      <c r="M3598" s="241"/>
      <c r="N3598" s="241"/>
      <c r="O3598" s="241"/>
      <c r="P3598" s="241"/>
      <c r="Q3598" s="241"/>
    </row>
    <row r="3599" spans="1:17" ht="13.5" customHeight="1" x14ac:dyDescent="0.3">
      <c r="A3599"/>
      <c r="B3599" s="241"/>
      <c r="C3599" s="241"/>
      <c r="D3599" s="241"/>
      <c r="E3599" s="241"/>
      <c r="F3599" s="241"/>
      <c r="G3599" s="241"/>
      <c r="H3599" s="241"/>
      <c r="I3599"/>
      <c r="J3599" s="241"/>
      <c r="K3599" s="241"/>
      <c r="L3599" s="241"/>
      <c r="M3599" s="241"/>
      <c r="N3599" s="241"/>
      <c r="O3599" s="241"/>
      <c r="P3599" s="241"/>
      <c r="Q3599" s="241"/>
    </row>
    <row r="3600" spans="1:17" ht="13.5" customHeight="1" x14ac:dyDescent="0.3">
      <c r="A3600"/>
      <c r="B3600" s="241"/>
      <c r="C3600" s="241"/>
      <c r="D3600" s="241"/>
      <c r="E3600" s="241"/>
      <c r="F3600" s="241"/>
      <c r="G3600" s="241"/>
      <c r="H3600" s="241"/>
      <c r="I3600"/>
      <c r="J3600" s="241"/>
      <c r="K3600" s="241"/>
      <c r="L3600" s="241"/>
      <c r="M3600" s="241"/>
      <c r="N3600" s="241"/>
      <c r="O3600" s="241"/>
      <c r="P3600" s="241"/>
      <c r="Q3600" s="241"/>
    </row>
    <row r="3601" spans="1:17" ht="13.5" customHeight="1" x14ac:dyDescent="0.3">
      <c r="A3601"/>
      <c r="B3601" s="241"/>
      <c r="C3601" s="241"/>
      <c r="D3601" s="241"/>
      <c r="E3601" s="241"/>
      <c r="F3601" s="241"/>
      <c r="G3601" s="241"/>
      <c r="H3601" s="241"/>
      <c r="I3601"/>
      <c r="J3601" s="241"/>
      <c r="K3601" s="241"/>
      <c r="L3601" s="241"/>
      <c r="M3601" s="241"/>
      <c r="N3601" s="241"/>
      <c r="O3601" s="241"/>
      <c r="P3601" s="241"/>
      <c r="Q3601" s="241"/>
    </row>
    <row r="3602" spans="1:17" ht="13.5" customHeight="1" x14ac:dyDescent="0.3">
      <c r="A3602"/>
      <c r="B3602" s="241"/>
      <c r="C3602" s="241"/>
      <c r="D3602" s="241"/>
      <c r="E3602" s="241"/>
      <c r="F3602" s="241"/>
      <c r="G3602" s="241"/>
      <c r="H3602" s="241"/>
      <c r="I3602"/>
      <c r="J3602" s="241"/>
      <c r="K3602" s="241"/>
      <c r="L3602" s="241"/>
      <c r="M3602" s="241"/>
      <c r="N3602" s="241"/>
      <c r="O3602" s="241"/>
      <c r="P3602" s="241"/>
      <c r="Q3602" s="241"/>
    </row>
    <row r="3603" spans="1:17" ht="13.5" customHeight="1" x14ac:dyDescent="0.3">
      <c r="A3603"/>
      <c r="B3603" s="241"/>
      <c r="C3603" s="241"/>
      <c r="D3603" s="241"/>
      <c r="E3603" s="241"/>
      <c r="F3603" s="241"/>
      <c r="G3603" s="241"/>
      <c r="H3603" s="241"/>
      <c r="I3603"/>
      <c r="J3603" s="241"/>
      <c r="K3603" s="241"/>
      <c r="L3603" s="241"/>
      <c r="M3603" s="241"/>
      <c r="N3603" s="241"/>
      <c r="O3603" s="241"/>
      <c r="P3603" s="241"/>
      <c r="Q3603" s="241"/>
    </row>
    <row r="3604" spans="1:17" ht="13.5" customHeight="1" x14ac:dyDescent="0.3">
      <c r="A3604"/>
      <c r="B3604" s="241"/>
      <c r="C3604" s="241"/>
      <c r="D3604" s="241"/>
      <c r="E3604" s="241"/>
      <c r="F3604" s="241"/>
      <c r="G3604" s="241"/>
      <c r="H3604" s="241"/>
      <c r="I3604"/>
      <c r="J3604" s="241"/>
      <c r="K3604" s="241"/>
      <c r="L3604" s="241"/>
      <c r="M3604" s="241"/>
      <c r="N3604" s="241"/>
      <c r="O3604" s="241"/>
      <c r="P3604" s="241"/>
      <c r="Q3604" s="241"/>
    </row>
    <row r="3605" spans="1:17" ht="13.5" customHeight="1" x14ac:dyDescent="0.3">
      <c r="A3605"/>
      <c r="B3605" s="241"/>
      <c r="C3605" s="241"/>
      <c r="D3605" s="241"/>
      <c r="E3605" s="241"/>
      <c r="F3605" s="241"/>
      <c r="G3605" s="241"/>
      <c r="H3605" s="241"/>
      <c r="I3605"/>
      <c r="J3605" s="241"/>
      <c r="K3605" s="241"/>
      <c r="L3605" s="241"/>
      <c r="M3605" s="241"/>
      <c r="N3605" s="241"/>
      <c r="O3605" s="241"/>
      <c r="P3605" s="241"/>
      <c r="Q3605" s="241"/>
    </row>
    <row r="3606" spans="1:17" ht="13.5" customHeight="1" x14ac:dyDescent="0.3">
      <c r="A3606"/>
      <c r="B3606" s="241"/>
      <c r="C3606" s="241"/>
      <c r="D3606" s="241"/>
      <c r="E3606" s="241"/>
      <c r="F3606" s="241"/>
      <c r="G3606" s="241"/>
      <c r="H3606" s="241"/>
      <c r="I3606"/>
      <c r="J3606" s="241"/>
      <c r="K3606" s="241"/>
      <c r="L3606" s="241"/>
      <c r="M3606" s="241"/>
      <c r="N3606" s="241"/>
      <c r="O3606" s="241"/>
      <c r="P3606" s="241"/>
      <c r="Q3606" s="241"/>
    </row>
    <row r="3607" spans="1:17" ht="13.5" customHeight="1" x14ac:dyDescent="0.3">
      <c r="A3607"/>
      <c r="B3607" s="241"/>
      <c r="C3607" s="241"/>
      <c r="D3607" s="241"/>
      <c r="E3607" s="241"/>
      <c r="F3607" s="241"/>
      <c r="G3607" s="241"/>
      <c r="H3607" s="241"/>
      <c r="I3607"/>
      <c r="J3607" s="241"/>
      <c r="K3607" s="241"/>
      <c r="L3607" s="241"/>
      <c r="M3607" s="241"/>
      <c r="N3607" s="241"/>
      <c r="O3607" s="241"/>
      <c r="P3607" s="241"/>
      <c r="Q3607" s="241"/>
    </row>
    <row r="3608" spans="1:17" ht="13.5" customHeight="1" x14ac:dyDescent="0.3">
      <c r="A3608"/>
      <c r="B3608" s="241"/>
      <c r="C3608" s="241"/>
      <c r="D3608" s="241"/>
      <c r="E3608" s="241"/>
      <c r="F3608" s="241"/>
      <c r="G3608" s="241"/>
      <c r="H3608" s="241"/>
      <c r="I3608"/>
      <c r="J3608" s="241"/>
      <c r="K3608" s="241"/>
      <c r="L3608" s="241"/>
      <c r="M3608" s="241"/>
      <c r="N3608" s="241"/>
      <c r="O3608" s="241"/>
      <c r="P3608" s="241"/>
      <c r="Q3608" s="241"/>
    </row>
    <row r="3609" spans="1:17" ht="13.5" customHeight="1" x14ac:dyDescent="0.3">
      <c r="A3609"/>
      <c r="B3609" s="241"/>
      <c r="C3609" s="241"/>
      <c r="D3609" s="241"/>
      <c r="E3609" s="241"/>
      <c r="F3609" s="241"/>
      <c r="G3609" s="241"/>
      <c r="H3609" s="241"/>
      <c r="I3609"/>
      <c r="J3609" s="241"/>
      <c r="K3609" s="241"/>
      <c r="L3609" s="241"/>
      <c r="M3609" s="241"/>
      <c r="N3609" s="241"/>
      <c r="O3609" s="241"/>
      <c r="P3609" s="241"/>
      <c r="Q3609" s="241"/>
    </row>
    <row r="3610" spans="1:17" ht="13.5" customHeight="1" x14ac:dyDescent="0.3">
      <c r="A3610"/>
      <c r="B3610" s="241"/>
      <c r="C3610" s="241"/>
      <c r="D3610" s="241"/>
      <c r="E3610" s="241"/>
      <c r="F3610" s="241"/>
      <c r="G3610" s="241"/>
      <c r="H3610" s="241"/>
      <c r="I3610"/>
      <c r="J3610" s="241"/>
      <c r="K3610" s="241"/>
      <c r="L3610" s="241"/>
      <c r="M3610" s="241"/>
      <c r="N3610" s="241"/>
      <c r="O3610" s="241"/>
      <c r="P3610" s="241"/>
      <c r="Q3610" s="241"/>
    </row>
    <row r="3611" spans="1:17" ht="13.5" customHeight="1" x14ac:dyDescent="0.3">
      <c r="A3611"/>
      <c r="B3611" s="241"/>
      <c r="C3611" s="241"/>
      <c r="D3611" s="241"/>
      <c r="E3611" s="241"/>
      <c r="F3611" s="241"/>
      <c r="G3611" s="241"/>
      <c r="H3611" s="241"/>
      <c r="I3611"/>
      <c r="J3611" s="241"/>
      <c r="K3611" s="241"/>
      <c r="L3611" s="241"/>
      <c r="M3611" s="241"/>
      <c r="N3611" s="241"/>
      <c r="O3611" s="241"/>
      <c r="P3611" s="241"/>
      <c r="Q3611" s="241"/>
    </row>
    <row r="3612" spans="1:17" ht="13.5" customHeight="1" x14ac:dyDescent="0.3">
      <c r="A3612"/>
      <c r="B3612" s="241"/>
      <c r="C3612" s="241"/>
      <c r="D3612" s="241"/>
      <c r="E3612" s="241"/>
      <c r="F3612" s="241"/>
      <c r="G3612" s="241"/>
      <c r="H3612" s="241"/>
      <c r="I3612"/>
      <c r="J3612" s="241"/>
      <c r="K3612" s="241"/>
      <c r="L3612" s="241"/>
      <c r="M3612" s="241"/>
      <c r="N3612" s="241"/>
      <c r="O3612" s="241"/>
      <c r="P3612" s="241"/>
      <c r="Q3612" s="241"/>
    </row>
    <row r="3613" spans="1:17" ht="13.5" customHeight="1" x14ac:dyDescent="0.3">
      <c r="A3613"/>
      <c r="B3613" s="241"/>
      <c r="C3613" s="241"/>
      <c r="D3613" s="241"/>
      <c r="E3613" s="241"/>
      <c r="F3613" s="241"/>
      <c r="G3613" s="241"/>
      <c r="H3613" s="241"/>
      <c r="I3613"/>
      <c r="J3613" s="241"/>
      <c r="K3613" s="241"/>
      <c r="L3613" s="241"/>
      <c r="M3613" s="241"/>
      <c r="N3613" s="241"/>
      <c r="O3613" s="241"/>
      <c r="P3613" s="241"/>
      <c r="Q3613" s="241"/>
    </row>
    <row r="3614" spans="1:17" ht="13.5" customHeight="1" x14ac:dyDescent="0.3">
      <c r="A3614"/>
      <c r="B3614" s="241"/>
      <c r="C3614" s="241"/>
      <c r="D3614" s="241"/>
      <c r="E3614" s="241"/>
      <c r="F3614" s="241"/>
      <c r="G3614" s="241"/>
      <c r="H3614" s="241"/>
      <c r="I3614"/>
      <c r="J3614" s="241"/>
      <c r="K3614" s="241"/>
      <c r="L3614" s="241"/>
      <c r="M3614" s="241"/>
      <c r="N3614" s="241"/>
      <c r="O3614" s="241"/>
      <c r="P3614" s="241"/>
      <c r="Q3614" s="241"/>
    </row>
    <row r="3615" spans="1:17" ht="13.5" customHeight="1" x14ac:dyDescent="0.3">
      <c r="A3615"/>
      <c r="B3615" s="241"/>
      <c r="C3615" s="241"/>
      <c r="D3615" s="241"/>
      <c r="E3615" s="241"/>
      <c r="F3615" s="241"/>
      <c r="G3615" s="241"/>
      <c r="H3615" s="241"/>
      <c r="I3615"/>
      <c r="J3615" s="241"/>
      <c r="K3615" s="241"/>
      <c r="L3615" s="241"/>
      <c r="M3615" s="241"/>
      <c r="N3615" s="241"/>
      <c r="O3615" s="241"/>
      <c r="P3615" s="241"/>
      <c r="Q3615" s="241"/>
    </row>
    <row r="3616" spans="1:17" ht="13.5" customHeight="1" x14ac:dyDescent="0.3">
      <c r="A3616"/>
      <c r="B3616" s="241"/>
      <c r="C3616" s="241"/>
      <c r="D3616" s="241"/>
      <c r="E3616" s="241"/>
      <c r="F3616" s="241"/>
      <c r="G3616" s="241"/>
      <c r="H3616" s="241"/>
      <c r="I3616"/>
      <c r="J3616" s="241"/>
      <c r="K3616" s="241"/>
      <c r="L3616" s="241"/>
      <c r="M3616" s="241"/>
      <c r="N3616" s="241"/>
      <c r="O3616" s="241"/>
      <c r="P3616" s="241"/>
      <c r="Q3616" s="241"/>
    </row>
    <row r="3617" spans="1:17" ht="13.5" customHeight="1" x14ac:dyDescent="0.3">
      <c r="A3617"/>
      <c r="B3617" s="241"/>
      <c r="C3617" s="241"/>
      <c r="D3617" s="241"/>
      <c r="E3617" s="241"/>
      <c r="F3617" s="241"/>
      <c r="G3617" s="241"/>
      <c r="H3617" s="241"/>
      <c r="I3617"/>
      <c r="J3617" s="241"/>
      <c r="K3617" s="241"/>
      <c r="L3617" s="241"/>
      <c r="M3617" s="241"/>
      <c r="N3617" s="241"/>
      <c r="O3617" s="241"/>
      <c r="P3617" s="241"/>
      <c r="Q3617" s="241"/>
    </row>
    <row r="3618" spans="1:17" ht="13.5" customHeight="1" x14ac:dyDescent="0.3">
      <c r="A3618"/>
      <c r="B3618" s="241"/>
      <c r="C3618" s="241"/>
      <c r="D3618" s="241"/>
      <c r="E3618" s="241"/>
      <c r="F3618" s="241"/>
      <c r="G3618" s="241"/>
      <c r="H3618" s="241"/>
      <c r="I3618"/>
      <c r="J3618" s="241"/>
      <c r="K3618" s="241"/>
      <c r="L3618" s="241"/>
      <c r="M3618" s="241"/>
      <c r="N3618" s="241"/>
      <c r="O3618" s="241"/>
      <c r="P3618" s="241"/>
      <c r="Q3618" s="241"/>
    </row>
    <row r="3619" spans="1:17" ht="13.5" customHeight="1" x14ac:dyDescent="0.3">
      <c r="A3619"/>
      <c r="B3619" s="241"/>
      <c r="C3619" s="241"/>
      <c r="D3619" s="241"/>
      <c r="E3619" s="241"/>
      <c r="F3619" s="241"/>
      <c r="G3619" s="241"/>
      <c r="H3619" s="241"/>
      <c r="I3619"/>
      <c r="J3619" s="241"/>
      <c r="K3619" s="241"/>
      <c r="L3619" s="241"/>
      <c r="M3619" s="241"/>
      <c r="N3619" s="241"/>
      <c r="O3619" s="241"/>
      <c r="P3619" s="241"/>
      <c r="Q3619" s="241"/>
    </row>
    <row r="3620" spans="1:17" ht="13.5" customHeight="1" x14ac:dyDescent="0.3">
      <c r="A3620"/>
      <c r="B3620" s="241"/>
      <c r="C3620" s="241"/>
      <c r="D3620" s="241"/>
      <c r="E3620" s="241"/>
      <c r="F3620" s="241"/>
      <c r="G3620" s="241"/>
      <c r="H3620" s="241"/>
      <c r="I3620"/>
      <c r="J3620" s="241"/>
      <c r="K3620" s="241"/>
      <c r="L3620" s="241"/>
      <c r="M3620" s="241"/>
      <c r="N3620" s="241"/>
      <c r="O3620" s="241"/>
      <c r="P3620" s="241"/>
      <c r="Q3620" s="241"/>
    </row>
    <row r="3621" spans="1:17" ht="13.5" customHeight="1" x14ac:dyDescent="0.3">
      <c r="A3621"/>
      <c r="B3621" s="241"/>
      <c r="C3621" s="241"/>
      <c r="D3621" s="241"/>
      <c r="E3621" s="241"/>
      <c r="F3621" s="241"/>
      <c r="G3621" s="241"/>
      <c r="H3621" s="241"/>
      <c r="I3621"/>
      <c r="J3621" s="241"/>
      <c r="K3621" s="241"/>
      <c r="L3621" s="241"/>
      <c r="M3621" s="241"/>
      <c r="N3621" s="241"/>
      <c r="O3621" s="241"/>
      <c r="P3621" s="241"/>
      <c r="Q3621" s="241"/>
    </row>
    <row r="3622" spans="1:17" ht="13.5" customHeight="1" x14ac:dyDescent="0.3">
      <c r="A3622"/>
      <c r="B3622" s="241"/>
      <c r="C3622" s="241"/>
      <c r="D3622" s="241"/>
      <c r="E3622" s="241"/>
      <c r="F3622" s="241"/>
      <c r="G3622" s="241"/>
      <c r="H3622" s="241"/>
      <c r="I3622"/>
      <c r="J3622" s="241"/>
      <c r="K3622" s="241"/>
      <c r="L3622" s="241"/>
      <c r="M3622" s="241"/>
      <c r="N3622" s="241"/>
      <c r="O3622" s="241"/>
      <c r="P3622" s="241"/>
      <c r="Q3622" s="241"/>
    </row>
    <row r="3623" spans="1:17" ht="13.5" customHeight="1" x14ac:dyDescent="0.3">
      <c r="A3623"/>
      <c r="B3623" s="241"/>
      <c r="C3623" s="241"/>
      <c r="D3623" s="241"/>
      <c r="E3623" s="241"/>
      <c r="F3623" s="241"/>
      <c r="G3623" s="241"/>
      <c r="H3623" s="241"/>
      <c r="I3623"/>
      <c r="J3623" s="241"/>
      <c r="K3623" s="241"/>
      <c r="L3623" s="241"/>
      <c r="M3623" s="241"/>
      <c r="N3623" s="241"/>
      <c r="O3623" s="241"/>
      <c r="P3623" s="241"/>
      <c r="Q3623" s="241"/>
    </row>
    <row r="3624" spans="1:17" ht="13.5" customHeight="1" x14ac:dyDescent="0.3">
      <c r="A3624"/>
      <c r="B3624" s="241"/>
      <c r="C3624" s="241"/>
      <c r="D3624" s="241"/>
      <c r="E3624" s="241"/>
      <c r="F3624" s="241"/>
      <c r="G3624" s="241"/>
      <c r="H3624" s="241"/>
      <c r="I3624"/>
      <c r="J3624" s="241"/>
      <c r="K3624" s="241"/>
      <c r="L3624" s="241"/>
      <c r="M3624" s="241"/>
      <c r="N3624" s="241"/>
      <c r="O3624" s="241"/>
      <c r="P3624" s="241"/>
      <c r="Q3624" s="241"/>
    </row>
    <row r="3625" spans="1:17" ht="13.5" customHeight="1" x14ac:dyDescent="0.3">
      <c r="A3625"/>
      <c r="B3625" s="241"/>
      <c r="C3625" s="241"/>
      <c r="D3625" s="241"/>
      <c r="E3625" s="241"/>
      <c r="F3625" s="241"/>
      <c r="G3625" s="241"/>
      <c r="H3625" s="241"/>
      <c r="I3625"/>
      <c r="J3625" s="241"/>
      <c r="K3625" s="241"/>
      <c r="L3625" s="241"/>
      <c r="M3625" s="241"/>
      <c r="N3625" s="241"/>
      <c r="O3625" s="241"/>
      <c r="P3625" s="241"/>
      <c r="Q3625" s="241"/>
    </row>
    <row r="3626" spans="1:17" ht="13.5" customHeight="1" x14ac:dyDescent="0.3">
      <c r="A3626"/>
      <c r="B3626" s="241"/>
      <c r="C3626" s="241"/>
      <c r="D3626" s="241"/>
      <c r="E3626" s="241"/>
      <c r="F3626" s="241"/>
      <c r="G3626" s="241"/>
      <c r="H3626" s="241"/>
      <c r="I3626"/>
      <c r="J3626" s="241"/>
      <c r="K3626" s="241"/>
      <c r="L3626" s="241"/>
      <c r="M3626" s="241"/>
      <c r="N3626" s="241"/>
      <c r="O3626" s="241"/>
      <c r="P3626" s="241"/>
      <c r="Q3626" s="241"/>
    </row>
    <row r="3627" spans="1:17" ht="13.5" customHeight="1" x14ac:dyDescent="0.3">
      <c r="A3627"/>
      <c r="B3627" s="241"/>
      <c r="C3627" s="241"/>
      <c r="D3627" s="241"/>
      <c r="E3627" s="241"/>
      <c r="F3627" s="241"/>
      <c r="G3627" s="241"/>
      <c r="H3627" s="241"/>
      <c r="I3627"/>
      <c r="J3627" s="241"/>
      <c r="K3627" s="241"/>
      <c r="L3627" s="241"/>
      <c r="M3627" s="241"/>
      <c r="N3627" s="241"/>
      <c r="O3627" s="241"/>
      <c r="P3627" s="241"/>
      <c r="Q3627" s="241"/>
    </row>
    <row r="3628" spans="1:17" ht="13.5" customHeight="1" x14ac:dyDescent="0.3">
      <c r="A3628"/>
      <c r="B3628" s="241"/>
      <c r="C3628" s="241"/>
      <c r="D3628" s="241"/>
      <c r="E3628" s="241"/>
      <c r="F3628" s="241"/>
      <c r="G3628" s="241"/>
      <c r="H3628" s="241"/>
      <c r="I3628"/>
      <c r="J3628" s="241"/>
      <c r="K3628" s="241"/>
      <c r="L3628" s="241"/>
      <c r="M3628" s="241"/>
      <c r="N3628" s="241"/>
      <c r="O3628" s="241"/>
      <c r="P3628" s="241"/>
      <c r="Q3628" s="241"/>
    </row>
    <row r="3629" spans="1:17" ht="13.5" customHeight="1" x14ac:dyDescent="0.3">
      <c r="A3629"/>
      <c r="B3629" s="241"/>
      <c r="C3629" s="241"/>
      <c r="D3629" s="241"/>
      <c r="E3629" s="241"/>
      <c r="F3629" s="241"/>
      <c r="G3629" s="241"/>
      <c r="H3629" s="241"/>
      <c r="I3629"/>
      <c r="J3629" s="241"/>
      <c r="K3629" s="241"/>
      <c r="L3629" s="241"/>
      <c r="M3629" s="241"/>
      <c r="N3629" s="241"/>
      <c r="O3629" s="241"/>
      <c r="P3629" s="241"/>
      <c r="Q3629" s="241"/>
    </row>
    <row r="3630" spans="1:17" ht="13.5" customHeight="1" x14ac:dyDescent="0.3">
      <c r="A3630"/>
      <c r="B3630" s="241"/>
      <c r="C3630" s="241"/>
      <c r="D3630" s="241"/>
      <c r="E3630" s="241"/>
      <c r="F3630" s="241"/>
      <c r="G3630" s="241"/>
      <c r="H3630" s="241"/>
      <c r="I3630"/>
      <c r="J3630" s="241"/>
      <c r="K3630" s="241"/>
      <c r="L3630" s="241"/>
      <c r="M3630" s="241"/>
      <c r="N3630" s="241"/>
      <c r="O3630" s="241"/>
      <c r="P3630" s="241"/>
      <c r="Q3630" s="241"/>
    </row>
    <row r="3631" spans="1:17" ht="13.5" customHeight="1" x14ac:dyDescent="0.3">
      <c r="A3631"/>
      <c r="B3631" s="241"/>
      <c r="C3631" s="241"/>
      <c r="D3631" s="241"/>
      <c r="E3631" s="241"/>
      <c r="F3631" s="241"/>
      <c r="G3631" s="241"/>
      <c r="H3631" s="241"/>
      <c r="I3631"/>
      <c r="J3631" s="241"/>
      <c r="K3631" s="241"/>
      <c r="L3631" s="241"/>
      <c r="M3631" s="241"/>
      <c r="N3631" s="241"/>
      <c r="O3631" s="241"/>
      <c r="P3631" s="241"/>
      <c r="Q3631" s="241"/>
    </row>
    <row r="3632" spans="1:17" ht="13.5" customHeight="1" x14ac:dyDescent="0.3">
      <c r="A3632"/>
      <c r="B3632" s="241"/>
      <c r="C3632" s="241"/>
      <c r="D3632" s="241"/>
      <c r="E3632" s="241"/>
      <c r="F3632" s="241"/>
      <c r="G3632" s="241"/>
      <c r="H3632" s="241"/>
      <c r="I3632"/>
      <c r="J3632" s="241"/>
      <c r="K3632" s="241"/>
      <c r="L3632" s="241"/>
      <c r="M3632" s="241"/>
      <c r="N3632" s="241"/>
      <c r="O3632" s="241"/>
      <c r="P3632" s="241"/>
      <c r="Q3632" s="241"/>
    </row>
    <row r="3633" spans="1:17" ht="13.5" customHeight="1" x14ac:dyDescent="0.3">
      <c r="A3633"/>
      <c r="B3633" s="241"/>
      <c r="C3633" s="241"/>
      <c r="D3633" s="241"/>
      <c r="E3633" s="241"/>
      <c r="F3633" s="241"/>
      <c r="G3633" s="241"/>
      <c r="H3633" s="241"/>
      <c r="I3633"/>
      <c r="J3633" s="241"/>
      <c r="K3633" s="241"/>
      <c r="L3633" s="241"/>
      <c r="M3633" s="241"/>
      <c r="N3633" s="241"/>
      <c r="O3633" s="241"/>
      <c r="P3633" s="241"/>
      <c r="Q3633" s="241"/>
    </row>
    <row r="3634" spans="1:17" ht="13.5" customHeight="1" x14ac:dyDescent="0.3">
      <c r="A3634"/>
      <c r="B3634" s="241"/>
      <c r="C3634" s="241"/>
      <c r="D3634" s="241"/>
      <c r="E3634" s="241"/>
      <c r="F3634" s="241"/>
      <c r="G3634" s="241"/>
      <c r="H3634" s="241"/>
      <c r="I3634"/>
      <c r="J3634" s="241"/>
      <c r="K3634" s="241"/>
      <c r="L3634" s="241"/>
      <c r="M3634" s="241"/>
      <c r="N3634" s="241"/>
      <c r="O3634" s="241"/>
      <c r="P3634" s="241"/>
      <c r="Q3634" s="241"/>
    </row>
    <row r="3635" spans="1:17" ht="13.5" customHeight="1" x14ac:dyDescent="0.3">
      <c r="A3635"/>
      <c r="B3635" s="241"/>
      <c r="C3635" s="241"/>
      <c r="D3635" s="241"/>
      <c r="E3635" s="241"/>
      <c r="F3635" s="241"/>
      <c r="G3635" s="241"/>
      <c r="H3635" s="241"/>
      <c r="I3635"/>
      <c r="J3635" s="241"/>
      <c r="K3635" s="241"/>
      <c r="L3635" s="241"/>
      <c r="M3635" s="241"/>
      <c r="N3635" s="241"/>
      <c r="O3635" s="241"/>
      <c r="P3635" s="241"/>
      <c r="Q3635" s="241"/>
    </row>
    <row r="3636" spans="1:17" ht="13.5" customHeight="1" x14ac:dyDescent="0.3">
      <c r="A3636"/>
      <c r="B3636" s="241"/>
      <c r="C3636" s="241"/>
      <c r="D3636" s="241"/>
      <c r="E3636" s="241"/>
      <c r="F3636" s="241"/>
      <c r="G3636" s="241"/>
      <c r="H3636" s="241"/>
      <c r="I3636"/>
      <c r="J3636" s="241"/>
      <c r="K3636" s="241"/>
      <c r="L3636" s="241"/>
      <c r="M3636" s="241"/>
      <c r="N3636" s="241"/>
      <c r="O3636" s="241"/>
      <c r="P3636" s="241"/>
      <c r="Q3636" s="241"/>
    </row>
    <row r="3637" spans="1:17" ht="13.5" customHeight="1" x14ac:dyDescent="0.3">
      <c r="A3637"/>
      <c r="B3637" s="241"/>
      <c r="C3637" s="241"/>
      <c r="D3637" s="241"/>
      <c r="E3637" s="241"/>
      <c r="F3637" s="241"/>
      <c r="G3637" s="241"/>
      <c r="H3637" s="241"/>
      <c r="I3637"/>
      <c r="J3637" s="241"/>
      <c r="K3637" s="241"/>
      <c r="L3637" s="241"/>
      <c r="M3637" s="241"/>
      <c r="N3637" s="241"/>
      <c r="O3637" s="241"/>
      <c r="P3637" s="241"/>
      <c r="Q3637" s="241"/>
    </row>
    <row r="3638" spans="1:17" ht="13.5" customHeight="1" x14ac:dyDescent="0.3">
      <c r="A3638"/>
      <c r="B3638" s="241"/>
      <c r="C3638" s="241"/>
      <c r="D3638" s="241"/>
      <c r="E3638" s="241"/>
      <c r="F3638" s="241"/>
      <c r="G3638" s="241"/>
      <c r="H3638" s="241"/>
      <c r="I3638"/>
      <c r="J3638" s="241"/>
      <c r="K3638" s="241"/>
      <c r="L3638" s="241"/>
      <c r="M3638" s="241"/>
      <c r="N3638" s="241"/>
      <c r="O3638" s="241"/>
      <c r="P3638" s="241"/>
      <c r="Q3638" s="241"/>
    </row>
    <row r="3639" spans="1:17" ht="13.5" customHeight="1" x14ac:dyDescent="0.3">
      <c r="A3639"/>
      <c r="B3639" s="241"/>
      <c r="C3639" s="241"/>
      <c r="D3639" s="241"/>
      <c r="E3639" s="241"/>
      <c r="F3639" s="241"/>
      <c r="G3639" s="241"/>
      <c r="H3639" s="241"/>
      <c r="I3639"/>
      <c r="J3639" s="241"/>
      <c r="K3639" s="241"/>
      <c r="L3639" s="241"/>
      <c r="M3639" s="241"/>
      <c r="N3639" s="241"/>
      <c r="O3639" s="241"/>
      <c r="P3639" s="241"/>
      <c r="Q3639" s="241"/>
    </row>
    <row r="3640" spans="1:17" ht="13.5" customHeight="1" x14ac:dyDescent="0.3">
      <c r="A3640"/>
      <c r="B3640" s="241"/>
      <c r="C3640" s="241"/>
      <c r="D3640" s="241"/>
      <c r="E3640" s="241"/>
      <c r="F3640" s="241"/>
      <c r="G3640" s="241"/>
      <c r="H3640" s="241"/>
      <c r="I3640"/>
      <c r="J3640" s="241"/>
      <c r="K3640" s="241"/>
      <c r="L3640" s="241"/>
      <c r="M3640" s="241"/>
      <c r="N3640" s="241"/>
      <c r="O3640" s="241"/>
      <c r="P3640" s="241"/>
      <c r="Q3640" s="241"/>
    </row>
    <row r="3641" spans="1:17" ht="13.5" customHeight="1" x14ac:dyDescent="0.3">
      <c r="A3641"/>
      <c r="B3641" s="241"/>
      <c r="C3641" s="241"/>
      <c r="D3641" s="241"/>
      <c r="E3641" s="241"/>
      <c r="F3641" s="241"/>
      <c r="G3641" s="241"/>
      <c r="H3641" s="241"/>
      <c r="I3641"/>
      <c r="J3641" s="241"/>
      <c r="K3641" s="241"/>
      <c r="L3641" s="241"/>
      <c r="M3641" s="241"/>
      <c r="N3641" s="241"/>
      <c r="O3641" s="241"/>
      <c r="P3641" s="241"/>
      <c r="Q3641" s="241"/>
    </row>
    <row r="3642" spans="1:17" ht="13.5" customHeight="1" x14ac:dyDescent="0.3">
      <c r="A3642"/>
      <c r="B3642" s="241"/>
      <c r="C3642" s="241"/>
      <c r="D3642" s="241"/>
      <c r="E3642" s="241"/>
      <c r="F3642" s="241"/>
      <c r="G3642" s="241"/>
      <c r="H3642" s="241"/>
      <c r="I3642"/>
      <c r="J3642" s="241"/>
      <c r="K3642" s="241"/>
      <c r="L3642" s="241"/>
      <c r="M3642" s="241"/>
      <c r="N3642" s="241"/>
      <c r="O3642" s="241"/>
      <c r="P3642" s="241"/>
      <c r="Q3642" s="241"/>
    </row>
    <row r="3643" spans="1:17" ht="13.5" customHeight="1" x14ac:dyDescent="0.3">
      <c r="A3643"/>
      <c r="B3643" s="241"/>
      <c r="C3643" s="241"/>
      <c r="D3643" s="241"/>
      <c r="E3643" s="241"/>
      <c r="F3643" s="241"/>
      <c r="G3643" s="241"/>
      <c r="H3643" s="241"/>
      <c r="I3643"/>
      <c r="J3643" s="241"/>
      <c r="K3643" s="241"/>
      <c r="L3643" s="241"/>
      <c r="M3643" s="241"/>
      <c r="N3643" s="241"/>
      <c r="O3643" s="241"/>
      <c r="P3643" s="241"/>
      <c r="Q3643" s="241"/>
    </row>
    <row r="3644" spans="1:17" ht="13.5" customHeight="1" x14ac:dyDescent="0.3">
      <c r="A3644"/>
      <c r="B3644" s="241"/>
      <c r="C3644" s="241"/>
      <c r="D3644" s="241"/>
      <c r="E3644" s="241"/>
      <c r="F3644" s="241"/>
      <c r="G3644" s="241"/>
      <c r="H3644" s="241"/>
      <c r="I3644"/>
      <c r="J3644" s="241"/>
      <c r="K3644" s="241"/>
      <c r="L3644" s="241"/>
      <c r="M3644" s="241"/>
      <c r="N3644" s="241"/>
      <c r="O3644" s="241"/>
      <c r="P3644" s="241"/>
      <c r="Q3644" s="241"/>
    </row>
    <row r="3645" spans="1:17" ht="13.5" customHeight="1" x14ac:dyDescent="0.3">
      <c r="A3645"/>
      <c r="B3645" s="241"/>
      <c r="C3645" s="241"/>
      <c r="D3645" s="241"/>
      <c r="E3645" s="241"/>
      <c r="F3645" s="241"/>
      <c r="G3645" s="241"/>
      <c r="H3645" s="241"/>
      <c r="I3645"/>
      <c r="J3645" s="241"/>
      <c r="K3645" s="241"/>
      <c r="L3645" s="241"/>
      <c r="M3645" s="241"/>
      <c r="N3645" s="241"/>
      <c r="O3645" s="241"/>
      <c r="P3645" s="241"/>
      <c r="Q3645" s="241"/>
    </row>
    <row r="3646" spans="1:17" ht="13.5" customHeight="1" x14ac:dyDescent="0.3">
      <c r="A3646"/>
      <c r="B3646" s="241"/>
      <c r="C3646" s="241"/>
      <c r="D3646" s="241"/>
      <c r="E3646" s="241"/>
      <c r="F3646" s="241"/>
      <c r="G3646" s="241"/>
      <c r="H3646" s="241"/>
      <c r="I3646"/>
      <c r="J3646" s="241"/>
      <c r="K3646" s="241"/>
      <c r="L3646" s="241"/>
      <c r="M3646" s="241"/>
      <c r="N3646" s="241"/>
      <c r="O3646" s="241"/>
      <c r="P3646" s="241"/>
      <c r="Q3646" s="241"/>
    </row>
    <row r="3647" spans="1:17" ht="13.5" customHeight="1" x14ac:dyDescent="0.3">
      <c r="A3647"/>
      <c r="B3647" s="241"/>
      <c r="C3647" s="241"/>
      <c r="D3647" s="241"/>
      <c r="E3647" s="241"/>
      <c r="F3647" s="241"/>
      <c r="G3647" s="241"/>
      <c r="H3647" s="241"/>
      <c r="I3647"/>
      <c r="J3647" s="241"/>
      <c r="K3647" s="241"/>
      <c r="L3647" s="241"/>
      <c r="M3647" s="241"/>
      <c r="N3647" s="241"/>
      <c r="O3647" s="241"/>
      <c r="P3647" s="241"/>
      <c r="Q3647" s="241"/>
    </row>
    <row r="3648" spans="1:17" ht="13.5" customHeight="1" x14ac:dyDescent="0.3">
      <c r="A3648"/>
      <c r="B3648" s="241"/>
      <c r="C3648" s="241"/>
      <c r="D3648" s="241"/>
      <c r="E3648" s="241"/>
      <c r="F3648" s="241"/>
      <c r="G3648" s="241"/>
      <c r="H3648" s="241"/>
      <c r="I3648"/>
      <c r="J3648" s="241"/>
      <c r="K3648" s="241"/>
      <c r="L3648" s="241"/>
      <c r="M3648" s="241"/>
      <c r="N3648" s="241"/>
      <c r="O3648" s="241"/>
      <c r="P3648" s="241"/>
      <c r="Q3648" s="241"/>
    </row>
    <row r="3649" spans="1:17" ht="13.5" customHeight="1" x14ac:dyDescent="0.3">
      <c r="A3649"/>
      <c r="B3649" s="241"/>
      <c r="C3649" s="241"/>
      <c r="D3649" s="241"/>
      <c r="E3649" s="241"/>
      <c r="F3649" s="241"/>
      <c r="G3649" s="241"/>
      <c r="H3649" s="241"/>
      <c r="I3649"/>
      <c r="J3649" s="241"/>
      <c r="K3649" s="241"/>
      <c r="L3649" s="241"/>
      <c r="M3649" s="241"/>
      <c r="N3649" s="241"/>
      <c r="O3649" s="241"/>
      <c r="P3649" s="241"/>
      <c r="Q3649" s="241"/>
    </row>
    <row r="3650" spans="1:17" ht="13.5" customHeight="1" x14ac:dyDescent="0.3">
      <c r="A3650"/>
      <c r="B3650" s="241"/>
      <c r="C3650" s="241"/>
      <c r="D3650" s="241"/>
      <c r="E3650" s="241"/>
      <c r="F3650" s="241"/>
      <c r="G3650" s="241"/>
      <c r="H3650" s="241"/>
      <c r="I3650"/>
      <c r="J3650" s="241"/>
      <c r="K3650" s="241"/>
      <c r="L3650" s="241"/>
      <c r="M3650" s="241"/>
      <c r="N3650" s="241"/>
      <c r="O3650" s="241"/>
      <c r="P3650" s="241"/>
      <c r="Q3650" s="241"/>
    </row>
    <row r="3651" spans="1:17" ht="13.5" customHeight="1" x14ac:dyDescent="0.3">
      <c r="A3651"/>
      <c r="B3651" s="241"/>
      <c r="C3651" s="241"/>
      <c r="D3651" s="241"/>
      <c r="E3651" s="241"/>
      <c r="F3651" s="241"/>
      <c r="G3651" s="241"/>
      <c r="H3651" s="241"/>
      <c r="I3651"/>
      <c r="J3651" s="241"/>
      <c r="K3651" s="241"/>
      <c r="L3651" s="241"/>
      <c r="M3651" s="241"/>
      <c r="N3651" s="241"/>
      <c r="O3651" s="241"/>
      <c r="P3651" s="241"/>
      <c r="Q3651" s="241"/>
    </row>
    <row r="3652" spans="1:17" ht="13.5" customHeight="1" x14ac:dyDescent="0.3">
      <c r="A3652"/>
      <c r="B3652" s="241"/>
      <c r="C3652" s="241"/>
      <c r="D3652" s="241"/>
      <c r="E3652" s="241"/>
      <c r="F3652" s="241"/>
      <c r="G3652" s="241"/>
      <c r="H3652" s="241"/>
      <c r="I3652"/>
      <c r="J3652" s="241"/>
      <c r="K3652" s="241"/>
      <c r="L3652" s="241"/>
      <c r="M3652" s="241"/>
      <c r="N3652" s="241"/>
      <c r="O3652" s="241"/>
      <c r="P3652" s="241"/>
      <c r="Q3652" s="241"/>
    </row>
    <row r="3653" spans="1:17" ht="13.5" customHeight="1" x14ac:dyDescent="0.3">
      <c r="A3653"/>
      <c r="B3653" s="241"/>
      <c r="C3653" s="241"/>
      <c r="D3653" s="241"/>
      <c r="E3653" s="241"/>
      <c r="F3653" s="241"/>
      <c r="G3653" s="241"/>
      <c r="H3653" s="241"/>
      <c r="I3653"/>
      <c r="J3653" s="241"/>
      <c r="K3653" s="241"/>
      <c r="L3653" s="241"/>
      <c r="M3653" s="241"/>
      <c r="N3653" s="241"/>
      <c r="O3653" s="241"/>
      <c r="P3653" s="241"/>
      <c r="Q3653" s="241"/>
    </row>
    <row r="3654" spans="1:17" ht="13.5" customHeight="1" x14ac:dyDescent="0.3">
      <c r="A3654"/>
      <c r="B3654" s="241"/>
      <c r="C3654" s="241"/>
      <c r="D3654" s="241"/>
      <c r="E3654" s="241"/>
      <c r="F3654" s="241"/>
      <c r="G3654" s="241"/>
      <c r="H3654" s="241"/>
      <c r="I3654"/>
      <c r="J3654" s="241"/>
      <c r="K3654" s="241"/>
      <c r="L3654" s="241"/>
      <c r="M3654" s="241"/>
      <c r="N3654" s="241"/>
      <c r="O3654" s="241"/>
      <c r="P3654" s="241"/>
      <c r="Q3654" s="241"/>
    </row>
    <row r="3655" spans="1:17" ht="13.5" customHeight="1" x14ac:dyDescent="0.3">
      <c r="A3655"/>
      <c r="B3655" s="241"/>
      <c r="C3655" s="241"/>
      <c r="D3655" s="241"/>
      <c r="E3655" s="241"/>
      <c r="F3655" s="241"/>
      <c r="G3655" s="241"/>
      <c r="H3655" s="241"/>
      <c r="I3655"/>
      <c r="J3655" s="241"/>
      <c r="K3655" s="241"/>
      <c r="L3655" s="241"/>
      <c r="M3655" s="241"/>
      <c r="N3655" s="241"/>
      <c r="O3655" s="241"/>
      <c r="P3655" s="241"/>
      <c r="Q3655" s="241"/>
    </row>
    <row r="3656" spans="1:17" ht="13.5" customHeight="1" x14ac:dyDescent="0.3">
      <c r="A3656"/>
      <c r="B3656" s="241"/>
      <c r="C3656" s="241"/>
      <c r="D3656" s="241"/>
      <c r="E3656" s="241"/>
      <c r="F3656" s="241"/>
      <c r="G3656" s="241"/>
      <c r="H3656" s="241"/>
      <c r="I3656"/>
      <c r="J3656" s="241"/>
      <c r="K3656" s="241"/>
      <c r="L3656" s="241"/>
      <c r="M3656" s="241"/>
      <c r="N3656" s="241"/>
      <c r="O3656" s="241"/>
      <c r="P3656" s="241"/>
      <c r="Q3656" s="241"/>
    </row>
    <row r="3657" spans="1:17" ht="13.5" customHeight="1" x14ac:dyDescent="0.3">
      <c r="A3657"/>
      <c r="B3657" s="241"/>
      <c r="C3657" s="241"/>
      <c r="D3657" s="241"/>
      <c r="E3657" s="241"/>
      <c r="F3657" s="241"/>
      <c r="G3657" s="241"/>
      <c r="H3657" s="241"/>
      <c r="I3657"/>
      <c r="J3657" s="241"/>
      <c r="K3657" s="241"/>
      <c r="L3657" s="241"/>
      <c r="M3657" s="241"/>
      <c r="N3657" s="241"/>
      <c r="O3657" s="241"/>
      <c r="P3657" s="241"/>
      <c r="Q3657" s="241"/>
    </row>
    <row r="3658" spans="1:17" ht="13.5" customHeight="1" x14ac:dyDescent="0.3">
      <c r="A3658"/>
      <c r="B3658" s="241"/>
      <c r="C3658" s="241"/>
      <c r="D3658" s="241"/>
      <c r="E3658" s="241"/>
      <c r="F3658" s="241"/>
      <c r="G3658" s="241"/>
      <c r="H3658" s="241"/>
      <c r="I3658"/>
      <c r="J3658" s="241"/>
      <c r="K3658" s="241"/>
      <c r="L3658" s="241"/>
      <c r="M3658" s="241"/>
      <c r="N3658" s="241"/>
      <c r="O3658" s="241"/>
      <c r="P3658" s="241"/>
      <c r="Q3658" s="241"/>
    </row>
    <row r="3659" spans="1:17" ht="13.5" customHeight="1" x14ac:dyDescent="0.3">
      <c r="A3659"/>
      <c r="B3659" s="241"/>
      <c r="C3659" s="241"/>
      <c r="D3659" s="241"/>
      <c r="E3659" s="241"/>
      <c r="F3659" s="241"/>
      <c r="G3659" s="241"/>
      <c r="H3659" s="241"/>
      <c r="I3659"/>
      <c r="J3659" s="241"/>
      <c r="K3659" s="241"/>
      <c r="L3659" s="241"/>
      <c r="M3659" s="241"/>
      <c r="N3659" s="241"/>
      <c r="O3659" s="241"/>
      <c r="P3659" s="241"/>
      <c r="Q3659" s="241"/>
    </row>
    <row r="3660" spans="1:17" ht="13.5" customHeight="1" x14ac:dyDescent="0.3">
      <c r="A3660"/>
      <c r="B3660" s="241"/>
      <c r="C3660" s="241"/>
      <c r="D3660" s="241"/>
      <c r="E3660" s="241"/>
      <c r="F3660" s="241"/>
      <c r="G3660" s="241"/>
      <c r="H3660" s="241"/>
      <c r="I3660"/>
      <c r="J3660" s="241"/>
      <c r="K3660" s="241"/>
      <c r="L3660" s="241"/>
      <c r="M3660" s="241"/>
      <c r="N3660" s="241"/>
      <c r="O3660" s="241"/>
      <c r="P3660" s="241"/>
      <c r="Q3660" s="241"/>
    </row>
    <row r="3661" spans="1:17" ht="13.5" customHeight="1" x14ac:dyDescent="0.3">
      <c r="A3661"/>
      <c r="B3661" s="241"/>
      <c r="C3661" s="241"/>
      <c r="D3661" s="241"/>
      <c r="E3661" s="241"/>
      <c r="F3661" s="241"/>
      <c r="G3661" s="241"/>
      <c r="H3661" s="241"/>
      <c r="I3661"/>
      <c r="J3661" s="241"/>
      <c r="K3661" s="241"/>
      <c r="L3661" s="241"/>
      <c r="M3661" s="241"/>
      <c r="N3661" s="241"/>
      <c r="O3661" s="241"/>
      <c r="P3661" s="241"/>
      <c r="Q3661" s="241"/>
    </row>
    <row r="3662" spans="1:17" ht="13.5" customHeight="1" x14ac:dyDescent="0.3">
      <c r="A3662"/>
      <c r="B3662" s="241"/>
      <c r="C3662" s="241"/>
      <c r="D3662" s="241"/>
      <c r="E3662" s="241"/>
      <c r="F3662" s="241"/>
      <c r="G3662" s="241"/>
      <c r="H3662" s="241"/>
      <c r="I3662"/>
      <c r="J3662" s="241"/>
      <c r="K3662" s="241"/>
      <c r="L3662" s="241"/>
      <c r="M3662" s="241"/>
      <c r="N3662" s="241"/>
      <c r="O3662" s="241"/>
      <c r="P3662" s="241"/>
      <c r="Q3662" s="241"/>
    </row>
    <row r="3663" spans="1:17" ht="13.5" customHeight="1" x14ac:dyDescent="0.3">
      <c r="A3663"/>
      <c r="B3663" s="241"/>
      <c r="C3663" s="241"/>
      <c r="D3663" s="241"/>
      <c r="E3663" s="241"/>
      <c r="F3663" s="241"/>
      <c r="G3663" s="241"/>
      <c r="H3663" s="241"/>
      <c r="I3663"/>
      <c r="J3663" s="241"/>
      <c r="K3663" s="241"/>
      <c r="L3663" s="241"/>
      <c r="M3663" s="241"/>
      <c r="N3663" s="241"/>
      <c r="O3663" s="241"/>
      <c r="P3663" s="241"/>
      <c r="Q3663" s="241"/>
    </row>
    <row r="3664" spans="1:17" ht="13.5" customHeight="1" x14ac:dyDescent="0.3">
      <c r="A3664"/>
      <c r="B3664" s="241"/>
      <c r="C3664" s="241"/>
      <c r="D3664" s="241"/>
      <c r="E3664" s="241"/>
      <c r="F3664" s="241"/>
      <c r="G3664" s="241"/>
      <c r="H3664" s="241"/>
      <c r="I3664"/>
      <c r="J3664" s="241"/>
      <c r="K3664" s="241"/>
      <c r="L3664" s="241"/>
      <c r="M3664" s="241"/>
      <c r="N3664" s="241"/>
      <c r="O3664" s="241"/>
      <c r="P3664" s="241"/>
      <c r="Q3664" s="241"/>
    </row>
    <row r="3665" spans="1:17" ht="13.5" customHeight="1" x14ac:dyDescent="0.3">
      <c r="A3665"/>
      <c r="B3665" s="241"/>
      <c r="C3665" s="241"/>
      <c r="D3665" s="241"/>
      <c r="E3665" s="241"/>
      <c r="F3665" s="241"/>
      <c r="G3665" s="241"/>
      <c r="H3665" s="241"/>
      <c r="I3665"/>
      <c r="J3665" s="241"/>
      <c r="K3665" s="241"/>
      <c r="L3665" s="241"/>
      <c r="M3665" s="241"/>
      <c r="N3665" s="241"/>
      <c r="O3665" s="241"/>
      <c r="P3665" s="241"/>
      <c r="Q3665" s="241"/>
    </row>
    <row r="3666" spans="1:17" ht="13.5" customHeight="1" x14ac:dyDescent="0.3">
      <c r="A3666"/>
      <c r="B3666" s="241"/>
      <c r="C3666" s="241"/>
      <c r="D3666" s="241"/>
      <c r="E3666" s="241"/>
      <c r="F3666" s="241"/>
      <c r="G3666" s="241"/>
      <c r="H3666" s="241"/>
      <c r="I3666"/>
      <c r="J3666" s="241"/>
      <c r="K3666" s="241"/>
      <c r="L3666" s="241"/>
      <c r="M3666" s="241"/>
      <c r="N3666" s="241"/>
      <c r="O3666" s="241"/>
      <c r="P3666" s="241"/>
      <c r="Q3666" s="241"/>
    </row>
    <row r="3667" spans="1:17" ht="13.5" customHeight="1" x14ac:dyDescent="0.3">
      <c r="A3667"/>
      <c r="B3667" s="241"/>
      <c r="C3667" s="241"/>
      <c r="D3667" s="241"/>
      <c r="E3667" s="241"/>
      <c r="F3667" s="241"/>
      <c r="G3667" s="241"/>
      <c r="H3667" s="241"/>
      <c r="I3667"/>
      <c r="J3667" s="241"/>
      <c r="K3667" s="241"/>
      <c r="L3667" s="241"/>
      <c r="M3667" s="241"/>
      <c r="N3667" s="241"/>
      <c r="O3667" s="241"/>
      <c r="P3667" s="241"/>
      <c r="Q3667" s="241"/>
    </row>
    <row r="3668" spans="1:17" ht="13.5" customHeight="1" x14ac:dyDescent="0.3">
      <c r="A3668"/>
      <c r="B3668" s="241"/>
      <c r="C3668" s="241"/>
      <c r="D3668" s="241"/>
      <c r="E3668" s="241"/>
      <c r="F3668" s="241"/>
      <c r="G3668" s="241"/>
      <c r="H3668" s="241"/>
      <c r="I3668"/>
      <c r="J3668" s="241"/>
      <c r="K3668" s="241"/>
      <c r="L3668" s="241"/>
      <c r="M3668" s="241"/>
      <c r="N3668" s="241"/>
      <c r="O3668" s="241"/>
      <c r="P3668" s="241"/>
      <c r="Q3668" s="241"/>
    </row>
    <row r="3669" spans="1:17" ht="13.5" customHeight="1" x14ac:dyDescent="0.3">
      <c r="A3669"/>
      <c r="B3669" s="241"/>
      <c r="C3669" s="241"/>
      <c r="D3669" s="241"/>
      <c r="E3669" s="241"/>
      <c r="F3669" s="241"/>
      <c r="G3669" s="241"/>
      <c r="H3669" s="241"/>
      <c r="I3669"/>
      <c r="J3669" s="241"/>
      <c r="K3669" s="241"/>
      <c r="L3669" s="241"/>
      <c r="M3669" s="241"/>
      <c r="N3669" s="241"/>
      <c r="O3669" s="241"/>
      <c r="P3669" s="241"/>
      <c r="Q3669" s="241"/>
    </row>
    <row r="3670" spans="1:17" ht="13.5" customHeight="1" x14ac:dyDescent="0.3">
      <c r="A3670"/>
      <c r="B3670" s="241"/>
      <c r="C3670" s="241"/>
      <c r="D3670" s="241"/>
      <c r="E3670" s="241"/>
      <c r="F3670" s="241"/>
      <c r="G3670" s="241"/>
      <c r="H3670" s="241"/>
      <c r="I3670"/>
      <c r="J3670" s="241"/>
      <c r="K3670" s="241"/>
      <c r="L3670" s="241"/>
      <c r="M3670" s="241"/>
      <c r="N3670" s="241"/>
      <c r="O3670" s="241"/>
      <c r="P3670" s="241"/>
      <c r="Q3670" s="241"/>
    </row>
    <row r="3671" spans="1:17" ht="13.5" customHeight="1" x14ac:dyDescent="0.3">
      <c r="A3671"/>
      <c r="B3671" s="241"/>
      <c r="C3671" s="241"/>
      <c r="D3671" s="241"/>
      <c r="E3671" s="241"/>
      <c r="F3671" s="241"/>
      <c r="G3671" s="241"/>
      <c r="H3671" s="241"/>
      <c r="I3671"/>
      <c r="J3671" s="241"/>
      <c r="K3671" s="241"/>
      <c r="L3671" s="241"/>
      <c r="M3671" s="241"/>
      <c r="N3671" s="241"/>
      <c r="O3671" s="241"/>
      <c r="P3671" s="241"/>
      <c r="Q3671" s="241"/>
    </row>
    <row r="3672" spans="1:17" ht="13.5" customHeight="1" x14ac:dyDescent="0.3">
      <c r="A3672"/>
      <c r="B3672" s="241"/>
      <c r="C3672" s="241"/>
      <c r="D3672" s="241"/>
      <c r="E3672" s="241"/>
      <c r="F3672" s="241"/>
      <c r="G3672" s="241"/>
      <c r="H3672" s="241"/>
      <c r="I3672"/>
      <c r="J3672" s="241"/>
      <c r="K3672" s="241"/>
      <c r="L3672" s="241"/>
      <c r="M3672" s="241"/>
      <c r="N3672" s="241"/>
      <c r="O3672" s="241"/>
      <c r="P3672" s="241"/>
      <c r="Q3672" s="241"/>
    </row>
    <row r="3673" spans="1:17" ht="13.5" customHeight="1" x14ac:dyDescent="0.3">
      <c r="A3673"/>
      <c r="B3673" s="241"/>
      <c r="C3673" s="241"/>
      <c r="D3673" s="241"/>
      <c r="E3673" s="241"/>
      <c r="F3673" s="241"/>
      <c r="G3673" s="241"/>
      <c r="H3673" s="241"/>
      <c r="I3673"/>
      <c r="J3673" s="241"/>
      <c r="K3673" s="241"/>
      <c r="L3673" s="241"/>
      <c r="M3673" s="241"/>
      <c r="N3673" s="241"/>
      <c r="O3673" s="241"/>
      <c r="P3673" s="241"/>
      <c r="Q3673" s="241"/>
    </row>
    <row r="3674" spans="1:17" ht="13.5" customHeight="1" x14ac:dyDescent="0.3">
      <c r="A3674"/>
      <c r="B3674" s="241"/>
      <c r="C3674" s="241"/>
      <c r="D3674" s="241"/>
      <c r="E3674" s="241"/>
      <c r="F3674" s="241"/>
      <c r="G3674" s="241"/>
      <c r="H3674" s="241"/>
      <c r="I3674"/>
      <c r="J3674" s="241"/>
      <c r="K3674" s="241"/>
      <c r="L3674" s="241"/>
      <c r="M3674" s="241"/>
      <c r="N3674" s="241"/>
      <c r="O3674" s="241"/>
      <c r="P3674" s="241"/>
      <c r="Q3674" s="241"/>
    </row>
    <row r="3675" spans="1:17" ht="13.5" customHeight="1" x14ac:dyDescent="0.3">
      <c r="A3675"/>
      <c r="B3675" s="241"/>
      <c r="C3675" s="241"/>
      <c r="D3675" s="241"/>
      <c r="E3675" s="241"/>
      <c r="F3675" s="241"/>
      <c r="G3675" s="241"/>
      <c r="H3675" s="241"/>
      <c r="I3675"/>
      <c r="J3675" s="241"/>
      <c r="K3675" s="241"/>
      <c r="L3675" s="241"/>
      <c r="M3675" s="241"/>
      <c r="N3675" s="241"/>
      <c r="O3675" s="241"/>
      <c r="P3675" s="241"/>
      <c r="Q3675" s="241"/>
    </row>
    <row r="3676" spans="1:17" ht="13.5" customHeight="1" x14ac:dyDescent="0.3">
      <c r="A3676"/>
      <c r="B3676" s="241"/>
      <c r="C3676" s="241"/>
      <c r="D3676" s="241"/>
      <c r="E3676" s="241"/>
      <c r="F3676" s="241"/>
      <c r="G3676" s="241"/>
      <c r="H3676" s="241"/>
      <c r="I3676"/>
      <c r="J3676" s="241"/>
      <c r="K3676" s="241"/>
      <c r="L3676" s="241"/>
      <c r="M3676" s="241"/>
      <c r="N3676" s="241"/>
      <c r="O3676" s="241"/>
      <c r="P3676" s="241"/>
      <c r="Q3676" s="241"/>
    </row>
    <row r="3677" spans="1:17" ht="13.5" customHeight="1" x14ac:dyDescent="0.3">
      <c r="A3677"/>
      <c r="B3677" s="241"/>
      <c r="C3677" s="241"/>
      <c r="D3677" s="241"/>
      <c r="E3677" s="241"/>
      <c r="F3677" s="241"/>
      <c r="G3677" s="241"/>
      <c r="H3677" s="241"/>
      <c r="I3677"/>
      <c r="J3677" s="241"/>
      <c r="K3677" s="241"/>
      <c r="L3677" s="241"/>
      <c r="M3677" s="241"/>
      <c r="N3677" s="241"/>
      <c r="O3677" s="241"/>
      <c r="P3677" s="241"/>
      <c r="Q3677" s="241"/>
    </row>
    <row r="3678" spans="1:17" ht="13.5" customHeight="1" x14ac:dyDescent="0.3">
      <c r="A3678"/>
      <c r="B3678" s="241"/>
      <c r="C3678" s="241"/>
      <c r="D3678" s="241"/>
      <c r="E3678" s="241"/>
      <c r="F3678" s="241"/>
      <c r="G3678" s="241"/>
      <c r="H3678" s="241"/>
      <c r="I3678"/>
      <c r="J3678" s="241"/>
      <c r="K3678" s="241"/>
      <c r="L3678" s="241"/>
      <c r="M3678" s="241"/>
      <c r="N3678" s="241"/>
      <c r="O3678" s="241"/>
      <c r="P3678" s="241"/>
      <c r="Q3678" s="241"/>
    </row>
    <row r="3679" spans="1:17" ht="13.5" customHeight="1" x14ac:dyDescent="0.3">
      <c r="A3679"/>
      <c r="B3679" s="241"/>
      <c r="C3679" s="241"/>
      <c r="D3679" s="241"/>
      <c r="E3679" s="241"/>
      <c r="F3679" s="241"/>
      <c r="G3679" s="241"/>
      <c r="H3679" s="241"/>
      <c r="I3679"/>
      <c r="J3679" s="241"/>
      <c r="K3679" s="241"/>
      <c r="L3679" s="241"/>
      <c r="M3679" s="241"/>
      <c r="N3679" s="241"/>
      <c r="O3679" s="241"/>
      <c r="P3679" s="241"/>
      <c r="Q3679" s="241"/>
    </row>
    <row r="3680" spans="1:17" ht="13.5" customHeight="1" x14ac:dyDescent="0.3">
      <c r="A3680"/>
      <c r="B3680" s="241"/>
      <c r="C3680" s="241"/>
      <c r="D3680" s="241"/>
      <c r="E3680" s="241"/>
      <c r="F3680" s="241"/>
      <c r="G3680" s="241"/>
      <c r="H3680" s="241"/>
      <c r="I3680"/>
      <c r="J3680" s="241"/>
      <c r="K3680" s="241"/>
      <c r="L3680" s="241"/>
      <c r="M3680" s="241"/>
      <c r="N3680" s="241"/>
      <c r="O3680" s="241"/>
      <c r="P3680" s="241"/>
      <c r="Q3680" s="241"/>
    </row>
    <row r="3681" spans="1:17" ht="13.5" customHeight="1" x14ac:dyDescent="0.3">
      <c r="A3681"/>
      <c r="B3681" s="241"/>
      <c r="C3681" s="241"/>
      <c r="D3681" s="241"/>
      <c r="E3681" s="241"/>
      <c r="F3681" s="241"/>
      <c r="G3681" s="241"/>
      <c r="H3681" s="241"/>
      <c r="I3681"/>
      <c r="J3681" s="241"/>
      <c r="K3681" s="241"/>
      <c r="L3681" s="241"/>
      <c r="M3681" s="241"/>
      <c r="N3681" s="241"/>
      <c r="O3681" s="241"/>
      <c r="P3681" s="241"/>
      <c r="Q3681" s="241"/>
    </row>
    <row r="3682" spans="1:17" ht="13.5" customHeight="1" x14ac:dyDescent="0.3">
      <c r="A3682"/>
      <c r="B3682" s="241"/>
      <c r="C3682" s="241"/>
      <c r="D3682" s="241"/>
      <c r="E3682" s="241"/>
      <c r="F3682" s="241"/>
      <c r="G3682" s="241"/>
      <c r="H3682" s="241"/>
      <c r="I3682"/>
      <c r="J3682" s="241"/>
      <c r="K3682" s="241"/>
      <c r="L3682" s="241"/>
      <c r="M3682" s="241"/>
      <c r="N3682" s="241"/>
      <c r="O3682" s="241"/>
      <c r="P3682" s="241"/>
      <c r="Q3682" s="241"/>
    </row>
    <row r="3683" spans="1:17" ht="13.5" customHeight="1" x14ac:dyDescent="0.3">
      <c r="A3683"/>
      <c r="B3683" s="241"/>
      <c r="C3683" s="241"/>
      <c r="D3683" s="241"/>
      <c r="E3683" s="241"/>
      <c r="F3683" s="241"/>
      <c r="G3683" s="241"/>
      <c r="H3683" s="241"/>
      <c r="I3683"/>
      <c r="J3683" s="241"/>
      <c r="K3683" s="241"/>
      <c r="L3683" s="241"/>
      <c r="M3683" s="241"/>
      <c r="N3683" s="241"/>
      <c r="O3683" s="241"/>
      <c r="P3683" s="241"/>
      <c r="Q3683" s="241"/>
    </row>
    <row r="3684" spans="1:17" ht="13.5" customHeight="1" x14ac:dyDescent="0.3">
      <c r="A3684"/>
      <c r="B3684" s="241"/>
      <c r="C3684" s="241"/>
      <c r="D3684" s="241"/>
      <c r="E3684" s="241"/>
      <c r="F3684" s="241"/>
      <c r="G3684" s="241"/>
      <c r="H3684" s="241"/>
      <c r="I3684"/>
      <c r="J3684" s="241"/>
      <c r="K3684" s="241"/>
      <c r="L3684" s="241"/>
      <c r="M3684" s="241"/>
      <c r="N3684" s="241"/>
      <c r="O3684" s="241"/>
      <c r="P3684" s="241"/>
      <c r="Q3684" s="241"/>
    </row>
    <row r="3685" spans="1:17" ht="13.5" customHeight="1" x14ac:dyDescent="0.3">
      <c r="A3685"/>
      <c r="B3685" s="241"/>
      <c r="C3685" s="241"/>
      <c r="D3685" s="241"/>
      <c r="E3685" s="241"/>
      <c r="F3685" s="241"/>
      <c r="G3685" s="241"/>
      <c r="H3685" s="241"/>
      <c r="I3685"/>
      <c r="J3685" s="241"/>
      <c r="K3685" s="241"/>
      <c r="L3685" s="241"/>
      <c r="M3685" s="241"/>
      <c r="N3685" s="241"/>
      <c r="O3685" s="241"/>
      <c r="P3685" s="241"/>
      <c r="Q3685" s="241"/>
    </row>
    <row r="3686" spans="1:17" ht="13.5" customHeight="1" x14ac:dyDescent="0.3">
      <c r="A3686"/>
      <c r="B3686" s="241"/>
      <c r="C3686" s="241"/>
      <c r="D3686" s="241"/>
      <c r="E3686" s="241"/>
      <c r="F3686" s="241"/>
      <c r="G3686" s="241"/>
      <c r="H3686" s="241"/>
      <c r="I3686"/>
      <c r="J3686" s="241"/>
      <c r="K3686" s="241"/>
      <c r="L3686" s="241"/>
      <c r="M3686" s="241"/>
      <c r="N3686" s="241"/>
      <c r="O3686" s="241"/>
      <c r="P3686" s="241"/>
      <c r="Q3686" s="241"/>
    </row>
    <row r="3687" spans="1:17" ht="13.5" customHeight="1" x14ac:dyDescent="0.3">
      <c r="A3687"/>
      <c r="B3687" s="241"/>
      <c r="C3687" s="241"/>
      <c r="D3687" s="241"/>
      <c r="E3687" s="241"/>
      <c r="F3687" s="241"/>
      <c r="G3687" s="241"/>
      <c r="H3687" s="241"/>
      <c r="I3687"/>
      <c r="J3687" s="241"/>
      <c r="K3687" s="241"/>
      <c r="L3687" s="241"/>
      <c r="M3687" s="241"/>
      <c r="N3687" s="241"/>
      <c r="O3687" s="241"/>
      <c r="P3687" s="241"/>
      <c r="Q3687" s="241"/>
    </row>
    <row r="3688" spans="1:17" ht="13.5" customHeight="1" x14ac:dyDescent="0.3">
      <c r="A3688"/>
      <c r="B3688" s="241"/>
      <c r="C3688" s="241"/>
      <c r="D3688" s="241"/>
      <c r="E3688" s="241"/>
      <c r="F3688" s="241"/>
      <c r="G3688" s="241"/>
      <c r="H3688" s="241"/>
      <c r="I3688"/>
      <c r="J3688" s="241"/>
      <c r="K3688" s="241"/>
      <c r="L3688" s="241"/>
      <c r="M3688" s="241"/>
      <c r="N3688" s="241"/>
      <c r="O3688" s="241"/>
      <c r="P3688" s="241"/>
      <c r="Q3688" s="241"/>
    </row>
    <row r="3689" spans="1:17" ht="13.5" customHeight="1" x14ac:dyDescent="0.3">
      <c r="A3689"/>
      <c r="B3689" s="241"/>
      <c r="C3689" s="241"/>
      <c r="D3689" s="241"/>
      <c r="E3689" s="241"/>
      <c r="F3689" s="241"/>
      <c r="G3689" s="241"/>
      <c r="H3689" s="241"/>
      <c r="I3689"/>
      <c r="J3689" s="241"/>
      <c r="K3689" s="241"/>
      <c r="L3689" s="241"/>
      <c r="M3689" s="241"/>
      <c r="N3689" s="241"/>
      <c r="O3689" s="241"/>
      <c r="P3689" s="241"/>
      <c r="Q3689" s="241"/>
    </row>
    <row r="3690" spans="1:17" ht="13.5" customHeight="1" x14ac:dyDescent="0.3">
      <c r="A3690"/>
      <c r="B3690" s="241"/>
      <c r="C3690" s="241"/>
      <c r="D3690" s="241"/>
      <c r="E3690" s="241"/>
      <c r="F3690" s="241"/>
      <c r="G3690" s="241"/>
      <c r="H3690" s="241"/>
      <c r="I3690"/>
      <c r="J3690" s="241"/>
      <c r="K3690" s="241"/>
      <c r="L3690" s="241"/>
      <c r="M3690" s="241"/>
      <c r="N3690" s="241"/>
      <c r="O3690" s="241"/>
      <c r="P3690" s="241"/>
      <c r="Q3690" s="241"/>
    </row>
    <row r="3691" spans="1:17" ht="13.5" customHeight="1" x14ac:dyDescent="0.3">
      <c r="A3691"/>
      <c r="B3691" s="241"/>
      <c r="C3691" s="241"/>
      <c r="D3691" s="241"/>
      <c r="E3691" s="241"/>
      <c r="F3691" s="241"/>
      <c r="G3691" s="241"/>
      <c r="H3691" s="241"/>
      <c r="I3691"/>
      <c r="J3691" s="241"/>
      <c r="K3691" s="241"/>
      <c r="L3691" s="241"/>
      <c r="M3691" s="241"/>
      <c r="N3691" s="241"/>
      <c r="O3691" s="241"/>
      <c r="P3691" s="241"/>
      <c r="Q3691" s="241"/>
    </row>
    <row r="3692" spans="1:17" ht="13.5" customHeight="1" x14ac:dyDescent="0.3">
      <c r="A3692"/>
      <c r="B3692" s="241"/>
      <c r="C3692" s="241"/>
      <c r="D3692" s="241"/>
      <c r="E3692" s="241"/>
      <c r="F3692" s="241"/>
      <c r="G3692" s="241"/>
      <c r="H3692" s="241"/>
      <c r="I3692"/>
      <c r="J3692" s="241"/>
      <c r="K3692" s="241"/>
      <c r="L3692" s="241"/>
      <c r="M3692" s="241"/>
      <c r="N3692" s="241"/>
      <c r="O3692" s="241"/>
      <c r="P3692" s="241"/>
      <c r="Q3692" s="241"/>
    </row>
    <row r="3693" spans="1:17" ht="13.5" customHeight="1" x14ac:dyDescent="0.3">
      <c r="A3693"/>
      <c r="B3693" s="241"/>
      <c r="C3693" s="241"/>
      <c r="D3693" s="241"/>
      <c r="E3693" s="241"/>
      <c r="F3693" s="241"/>
      <c r="G3693" s="241"/>
      <c r="H3693" s="241"/>
      <c r="I3693"/>
      <c r="J3693" s="241"/>
      <c r="K3693" s="241"/>
      <c r="L3693" s="241"/>
      <c r="M3693" s="241"/>
      <c r="N3693" s="241"/>
      <c r="O3693" s="241"/>
      <c r="P3693" s="241"/>
      <c r="Q3693" s="241"/>
    </row>
    <row r="3694" spans="1:17" ht="13.5" customHeight="1" x14ac:dyDescent="0.3">
      <c r="A3694"/>
      <c r="B3694" s="241"/>
      <c r="C3694" s="241"/>
      <c r="D3694" s="241"/>
      <c r="E3694" s="241"/>
      <c r="F3694" s="241"/>
      <c r="G3694" s="241"/>
      <c r="H3694" s="241"/>
      <c r="I3694"/>
      <c r="J3694" s="241"/>
      <c r="K3694" s="241"/>
      <c r="L3694" s="241"/>
      <c r="M3694" s="241"/>
      <c r="N3694" s="241"/>
      <c r="O3694" s="241"/>
      <c r="P3694" s="241"/>
      <c r="Q3694" s="241"/>
    </row>
    <row r="3695" spans="1:17" ht="13.5" customHeight="1" x14ac:dyDescent="0.3">
      <c r="A3695"/>
      <c r="B3695" s="241"/>
      <c r="C3695" s="241"/>
      <c r="D3695" s="241"/>
      <c r="E3695" s="241"/>
      <c r="F3695" s="241"/>
      <c r="G3695" s="241"/>
      <c r="H3695" s="241"/>
      <c r="I3695"/>
      <c r="J3695" s="241"/>
      <c r="K3695" s="241"/>
      <c r="L3695" s="241"/>
      <c r="M3695" s="241"/>
      <c r="N3695" s="241"/>
      <c r="O3695" s="241"/>
      <c r="P3695" s="241"/>
      <c r="Q3695" s="241"/>
    </row>
    <row r="3696" spans="1:17" ht="13.5" customHeight="1" x14ac:dyDescent="0.3">
      <c r="A3696"/>
      <c r="B3696" s="241"/>
      <c r="C3696" s="241"/>
      <c r="D3696" s="241"/>
      <c r="E3696" s="241"/>
      <c r="F3696" s="241"/>
      <c r="G3696" s="241"/>
      <c r="H3696" s="241"/>
      <c r="I3696"/>
      <c r="J3696" s="241"/>
      <c r="K3696" s="241"/>
      <c r="L3696" s="241"/>
      <c r="M3696" s="241"/>
      <c r="N3696" s="241"/>
      <c r="O3696" s="241"/>
      <c r="P3696" s="241"/>
      <c r="Q3696" s="241"/>
    </row>
    <row r="3697" spans="1:17" ht="13.5" customHeight="1" x14ac:dyDescent="0.3">
      <c r="A3697"/>
      <c r="B3697" s="241"/>
      <c r="C3697" s="241"/>
      <c r="D3697" s="241"/>
      <c r="E3697" s="241"/>
      <c r="F3697" s="241"/>
      <c r="G3697" s="241"/>
      <c r="H3697" s="241"/>
      <c r="I3697"/>
      <c r="J3697" s="241"/>
      <c r="K3697" s="241"/>
      <c r="L3697" s="241"/>
      <c r="M3697" s="241"/>
      <c r="N3697" s="241"/>
      <c r="O3697" s="241"/>
      <c r="P3697" s="241"/>
      <c r="Q3697" s="241"/>
    </row>
    <row r="3698" spans="1:17" ht="13.5" customHeight="1" x14ac:dyDescent="0.3">
      <c r="A3698"/>
      <c r="B3698" s="241"/>
      <c r="C3698" s="241"/>
      <c r="D3698" s="241"/>
      <c r="E3698" s="241"/>
      <c r="F3698" s="241"/>
      <c r="G3698" s="241"/>
      <c r="H3698" s="241"/>
      <c r="I3698"/>
      <c r="J3698" s="241"/>
      <c r="K3698" s="241"/>
      <c r="L3698" s="241"/>
      <c r="M3698" s="241"/>
      <c r="N3698" s="241"/>
      <c r="O3698" s="241"/>
      <c r="P3698" s="241"/>
      <c r="Q3698" s="241"/>
    </row>
    <row r="3699" spans="1:17" ht="13.5" customHeight="1" x14ac:dyDescent="0.3">
      <c r="A3699"/>
      <c r="B3699" s="241"/>
      <c r="C3699" s="241"/>
      <c r="D3699" s="241"/>
      <c r="E3699" s="241"/>
      <c r="F3699" s="241"/>
      <c r="G3699" s="241"/>
      <c r="H3699" s="241"/>
      <c r="I3699"/>
      <c r="J3699" s="241"/>
      <c r="K3699" s="241"/>
      <c r="L3699" s="241"/>
      <c r="M3699" s="241"/>
      <c r="N3699" s="241"/>
      <c r="O3699" s="241"/>
      <c r="P3699" s="241"/>
      <c r="Q3699" s="241"/>
    </row>
    <row r="3700" spans="1:17" ht="13.5" customHeight="1" x14ac:dyDescent="0.3">
      <c r="A3700"/>
      <c r="B3700" s="241"/>
      <c r="C3700" s="241"/>
      <c r="D3700" s="241"/>
      <c r="E3700" s="241"/>
      <c r="F3700" s="241"/>
      <c r="G3700" s="241"/>
      <c r="H3700" s="241"/>
      <c r="I3700"/>
      <c r="J3700" s="241"/>
      <c r="K3700" s="241"/>
      <c r="L3700" s="241"/>
      <c r="M3700" s="241"/>
      <c r="N3700" s="241"/>
      <c r="O3700" s="241"/>
      <c r="P3700" s="241"/>
      <c r="Q3700" s="241"/>
    </row>
    <row r="3701" spans="1:17" ht="13.5" customHeight="1" x14ac:dyDescent="0.3">
      <c r="A3701"/>
      <c r="B3701" s="241"/>
      <c r="C3701" s="241"/>
      <c r="D3701" s="241"/>
      <c r="E3701" s="241"/>
      <c r="F3701" s="241"/>
      <c r="G3701" s="241"/>
      <c r="H3701" s="241"/>
      <c r="I3701"/>
      <c r="J3701" s="241"/>
      <c r="K3701" s="241"/>
      <c r="L3701" s="241"/>
      <c r="M3701" s="241"/>
      <c r="N3701" s="241"/>
      <c r="O3701" s="241"/>
      <c r="P3701" s="241"/>
      <c r="Q3701" s="241"/>
    </row>
    <row r="3702" spans="1:17" ht="13.5" customHeight="1" x14ac:dyDescent="0.3">
      <c r="A3702"/>
      <c r="B3702" s="241"/>
      <c r="C3702" s="241"/>
      <c r="D3702" s="241"/>
      <c r="E3702" s="241"/>
      <c r="F3702" s="241"/>
      <c r="G3702" s="241"/>
      <c r="H3702" s="241"/>
      <c r="I3702"/>
      <c r="J3702" s="241"/>
      <c r="K3702" s="241"/>
      <c r="L3702" s="241"/>
      <c r="M3702" s="241"/>
      <c r="N3702" s="241"/>
      <c r="O3702" s="241"/>
      <c r="P3702" s="241"/>
      <c r="Q3702" s="241"/>
    </row>
    <row r="3703" spans="1:17" ht="13.5" customHeight="1" x14ac:dyDescent="0.3">
      <c r="A3703"/>
      <c r="B3703" s="241"/>
      <c r="C3703" s="241"/>
      <c r="D3703" s="241"/>
      <c r="E3703" s="241"/>
      <c r="F3703" s="241"/>
      <c r="G3703" s="241"/>
      <c r="H3703" s="241"/>
      <c r="I3703"/>
      <c r="J3703" s="241"/>
      <c r="K3703" s="241"/>
      <c r="L3703" s="241"/>
      <c r="M3703" s="241"/>
      <c r="N3703" s="241"/>
      <c r="O3703" s="241"/>
      <c r="P3703" s="241"/>
      <c r="Q3703" s="241"/>
    </row>
    <row r="3704" spans="1:17" ht="13.5" customHeight="1" x14ac:dyDescent="0.3">
      <c r="A3704"/>
      <c r="B3704" s="241"/>
      <c r="C3704" s="241"/>
      <c r="D3704" s="241"/>
      <c r="E3704" s="241"/>
      <c r="F3704" s="241"/>
      <c r="G3704" s="241"/>
      <c r="H3704" s="241"/>
      <c r="I3704"/>
      <c r="J3704" s="241"/>
      <c r="K3704" s="241"/>
      <c r="L3704" s="241"/>
      <c r="M3704" s="241"/>
      <c r="N3704" s="241"/>
      <c r="O3704" s="241"/>
      <c r="P3704" s="241"/>
      <c r="Q3704" s="241"/>
    </row>
    <row r="3705" spans="1:17" ht="13.5" customHeight="1" x14ac:dyDescent="0.3">
      <c r="A3705"/>
      <c r="B3705" s="241"/>
      <c r="C3705" s="241"/>
      <c r="D3705" s="241"/>
      <c r="E3705" s="241"/>
      <c r="F3705" s="241"/>
      <c r="G3705" s="241"/>
      <c r="H3705" s="241"/>
      <c r="I3705"/>
      <c r="J3705" s="241"/>
      <c r="K3705" s="241"/>
      <c r="L3705" s="241"/>
      <c r="M3705" s="241"/>
      <c r="N3705" s="241"/>
      <c r="O3705" s="241"/>
      <c r="P3705" s="241"/>
      <c r="Q3705" s="241"/>
    </row>
    <row r="3706" spans="1:17" ht="13.5" customHeight="1" x14ac:dyDescent="0.3">
      <c r="A3706"/>
      <c r="B3706" s="241"/>
      <c r="C3706" s="241"/>
      <c r="D3706" s="241"/>
      <c r="E3706" s="241"/>
      <c r="F3706" s="241"/>
      <c r="G3706" s="241"/>
      <c r="H3706" s="241"/>
      <c r="I3706"/>
      <c r="J3706" s="241"/>
      <c r="K3706" s="241"/>
      <c r="L3706" s="241"/>
      <c r="M3706" s="241"/>
      <c r="N3706" s="241"/>
      <c r="O3706" s="241"/>
      <c r="P3706" s="241"/>
      <c r="Q3706" s="241"/>
    </row>
    <row r="3707" spans="1:17" ht="13.5" customHeight="1" x14ac:dyDescent="0.3">
      <c r="A3707"/>
      <c r="B3707" s="241"/>
      <c r="C3707" s="241"/>
      <c r="D3707" s="241"/>
      <c r="E3707" s="241"/>
      <c r="F3707" s="241"/>
      <c r="G3707" s="241"/>
      <c r="H3707" s="241"/>
      <c r="I3707"/>
      <c r="J3707" s="241"/>
      <c r="K3707" s="241"/>
      <c r="L3707" s="241"/>
      <c r="M3707" s="241"/>
      <c r="N3707" s="241"/>
      <c r="O3707" s="241"/>
      <c r="P3707" s="241"/>
      <c r="Q3707" s="241"/>
    </row>
    <row r="3708" spans="1:17" ht="13.5" customHeight="1" x14ac:dyDescent="0.3">
      <c r="A3708"/>
      <c r="B3708" s="241"/>
      <c r="C3708" s="241"/>
      <c r="D3708" s="241"/>
      <c r="E3708" s="241"/>
      <c r="F3708" s="241"/>
      <c r="G3708" s="241"/>
      <c r="H3708" s="241"/>
      <c r="I3708"/>
      <c r="J3708" s="241"/>
      <c r="K3708" s="241"/>
      <c r="L3708" s="241"/>
      <c r="M3708" s="241"/>
      <c r="N3708" s="241"/>
      <c r="O3708" s="241"/>
      <c r="P3708" s="241"/>
      <c r="Q3708" s="241"/>
    </row>
    <row r="3709" spans="1:17" ht="13.5" customHeight="1" x14ac:dyDescent="0.3">
      <c r="A3709"/>
      <c r="B3709" s="241"/>
      <c r="C3709" s="241"/>
      <c r="D3709" s="241"/>
      <c r="E3709" s="241"/>
      <c r="F3709" s="241"/>
      <c r="G3709" s="241"/>
      <c r="H3709" s="241"/>
      <c r="I3709"/>
      <c r="J3709" s="241"/>
      <c r="K3709" s="241"/>
      <c r="L3709" s="241"/>
      <c r="M3709" s="241"/>
      <c r="N3709" s="241"/>
      <c r="O3709" s="241"/>
      <c r="P3709" s="241"/>
      <c r="Q3709" s="241"/>
    </row>
    <row r="3710" spans="1:17" ht="13.5" customHeight="1" x14ac:dyDescent="0.3">
      <c r="A3710"/>
      <c r="B3710" s="241"/>
      <c r="C3710" s="241"/>
      <c r="D3710" s="241"/>
      <c r="E3710" s="241"/>
      <c r="F3710" s="241"/>
      <c r="G3710" s="241"/>
      <c r="H3710" s="241"/>
      <c r="I3710"/>
      <c r="J3710" s="241"/>
      <c r="K3710" s="241"/>
      <c r="L3710" s="241"/>
      <c r="M3710" s="241"/>
      <c r="N3710" s="241"/>
      <c r="O3710" s="241"/>
      <c r="P3710" s="241"/>
      <c r="Q3710" s="241"/>
    </row>
    <row r="3711" spans="1:17" ht="13.5" customHeight="1" x14ac:dyDescent="0.3">
      <c r="A3711"/>
      <c r="B3711" s="241"/>
      <c r="C3711" s="241"/>
      <c r="D3711" s="241"/>
      <c r="E3711" s="241"/>
      <c r="F3711" s="241"/>
      <c r="G3711" s="241"/>
      <c r="H3711" s="241"/>
      <c r="I3711"/>
      <c r="J3711" s="241"/>
      <c r="K3711" s="241"/>
      <c r="L3711" s="241"/>
      <c r="M3711" s="241"/>
      <c r="N3711" s="241"/>
      <c r="O3711" s="241"/>
      <c r="P3711" s="241"/>
      <c r="Q3711" s="241"/>
    </row>
    <row r="3712" spans="1:17" ht="13.5" customHeight="1" x14ac:dyDescent="0.3">
      <c r="A3712"/>
      <c r="B3712" s="241"/>
      <c r="C3712" s="241"/>
      <c r="D3712" s="241"/>
      <c r="E3712" s="241"/>
      <c r="F3712" s="241"/>
      <c r="G3712" s="241"/>
      <c r="H3712" s="241"/>
      <c r="I3712"/>
      <c r="J3712" s="241"/>
      <c r="K3712" s="241"/>
      <c r="L3712" s="241"/>
      <c r="M3712" s="241"/>
      <c r="N3712" s="241"/>
      <c r="O3712" s="241"/>
      <c r="P3712" s="241"/>
      <c r="Q3712" s="241"/>
    </row>
    <row r="3713" spans="1:17" ht="13.5" customHeight="1" x14ac:dyDescent="0.3">
      <c r="A3713"/>
      <c r="B3713" s="241"/>
      <c r="C3713" s="241"/>
      <c r="D3713" s="241"/>
      <c r="E3713" s="241"/>
      <c r="F3713" s="241"/>
      <c r="G3713" s="241"/>
      <c r="H3713" s="241"/>
      <c r="I3713"/>
      <c r="J3713" s="241"/>
      <c r="K3713" s="241"/>
      <c r="L3713" s="241"/>
      <c r="M3713" s="241"/>
      <c r="N3713" s="241"/>
      <c r="O3713" s="241"/>
      <c r="P3713" s="241"/>
      <c r="Q3713" s="241"/>
    </row>
    <row r="3714" spans="1:17" ht="13.5" customHeight="1" x14ac:dyDescent="0.3">
      <c r="A3714"/>
      <c r="B3714" s="241"/>
      <c r="C3714" s="241"/>
      <c r="D3714" s="241"/>
      <c r="E3714" s="241"/>
      <c r="F3714" s="241"/>
      <c r="G3714" s="241"/>
      <c r="H3714" s="241"/>
      <c r="I3714"/>
      <c r="J3714" s="241"/>
      <c r="K3714" s="241"/>
      <c r="L3714" s="241"/>
      <c r="M3714" s="241"/>
      <c r="N3714" s="241"/>
      <c r="O3714" s="241"/>
      <c r="P3714" s="241"/>
      <c r="Q3714" s="241"/>
    </row>
    <row r="3715" spans="1:17" ht="13.5" customHeight="1" x14ac:dyDescent="0.3">
      <c r="A3715"/>
      <c r="B3715" s="241"/>
      <c r="C3715" s="241"/>
      <c r="D3715" s="241"/>
      <c r="E3715" s="241"/>
      <c r="F3715" s="241"/>
      <c r="G3715" s="241"/>
      <c r="H3715" s="241"/>
      <c r="I3715"/>
      <c r="J3715" s="241"/>
      <c r="K3715" s="241"/>
      <c r="L3715" s="241"/>
      <c r="M3715" s="241"/>
      <c r="N3715" s="241"/>
      <c r="O3715" s="241"/>
      <c r="P3715" s="241"/>
      <c r="Q3715" s="241"/>
    </row>
    <row r="3716" spans="1:17" ht="13.5" customHeight="1" x14ac:dyDescent="0.3">
      <c r="A3716"/>
      <c r="B3716" s="241"/>
      <c r="C3716" s="241"/>
      <c r="D3716" s="241"/>
      <c r="E3716" s="241"/>
      <c r="F3716" s="241"/>
      <c r="G3716" s="241"/>
      <c r="H3716" s="241"/>
      <c r="I3716"/>
      <c r="J3716" s="241"/>
      <c r="K3716" s="241"/>
      <c r="L3716" s="241"/>
      <c r="M3716" s="241"/>
      <c r="N3716" s="241"/>
      <c r="O3716" s="241"/>
      <c r="P3716" s="241"/>
      <c r="Q3716" s="241"/>
    </row>
    <row r="3717" spans="1:17" ht="13.5" customHeight="1" x14ac:dyDescent="0.3">
      <c r="A3717"/>
      <c r="B3717" s="241"/>
      <c r="C3717" s="241"/>
      <c r="D3717" s="241"/>
      <c r="E3717" s="241"/>
      <c r="F3717" s="241"/>
      <c r="G3717" s="241"/>
      <c r="H3717" s="241"/>
      <c r="I3717"/>
      <c r="J3717" s="241"/>
      <c r="K3717" s="241"/>
      <c r="L3717" s="241"/>
      <c r="M3717" s="241"/>
      <c r="N3717" s="241"/>
      <c r="O3717" s="241"/>
      <c r="P3717" s="241"/>
      <c r="Q3717" s="241"/>
    </row>
    <row r="3718" spans="1:17" ht="13.5" customHeight="1" x14ac:dyDescent="0.3">
      <c r="A3718"/>
      <c r="B3718" s="241"/>
      <c r="C3718" s="241"/>
      <c r="D3718" s="241"/>
      <c r="E3718" s="241"/>
      <c r="F3718" s="241"/>
      <c r="G3718" s="241"/>
      <c r="H3718" s="241"/>
      <c r="I3718"/>
      <c r="J3718" s="241"/>
      <c r="K3718" s="241"/>
      <c r="L3718" s="241"/>
      <c r="M3718" s="241"/>
      <c r="N3718" s="241"/>
      <c r="O3718" s="241"/>
      <c r="P3718" s="241"/>
      <c r="Q3718" s="241"/>
    </row>
    <row r="3719" spans="1:17" ht="13.5" customHeight="1" x14ac:dyDescent="0.3">
      <c r="A3719"/>
      <c r="B3719" s="241"/>
      <c r="C3719" s="241"/>
      <c r="D3719" s="241"/>
      <c r="E3719" s="241"/>
      <c r="F3719" s="241"/>
      <c r="G3719" s="241"/>
      <c r="H3719" s="241"/>
      <c r="I3719"/>
      <c r="J3719" s="241"/>
      <c r="K3719" s="241"/>
      <c r="L3719" s="241"/>
      <c r="M3719" s="241"/>
      <c r="N3719" s="241"/>
      <c r="O3719" s="241"/>
      <c r="P3719" s="241"/>
      <c r="Q3719" s="241"/>
    </row>
    <row r="3720" spans="1:17" ht="13.5" customHeight="1" x14ac:dyDescent="0.3">
      <c r="A3720"/>
      <c r="B3720" s="241"/>
      <c r="C3720" s="241"/>
      <c r="D3720" s="241"/>
      <c r="E3720" s="241"/>
      <c r="F3720" s="241"/>
      <c r="G3720" s="241"/>
      <c r="H3720" s="241"/>
      <c r="I3720"/>
      <c r="J3720" s="241"/>
      <c r="K3720" s="241"/>
      <c r="L3720" s="241"/>
      <c r="M3720" s="241"/>
      <c r="N3720" s="241"/>
      <c r="O3720" s="241"/>
      <c r="P3720" s="241"/>
      <c r="Q3720" s="241"/>
    </row>
    <row r="3721" spans="1:17" ht="13.5" customHeight="1" x14ac:dyDescent="0.3">
      <c r="A3721"/>
      <c r="B3721" s="241"/>
      <c r="C3721" s="241"/>
      <c r="D3721" s="241"/>
      <c r="E3721" s="241"/>
      <c r="F3721" s="241"/>
      <c r="G3721" s="241"/>
      <c r="H3721" s="241"/>
      <c r="I3721"/>
      <c r="J3721" s="241"/>
      <c r="K3721" s="241"/>
      <c r="L3721" s="241"/>
      <c r="M3721" s="241"/>
      <c r="N3721" s="241"/>
      <c r="O3721" s="241"/>
      <c r="P3721" s="241"/>
      <c r="Q3721" s="241"/>
    </row>
    <row r="3722" spans="1:17" ht="13.5" customHeight="1" x14ac:dyDescent="0.3">
      <c r="A3722"/>
      <c r="B3722" s="241"/>
      <c r="C3722" s="241"/>
      <c r="D3722" s="241"/>
      <c r="E3722" s="241"/>
      <c r="F3722" s="241"/>
      <c r="G3722" s="241"/>
      <c r="H3722" s="241"/>
      <c r="I3722"/>
      <c r="J3722" s="241"/>
      <c r="K3722" s="241"/>
      <c r="L3722" s="241"/>
      <c r="M3722" s="241"/>
      <c r="N3722" s="241"/>
      <c r="O3722" s="241"/>
      <c r="P3722" s="241"/>
      <c r="Q3722" s="241"/>
    </row>
    <row r="3723" spans="1:17" ht="13.5" customHeight="1" x14ac:dyDescent="0.3">
      <c r="A3723"/>
      <c r="B3723" s="241"/>
      <c r="C3723" s="241"/>
      <c r="D3723" s="241"/>
      <c r="E3723" s="241"/>
      <c r="F3723" s="241"/>
      <c r="G3723" s="241"/>
      <c r="H3723" s="241"/>
      <c r="I3723"/>
      <c r="J3723" s="241"/>
      <c r="K3723" s="241"/>
      <c r="L3723" s="241"/>
      <c r="M3723" s="241"/>
      <c r="N3723" s="241"/>
      <c r="O3723" s="241"/>
      <c r="P3723" s="241"/>
      <c r="Q3723" s="241"/>
    </row>
    <row r="3724" spans="1:17" ht="13.5" customHeight="1" x14ac:dyDescent="0.3">
      <c r="A3724"/>
      <c r="B3724" s="241"/>
      <c r="C3724" s="241"/>
      <c r="D3724" s="241"/>
      <c r="E3724" s="241"/>
      <c r="F3724" s="241"/>
      <c r="G3724" s="241"/>
      <c r="H3724" s="241"/>
      <c r="I3724"/>
      <c r="J3724" s="241"/>
      <c r="K3724" s="241"/>
      <c r="L3724" s="241"/>
      <c r="M3724" s="241"/>
      <c r="N3724" s="241"/>
      <c r="O3724" s="241"/>
      <c r="P3724" s="241"/>
      <c r="Q3724" s="241"/>
    </row>
    <row r="3725" spans="1:17" ht="13.5" customHeight="1" x14ac:dyDescent="0.3">
      <c r="A3725"/>
      <c r="B3725" s="241"/>
      <c r="C3725" s="241"/>
      <c r="D3725" s="241"/>
      <c r="E3725" s="241"/>
      <c r="F3725" s="241"/>
      <c r="G3725" s="241"/>
      <c r="H3725" s="241"/>
      <c r="I3725"/>
      <c r="J3725" s="241"/>
      <c r="K3725" s="241"/>
      <c r="L3725" s="241"/>
      <c r="M3725" s="241"/>
      <c r="N3725" s="241"/>
      <c r="O3725" s="241"/>
      <c r="P3725" s="241"/>
      <c r="Q3725" s="241"/>
    </row>
    <row r="3726" spans="1:17" ht="13.5" customHeight="1" x14ac:dyDescent="0.3">
      <c r="A3726"/>
      <c r="B3726" s="241"/>
      <c r="C3726" s="241"/>
      <c r="D3726" s="241"/>
      <c r="E3726" s="241"/>
      <c r="F3726" s="241"/>
      <c r="G3726" s="241"/>
      <c r="H3726" s="241"/>
      <c r="I3726"/>
      <c r="J3726" s="241"/>
      <c r="K3726" s="241"/>
      <c r="L3726" s="241"/>
      <c r="M3726" s="241"/>
      <c r="N3726" s="241"/>
      <c r="O3726" s="241"/>
      <c r="P3726" s="241"/>
      <c r="Q3726" s="241"/>
    </row>
    <row r="3727" spans="1:17" ht="13.5" customHeight="1" x14ac:dyDescent="0.3">
      <c r="A3727"/>
      <c r="B3727" s="241"/>
      <c r="C3727" s="241"/>
      <c r="D3727" s="241"/>
      <c r="E3727" s="241"/>
      <c r="F3727" s="241"/>
      <c r="G3727" s="241"/>
      <c r="H3727" s="241"/>
      <c r="I3727"/>
      <c r="J3727" s="241"/>
      <c r="K3727" s="241"/>
      <c r="L3727" s="241"/>
      <c r="M3727" s="241"/>
      <c r="N3727" s="241"/>
      <c r="O3727" s="241"/>
      <c r="P3727" s="241"/>
      <c r="Q3727" s="241"/>
    </row>
    <row r="3728" spans="1:17" ht="13.5" customHeight="1" x14ac:dyDescent="0.3">
      <c r="A3728"/>
      <c r="B3728" s="241"/>
      <c r="C3728" s="241"/>
      <c r="D3728" s="241"/>
      <c r="E3728" s="241"/>
      <c r="F3728" s="241"/>
      <c r="G3728" s="241"/>
      <c r="H3728" s="241"/>
      <c r="I3728"/>
      <c r="J3728" s="241"/>
      <c r="K3728" s="241"/>
      <c r="L3728" s="241"/>
      <c r="M3728" s="241"/>
      <c r="N3728" s="241"/>
      <c r="O3728" s="241"/>
      <c r="P3728" s="241"/>
      <c r="Q3728" s="241"/>
    </row>
    <row r="3729" spans="1:17" ht="13.5" customHeight="1" x14ac:dyDescent="0.3">
      <c r="A3729"/>
      <c r="B3729" s="241"/>
      <c r="C3729" s="241"/>
      <c r="D3729" s="241"/>
      <c r="E3729" s="241"/>
      <c r="F3729" s="241"/>
      <c r="G3729" s="241"/>
      <c r="H3729" s="241"/>
      <c r="I3729"/>
      <c r="J3729" s="241"/>
      <c r="K3729" s="241"/>
      <c r="L3729" s="241"/>
      <c r="M3729" s="241"/>
      <c r="N3729" s="241"/>
      <c r="O3729" s="241"/>
      <c r="P3729" s="241"/>
      <c r="Q3729" s="241"/>
    </row>
    <row r="3730" spans="1:17" ht="13.5" customHeight="1" x14ac:dyDescent="0.3">
      <c r="A3730"/>
      <c r="B3730" s="241"/>
      <c r="C3730" s="241"/>
      <c r="D3730" s="241"/>
      <c r="E3730" s="241"/>
      <c r="F3730" s="241"/>
      <c r="G3730" s="241"/>
      <c r="H3730" s="241"/>
      <c r="I3730"/>
      <c r="J3730" s="241"/>
      <c r="K3730" s="241"/>
      <c r="L3730" s="241"/>
      <c r="M3730" s="241"/>
      <c r="N3730" s="241"/>
      <c r="O3730" s="241"/>
      <c r="P3730" s="241"/>
      <c r="Q3730" s="241"/>
    </row>
    <row r="3731" spans="1:17" ht="13.5" customHeight="1" x14ac:dyDescent="0.3">
      <c r="A3731"/>
      <c r="B3731" s="241"/>
      <c r="C3731" s="241"/>
      <c r="D3731" s="241"/>
      <c r="E3731" s="241"/>
      <c r="F3731" s="241"/>
      <c r="G3731" s="241"/>
      <c r="H3731" s="241"/>
      <c r="I3731"/>
      <c r="J3731" s="241"/>
      <c r="K3731" s="241"/>
      <c r="L3731" s="241"/>
      <c r="M3731" s="241"/>
      <c r="N3731" s="241"/>
      <c r="O3731" s="241"/>
      <c r="P3731" s="241"/>
      <c r="Q3731" s="241"/>
    </row>
    <row r="3732" spans="1:17" ht="13.5" customHeight="1" x14ac:dyDescent="0.3">
      <c r="A3732"/>
      <c r="B3732" s="241"/>
      <c r="C3732" s="241"/>
      <c r="D3732" s="241"/>
      <c r="E3732" s="241"/>
      <c r="F3732" s="241"/>
      <c r="G3732" s="241"/>
      <c r="H3732" s="241"/>
      <c r="I3732"/>
      <c r="J3732" s="241"/>
      <c r="K3732" s="241"/>
      <c r="L3732" s="241"/>
      <c r="M3732" s="241"/>
      <c r="N3732" s="241"/>
      <c r="O3732" s="241"/>
      <c r="P3732" s="241"/>
      <c r="Q3732" s="241"/>
    </row>
    <row r="3733" spans="1:17" ht="13.5" customHeight="1" x14ac:dyDescent="0.3">
      <c r="A3733"/>
      <c r="B3733" s="241"/>
      <c r="C3733" s="241"/>
      <c r="D3733" s="241"/>
      <c r="E3733" s="241"/>
      <c r="F3733" s="241"/>
      <c r="G3733" s="241"/>
      <c r="H3733" s="241"/>
      <c r="I3733"/>
      <c r="J3733" s="241"/>
      <c r="K3733" s="241"/>
      <c r="L3733" s="241"/>
      <c r="M3733" s="241"/>
      <c r="N3733" s="241"/>
      <c r="O3733" s="241"/>
      <c r="P3733" s="241"/>
      <c r="Q3733" s="241"/>
    </row>
    <row r="3734" spans="1:17" ht="13.5" customHeight="1" x14ac:dyDescent="0.3">
      <c r="A3734"/>
      <c r="B3734" s="241"/>
      <c r="C3734" s="241"/>
      <c r="D3734" s="241"/>
      <c r="E3734" s="241"/>
      <c r="F3734" s="241"/>
      <c r="G3734" s="241"/>
      <c r="H3734" s="241"/>
      <c r="I3734"/>
      <c r="J3734" s="241"/>
      <c r="K3734" s="241"/>
      <c r="L3734" s="241"/>
      <c r="M3734" s="241"/>
      <c r="N3734" s="241"/>
      <c r="O3734" s="241"/>
      <c r="P3734" s="241"/>
      <c r="Q3734" s="241"/>
    </row>
    <row r="3735" spans="1:17" ht="13.5" customHeight="1" x14ac:dyDescent="0.3">
      <c r="A3735"/>
      <c r="B3735" s="241"/>
      <c r="C3735" s="241"/>
      <c r="D3735" s="241"/>
      <c r="E3735" s="241"/>
      <c r="F3735" s="241"/>
      <c r="G3735" s="241"/>
      <c r="H3735" s="241"/>
      <c r="I3735"/>
      <c r="J3735" s="241"/>
      <c r="K3735" s="241"/>
      <c r="L3735" s="241"/>
      <c r="M3735" s="241"/>
      <c r="N3735" s="241"/>
      <c r="O3735" s="241"/>
      <c r="P3735" s="241"/>
      <c r="Q3735" s="241"/>
    </row>
    <row r="3736" spans="1:17" ht="13.5" customHeight="1" x14ac:dyDescent="0.3">
      <c r="A3736"/>
      <c r="B3736" s="241"/>
      <c r="C3736" s="241"/>
      <c r="D3736" s="241"/>
      <c r="E3736" s="241"/>
      <c r="F3736" s="241"/>
      <c r="G3736" s="241"/>
      <c r="H3736" s="241"/>
      <c r="I3736"/>
      <c r="J3736" s="241"/>
      <c r="K3736" s="241"/>
      <c r="L3736" s="241"/>
      <c r="M3736" s="241"/>
      <c r="N3736" s="241"/>
      <c r="O3736" s="241"/>
      <c r="P3736" s="241"/>
      <c r="Q3736" s="241"/>
    </row>
    <row r="3737" spans="1:17" ht="13.5" customHeight="1" x14ac:dyDescent="0.3">
      <c r="A3737"/>
      <c r="B3737" s="241"/>
      <c r="C3737" s="241"/>
      <c r="D3737" s="241"/>
      <c r="E3737" s="241"/>
      <c r="F3737" s="241"/>
      <c r="G3737" s="241"/>
      <c r="H3737" s="241"/>
      <c r="I3737"/>
      <c r="J3737" s="241"/>
      <c r="K3737" s="241"/>
      <c r="L3737" s="241"/>
      <c r="M3737" s="241"/>
      <c r="N3737" s="241"/>
      <c r="O3737" s="241"/>
      <c r="P3737" s="241"/>
      <c r="Q3737" s="241"/>
    </row>
    <row r="3738" spans="1:17" ht="13.5" customHeight="1" x14ac:dyDescent="0.3">
      <c r="A3738"/>
      <c r="B3738" s="241"/>
      <c r="C3738" s="241"/>
      <c r="D3738" s="241"/>
      <c r="E3738" s="241"/>
      <c r="F3738" s="241"/>
      <c r="G3738" s="241"/>
      <c r="H3738" s="241"/>
      <c r="I3738"/>
      <c r="J3738" s="241"/>
      <c r="K3738" s="241"/>
      <c r="L3738" s="241"/>
      <c r="M3738" s="241"/>
      <c r="N3738" s="241"/>
      <c r="O3738" s="241"/>
      <c r="P3738" s="241"/>
      <c r="Q3738" s="241"/>
    </row>
    <row r="3739" spans="1:17" ht="13.5" customHeight="1" x14ac:dyDescent="0.3">
      <c r="A3739"/>
      <c r="B3739" s="241"/>
      <c r="C3739" s="241"/>
      <c r="D3739" s="241"/>
      <c r="E3739" s="241"/>
      <c r="F3739" s="241"/>
      <c r="G3739" s="241"/>
      <c r="H3739" s="241"/>
      <c r="I3739"/>
      <c r="J3739" s="241"/>
      <c r="K3739" s="241"/>
      <c r="L3739" s="241"/>
      <c r="M3739" s="241"/>
      <c r="N3739" s="241"/>
      <c r="O3739" s="241"/>
      <c r="P3739" s="241"/>
      <c r="Q3739" s="241"/>
    </row>
    <row r="3740" spans="1:17" ht="13.5" customHeight="1" x14ac:dyDescent="0.3">
      <c r="A3740"/>
      <c r="B3740" s="241"/>
      <c r="C3740" s="241"/>
      <c r="D3740" s="241"/>
      <c r="E3740" s="241"/>
      <c r="F3740" s="241"/>
      <c r="G3740" s="241"/>
      <c r="H3740" s="241"/>
      <c r="I3740"/>
      <c r="J3740" s="241"/>
      <c r="K3740" s="241"/>
      <c r="L3740" s="241"/>
      <c r="M3740" s="241"/>
      <c r="N3740" s="241"/>
      <c r="O3740" s="241"/>
      <c r="P3740" s="241"/>
      <c r="Q3740" s="241"/>
    </row>
    <row r="3741" spans="1:17" ht="13.5" customHeight="1" x14ac:dyDescent="0.3">
      <c r="A3741"/>
      <c r="B3741" s="241"/>
      <c r="C3741" s="241"/>
      <c r="D3741" s="241"/>
      <c r="E3741" s="241"/>
      <c r="F3741" s="241"/>
      <c r="G3741" s="241"/>
      <c r="H3741" s="241"/>
      <c r="I3741"/>
      <c r="J3741" s="241"/>
      <c r="K3741" s="241"/>
      <c r="L3741" s="241"/>
      <c r="M3741" s="241"/>
      <c r="N3741" s="241"/>
      <c r="O3741" s="241"/>
      <c r="P3741" s="241"/>
      <c r="Q3741" s="241"/>
    </row>
    <row r="3742" spans="1:17" ht="13.5" customHeight="1" x14ac:dyDescent="0.3">
      <c r="A3742"/>
      <c r="B3742" s="241"/>
      <c r="C3742" s="241"/>
      <c r="D3742" s="241"/>
      <c r="E3742" s="241"/>
      <c r="F3742" s="241"/>
      <c r="G3742" s="241"/>
      <c r="H3742" s="241"/>
      <c r="I3742"/>
      <c r="J3742" s="241"/>
      <c r="K3742" s="241"/>
      <c r="L3742" s="241"/>
      <c r="M3742" s="241"/>
      <c r="N3742" s="241"/>
      <c r="O3742" s="241"/>
      <c r="P3742" s="241"/>
      <c r="Q3742" s="241"/>
    </row>
    <row r="3743" spans="1:17" ht="13.5" customHeight="1" x14ac:dyDescent="0.3">
      <c r="A3743"/>
      <c r="B3743" s="241"/>
      <c r="C3743" s="241"/>
      <c r="D3743" s="241"/>
      <c r="E3743" s="241"/>
      <c r="F3743" s="241"/>
      <c r="G3743" s="241"/>
      <c r="H3743" s="241"/>
      <c r="I3743"/>
      <c r="J3743" s="241"/>
      <c r="K3743" s="241"/>
      <c r="L3743" s="241"/>
      <c r="M3743" s="241"/>
      <c r="N3743" s="241"/>
      <c r="O3743" s="241"/>
      <c r="P3743" s="241"/>
      <c r="Q3743" s="241"/>
    </row>
    <row r="3744" spans="1:17" ht="13.5" customHeight="1" x14ac:dyDescent="0.3">
      <c r="A3744"/>
      <c r="B3744" s="241"/>
      <c r="C3744" s="241"/>
      <c r="D3744" s="241"/>
      <c r="E3744" s="241"/>
      <c r="F3744" s="241"/>
      <c r="G3744" s="241"/>
      <c r="H3744" s="241"/>
      <c r="I3744"/>
      <c r="J3744" s="241"/>
      <c r="K3744" s="241"/>
      <c r="L3744" s="241"/>
      <c r="M3744" s="241"/>
      <c r="N3744" s="241"/>
      <c r="O3744" s="241"/>
      <c r="P3744" s="241"/>
      <c r="Q3744" s="241"/>
    </row>
    <row r="3745" spans="1:17" ht="13.5" customHeight="1" x14ac:dyDescent="0.3">
      <c r="A3745"/>
      <c r="B3745" s="241"/>
      <c r="C3745" s="241"/>
      <c r="D3745" s="241"/>
      <c r="E3745" s="241"/>
      <c r="F3745" s="241"/>
      <c r="G3745" s="241"/>
      <c r="H3745" s="241"/>
      <c r="I3745"/>
      <c r="J3745" s="241"/>
      <c r="K3745" s="241"/>
      <c r="L3745" s="241"/>
      <c r="M3745" s="241"/>
      <c r="N3745" s="241"/>
      <c r="O3745" s="241"/>
      <c r="P3745" s="241"/>
      <c r="Q3745" s="241"/>
    </row>
    <row r="3746" spans="1:17" ht="13.5" customHeight="1" x14ac:dyDescent="0.3">
      <c r="A3746"/>
      <c r="B3746" s="241"/>
      <c r="C3746" s="241"/>
      <c r="D3746" s="241"/>
      <c r="E3746" s="241"/>
      <c r="F3746" s="241"/>
      <c r="G3746" s="241"/>
      <c r="H3746" s="241"/>
      <c r="I3746"/>
      <c r="J3746" s="241"/>
      <c r="K3746" s="241"/>
      <c r="L3746" s="241"/>
      <c r="M3746" s="241"/>
      <c r="N3746" s="241"/>
      <c r="O3746" s="241"/>
      <c r="P3746" s="241"/>
      <c r="Q3746" s="241"/>
    </row>
    <row r="3747" spans="1:17" ht="13.5" customHeight="1" x14ac:dyDescent="0.3">
      <c r="A3747"/>
      <c r="B3747" s="241"/>
      <c r="C3747" s="241"/>
      <c r="D3747" s="241"/>
      <c r="E3747" s="241"/>
      <c r="F3747" s="241"/>
      <c r="G3747" s="241"/>
      <c r="H3747" s="241"/>
      <c r="I3747"/>
      <c r="J3747" s="241"/>
      <c r="K3747" s="241"/>
      <c r="L3747" s="241"/>
      <c r="M3747" s="241"/>
      <c r="N3747" s="241"/>
      <c r="O3747" s="241"/>
      <c r="P3747" s="241"/>
      <c r="Q3747" s="241"/>
    </row>
    <row r="3748" spans="1:17" ht="13.5" customHeight="1" x14ac:dyDescent="0.3">
      <c r="A3748"/>
      <c r="B3748" s="241"/>
      <c r="C3748" s="241"/>
      <c r="D3748" s="241"/>
      <c r="E3748" s="241"/>
      <c r="F3748" s="241"/>
      <c r="G3748" s="241"/>
      <c r="H3748" s="241"/>
      <c r="I3748"/>
      <c r="J3748" s="241"/>
      <c r="K3748" s="241"/>
      <c r="L3748" s="241"/>
      <c r="M3748" s="241"/>
      <c r="N3748" s="241"/>
      <c r="O3748" s="241"/>
      <c r="P3748" s="241"/>
      <c r="Q3748" s="241"/>
    </row>
    <row r="3749" spans="1:17" ht="13.5" customHeight="1" x14ac:dyDescent="0.3">
      <c r="A3749"/>
      <c r="B3749" s="241"/>
      <c r="C3749" s="241"/>
      <c r="D3749" s="241"/>
      <c r="E3749" s="241"/>
      <c r="F3749" s="241"/>
      <c r="G3749" s="241"/>
      <c r="H3749" s="241"/>
      <c r="I3749"/>
      <c r="J3749" s="241"/>
      <c r="K3749" s="241"/>
      <c r="L3749" s="241"/>
      <c r="M3749" s="241"/>
      <c r="N3749" s="241"/>
      <c r="O3749" s="241"/>
      <c r="P3749" s="241"/>
      <c r="Q3749" s="241"/>
    </row>
    <row r="3750" spans="1:17" ht="13.5" customHeight="1" x14ac:dyDescent="0.3">
      <c r="A3750"/>
      <c r="B3750" s="241"/>
      <c r="C3750" s="241"/>
      <c r="D3750" s="241"/>
      <c r="E3750" s="241"/>
      <c r="F3750" s="241"/>
      <c r="G3750" s="241"/>
      <c r="H3750" s="241"/>
      <c r="I3750"/>
      <c r="J3750" s="241"/>
      <c r="K3750" s="241"/>
      <c r="L3750" s="241"/>
      <c r="M3750" s="241"/>
      <c r="N3750" s="241"/>
      <c r="O3750" s="241"/>
      <c r="P3750" s="241"/>
      <c r="Q3750" s="241"/>
    </row>
    <row r="3751" spans="1:17" ht="13.5" customHeight="1" x14ac:dyDescent="0.3">
      <c r="A3751"/>
      <c r="B3751" s="241"/>
      <c r="C3751" s="241"/>
      <c r="D3751" s="241"/>
      <c r="E3751" s="241"/>
      <c r="F3751" s="241"/>
      <c r="G3751" s="241"/>
      <c r="H3751" s="241"/>
      <c r="I3751"/>
      <c r="J3751" s="241"/>
      <c r="K3751" s="241"/>
      <c r="L3751" s="241"/>
      <c r="M3751" s="241"/>
      <c r="N3751" s="241"/>
      <c r="O3751" s="241"/>
      <c r="P3751" s="241"/>
      <c r="Q3751" s="241"/>
    </row>
    <row r="3752" spans="1:17" ht="13.5" customHeight="1" x14ac:dyDescent="0.3">
      <c r="A3752"/>
      <c r="B3752" s="241"/>
      <c r="C3752" s="241"/>
      <c r="D3752" s="241"/>
      <c r="E3752" s="241"/>
      <c r="F3752" s="241"/>
      <c r="G3752" s="241"/>
      <c r="H3752" s="241"/>
      <c r="I3752"/>
      <c r="J3752" s="241"/>
      <c r="K3752" s="241"/>
      <c r="L3752" s="241"/>
      <c r="M3752" s="241"/>
      <c r="N3752" s="241"/>
      <c r="O3752" s="241"/>
      <c r="P3752" s="241"/>
      <c r="Q3752" s="241"/>
    </row>
    <row r="3753" spans="1:17" ht="13.5" customHeight="1" x14ac:dyDescent="0.3">
      <c r="A3753"/>
      <c r="B3753" s="241"/>
      <c r="C3753" s="241"/>
      <c r="D3753" s="241"/>
      <c r="E3753" s="241"/>
      <c r="F3753" s="241"/>
      <c r="G3753" s="241"/>
      <c r="H3753" s="241"/>
      <c r="I3753"/>
      <c r="J3753" s="241"/>
      <c r="K3753" s="241"/>
      <c r="L3753" s="241"/>
      <c r="M3753" s="241"/>
      <c r="N3753" s="241"/>
      <c r="O3753" s="241"/>
      <c r="P3753" s="241"/>
      <c r="Q3753" s="241"/>
    </row>
    <row r="3754" spans="1:17" ht="13.5" customHeight="1" x14ac:dyDescent="0.3">
      <c r="A3754"/>
      <c r="B3754" s="241"/>
      <c r="C3754" s="241"/>
      <c r="D3754" s="241"/>
      <c r="E3754" s="241"/>
      <c r="F3754" s="241"/>
      <c r="G3754" s="241"/>
      <c r="H3754" s="241"/>
      <c r="I3754"/>
      <c r="J3754" s="241"/>
      <c r="K3754" s="241"/>
      <c r="L3754" s="241"/>
      <c r="M3754" s="241"/>
      <c r="N3754" s="241"/>
      <c r="O3754" s="241"/>
      <c r="P3754" s="241"/>
      <c r="Q3754" s="241"/>
    </row>
    <row r="3755" spans="1:17" ht="13.5" customHeight="1" x14ac:dyDescent="0.3">
      <c r="A3755"/>
      <c r="B3755" s="241"/>
      <c r="C3755" s="241"/>
      <c r="D3755" s="241"/>
      <c r="E3755" s="241"/>
      <c r="F3755" s="241"/>
      <c r="G3755" s="241"/>
      <c r="H3755" s="241"/>
      <c r="I3755"/>
      <c r="J3755" s="241"/>
      <c r="K3755" s="241"/>
      <c r="L3755" s="241"/>
      <c r="M3755" s="241"/>
      <c r="N3755" s="241"/>
      <c r="O3755" s="241"/>
      <c r="P3755" s="241"/>
      <c r="Q3755" s="241"/>
    </row>
    <row r="3756" spans="1:17" ht="13.5" customHeight="1" x14ac:dyDescent="0.3">
      <c r="A3756"/>
      <c r="B3756" s="241"/>
      <c r="C3756" s="241"/>
      <c r="D3756" s="241"/>
      <c r="E3756" s="241"/>
      <c r="F3756" s="241"/>
      <c r="G3756" s="241"/>
      <c r="H3756" s="241"/>
      <c r="I3756"/>
      <c r="J3756" s="241"/>
      <c r="K3756" s="241"/>
      <c r="L3756" s="241"/>
      <c r="M3756" s="241"/>
      <c r="N3756" s="241"/>
      <c r="O3756" s="241"/>
      <c r="P3756" s="241"/>
      <c r="Q3756" s="241"/>
    </row>
    <row r="3757" spans="1:17" ht="13.5" customHeight="1" x14ac:dyDescent="0.3">
      <c r="A3757"/>
      <c r="B3757" s="241"/>
      <c r="C3757" s="241"/>
      <c r="D3757" s="241"/>
      <c r="E3757" s="241"/>
      <c r="F3757" s="241"/>
      <c r="G3757" s="241"/>
      <c r="H3757" s="241"/>
      <c r="I3757"/>
      <c r="J3757" s="241"/>
      <c r="K3757" s="241"/>
      <c r="L3757" s="241"/>
      <c r="M3757" s="241"/>
      <c r="N3757" s="241"/>
      <c r="O3757" s="241"/>
      <c r="P3757" s="241"/>
      <c r="Q3757" s="241"/>
    </row>
    <row r="3758" spans="1:17" ht="13.5" customHeight="1" x14ac:dyDescent="0.3">
      <c r="A3758"/>
      <c r="B3758" s="241"/>
      <c r="C3758" s="241"/>
      <c r="D3758" s="241"/>
      <c r="E3758" s="241"/>
      <c r="F3758" s="241"/>
      <c r="G3758" s="241"/>
      <c r="H3758" s="241"/>
      <c r="I3758"/>
      <c r="J3758" s="241"/>
      <c r="K3758" s="241"/>
      <c r="L3758" s="241"/>
      <c r="M3758" s="241"/>
      <c r="N3758" s="241"/>
      <c r="O3758" s="241"/>
      <c r="P3758" s="241"/>
      <c r="Q3758" s="241"/>
    </row>
    <row r="3759" spans="1:17" ht="13.5" customHeight="1" x14ac:dyDescent="0.3">
      <c r="A3759"/>
      <c r="B3759" s="241"/>
      <c r="C3759" s="241"/>
      <c r="D3759" s="241"/>
      <c r="E3759" s="241"/>
      <c r="F3759" s="241"/>
      <c r="G3759" s="241"/>
      <c r="H3759" s="241"/>
      <c r="I3759"/>
      <c r="J3759" s="241"/>
      <c r="K3759" s="241"/>
      <c r="L3759" s="241"/>
      <c r="M3759" s="241"/>
      <c r="N3759" s="241"/>
      <c r="O3759" s="241"/>
      <c r="P3759" s="241"/>
      <c r="Q3759" s="241"/>
    </row>
    <row r="3760" spans="1:17" ht="13.5" customHeight="1" x14ac:dyDescent="0.3">
      <c r="A3760"/>
      <c r="B3760" s="241"/>
      <c r="C3760" s="241"/>
      <c r="D3760" s="241"/>
      <c r="E3760" s="241"/>
      <c r="F3760" s="241"/>
      <c r="G3760" s="241"/>
      <c r="H3760" s="241"/>
      <c r="I3760"/>
      <c r="J3760" s="241"/>
      <c r="K3760" s="241"/>
      <c r="L3760" s="241"/>
      <c r="M3760" s="241"/>
      <c r="N3760" s="241"/>
      <c r="O3760" s="241"/>
      <c r="P3760" s="241"/>
      <c r="Q3760" s="241"/>
    </row>
    <row r="3761" spans="1:17" ht="13.5" customHeight="1" x14ac:dyDescent="0.3">
      <c r="A3761"/>
      <c r="B3761" s="241"/>
      <c r="C3761" s="241"/>
      <c r="D3761" s="241"/>
      <c r="E3761" s="241"/>
      <c r="F3761" s="241"/>
      <c r="G3761" s="241"/>
      <c r="H3761" s="241"/>
      <c r="I3761"/>
      <c r="J3761" s="241"/>
      <c r="K3761" s="241"/>
      <c r="L3761" s="241"/>
      <c r="M3761" s="241"/>
      <c r="N3761" s="241"/>
      <c r="O3761" s="241"/>
      <c r="P3761" s="241"/>
      <c r="Q3761" s="241"/>
    </row>
    <row r="3762" spans="1:17" ht="13.5" customHeight="1" x14ac:dyDescent="0.3">
      <c r="A3762"/>
      <c r="B3762" s="241"/>
      <c r="C3762" s="241"/>
      <c r="D3762" s="241"/>
      <c r="E3762" s="241"/>
      <c r="F3762" s="241"/>
      <c r="G3762" s="241"/>
      <c r="H3762" s="241"/>
      <c r="I3762"/>
      <c r="J3762" s="241"/>
      <c r="K3762" s="241"/>
      <c r="L3762" s="241"/>
      <c r="M3762" s="241"/>
      <c r="N3762" s="241"/>
      <c r="O3762" s="241"/>
      <c r="P3762" s="241"/>
      <c r="Q3762" s="241"/>
    </row>
    <row r="3763" spans="1:17" ht="13.5" customHeight="1" x14ac:dyDescent="0.3">
      <c r="A3763"/>
      <c r="B3763" s="241"/>
      <c r="C3763" s="241"/>
      <c r="D3763" s="241"/>
      <c r="E3763" s="241"/>
      <c r="F3763" s="241"/>
      <c r="G3763" s="241"/>
      <c r="H3763" s="241"/>
      <c r="I3763"/>
      <c r="J3763" s="241"/>
      <c r="K3763" s="241"/>
      <c r="L3763" s="241"/>
      <c r="M3763" s="241"/>
      <c r="N3763" s="241"/>
      <c r="O3763" s="241"/>
      <c r="P3763" s="241"/>
      <c r="Q3763" s="241"/>
    </row>
    <row r="3764" spans="1:17" ht="13.5" customHeight="1" x14ac:dyDescent="0.3">
      <c r="A3764"/>
      <c r="B3764" s="241"/>
      <c r="C3764" s="241"/>
      <c r="D3764" s="241"/>
      <c r="E3764" s="241"/>
      <c r="F3764" s="241"/>
      <c r="G3764" s="241"/>
      <c r="H3764" s="241"/>
      <c r="I3764"/>
      <c r="J3764" s="241"/>
      <c r="K3764" s="241"/>
      <c r="L3764" s="241"/>
      <c r="M3764" s="241"/>
      <c r="N3764" s="241"/>
      <c r="O3764" s="241"/>
      <c r="P3764" s="241"/>
      <c r="Q3764" s="241"/>
    </row>
    <row r="3765" spans="1:17" ht="13.5" customHeight="1" x14ac:dyDescent="0.3">
      <c r="A3765"/>
      <c r="B3765" s="241"/>
      <c r="C3765" s="241"/>
      <c r="D3765" s="241"/>
      <c r="E3765" s="241"/>
      <c r="F3765" s="241"/>
      <c r="G3765" s="241"/>
      <c r="H3765" s="241"/>
      <c r="I3765"/>
      <c r="J3765" s="241"/>
      <c r="K3765" s="241"/>
      <c r="L3765" s="241"/>
      <c r="M3765" s="241"/>
      <c r="N3765" s="241"/>
      <c r="O3765" s="241"/>
      <c r="P3765" s="241"/>
      <c r="Q3765" s="241"/>
    </row>
    <row r="3766" spans="1:17" ht="13.5" customHeight="1" x14ac:dyDescent="0.3">
      <c r="A3766"/>
      <c r="B3766" s="241"/>
      <c r="C3766" s="241"/>
      <c r="D3766" s="241"/>
      <c r="E3766" s="241"/>
      <c r="F3766" s="241"/>
      <c r="G3766" s="241"/>
      <c r="H3766" s="241"/>
      <c r="I3766"/>
      <c r="J3766" s="241"/>
      <c r="K3766" s="241"/>
      <c r="L3766" s="241"/>
      <c r="M3766" s="241"/>
      <c r="N3766" s="241"/>
      <c r="O3766" s="241"/>
      <c r="P3766" s="241"/>
      <c r="Q3766" s="241"/>
    </row>
    <row r="3767" spans="1:17" ht="13.5" customHeight="1" x14ac:dyDescent="0.3">
      <c r="A3767"/>
      <c r="B3767" s="241"/>
      <c r="C3767" s="241"/>
      <c r="D3767" s="241"/>
      <c r="E3767" s="241"/>
      <c r="F3767" s="241"/>
      <c r="G3767" s="241"/>
      <c r="H3767" s="241"/>
      <c r="I3767"/>
      <c r="J3767" s="241"/>
      <c r="K3767" s="241"/>
      <c r="L3767" s="241"/>
      <c r="M3767" s="241"/>
      <c r="N3767" s="241"/>
      <c r="O3767" s="241"/>
      <c r="P3767" s="241"/>
      <c r="Q3767" s="241"/>
    </row>
    <row r="3768" spans="1:17" ht="13.5" customHeight="1" x14ac:dyDescent="0.3">
      <c r="A3768"/>
      <c r="B3768" s="241"/>
      <c r="C3768" s="241"/>
      <c r="D3768" s="241"/>
      <c r="E3768" s="241"/>
      <c r="F3768" s="241"/>
      <c r="G3768" s="241"/>
      <c r="H3768" s="241"/>
      <c r="I3768"/>
      <c r="J3768" s="241"/>
      <c r="K3768" s="241"/>
      <c r="L3768" s="241"/>
      <c r="M3768" s="241"/>
      <c r="N3768" s="241"/>
      <c r="O3768" s="241"/>
      <c r="P3768" s="241"/>
      <c r="Q3768" s="241"/>
    </row>
    <row r="3769" spans="1:17" ht="13.5" customHeight="1" x14ac:dyDescent="0.3">
      <c r="A3769"/>
      <c r="B3769" s="241"/>
      <c r="C3769" s="241"/>
      <c r="D3769" s="241"/>
      <c r="E3769" s="241"/>
      <c r="F3769" s="241"/>
      <c r="G3769" s="241"/>
      <c r="H3769" s="241"/>
      <c r="I3769"/>
      <c r="J3769" s="241"/>
      <c r="K3769" s="241"/>
      <c r="L3769" s="241"/>
      <c r="M3769" s="241"/>
      <c r="N3769" s="241"/>
      <c r="O3769" s="241"/>
      <c r="P3769" s="241"/>
      <c r="Q3769" s="241"/>
    </row>
    <row r="3770" spans="1:17" ht="13.5" customHeight="1" x14ac:dyDescent="0.3">
      <c r="A3770"/>
      <c r="B3770" s="241"/>
      <c r="C3770" s="241"/>
      <c r="D3770" s="241"/>
      <c r="E3770" s="241"/>
      <c r="F3770" s="241"/>
      <c r="G3770" s="241"/>
      <c r="H3770" s="241"/>
      <c r="I3770"/>
      <c r="J3770" s="241"/>
      <c r="K3770" s="241"/>
      <c r="L3770" s="241"/>
      <c r="M3770" s="241"/>
      <c r="N3770" s="241"/>
      <c r="O3770" s="241"/>
      <c r="P3770" s="241"/>
      <c r="Q3770" s="241"/>
    </row>
    <row r="3771" spans="1:17" ht="13.5" customHeight="1" x14ac:dyDescent="0.3">
      <c r="A3771"/>
      <c r="B3771" s="241"/>
      <c r="C3771" s="241"/>
      <c r="D3771" s="241"/>
      <c r="E3771" s="241"/>
      <c r="F3771" s="241"/>
      <c r="G3771" s="241"/>
      <c r="H3771" s="241"/>
      <c r="I3771"/>
      <c r="J3771" s="241"/>
      <c r="K3771" s="241"/>
      <c r="L3771" s="241"/>
      <c r="M3771" s="241"/>
      <c r="N3771" s="241"/>
      <c r="O3771" s="241"/>
      <c r="P3771" s="241"/>
      <c r="Q3771" s="241"/>
    </row>
    <row r="3772" spans="1:17" ht="13.5" customHeight="1" x14ac:dyDescent="0.3">
      <c r="A3772"/>
      <c r="B3772" s="241"/>
      <c r="C3772" s="241"/>
      <c r="D3772" s="241"/>
      <c r="E3772" s="241"/>
      <c r="F3772" s="241"/>
      <c r="G3772" s="241"/>
      <c r="H3772" s="241"/>
      <c r="I3772"/>
      <c r="J3772" s="241"/>
      <c r="K3772" s="241"/>
      <c r="L3772" s="241"/>
      <c r="M3772" s="241"/>
      <c r="N3772" s="241"/>
      <c r="O3772" s="241"/>
      <c r="P3772" s="241"/>
      <c r="Q3772" s="241"/>
    </row>
    <row r="3773" spans="1:17" ht="13.5" customHeight="1" x14ac:dyDescent="0.3">
      <c r="A3773"/>
      <c r="B3773" s="241"/>
      <c r="C3773" s="241"/>
      <c r="D3773" s="241"/>
      <c r="E3773" s="241"/>
      <c r="F3773" s="241"/>
      <c r="G3773" s="241"/>
      <c r="H3773" s="241"/>
      <c r="I3773"/>
      <c r="J3773" s="241"/>
      <c r="K3773" s="241"/>
      <c r="L3773" s="241"/>
      <c r="M3773" s="241"/>
      <c r="N3773" s="241"/>
      <c r="O3773" s="241"/>
      <c r="P3773" s="241"/>
      <c r="Q3773" s="241"/>
    </row>
    <row r="3774" spans="1:17" ht="13.5" customHeight="1" x14ac:dyDescent="0.3">
      <c r="A3774"/>
      <c r="B3774" s="241"/>
      <c r="C3774" s="241"/>
      <c r="D3774" s="241"/>
      <c r="E3774" s="241"/>
      <c r="F3774" s="241"/>
      <c r="G3774" s="241"/>
      <c r="H3774" s="241"/>
      <c r="I3774"/>
      <c r="J3774" s="241"/>
      <c r="K3774" s="241"/>
      <c r="L3774" s="241"/>
      <c r="M3774" s="241"/>
      <c r="N3774" s="241"/>
      <c r="O3774" s="241"/>
      <c r="P3774" s="241"/>
      <c r="Q3774" s="241"/>
    </row>
    <row r="3775" spans="1:17" ht="13.5" customHeight="1" x14ac:dyDescent="0.3">
      <c r="A3775"/>
      <c r="B3775" s="241"/>
      <c r="C3775" s="241"/>
      <c r="D3775" s="241"/>
      <c r="E3775" s="241"/>
      <c r="F3775" s="241"/>
      <c r="G3775" s="241"/>
      <c r="H3775" s="241"/>
      <c r="I3775"/>
      <c r="J3775" s="241"/>
      <c r="K3775" s="241"/>
      <c r="L3775" s="241"/>
      <c r="M3775" s="241"/>
      <c r="N3775" s="241"/>
      <c r="O3775" s="241"/>
      <c r="P3775" s="241"/>
      <c r="Q3775" s="241"/>
    </row>
    <row r="3776" spans="1:17" ht="13.5" customHeight="1" x14ac:dyDescent="0.3">
      <c r="A3776"/>
      <c r="B3776" s="241"/>
      <c r="C3776" s="241"/>
      <c r="D3776" s="241"/>
      <c r="E3776" s="241"/>
      <c r="F3776" s="241"/>
      <c r="G3776" s="241"/>
      <c r="H3776" s="241"/>
      <c r="I3776"/>
      <c r="J3776" s="241"/>
      <c r="K3776" s="241"/>
      <c r="L3776" s="241"/>
      <c r="M3776" s="241"/>
      <c r="N3776" s="241"/>
      <c r="O3776" s="241"/>
      <c r="P3776" s="241"/>
      <c r="Q3776" s="241"/>
    </row>
    <row r="3777" spans="1:17" ht="13.5" customHeight="1" x14ac:dyDescent="0.3">
      <c r="A3777"/>
      <c r="B3777" s="241"/>
      <c r="C3777" s="241"/>
      <c r="D3777" s="241"/>
      <c r="E3777" s="241"/>
      <c r="F3777" s="241"/>
      <c r="G3777" s="241"/>
      <c r="H3777" s="241"/>
      <c r="I3777"/>
      <c r="J3777" s="241"/>
      <c r="K3777" s="241"/>
      <c r="L3777" s="241"/>
      <c r="M3777" s="241"/>
      <c r="N3777" s="241"/>
      <c r="O3777" s="241"/>
      <c r="P3777" s="241"/>
      <c r="Q3777" s="241"/>
    </row>
    <row r="3778" spans="1:17" ht="13.5" customHeight="1" x14ac:dyDescent="0.3">
      <c r="A3778"/>
      <c r="B3778" s="241"/>
      <c r="C3778" s="241"/>
      <c r="D3778" s="241"/>
      <c r="E3778" s="241"/>
      <c r="F3778" s="241"/>
      <c r="G3778" s="241"/>
      <c r="H3778" s="241"/>
      <c r="I3778"/>
      <c r="J3778" s="241"/>
      <c r="K3778" s="241"/>
      <c r="L3778" s="241"/>
      <c r="M3778" s="241"/>
      <c r="N3778" s="241"/>
      <c r="O3778" s="241"/>
      <c r="P3778" s="241"/>
      <c r="Q3778" s="241"/>
    </row>
    <row r="3779" spans="1:17" ht="13.5" customHeight="1" x14ac:dyDescent="0.3">
      <c r="A3779"/>
      <c r="B3779" s="241"/>
      <c r="C3779" s="241"/>
      <c r="D3779" s="241"/>
      <c r="E3779" s="241"/>
      <c r="F3779" s="241"/>
      <c r="G3779" s="241"/>
      <c r="H3779" s="241"/>
      <c r="I3779"/>
      <c r="J3779" s="241"/>
      <c r="K3779" s="241"/>
      <c r="L3779" s="241"/>
      <c r="M3779" s="241"/>
      <c r="N3779" s="241"/>
      <c r="O3779" s="241"/>
      <c r="P3779" s="241"/>
      <c r="Q3779" s="241"/>
    </row>
    <row r="3780" spans="1:17" ht="13.5" customHeight="1" x14ac:dyDescent="0.3">
      <c r="A3780"/>
      <c r="B3780" s="241"/>
      <c r="C3780" s="241"/>
      <c r="D3780" s="241"/>
      <c r="E3780" s="241"/>
      <c r="F3780" s="241"/>
      <c r="G3780" s="241"/>
      <c r="H3780" s="241"/>
      <c r="I3780"/>
      <c r="J3780" s="241"/>
      <c r="K3780" s="241"/>
      <c r="L3780" s="241"/>
      <c r="M3780" s="241"/>
      <c r="N3780" s="241"/>
      <c r="O3780" s="241"/>
      <c r="P3780" s="241"/>
      <c r="Q3780" s="241"/>
    </row>
    <row r="3781" spans="1:17" ht="13.5" customHeight="1" x14ac:dyDescent="0.3">
      <c r="A3781"/>
      <c r="B3781" s="241"/>
      <c r="C3781" s="241"/>
      <c r="D3781" s="241"/>
      <c r="E3781" s="241"/>
      <c r="F3781" s="241"/>
      <c r="G3781" s="241"/>
      <c r="H3781" s="241"/>
      <c r="I3781"/>
      <c r="J3781" s="241"/>
      <c r="K3781" s="241"/>
      <c r="L3781" s="241"/>
      <c r="M3781" s="241"/>
      <c r="N3781" s="241"/>
      <c r="O3781" s="241"/>
      <c r="P3781" s="241"/>
      <c r="Q3781" s="241"/>
    </row>
    <row r="3782" spans="1:17" ht="13.5" customHeight="1" x14ac:dyDescent="0.3">
      <c r="A3782"/>
      <c r="B3782" s="241"/>
      <c r="C3782" s="241"/>
      <c r="D3782" s="241"/>
      <c r="E3782" s="241"/>
      <c r="F3782" s="241"/>
      <c r="G3782" s="241"/>
      <c r="H3782" s="241"/>
      <c r="I3782"/>
      <c r="J3782" s="241"/>
      <c r="K3782" s="241"/>
      <c r="L3782" s="241"/>
      <c r="M3782" s="241"/>
      <c r="N3782" s="241"/>
      <c r="O3782" s="241"/>
      <c r="P3782" s="241"/>
      <c r="Q3782" s="241"/>
    </row>
    <row r="3783" spans="1:17" ht="13.5" customHeight="1" x14ac:dyDescent="0.3">
      <c r="A3783"/>
      <c r="B3783" s="241"/>
      <c r="C3783" s="241"/>
      <c r="D3783" s="241"/>
      <c r="E3783" s="241"/>
      <c r="F3783" s="241"/>
      <c r="G3783" s="241"/>
      <c r="H3783" s="241"/>
      <c r="I3783"/>
      <c r="J3783" s="241"/>
      <c r="K3783" s="241"/>
      <c r="L3783" s="241"/>
      <c r="M3783" s="241"/>
      <c r="N3783" s="241"/>
      <c r="O3783" s="241"/>
      <c r="P3783" s="241"/>
      <c r="Q3783" s="241"/>
    </row>
    <row r="3784" spans="1:17" ht="13.5" customHeight="1" x14ac:dyDescent="0.3">
      <c r="A3784"/>
      <c r="B3784" s="241"/>
      <c r="C3784" s="241"/>
      <c r="D3784" s="241"/>
      <c r="E3784" s="241"/>
      <c r="F3784" s="241"/>
      <c r="G3784" s="241"/>
      <c r="H3784" s="241"/>
      <c r="I3784"/>
      <c r="J3784" s="241"/>
      <c r="K3784" s="241"/>
      <c r="L3784" s="241"/>
      <c r="M3784" s="241"/>
      <c r="N3784" s="241"/>
      <c r="O3784" s="241"/>
      <c r="P3784" s="241"/>
      <c r="Q3784" s="241"/>
    </row>
    <row r="3785" spans="1:17" ht="13.5" customHeight="1" x14ac:dyDescent="0.3">
      <c r="A3785"/>
      <c r="B3785" s="241"/>
      <c r="C3785" s="241"/>
      <c r="D3785" s="241"/>
      <c r="E3785" s="241"/>
      <c r="F3785" s="241"/>
      <c r="G3785" s="241"/>
      <c r="H3785" s="241"/>
      <c r="I3785"/>
      <c r="J3785" s="241"/>
      <c r="K3785" s="241"/>
      <c r="L3785" s="241"/>
      <c r="M3785" s="241"/>
      <c r="N3785" s="241"/>
      <c r="O3785" s="241"/>
      <c r="P3785" s="241"/>
      <c r="Q3785" s="241"/>
    </row>
    <row r="3786" spans="1:17" ht="13.5" customHeight="1" x14ac:dyDescent="0.3">
      <c r="A3786"/>
      <c r="B3786" s="241"/>
      <c r="C3786" s="241"/>
      <c r="D3786" s="241"/>
      <c r="E3786" s="241"/>
      <c r="F3786" s="241"/>
      <c r="G3786" s="241"/>
      <c r="H3786" s="241"/>
      <c r="I3786"/>
      <c r="J3786" s="241"/>
      <c r="K3786" s="241"/>
      <c r="L3786" s="241"/>
      <c r="M3786" s="241"/>
      <c r="N3786" s="241"/>
      <c r="O3786" s="241"/>
      <c r="P3786" s="241"/>
      <c r="Q3786" s="241"/>
    </row>
    <row r="3787" spans="1:17" ht="13.5" customHeight="1" x14ac:dyDescent="0.3">
      <c r="A3787"/>
      <c r="B3787" s="241"/>
      <c r="C3787" s="241"/>
      <c r="D3787" s="241"/>
      <c r="E3787" s="241"/>
      <c r="F3787" s="241"/>
      <c r="G3787" s="241"/>
      <c r="H3787" s="241"/>
      <c r="I3787"/>
      <c r="J3787" s="241"/>
      <c r="K3787" s="241"/>
      <c r="L3787" s="241"/>
      <c r="M3787" s="241"/>
      <c r="N3787" s="241"/>
      <c r="O3787" s="241"/>
      <c r="P3787" s="241"/>
      <c r="Q3787" s="241"/>
    </row>
    <row r="3788" spans="1:17" ht="13.5" customHeight="1" x14ac:dyDescent="0.3">
      <c r="A3788"/>
      <c r="B3788" s="241"/>
      <c r="C3788" s="241"/>
      <c r="D3788" s="241"/>
      <c r="E3788" s="241"/>
      <c r="F3788" s="241"/>
      <c r="G3788" s="241"/>
      <c r="H3788" s="241"/>
      <c r="I3788"/>
      <c r="J3788" s="241"/>
      <c r="K3788" s="241"/>
      <c r="L3788" s="241"/>
      <c r="M3788" s="241"/>
      <c r="N3788" s="241"/>
      <c r="O3788" s="241"/>
      <c r="P3788" s="241"/>
      <c r="Q3788" s="241"/>
    </row>
    <row r="3789" spans="1:17" ht="13.5" customHeight="1" x14ac:dyDescent="0.3">
      <c r="A3789"/>
      <c r="B3789" s="241"/>
      <c r="C3789" s="241"/>
      <c r="D3789" s="241"/>
      <c r="E3789" s="241"/>
      <c r="F3789" s="241"/>
      <c r="G3789" s="241"/>
      <c r="H3789" s="241"/>
      <c r="I3789"/>
      <c r="J3789" s="241"/>
      <c r="K3789" s="241"/>
      <c r="L3789" s="241"/>
      <c r="M3789" s="241"/>
      <c r="N3789" s="241"/>
      <c r="O3789" s="241"/>
      <c r="P3789" s="241"/>
      <c r="Q3789" s="241"/>
    </row>
    <row r="3790" spans="1:17" ht="13.5" customHeight="1" x14ac:dyDescent="0.3">
      <c r="A3790"/>
      <c r="B3790" s="241"/>
      <c r="C3790" s="241"/>
      <c r="D3790" s="241"/>
      <c r="E3790" s="241"/>
      <c r="F3790" s="241"/>
      <c r="G3790" s="241"/>
      <c r="H3790" s="241"/>
      <c r="I3790"/>
      <c r="J3790" s="241"/>
      <c r="K3790" s="241"/>
      <c r="L3790" s="241"/>
      <c r="M3790" s="241"/>
      <c r="N3790" s="241"/>
      <c r="O3790" s="241"/>
      <c r="P3790" s="241"/>
      <c r="Q3790" s="241"/>
    </row>
    <row r="3791" spans="1:17" ht="13.5" customHeight="1" x14ac:dyDescent="0.3">
      <c r="A3791"/>
      <c r="B3791" s="241"/>
      <c r="C3791" s="241"/>
      <c r="D3791" s="241"/>
      <c r="E3791" s="241"/>
      <c r="F3791" s="241"/>
      <c r="G3791" s="241"/>
      <c r="H3791" s="241"/>
      <c r="I3791"/>
      <c r="J3791" s="241"/>
      <c r="K3791" s="241"/>
      <c r="L3791" s="241"/>
      <c r="M3791" s="241"/>
      <c r="N3791" s="241"/>
      <c r="O3791" s="241"/>
      <c r="P3791" s="241"/>
      <c r="Q3791" s="241"/>
    </row>
    <row r="3792" spans="1:17" ht="13.5" customHeight="1" x14ac:dyDescent="0.3">
      <c r="A3792"/>
      <c r="B3792" s="241"/>
      <c r="C3792" s="241"/>
      <c r="D3792" s="241"/>
      <c r="E3792" s="241"/>
      <c r="F3792" s="241"/>
      <c r="G3792" s="241"/>
      <c r="H3792" s="241"/>
      <c r="I3792"/>
      <c r="J3792" s="241"/>
      <c r="K3792" s="241"/>
      <c r="L3792" s="241"/>
      <c r="M3792" s="241"/>
      <c r="N3792" s="241"/>
      <c r="O3792" s="241"/>
      <c r="P3792" s="241"/>
      <c r="Q3792" s="241"/>
    </row>
    <row r="3793" spans="1:17" ht="13.5" customHeight="1" x14ac:dyDescent="0.3">
      <c r="A3793"/>
      <c r="B3793" s="241"/>
      <c r="C3793" s="241"/>
      <c r="D3793" s="241"/>
      <c r="E3793" s="241"/>
      <c r="F3793" s="241"/>
      <c r="G3793" s="241"/>
      <c r="H3793" s="241"/>
      <c r="I3793"/>
      <c r="J3793" s="241"/>
      <c r="K3793" s="241"/>
      <c r="L3793" s="241"/>
      <c r="M3793" s="241"/>
      <c r="N3793" s="241"/>
      <c r="O3793" s="241"/>
      <c r="P3793" s="241"/>
      <c r="Q3793" s="241"/>
    </row>
    <row r="3794" spans="1:17" ht="13.5" customHeight="1" x14ac:dyDescent="0.3">
      <c r="A3794"/>
      <c r="B3794" s="241"/>
      <c r="C3794" s="241"/>
      <c r="D3794" s="241"/>
      <c r="E3794" s="241"/>
      <c r="F3794" s="241"/>
      <c r="G3794" s="241"/>
      <c r="H3794" s="241"/>
      <c r="I3794"/>
      <c r="J3794" s="241"/>
      <c r="K3794" s="241"/>
      <c r="L3794" s="241"/>
      <c r="M3794" s="241"/>
      <c r="N3794" s="241"/>
      <c r="O3794" s="241"/>
      <c r="P3794" s="241"/>
      <c r="Q3794" s="241"/>
    </row>
    <row r="3795" spans="1:17" ht="13.5" customHeight="1" x14ac:dyDescent="0.3">
      <c r="A3795"/>
      <c r="B3795" s="241"/>
      <c r="C3795" s="241"/>
      <c r="D3795" s="241"/>
      <c r="E3795" s="241"/>
      <c r="F3795" s="241"/>
      <c r="G3795" s="241"/>
      <c r="H3795" s="241"/>
      <c r="I3795"/>
      <c r="J3795" s="241"/>
      <c r="K3795" s="241"/>
      <c r="L3795" s="241"/>
      <c r="M3795" s="241"/>
      <c r="N3795" s="241"/>
      <c r="O3795" s="241"/>
      <c r="P3795" s="241"/>
      <c r="Q3795" s="241"/>
    </row>
    <row r="3796" spans="1:17" ht="13.5" customHeight="1" x14ac:dyDescent="0.3">
      <c r="A3796"/>
      <c r="B3796" s="241"/>
      <c r="C3796" s="241"/>
      <c r="D3796" s="241"/>
      <c r="E3796" s="241"/>
      <c r="F3796" s="241"/>
      <c r="G3796" s="241"/>
      <c r="H3796" s="241"/>
      <c r="I3796"/>
      <c r="J3796" s="241"/>
      <c r="K3796" s="241"/>
      <c r="L3796" s="241"/>
      <c r="M3796" s="241"/>
      <c r="N3796" s="241"/>
      <c r="O3796" s="241"/>
      <c r="P3796" s="241"/>
      <c r="Q3796" s="241"/>
    </row>
    <row r="3797" spans="1:17" ht="13.5" customHeight="1" x14ac:dyDescent="0.3">
      <c r="A3797"/>
      <c r="B3797" s="241"/>
      <c r="C3797" s="241"/>
      <c r="D3797" s="241"/>
      <c r="E3797" s="241"/>
      <c r="F3797" s="241"/>
      <c r="G3797" s="241"/>
      <c r="H3797" s="241"/>
      <c r="I3797"/>
      <c r="J3797" s="241"/>
      <c r="K3797" s="241"/>
      <c r="L3797" s="241"/>
      <c r="M3797" s="241"/>
      <c r="N3797" s="241"/>
      <c r="O3797" s="241"/>
      <c r="P3797" s="241"/>
      <c r="Q3797" s="241"/>
    </row>
    <row r="3798" spans="1:17" ht="13.5" customHeight="1" x14ac:dyDescent="0.3">
      <c r="A3798"/>
      <c r="B3798" s="241"/>
      <c r="C3798" s="241"/>
      <c r="D3798" s="241"/>
      <c r="E3798" s="241"/>
      <c r="F3798" s="241"/>
      <c r="G3798" s="241"/>
      <c r="H3798" s="241"/>
      <c r="I3798"/>
      <c r="J3798" s="241"/>
      <c r="K3798" s="241"/>
      <c r="L3798" s="241"/>
      <c r="M3798" s="241"/>
      <c r="N3798" s="241"/>
      <c r="O3798" s="241"/>
      <c r="P3798" s="241"/>
      <c r="Q3798" s="241"/>
    </row>
    <row r="3799" spans="1:17" ht="13.5" customHeight="1" x14ac:dyDescent="0.3">
      <c r="A3799"/>
      <c r="B3799" s="241"/>
      <c r="C3799" s="241"/>
      <c r="D3799" s="241"/>
      <c r="E3799" s="241"/>
      <c r="F3799" s="241"/>
      <c r="G3799" s="241"/>
      <c r="H3799" s="241"/>
      <c r="I3799"/>
      <c r="J3799" s="241"/>
      <c r="K3799" s="241"/>
      <c r="L3799" s="241"/>
      <c r="M3799" s="241"/>
      <c r="N3799" s="241"/>
      <c r="O3799" s="241"/>
      <c r="P3799" s="241"/>
      <c r="Q3799" s="241"/>
    </row>
    <row r="3800" spans="1:17" ht="13.5" customHeight="1" x14ac:dyDescent="0.3">
      <c r="A3800"/>
      <c r="B3800" s="241"/>
      <c r="C3800" s="241"/>
      <c r="D3800" s="241"/>
      <c r="E3800" s="241"/>
      <c r="F3800" s="241"/>
      <c r="G3800" s="241"/>
      <c r="H3800" s="241"/>
      <c r="I3800"/>
      <c r="J3800" s="241"/>
      <c r="K3800" s="241"/>
      <c r="L3800" s="241"/>
      <c r="M3800" s="241"/>
      <c r="N3800" s="241"/>
      <c r="O3800" s="241"/>
      <c r="P3800" s="241"/>
      <c r="Q3800" s="241"/>
    </row>
    <row r="3801" spans="1:17" ht="13.5" customHeight="1" x14ac:dyDescent="0.3">
      <c r="A3801"/>
      <c r="B3801" s="241"/>
      <c r="C3801" s="241"/>
      <c r="D3801" s="241"/>
      <c r="E3801" s="241"/>
      <c r="F3801" s="241"/>
      <c r="G3801" s="241"/>
      <c r="H3801" s="241"/>
      <c r="I3801"/>
      <c r="J3801" s="241"/>
      <c r="K3801" s="241"/>
      <c r="L3801" s="241"/>
      <c r="M3801" s="241"/>
      <c r="N3801" s="241"/>
      <c r="O3801" s="241"/>
      <c r="P3801" s="241"/>
      <c r="Q3801" s="241"/>
    </row>
    <row r="3802" spans="1:17" ht="13.5" customHeight="1" x14ac:dyDescent="0.3">
      <c r="A3802"/>
      <c r="B3802" s="241"/>
      <c r="C3802" s="241"/>
      <c r="D3802" s="241"/>
      <c r="E3802" s="241"/>
      <c r="F3802" s="241"/>
      <c r="G3802" s="241"/>
      <c r="H3802" s="241"/>
      <c r="I3802"/>
      <c r="J3802" s="241"/>
      <c r="K3802" s="241"/>
      <c r="L3802" s="241"/>
      <c r="M3802" s="241"/>
      <c r="N3802" s="241"/>
      <c r="O3802" s="241"/>
      <c r="P3802" s="241"/>
      <c r="Q3802" s="241"/>
    </row>
    <row r="3803" spans="1:17" ht="13.5" customHeight="1" x14ac:dyDescent="0.3">
      <c r="A3803"/>
      <c r="B3803" s="241"/>
      <c r="C3803" s="241"/>
      <c r="D3803" s="241"/>
      <c r="E3803" s="241"/>
      <c r="F3803" s="241"/>
      <c r="G3803" s="241"/>
      <c r="H3803" s="241"/>
      <c r="I3803"/>
      <c r="J3803" s="241"/>
      <c r="K3803" s="241"/>
      <c r="L3803" s="241"/>
      <c r="M3803" s="241"/>
      <c r="N3803" s="241"/>
      <c r="O3803" s="241"/>
      <c r="P3803" s="241"/>
      <c r="Q3803" s="241"/>
    </row>
    <row r="3804" spans="1:17" ht="13.5" customHeight="1" x14ac:dyDescent="0.3">
      <c r="A3804"/>
      <c r="B3804" s="241"/>
      <c r="C3804" s="241"/>
      <c r="D3804" s="241"/>
      <c r="E3804" s="241"/>
      <c r="F3804" s="241"/>
      <c r="G3804" s="241"/>
      <c r="H3804" s="241"/>
      <c r="I3804"/>
      <c r="J3804" s="241"/>
      <c r="K3804" s="241"/>
      <c r="L3804" s="241"/>
      <c r="M3804" s="241"/>
      <c r="N3804" s="241"/>
      <c r="O3804" s="241"/>
      <c r="P3804" s="241"/>
      <c r="Q3804" s="241"/>
    </row>
    <row r="3805" spans="1:17" ht="13.5" customHeight="1" x14ac:dyDescent="0.3">
      <c r="A3805"/>
      <c r="B3805" s="241"/>
      <c r="C3805" s="241"/>
      <c r="D3805" s="241"/>
      <c r="E3805" s="241"/>
      <c r="F3805" s="241"/>
      <c r="G3805" s="241"/>
      <c r="H3805" s="241"/>
      <c r="I3805"/>
      <c r="J3805" s="241"/>
      <c r="K3805" s="241"/>
      <c r="L3805" s="241"/>
      <c r="M3805" s="241"/>
      <c r="N3805" s="241"/>
      <c r="O3805" s="241"/>
      <c r="P3805" s="241"/>
      <c r="Q3805" s="241"/>
    </row>
    <row r="3806" spans="1:17" ht="13.5" customHeight="1" x14ac:dyDescent="0.3">
      <c r="A3806"/>
      <c r="B3806" s="241"/>
      <c r="C3806" s="241"/>
      <c r="D3806" s="241"/>
      <c r="E3806" s="241"/>
      <c r="F3806" s="241"/>
      <c r="G3806" s="241"/>
      <c r="H3806" s="241"/>
      <c r="I3806"/>
      <c r="J3806" s="241"/>
      <c r="K3806" s="241"/>
      <c r="L3806" s="241"/>
      <c r="M3806" s="241"/>
      <c r="N3806" s="241"/>
      <c r="O3806" s="241"/>
      <c r="P3806" s="241"/>
      <c r="Q3806" s="241"/>
    </row>
    <row r="3807" spans="1:17" ht="13.5" customHeight="1" x14ac:dyDescent="0.3">
      <c r="A3807"/>
      <c r="B3807" s="241"/>
      <c r="C3807" s="241"/>
      <c r="D3807" s="241"/>
      <c r="E3807" s="241"/>
      <c r="F3807" s="241"/>
      <c r="G3807" s="241"/>
      <c r="H3807" s="241"/>
      <c r="I3807"/>
      <c r="J3807" s="241"/>
      <c r="K3807" s="241"/>
      <c r="L3807" s="241"/>
      <c r="M3807" s="241"/>
      <c r="N3807" s="241"/>
      <c r="O3807" s="241"/>
      <c r="P3807" s="241"/>
      <c r="Q3807" s="241"/>
    </row>
    <row r="3808" spans="1:17" ht="13.5" customHeight="1" x14ac:dyDescent="0.3">
      <c r="A3808"/>
      <c r="B3808" s="241"/>
      <c r="C3808" s="241"/>
      <c r="D3808" s="241"/>
      <c r="E3808" s="241"/>
      <c r="F3808" s="241"/>
      <c r="G3808" s="241"/>
      <c r="H3808" s="241"/>
      <c r="I3808"/>
      <c r="J3808" s="241"/>
      <c r="K3808" s="241"/>
      <c r="L3808" s="241"/>
      <c r="M3808" s="241"/>
      <c r="N3808" s="241"/>
      <c r="O3808" s="241"/>
      <c r="P3808" s="241"/>
      <c r="Q3808" s="241"/>
    </row>
    <row r="3809" spans="1:17" ht="13.5" customHeight="1" x14ac:dyDescent="0.3">
      <c r="A3809"/>
      <c r="B3809" s="241"/>
      <c r="C3809" s="241"/>
      <c r="D3809" s="241"/>
      <c r="E3809" s="241"/>
      <c r="F3809" s="241"/>
      <c r="G3809" s="241"/>
      <c r="H3809" s="241"/>
      <c r="I3809"/>
      <c r="J3809" s="241"/>
      <c r="K3809" s="241"/>
      <c r="L3809" s="241"/>
      <c r="M3809" s="241"/>
      <c r="N3809" s="241"/>
      <c r="O3809" s="241"/>
      <c r="P3809" s="241"/>
      <c r="Q3809" s="241"/>
    </row>
    <row r="3810" spans="1:17" ht="13.5" customHeight="1" x14ac:dyDescent="0.3">
      <c r="A3810"/>
      <c r="B3810" s="241"/>
      <c r="C3810" s="241"/>
      <c r="D3810" s="241"/>
      <c r="E3810" s="241"/>
      <c r="F3810" s="241"/>
      <c r="G3810" s="241"/>
      <c r="H3810" s="241"/>
      <c r="I3810"/>
      <c r="J3810" s="241"/>
      <c r="K3810" s="241"/>
      <c r="L3810" s="241"/>
      <c r="M3810" s="241"/>
      <c r="N3810" s="241"/>
      <c r="O3810" s="241"/>
      <c r="P3810" s="241"/>
      <c r="Q3810" s="241"/>
    </row>
    <row r="3811" spans="1:17" ht="13.5" customHeight="1" x14ac:dyDescent="0.3">
      <c r="A3811"/>
      <c r="B3811" s="241"/>
      <c r="C3811" s="241"/>
      <c r="D3811" s="241"/>
      <c r="E3811" s="241"/>
      <c r="F3811" s="241"/>
      <c r="G3811" s="241"/>
      <c r="H3811" s="241"/>
      <c r="I3811"/>
      <c r="J3811" s="241"/>
      <c r="K3811" s="241"/>
      <c r="L3811" s="241"/>
      <c r="M3811" s="241"/>
      <c r="N3811" s="241"/>
      <c r="O3811" s="241"/>
      <c r="P3811" s="241"/>
      <c r="Q3811" s="241"/>
    </row>
    <row r="3812" spans="1:17" ht="13.5" customHeight="1" x14ac:dyDescent="0.3">
      <c r="A3812"/>
      <c r="B3812" s="241"/>
      <c r="C3812" s="241"/>
      <c r="D3812" s="241"/>
      <c r="E3812" s="241"/>
      <c r="F3812" s="241"/>
      <c r="G3812" s="241"/>
      <c r="H3812" s="241"/>
      <c r="I3812"/>
      <c r="J3812" s="241"/>
      <c r="K3812" s="241"/>
      <c r="L3812" s="241"/>
      <c r="M3812" s="241"/>
      <c r="N3812" s="241"/>
      <c r="O3812" s="241"/>
      <c r="P3812" s="241"/>
      <c r="Q3812" s="241"/>
    </row>
    <row r="3813" spans="1:17" ht="13.5" customHeight="1" x14ac:dyDescent="0.3">
      <c r="A3813"/>
      <c r="B3813" s="241"/>
      <c r="C3813" s="241"/>
      <c r="D3813" s="241"/>
      <c r="E3813" s="241"/>
      <c r="F3813" s="241"/>
      <c r="G3813" s="241"/>
      <c r="H3813" s="241"/>
      <c r="I3813"/>
      <c r="J3813" s="241"/>
      <c r="K3813" s="241"/>
      <c r="L3813" s="241"/>
      <c r="M3813" s="241"/>
      <c r="N3813" s="241"/>
      <c r="O3813" s="241"/>
      <c r="P3813" s="241"/>
      <c r="Q3813" s="241"/>
    </row>
    <row r="3814" spans="1:17" ht="13.5" customHeight="1" x14ac:dyDescent="0.3">
      <c r="A3814"/>
      <c r="B3814" s="241"/>
      <c r="C3814" s="241"/>
      <c r="D3814" s="241"/>
      <c r="E3814" s="241"/>
      <c r="F3814" s="241"/>
      <c r="G3814" s="241"/>
      <c r="H3814" s="241"/>
      <c r="I3814"/>
      <c r="J3814" s="241"/>
      <c r="K3814" s="241"/>
      <c r="L3814" s="241"/>
      <c r="M3814" s="241"/>
      <c r="N3814" s="241"/>
      <c r="O3814" s="241"/>
      <c r="P3814" s="241"/>
      <c r="Q3814" s="241"/>
    </row>
    <row r="3815" spans="1:17" ht="13.5" customHeight="1" x14ac:dyDescent="0.3">
      <c r="A3815"/>
      <c r="B3815" s="241"/>
      <c r="C3815" s="241"/>
      <c r="D3815" s="241"/>
      <c r="E3815" s="241"/>
      <c r="F3815" s="241"/>
      <c r="G3815" s="241"/>
      <c r="H3815" s="241"/>
      <c r="I3815"/>
      <c r="J3815" s="241"/>
      <c r="K3815" s="241"/>
      <c r="L3815" s="241"/>
      <c r="M3815" s="241"/>
      <c r="N3815" s="241"/>
      <c r="O3815" s="241"/>
      <c r="P3815" s="241"/>
      <c r="Q3815" s="241"/>
    </row>
    <row r="3816" spans="1:17" ht="13.5" customHeight="1" x14ac:dyDescent="0.3">
      <c r="A3816"/>
      <c r="B3816" s="241"/>
      <c r="C3816" s="241"/>
      <c r="D3816" s="241"/>
      <c r="E3816" s="241"/>
      <c r="F3816" s="241"/>
      <c r="G3816" s="241"/>
      <c r="H3816" s="241"/>
      <c r="I3816"/>
      <c r="J3816" s="241"/>
      <c r="K3816" s="241"/>
      <c r="L3816" s="241"/>
      <c r="M3816" s="241"/>
      <c r="N3816" s="241"/>
      <c r="O3816" s="241"/>
      <c r="P3816" s="241"/>
      <c r="Q3816" s="241"/>
    </row>
    <row r="3817" spans="1:17" ht="13.5" customHeight="1" x14ac:dyDescent="0.3">
      <c r="A3817"/>
      <c r="B3817" s="241"/>
      <c r="C3817" s="241"/>
      <c r="D3817" s="241"/>
      <c r="E3817" s="241"/>
      <c r="F3817" s="241"/>
      <c r="G3817" s="241"/>
      <c r="H3817" s="241"/>
      <c r="I3817"/>
      <c r="J3817" s="241"/>
      <c r="K3817" s="241"/>
      <c r="L3817" s="241"/>
      <c r="M3817" s="241"/>
      <c r="N3817" s="241"/>
      <c r="O3817" s="241"/>
      <c r="P3817" s="241"/>
      <c r="Q3817" s="241"/>
    </row>
    <row r="3818" spans="1:17" ht="13.5" customHeight="1" x14ac:dyDescent="0.3">
      <c r="A3818"/>
      <c r="B3818" s="241"/>
      <c r="C3818" s="241"/>
      <c r="D3818" s="241"/>
      <c r="E3818" s="241"/>
      <c r="F3818" s="241"/>
      <c r="G3818" s="241"/>
      <c r="H3818" s="241"/>
      <c r="I3818"/>
      <c r="J3818" s="241"/>
      <c r="K3818" s="241"/>
      <c r="L3818" s="241"/>
      <c r="M3818" s="241"/>
      <c r="N3818" s="241"/>
      <c r="O3818" s="241"/>
      <c r="P3818" s="241"/>
      <c r="Q3818" s="241"/>
    </row>
    <row r="3819" spans="1:17" ht="13.5" customHeight="1" x14ac:dyDescent="0.3">
      <c r="A3819"/>
      <c r="B3819" s="241"/>
      <c r="C3819" s="241"/>
      <c r="D3819" s="241"/>
      <c r="E3819" s="241"/>
      <c r="F3819" s="241"/>
      <c r="G3819" s="241"/>
      <c r="H3819" s="241"/>
      <c r="I3819"/>
      <c r="J3819" s="241"/>
      <c r="K3819" s="241"/>
      <c r="L3819" s="241"/>
      <c r="M3819" s="241"/>
      <c r="N3819" s="241"/>
      <c r="O3819" s="241"/>
      <c r="P3819" s="241"/>
      <c r="Q3819" s="241"/>
    </row>
    <row r="3820" spans="1:17" ht="13.5" customHeight="1" x14ac:dyDescent="0.3">
      <c r="A3820"/>
      <c r="B3820" s="241"/>
      <c r="C3820" s="241"/>
      <c r="D3820" s="241"/>
      <c r="E3820" s="241"/>
      <c r="F3820" s="241"/>
      <c r="G3820" s="241"/>
      <c r="H3820" s="241"/>
      <c r="I3820"/>
      <c r="J3820" s="241"/>
      <c r="K3820" s="241"/>
      <c r="L3820" s="241"/>
      <c r="M3820" s="241"/>
      <c r="N3820" s="241"/>
      <c r="O3820" s="241"/>
      <c r="P3820" s="241"/>
      <c r="Q3820" s="241"/>
    </row>
    <row r="3821" spans="1:17" ht="13.5" customHeight="1" x14ac:dyDescent="0.3">
      <c r="A3821"/>
      <c r="B3821" s="241"/>
      <c r="C3821" s="241"/>
      <c r="D3821" s="241"/>
      <c r="E3821" s="241"/>
      <c r="F3821" s="241"/>
      <c r="G3821" s="241"/>
      <c r="H3821" s="241"/>
      <c r="I3821"/>
      <c r="J3821" s="241"/>
      <c r="K3821" s="241"/>
      <c r="L3821" s="241"/>
      <c r="M3821" s="241"/>
      <c r="N3821" s="241"/>
      <c r="O3821" s="241"/>
      <c r="P3821" s="241"/>
      <c r="Q3821" s="241"/>
    </row>
    <row r="3822" spans="1:17" ht="13.5" customHeight="1" x14ac:dyDescent="0.3">
      <c r="A3822"/>
      <c r="B3822" s="241"/>
      <c r="C3822" s="241"/>
      <c r="D3822" s="241"/>
      <c r="E3822" s="241"/>
      <c r="F3822" s="241"/>
      <c r="G3822" s="241"/>
      <c r="H3822" s="241"/>
      <c r="I3822"/>
      <c r="J3822" s="241"/>
      <c r="K3822" s="241"/>
      <c r="L3822" s="241"/>
      <c r="M3822" s="241"/>
      <c r="N3822" s="241"/>
      <c r="O3822" s="241"/>
      <c r="P3822" s="241"/>
      <c r="Q3822" s="241"/>
    </row>
    <row r="3823" spans="1:17" ht="13.5" customHeight="1" x14ac:dyDescent="0.3">
      <c r="A3823"/>
      <c r="B3823" s="241"/>
      <c r="C3823" s="241"/>
      <c r="D3823" s="241"/>
      <c r="E3823" s="241"/>
      <c r="F3823" s="241"/>
      <c r="G3823" s="241"/>
      <c r="H3823" s="241"/>
      <c r="I3823"/>
      <c r="J3823" s="241"/>
      <c r="K3823" s="241"/>
      <c r="L3823" s="241"/>
      <c r="M3823" s="241"/>
      <c r="N3823" s="241"/>
      <c r="O3823" s="241"/>
      <c r="P3823" s="241"/>
      <c r="Q3823" s="241"/>
    </row>
    <row r="3824" spans="1:17" ht="13.5" customHeight="1" x14ac:dyDescent="0.3">
      <c r="A3824"/>
      <c r="B3824" s="241"/>
      <c r="C3824" s="241"/>
      <c r="D3824" s="241"/>
      <c r="E3824" s="241"/>
      <c r="F3824" s="241"/>
      <c r="G3824" s="241"/>
      <c r="H3824" s="241"/>
      <c r="I3824"/>
      <c r="J3824" s="241"/>
      <c r="K3824" s="241"/>
      <c r="L3824" s="241"/>
      <c r="M3824" s="241"/>
      <c r="N3824" s="241"/>
      <c r="O3824" s="241"/>
      <c r="P3824" s="241"/>
      <c r="Q3824" s="241"/>
    </row>
    <row r="3825" spans="1:17" ht="13.5" customHeight="1" x14ac:dyDescent="0.3">
      <c r="A3825"/>
      <c r="B3825" s="241"/>
      <c r="C3825" s="241"/>
      <c r="D3825" s="241"/>
      <c r="E3825" s="241"/>
      <c r="F3825" s="241"/>
      <c r="G3825" s="241"/>
      <c r="H3825" s="241"/>
      <c r="I3825"/>
      <c r="J3825" s="241"/>
      <c r="K3825" s="241"/>
      <c r="L3825" s="241"/>
      <c r="M3825" s="241"/>
      <c r="N3825" s="241"/>
      <c r="O3825" s="241"/>
      <c r="P3825" s="241"/>
      <c r="Q3825" s="241"/>
    </row>
    <row r="3826" spans="1:17" ht="13.5" customHeight="1" x14ac:dyDescent="0.3">
      <c r="A3826"/>
      <c r="B3826" s="241"/>
      <c r="C3826" s="241"/>
      <c r="D3826" s="241"/>
      <c r="E3826" s="241"/>
      <c r="F3826" s="241"/>
      <c r="G3826" s="241"/>
      <c r="H3826" s="241"/>
      <c r="I3826"/>
      <c r="J3826" s="241"/>
      <c r="K3826" s="241"/>
      <c r="L3826" s="241"/>
      <c r="M3826" s="241"/>
      <c r="N3826" s="241"/>
      <c r="O3826" s="241"/>
      <c r="P3826" s="241"/>
      <c r="Q3826" s="241"/>
    </row>
    <row r="3827" spans="1:17" ht="13.5" customHeight="1" x14ac:dyDescent="0.3">
      <c r="A3827"/>
      <c r="B3827" s="241"/>
      <c r="C3827" s="241"/>
      <c r="D3827" s="241"/>
      <c r="E3827" s="241"/>
      <c r="F3827" s="241"/>
      <c r="G3827" s="241"/>
      <c r="H3827" s="241"/>
      <c r="I3827"/>
      <c r="J3827" s="241"/>
      <c r="K3827" s="241"/>
      <c r="L3827" s="241"/>
      <c r="M3827" s="241"/>
      <c r="N3827" s="241"/>
      <c r="O3827" s="241"/>
      <c r="P3827" s="241"/>
      <c r="Q3827" s="241"/>
    </row>
    <row r="3828" spans="1:17" ht="13.5" customHeight="1" x14ac:dyDescent="0.3">
      <c r="A3828"/>
      <c r="B3828" s="241"/>
      <c r="C3828" s="241"/>
      <c r="D3828" s="241"/>
      <c r="E3828" s="241"/>
      <c r="F3828" s="241"/>
      <c r="G3828" s="241"/>
      <c r="H3828" s="241"/>
      <c r="I3828"/>
      <c r="J3828" s="241"/>
      <c r="K3828" s="241"/>
      <c r="L3828" s="241"/>
      <c r="M3828" s="241"/>
      <c r="N3828" s="241"/>
      <c r="O3828" s="241"/>
      <c r="P3828" s="241"/>
      <c r="Q3828" s="241"/>
    </row>
    <row r="3829" spans="1:17" ht="13.5" customHeight="1" x14ac:dyDescent="0.3">
      <c r="A3829"/>
      <c r="B3829" s="241"/>
      <c r="C3829" s="241"/>
      <c r="D3829" s="241"/>
      <c r="E3829" s="241"/>
      <c r="F3829" s="241"/>
      <c r="G3829" s="241"/>
      <c r="H3829" s="241"/>
      <c r="I3829"/>
      <c r="J3829" s="241"/>
      <c r="K3829" s="241"/>
      <c r="L3829" s="241"/>
      <c r="M3829" s="241"/>
      <c r="N3829" s="241"/>
      <c r="O3829" s="241"/>
      <c r="P3829" s="241"/>
      <c r="Q3829" s="241"/>
    </row>
    <row r="3830" spans="1:17" ht="13.5" customHeight="1" x14ac:dyDescent="0.3">
      <c r="A3830"/>
      <c r="B3830" s="241"/>
      <c r="C3830" s="241"/>
      <c r="D3830" s="241"/>
      <c r="E3830" s="241"/>
      <c r="F3830" s="241"/>
      <c r="G3830" s="241"/>
      <c r="H3830" s="241"/>
      <c r="I3830"/>
      <c r="J3830" s="241"/>
      <c r="K3830" s="241"/>
      <c r="L3830" s="241"/>
      <c r="M3830" s="241"/>
      <c r="N3830" s="241"/>
      <c r="O3830" s="241"/>
      <c r="P3830" s="241"/>
      <c r="Q3830" s="241"/>
    </row>
    <row r="3831" spans="1:17" ht="13.5" customHeight="1" x14ac:dyDescent="0.3">
      <c r="A3831"/>
      <c r="B3831" s="241"/>
      <c r="C3831" s="241"/>
      <c r="D3831" s="241"/>
      <c r="E3831" s="241"/>
      <c r="F3831" s="241"/>
      <c r="G3831" s="241"/>
      <c r="H3831" s="241"/>
      <c r="I3831"/>
      <c r="J3831" s="241"/>
      <c r="K3831" s="241"/>
      <c r="L3831" s="241"/>
      <c r="M3831" s="241"/>
      <c r="N3831" s="241"/>
      <c r="O3831" s="241"/>
      <c r="P3831" s="241"/>
      <c r="Q3831" s="241"/>
    </row>
    <row r="3832" spans="1:17" ht="13.5" customHeight="1" x14ac:dyDescent="0.3">
      <c r="A3832"/>
      <c r="B3832" s="241"/>
      <c r="C3832" s="241"/>
      <c r="D3832" s="241"/>
      <c r="E3832" s="241"/>
      <c r="F3832" s="241"/>
      <c r="G3832" s="241"/>
      <c r="H3832" s="241"/>
      <c r="I3832"/>
      <c r="J3832" s="241"/>
      <c r="K3832" s="241"/>
      <c r="L3832" s="241"/>
      <c r="M3832" s="241"/>
      <c r="N3832" s="241"/>
      <c r="O3832" s="241"/>
      <c r="P3832" s="241"/>
      <c r="Q3832" s="241"/>
    </row>
    <row r="3833" spans="1:17" ht="13.5" customHeight="1" x14ac:dyDescent="0.3">
      <c r="A3833"/>
      <c r="B3833" s="241"/>
      <c r="C3833" s="241"/>
      <c r="D3833" s="241"/>
      <c r="E3833" s="241"/>
      <c r="F3833" s="241"/>
      <c r="G3833" s="241"/>
      <c r="H3833" s="241"/>
      <c r="I3833"/>
      <c r="J3833" s="241"/>
      <c r="K3833" s="241"/>
      <c r="L3833" s="241"/>
      <c r="M3833" s="241"/>
      <c r="N3833" s="241"/>
      <c r="O3833" s="241"/>
      <c r="P3833" s="241"/>
      <c r="Q3833" s="241"/>
    </row>
    <row r="3834" spans="1:17" ht="13.5" customHeight="1" x14ac:dyDescent="0.3">
      <c r="A3834"/>
      <c r="B3834" s="241"/>
      <c r="C3834" s="241"/>
      <c r="D3834" s="241"/>
      <c r="E3834" s="241"/>
      <c r="F3834" s="241"/>
      <c r="G3834" s="241"/>
      <c r="H3834" s="241"/>
      <c r="I3834"/>
      <c r="J3834" s="241"/>
      <c r="K3834" s="241"/>
      <c r="L3834" s="241"/>
      <c r="M3834" s="241"/>
      <c r="N3834" s="241"/>
      <c r="O3834" s="241"/>
      <c r="P3834" s="241"/>
      <c r="Q3834" s="241"/>
    </row>
    <row r="3835" spans="1:17" ht="13.5" customHeight="1" x14ac:dyDescent="0.3">
      <c r="A3835"/>
      <c r="B3835" s="241"/>
      <c r="C3835" s="241"/>
      <c r="D3835" s="241"/>
      <c r="E3835" s="241"/>
      <c r="F3835" s="241"/>
      <c r="G3835" s="241"/>
      <c r="H3835" s="241"/>
      <c r="I3835"/>
      <c r="J3835" s="241"/>
      <c r="K3835" s="241"/>
      <c r="L3835" s="241"/>
      <c r="M3835" s="241"/>
      <c r="N3835" s="241"/>
      <c r="O3835" s="241"/>
      <c r="P3835" s="241"/>
      <c r="Q3835" s="241"/>
    </row>
    <row r="3836" spans="1:17" ht="13.5" customHeight="1" x14ac:dyDescent="0.3">
      <c r="A3836"/>
      <c r="B3836" s="241"/>
      <c r="C3836" s="241"/>
      <c r="D3836" s="241"/>
      <c r="E3836" s="241"/>
      <c r="F3836" s="241"/>
      <c r="G3836" s="241"/>
      <c r="H3836" s="241"/>
      <c r="I3836"/>
      <c r="J3836" s="241"/>
      <c r="K3836" s="241"/>
      <c r="L3836" s="241"/>
      <c r="M3836" s="241"/>
      <c r="N3836" s="241"/>
      <c r="O3836" s="241"/>
      <c r="P3836" s="241"/>
      <c r="Q3836" s="241"/>
    </row>
    <row r="3837" spans="1:17" ht="13.5" customHeight="1" x14ac:dyDescent="0.3">
      <c r="A3837"/>
      <c r="B3837" s="241"/>
      <c r="C3837" s="241"/>
      <c r="D3837" s="241"/>
      <c r="E3837" s="241"/>
      <c r="F3837" s="241"/>
      <c r="G3837" s="241"/>
      <c r="H3837" s="241"/>
      <c r="I3837"/>
      <c r="J3837" s="241"/>
      <c r="K3837" s="241"/>
      <c r="L3837" s="241"/>
      <c r="M3837" s="241"/>
      <c r="N3837" s="241"/>
      <c r="O3837" s="241"/>
      <c r="P3837" s="241"/>
      <c r="Q3837" s="241"/>
    </row>
    <row r="3838" spans="1:17" ht="13.5" customHeight="1" x14ac:dyDescent="0.3">
      <c r="A3838"/>
      <c r="B3838" s="241"/>
      <c r="C3838" s="241"/>
      <c r="D3838" s="241"/>
      <c r="E3838" s="241"/>
      <c r="F3838" s="241"/>
      <c r="G3838" s="241"/>
      <c r="H3838" s="241"/>
      <c r="I3838"/>
      <c r="J3838" s="241"/>
      <c r="K3838" s="241"/>
      <c r="L3838" s="241"/>
      <c r="M3838" s="241"/>
      <c r="N3838" s="241"/>
      <c r="O3838" s="241"/>
      <c r="P3838" s="241"/>
      <c r="Q3838" s="241"/>
    </row>
    <row r="3839" spans="1:17" ht="13.5" customHeight="1" x14ac:dyDescent="0.3">
      <c r="A3839"/>
      <c r="B3839" s="241"/>
      <c r="C3839" s="241"/>
      <c r="D3839" s="241"/>
      <c r="E3839" s="241"/>
      <c r="F3839" s="241"/>
      <c r="G3839" s="241"/>
      <c r="H3839" s="241"/>
      <c r="I3839"/>
      <c r="J3839" s="241"/>
      <c r="K3839" s="241"/>
      <c r="L3839" s="241"/>
      <c r="M3839" s="241"/>
      <c r="N3839" s="241"/>
      <c r="O3839" s="241"/>
      <c r="P3839" s="241"/>
      <c r="Q3839" s="241"/>
    </row>
    <row r="3840" spans="1:17" ht="13.5" customHeight="1" x14ac:dyDescent="0.3">
      <c r="A3840"/>
      <c r="B3840" s="241"/>
      <c r="C3840" s="241"/>
      <c r="D3840" s="241"/>
      <c r="E3840" s="241"/>
      <c r="F3840" s="241"/>
      <c r="G3840" s="241"/>
      <c r="H3840" s="241"/>
      <c r="I3840"/>
      <c r="J3840" s="241"/>
      <c r="K3840" s="241"/>
      <c r="L3840" s="241"/>
      <c r="M3840" s="241"/>
      <c r="N3840" s="241"/>
      <c r="O3840" s="241"/>
      <c r="P3840" s="241"/>
      <c r="Q3840" s="241"/>
    </row>
    <row r="3841" spans="1:17" ht="13.5" customHeight="1" x14ac:dyDescent="0.3">
      <c r="A3841"/>
      <c r="B3841" s="241"/>
      <c r="C3841" s="241"/>
      <c r="D3841" s="241"/>
      <c r="E3841" s="241"/>
      <c r="F3841" s="241"/>
      <c r="G3841" s="241"/>
      <c r="H3841" s="241"/>
      <c r="I3841"/>
      <c r="J3841" s="241"/>
      <c r="K3841" s="241"/>
      <c r="L3841" s="241"/>
      <c r="M3841" s="241"/>
      <c r="N3841" s="241"/>
      <c r="O3841" s="241"/>
      <c r="P3841" s="241"/>
      <c r="Q3841" s="241"/>
    </row>
    <row r="3842" spans="1:17" ht="13.5" customHeight="1" x14ac:dyDescent="0.3">
      <c r="A3842"/>
      <c r="B3842" s="241"/>
      <c r="C3842" s="241"/>
      <c r="D3842" s="241"/>
      <c r="E3842" s="241"/>
      <c r="F3842" s="241"/>
      <c r="G3842" s="241"/>
      <c r="H3842" s="241"/>
      <c r="I3842"/>
      <c r="J3842" s="241"/>
      <c r="K3842" s="241"/>
      <c r="L3842" s="241"/>
      <c r="M3842" s="241"/>
      <c r="N3842" s="241"/>
      <c r="O3842" s="241"/>
      <c r="P3842" s="241"/>
      <c r="Q3842" s="241"/>
    </row>
    <row r="3843" spans="1:17" ht="13.5" customHeight="1" x14ac:dyDescent="0.3">
      <c r="A3843"/>
      <c r="B3843" s="241"/>
      <c r="C3843" s="241"/>
      <c r="D3843" s="241"/>
      <c r="E3843" s="241"/>
      <c r="F3843" s="241"/>
      <c r="G3843" s="241"/>
      <c r="H3843" s="241"/>
      <c r="I3843"/>
      <c r="J3843" s="241"/>
      <c r="K3843" s="241"/>
      <c r="L3843" s="241"/>
      <c r="M3843" s="241"/>
      <c r="N3843" s="241"/>
      <c r="O3843" s="241"/>
      <c r="P3843" s="241"/>
      <c r="Q3843" s="241"/>
    </row>
    <row r="3844" spans="1:17" ht="13.5" customHeight="1" x14ac:dyDescent="0.3">
      <c r="A3844"/>
      <c r="B3844" s="241"/>
      <c r="C3844" s="241"/>
      <c r="D3844" s="241"/>
      <c r="E3844" s="241"/>
      <c r="F3844" s="241"/>
      <c r="G3844" s="241"/>
      <c r="H3844" s="241"/>
      <c r="I3844"/>
      <c r="J3844" s="241"/>
      <c r="K3844" s="241"/>
      <c r="L3844" s="241"/>
      <c r="M3844" s="241"/>
      <c r="N3844" s="241"/>
      <c r="O3844" s="241"/>
      <c r="P3844" s="241"/>
      <c r="Q3844" s="241"/>
    </row>
    <row r="3845" spans="1:17" ht="13.5" customHeight="1" x14ac:dyDescent="0.3">
      <c r="A3845"/>
      <c r="B3845" s="241"/>
      <c r="C3845" s="241"/>
      <c r="D3845" s="241"/>
      <c r="E3845" s="241"/>
      <c r="F3845" s="241"/>
      <c r="G3845" s="241"/>
      <c r="H3845" s="241"/>
      <c r="I3845"/>
      <c r="J3845" s="241"/>
      <c r="K3845" s="241"/>
      <c r="L3845" s="241"/>
      <c r="M3845" s="241"/>
      <c r="N3845" s="241"/>
      <c r="O3845" s="241"/>
      <c r="P3845" s="241"/>
      <c r="Q3845" s="241"/>
    </row>
    <row r="3846" spans="1:17" ht="13.5" customHeight="1" x14ac:dyDescent="0.3">
      <c r="A3846"/>
      <c r="B3846" s="241"/>
      <c r="C3846" s="241"/>
      <c r="D3846" s="241"/>
      <c r="E3846" s="241"/>
      <c r="F3846" s="241"/>
      <c r="G3846" s="241"/>
      <c r="H3846" s="241"/>
      <c r="I3846"/>
      <c r="J3846" s="241"/>
      <c r="K3846" s="241"/>
      <c r="L3846" s="241"/>
      <c r="M3846" s="241"/>
      <c r="N3846" s="241"/>
      <c r="O3846" s="241"/>
      <c r="P3846" s="241"/>
      <c r="Q3846" s="241"/>
    </row>
    <row r="3847" spans="1:17" ht="13.5" customHeight="1" x14ac:dyDescent="0.3">
      <c r="A3847"/>
      <c r="B3847" s="241"/>
      <c r="C3847" s="241"/>
      <c r="D3847" s="241"/>
      <c r="E3847" s="241"/>
      <c r="F3847" s="241"/>
      <c r="G3847" s="241"/>
      <c r="H3847" s="241"/>
      <c r="I3847"/>
      <c r="J3847" s="241"/>
      <c r="K3847" s="241"/>
      <c r="L3847" s="241"/>
      <c r="M3847" s="241"/>
      <c r="N3847" s="241"/>
      <c r="O3847" s="241"/>
      <c r="P3847" s="241"/>
      <c r="Q3847" s="241"/>
    </row>
    <row r="3848" spans="1:17" ht="13.5" customHeight="1" x14ac:dyDescent="0.3">
      <c r="A3848"/>
      <c r="B3848" s="241"/>
      <c r="C3848" s="241"/>
      <c r="D3848" s="241"/>
      <c r="E3848" s="241"/>
      <c r="F3848" s="241"/>
      <c r="G3848" s="241"/>
      <c r="H3848" s="241"/>
      <c r="I3848"/>
      <c r="J3848" s="241"/>
      <c r="K3848" s="241"/>
      <c r="L3848" s="241"/>
      <c r="M3848" s="241"/>
      <c r="N3848" s="241"/>
      <c r="O3848" s="241"/>
      <c r="P3848" s="241"/>
      <c r="Q3848" s="241"/>
    </row>
    <row r="3849" spans="1:17" ht="13.5" customHeight="1" x14ac:dyDescent="0.3">
      <c r="A3849"/>
      <c r="B3849" s="241"/>
      <c r="C3849" s="241"/>
      <c r="D3849" s="241"/>
      <c r="E3849" s="241"/>
      <c r="F3849" s="241"/>
      <c r="G3849" s="241"/>
      <c r="H3849" s="241"/>
      <c r="I3849"/>
      <c r="J3849" s="241"/>
      <c r="K3849" s="241"/>
      <c r="L3849" s="241"/>
      <c r="M3849" s="241"/>
      <c r="N3849" s="241"/>
      <c r="O3849" s="241"/>
      <c r="P3849" s="241"/>
      <c r="Q3849" s="241"/>
    </row>
    <row r="3850" spans="1:17" ht="13.5" customHeight="1" x14ac:dyDescent="0.3">
      <c r="A3850"/>
      <c r="B3850" s="241"/>
      <c r="C3850" s="241"/>
      <c r="D3850" s="241"/>
      <c r="E3850" s="241"/>
      <c r="F3850" s="241"/>
      <c r="G3850" s="241"/>
      <c r="H3850" s="241"/>
      <c r="I3850"/>
      <c r="J3850" s="241"/>
      <c r="K3850" s="241"/>
      <c r="L3850" s="241"/>
      <c r="M3850" s="241"/>
      <c r="N3850" s="241"/>
      <c r="O3850" s="241"/>
      <c r="P3850" s="241"/>
      <c r="Q3850" s="241"/>
    </row>
    <row r="3851" spans="1:17" ht="13.5" customHeight="1" x14ac:dyDescent="0.3">
      <c r="A3851"/>
      <c r="B3851" s="241"/>
      <c r="C3851" s="241"/>
      <c r="D3851" s="241"/>
      <c r="E3851" s="241"/>
      <c r="F3851" s="241"/>
      <c r="G3851" s="241"/>
      <c r="H3851" s="241"/>
      <c r="I3851"/>
      <c r="J3851" s="241"/>
      <c r="K3851" s="241"/>
      <c r="L3851" s="241"/>
      <c r="M3851" s="241"/>
      <c r="N3851" s="241"/>
      <c r="O3851" s="241"/>
      <c r="P3851" s="241"/>
      <c r="Q3851" s="241"/>
    </row>
    <row r="3852" spans="1:17" ht="13.5" customHeight="1" x14ac:dyDescent="0.3">
      <c r="A3852"/>
      <c r="B3852" s="241"/>
      <c r="C3852" s="241"/>
      <c r="D3852" s="241"/>
      <c r="E3852" s="241"/>
      <c r="F3852" s="241"/>
      <c r="G3852" s="241"/>
      <c r="H3852" s="241"/>
      <c r="I3852"/>
      <c r="J3852" s="241"/>
      <c r="K3852" s="241"/>
      <c r="L3852" s="241"/>
      <c r="M3852" s="241"/>
      <c r="N3852" s="241"/>
      <c r="O3852" s="241"/>
      <c r="P3852" s="241"/>
      <c r="Q3852" s="241"/>
    </row>
    <row r="3853" spans="1:17" ht="13.5" customHeight="1" x14ac:dyDescent="0.3">
      <c r="A3853"/>
      <c r="B3853" s="241"/>
      <c r="C3853" s="241"/>
      <c r="D3853" s="241"/>
      <c r="E3853" s="241"/>
      <c r="F3853" s="241"/>
      <c r="G3853" s="241"/>
      <c r="H3853" s="241"/>
      <c r="I3853"/>
      <c r="J3853" s="241"/>
      <c r="K3853" s="241"/>
      <c r="L3853" s="241"/>
      <c r="M3853" s="241"/>
      <c r="N3853" s="241"/>
      <c r="O3853" s="241"/>
      <c r="P3853" s="241"/>
      <c r="Q3853" s="241"/>
    </row>
    <row r="3854" spans="1:17" ht="13.5" customHeight="1" x14ac:dyDescent="0.3">
      <c r="A3854"/>
      <c r="B3854" s="241"/>
      <c r="C3854" s="241"/>
      <c r="D3854" s="241"/>
      <c r="E3854" s="241"/>
      <c r="F3854" s="241"/>
      <c r="G3854" s="241"/>
      <c r="H3854" s="241"/>
      <c r="I3854"/>
      <c r="J3854" s="241"/>
      <c r="K3854" s="241"/>
      <c r="L3854" s="241"/>
      <c r="M3854" s="241"/>
      <c r="N3854" s="241"/>
      <c r="O3854" s="241"/>
      <c r="P3854" s="241"/>
      <c r="Q3854" s="241"/>
    </row>
    <row r="3855" spans="1:17" ht="13.5" customHeight="1" x14ac:dyDescent="0.3">
      <c r="A3855"/>
      <c r="B3855" s="241"/>
      <c r="C3855" s="241"/>
      <c r="D3855" s="241"/>
      <c r="E3855" s="241"/>
      <c r="F3855" s="241"/>
      <c r="G3855" s="241"/>
      <c r="H3855" s="241"/>
      <c r="I3855"/>
      <c r="J3855" s="241"/>
      <c r="K3855" s="241"/>
      <c r="L3855" s="241"/>
      <c r="M3855" s="241"/>
      <c r="N3855" s="241"/>
      <c r="O3855" s="241"/>
      <c r="P3855" s="241"/>
      <c r="Q3855" s="241"/>
    </row>
    <row r="3856" spans="1:17" ht="13.5" customHeight="1" x14ac:dyDescent="0.3">
      <c r="A3856"/>
      <c r="B3856" s="241"/>
      <c r="C3856" s="241"/>
      <c r="D3856" s="241"/>
      <c r="E3856" s="241"/>
      <c r="F3856" s="241"/>
      <c r="G3856" s="241"/>
      <c r="H3856" s="241"/>
      <c r="I3856"/>
      <c r="J3856" s="241"/>
      <c r="K3856" s="241"/>
      <c r="L3856" s="241"/>
      <c r="M3856" s="241"/>
      <c r="N3856" s="241"/>
      <c r="O3856" s="241"/>
      <c r="P3856" s="241"/>
      <c r="Q3856" s="241"/>
    </row>
    <row r="3857" spans="1:17" ht="13.5" customHeight="1" x14ac:dyDescent="0.3">
      <c r="A3857"/>
      <c r="B3857" s="241"/>
      <c r="C3857" s="241"/>
      <c r="D3857" s="241"/>
      <c r="E3857" s="241"/>
      <c r="F3857" s="241"/>
      <c r="G3857" s="241"/>
      <c r="H3857" s="241"/>
      <c r="I3857"/>
      <c r="J3857" s="241"/>
      <c r="K3857" s="241"/>
      <c r="L3857" s="241"/>
      <c r="M3857" s="241"/>
      <c r="N3857" s="241"/>
      <c r="O3857" s="241"/>
      <c r="P3857" s="241"/>
      <c r="Q3857" s="241"/>
    </row>
    <row r="3858" spans="1:17" ht="13.5" customHeight="1" x14ac:dyDescent="0.3">
      <c r="A3858"/>
      <c r="B3858" s="241"/>
      <c r="C3858" s="241"/>
      <c r="D3858" s="241"/>
      <c r="E3858" s="241"/>
      <c r="F3858" s="241"/>
      <c r="G3858" s="241"/>
      <c r="H3858" s="241"/>
      <c r="I3858"/>
      <c r="J3858" s="241"/>
      <c r="K3858" s="241"/>
      <c r="L3858" s="241"/>
      <c r="M3858" s="241"/>
      <c r="N3858" s="241"/>
      <c r="O3858" s="241"/>
      <c r="P3858" s="241"/>
      <c r="Q3858" s="241"/>
    </row>
    <row r="3859" spans="1:17" ht="13.5" customHeight="1" x14ac:dyDescent="0.3">
      <c r="A3859"/>
      <c r="B3859" s="241"/>
      <c r="C3859" s="241"/>
      <c r="D3859" s="241"/>
      <c r="E3859" s="241"/>
      <c r="F3859" s="241"/>
      <c r="G3859" s="241"/>
      <c r="H3859" s="241"/>
      <c r="I3859"/>
      <c r="J3859" s="241"/>
      <c r="K3859" s="241"/>
      <c r="L3859" s="241"/>
      <c r="M3859" s="241"/>
      <c r="N3859" s="241"/>
      <c r="O3859" s="241"/>
      <c r="P3859" s="241"/>
      <c r="Q3859" s="241"/>
    </row>
    <row r="3860" spans="1:17" ht="13.5" customHeight="1" x14ac:dyDescent="0.3">
      <c r="A3860"/>
      <c r="B3860" s="241"/>
      <c r="C3860" s="241"/>
      <c r="D3860" s="241"/>
      <c r="E3860" s="241"/>
      <c r="F3860" s="241"/>
      <c r="G3860" s="241"/>
      <c r="H3860" s="241"/>
      <c r="I3860"/>
      <c r="J3860" s="241"/>
      <c r="K3860" s="241"/>
      <c r="L3860" s="241"/>
      <c r="M3860" s="241"/>
      <c r="N3860" s="241"/>
      <c r="O3860" s="241"/>
      <c r="P3860" s="241"/>
      <c r="Q3860" s="241"/>
    </row>
    <row r="3861" spans="1:17" ht="13.5" customHeight="1" x14ac:dyDescent="0.3">
      <c r="A3861"/>
      <c r="B3861" s="241"/>
      <c r="C3861" s="241"/>
      <c r="D3861" s="241"/>
      <c r="E3861" s="241"/>
      <c r="F3861" s="241"/>
      <c r="G3861" s="241"/>
      <c r="H3861" s="241"/>
      <c r="I3861"/>
      <c r="J3861" s="241"/>
      <c r="K3861" s="241"/>
      <c r="L3861" s="241"/>
      <c r="M3861" s="241"/>
      <c r="N3861" s="241"/>
      <c r="O3861" s="241"/>
      <c r="P3861" s="241"/>
      <c r="Q3861" s="241"/>
    </row>
    <row r="3862" spans="1:17" ht="13.5" customHeight="1" x14ac:dyDescent="0.3">
      <c r="A3862"/>
      <c r="B3862" s="241"/>
      <c r="C3862" s="241"/>
      <c r="D3862" s="241"/>
      <c r="E3862" s="241"/>
      <c r="F3862" s="241"/>
      <c r="G3862" s="241"/>
      <c r="H3862" s="241"/>
      <c r="I3862"/>
      <c r="J3862" s="241"/>
      <c r="K3862" s="241"/>
      <c r="L3862" s="241"/>
      <c r="M3862" s="241"/>
      <c r="N3862" s="241"/>
      <c r="O3862" s="241"/>
      <c r="P3862" s="241"/>
      <c r="Q3862" s="241"/>
    </row>
    <row r="3863" spans="1:17" ht="13.5" customHeight="1" x14ac:dyDescent="0.3">
      <c r="A3863"/>
      <c r="B3863" s="241"/>
      <c r="C3863" s="241"/>
      <c r="D3863" s="241"/>
      <c r="E3863" s="241"/>
      <c r="F3863" s="241"/>
      <c r="G3863" s="241"/>
      <c r="H3863" s="241"/>
      <c r="I3863"/>
      <c r="J3863" s="241"/>
      <c r="K3863" s="241"/>
      <c r="L3863" s="241"/>
      <c r="M3863" s="241"/>
      <c r="N3863" s="241"/>
      <c r="O3863" s="241"/>
      <c r="P3863" s="241"/>
      <c r="Q3863" s="241"/>
    </row>
    <row r="3864" spans="1:17" ht="13.5" customHeight="1" x14ac:dyDescent="0.3">
      <c r="A3864"/>
      <c r="B3864" s="241"/>
      <c r="C3864" s="241"/>
      <c r="D3864" s="241"/>
      <c r="E3864" s="241"/>
      <c r="F3864" s="241"/>
      <c r="G3864" s="241"/>
      <c r="H3864" s="241"/>
      <c r="I3864"/>
      <c r="J3864" s="241"/>
      <c r="K3864" s="241"/>
      <c r="L3864" s="241"/>
      <c r="M3864" s="241"/>
      <c r="N3864" s="241"/>
      <c r="O3864" s="241"/>
      <c r="P3864" s="241"/>
      <c r="Q3864" s="241"/>
    </row>
    <row r="3865" spans="1:17" ht="13.5" customHeight="1" x14ac:dyDescent="0.3">
      <c r="A3865"/>
      <c r="B3865" s="241"/>
      <c r="C3865" s="241"/>
      <c r="D3865" s="241"/>
      <c r="E3865" s="241"/>
      <c r="F3865" s="241"/>
      <c r="G3865" s="241"/>
      <c r="H3865" s="241"/>
      <c r="I3865"/>
      <c r="J3865" s="241"/>
      <c r="K3865" s="241"/>
      <c r="L3865" s="241"/>
      <c r="M3865" s="241"/>
      <c r="N3865" s="241"/>
      <c r="O3865" s="241"/>
      <c r="P3865" s="241"/>
      <c r="Q3865" s="241"/>
    </row>
    <row r="3866" spans="1:17" ht="13.5" customHeight="1" x14ac:dyDescent="0.3">
      <c r="A3866"/>
      <c r="B3866" s="241"/>
      <c r="C3866" s="241"/>
      <c r="D3866" s="241"/>
      <c r="E3866" s="241"/>
      <c r="F3866" s="241"/>
      <c r="G3866" s="241"/>
      <c r="H3866" s="241"/>
      <c r="I3866"/>
      <c r="J3866" s="241"/>
      <c r="K3866" s="241"/>
      <c r="L3866" s="241"/>
      <c r="M3866" s="241"/>
      <c r="N3866" s="241"/>
      <c r="O3866" s="241"/>
      <c r="P3866" s="241"/>
      <c r="Q3866" s="241"/>
    </row>
    <row r="3867" spans="1:17" ht="13.5" customHeight="1" x14ac:dyDescent="0.3">
      <c r="A3867"/>
      <c r="B3867" s="241"/>
      <c r="C3867" s="241"/>
      <c r="D3867" s="241"/>
      <c r="E3867" s="241"/>
      <c r="F3867" s="241"/>
      <c r="G3867" s="241"/>
      <c r="H3867" s="241"/>
      <c r="I3867"/>
      <c r="J3867" s="241"/>
      <c r="K3867" s="241"/>
      <c r="L3867" s="241"/>
      <c r="M3867" s="241"/>
      <c r="N3867" s="241"/>
      <c r="O3867" s="241"/>
      <c r="P3867" s="241"/>
      <c r="Q3867" s="241"/>
    </row>
    <row r="3868" spans="1:17" ht="13.5" customHeight="1" x14ac:dyDescent="0.3">
      <c r="A3868"/>
      <c r="B3868" s="241"/>
      <c r="C3868" s="241"/>
      <c r="D3868" s="241"/>
      <c r="E3868" s="241"/>
      <c r="F3868" s="241"/>
      <c r="G3868" s="241"/>
      <c r="H3868" s="241"/>
      <c r="I3868"/>
      <c r="J3868" s="241"/>
      <c r="K3868" s="241"/>
      <c r="L3868" s="241"/>
      <c r="M3868" s="241"/>
      <c r="N3868" s="241"/>
      <c r="O3868" s="241"/>
      <c r="P3868" s="241"/>
      <c r="Q3868" s="241"/>
    </row>
    <row r="3869" spans="1:17" ht="13.5" customHeight="1" x14ac:dyDescent="0.3">
      <c r="A3869"/>
      <c r="B3869" s="241"/>
      <c r="C3869" s="241"/>
      <c r="D3869" s="241"/>
      <c r="E3869" s="241"/>
      <c r="F3869" s="241"/>
      <c r="G3869" s="241"/>
      <c r="H3869" s="241"/>
      <c r="I3869"/>
      <c r="J3869" s="241"/>
      <c r="K3869" s="241"/>
      <c r="L3869" s="241"/>
      <c r="M3869" s="241"/>
      <c r="N3869" s="241"/>
      <c r="O3869" s="241"/>
      <c r="P3869" s="241"/>
      <c r="Q3869" s="241"/>
    </row>
    <row r="3870" spans="1:17" ht="13.5" customHeight="1" x14ac:dyDescent="0.3">
      <c r="A3870"/>
      <c r="B3870" s="241"/>
      <c r="C3870" s="241"/>
      <c r="D3870" s="241"/>
      <c r="E3870" s="241"/>
      <c r="F3870" s="241"/>
      <c r="G3870" s="241"/>
      <c r="H3870" s="241"/>
      <c r="I3870"/>
      <c r="J3870" s="241"/>
      <c r="K3870" s="241"/>
      <c r="L3870" s="241"/>
      <c r="M3870" s="241"/>
      <c r="N3870" s="241"/>
      <c r="O3870" s="241"/>
      <c r="P3870" s="241"/>
      <c r="Q3870" s="241"/>
    </row>
    <row r="3871" spans="1:17" ht="13.5" customHeight="1" x14ac:dyDescent="0.3">
      <c r="A3871"/>
      <c r="B3871" s="241"/>
      <c r="C3871" s="241"/>
      <c r="D3871" s="241"/>
      <c r="E3871" s="241"/>
      <c r="F3871" s="241"/>
      <c r="G3871" s="241"/>
      <c r="H3871" s="241"/>
      <c r="I3871"/>
      <c r="J3871" s="241"/>
      <c r="K3871" s="241"/>
      <c r="L3871" s="241"/>
      <c r="M3871" s="241"/>
      <c r="N3871" s="241"/>
      <c r="O3871" s="241"/>
      <c r="P3871" s="241"/>
      <c r="Q3871" s="241"/>
    </row>
    <row r="3872" spans="1:17" ht="13.5" customHeight="1" x14ac:dyDescent="0.3">
      <c r="A3872"/>
      <c r="B3872" s="241"/>
      <c r="C3872" s="241"/>
      <c r="D3872" s="241"/>
      <c r="E3872" s="241"/>
      <c r="F3872" s="241"/>
      <c r="G3872" s="241"/>
      <c r="H3872" s="241"/>
      <c r="I3872"/>
      <c r="J3872" s="241"/>
      <c r="K3872" s="241"/>
      <c r="L3872" s="241"/>
      <c r="M3872" s="241"/>
      <c r="N3872" s="241"/>
      <c r="O3872" s="241"/>
      <c r="P3872" s="241"/>
      <c r="Q3872" s="241"/>
    </row>
    <row r="3873" spans="1:17" ht="13.5" customHeight="1" x14ac:dyDescent="0.3">
      <c r="A3873"/>
      <c r="B3873" s="241"/>
      <c r="C3873" s="241"/>
      <c r="D3873" s="241"/>
      <c r="E3873" s="241"/>
      <c r="F3873" s="241"/>
      <c r="G3873" s="241"/>
      <c r="H3873" s="241"/>
      <c r="I3873"/>
      <c r="J3873" s="241"/>
      <c r="K3873" s="241"/>
      <c r="L3873" s="241"/>
      <c r="M3873" s="241"/>
      <c r="N3873" s="241"/>
      <c r="O3873" s="241"/>
      <c r="P3873" s="241"/>
      <c r="Q3873" s="241"/>
    </row>
    <row r="3874" spans="1:17" ht="13.5" customHeight="1" x14ac:dyDescent="0.3">
      <c r="A3874"/>
      <c r="B3874" s="241"/>
      <c r="C3874" s="241"/>
      <c r="D3874" s="241"/>
      <c r="E3874" s="241"/>
      <c r="F3874" s="241"/>
      <c r="G3874" s="241"/>
      <c r="H3874" s="241"/>
      <c r="I3874"/>
      <c r="J3874" s="241"/>
      <c r="K3874" s="241"/>
      <c r="L3874" s="241"/>
      <c r="M3874" s="241"/>
      <c r="N3874" s="241"/>
      <c r="O3874" s="241"/>
      <c r="P3874" s="241"/>
      <c r="Q3874" s="241"/>
    </row>
    <row r="3875" spans="1:17" ht="13.5" customHeight="1" x14ac:dyDescent="0.3">
      <c r="A3875"/>
      <c r="B3875" s="241"/>
      <c r="C3875" s="241"/>
      <c r="D3875" s="241"/>
      <c r="E3875" s="241"/>
      <c r="F3875" s="241"/>
      <c r="G3875" s="241"/>
      <c r="H3875" s="241"/>
      <c r="I3875"/>
      <c r="J3875" s="241"/>
      <c r="K3875" s="241"/>
      <c r="L3875" s="241"/>
      <c r="M3875" s="241"/>
      <c r="N3875" s="241"/>
      <c r="O3875" s="241"/>
      <c r="P3875" s="241"/>
      <c r="Q3875" s="241"/>
    </row>
    <row r="3876" spans="1:17" ht="13.5" customHeight="1" x14ac:dyDescent="0.3">
      <c r="A3876"/>
      <c r="B3876" s="241"/>
      <c r="C3876" s="241"/>
      <c r="D3876" s="241"/>
      <c r="E3876" s="241"/>
      <c r="F3876" s="241"/>
      <c r="G3876" s="241"/>
      <c r="H3876" s="241"/>
      <c r="I3876"/>
      <c r="J3876" s="241"/>
      <c r="K3876" s="241"/>
      <c r="L3876" s="241"/>
      <c r="M3876" s="241"/>
      <c r="N3876" s="241"/>
      <c r="O3876" s="241"/>
      <c r="P3876" s="241"/>
      <c r="Q3876" s="241"/>
    </row>
    <row r="3877" spans="1:17" ht="13.5" customHeight="1" x14ac:dyDescent="0.3">
      <c r="A3877"/>
      <c r="B3877" s="241"/>
      <c r="C3877" s="241"/>
      <c r="D3877" s="241"/>
      <c r="E3877" s="241"/>
      <c r="F3877" s="241"/>
      <c r="G3877" s="241"/>
      <c r="H3877" s="241"/>
      <c r="I3877"/>
      <c r="J3877" s="241"/>
      <c r="K3877" s="241"/>
      <c r="L3877" s="241"/>
      <c r="M3877" s="241"/>
      <c r="N3877" s="241"/>
      <c r="O3877" s="241"/>
      <c r="P3877" s="241"/>
      <c r="Q3877" s="241"/>
    </row>
    <row r="3878" spans="1:17" ht="13.5" customHeight="1" x14ac:dyDescent="0.3">
      <c r="A3878"/>
      <c r="B3878" s="241"/>
      <c r="C3878" s="241"/>
      <c r="D3878" s="241"/>
      <c r="E3878" s="241"/>
      <c r="F3878" s="241"/>
      <c r="G3878" s="241"/>
      <c r="H3878" s="241"/>
      <c r="I3878"/>
      <c r="J3878" s="241"/>
      <c r="K3878" s="241"/>
      <c r="L3878" s="241"/>
      <c r="M3878" s="241"/>
      <c r="N3878" s="241"/>
      <c r="O3878" s="241"/>
      <c r="P3878" s="241"/>
      <c r="Q3878" s="241"/>
    </row>
    <row r="3879" spans="1:17" ht="13.5" customHeight="1" x14ac:dyDescent="0.3">
      <c r="A3879"/>
      <c r="B3879" s="241"/>
      <c r="C3879" s="241"/>
      <c r="D3879" s="241"/>
      <c r="E3879" s="241"/>
      <c r="F3879" s="241"/>
      <c r="G3879" s="241"/>
      <c r="H3879" s="241"/>
      <c r="I3879"/>
      <c r="J3879" s="241"/>
      <c r="K3879" s="241"/>
      <c r="L3879" s="241"/>
      <c r="M3879" s="241"/>
      <c r="N3879" s="241"/>
      <c r="O3879" s="241"/>
      <c r="P3879" s="241"/>
      <c r="Q3879" s="241"/>
    </row>
    <row r="3880" spans="1:17" ht="13.5" customHeight="1" x14ac:dyDescent="0.3">
      <c r="A3880"/>
      <c r="B3880" s="241"/>
      <c r="C3880" s="241"/>
      <c r="D3880" s="241"/>
      <c r="E3880" s="241"/>
      <c r="F3880" s="241"/>
      <c r="G3880" s="241"/>
      <c r="H3880" s="241"/>
      <c r="I3880"/>
      <c r="J3880" s="241"/>
      <c r="K3880" s="241"/>
      <c r="L3880" s="241"/>
      <c r="M3880" s="241"/>
      <c r="N3880" s="241"/>
      <c r="O3880" s="241"/>
      <c r="P3880" s="241"/>
      <c r="Q3880" s="241"/>
    </row>
    <row r="3881" spans="1:17" ht="13.5" customHeight="1" x14ac:dyDescent="0.3">
      <c r="A3881"/>
      <c r="B3881" s="241"/>
      <c r="C3881" s="241"/>
      <c r="D3881" s="241"/>
      <c r="E3881" s="241"/>
      <c r="F3881" s="241"/>
      <c r="G3881" s="241"/>
      <c r="H3881" s="241"/>
      <c r="I3881"/>
      <c r="J3881" s="241"/>
      <c r="K3881" s="241"/>
      <c r="L3881" s="241"/>
      <c r="M3881" s="241"/>
      <c r="N3881" s="241"/>
      <c r="O3881" s="241"/>
      <c r="P3881" s="241"/>
      <c r="Q3881" s="241"/>
    </row>
    <row r="3882" spans="1:17" ht="13.5" customHeight="1" x14ac:dyDescent="0.3">
      <c r="A3882"/>
      <c r="B3882" s="241"/>
      <c r="C3882" s="241"/>
      <c r="D3882" s="241"/>
      <c r="E3882" s="241"/>
      <c r="F3882" s="241"/>
      <c r="G3882" s="241"/>
      <c r="H3882" s="241"/>
      <c r="I3882"/>
      <c r="J3882" s="241"/>
      <c r="K3882" s="241"/>
      <c r="L3882" s="241"/>
      <c r="M3882" s="241"/>
      <c r="N3882" s="241"/>
      <c r="O3882" s="241"/>
      <c r="P3882" s="241"/>
      <c r="Q3882" s="241"/>
    </row>
    <row r="3883" spans="1:17" ht="13.5" customHeight="1" x14ac:dyDescent="0.3">
      <c r="A3883"/>
      <c r="B3883" s="241"/>
      <c r="C3883" s="241"/>
      <c r="D3883" s="241"/>
      <c r="E3883" s="241"/>
      <c r="F3883" s="241"/>
      <c r="G3883" s="241"/>
      <c r="H3883" s="241"/>
      <c r="I3883"/>
      <c r="J3883" s="241"/>
      <c r="K3883" s="241"/>
      <c r="L3883" s="241"/>
      <c r="M3883" s="241"/>
      <c r="N3883" s="241"/>
      <c r="O3883" s="241"/>
      <c r="P3883" s="241"/>
      <c r="Q3883" s="241"/>
    </row>
    <row r="3884" spans="1:17" ht="13.5" customHeight="1" x14ac:dyDescent="0.3">
      <c r="A3884"/>
      <c r="B3884" s="241"/>
      <c r="C3884" s="241"/>
      <c r="D3884" s="241"/>
      <c r="E3884" s="241"/>
      <c r="F3884" s="241"/>
      <c r="G3884" s="241"/>
      <c r="H3884" s="241"/>
      <c r="I3884"/>
      <c r="J3884" s="241"/>
      <c r="K3884" s="241"/>
      <c r="L3884" s="241"/>
      <c r="M3884" s="241"/>
      <c r="N3884" s="241"/>
      <c r="O3884" s="241"/>
      <c r="P3884" s="241"/>
      <c r="Q3884" s="241"/>
    </row>
    <row r="3885" spans="1:17" ht="13.5" customHeight="1" x14ac:dyDescent="0.3">
      <c r="A3885"/>
      <c r="B3885" s="241"/>
      <c r="C3885" s="241"/>
      <c r="D3885" s="241"/>
      <c r="E3885" s="241"/>
      <c r="F3885" s="241"/>
      <c r="G3885" s="241"/>
      <c r="H3885" s="241"/>
      <c r="I3885"/>
      <c r="J3885" s="241"/>
      <c r="K3885" s="241"/>
      <c r="L3885" s="241"/>
      <c r="M3885" s="241"/>
      <c r="N3885" s="241"/>
      <c r="O3885" s="241"/>
      <c r="P3885" s="241"/>
      <c r="Q3885" s="241"/>
    </row>
    <row r="3886" spans="1:17" ht="13.5" customHeight="1" x14ac:dyDescent="0.3">
      <c r="A3886"/>
      <c r="B3886" s="241"/>
      <c r="C3886" s="241"/>
      <c r="D3886" s="241"/>
      <c r="E3886" s="241"/>
      <c r="F3886" s="241"/>
      <c r="G3886" s="241"/>
      <c r="H3886" s="241"/>
      <c r="I3886"/>
      <c r="J3886" s="241"/>
      <c r="K3886" s="241"/>
      <c r="L3886" s="241"/>
      <c r="M3886" s="241"/>
      <c r="N3886" s="241"/>
      <c r="O3886" s="241"/>
      <c r="P3886" s="241"/>
      <c r="Q3886" s="241"/>
    </row>
    <row r="3887" spans="1:17" ht="13.5" customHeight="1" x14ac:dyDescent="0.3">
      <c r="A3887"/>
      <c r="B3887" s="241"/>
      <c r="C3887" s="241"/>
      <c r="D3887" s="241"/>
      <c r="E3887" s="241"/>
      <c r="F3887" s="241"/>
      <c r="G3887" s="241"/>
      <c r="H3887" s="241"/>
      <c r="I3887"/>
      <c r="J3887" s="241"/>
      <c r="K3887" s="241"/>
      <c r="L3887" s="241"/>
      <c r="M3887" s="241"/>
      <c r="N3887" s="241"/>
      <c r="O3887" s="241"/>
      <c r="P3887" s="241"/>
      <c r="Q3887" s="241"/>
    </row>
    <row r="3888" spans="1:17" ht="13.5" customHeight="1" x14ac:dyDescent="0.3">
      <c r="A3888"/>
      <c r="B3888" s="241"/>
      <c r="C3888" s="241"/>
      <c r="D3888" s="241"/>
      <c r="E3888" s="241"/>
      <c r="F3888" s="241"/>
      <c r="G3888" s="241"/>
      <c r="H3888" s="241"/>
      <c r="I3888"/>
      <c r="J3888" s="241"/>
      <c r="K3888" s="241"/>
      <c r="L3888" s="241"/>
      <c r="M3888" s="241"/>
      <c r="N3888" s="241"/>
      <c r="O3888" s="241"/>
      <c r="P3888" s="241"/>
      <c r="Q3888" s="241"/>
    </row>
    <row r="3889" spans="1:17" ht="13.5" customHeight="1" x14ac:dyDescent="0.3">
      <c r="A3889"/>
      <c r="B3889" s="241"/>
      <c r="C3889" s="241"/>
      <c r="D3889" s="241"/>
      <c r="E3889" s="241"/>
      <c r="F3889" s="241"/>
      <c r="G3889" s="241"/>
      <c r="H3889" s="241"/>
      <c r="I3889"/>
      <c r="J3889" s="241"/>
      <c r="K3889" s="241"/>
      <c r="L3889" s="241"/>
      <c r="M3889" s="241"/>
      <c r="N3889" s="241"/>
      <c r="O3889" s="241"/>
      <c r="P3889" s="241"/>
      <c r="Q3889" s="241"/>
    </row>
    <row r="3890" spans="1:17" ht="13.5" customHeight="1" x14ac:dyDescent="0.3">
      <c r="A3890"/>
      <c r="B3890" s="241"/>
      <c r="C3890" s="241"/>
      <c r="D3890" s="241"/>
      <c r="E3890" s="241"/>
      <c r="F3890" s="241"/>
      <c r="G3890" s="241"/>
      <c r="H3890" s="241"/>
      <c r="I3890"/>
      <c r="J3890" s="241"/>
      <c r="K3890" s="241"/>
      <c r="L3890" s="241"/>
      <c r="M3890" s="241"/>
      <c r="N3890" s="241"/>
      <c r="O3890" s="241"/>
      <c r="P3890" s="241"/>
      <c r="Q3890" s="241"/>
    </row>
    <row r="3891" spans="1:17" ht="13.5" customHeight="1" x14ac:dyDescent="0.3">
      <c r="A3891"/>
      <c r="B3891" s="241"/>
      <c r="C3891" s="241"/>
      <c r="D3891" s="241"/>
      <c r="E3891" s="241"/>
      <c r="F3891" s="241"/>
      <c r="G3891" s="241"/>
      <c r="H3891" s="241"/>
      <c r="I3891"/>
      <c r="J3891" s="241"/>
      <c r="K3891" s="241"/>
      <c r="L3891" s="241"/>
      <c r="M3891" s="241"/>
      <c r="N3891" s="241"/>
      <c r="O3891" s="241"/>
      <c r="P3891" s="241"/>
      <c r="Q3891" s="241"/>
    </row>
    <row r="3892" spans="1:17" ht="13.5" customHeight="1" x14ac:dyDescent="0.3">
      <c r="A3892"/>
      <c r="B3892" s="241"/>
      <c r="C3892" s="241"/>
      <c r="D3892" s="241"/>
      <c r="E3892" s="241"/>
      <c r="F3892" s="241"/>
      <c r="G3892" s="241"/>
      <c r="H3892" s="241"/>
      <c r="I3892"/>
      <c r="J3892" s="241"/>
      <c r="K3892" s="241"/>
      <c r="L3892" s="241"/>
      <c r="M3892" s="241"/>
      <c r="N3892" s="241"/>
      <c r="O3892" s="241"/>
      <c r="P3892" s="241"/>
      <c r="Q3892" s="241"/>
    </row>
    <row r="3893" spans="1:17" ht="13.5" customHeight="1" x14ac:dyDescent="0.3">
      <c r="A3893"/>
      <c r="B3893" s="241"/>
      <c r="C3893" s="241"/>
      <c r="D3893" s="241"/>
      <c r="E3893" s="241"/>
      <c r="F3893" s="241"/>
      <c r="G3893" s="241"/>
      <c r="H3893" s="241"/>
      <c r="I3893"/>
      <c r="J3893" s="241"/>
      <c r="K3893" s="241"/>
      <c r="L3893" s="241"/>
      <c r="M3893" s="241"/>
      <c r="N3893" s="241"/>
      <c r="O3893" s="241"/>
      <c r="P3893" s="241"/>
      <c r="Q3893" s="241"/>
    </row>
    <row r="3894" spans="1:17" ht="13.5" customHeight="1" x14ac:dyDescent="0.3">
      <c r="A3894"/>
      <c r="B3894" s="241"/>
      <c r="C3894" s="241"/>
      <c r="D3894" s="241"/>
      <c r="E3894" s="241"/>
      <c r="F3894" s="241"/>
      <c r="G3894" s="241"/>
      <c r="H3894" s="241"/>
      <c r="I3894"/>
      <c r="J3894" s="241"/>
      <c r="K3894" s="241"/>
      <c r="L3894" s="241"/>
      <c r="M3894" s="241"/>
      <c r="N3894" s="241"/>
      <c r="O3894" s="241"/>
      <c r="P3894" s="241"/>
      <c r="Q3894" s="241"/>
    </row>
    <row r="3895" spans="1:17" ht="13.5" customHeight="1" x14ac:dyDescent="0.3">
      <c r="A3895"/>
      <c r="B3895" s="241"/>
      <c r="C3895" s="241"/>
      <c r="D3895" s="241"/>
      <c r="E3895" s="241"/>
      <c r="F3895" s="241"/>
      <c r="G3895" s="241"/>
      <c r="H3895" s="241"/>
      <c r="I3895"/>
      <c r="J3895" s="241"/>
      <c r="K3895" s="241"/>
      <c r="L3895" s="241"/>
      <c r="M3895" s="241"/>
      <c r="N3895" s="241"/>
      <c r="O3895" s="241"/>
      <c r="P3895" s="241"/>
      <c r="Q3895" s="241"/>
    </row>
    <row r="3896" spans="1:17" ht="13.5" customHeight="1" x14ac:dyDescent="0.3">
      <c r="A3896"/>
      <c r="B3896" s="241"/>
      <c r="C3896" s="241"/>
      <c r="D3896" s="241"/>
      <c r="E3896" s="241"/>
      <c r="F3896" s="241"/>
      <c r="G3896" s="241"/>
      <c r="H3896" s="241"/>
      <c r="I3896"/>
      <c r="J3896" s="241"/>
      <c r="K3896" s="241"/>
      <c r="L3896" s="241"/>
      <c r="M3896" s="241"/>
      <c r="N3896" s="241"/>
      <c r="O3896" s="241"/>
      <c r="P3896" s="241"/>
      <c r="Q3896" s="241"/>
    </row>
    <row r="3897" spans="1:17" ht="13.5" customHeight="1" x14ac:dyDescent="0.3">
      <c r="A3897"/>
      <c r="B3897" s="241"/>
      <c r="C3897" s="241"/>
      <c r="D3897" s="241"/>
      <c r="E3897" s="241"/>
      <c r="F3897" s="241"/>
      <c r="G3897" s="241"/>
      <c r="H3897" s="241"/>
      <c r="I3897"/>
      <c r="J3897" s="241"/>
      <c r="K3897" s="241"/>
      <c r="L3897" s="241"/>
      <c r="M3897" s="241"/>
      <c r="N3897" s="241"/>
      <c r="O3897" s="241"/>
      <c r="P3897" s="241"/>
      <c r="Q3897" s="241"/>
    </row>
    <row r="3898" spans="1:17" ht="13.5" customHeight="1" x14ac:dyDescent="0.3">
      <c r="A3898"/>
      <c r="B3898" s="241"/>
      <c r="C3898" s="241"/>
      <c r="D3898" s="241"/>
      <c r="E3898" s="241"/>
      <c r="F3898" s="241"/>
      <c r="G3898" s="241"/>
      <c r="H3898" s="241"/>
      <c r="I3898"/>
      <c r="J3898" s="241"/>
      <c r="K3898" s="241"/>
      <c r="L3898" s="241"/>
      <c r="M3898" s="241"/>
      <c r="N3898" s="241"/>
      <c r="O3898" s="241"/>
      <c r="P3898" s="241"/>
      <c r="Q3898" s="241"/>
    </row>
    <row r="3899" spans="1:17" ht="13.5" customHeight="1" x14ac:dyDescent="0.3">
      <c r="A3899"/>
      <c r="B3899" s="241"/>
      <c r="C3899" s="241"/>
      <c r="D3899" s="241"/>
      <c r="E3899" s="241"/>
      <c r="F3899" s="241"/>
      <c r="G3899" s="241"/>
      <c r="H3899" s="241"/>
      <c r="I3899"/>
      <c r="J3899" s="241"/>
      <c r="K3899" s="241"/>
      <c r="L3899" s="241"/>
      <c r="M3899" s="241"/>
      <c r="N3899" s="241"/>
      <c r="O3899" s="241"/>
      <c r="P3899" s="241"/>
      <c r="Q3899" s="241"/>
    </row>
    <row r="3900" spans="1:17" ht="13.5" customHeight="1" x14ac:dyDescent="0.3">
      <c r="A3900"/>
      <c r="B3900" s="241"/>
      <c r="C3900" s="241"/>
      <c r="D3900" s="241"/>
      <c r="E3900" s="241"/>
      <c r="F3900" s="241"/>
      <c r="G3900" s="241"/>
      <c r="H3900" s="241"/>
      <c r="I3900"/>
      <c r="J3900" s="241"/>
      <c r="K3900" s="241"/>
      <c r="L3900" s="241"/>
      <c r="M3900" s="241"/>
      <c r="N3900" s="241"/>
      <c r="O3900" s="241"/>
      <c r="P3900" s="241"/>
      <c r="Q3900" s="241"/>
    </row>
    <row r="3901" spans="1:17" ht="13.5" customHeight="1" x14ac:dyDescent="0.3">
      <c r="A3901"/>
      <c r="B3901" s="241"/>
      <c r="C3901" s="241"/>
      <c r="D3901" s="241"/>
      <c r="E3901" s="241"/>
      <c r="F3901" s="241"/>
      <c r="G3901" s="241"/>
      <c r="H3901" s="241"/>
      <c r="I3901"/>
      <c r="J3901" s="241"/>
      <c r="K3901" s="241"/>
      <c r="L3901" s="241"/>
      <c r="M3901" s="241"/>
      <c r="N3901" s="241"/>
      <c r="O3901" s="241"/>
      <c r="P3901" s="241"/>
      <c r="Q3901" s="241"/>
    </row>
    <row r="3902" spans="1:17" ht="13.5" customHeight="1" x14ac:dyDescent="0.3">
      <c r="A3902"/>
      <c r="B3902" s="241"/>
      <c r="C3902" s="241"/>
      <c r="D3902" s="241"/>
      <c r="E3902" s="241"/>
      <c r="F3902" s="241"/>
      <c r="G3902" s="241"/>
      <c r="H3902" s="241"/>
      <c r="I3902"/>
      <c r="J3902" s="241"/>
      <c r="K3902" s="241"/>
      <c r="L3902" s="241"/>
      <c r="M3902" s="241"/>
      <c r="N3902" s="241"/>
      <c r="O3902" s="241"/>
      <c r="P3902" s="241"/>
      <c r="Q3902" s="241"/>
    </row>
    <row r="3903" spans="1:17" ht="13.5" customHeight="1" x14ac:dyDescent="0.3">
      <c r="A3903"/>
      <c r="B3903" s="241"/>
      <c r="C3903" s="241"/>
      <c r="D3903" s="241"/>
      <c r="E3903" s="241"/>
      <c r="F3903" s="241"/>
      <c r="G3903" s="241"/>
      <c r="H3903" s="241"/>
      <c r="I3903"/>
      <c r="J3903" s="241"/>
      <c r="K3903" s="241"/>
      <c r="L3903" s="241"/>
      <c r="M3903" s="241"/>
      <c r="N3903" s="241"/>
      <c r="O3903" s="241"/>
      <c r="P3903" s="241"/>
      <c r="Q3903" s="241"/>
    </row>
    <row r="3904" spans="1:17" ht="13.5" customHeight="1" x14ac:dyDescent="0.3">
      <c r="A3904"/>
      <c r="B3904" s="241"/>
      <c r="C3904" s="241"/>
      <c r="D3904" s="241"/>
      <c r="E3904" s="241"/>
      <c r="F3904" s="241"/>
      <c r="G3904" s="241"/>
      <c r="H3904" s="241"/>
      <c r="I3904"/>
      <c r="J3904" s="241"/>
      <c r="K3904" s="241"/>
      <c r="L3904" s="241"/>
      <c r="M3904" s="241"/>
      <c r="N3904" s="241"/>
      <c r="O3904" s="241"/>
      <c r="P3904" s="241"/>
      <c r="Q3904" s="241"/>
    </row>
    <row r="3905" spans="1:17" ht="13.5" customHeight="1" x14ac:dyDescent="0.3">
      <c r="A3905"/>
      <c r="B3905" s="241"/>
      <c r="C3905" s="241"/>
      <c r="D3905" s="241"/>
      <c r="E3905" s="241"/>
      <c r="F3905" s="241"/>
      <c r="G3905" s="241"/>
      <c r="H3905" s="241"/>
      <c r="I3905"/>
      <c r="J3905" s="241"/>
      <c r="K3905" s="241"/>
      <c r="L3905" s="241"/>
      <c r="M3905" s="241"/>
      <c r="N3905" s="241"/>
      <c r="O3905" s="241"/>
      <c r="P3905" s="241"/>
      <c r="Q3905" s="241"/>
    </row>
    <row r="3906" spans="1:17" ht="13.5" customHeight="1" x14ac:dyDescent="0.3">
      <c r="A3906"/>
      <c r="B3906" s="241"/>
      <c r="C3906" s="241"/>
      <c r="D3906" s="241"/>
      <c r="E3906" s="241"/>
      <c r="F3906" s="241"/>
      <c r="G3906" s="241"/>
      <c r="H3906" s="241"/>
      <c r="I3906"/>
      <c r="J3906" s="241"/>
      <c r="K3906" s="241"/>
      <c r="L3906" s="241"/>
      <c r="M3906" s="241"/>
      <c r="N3906" s="241"/>
      <c r="O3906" s="241"/>
      <c r="P3906" s="241"/>
      <c r="Q3906" s="241"/>
    </row>
    <row r="3907" spans="1:17" ht="13.5" customHeight="1" x14ac:dyDescent="0.3">
      <c r="A3907"/>
      <c r="B3907" s="241"/>
      <c r="C3907" s="241"/>
      <c r="D3907" s="241"/>
      <c r="E3907" s="241"/>
      <c r="F3907" s="241"/>
      <c r="G3907" s="241"/>
      <c r="H3907" s="241"/>
      <c r="I3907"/>
      <c r="J3907" s="241"/>
      <c r="K3907" s="241"/>
      <c r="L3907" s="241"/>
      <c r="M3907" s="241"/>
      <c r="N3907" s="241"/>
      <c r="O3907" s="241"/>
      <c r="P3907" s="241"/>
      <c r="Q3907" s="241"/>
    </row>
    <row r="3908" spans="1:17" ht="13.5" customHeight="1" x14ac:dyDescent="0.3">
      <c r="A3908"/>
      <c r="B3908" s="241"/>
      <c r="C3908" s="241"/>
      <c r="D3908" s="241"/>
      <c r="E3908" s="241"/>
      <c r="F3908" s="241"/>
      <c r="G3908" s="241"/>
      <c r="H3908" s="241"/>
      <c r="I3908"/>
      <c r="J3908" s="241"/>
      <c r="K3908" s="241"/>
      <c r="L3908" s="241"/>
      <c r="M3908" s="241"/>
      <c r="N3908" s="241"/>
      <c r="O3908" s="241"/>
      <c r="P3908" s="241"/>
      <c r="Q3908" s="241"/>
    </row>
    <row r="3909" spans="1:17" ht="13.5" customHeight="1" x14ac:dyDescent="0.3">
      <c r="A3909"/>
      <c r="B3909" s="241"/>
      <c r="C3909" s="241"/>
      <c r="D3909" s="241"/>
      <c r="E3909" s="241"/>
      <c r="F3909" s="241"/>
      <c r="G3909" s="241"/>
      <c r="H3909" s="241"/>
      <c r="I3909"/>
      <c r="J3909" s="241"/>
      <c r="K3909" s="241"/>
      <c r="L3909" s="241"/>
      <c r="M3909" s="241"/>
      <c r="N3909" s="241"/>
      <c r="O3909" s="241"/>
      <c r="P3909" s="241"/>
      <c r="Q3909" s="241"/>
    </row>
    <row r="3910" spans="1:17" ht="13.5" customHeight="1" x14ac:dyDescent="0.3">
      <c r="A3910"/>
      <c r="B3910" s="241"/>
      <c r="C3910" s="241"/>
      <c r="D3910" s="241"/>
      <c r="E3910" s="241"/>
      <c r="F3910" s="241"/>
      <c r="G3910" s="241"/>
      <c r="H3910" s="241"/>
      <c r="I3910"/>
      <c r="J3910" s="241"/>
      <c r="K3910" s="241"/>
      <c r="L3910" s="241"/>
      <c r="M3910" s="241"/>
      <c r="N3910" s="241"/>
      <c r="O3910" s="241"/>
      <c r="P3910" s="241"/>
      <c r="Q3910" s="241"/>
    </row>
    <row r="3911" spans="1:17" ht="13.5" customHeight="1" x14ac:dyDescent="0.3">
      <c r="A3911"/>
      <c r="B3911" s="241"/>
      <c r="C3911" s="241"/>
      <c r="D3911" s="241"/>
      <c r="E3911" s="241"/>
      <c r="F3911" s="241"/>
      <c r="G3911" s="241"/>
      <c r="H3911" s="241"/>
      <c r="I3911"/>
      <c r="J3911" s="241"/>
      <c r="K3911" s="241"/>
      <c r="L3911" s="241"/>
      <c r="M3911" s="241"/>
      <c r="N3911" s="241"/>
      <c r="O3911" s="241"/>
      <c r="P3911" s="241"/>
      <c r="Q3911" s="241"/>
    </row>
    <row r="3912" spans="1:17" ht="13.5" customHeight="1" x14ac:dyDescent="0.3">
      <c r="A3912"/>
      <c r="B3912" s="241"/>
      <c r="C3912" s="241"/>
      <c r="D3912" s="241"/>
      <c r="E3912" s="241"/>
      <c r="F3912" s="241"/>
      <c r="G3912" s="241"/>
      <c r="H3912" s="241"/>
      <c r="I3912"/>
      <c r="J3912" s="241"/>
      <c r="K3912" s="241"/>
      <c r="L3912" s="241"/>
      <c r="M3912" s="241"/>
      <c r="N3912" s="241"/>
      <c r="O3912" s="241"/>
      <c r="P3912" s="241"/>
      <c r="Q3912" s="241"/>
    </row>
    <row r="3913" spans="1:17" ht="13.5" customHeight="1" x14ac:dyDescent="0.3">
      <c r="A3913"/>
      <c r="B3913" s="241"/>
      <c r="C3913" s="241"/>
      <c r="D3913" s="241"/>
      <c r="E3913" s="241"/>
      <c r="F3913" s="241"/>
      <c r="G3913" s="241"/>
      <c r="H3913" s="241"/>
      <c r="I3913"/>
      <c r="J3913" s="241"/>
      <c r="K3913" s="241"/>
      <c r="L3913" s="241"/>
      <c r="M3913" s="241"/>
      <c r="N3913" s="241"/>
      <c r="O3913" s="241"/>
      <c r="P3913" s="241"/>
      <c r="Q3913" s="241"/>
    </row>
    <row r="3914" spans="1:17" ht="13.5" customHeight="1" x14ac:dyDescent="0.3">
      <c r="A3914"/>
      <c r="B3914" s="241"/>
      <c r="C3914" s="241"/>
      <c r="D3914" s="241"/>
      <c r="E3914" s="241"/>
      <c r="F3914" s="241"/>
      <c r="G3914" s="241"/>
      <c r="H3914" s="241"/>
      <c r="I3914"/>
      <c r="J3914" s="241"/>
      <c r="K3914" s="241"/>
      <c r="L3914" s="241"/>
      <c r="M3914" s="241"/>
      <c r="N3914" s="241"/>
      <c r="O3914" s="241"/>
      <c r="P3914" s="241"/>
      <c r="Q3914" s="241"/>
    </row>
    <row r="3915" spans="1:17" ht="13.5" customHeight="1" x14ac:dyDescent="0.3">
      <c r="A3915"/>
      <c r="B3915" s="241"/>
      <c r="C3915" s="241"/>
      <c r="D3915" s="241"/>
      <c r="E3915" s="241"/>
      <c r="F3915" s="241"/>
      <c r="G3915" s="241"/>
      <c r="H3915" s="241"/>
      <c r="I3915"/>
      <c r="J3915" s="241"/>
      <c r="K3915" s="241"/>
      <c r="L3915" s="241"/>
      <c r="M3915" s="241"/>
      <c r="N3915" s="241"/>
      <c r="O3915" s="241"/>
      <c r="P3915" s="241"/>
      <c r="Q3915" s="241"/>
    </row>
    <row r="3916" spans="1:17" ht="13.5" customHeight="1" x14ac:dyDescent="0.3">
      <c r="A3916"/>
      <c r="B3916" s="241"/>
      <c r="C3916" s="241"/>
      <c r="D3916" s="241"/>
      <c r="E3916" s="241"/>
      <c r="F3916" s="241"/>
      <c r="G3916" s="241"/>
      <c r="H3916" s="241"/>
      <c r="I3916"/>
      <c r="J3916" s="241"/>
      <c r="K3916" s="241"/>
      <c r="L3916" s="241"/>
      <c r="M3916" s="241"/>
      <c r="N3916" s="241"/>
      <c r="O3916" s="241"/>
      <c r="P3916" s="241"/>
      <c r="Q3916" s="241"/>
    </row>
    <row r="3917" spans="1:17" ht="13.5" customHeight="1" x14ac:dyDescent="0.3">
      <c r="A3917"/>
      <c r="B3917" s="241"/>
      <c r="C3917" s="241"/>
      <c r="D3917" s="241"/>
      <c r="E3917" s="241"/>
      <c r="F3917" s="241"/>
      <c r="G3917" s="241"/>
      <c r="H3917" s="241"/>
      <c r="I3917"/>
      <c r="J3917" s="241"/>
      <c r="K3917" s="241"/>
      <c r="L3917" s="241"/>
      <c r="M3917" s="241"/>
      <c r="N3917" s="241"/>
      <c r="O3917" s="241"/>
      <c r="P3917" s="241"/>
      <c r="Q3917" s="241"/>
    </row>
    <row r="3918" spans="1:17" ht="13.5" customHeight="1" x14ac:dyDescent="0.3">
      <c r="A3918"/>
      <c r="B3918" s="241"/>
      <c r="C3918" s="241"/>
      <c r="D3918" s="241"/>
      <c r="E3918" s="241"/>
      <c r="F3918" s="241"/>
      <c r="G3918" s="241"/>
      <c r="H3918" s="241"/>
      <c r="I3918"/>
      <c r="J3918" s="241"/>
      <c r="K3918" s="241"/>
      <c r="L3918" s="241"/>
      <c r="M3918" s="241"/>
      <c r="N3918" s="241"/>
      <c r="O3918" s="241"/>
      <c r="P3918" s="241"/>
      <c r="Q3918" s="241"/>
    </row>
    <row r="3919" spans="1:17" ht="13.5" customHeight="1" x14ac:dyDescent="0.3">
      <c r="A3919"/>
      <c r="B3919" s="241"/>
      <c r="C3919" s="241"/>
      <c r="D3919" s="241"/>
      <c r="E3919" s="241"/>
      <c r="F3919" s="241"/>
      <c r="G3919" s="241"/>
      <c r="H3919" s="241"/>
      <c r="I3919"/>
      <c r="J3919" s="241"/>
      <c r="K3919" s="241"/>
      <c r="L3919" s="241"/>
      <c r="M3919" s="241"/>
      <c r="N3919" s="241"/>
      <c r="O3919" s="241"/>
      <c r="P3919" s="241"/>
      <c r="Q3919" s="241"/>
    </row>
    <row r="3920" spans="1:17" ht="13.5" customHeight="1" x14ac:dyDescent="0.3">
      <c r="A3920"/>
      <c r="B3920" s="241"/>
      <c r="C3920" s="241"/>
      <c r="D3920" s="241"/>
      <c r="E3920" s="241"/>
      <c r="F3920" s="241"/>
      <c r="G3920" s="241"/>
      <c r="H3920" s="241"/>
      <c r="I3920"/>
      <c r="J3920" s="241"/>
      <c r="K3920" s="241"/>
      <c r="L3920" s="241"/>
      <c r="M3920" s="241"/>
      <c r="N3920" s="241"/>
      <c r="O3920" s="241"/>
      <c r="P3920" s="241"/>
      <c r="Q3920" s="241"/>
    </row>
    <row r="3921" spans="1:17" ht="13.5" customHeight="1" x14ac:dyDescent="0.3">
      <c r="A3921"/>
      <c r="B3921" s="241"/>
      <c r="C3921" s="241"/>
      <c r="D3921" s="241"/>
      <c r="E3921" s="241"/>
      <c r="F3921" s="241"/>
      <c r="G3921" s="241"/>
      <c r="H3921" s="241"/>
      <c r="I3921"/>
      <c r="J3921" s="241"/>
      <c r="K3921" s="241"/>
      <c r="L3921" s="241"/>
      <c r="M3921" s="241"/>
      <c r="N3921" s="241"/>
      <c r="O3921" s="241"/>
      <c r="P3921" s="241"/>
      <c r="Q3921" s="241"/>
    </row>
    <row r="3922" spans="1:17" ht="13.5" customHeight="1" x14ac:dyDescent="0.3">
      <c r="A3922"/>
      <c r="B3922" s="241"/>
      <c r="C3922" s="241"/>
      <c r="D3922" s="241"/>
      <c r="E3922" s="241"/>
      <c r="F3922" s="241"/>
      <c r="G3922" s="241"/>
      <c r="H3922" s="241"/>
      <c r="I3922"/>
      <c r="J3922" s="241"/>
      <c r="K3922" s="241"/>
      <c r="L3922" s="241"/>
      <c r="M3922" s="241"/>
      <c r="N3922" s="241"/>
      <c r="O3922" s="241"/>
      <c r="P3922" s="241"/>
      <c r="Q3922" s="241"/>
    </row>
    <row r="3923" spans="1:17" ht="13.5" customHeight="1" x14ac:dyDescent="0.3">
      <c r="A3923"/>
      <c r="B3923" s="241"/>
      <c r="C3923" s="241"/>
      <c r="D3923" s="241"/>
      <c r="E3923" s="241"/>
      <c r="F3923" s="241"/>
      <c r="G3923" s="241"/>
      <c r="H3923" s="241"/>
      <c r="I3923"/>
      <c r="J3923" s="241"/>
      <c r="K3923" s="241"/>
      <c r="L3923" s="241"/>
      <c r="M3923" s="241"/>
      <c r="N3923" s="241"/>
      <c r="O3923" s="241"/>
      <c r="P3923" s="241"/>
      <c r="Q3923" s="241"/>
    </row>
    <row r="3924" spans="1:17" ht="13.5" customHeight="1" x14ac:dyDescent="0.3">
      <c r="A3924"/>
      <c r="B3924" s="241"/>
      <c r="C3924" s="241"/>
      <c r="D3924" s="241"/>
      <c r="E3924" s="241"/>
      <c r="F3924" s="241"/>
      <c r="G3924" s="241"/>
      <c r="H3924" s="241"/>
      <c r="I3924"/>
      <c r="J3924" s="241"/>
      <c r="K3924" s="241"/>
      <c r="L3924" s="241"/>
      <c r="M3924" s="241"/>
      <c r="N3924" s="241"/>
      <c r="O3924" s="241"/>
      <c r="P3924" s="241"/>
      <c r="Q3924" s="241"/>
    </row>
    <row r="3925" spans="1:17" ht="13.5" customHeight="1" x14ac:dyDescent="0.3">
      <c r="A3925"/>
      <c r="B3925" s="241"/>
      <c r="C3925" s="241"/>
      <c r="D3925" s="241"/>
      <c r="E3925" s="241"/>
      <c r="F3925" s="241"/>
      <c r="G3925" s="241"/>
      <c r="H3925" s="241"/>
      <c r="I3925"/>
      <c r="J3925" s="241"/>
      <c r="K3925" s="241"/>
      <c r="L3925" s="241"/>
      <c r="M3925" s="241"/>
      <c r="N3925" s="241"/>
      <c r="O3925" s="241"/>
      <c r="P3925" s="241"/>
      <c r="Q3925" s="241"/>
    </row>
    <row r="3926" spans="1:17" ht="13.5" customHeight="1" x14ac:dyDescent="0.3">
      <c r="A3926"/>
      <c r="B3926" s="241"/>
      <c r="C3926" s="241"/>
      <c r="D3926" s="241"/>
      <c r="E3926" s="241"/>
      <c r="F3926" s="241"/>
      <c r="G3926" s="241"/>
      <c r="H3926" s="241"/>
      <c r="I3926"/>
      <c r="J3926" s="241"/>
      <c r="K3926" s="241"/>
      <c r="L3926" s="241"/>
      <c r="M3926" s="241"/>
      <c r="N3926" s="241"/>
      <c r="O3926" s="241"/>
      <c r="P3926" s="241"/>
      <c r="Q3926" s="241"/>
    </row>
    <row r="3927" spans="1:17" ht="13.5" customHeight="1" x14ac:dyDescent="0.3">
      <c r="A3927"/>
      <c r="B3927" s="241"/>
      <c r="C3927" s="241"/>
      <c r="D3927" s="241"/>
      <c r="E3927" s="241"/>
      <c r="F3927" s="241"/>
      <c r="G3927" s="241"/>
      <c r="H3927" s="241"/>
      <c r="I3927"/>
      <c r="J3927" s="241"/>
      <c r="K3927" s="241"/>
      <c r="L3927" s="241"/>
      <c r="M3927" s="241"/>
      <c r="N3927" s="241"/>
      <c r="O3927" s="241"/>
      <c r="P3927" s="241"/>
      <c r="Q3927" s="241"/>
    </row>
    <row r="3928" spans="1:17" ht="13.5" customHeight="1" x14ac:dyDescent="0.3">
      <c r="A3928"/>
      <c r="B3928" s="241"/>
      <c r="C3928" s="241"/>
      <c r="D3928" s="241"/>
      <c r="E3928" s="241"/>
      <c r="F3928" s="241"/>
      <c r="G3928" s="241"/>
      <c r="H3928" s="241"/>
      <c r="I3928"/>
      <c r="J3928" s="241"/>
      <c r="K3928" s="241"/>
      <c r="L3928" s="241"/>
      <c r="M3928" s="241"/>
      <c r="N3928" s="241"/>
      <c r="O3928" s="241"/>
      <c r="P3928" s="241"/>
      <c r="Q3928" s="241"/>
    </row>
    <row r="3929" spans="1:17" ht="13.5" customHeight="1" x14ac:dyDescent="0.3">
      <c r="A3929"/>
      <c r="B3929" s="241"/>
      <c r="C3929" s="241"/>
      <c r="D3929" s="241"/>
      <c r="E3929" s="241"/>
      <c r="F3929" s="241"/>
      <c r="G3929" s="241"/>
      <c r="H3929" s="241"/>
      <c r="I3929"/>
      <c r="J3929" s="241"/>
      <c r="K3929" s="241"/>
      <c r="L3929" s="241"/>
      <c r="M3929" s="241"/>
      <c r="N3929" s="241"/>
      <c r="O3929" s="241"/>
      <c r="P3929" s="241"/>
      <c r="Q3929" s="241"/>
    </row>
    <row r="3930" spans="1:17" ht="13.5" customHeight="1" x14ac:dyDescent="0.3">
      <c r="A3930"/>
      <c r="B3930" s="241"/>
      <c r="C3930" s="241"/>
      <c r="D3930" s="241"/>
      <c r="E3930" s="241"/>
      <c r="F3930" s="241"/>
      <c r="G3930" s="241"/>
      <c r="H3930" s="241"/>
      <c r="I3930"/>
      <c r="J3930" s="241"/>
      <c r="K3930" s="241"/>
      <c r="L3930" s="241"/>
      <c r="M3930" s="241"/>
      <c r="N3930" s="241"/>
      <c r="O3930" s="241"/>
      <c r="P3930" s="241"/>
      <c r="Q3930" s="241"/>
    </row>
    <row r="3931" spans="1:17" ht="13.5" customHeight="1" x14ac:dyDescent="0.3">
      <c r="A3931"/>
      <c r="B3931" s="241"/>
      <c r="C3931" s="241"/>
      <c r="D3931" s="241"/>
      <c r="E3931" s="241"/>
      <c r="F3931" s="241"/>
      <c r="G3931" s="241"/>
      <c r="H3931" s="241"/>
      <c r="I3931"/>
      <c r="J3931" s="241"/>
      <c r="K3931" s="241"/>
      <c r="L3931" s="241"/>
      <c r="M3931" s="241"/>
      <c r="N3931" s="241"/>
      <c r="O3931" s="241"/>
      <c r="P3931" s="241"/>
      <c r="Q3931" s="241"/>
    </row>
    <row r="3932" spans="1:17" ht="13.5" customHeight="1" x14ac:dyDescent="0.3">
      <c r="A3932"/>
      <c r="B3932" s="241"/>
      <c r="C3932" s="241"/>
      <c r="D3932" s="241"/>
      <c r="E3932" s="241"/>
      <c r="F3932" s="241"/>
      <c r="G3932" s="241"/>
      <c r="H3932" s="241"/>
      <c r="I3932"/>
      <c r="J3932" s="241"/>
      <c r="K3932" s="241"/>
      <c r="L3932" s="241"/>
      <c r="M3932" s="241"/>
      <c r="N3932" s="241"/>
      <c r="O3932" s="241"/>
      <c r="P3932" s="241"/>
      <c r="Q3932" s="241"/>
    </row>
    <row r="3933" spans="1:17" ht="13.5" customHeight="1" x14ac:dyDescent="0.3">
      <c r="A3933"/>
      <c r="B3933" s="241"/>
      <c r="C3933" s="241"/>
      <c r="D3933" s="241"/>
      <c r="E3933" s="241"/>
      <c r="F3933" s="241"/>
      <c r="G3933" s="241"/>
      <c r="H3933" s="241"/>
      <c r="I3933"/>
      <c r="J3933" s="241"/>
      <c r="K3933" s="241"/>
      <c r="L3933" s="241"/>
      <c r="M3933" s="241"/>
      <c r="N3933" s="241"/>
      <c r="O3933" s="241"/>
      <c r="P3933" s="241"/>
      <c r="Q3933" s="241"/>
    </row>
    <row r="3934" spans="1:17" ht="13.5" customHeight="1" x14ac:dyDescent="0.3">
      <c r="A3934"/>
      <c r="B3934" s="241"/>
      <c r="C3934" s="241"/>
      <c r="D3934" s="241"/>
      <c r="E3934" s="241"/>
      <c r="F3934" s="241"/>
      <c r="G3934" s="241"/>
      <c r="H3934" s="241"/>
      <c r="I3934"/>
      <c r="J3934" s="241"/>
      <c r="K3934" s="241"/>
      <c r="L3934" s="241"/>
      <c r="M3934" s="241"/>
      <c r="N3934" s="241"/>
      <c r="O3934" s="241"/>
      <c r="P3934" s="241"/>
      <c r="Q3934" s="241"/>
    </row>
    <row r="3935" spans="1:17" ht="13.5" customHeight="1" x14ac:dyDescent="0.3">
      <c r="A3935"/>
      <c r="B3935" s="241"/>
      <c r="C3935" s="241"/>
      <c r="D3935" s="241"/>
      <c r="E3935" s="241"/>
      <c r="F3935" s="241"/>
      <c r="G3935" s="241"/>
      <c r="H3935" s="241"/>
      <c r="I3935"/>
      <c r="J3935" s="241"/>
      <c r="K3935" s="241"/>
      <c r="L3935" s="241"/>
      <c r="M3935" s="241"/>
      <c r="N3935" s="241"/>
      <c r="O3935" s="241"/>
      <c r="P3935" s="241"/>
      <c r="Q3935" s="241"/>
    </row>
    <row r="3936" spans="1:17" ht="13.5" customHeight="1" x14ac:dyDescent="0.3">
      <c r="A3936"/>
      <c r="B3936" s="241"/>
      <c r="C3936" s="241"/>
      <c r="D3936" s="241"/>
      <c r="E3936" s="241"/>
      <c r="F3936" s="241"/>
      <c r="G3936" s="241"/>
      <c r="H3936" s="241"/>
      <c r="I3936"/>
      <c r="J3936" s="241"/>
      <c r="K3936" s="241"/>
      <c r="L3936" s="241"/>
      <c r="M3936" s="241"/>
      <c r="N3936" s="241"/>
      <c r="O3936" s="241"/>
      <c r="P3936" s="241"/>
      <c r="Q3936" s="241"/>
    </row>
    <row r="3937" spans="1:17" ht="13.5" customHeight="1" x14ac:dyDescent="0.3">
      <c r="A3937"/>
      <c r="B3937" s="241"/>
      <c r="C3937" s="241"/>
      <c r="D3937" s="241"/>
      <c r="E3937" s="241"/>
      <c r="F3937" s="241"/>
      <c r="G3937" s="241"/>
      <c r="H3937" s="241"/>
      <c r="I3937"/>
      <c r="J3937" s="241"/>
      <c r="K3937" s="241"/>
      <c r="L3937" s="241"/>
      <c r="M3937" s="241"/>
      <c r="N3937" s="241"/>
      <c r="O3937" s="241"/>
      <c r="P3937" s="241"/>
      <c r="Q3937" s="241"/>
    </row>
    <row r="3938" spans="1:17" ht="13.5" customHeight="1" x14ac:dyDescent="0.3">
      <c r="A3938"/>
      <c r="B3938" s="241"/>
      <c r="C3938" s="241"/>
      <c r="D3938" s="241"/>
      <c r="E3938" s="241"/>
      <c r="F3938" s="241"/>
      <c r="G3938" s="241"/>
      <c r="H3938" s="241"/>
      <c r="I3938"/>
      <c r="J3938" s="241"/>
      <c r="K3938" s="241"/>
      <c r="L3938" s="241"/>
      <c r="M3938" s="241"/>
      <c r="N3938" s="241"/>
      <c r="O3938" s="241"/>
      <c r="P3938" s="241"/>
      <c r="Q3938" s="241"/>
    </row>
    <row r="3939" spans="1:17" ht="13.5" customHeight="1" x14ac:dyDescent="0.3">
      <c r="A3939"/>
      <c r="B3939" s="241"/>
      <c r="C3939" s="241"/>
      <c r="D3939" s="241"/>
      <c r="E3939" s="241"/>
      <c r="F3939" s="241"/>
      <c r="G3939" s="241"/>
      <c r="H3939" s="241"/>
      <c r="I3939"/>
      <c r="J3939" s="241"/>
      <c r="K3939" s="241"/>
      <c r="L3939" s="241"/>
      <c r="M3939" s="241"/>
      <c r="N3939" s="241"/>
      <c r="O3939" s="241"/>
      <c r="P3939" s="241"/>
      <c r="Q3939" s="241"/>
    </row>
    <row r="3940" spans="1:17" ht="13.5" customHeight="1" x14ac:dyDescent="0.3">
      <c r="A3940"/>
      <c r="B3940" s="241"/>
      <c r="C3940" s="241"/>
      <c r="D3940" s="241"/>
      <c r="E3940" s="241"/>
      <c r="F3940" s="241"/>
      <c r="G3940" s="241"/>
      <c r="H3940" s="241"/>
      <c r="I3940"/>
      <c r="J3940" s="241"/>
      <c r="K3940" s="241"/>
      <c r="L3940" s="241"/>
      <c r="M3940" s="241"/>
      <c r="N3940" s="241"/>
      <c r="O3940" s="241"/>
      <c r="P3940" s="241"/>
      <c r="Q3940" s="241"/>
    </row>
    <row r="3941" spans="1:17" ht="13.5" customHeight="1" x14ac:dyDescent="0.3">
      <c r="A3941"/>
      <c r="B3941" s="241"/>
      <c r="C3941" s="241"/>
      <c r="D3941" s="241"/>
      <c r="E3941" s="241"/>
      <c r="F3941" s="241"/>
      <c r="G3941" s="241"/>
      <c r="H3941" s="241"/>
      <c r="I3941"/>
      <c r="J3941" s="241"/>
      <c r="K3941" s="241"/>
      <c r="L3941" s="241"/>
      <c r="M3941" s="241"/>
      <c r="N3941" s="241"/>
      <c r="O3941" s="241"/>
      <c r="P3941" s="241"/>
      <c r="Q3941" s="241"/>
    </row>
    <row r="3942" spans="1:17" ht="13.5" customHeight="1" x14ac:dyDescent="0.3">
      <c r="A3942"/>
      <c r="B3942" s="241"/>
      <c r="C3942" s="241"/>
      <c r="D3942" s="241"/>
      <c r="E3942" s="241"/>
      <c r="F3942" s="241"/>
      <c r="G3942" s="241"/>
      <c r="H3942" s="241"/>
      <c r="I3942"/>
      <c r="J3942" s="241"/>
      <c r="K3942" s="241"/>
      <c r="L3942" s="241"/>
      <c r="M3942" s="241"/>
      <c r="N3942" s="241"/>
      <c r="O3942" s="241"/>
      <c r="P3942" s="241"/>
      <c r="Q3942" s="241"/>
    </row>
    <row r="3943" spans="1:17" ht="13.5" customHeight="1" x14ac:dyDescent="0.3">
      <c r="A3943"/>
      <c r="B3943" s="241"/>
      <c r="C3943" s="241"/>
      <c r="D3943" s="241"/>
      <c r="E3943" s="241"/>
      <c r="F3943" s="241"/>
      <c r="G3943" s="241"/>
      <c r="H3943" s="241"/>
      <c r="I3943"/>
      <c r="J3943" s="241"/>
      <c r="K3943" s="241"/>
      <c r="L3943" s="241"/>
      <c r="M3943" s="241"/>
      <c r="N3943" s="241"/>
      <c r="O3943" s="241"/>
      <c r="P3943" s="241"/>
      <c r="Q3943" s="241"/>
    </row>
    <row r="3944" spans="1:17" ht="13.5" customHeight="1" x14ac:dyDescent="0.3">
      <c r="A3944"/>
      <c r="B3944" s="241"/>
      <c r="C3944" s="241"/>
      <c r="D3944" s="241"/>
      <c r="E3944" s="241"/>
      <c r="F3944" s="241"/>
      <c r="G3944" s="241"/>
      <c r="H3944" s="241"/>
      <c r="I3944"/>
      <c r="J3944" s="241"/>
      <c r="K3944" s="241"/>
      <c r="L3944" s="241"/>
      <c r="M3944" s="241"/>
      <c r="N3944" s="241"/>
      <c r="O3944" s="241"/>
      <c r="P3944" s="241"/>
      <c r="Q3944" s="241"/>
    </row>
    <row r="3945" spans="1:17" ht="13.5" customHeight="1" x14ac:dyDescent="0.3">
      <c r="A3945"/>
      <c r="B3945" s="241"/>
      <c r="C3945" s="241"/>
      <c r="D3945" s="241"/>
      <c r="E3945" s="241"/>
      <c r="F3945" s="241"/>
      <c r="G3945" s="241"/>
      <c r="H3945" s="241"/>
      <c r="I3945"/>
      <c r="J3945" s="241"/>
      <c r="K3945" s="241"/>
      <c r="L3945" s="241"/>
      <c r="M3945" s="241"/>
      <c r="N3945" s="241"/>
      <c r="O3945" s="241"/>
      <c r="P3945" s="241"/>
      <c r="Q3945" s="241"/>
    </row>
    <row r="3946" spans="1:17" ht="13.5" customHeight="1" x14ac:dyDescent="0.3">
      <c r="A3946"/>
      <c r="B3946" s="241"/>
      <c r="C3946" s="241"/>
      <c r="D3946" s="241"/>
      <c r="E3946" s="241"/>
      <c r="F3946" s="241"/>
      <c r="G3946" s="241"/>
      <c r="H3946" s="241"/>
      <c r="I3946"/>
      <c r="J3946" s="241"/>
      <c r="K3946" s="241"/>
      <c r="L3946" s="241"/>
      <c r="M3946" s="241"/>
      <c r="N3946" s="241"/>
      <c r="O3946" s="241"/>
      <c r="P3946" s="241"/>
      <c r="Q3946" s="241"/>
    </row>
    <row r="3947" spans="1:17" ht="13.5" customHeight="1" x14ac:dyDescent="0.3">
      <c r="A3947"/>
      <c r="B3947" s="241"/>
      <c r="C3947" s="241"/>
      <c r="D3947" s="241"/>
      <c r="E3947" s="241"/>
      <c r="F3947" s="241"/>
      <c r="G3947" s="241"/>
      <c r="H3947" s="241"/>
      <c r="I3947"/>
      <c r="J3947" s="241"/>
      <c r="K3947" s="241"/>
      <c r="L3947" s="241"/>
      <c r="M3947" s="241"/>
      <c r="N3947" s="241"/>
      <c r="O3947" s="241"/>
      <c r="P3947" s="241"/>
      <c r="Q3947" s="241"/>
    </row>
    <row r="3948" spans="1:17" ht="13.5" customHeight="1" x14ac:dyDescent="0.3">
      <c r="A3948"/>
      <c r="B3948" s="241"/>
      <c r="C3948" s="241"/>
      <c r="D3948" s="241"/>
      <c r="E3948" s="241"/>
      <c r="F3948" s="241"/>
      <c r="G3948" s="241"/>
      <c r="H3948" s="241"/>
      <c r="I3948"/>
      <c r="J3948" s="241"/>
      <c r="K3948" s="241"/>
      <c r="L3948" s="241"/>
      <c r="M3948" s="241"/>
      <c r="N3948" s="241"/>
      <c r="O3948" s="241"/>
      <c r="P3948" s="241"/>
      <c r="Q3948" s="241"/>
    </row>
    <row r="3949" spans="1:17" ht="13.5" customHeight="1" x14ac:dyDescent="0.3">
      <c r="A3949"/>
      <c r="B3949" s="241"/>
      <c r="C3949" s="241"/>
      <c r="D3949" s="241"/>
      <c r="E3949" s="241"/>
      <c r="F3949" s="241"/>
      <c r="G3949" s="241"/>
      <c r="H3949" s="241"/>
      <c r="I3949"/>
      <c r="J3949" s="241"/>
      <c r="K3949" s="241"/>
      <c r="L3949" s="241"/>
      <c r="M3949" s="241"/>
      <c r="N3949" s="241"/>
      <c r="O3949" s="241"/>
      <c r="P3949" s="241"/>
      <c r="Q3949" s="241"/>
    </row>
    <row r="3950" spans="1:17" ht="13.5" customHeight="1" x14ac:dyDescent="0.3">
      <c r="A3950"/>
      <c r="B3950" s="241"/>
      <c r="C3950" s="241"/>
      <c r="D3950" s="241"/>
      <c r="E3950" s="241"/>
      <c r="F3950" s="241"/>
      <c r="G3950" s="241"/>
      <c r="H3950" s="241"/>
      <c r="I3950"/>
      <c r="J3950" s="241"/>
      <c r="K3950" s="241"/>
      <c r="L3950" s="241"/>
      <c r="M3950" s="241"/>
      <c r="N3950" s="241"/>
      <c r="O3950" s="241"/>
      <c r="P3950" s="241"/>
      <c r="Q3950" s="241"/>
    </row>
    <row r="3951" spans="1:17" ht="13.5" customHeight="1" x14ac:dyDescent="0.3">
      <c r="A3951"/>
      <c r="B3951" s="241"/>
      <c r="C3951" s="241"/>
      <c r="D3951" s="241"/>
      <c r="E3951" s="241"/>
      <c r="F3951" s="241"/>
      <c r="G3951" s="241"/>
      <c r="H3951" s="241"/>
      <c r="I3951"/>
      <c r="J3951" s="241"/>
      <c r="K3951" s="241"/>
      <c r="L3951" s="241"/>
      <c r="M3951" s="241"/>
      <c r="N3951" s="241"/>
      <c r="O3951" s="241"/>
      <c r="P3951" s="241"/>
      <c r="Q3951" s="241"/>
    </row>
    <row r="3952" spans="1:17" ht="13.5" customHeight="1" x14ac:dyDescent="0.3">
      <c r="A3952"/>
      <c r="B3952" s="241"/>
      <c r="C3952" s="241"/>
      <c r="D3952" s="241"/>
      <c r="E3952" s="241"/>
      <c r="F3952" s="241"/>
      <c r="G3952" s="241"/>
      <c r="H3952" s="241"/>
      <c r="I3952"/>
      <c r="J3952" s="241"/>
      <c r="K3952" s="241"/>
      <c r="L3952" s="241"/>
      <c r="M3952" s="241"/>
      <c r="N3952" s="241"/>
      <c r="O3952" s="241"/>
      <c r="P3952" s="241"/>
      <c r="Q3952" s="241"/>
    </row>
    <row r="3953" spans="1:17" ht="13.5" customHeight="1" x14ac:dyDescent="0.3">
      <c r="A3953"/>
      <c r="B3953" s="241"/>
      <c r="C3953" s="241"/>
      <c r="D3953" s="241"/>
      <c r="E3953" s="241"/>
      <c r="F3953" s="241"/>
      <c r="G3953" s="241"/>
      <c r="H3953" s="241"/>
      <c r="I3953"/>
      <c r="J3953" s="241"/>
      <c r="K3953" s="241"/>
      <c r="L3953" s="241"/>
      <c r="M3953" s="241"/>
      <c r="N3953" s="241"/>
      <c r="O3953" s="241"/>
      <c r="P3953" s="241"/>
      <c r="Q3953" s="241"/>
    </row>
    <row r="3954" spans="1:17" ht="13.5" customHeight="1" x14ac:dyDescent="0.3">
      <c r="A3954"/>
      <c r="B3954" s="241"/>
      <c r="C3954" s="241"/>
      <c r="D3954" s="241"/>
      <c r="E3954" s="241"/>
      <c r="F3954" s="241"/>
      <c r="G3954" s="241"/>
      <c r="H3954" s="241"/>
      <c r="I3954"/>
      <c r="J3954" s="241"/>
      <c r="K3954" s="241"/>
      <c r="L3954" s="241"/>
      <c r="M3954" s="241"/>
      <c r="N3954" s="241"/>
      <c r="O3954" s="241"/>
      <c r="P3954" s="241"/>
      <c r="Q3954" s="241"/>
    </row>
    <row r="3955" spans="1:17" ht="13.5" customHeight="1" x14ac:dyDescent="0.3">
      <c r="A3955"/>
      <c r="B3955" s="241"/>
      <c r="C3955" s="241"/>
      <c r="D3955" s="241"/>
      <c r="E3955" s="241"/>
      <c r="F3955" s="241"/>
      <c r="G3955" s="241"/>
      <c r="H3955" s="241"/>
      <c r="I3955"/>
      <c r="J3955" s="241"/>
      <c r="K3955" s="241"/>
      <c r="L3955" s="241"/>
      <c r="M3955" s="241"/>
      <c r="N3955" s="241"/>
      <c r="O3955" s="241"/>
      <c r="P3955" s="241"/>
      <c r="Q3955" s="241"/>
    </row>
    <row r="3956" spans="1:17" ht="13.5" customHeight="1" x14ac:dyDescent="0.3">
      <c r="A3956"/>
      <c r="B3956" s="241"/>
      <c r="C3956" s="241"/>
      <c r="D3956" s="241"/>
      <c r="E3956" s="241"/>
      <c r="F3956" s="241"/>
      <c r="G3956" s="241"/>
      <c r="H3956" s="241"/>
      <c r="I3956"/>
      <c r="J3956" s="241"/>
      <c r="K3956" s="241"/>
      <c r="L3956" s="241"/>
      <c r="M3956" s="241"/>
      <c r="N3956" s="241"/>
      <c r="O3956" s="241"/>
      <c r="P3956" s="241"/>
      <c r="Q3956" s="241"/>
    </row>
    <row r="3957" spans="1:17" ht="13.5" customHeight="1" x14ac:dyDescent="0.3">
      <c r="A3957"/>
      <c r="B3957" s="241"/>
      <c r="C3957" s="241"/>
      <c r="D3957" s="241"/>
      <c r="E3957" s="241"/>
      <c r="F3957" s="241"/>
      <c r="G3957" s="241"/>
      <c r="H3957" s="241"/>
      <c r="I3957"/>
      <c r="J3957" s="241"/>
      <c r="K3957" s="241"/>
      <c r="L3957" s="241"/>
      <c r="M3957" s="241"/>
      <c r="N3957" s="241"/>
      <c r="O3957" s="241"/>
      <c r="P3957" s="241"/>
      <c r="Q3957" s="241"/>
    </row>
    <row r="3958" spans="1:17" ht="13.5" customHeight="1" x14ac:dyDescent="0.3">
      <c r="A3958"/>
      <c r="B3958" s="241"/>
      <c r="C3958" s="241"/>
      <c r="D3958" s="241"/>
      <c r="E3958" s="241"/>
      <c r="F3958" s="241"/>
      <c r="G3958" s="241"/>
      <c r="H3958" s="241"/>
      <c r="I3958"/>
      <c r="J3958" s="241"/>
      <c r="K3958" s="241"/>
      <c r="L3958" s="241"/>
      <c r="M3958" s="241"/>
      <c r="N3958" s="241"/>
      <c r="O3958" s="241"/>
      <c r="P3958" s="241"/>
      <c r="Q3958" s="241"/>
    </row>
    <row r="3959" spans="1:17" ht="13.5" customHeight="1" x14ac:dyDescent="0.3">
      <c r="A3959"/>
      <c r="B3959" s="241"/>
      <c r="C3959" s="241"/>
      <c r="D3959" s="241"/>
      <c r="E3959" s="241"/>
      <c r="F3959" s="241"/>
      <c r="G3959" s="241"/>
      <c r="H3959" s="241"/>
      <c r="I3959"/>
      <c r="J3959" s="241"/>
      <c r="K3959" s="241"/>
      <c r="L3959" s="241"/>
      <c r="M3959" s="241"/>
      <c r="N3959" s="241"/>
      <c r="O3959" s="241"/>
      <c r="P3959" s="241"/>
      <c r="Q3959" s="241"/>
    </row>
    <row r="3960" spans="1:17" ht="13.5" customHeight="1" x14ac:dyDescent="0.3">
      <c r="A3960"/>
      <c r="B3960" s="241"/>
      <c r="C3960" s="241"/>
      <c r="D3960" s="241"/>
      <c r="E3960" s="241"/>
      <c r="F3960" s="241"/>
      <c r="G3960" s="241"/>
      <c r="H3960" s="241"/>
      <c r="I3960"/>
      <c r="J3960" s="241"/>
      <c r="K3960" s="241"/>
      <c r="L3960" s="241"/>
      <c r="M3960" s="241"/>
      <c r="N3960" s="241"/>
      <c r="O3960" s="241"/>
      <c r="P3960" s="241"/>
      <c r="Q3960" s="241"/>
    </row>
    <row r="3961" spans="1:17" ht="13.5" customHeight="1" x14ac:dyDescent="0.3">
      <c r="A3961"/>
      <c r="B3961" s="241"/>
      <c r="C3961" s="241"/>
      <c r="D3961" s="241"/>
      <c r="E3961" s="241"/>
      <c r="F3961" s="241"/>
      <c r="G3961" s="241"/>
      <c r="H3961" s="241"/>
      <c r="I3961"/>
      <c r="J3961" s="241"/>
      <c r="K3961" s="241"/>
      <c r="L3961" s="241"/>
      <c r="M3961" s="241"/>
      <c r="N3961" s="241"/>
      <c r="O3961" s="241"/>
      <c r="P3961" s="241"/>
      <c r="Q3961" s="241"/>
    </row>
    <row r="3962" spans="1:17" ht="13.5" customHeight="1" x14ac:dyDescent="0.3">
      <c r="A3962"/>
      <c r="B3962" s="241"/>
      <c r="C3962" s="241"/>
      <c r="D3962" s="241"/>
      <c r="E3962" s="241"/>
      <c r="F3962" s="241"/>
      <c r="G3962" s="241"/>
      <c r="H3962" s="241"/>
      <c r="I3962"/>
      <c r="J3962" s="241"/>
      <c r="K3962" s="241"/>
      <c r="L3962" s="241"/>
      <c r="M3962" s="241"/>
      <c r="N3962" s="241"/>
      <c r="O3962" s="241"/>
      <c r="P3962" s="241"/>
      <c r="Q3962" s="241"/>
    </row>
    <row r="3963" spans="1:17" ht="13.5" customHeight="1" x14ac:dyDescent="0.3">
      <c r="A3963"/>
      <c r="B3963" s="241"/>
      <c r="C3963" s="241"/>
      <c r="D3963" s="241"/>
      <c r="E3963" s="241"/>
      <c r="F3963" s="241"/>
      <c r="G3963" s="241"/>
      <c r="H3963" s="241"/>
      <c r="I3963"/>
      <c r="J3963" s="241"/>
      <c r="K3963" s="241"/>
      <c r="L3963" s="241"/>
      <c r="M3963" s="241"/>
      <c r="N3963" s="241"/>
      <c r="O3963" s="241"/>
      <c r="P3963" s="241"/>
      <c r="Q3963" s="241"/>
    </row>
    <row r="3964" spans="1:17" ht="13.5" customHeight="1" x14ac:dyDescent="0.3">
      <c r="A3964"/>
      <c r="B3964" s="241"/>
      <c r="C3964" s="241"/>
      <c r="D3964" s="241"/>
      <c r="E3964" s="241"/>
      <c r="F3964" s="241"/>
      <c r="G3964" s="241"/>
      <c r="H3964" s="241"/>
      <c r="I3964"/>
      <c r="J3964" s="241"/>
      <c r="K3964" s="241"/>
      <c r="L3964" s="241"/>
      <c r="M3964" s="241"/>
      <c r="N3964" s="241"/>
      <c r="O3964" s="241"/>
      <c r="P3964" s="241"/>
      <c r="Q3964" s="241"/>
    </row>
    <row r="3965" spans="1:17" ht="13.5" customHeight="1" x14ac:dyDescent="0.3">
      <c r="A3965"/>
      <c r="B3965" s="241"/>
      <c r="C3965" s="241"/>
      <c r="D3965" s="241"/>
      <c r="E3965" s="241"/>
      <c r="F3965" s="241"/>
      <c r="G3965" s="241"/>
      <c r="H3965" s="241"/>
      <c r="I3965"/>
      <c r="J3965" s="241"/>
      <c r="K3965" s="241"/>
      <c r="L3965" s="241"/>
      <c r="M3965" s="241"/>
      <c r="N3965" s="241"/>
      <c r="O3965" s="241"/>
      <c r="P3965" s="241"/>
      <c r="Q3965" s="241"/>
    </row>
    <row r="3966" spans="1:17" ht="13.5" customHeight="1" x14ac:dyDescent="0.3">
      <c r="A3966"/>
      <c r="B3966" s="241"/>
      <c r="C3966" s="241"/>
      <c r="D3966" s="241"/>
      <c r="E3966" s="241"/>
      <c r="F3966" s="241"/>
      <c r="G3966" s="241"/>
      <c r="H3966" s="241"/>
      <c r="I3966"/>
      <c r="J3966" s="241"/>
      <c r="K3966" s="241"/>
      <c r="L3966" s="241"/>
      <c r="M3966" s="241"/>
      <c r="N3966" s="241"/>
      <c r="O3966" s="241"/>
      <c r="P3966" s="241"/>
      <c r="Q3966" s="241"/>
    </row>
    <row r="3967" spans="1:17" ht="13.5" customHeight="1" x14ac:dyDescent="0.3">
      <c r="A3967"/>
      <c r="B3967" s="241"/>
      <c r="C3967" s="241"/>
      <c r="D3967" s="241"/>
      <c r="E3967" s="241"/>
      <c r="F3967" s="241"/>
      <c r="G3967" s="241"/>
      <c r="H3967" s="241"/>
      <c r="I3967"/>
      <c r="J3967" s="241"/>
      <c r="K3967" s="241"/>
      <c r="L3967" s="241"/>
      <c r="M3967" s="241"/>
      <c r="N3967" s="241"/>
      <c r="O3967" s="241"/>
      <c r="P3967" s="241"/>
      <c r="Q3967" s="241"/>
    </row>
    <row r="3968" spans="1:17" ht="13.5" customHeight="1" x14ac:dyDescent="0.3">
      <c r="A3968"/>
      <c r="B3968" s="241"/>
      <c r="C3968" s="241"/>
      <c r="D3968" s="241"/>
      <c r="E3968" s="241"/>
      <c r="F3968" s="241"/>
      <c r="G3968" s="241"/>
      <c r="H3968" s="241"/>
      <c r="I3968"/>
      <c r="J3968" s="241"/>
      <c r="K3968" s="241"/>
      <c r="L3968" s="241"/>
      <c r="M3968" s="241"/>
      <c r="N3968" s="241"/>
      <c r="O3968" s="241"/>
      <c r="P3968" s="241"/>
      <c r="Q3968" s="241"/>
    </row>
    <row r="3969" spans="1:17" ht="13.5" customHeight="1" x14ac:dyDescent="0.3">
      <c r="A3969"/>
      <c r="B3969" s="241"/>
      <c r="C3969" s="241"/>
      <c r="D3969" s="241"/>
      <c r="E3969" s="241"/>
      <c r="F3969" s="241"/>
      <c r="G3969" s="241"/>
      <c r="H3969" s="241"/>
      <c r="I3969"/>
      <c r="J3969" s="241"/>
      <c r="K3969" s="241"/>
      <c r="L3969" s="241"/>
      <c r="M3969" s="241"/>
      <c r="N3969" s="241"/>
      <c r="O3969" s="241"/>
      <c r="P3969" s="241"/>
      <c r="Q3969" s="241"/>
    </row>
    <row r="3970" spans="1:17" ht="13.5" customHeight="1" x14ac:dyDescent="0.3">
      <c r="A3970"/>
      <c r="B3970" s="241"/>
      <c r="C3970" s="241"/>
      <c r="D3970" s="241"/>
      <c r="E3970" s="241"/>
      <c r="F3970" s="241"/>
      <c r="G3970" s="241"/>
      <c r="H3970" s="241"/>
      <c r="I3970"/>
      <c r="J3970" s="241"/>
      <c r="K3970" s="241"/>
      <c r="L3970" s="241"/>
      <c r="M3970" s="241"/>
      <c r="N3970" s="241"/>
      <c r="O3970" s="241"/>
      <c r="P3970" s="241"/>
      <c r="Q3970" s="241"/>
    </row>
    <row r="3971" spans="1:17" ht="13.5" customHeight="1" x14ac:dyDescent="0.3">
      <c r="A3971"/>
      <c r="B3971" s="241"/>
      <c r="C3971" s="241"/>
      <c r="D3971" s="241"/>
      <c r="E3971" s="241"/>
      <c r="F3971" s="241"/>
      <c r="G3971" s="241"/>
      <c r="H3971" s="241"/>
      <c r="I3971"/>
      <c r="J3971" s="241"/>
      <c r="K3971" s="241"/>
      <c r="L3971" s="241"/>
      <c r="M3971" s="241"/>
      <c r="N3971" s="241"/>
      <c r="O3971" s="241"/>
      <c r="P3971" s="241"/>
      <c r="Q3971" s="241"/>
    </row>
    <row r="3972" spans="1:17" ht="13.5" customHeight="1" x14ac:dyDescent="0.3">
      <c r="A3972"/>
      <c r="B3972" s="241"/>
      <c r="C3972" s="241"/>
      <c r="D3972" s="241"/>
      <c r="E3972" s="241"/>
      <c r="F3972" s="241"/>
      <c r="G3972" s="241"/>
      <c r="H3972" s="241"/>
      <c r="I3972"/>
      <c r="J3972" s="241"/>
      <c r="K3972" s="241"/>
      <c r="L3972" s="241"/>
      <c r="M3972" s="241"/>
      <c r="N3972" s="241"/>
      <c r="O3972" s="241"/>
      <c r="P3972" s="241"/>
      <c r="Q3972" s="241"/>
    </row>
    <row r="3973" spans="1:17" ht="13.5" customHeight="1" x14ac:dyDescent="0.3">
      <c r="A3973"/>
      <c r="B3973" s="241"/>
      <c r="C3973" s="241"/>
      <c r="D3973" s="241"/>
      <c r="E3973" s="241"/>
      <c r="F3973" s="241"/>
      <c r="G3973" s="241"/>
      <c r="H3973" s="241"/>
      <c r="I3973"/>
      <c r="J3973" s="241"/>
      <c r="K3973" s="241"/>
      <c r="L3973" s="241"/>
      <c r="M3973" s="241"/>
      <c r="N3973" s="241"/>
      <c r="O3973" s="241"/>
      <c r="P3973" s="241"/>
      <c r="Q3973" s="241"/>
    </row>
    <row r="3974" spans="1:17" ht="13.5" customHeight="1" x14ac:dyDescent="0.3">
      <c r="A3974"/>
      <c r="B3974" s="241"/>
      <c r="C3974" s="241"/>
      <c r="D3974" s="241"/>
      <c r="E3974" s="241"/>
      <c r="F3974" s="241"/>
      <c r="G3974" s="241"/>
      <c r="H3974" s="241"/>
      <c r="I3974"/>
      <c r="J3974" s="241"/>
      <c r="K3974" s="241"/>
      <c r="L3974" s="241"/>
      <c r="M3974" s="241"/>
      <c r="N3974" s="241"/>
      <c r="O3974" s="241"/>
      <c r="P3974" s="241"/>
      <c r="Q3974" s="241"/>
    </row>
    <row r="3975" spans="1:17" ht="13.5" customHeight="1" x14ac:dyDescent="0.3">
      <c r="A3975"/>
      <c r="B3975" s="241"/>
      <c r="C3975" s="241"/>
      <c r="D3975" s="241"/>
      <c r="E3975" s="241"/>
      <c r="F3975" s="241"/>
      <c r="G3975" s="241"/>
      <c r="H3975" s="241"/>
      <c r="I3975"/>
      <c r="J3975" s="241"/>
      <c r="K3975" s="241"/>
      <c r="L3975" s="241"/>
      <c r="M3975" s="241"/>
      <c r="N3975" s="241"/>
      <c r="O3975" s="241"/>
      <c r="P3975" s="241"/>
      <c r="Q3975" s="241"/>
    </row>
    <row r="3976" spans="1:17" ht="13.5" customHeight="1" x14ac:dyDescent="0.3">
      <c r="A3976"/>
      <c r="B3976" s="241"/>
      <c r="C3976" s="241"/>
      <c r="D3976" s="241"/>
      <c r="E3976" s="241"/>
      <c r="F3976" s="241"/>
      <c r="G3976" s="241"/>
      <c r="H3976" s="241"/>
      <c r="I3976"/>
      <c r="J3976" s="241"/>
      <c r="K3976" s="241"/>
      <c r="L3976" s="241"/>
      <c r="M3976" s="241"/>
      <c r="N3976" s="241"/>
      <c r="O3976" s="241"/>
      <c r="P3976" s="241"/>
      <c r="Q3976" s="241"/>
    </row>
    <row r="3977" spans="1:17" ht="13.5" customHeight="1" x14ac:dyDescent="0.3">
      <c r="A3977"/>
      <c r="B3977" s="241"/>
      <c r="C3977" s="241"/>
      <c r="D3977" s="241"/>
      <c r="E3977" s="241"/>
      <c r="F3977" s="241"/>
      <c r="G3977" s="241"/>
      <c r="H3977" s="241"/>
      <c r="I3977"/>
      <c r="J3977" s="241"/>
      <c r="K3977" s="241"/>
      <c r="L3977" s="241"/>
      <c r="M3977" s="241"/>
      <c r="N3977" s="241"/>
      <c r="O3977" s="241"/>
      <c r="P3977" s="241"/>
      <c r="Q3977" s="241"/>
    </row>
    <row r="3978" spans="1:17" ht="13.5" customHeight="1" x14ac:dyDescent="0.3">
      <c r="A3978"/>
      <c r="B3978" s="241"/>
      <c r="C3978" s="241"/>
      <c r="D3978" s="241"/>
      <c r="E3978" s="241"/>
      <c r="F3978" s="241"/>
      <c r="G3978" s="241"/>
      <c r="H3978" s="241"/>
      <c r="I3978"/>
      <c r="J3978" s="241"/>
      <c r="K3978" s="241"/>
      <c r="L3978" s="241"/>
      <c r="M3978" s="241"/>
      <c r="N3978" s="241"/>
      <c r="O3978" s="241"/>
      <c r="P3978" s="241"/>
      <c r="Q3978" s="241"/>
    </row>
    <row r="3979" spans="1:17" ht="13.5" customHeight="1" x14ac:dyDescent="0.3">
      <c r="A3979"/>
      <c r="B3979" s="241"/>
      <c r="C3979" s="241"/>
      <c r="D3979" s="241"/>
      <c r="E3979" s="241"/>
      <c r="F3979" s="241"/>
      <c r="G3979" s="241"/>
      <c r="H3979" s="241"/>
      <c r="I3979"/>
      <c r="J3979" s="241"/>
      <c r="K3979" s="241"/>
      <c r="L3979" s="241"/>
      <c r="M3979" s="241"/>
      <c r="N3979" s="241"/>
      <c r="O3979" s="241"/>
      <c r="P3979" s="241"/>
      <c r="Q3979" s="241"/>
    </row>
    <row r="3980" spans="1:17" ht="13.5" customHeight="1" x14ac:dyDescent="0.3">
      <c r="A3980"/>
      <c r="B3980" s="241"/>
      <c r="C3980" s="241"/>
      <c r="D3980" s="241"/>
      <c r="E3980" s="241"/>
      <c r="F3980" s="241"/>
      <c r="G3980" s="241"/>
      <c r="H3980" s="241"/>
      <c r="I3980"/>
      <c r="J3980" s="241"/>
      <c r="K3980" s="241"/>
      <c r="L3980" s="241"/>
      <c r="M3980" s="241"/>
      <c r="N3980" s="241"/>
      <c r="O3980" s="241"/>
      <c r="P3980" s="241"/>
      <c r="Q3980" s="241"/>
    </row>
    <row r="3981" spans="1:17" ht="13.5" customHeight="1" x14ac:dyDescent="0.3">
      <c r="A3981"/>
      <c r="B3981" s="241"/>
      <c r="C3981" s="241"/>
      <c r="D3981" s="241"/>
      <c r="E3981" s="241"/>
      <c r="F3981" s="241"/>
      <c r="G3981" s="241"/>
      <c r="H3981" s="241"/>
      <c r="I3981"/>
      <c r="J3981" s="241"/>
      <c r="K3981" s="241"/>
      <c r="L3981" s="241"/>
      <c r="M3981" s="241"/>
      <c r="N3981" s="241"/>
      <c r="O3981" s="241"/>
      <c r="P3981" s="241"/>
      <c r="Q3981" s="241"/>
    </row>
    <row r="3982" spans="1:17" ht="13.5" customHeight="1" x14ac:dyDescent="0.3">
      <c r="A3982"/>
      <c r="B3982" s="241"/>
      <c r="C3982" s="241"/>
      <c r="D3982" s="241"/>
      <c r="E3982" s="241"/>
      <c r="F3982" s="241"/>
      <c r="G3982" s="241"/>
      <c r="H3982" s="241"/>
      <c r="I3982"/>
      <c r="J3982" s="241"/>
      <c r="K3982" s="241"/>
      <c r="L3982" s="241"/>
      <c r="M3982" s="241"/>
      <c r="N3982" s="241"/>
      <c r="O3982" s="241"/>
      <c r="P3982" s="241"/>
      <c r="Q3982" s="241"/>
    </row>
    <row r="3983" spans="1:17" ht="13.5" customHeight="1" x14ac:dyDescent="0.3">
      <c r="A3983"/>
      <c r="B3983" s="241"/>
      <c r="C3983" s="241"/>
      <c r="D3983" s="241"/>
      <c r="E3983" s="241"/>
      <c r="F3983" s="241"/>
      <c r="G3983" s="241"/>
      <c r="H3983" s="241"/>
      <c r="I3983"/>
      <c r="J3983" s="241"/>
      <c r="K3983" s="241"/>
      <c r="L3983" s="241"/>
      <c r="M3983" s="241"/>
      <c r="N3983" s="241"/>
      <c r="O3983" s="241"/>
      <c r="P3983" s="241"/>
      <c r="Q3983" s="241"/>
    </row>
    <row r="3984" spans="1:17" ht="13.5" customHeight="1" x14ac:dyDescent="0.3">
      <c r="A3984"/>
      <c r="B3984" s="241"/>
      <c r="C3984" s="241"/>
      <c r="D3984" s="241"/>
      <c r="E3984" s="241"/>
      <c r="F3984" s="241"/>
      <c r="G3984" s="241"/>
      <c r="H3984" s="241"/>
      <c r="I3984"/>
      <c r="J3984" s="241"/>
      <c r="K3984" s="241"/>
      <c r="L3984" s="241"/>
      <c r="M3984" s="241"/>
      <c r="N3984" s="241"/>
      <c r="O3984" s="241"/>
      <c r="P3984" s="241"/>
      <c r="Q3984" s="241"/>
    </row>
    <row r="3985" spans="1:17" ht="13.5" customHeight="1" x14ac:dyDescent="0.3">
      <c r="A3985"/>
      <c r="B3985" s="241"/>
      <c r="C3985" s="241"/>
      <c r="D3985" s="241"/>
      <c r="E3985" s="241"/>
      <c r="F3985" s="241"/>
      <c r="G3985" s="241"/>
      <c r="H3985" s="241"/>
      <c r="I3985"/>
      <c r="J3985" s="241"/>
      <c r="K3985" s="241"/>
      <c r="L3985" s="241"/>
      <c r="M3985" s="241"/>
      <c r="N3985" s="241"/>
      <c r="O3985" s="241"/>
      <c r="P3985" s="241"/>
      <c r="Q3985" s="241"/>
    </row>
    <row r="3986" spans="1:17" ht="13.5" customHeight="1" x14ac:dyDescent="0.3">
      <c r="A3986"/>
      <c r="B3986" s="241"/>
      <c r="C3986" s="241"/>
      <c r="D3986" s="241"/>
      <c r="E3986" s="241"/>
      <c r="F3986" s="241"/>
      <c r="G3986" s="241"/>
      <c r="H3986" s="241"/>
      <c r="I3986"/>
      <c r="J3986" s="241"/>
      <c r="K3986" s="241"/>
      <c r="L3986" s="241"/>
      <c r="M3986" s="241"/>
      <c r="N3986" s="241"/>
      <c r="O3986" s="241"/>
      <c r="P3986" s="241"/>
      <c r="Q3986" s="241"/>
    </row>
    <row r="3987" spans="1:17" ht="13.5" customHeight="1" x14ac:dyDescent="0.3">
      <c r="A3987"/>
      <c r="B3987" s="241"/>
      <c r="C3987" s="241"/>
      <c r="D3987" s="241"/>
      <c r="E3987" s="241"/>
      <c r="F3987" s="241"/>
      <c r="G3987" s="241"/>
      <c r="H3987" s="241"/>
      <c r="I3987"/>
      <c r="J3987" s="241"/>
      <c r="K3987" s="241"/>
      <c r="L3987" s="241"/>
      <c r="M3987" s="241"/>
      <c r="N3987" s="241"/>
      <c r="O3987" s="241"/>
      <c r="P3987" s="241"/>
      <c r="Q3987" s="241"/>
    </row>
    <row r="3988" spans="1:17" ht="13.5" customHeight="1" x14ac:dyDescent="0.3">
      <c r="A3988"/>
      <c r="B3988" s="241"/>
      <c r="C3988" s="241"/>
      <c r="D3988" s="241"/>
      <c r="E3988" s="241"/>
      <c r="F3988" s="241"/>
      <c r="G3988" s="241"/>
      <c r="H3988" s="241"/>
      <c r="I3988"/>
      <c r="J3988" s="241"/>
      <c r="K3988" s="241"/>
      <c r="L3988" s="241"/>
      <c r="M3988" s="241"/>
      <c r="N3988" s="241"/>
      <c r="O3988" s="241"/>
      <c r="P3988" s="241"/>
      <c r="Q3988" s="241"/>
    </row>
    <row r="3989" spans="1:17" ht="13.5" customHeight="1" x14ac:dyDescent="0.3">
      <c r="A3989"/>
      <c r="B3989" s="241"/>
      <c r="C3989" s="241"/>
      <c r="D3989" s="241"/>
      <c r="E3989" s="241"/>
      <c r="F3989" s="241"/>
      <c r="G3989" s="241"/>
      <c r="H3989" s="241"/>
      <c r="I3989"/>
      <c r="J3989" s="241"/>
      <c r="K3989" s="241"/>
      <c r="L3989" s="241"/>
      <c r="M3989" s="241"/>
      <c r="N3989" s="241"/>
      <c r="O3989" s="241"/>
      <c r="P3989" s="241"/>
      <c r="Q3989" s="241"/>
    </row>
    <row r="3990" spans="1:17" ht="13.5" customHeight="1" x14ac:dyDescent="0.3">
      <c r="A3990"/>
      <c r="B3990" s="241"/>
      <c r="C3990" s="241"/>
      <c r="D3990" s="241"/>
      <c r="E3990" s="241"/>
      <c r="F3990" s="241"/>
      <c r="G3990" s="241"/>
      <c r="H3990" s="241"/>
      <c r="I3990"/>
      <c r="J3990" s="241"/>
      <c r="K3990" s="241"/>
      <c r="L3990" s="241"/>
      <c r="M3990" s="241"/>
      <c r="N3990" s="241"/>
      <c r="O3990" s="241"/>
      <c r="P3990" s="241"/>
      <c r="Q3990" s="241"/>
    </row>
    <row r="3991" spans="1:17" ht="13.5" customHeight="1" x14ac:dyDescent="0.3">
      <c r="A3991"/>
      <c r="B3991" s="241"/>
      <c r="C3991" s="241"/>
      <c r="D3991" s="241"/>
      <c r="E3991" s="241"/>
      <c r="F3991" s="241"/>
      <c r="G3991" s="241"/>
      <c r="H3991" s="241"/>
      <c r="I3991"/>
      <c r="J3991" s="241"/>
      <c r="K3991" s="241"/>
      <c r="L3991" s="241"/>
      <c r="M3991" s="241"/>
      <c r="N3991" s="241"/>
      <c r="O3991" s="241"/>
      <c r="P3991" s="241"/>
      <c r="Q3991" s="241"/>
    </row>
    <row r="3992" spans="1:17" ht="13.5" customHeight="1" x14ac:dyDescent="0.3">
      <c r="A3992"/>
      <c r="B3992" s="241"/>
      <c r="C3992" s="241"/>
      <c r="D3992" s="241"/>
      <c r="E3992" s="241"/>
      <c r="F3992" s="241"/>
      <c r="G3992" s="241"/>
      <c r="H3992" s="241"/>
      <c r="I3992"/>
      <c r="J3992" s="241"/>
      <c r="K3992" s="241"/>
      <c r="L3992" s="241"/>
      <c r="M3992" s="241"/>
      <c r="N3992" s="241"/>
      <c r="O3992" s="241"/>
      <c r="P3992" s="241"/>
      <c r="Q3992" s="241"/>
    </row>
    <row r="3993" spans="1:17" ht="13.5" customHeight="1" x14ac:dyDescent="0.3">
      <c r="A3993"/>
      <c r="B3993" s="241"/>
      <c r="C3993" s="241"/>
      <c r="D3993" s="241"/>
      <c r="E3993" s="241"/>
      <c r="F3993" s="241"/>
      <c r="G3993" s="241"/>
      <c r="H3993" s="241"/>
      <c r="I3993"/>
      <c r="J3993" s="241"/>
      <c r="K3993" s="241"/>
      <c r="L3993" s="241"/>
      <c r="M3993" s="241"/>
      <c r="N3993" s="241"/>
      <c r="O3993" s="241"/>
      <c r="P3993" s="241"/>
      <c r="Q3993" s="241"/>
    </row>
    <row r="3994" spans="1:17" ht="13.5" customHeight="1" x14ac:dyDescent="0.3">
      <c r="A3994"/>
      <c r="B3994" s="241"/>
      <c r="C3994" s="241"/>
      <c r="D3994" s="241"/>
      <c r="E3994" s="241"/>
      <c r="F3994" s="241"/>
      <c r="G3994" s="241"/>
      <c r="H3994" s="241"/>
      <c r="I3994"/>
      <c r="J3994" s="241"/>
      <c r="K3994" s="241"/>
      <c r="L3994" s="241"/>
      <c r="M3994" s="241"/>
      <c r="N3994" s="241"/>
      <c r="O3994" s="241"/>
      <c r="P3994" s="241"/>
      <c r="Q3994" s="241"/>
    </row>
    <row r="3995" spans="1:17" ht="13.5" customHeight="1" x14ac:dyDescent="0.3">
      <c r="A3995"/>
      <c r="B3995" s="241"/>
      <c r="C3995" s="241"/>
      <c r="D3995" s="241"/>
      <c r="E3995" s="241"/>
      <c r="F3995" s="241"/>
      <c r="G3995" s="241"/>
      <c r="H3995" s="241"/>
      <c r="I3995"/>
      <c r="J3995" s="241"/>
      <c r="K3995" s="241"/>
      <c r="L3995" s="241"/>
      <c r="M3995" s="241"/>
      <c r="N3995" s="241"/>
      <c r="O3995" s="241"/>
      <c r="P3995" s="241"/>
      <c r="Q3995" s="241"/>
    </row>
    <row r="3996" spans="1:17" ht="13.5" customHeight="1" x14ac:dyDescent="0.3">
      <c r="A3996"/>
      <c r="B3996" s="241"/>
      <c r="C3996" s="241"/>
      <c r="D3996" s="241"/>
      <c r="E3996" s="241"/>
      <c r="F3996" s="241"/>
      <c r="G3996" s="241"/>
      <c r="H3996" s="241"/>
      <c r="I3996"/>
      <c r="J3996" s="241"/>
      <c r="K3996" s="241"/>
      <c r="L3996" s="241"/>
      <c r="M3996" s="241"/>
      <c r="N3996" s="241"/>
      <c r="O3996" s="241"/>
      <c r="P3996" s="241"/>
      <c r="Q3996" s="241"/>
    </row>
    <row r="3997" spans="1:17" ht="13.5" customHeight="1" x14ac:dyDescent="0.3">
      <c r="A3997"/>
      <c r="B3997" s="241"/>
      <c r="C3997" s="241"/>
      <c r="D3997" s="241"/>
      <c r="E3997" s="241"/>
      <c r="F3997" s="241"/>
      <c r="G3997" s="241"/>
      <c r="H3997" s="241"/>
      <c r="I3997"/>
      <c r="J3997" s="241"/>
      <c r="K3997" s="241"/>
      <c r="L3997" s="241"/>
      <c r="M3997" s="241"/>
      <c r="N3997" s="241"/>
      <c r="O3997" s="241"/>
      <c r="P3997" s="241"/>
      <c r="Q3997" s="241"/>
    </row>
    <row r="3998" spans="1:17" ht="13.5" customHeight="1" x14ac:dyDescent="0.3">
      <c r="A3998"/>
      <c r="B3998" s="241"/>
      <c r="C3998" s="241"/>
      <c r="D3998" s="241"/>
      <c r="E3998" s="241"/>
      <c r="F3998" s="241"/>
      <c r="G3998" s="241"/>
      <c r="H3998" s="241"/>
      <c r="I3998"/>
      <c r="J3998" s="241"/>
      <c r="K3998" s="241"/>
      <c r="L3998" s="241"/>
      <c r="M3998" s="241"/>
      <c r="N3998" s="241"/>
      <c r="O3998" s="241"/>
      <c r="P3998" s="241"/>
      <c r="Q3998" s="241"/>
    </row>
    <row r="3999" spans="1:17" ht="13.5" customHeight="1" x14ac:dyDescent="0.3">
      <c r="A3999"/>
      <c r="B3999" s="241"/>
      <c r="C3999" s="241"/>
      <c r="D3999" s="241"/>
      <c r="E3999" s="241"/>
      <c r="F3999" s="241"/>
      <c r="G3999" s="241"/>
      <c r="H3999" s="241"/>
      <c r="I3999"/>
      <c r="J3999" s="241"/>
      <c r="K3999" s="241"/>
      <c r="L3999" s="241"/>
      <c r="M3999" s="241"/>
      <c r="N3999" s="241"/>
      <c r="O3999" s="241"/>
      <c r="P3999" s="241"/>
      <c r="Q3999" s="241"/>
    </row>
    <row r="4000" spans="1:17" ht="13.5" customHeight="1" x14ac:dyDescent="0.3">
      <c r="A4000"/>
      <c r="B4000" s="241"/>
      <c r="C4000" s="241"/>
      <c r="D4000" s="241"/>
      <c r="E4000" s="241"/>
      <c r="F4000" s="241"/>
      <c r="G4000" s="241"/>
      <c r="H4000" s="241"/>
      <c r="I4000"/>
      <c r="J4000" s="241"/>
      <c r="K4000" s="241"/>
      <c r="L4000" s="241"/>
      <c r="M4000" s="241"/>
      <c r="N4000" s="241"/>
      <c r="O4000" s="241"/>
      <c r="P4000" s="241"/>
      <c r="Q4000" s="241"/>
    </row>
    <row r="4001" spans="1:17" ht="13.5" customHeight="1" x14ac:dyDescent="0.3">
      <c r="A4001"/>
      <c r="B4001" s="241"/>
      <c r="C4001" s="241"/>
      <c r="D4001" s="241"/>
      <c r="E4001" s="241"/>
      <c r="F4001" s="241"/>
      <c r="G4001" s="241"/>
      <c r="H4001" s="241"/>
      <c r="I4001"/>
      <c r="J4001" s="241"/>
      <c r="K4001" s="241"/>
      <c r="L4001" s="241"/>
      <c r="M4001" s="241"/>
      <c r="N4001" s="241"/>
      <c r="O4001" s="241"/>
      <c r="P4001" s="241"/>
      <c r="Q4001" s="241"/>
    </row>
    <row r="4002" spans="1:17" ht="13.5" customHeight="1" x14ac:dyDescent="0.3">
      <c r="A4002"/>
      <c r="B4002" s="241"/>
      <c r="C4002" s="241"/>
      <c r="D4002" s="241"/>
      <c r="E4002" s="241"/>
      <c r="F4002" s="241"/>
      <c r="G4002" s="241"/>
      <c r="H4002" s="241"/>
      <c r="I4002"/>
      <c r="J4002" s="241"/>
      <c r="K4002" s="241"/>
      <c r="L4002" s="241"/>
      <c r="M4002" s="241"/>
      <c r="N4002" s="241"/>
      <c r="O4002" s="241"/>
      <c r="P4002" s="241"/>
      <c r="Q4002" s="241"/>
    </row>
    <row r="4003" spans="1:17" ht="13.5" customHeight="1" x14ac:dyDescent="0.3">
      <c r="A4003"/>
      <c r="B4003" s="241"/>
      <c r="C4003" s="241"/>
      <c r="D4003" s="241"/>
      <c r="E4003" s="241"/>
      <c r="F4003" s="241"/>
      <c r="G4003" s="241"/>
      <c r="H4003" s="241"/>
      <c r="I4003"/>
      <c r="J4003" s="241"/>
      <c r="K4003" s="241"/>
      <c r="L4003" s="241"/>
      <c r="M4003" s="241"/>
      <c r="N4003" s="241"/>
      <c r="O4003" s="241"/>
      <c r="P4003" s="241"/>
      <c r="Q4003" s="241"/>
    </row>
    <row r="4004" spans="1:17" ht="13.5" customHeight="1" x14ac:dyDescent="0.3">
      <c r="A4004"/>
      <c r="B4004" s="241"/>
      <c r="C4004" s="241"/>
      <c r="D4004" s="241"/>
      <c r="E4004" s="241"/>
      <c r="F4004" s="241"/>
      <c r="G4004" s="241"/>
      <c r="H4004" s="241"/>
      <c r="I4004"/>
      <c r="J4004" s="241"/>
      <c r="K4004" s="241"/>
      <c r="L4004" s="241"/>
      <c r="M4004" s="241"/>
      <c r="N4004" s="241"/>
      <c r="O4004" s="241"/>
      <c r="P4004" s="241"/>
      <c r="Q4004" s="241"/>
    </row>
    <row r="4005" spans="1:17" ht="13.5" customHeight="1" x14ac:dyDescent="0.3">
      <c r="A4005"/>
      <c r="B4005" s="241"/>
      <c r="C4005" s="241"/>
      <c r="D4005" s="241"/>
      <c r="E4005" s="241"/>
      <c r="F4005" s="241"/>
      <c r="G4005" s="241"/>
      <c r="H4005" s="241"/>
      <c r="I4005"/>
      <c r="J4005" s="241"/>
      <c r="K4005" s="241"/>
      <c r="L4005" s="241"/>
      <c r="M4005" s="241"/>
      <c r="N4005" s="241"/>
      <c r="O4005" s="241"/>
      <c r="P4005" s="241"/>
      <c r="Q4005" s="241"/>
    </row>
    <row r="4006" spans="1:17" ht="13.5" customHeight="1" x14ac:dyDescent="0.3">
      <c r="A4006"/>
      <c r="B4006" s="241"/>
      <c r="C4006" s="241"/>
      <c r="D4006" s="241"/>
      <c r="E4006" s="241"/>
      <c r="F4006" s="241"/>
      <c r="G4006" s="241"/>
      <c r="H4006" s="241"/>
      <c r="I4006"/>
      <c r="J4006" s="241"/>
      <c r="K4006" s="241"/>
      <c r="L4006" s="241"/>
      <c r="M4006" s="241"/>
      <c r="N4006" s="241"/>
      <c r="O4006" s="241"/>
      <c r="P4006" s="241"/>
      <c r="Q4006" s="241"/>
    </row>
    <row r="4007" spans="1:17" ht="13.5" customHeight="1" x14ac:dyDescent="0.3">
      <c r="A4007"/>
      <c r="B4007" s="241"/>
      <c r="C4007" s="241"/>
      <c r="D4007" s="241"/>
      <c r="E4007" s="241"/>
      <c r="F4007" s="241"/>
      <c r="G4007" s="241"/>
      <c r="H4007" s="241"/>
      <c r="I4007"/>
      <c r="J4007" s="241"/>
      <c r="K4007" s="241"/>
      <c r="L4007" s="241"/>
      <c r="M4007" s="241"/>
      <c r="N4007" s="241"/>
      <c r="O4007" s="241"/>
      <c r="P4007" s="241"/>
      <c r="Q4007" s="241"/>
    </row>
    <row r="4008" spans="1:17" ht="13.5" customHeight="1" x14ac:dyDescent="0.3">
      <c r="A4008"/>
      <c r="B4008" s="241"/>
      <c r="C4008" s="241"/>
      <c r="D4008" s="241"/>
      <c r="E4008" s="241"/>
      <c r="F4008" s="241"/>
      <c r="G4008" s="241"/>
      <c r="H4008" s="241"/>
      <c r="I4008"/>
      <c r="J4008" s="241"/>
      <c r="K4008" s="241"/>
      <c r="L4008" s="241"/>
      <c r="M4008" s="241"/>
      <c r="N4008" s="241"/>
      <c r="O4008" s="241"/>
      <c r="P4008" s="241"/>
      <c r="Q4008" s="241"/>
    </row>
    <row r="4009" spans="1:17" ht="13.5" customHeight="1" x14ac:dyDescent="0.3">
      <c r="A4009"/>
      <c r="B4009" s="241"/>
      <c r="C4009" s="241"/>
      <c r="D4009" s="241"/>
      <c r="E4009" s="241"/>
      <c r="F4009" s="241"/>
      <c r="G4009" s="241"/>
      <c r="H4009" s="241"/>
      <c r="I4009"/>
      <c r="J4009" s="241"/>
      <c r="K4009" s="241"/>
      <c r="L4009" s="241"/>
      <c r="M4009" s="241"/>
      <c r="N4009" s="241"/>
      <c r="O4009" s="241"/>
      <c r="P4009" s="241"/>
      <c r="Q4009" s="241"/>
    </row>
    <row r="4010" spans="1:17" ht="13.5" customHeight="1" x14ac:dyDescent="0.3">
      <c r="A4010"/>
      <c r="B4010" s="241"/>
      <c r="C4010" s="241"/>
      <c r="D4010" s="241"/>
      <c r="E4010" s="241"/>
      <c r="F4010" s="241"/>
      <c r="G4010" s="241"/>
      <c r="H4010" s="241"/>
      <c r="I4010"/>
      <c r="J4010" s="241"/>
      <c r="K4010" s="241"/>
      <c r="L4010" s="241"/>
      <c r="M4010" s="241"/>
      <c r="N4010" s="241"/>
      <c r="O4010" s="241"/>
      <c r="P4010" s="241"/>
      <c r="Q4010" s="241"/>
    </row>
    <row r="4011" spans="1:17" ht="13.5" customHeight="1" x14ac:dyDescent="0.3">
      <c r="A4011"/>
      <c r="B4011" s="241"/>
      <c r="C4011" s="241"/>
      <c r="D4011" s="241"/>
      <c r="E4011" s="241"/>
      <c r="F4011" s="241"/>
      <c r="G4011" s="241"/>
      <c r="H4011" s="241"/>
      <c r="I4011"/>
      <c r="J4011" s="241"/>
      <c r="K4011" s="241"/>
      <c r="L4011" s="241"/>
      <c r="M4011" s="241"/>
      <c r="N4011" s="241"/>
      <c r="O4011" s="241"/>
      <c r="P4011" s="241"/>
      <c r="Q4011" s="241"/>
    </row>
    <row r="4012" spans="1:17" ht="13.5" customHeight="1" x14ac:dyDescent="0.3">
      <c r="A4012"/>
      <c r="B4012" s="241"/>
      <c r="C4012" s="241"/>
      <c r="D4012" s="241"/>
      <c r="E4012" s="241"/>
      <c r="F4012" s="241"/>
      <c r="G4012" s="241"/>
      <c r="H4012" s="241"/>
      <c r="I4012"/>
      <c r="J4012" s="241"/>
      <c r="K4012" s="241"/>
      <c r="L4012" s="241"/>
      <c r="M4012" s="241"/>
      <c r="N4012" s="241"/>
      <c r="O4012" s="241"/>
      <c r="P4012" s="241"/>
      <c r="Q4012" s="241"/>
    </row>
    <row r="4013" spans="1:17" ht="13.5" customHeight="1" x14ac:dyDescent="0.3">
      <c r="A4013"/>
      <c r="B4013" s="241"/>
      <c r="C4013" s="241"/>
      <c r="D4013" s="241"/>
      <c r="E4013" s="241"/>
      <c r="F4013" s="241"/>
      <c r="G4013" s="241"/>
      <c r="H4013" s="241"/>
      <c r="I4013"/>
      <c r="J4013" s="241"/>
      <c r="K4013" s="241"/>
      <c r="L4013" s="241"/>
      <c r="M4013" s="241"/>
      <c r="N4013" s="241"/>
      <c r="O4013" s="241"/>
      <c r="P4013" s="241"/>
      <c r="Q4013" s="241"/>
    </row>
    <row r="4014" spans="1:17" ht="13.5" customHeight="1" x14ac:dyDescent="0.3">
      <c r="A4014"/>
      <c r="B4014" s="241"/>
      <c r="C4014" s="241"/>
      <c r="D4014" s="241"/>
      <c r="E4014" s="241"/>
      <c r="F4014" s="241"/>
      <c r="G4014" s="241"/>
      <c r="H4014" s="241"/>
      <c r="I4014"/>
      <c r="J4014" s="241"/>
      <c r="K4014" s="241"/>
      <c r="L4014" s="241"/>
      <c r="M4014" s="241"/>
      <c r="N4014" s="241"/>
      <c r="O4014" s="241"/>
      <c r="P4014" s="241"/>
      <c r="Q4014" s="241"/>
    </row>
    <row r="4015" spans="1:17" ht="13.5" customHeight="1" x14ac:dyDescent="0.3">
      <c r="A4015"/>
      <c r="B4015" s="241"/>
      <c r="C4015" s="241"/>
      <c r="D4015" s="241"/>
      <c r="E4015" s="241"/>
      <c r="F4015" s="241"/>
      <c r="G4015" s="241"/>
      <c r="H4015" s="241"/>
      <c r="I4015"/>
      <c r="J4015" s="241"/>
      <c r="K4015" s="241"/>
      <c r="L4015" s="241"/>
      <c r="M4015" s="241"/>
      <c r="N4015" s="241"/>
      <c r="O4015" s="241"/>
      <c r="P4015" s="241"/>
      <c r="Q4015" s="241"/>
    </row>
    <row r="4016" spans="1:17" ht="13.5" customHeight="1" x14ac:dyDescent="0.3">
      <c r="A4016"/>
      <c r="B4016" s="241"/>
      <c r="C4016" s="241"/>
      <c r="D4016" s="241"/>
      <c r="E4016" s="241"/>
      <c r="F4016" s="241"/>
      <c r="G4016" s="241"/>
      <c r="H4016" s="241"/>
      <c r="I4016"/>
      <c r="J4016" s="241"/>
      <c r="K4016" s="241"/>
      <c r="L4016" s="241"/>
      <c r="M4016" s="241"/>
      <c r="N4016" s="241"/>
      <c r="O4016" s="241"/>
      <c r="P4016" s="241"/>
      <c r="Q4016" s="241"/>
    </row>
    <row r="4017" spans="1:17" ht="13.5" customHeight="1" x14ac:dyDescent="0.3">
      <c r="A4017"/>
      <c r="B4017" s="241"/>
      <c r="C4017" s="241"/>
      <c r="D4017" s="241"/>
      <c r="E4017" s="241"/>
      <c r="F4017" s="241"/>
      <c r="G4017" s="241"/>
      <c r="H4017" s="241"/>
      <c r="I4017"/>
      <c r="J4017" s="241"/>
      <c r="K4017" s="241"/>
      <c r="L4017" s="241"/>
      <c r="M4017" s="241"/>
      <c r="N4017" s="241"/>
      <c r="O4017" s="241"/>
      <c r="P4017" s="241"/>
      <c r="Q4017" s="241"/>
    </row>
    <row r="4018" spans="1:17" ht="13.5" customHeight="1" x14ac:dyDescent="0.3">
      <c r="A4018"/>
      <c r="B4018" s="241"/>
      <c r="C4018" s="241"/>
      <c r="D4018" s="241"/>
      <c r="E4018" s="241"/>
      <c r="F4018" s="241"/>
      <c r="G4018" s="241"/>
      <c r="H4018" s="241"/>
      <c r="I4018"/>
      <c r="J4018" s="241"/>
      <c r="K4018" s="241"/>
      <c r="L4018" s="241"/>
      <c r="M4018" s="241"/>
      <c r="N4018" s="241"/>
      <c r="O4018" s="241"/>
      <c r="P4018" s="241"/>
      <c r="Q4018" s="241"/>
    </row>
    <row r="4019" spans="1:17" ht="13.5" customHeight="1" x14ac:dyDescent="0.3">
      <c r="A4019"/>
      <c r="B4019" s="241"/>
      <c r="C4019" s="241"/>
      <c r="D4019" s="241"/>
      <c r="E4019" s="241"/>
      <c r="F4019" s="241"/>
      <c r="G4019" s="241"/>
      <c r="H4019" s="241"/>
      <c r="I4019"/>
      <c r="J4019" s="241"/>
      <c r="K4019" s="241"/>
      <c r="L4019" s="241"/>
      <c r="M4019" s="241"/>
      <c r="N4019" s="241"/>
      <c r="O4019" s="241"/>
      <c r="P4019" s="241"/>
      <c r="Q4019" s="241"/>
    </row>
    <row r="4020" spans="1:17" ht="13.5" customHeight="1" x14ac:dyDescent="0.3">
      <c r="A4020"/>
      <c r="B4020" s="241"/>
      <c r="C4020" s="241"/>
      <c r="D4020" s="241"/>
      <c r="E4020" s="241"/>
      <c r="F4020" s="241"/>
      <c r="G4020" s="241"/>
      <c r="H4020" s="241"/>
      <c r="I4020"/>
      <c r="J4020" s="241"/>
      <c r="K4020" s="241"/>
      <c r="L4020" s="241"/>
      <c r="M4020" s="241"/>
      <c r="N4020" s="241"/>
      <c r="O4020" s="241"/>
      <c r="P4020" s="241"/>
      <c r="Q4020" s="241"/>
    </row>
    <row r="4021" spans="1:17" ht="13.5" customHeight="1" x14ac:dyDescent="0.3">
      <c r="A4021"/>
      <c r="B4021" s="241"/>
      <c r="C4021" s="241"/>
      <c r="D4021" s="241"/>
      <c r="E4021" s="241"/>
      <c r="F4021" s="241"/>
      <c r="G4021" s="241"/>
      <c r="H4021" s="241"/>
      <c r="I4021"/>
      <c r="J4021" s="241"/>
      <c r="K4021" s="241"/>
      <c r="L4021" s="241"/>
      <c r="M4021" s="241"/>
      <c r="N4021" s="241"/>
      <c r="O4021" s="241"/>
      <c r="P4021" s="241"/>
      <c r="Q4021" s="241"/>
    </row>
    <row r="4022" spans="1:17" ht="13.5" customHeight="1" x14ac:dyDescent="0.3">
      <c r="A4022"/>
      <c r="B4022" s="241"/>
      <c r="C4022" s="241"/>
      <c r="D4022" s="241"/>
      <c r="E4022" s="241"/>
      <c r="F4022" s="241"/>
      <c r="G4022" s="241"/>
      <c r="H4022" s="241"/>
      <c r="I4022"/>
      <c r="J4022" s="241"/>
      <c r="K4022" s="241"/>
      <c r="L4022" s="241"/>
      <c r="M4022" s="241"/>
      <c r="N4022" s="241"/>
      <c r="O4022" s="241"/>
      <c r="P4022" s="241"/>
      <c r="Q4022" s="241"/>
    </row>
    <row r="4023" spans="1:17" ht="13.5" customHeight="1" x14ac:dyDescent="0.3">
      <c r="A4023"/>
      <c r="B4023" s="241"/>
      <c r="C4023" s="241"/>
      <c r="D4023" s="241"/>
      <c r="E4023" s="241"/>
      <c r="F4023" s="241"/>
      <c r="G4023" s="241"/>
      <c r="H4023" s="241"/>
      <c r="I4023"/>
      <c r="J4023" s="241"/>
      <c r="K4023" s="241"/>
      <c r="L4023" s="241"/>
      <c r="M4023" s="241"/>
      <c r="N4023" s="241"/>
      <c r="O4023" s="241"/>
      <c r="P4023" s="241"/>
      <c r="Q4023" s="241"/>
    </row>
    <row r="4024" spans="1:17" ht="13.5" customHeight="1" x14ac:dyDescent="0.3">
      <c r="A4024"/>
      <c r="B4024" s="241"/>
      <c r="C4024" s="241"/>
      <c r="D4024" s="241"/>
      <c r="E4024" s="241"/>
      <c r="F4024" s="241"/>
      <c r="G4024" s="241"/>
      <c r="H4024" s="241"/>
      <c r="I4024"/>
      <c r="J4024" s="241"/>
      <c r="K4024" s="241"/>
      <c r="L4024" s="241"/>
      <c r="M4024" s="241"/>
      <c r="N4024" s="241"/>
      <c r="O4024" s="241"/>
      <c r="P4024" s="241"/>
      <c r="Q4024" s="241"/>
    </row>
    <row r="4025" spans="1:17" ht="13.5" customHeight="1" x14ac:dyDescent="0.3">
      <c r="A4025"/>
      <c r="B4025" s="241"/>
      <c r="C4025" s="241"/>
      <c r="D4025" s="241"/>
      <c r="E4025" s="241"/>
      <c r="F4025" s="241"/>
      <c r="G4025" s="241"/>
      <c r="H4025" s="241"/>
      <c r="I4025"/>
      <c r="J4025" s="241"/>
      <c r="K4025" s="241"/>
      <c r="L4025" s="241"/>
      <c r="M4025" s="241"/>
      <c r="N4025" s="241"/>
      <c r="O4025" s="241"/>
      <c r="P4025" s="241"/>
      <c r="Q4025" s="241"/>
    </row>
    <row r="4026" spans="1:17" ht="13.5" customHeight="1" x14ac:dyDescent="0.3">
      <c r="A4026"/>
      <c r="B4026" s="241"/>
      <c r="C4026" s="241"/>
      <c r="D4026" s="241"/>
      <c r="E4026" s="241"/>
      <c r="F4026" s="241"/>
      <c r="G4026" s="241"/>
      <c r="H4026" s="241"/>
      <c r="I4026"/>
      <c r="J4026" s="241"/>
      <c r="K4026" s="241"/>
      <c r="L4026" s="241"/>
      <c r="M4026" s="241"/>
      <c r="N4026" s="241"/>
      <c r="O4026" s="241"/>
      <c r="P4026" s="241"/>
      <c r="Q4026" s="241"/>
    </row>
    <row r="4027" spans="1:17" ht="13.5" customHeight="1" x14ac:dyDescent="0.3">
      <c r="A4027"/>
      <c r="B4027" s="241"/>
      <c r="C4027" s="241"/>
      <c r="D4027" s="241"/>
      <c r="E4027" s="241"/>
      <c r="F4027" s="241"/>
      <c r="G4027" s="241"/>
      <c r="H4027" s="241"/>
      <c r="I4027"/>
      <c r="J4027" s="241"/>
      <c r="K4027" s="241"/>
      <c r="L4027" s="241"/>
      <c r="M4027" s="241"/>
      <c r="N4027" s="241"/>
      <c r="O4027" s="241"/>
      <c r="P4027" s="241"/>
      <c r="Q4027" s="241"/>
    </row>
    <row r="4028" spans="1:17" ht="13.5" customHeight="1" x14ac:dyDescent="0.3">
      <c r="A4028"/>
      <c r="B4028" s="241"/>
      <c r="C4028" s="241"/>
      <c r="D4028" s="241"/>
      <c r="E4028" s="241"/>
      <c r="F4028" s="241"/>
      <c r="G4028" s="241"/>
      <c r="H4028" s="241"/>
      <c r="I4028"/>
      <c r="J4028" s="241"/>
      <c r="K4028" s="241"/>
      <c r="L4028" s="241"/>
      <c r="M4028" s="241"/>
      <c r="N4028" s="241"/>
      <c r="O4028" s="241"/>
      <c r="P4028" s="241"/>
      <c r="Q4028" s="241"/>
    </row>
    <row r="4029" spans="1:17" ht="13.5" customHeight="1" x14ac:dyDescent="0.3">
      <c r="A4029"/>
      <c r="B4029" s="241"/>
      <c r="C4029" s="241"/>
      <c r="D4029" s="241"/>
      <c r="E4029" s="241"/>
      <c r="F4029" s="241"/>
      <c r="G4029" s="241"/>
      <c r="H4029" s="241"/>
      <c r="I4029"/>
      <c r="J4029" s="241"/>
      <c r="K4029" s="241"/>
      <c r="L4029" s="241"/>
      <c r="M4029" s="241"/>
      <c r="N4029" s="241"/>
      <c r="O4029" s="241"/>
      <c r="P4029" s="241"/>
      <c r="Q4029" s="241"/>
    </row>
    <row r="4030" spans="1:17" ht="13.5" customHeight="1" x14ac:dyDescent="0.3">
      <c r="A4030"/>
      <c r="B4030" s="241"/>
      <c r="C4030" s="241"/>
      <c r="D4030" s="241"/>
      <c r="E4030" s="241"/>
      <c r="F4030" s="241"/>
      <c r="G4030" s="241"/>
      <c r="H4030" s="241"/>
      <c r="I4030"/>
      <c r="J4030" s="241"/>
      <c r="K4030" s="241"/>
      <c r="L4030" s="241"/>
      <c r="M4030" s="241"/>
      <c r="N4030" s="241"/>
      <c r="O4030" s="241"/>
      <c r="P4030" s="241"/>
      <c r="Q4030" s="241"/>
    </row>
    <row r="4031" spans="1:17" ht="13.5" customHeight="1" x14ac:dyDescent="0.3">
      <c r="A4031"/>
      <c r="B4031" s="241"/>
      <c r="C4031" s="241"/>
      <c r="D4031" s="241"/>
      <c r="E4031" s="241"/>
      <c r="F4031" s="241"/>
      <c r="G4031" s="241"/>
      <c r="H4031" s="241"/>
      <c r="I4031"/>
      <c r="J4031" s="241"/>
      <c r="K4031" s="241"/>
      <c r="L4031" s="241"/>
      <c r="M4031" s="241"/>
      <c r="N4031" s="241"/>
      <c r="O4031" s="241"/>
      <c r="P4031" s="241"/>
      <c r="Q4031" s="241"/>
    </row>
    <row r="4032" spans="1:17" ht="13.5" customHeight="1" x14ac:dyDescent="0.3">
      <c r="A4032"/>
      <c r="B4032" s="241"/>
      <c r="C4032" s="241"/>
      <c r="D4032" s="241"/>
      <c r="E4032" s="241"/>
      <c r="F4032" s="241"/>
      <c r="G4032" s="241"/>
      <c r="H4032" s="241"/>
      <c r="I4032"/>
      <c r="J4032" s="241"/>
      <c r="K4032" s="241"/>
      <c r="L4032" s="241"/>
      <c r="M4032" s="241"/>
      <c r="N4032" s="241"/>
      <c r="O4032" s="241"/>
      <c r="P4032" s="241"/>
      <c r="Q4032" s="241"/>
    </row>
    <row r="4033" spans="1:17" ht="13.5" customHeight="1" x14ac:dyDescent="0.3">
      <c r="A4033"/>
      <c r="B4033" s="241"/>
      <c r="C4033" s="241"/>
      <c r="D4033" s="241"/>
      <c r="E4033" s="241"/>
      <c r="F4033" s="241"/>
      <c r="G4033" s="241"/>
      <c r="H4033" s="241"/>
      <c r="I4033"/>
      <c r="J4033" s="241"/>
      <c r="K4033" s="241"/>
      <c r="L4033" s="241"/>
      <c r="M4033" s="241"/>
      <c r="N4033" s="241"/>
      <c r="O4033" s="241"/>
      <c r="P4033" s="241"/>
      <c r="Q4033" s="241"/>
    </row>
    <row r="4034" spans="1:17" ht="13.5" customHeight="1" x14ac:dyDescent="0.3">
      <c r="A4034"/>
      <c r="B4034" s="241"/>
      <c r="C4034" s="241"/>
      <c r="D4034" s="241"/>
      <c r="E4034" s="241"/>
      <c r="F4034" s="241"/>
      <c r="G4034" s="241"/>
      <c r="H4034" s="241"/>
      <c r="I4034"/>
      <c r="J4034" s="241"/>
      <c r="K4034" s="241"/>
      <c r="L4034" s="241"/>
      <c r="M4034" s="241"/>
      <c r="N4034" s="241"/>
      <c r="O4034" s="241"/>
      <c r="P4034" s="241"/>
      <c r="Q4034" s="241"/>
    </row>
    <row r="4035" spans="1:17" ht="13.5" customHeight="1" x14ac:dyDescent="0.3">
      <c r="A4035"/>
      <c r="B4035" s="241"/>
      <c r="C4035" s="241"/>
      <c r="D4035" s="241"/>
      <c r="E4035" s="241"/>
      <c r="F4035" s="241"/>
      <c r="G4035" s="241"/>
      <c r="H4035" s="241"/>
      <c r="I4035"/>
      <c r="J4035" s="241"/>
      <c r="K4035" s="241"/>
      <c r="L4035" s="241"/>
      <c r="M4035" s="241"/>
      <c r="N4035" s="241"/>
      <c r="O4035" s="241"/>
      <c r="P4035" s="241"/>
      <c r="Q4035" s="241"/>
    </row>
    <row r="4036" spans="1:17" ht="13.5" customHeight="1" x14ac:dyDescent="0.3">
      <c r="A4036"/>
      <c r="B4036" s="241"/>
      <c r="C4036" s="241"/>
      <c r="D4036" s="241"/>
      <c r="E4036" s="241"/>
      <c r="F4036" s="241"/>
      <c r="G4036" s="241"/>
      <c r="H4036" s="241"/>
      <c r="I4036"/>
      <c r="J4036" s="241"/>
      <c r="K4036" s="241"/>
      <c r="L4036" s="241"/>
      <c r="M4036" s="241"/>
      <c r="N4036" s="241"/>
      <c r="O4036" s="241"/>
      <c r="P4036" s="241"/>
      <c r="Q4036" s="241"/>
    </row>
    <row r="4037" spans="1:17" ht="13.5" customHeight="1" x14ac:dyDescent="0.3">
      <c r="A4037"/>
      <c r="B4037" s="241"/>
      <c r="C4037" s="241"/>
      <c r="D4037" s="241"/>
      <c r="E4037" s="241"/>
      <c r="F4037" s="241"/>
      <c r="G4037" s="241"/>
      <c r="H4037" s="241"/>
      <c r="I4037"/>
      <c r="J4037" s="241"/>
      <c r="K4037" s="241"/>
      <c r="L4037" s="241"/>
      <c r="M4037" s="241"/>
      <c r="N4037" s="241"/>
      <c r="O4037" s="241"/>
      <c r="P4037" s="241"/>
      <c r="Q4037" s="241"/>
    </row>
    <row r="4038" spans="1:17" ht="13.5" customHeight="1" x14ac:dyDescent="0.3">
      <c r="A4038"/>
      <c r="B4038" s="241"/>
      <c r="C4038" s="241"/>
      <c r="D4038" s="241"/>
      <c r="E4038" s="241"/>
      <c r="F4038" s="241"/>
      <c r="G4038" s="241"/>
      <c r="H4038" s="241"/>
      <c r="I4038"/>
      <c r="J4038" s="241"/>
      <c r="K4038" s="241"/>
      <c r="L4038" s="241"/>
      <c r="M4038" s="241"/>
      <c r="N4038" s="241"/>
      <c r="O4038" s="241"/>
      <c r="P4038" s="241"/>
      <c r="Q4038" s="241"/>
    </row>
    <row r="4039" spans="1:17" ht="13.5" customHeight="1" x14ac:dyDescent="0.3">
      <c r="A4039"/>
      <c r="B4039" s="241"/>
      <c r="C4039" s="241"/>
      <c r="D4039" s="241"/>
      <c r="E4039" s="241"/>
      <c r="F4039" s="241"/>
      <c r="G4039" s="241"/>
      <c r="H4039" s="241"/>
      <c r="I4039"/>
      <c r="J4039" s="241"/>
      <c r="K4039" s="241"/>
      <c r="L4039" s="241"/>
      <c r="M4039" s="241"/>
      <c r="N4039" s="241"/>
      <c r="O4039" s="241"/>
      <c r="P4039" s="241"/>
      <c r="Q4039" s="241"/>
    </row>
    <row r="4040" spans="1:17" ht="13.5" customHeight="1" x14ac:dyDescent="0.3">
      <c r="A4040"/>
      <c r="B4040" s="241"/>
      <c r="C4040" s="241"/>
      <c r="D4040" s="241"/>
      <c r="E4040" s="241"/>
      <c r="F4040" s="241"/>
      <c r="G4040" s="241"/>
      <c r="H4040" s="241"/>
      <c r="I4040"/>
      <c r="J4040" s="241"/>
      <c r="K4040" s="241"/>
      <c r="L4040" s="241"/>
      <c r="M4040" s="241"/>
      <c r="N4040" s="241"/>
      <c r="O4040" s="241"/>
      <c r="P4040" s="241"/>
      <c r="Q4040" s="241"/>
    </row>
    <row r="4041" spans="1:17" ht="13.5" customHeight="1" x14ac:dyDescent="0.3">
      <c r="A4041"/>
      <c r="B4041" s="241"/>
      <c r="C4041" s="241"/>
      <c r="D4041" s="241"/>
      <c r="E4041" s="241"/>
      <c r="F4041" s="241"/>
      <c r="G4041" s="241"/>
      <c r="H4041" s="241"/>
      <c r="I4041"/>
      <c r="J4041" s="241"/>
      <c r="K4041" s="241"/>
      <c r="L4041" s="241"/>
      <c r="M4041" s="241"/>
      <c r="N4041" s="241"/>
      <c r="O4041" s="241"/>
      <c r="P4041" s="241"/>
      <c r="Q4041" s="241"/>
    </row>
    <row r="4042" spans="1:17" ht="13.5" customHeight="1" x14ac:dyDescent="0.3">
      <c r="A4042"/>
      <c r="B4042" s="241"/>
      <c r="C4042" s="241"/>
      <c r="D4042" s="241"/>
      <c r="E4042" s="241"/>
      <c r="F4042" s="241"/>
      <c r="G4042" s="241"/>
      <c r="H4042" s="241"/>
      <c r="I4042"/>
      <c r="J4042" s="241"/>
      <c r="K4042" s="241"/>
      <c r="L4042" s="241"/>
      <c r="M4042" s="241"/>
      <c r="N4042" s="241"/>
      <c r="O4042" s="241"/>
      <c r="P4042" s="241"/>
      <c r="Q4042" s="241"/>
    </row>
    <row r="4043" spans="1:17" ht="13.5" customHeight="1" x14ac:dyDescent="0.3">
      <c r="A4043"/>
      <c r="B4043" s="241"/>
      <c r="C4043" s="241"/>
      <c r="D4043" s="241"/>
      <c r="E4043" s="241"/>
      <c r="F4043" s="241"/>
      <c r="G4043" s="241"/>
      <c r="H4043" s="241"/>
      <c r="I4043"/>
      <c r="J4043" s="241"/>
      <c r="K4043" s="241"/>
      <c r="L4043" s="241"/>
      <c r="M4043" s="241"/>
      <c r="N4043" s="241"/>
      <c r="O4043" s="241"/>
      <c r="P4043" s="241"/>
      <c r="Q4043" s="241"/>
    </row>
    <row r="4044" spans="1:17" ht="13.5" customHeight="1" x14ac:dyDescent="0.3">
      <c r="A4044"/>
      <c r="B4044" s="241"/>
      <c r="C4044" s="241"/>
      <c r="D4044" s="241"/>
      <c r="E4044" s="241"/>
      <c r="F4044" s="241"/>
      <c r="G4044" s="241"/>
      <c r="H4044" s="241"/>
      <c r="I4044"/>
      <c r="J4044" s="241"/>
      <c r="K4044" s="241"/>
      <c r="L4044" s="241"/>
      <c r="M4044" s="241"/>
      <c r="N4044" s="241"/>
      <c r="O4044" s="241"/>
      <c r="P4044" s="241"/>
      <c r="Q4044" s="241"/>
    </row>
    <row r="4045" spans="1:17" ht="13.5" customHeight="1" x14ac:dyDescent="0.3">
      <c r="A4045"/>
      <c r="B4045" s="241"/>
      <c r="C4045" s="241"/>
      <c r="D4045" s="241"/>
      <c r="E4045" s="241"/>
      <c r="F4045" s="241"/>
      <c r="G4045" s="241"/>
      <c r="H4045" s="241"/>
      <c r="I4045"/>
      <c r="J4045" s="241"/>
      <c r="K4045" s="241"/>
      <c r="L4045" s="241"/>
      <c r="M4045" s="241"/>
      <c r="N4045" s="241"/>
      <c r="O4045" s="241"/>
      <c r="P4045" s="241"/>
      <c r="Q4045" s="241"/>
    </row>
    <row r="4046" spans="1:17" ht="13.5" customHeight="1" x14ac:dyDescent="0.3">
      <c r="A4046"/>
      <c r="B4046" s="241"/>
      <c r="C4046" s="241"/>
      <c r="D4046" s="241"/>
      <c r="E4046" s="241"/>
      <c r="F4046" s="241"/>
      <c r="G4046" s="241"/>
      <c r="H4046" s="241"/>
      <c r="I4046"/>
      <c r="J4046" s="241"/>
      <c r="K4046" s="241"/>
      <c r="L4046" s="241"/>
      <c r="M4046" s="241"/>
      <c r="N4046" s="241"/>
      <c r="O4046" s="241"/>
      <c r="P4046" s="241"/>
      <c r="Q4046" s="241"/>
    </row>
    <row r="4047" spans="1:17" ht="13.5" customHeight="1" x14ac:dyDescent="0.3">
      <c r="A4047"/>
      <c r="B4047" s="241"/>
      <c r="C4047" s="241"/>
      <c r="D4047" s="241"/>
      <c r="E4047" s="241"/>
      <c r="F4047" s="241"/>
      <c r="G4047" s="241"/>
      <c r="H4047" s="241"/>
      <c r="I4047"/>
      <c r="J4047" s="241"/>
      <c r="K4047" s="241"/>
      <c r="L4047" s="241"/>
      <c r="M4047" s="241"/>
      <c r="N4047" s="241"/>
      <c r="O4047" s="241"/>
      <c r="P4047" s="241"/>
      <c r="Q4047" s="241"/>
    </row>
    <row r="4048" spans="1:17" ht="13.5" customHeight="1" x14ac:dyDescent="0.3">
      <c r="A4048"/>
      <c r="B4048" s="241"/>
      <c r="C4048" s="241"/>
      <c r="D4048" s="241"/>
      <c r="E4048" s="241"/>
      <c r="F4048" s="241"/>
      <c r="G4048" s="241"/>
      <c r="H4048" s="241"/>
      <c r="I4048"/>
      <c r="J4048" s="241"/>
      <c r="K4048" s="241"/>
      <c r="L4048" s="241"/>
      <c r="M4048" s="241"/>
      <c r="N4048" s="241"/>
      <c r="O4048" s="241"/>
      <c r="P4048" s="241"/>
      <c r="Q4048" s="241"/>
    </row>
    <row r="4049" spans="1:17" ht="13.5" customHeight="1" x14ac:dyDescent="0.3">
      <c r="A4049"/>
      <c r="B4049" s="241"/>
      <c r="C4049" s="241"/>
      <c r="D4049" s="241"/>
      <c r="E4049" s="241"/>
      <c r="F4049" s="241"/>
      <c r="G4049" s="241"/>
      <c r="H4049" s="241"/>
      <c r="I4049"/>
      <c r="J4049" s="241"/>
      <c r="K4049" s="241"/>
      <c r="L4049" s="241"/>
      <c r="M4049" s="241"/>
      <c r="N4049" s="241"/>
      <c r="O4049" s="241"/>
      <c r="P4049" s="241"/>
      <c r="Q4049" s="241"/>
    </row>
    <row r="4050" spans="1:17" ht="13.5" customHeight="1" x14ac:dyDescent="0.3">
      <c r="A4050"/>
      <c r="B4050" s="241"/>
      <c r="C4050" s="241"/>
      <c r="D4050" s="241"/>
      <c r="E4050" s="241"/>
      <c r="F4050" s="241"/>
      <c r="G4050" s="241"/>
      <c r="H4050" s="241"/>
      <c r="I4050"/>
      <c r="J4050" s="241"/>
      <c r="K4050" s="241"/>
      <c r="L4050" s="241"/>
      <c r="M4050" s="241"/>
      <c r="N4050" s="241"/>
      <c r="O4050" s="241"/>
      <c r="P4050" s="241"/>
      <c r="Q4050" s="241"/>
    </row>
    <row r="4051" spans="1:17" ht="13.5" customHeight="1" x14ac:dyDescent="0.3">
      <c r="A4051"/>
      <c r="B4051" s="241"/>
      <c r="C4051" s="241"/>
      <c r="D4051" s="241"/>
      <c r="E4051" s="241"/>
      <c r="F4051" s="241"/>
      <c r="G4051" s="241"/>
      <c r="H4051" s="241"/>
      <c r="I4051"/>
      <c r="J4051" s="241"/>
      <c r="K4051" s="241"/>
      <c r="L4051" s="241"/>
      <c r="M4051" s="241"/>
      <c r="N4051" s="241"/>
      <c r="O4051" s="241"/>
      <c r="P4051" s="241"/>
      <c r="Q4051" s="241"/>
    </row>
    <row r="4052" spans="1:17" ht="13.5" customHeight="1" x14ac:dyDescent="0.3">
      <c r="A4052"/>
      <c r="B4052" s="241"/>
      <c r="C4052" s="241"/>
      <c r="D4052" s="241"/>
      <c r="E4052" s="241"/>
      <c r="F4052" s="241"/>
      <c r="G4052" s="241"/>
      <c r="H4052" s="241"/>
      <c r="I4052"/>
      <c r="J4052" s="241"/>
      <c r="K4052" s="241"/>
      <c r="L4052" s="241"/>
      <c r="M4052" s="241"/>
      <c r="N4052" s="241"/>
      <c r="O4052" s="241"/>
      <c r="P4052" s="241"/>
      <c r="Q4052" s="241"/>
    </row>
    <row r="4053" spans="1:17" ht="13.5" customHeight="1" x14ac:dyDescent="0.3">
      <c r="A4053"/>
      <c r="B4053" s="241"/>
      <c r="C4053" s="241"/>
      <c r="D4053" s="241"/>
      <c r="E4053" s="241"/>
      <c r="F4053" s="241"/>
      <c r="G4053" s="241"/>
      <c r="H4053" s="241"/>
      <c r="I4053"/>
      <c r="J4053" s="241"/>
      <c r="K4053" s="241"/>
      <c r="L4053" s="241"/>
      <c r="M4053" s="241"/>
      <c r="N4053" s="241"/>
      <c r="O4053" s="241"/>
      <c r="P4053" s="241"/>
      <c r="Q4053" s="241"/>
    </row>
    <row r="4054" spans="1:17" ht="13.5" customHeight="1" x14ac:dyDescent="0.3">
      <c r="A4054"/>
      <c r="B4054" s="241"/>
      <c r="C4054" s="241"/>
      <c r="D4054" s="241"/>
      <c r="E4054" s="241"/>
      <c r="F4054" s="241"/>
      <c r="G4054" s="241"/>
      <c r="H4054" s="241"/>
      <c r="I4054"/>
      <c r="J4054" s="241"/>
      <c r="K4054" s="241"/>
      <c r="L4054" s="241"/>
      <c r="M4054" s="241"/>
      <c r="N4054" s="241"/>
      <c r="O4054" s="241"/>
      <c r="P4054" s="241"/>
      <c r="Q4054" s="241"/>
    </row>
    <row r="4055" spans="1:17" ht="13.5" customHeight="1" x14ac:dyDescent="0.3">
      <c r="A4055"/>
      <c r="B4055" s="241"/>
      <c r="C4055" s="241"/>
      <c r="D4055" s="241"/>
      <c r="E4055" s="241"/>
      <c r="F4055" s="241"/>
      <c r="G4055" s="241"/>
      <c r="H4055" s="241"/>
      <c r="I4055"/>
      <c r="J4055" s="241"/>
      <c r="K4055" s="241"/>
      <c r="L4055" s="241"/>
      <c r="M4055" s="241"/>
      <c r="N4055" s="241"/>
      <c r="O4055" s="241"/>
      <c r="P4055" s="241"/>
      <c r="Q4055" s="241"/>
    </row>
    <row r="4056" spans="1:17" ht="13.5" customHeight="1" x14ac:dyDescent="0.3">
      <c r="A4056"/>
      <c r="B4056" s="241"/>
      <c r="C4056" s="241"/>
      <c r="D4056" s="241"/>
      <c r="E4056" s="241"/>
      <c r="F4056" s="241"/>
      <c r="G4056" s="241"/>
      <c r="H4056" s="241"/>
      <c r="I4056"/>
      <c r="J4056" s="241"/>
      <c r="K4056" s="241"/>
      <c r="L4056" s="241"/>
      <c r="M4056" s="241"/>
      <c r="N4056" s="241"/>
      <c r="O4056" s="241"/>
      <c r="P4056" s="241"/>
      <c r="Q4056" s="241"/>
    </row>
    <row r="4057" spans="1:17" ht="13.5" customHeight="1" x14ac:dyDescent="0.3">
      <c r="A4057"/>
      <c r="B4057" s="241"/>
      <c r="C4057" s="241"/>
      <c r="D4057" s="241"/>
      <c r="E4057" s="241"/>
      <c r="F4057" s="241"/>
      <c r="G4057" s="241"/>
      <c r="H4057" s="241"/>
      <c r="I4057"/>
      <c r="J4057" s="241"/>
      <c r="K4057" s="241"/>
      <c r="L4057" s="241"/>
      <c r="M4057" s="241"/>
      <c r="N4057" s="241"/>
      <c r="O4057" s="241"/>
      <c r="P4057" s="241"/>
      <c r="Q4057" s="241"/>
    </row>
    <row r="4058" spans="1:17" ht="13.5" customHeight="1" x14ac:dyDescent="0.3">
      <c r="A4058"/>
      <c r="B4058" s="241"/>
      <c r="C4058" s="241"/>
      <c r="D4058" s="241"/>
      <c r="E4058" s="241"/>
      <c r="F4058" s="241"/>
      <c r="G4058" s="241"/>
      <c r="H4058" s="241"/>
      <c r="I4058"/>
      <c r="J4058" s="241"/>
      <c r="K4058" s="241"/>
      <c r="L4058" s="241"/>
      <c r="M4058" s="241"/>
      <c r="N4058" s="241"/>
      <c r="O4058" s="241"/>
      <c r="P4058" s="241"/>
      <c r="Q4058" s="241"/>
    </row>
    <row r="4059" spans="1:17" ht="13.5" customHeight="1" x14ac:dyDescent="0.3">
      <c r="A4059"/>
      <c r="B4059" s="241"/>
      <c r="C4059" s="241"/>
      <c r="D4059" s="241"/>
      <c r="E4059" s="241"/>
      <c r="F4059" s="241"/>
      <c r="G4059" s="241"/>
      <c r="H4059" s="241"/>
      <c r="I4059"/>
      <c r="J4059" s="241"/>
      <c r="K4059" s="241"/>
      <c r="L4059" s="241"/>
      <c r="M4059" s="241"/>
      <c r="N4059" s="241"/>
      <c r="O4059" s="241"/>
      <c r="P4059" s="241"/>
      <c r="Q4059" s="241"/>
    </row>
    <row r="4060" spans="1:17" ht="13.5" customHeight="1" x14ac:dyDescent="0.3">
      <c r="A4060"/>
      <c r="B4060" s="241"/>
      <c r="C4060" s="241"/>
      <c r="D4060" s="241"/>
      <c r="E4060" s="241"/>
      <c r="F4060" s="241"/>
      <c r="G4060" s="241"/>
      <c r="H4060" s="241"/>
      <c r="I4060"/>
      <c r="J4060" s="241"/>
      <c r="K4060" s="241"/>
      <c r="L4060" s="241"/>
      <c r="M4060" s="241"/>
      <c r="N4060" s="241"/>
      <c r="O4060" s="241"/>
      <c r="P4060" s="241"/>
      <c r="Q4060" s="241"/>
    </row>
    <row r="4061" spans="1:17" ht="13.5" customHeight="1" x14ac:dyDescent="0.3">
      <c r="A4061"/>
      <c r="B4061" s="241"/>
      <c r="C4061" s="241"/>
      <c r="D4061" s="241"/>
      <c r="E4061" s="241"/>
      <c r="F4061" s="241"/>
      <c r="G4061" s="241"/>
      <c r="H4061" s="241"/>
      <c r="I4061"/>
      <c r="J4061" s="241"/>
      <c r="K4061" s="241"/>
      <c r="L4061" s="241"/>
      <c r="M4061" s="241"/>
      <c r="N4061" s="241"/>
      <c r="O4061" s="241"/>
      <c r="P4061" s="241"/>
      <c r="Q4061" s="241"/>
    </row>
    <row r="4062" spans="1:17" ht="13.5" customHeight="1" x14ac:dyDescent="0.3">
      <c r="A4062"/>
      <c r="B4062" s="241"/>
      <c r="C4062" s="241"/>
      <c r="D4062" s="241"/>
      <c r="E4062" s="241"/>
      <c r="F4062" s="241"/>
      <c r="G4062" s="241"/>
      <c r="H4062" s="241"/>
      <c r="I4062"/>
      <c r="J4062" s="241"/>
      <c r="K4062" s="241"/>
      <c r="L4062" s="241"/>
      <c r="M4062" s="241"/>
      <c r="N4062" s="241"/>
      <c r="O4062" s="241"/>
      <c r="P4062" s="241"/>
      <c r="Q4062" s="241"/>
    </row>
    <row r="4063" spans="1:17" ht="13.5" customHeight="1" x14ac:dyDescent="0.3">
      <c r="A4063"/>
      <c r="B4063" s="241"/>
      <c r="C4063" s="241"/>
      <c r="D4063" s="241"/>
      <c r="E4063" s="241"/>
      <c r="F4063" s="241"/>
      <c r="G4063" s="241"/>
      <c r="H4063" s="241"/>
      <c r="I4063"/>
      <c r="J4063" s="241"/>
      <c r="K4063" s="241"/>
      <c r="L4063" s="241"/>
      <c r="M4063" s="241"/>
      <c r="N4063" s="241"/>
      <c r="O4063" s="241"/>
      <c r="P4063" s="241"/>
      <c r="Q4063" s="241"/>
    </row>
    <row r="4064" spans="1:17" ht="13.5" customHeight="1" x14ac:dyDescent="0.3">
      <c r="A4064"/>
      <c r="B4064" s="241"/>
      <c r="C4064" s="241"/>
      <c r="D4064" s="241"/>
      <c r="E4064" s="241"/>
      <c r="F4064" s="241"/>
      <c r="G4064" s="241"/>
      <c r="H4064" s="241"/>
      <c r="I4064"/>
      <c r="J4064" s="241"/>
      <c r="K4064" s="241"/>
      <c r="L4064" s="241"/>
      <c r="M4064" s="241"/>
      <c r="N4064" s="241"/>
      <c r="O4064" s="241"/>
      <c r="P4064" s="241"/>
      <c r="Q4064" s="241"/>
    </row>
    <row r="4065" spans="1:17" ht="13.5" customHeight="1" x14ac:dyDescent="0.3">
      <c r="A4065"/>
      <c r="B4065" s="241"/>
      <c r="C4065" s="241"/>
      <c r="D4065" s="241"/>
      <c r="E4065" s="241"/>
      <c r="F4065" s="241"/>
      <c r="G4065" s="241"/>
      <c r="H4065" s="241"/>
      <c r="I4065"/>
      <c r="J4065" s="241"/>
      <c r="K4065" s="241"/>
      <c r="L4065" s="241"/>
      <c r="M4065" s="241"/>
      <c r="N4065" s="241"/>
      <c r="O4065" s="241"/>
      <c r="P4065" s="241"/>
      <c r="Q4065" s="241"/>
    </row>
    <row r="4066" spans="1:17" ht="13.5" customHeight="1" x14ac:dyDescent="0.3">
      <c r="A4066"/>
      <c r="B4066" s="241"/>
      <c r="C4066" s="241"/>
      <c r="D4066" s="241"/>
      <c r="E4066" s="241"/>
      <c r="F4066" s="241"/>
      <c r="G4066" s="241"/>
      <c r="H4066" s="241"/>
      <c r="I4066"/>
      <c r="J4066" s="241"/>
      <c r="K4066" s="241"/>
      <c r="L4066" s="241"/>
      <c r="M4066" s="241"/>
      <c r="N4066" s="241"/>
      <c r="O4066" s="241"/>
      <c r="P4066" s="241"/>
      <c r="Q4066" s="241"/>
    </row>
    <row r="4067" spans="1:17" ht="13.5" customHeight="1" x14ac:dyDescent="0.3">
      <c r="A4067"/>
      <c r="B4067" s="241"/>
      <c r="C4067" s="241"/>
      <c r="D4067" s="241"/>
      <c r="E4067" s="241"/>
      <c r="F4067" s="241"/>
      <c r="G4067" s="241"/>
      <c r="H4067" s="241"/>
      <c r="I4067"/>
      <c r="J4067" s="241"/>
      <c r="K4067" s="241"/>
      <c r="L4067" s="241"/>
      <c r="M4067" s="241"/>
      <c r="N4067" s="241"/>
      <c r="O4067" s="241"/>
      <c r="P4067" s="241"/>
      <c r="Q4067" s="241"/>
    </row>
    <row r="4068" spans="1:17" ht="13.5" customHeight="1" x14ac:dyDescent="0.3">
      <c r="A4068"/>
      <c r="B4068" s="241"/>
      <c r="C4068" s="241"/>
      <c r="D4068" s="241"/>
      <c r="E4068" s="241"/>
      <c r="F4068" s="241"/>
      <c r="G4068" s="241"/>
      <c r="H4068" s="241"/>
      <c r="I4068"/>
      <c r="J4068" s="241"/>
      <c r="K4068" s="241"/>
      <c r="L4068" s="241"/>
      <c r="M4068" s="241"/>
      <c r="N4068" s="241"/>
      <c r="O4068" s="241"/>
      <c r="P4068" s="241"/>
      <c r="Q4068" s="241"/>
    </row>
    <row r="4069" spans="1:17" ht="13.5" customHeight="1" x14ac:dyDescent="0.3">
      <c r="A4069"/>
      <c r="B4069" s="241"/>
      <c r="C4069" s="241"/>
      <c r="D4069" s="241"/>
      <c r="E4069" s="241"/>
      <c r="F4069" s="241"/>
      <c r="G4069" s="241"/>
      <c r="H4069" s="241"/>
      <c r="I4069"/>
      <c r="J4069" s="241"/>
      <c r="K4069" s="241"/>
      <c r="L4069" s="241"/>
      <c r="M4069" s="241"/>
      <c r="N4069" s="241"/>
      <c r="O4069" s="241"/>
      <c r="P4069" s="241"/>
      <c r="Q4069" s="241"/>
    </row>
    <row r="4070" spans="1:17" ht="13.5" customHeight="1" x14ac:dyDescent="0.3">
      <c r="A4070"/>
      <c r="B4070" s="241"/>
      <c r="C4070" s="241"/>
      <c r="D4070" s="241"/>
      <c r="E4070" s="241"/>
      <c r="F4070" s="241"/>
      <c r="G4070" s="241"/>
      <c r="H4070" s="241"/>
      <c r="I4070"/>
      <c r="J4070" s="241"/>
      <c r="K4070" s="241"/>
      <c r="L4070" s="241"/>
      <c r="M4070" s="241"/>
      <c r="N4070" s="241"/>
      <c r="O4070" s="241"/>
      <c r="P4070" s="241"/>
      <c r="Q4070" s="241"/>
    </row>
    <row r="4071" spans="1:17" ht="13.5" customHeight="1" x14ac:dyDescent="0.3">
      <c r="A4071"/>
      <c r="B4071" s="241"/>
      <c r="C4071" s="241"/>
      <c r="D4071" s="241"/>
      <c r="E4071" s="241"/>
      <c r="F4071" s="241"/>
      <c r="G4071" s="241"/>
      <c r="H4071" s="241"/>
      <c r="I4071"/>
      <c r="J4071" s="241"/>
      <c r="K4071" s="241"/>
      <c r="L4071" s="241"/>
      <c r="M4071" s="241"/>
      <c r="N4071" s="241"/>
      <c r="O4071" s="241"/>
      <c r="P4071" s="241"/>
      <c r="Q4071" s="241"/>
    </row>
    <row r="4072" spans="1:17" ht="13.5" customHeight="1" x14ac:dyDescent="0.3">
      <c r="A4072"/>
      <c r="B4072" s="241"/>
      <c r="C4072" s="241"/>
      <c r="D4072" s="241"/>
      <c r="E4072" s="241"/>
      <c r="F4072" s="241"/>
      <c r="G4072" s="241"/>
      <c r="H4072" s="241"/>
      <c r="I4072"/>
      <c r="J4072" s="241"/>
      <c r="K4072" s="241"/>
      <c r="L4072" s="241"/>
      <c r="M4072" s="241"/>
      <c r="N4072" s="241"/>
      <c r="O4072" s="241"/>
      <c r="P4072" s="241"/>
      <c r="Q4072" s="241"/>
    </row>
    <row r="4073" spans="1:17" ht="13.5" customHeight="1" x14ac:dyDescent="0.3">
      <c r="A4073"/>
      <c r="B4073" s="241"/>
      <c r="C4073" s="241"/>
      <c r="D4073" s="241"/>
      <c r="E4073" s="241"/>
      <c r="F4073" s="241"/>
      <c r="G4073" s="241"/>
      <c r="H4073" s="241"/>
      <c r="I4073"/>
      <c r="J4073" s="241"/>
      <c r="K4073" s="241"/>
      <c r="L4073" s="241"/>
      <c r="M4073" s="241"/>
      <c r="N4073" s="241"/>
      <c r="O4073" s="241"/>
      <c r="P4073" s="241"/>
      <c r="Q4073" s="241"/>
    </row>
    <row r="4074" spans="1:17" ht="13.5" customHeight="1" x14ac:dyDescent="0.3">
      <c r="A4074"/>
      <c r="B4074" s="241"/>
      <c r="C4074" s="241"/>
      <c r="D4074" s="241"/>
      <c r="E4074" s="241"/>
      <c r="F4074" s="241"/>
      <c r="G4074" s="241"/>
      <c r="H4074" s="241"/>
      <c r="I4074"/>
      <c r="J4074" s="241"/>
      <c r="K4074" s="241"/>
      <c r="L4074" s="241"/>
      <c r="M4074" s="241"/>
      <c r="N4074" s="241"/>
      <c r="O4074" s="241"/>
      <c r="P4074" s="241"/>
      <c r="Q4074" s="241"/>
    </row>
    <row r="4075" spans="1:17" ht="13.5" customHeight="1" x14ac:dyDescent="0.3">
      <c r="A4075"/>
      <c r="B4075" s="241"/>
      <c r="C4075" s="241"/>
      <c r="D4075" s="241"/>
      <c r="E4075" s="241"/>
      <c r="F4075" s="241"/>
      <c r="G4075" s="241"/>
      <c r="H4075" s="241"/>
      <c r="I4075"/>
      <c r="J4075" s="241"/>
      <c r="K4075" s="241"/>
      <c r="L4075" s="241"/>
      <c r="M4075" s="241"/>
      <c r="N4075" s="241"/>
      <c r="O4075" s="241"/>
      <c r="P4075" s="241"/>
      <c r="Q4075" s="241"/>
    </row>
    <row r="4076" spans="1:17" ht="13.5" customHeight="1" x14ac:dyDescent="0.3">
      <c r="A4076"/>
      <c r="B4076" s="241"/>
      <c r="C4076" s="241"/>
      <c r="D4076" s="241"/>
      <c r="E4076" s="241"/>
      <c r="F4076" s="241"/>
      <c r="G4076" s="241"/>
      <c r="H4076" s="241"/>
      <c r="I4076"/>
      <c r="J4076" s="241"/>
      <c r="K4076" s="241"/>
      <c r="L4076" s="241"/>
      <c r="M4076" s="241"/>
      <c r="N4076" s="241"/>
      <c r="O4076" s="241"/>
      <c r="P4076" s="241"/>
      <c r="Q4076" s="241"/>
    </row>
    <row r="4077" spans="1:17" ht="13.5" customHeight="1" x14ac:dyDescent="0.3">
      <c r="A4077"/>
      <c r="B4077" s="241"/>
      <c r="C4077" s="241"/>
      <c r="D4077" s="241"/>
      <c r="E4077" s="241"/>
      <c r="F4077" s="241"/>
      <c r="G4077" s="241"/>
      <c r="H4077" s="241"/>
      <c r="I4077"/>
      <c r="J4077" s="241"/>
      <c r="K4077" s="241"/>
      <c r="L4077" s="241"/>
      <c r="M4077" s="241"/>
      <c r="N4077" s="241"/>
      <c r="O4077" s="241"/>
      <c r="P4077" s="241"/>
      <c r="Q4077" s="241"/>
    </row>
    <row r="4078" spans="1:17" ht="13.5" customHeight="1" x14ac:dyDescent="0.3">
      <c r="A4078"/>
      <c r="B4078" s="241"/>
      <c r="C4078" s="241"/>
      <c r="D4078" s="241"/>
      <c r="E4078" s="241"/>
      <c r="F4078" s="241"/>
      <c r="G4078" s="241"/>
      <c r="H4078" s="241"/>
      <c r="I4078"/>
      <c r="J4078" s="241"/>
      <c r="K4078" s="241"/>
      <c r="L4078" s="241"/>
      <c r="M4078" s="241"/>
      <c r="N4078" s="241"/>
      <c r="O4078" s="241"/>
      <c r="P4078" s="241"/>
      <c r="Q4078" s="241"/>
    </row>
    <row r="4079" spans="1:17" ht="13.5" customHeight="1" x14ac:dyDescent="0.3">
      <c r="A4079"/>
      <c r="B4079" s="241"/>
      <c r="C4079" s="241"/>
      <c r="D4079" s="241"/>
      <c r="E4079" s="241"/>
      <c r="F4079" s="241"/>
      <c r="G4079" s="241"/>
      <c r="H4079" s="241"/>
      <c r="I4079"/>
      <c r="J4079" s="241"/>
      <c r="K4079" s="241"/>
      <c r="L4079" s="241"/>
      <c r="M4079" s="241"/>
      <c r="N4079" s="241"/>
      <c r="O4079" s="241"/>
      <c r="P4079" s="241"/>
      <c r="Q4079" s="241"/>
    </row>
    <row r="4080" spans="1:17" ht="13.5" customHeight="1" x14ac:dyDescent="0.3">
      <c r="A4080"/>
      <c r="B4080" s="241"/>
      <c r="C4080" s="241"/>
      <c r="D4080" s="241"/>
      <c r="E4080" s="241"/>
      <c r="F4080" s="241"/>
      <c r="G4080" s="241"/>
      <c r="H4080" s="241"/>
      <c r="I4080"/>
      <c r="J4080" s="241"/>
      <c r="K4080" s="241"/>
      <c r="L4080" s="241"/>
      <c r="M4080" s="241"/>
      <c r="N4080" s="241"/>
      <c r="O4080" s="241"/>
      <c r="P4080" s="241"/>
      <c r="Q4080" s="241"/>
    </row>
    <row r="4081" spans="1:17" ht="13.5" customHeight="1" x14ac:dyDescent="0.3">
      <c r="A4081"/>
      <c r="B4081" s="241"/>
      <c r="C4081" s="241"/>
      <c r="D4081" s="241"/>
      <c r="E4081" s="241"/>
      <c r="F4081" s="241"/>
      <c r="G4081" s="241"/>
      <c r="H4081" s="241"/>
      <c r="I4081"/>
      <c r="J4081" s="241"/>
      <c r="K4081" s="241"/>
      <c r="L4081" s="241"/>
      <c r="M4081" s="241"/>
      <c r="N4081" s="241"/>
      <c r="O4081" s="241"/>
      <c r="P4081" s="241"/>
      <c r="Q4081" s="241"/>
    </row>
    <row r="4082" spans="1:17" ht="13.5" customHeight="1" x14ac:dyDescent="0.3">
      <c r="A4082"/>
      <c r="B4082" s="241"/>
      <c r="C4082" s="241"/>
      <c r="D4082" s="241"/>
      <c r="E4082" s="241"/>
      <c r="F4082" s="241"/>
      <c r="G4082" s="241"/>
      <c r="H4082" s="241"/>
      <c r="I4082"/>
      <c r="J4082" s="241"/>
      <c r="K4082" s="241"/>
      <c r="L4082" s="241"/>
      <c r="M4082" s="241"/>
      <c r="N4082" s="241"/>
      <c r="O4082" s="241"/>
      <c r="P4082" s="241"/>
      <c r="Q4082" s="241"/>
    </row>
    <row r="4083" spans="1:17" ht="13.5" customHeight="1" x14ac:dyDescent="0.3">
      <c r="A4083"/>
      <c r="B4083" s="241"/>
      <c r="C4083" s="241"/>
      <c r="D4083" s="241"/>
      <c r="E4083" s="241"/>
      <c r="F4083" s="241"/>
      <c r="G4083" s="241"/>
      <c r="H4083" s="241"/>
      <c r="I4083"/>
      <c r="J4083" s="241"/>
      <c r="K4083" s="241"/>
      <c r="L4083" s="241"/>
      <c r="M4083" s="241"/>
      <c r="N4083" s="241"/>
      <c r="O4083" s="241"/>
      <c r="P4083" s="241"/>
      <c r="Q4083" s="241"/>
    </row>
    <row r="4084" spans="1:17" ht="13.5" customHeight="1" x14ac:dyDescent="0.3">
      <c r="A4084"/>
      <c r="B4084" s="241"/>
      <c r="C4084" s="241"/>
      <c r="D4084" s="241"/>
      <c r="E4084" s="241"/>
      <c r="F4084" s="241"/>
      <c r="G4084" s="241"/>
      <c r="H4084" s="241"/>
      <c r="I4084"/>
      <c r="J4084" s="241"/>
      <c r="K4084" s="241"/>
      <c r="L4084" s="241"/>
      <c r="M4084" s="241"/>
      <c r="N4084" s="241"/>
      <c r="O4084" s="241"/>
      <c r="P4084" s="241"/>
      <c r="Q4084" s="241"/>
    </row>
    <row r="4085" spans="1:17" ht="13.5" customHeight="1" x14ac:dyDescent="0.3">
      <c r="A4085"/>
      <c r="B4085" s="241"/>
      <c r="C4085" s="241"/>
      <c r="D4085" s="241"/>
      <c r="E4085" s="241"/>
      <c r="F4085" s="241"/>
      <c r="G4085" s="241"/>
      <c r="H4085" s="241"/>
      <c r="I4085"/>
      <c r="J4085" s="241"/>
      <c r="K4085" s="241"/>
      <c r="L4085" s="241"/>
      <c r="M4085" s="241"/>
      <c r="N4085" s="241"/>
      <c r="O4085" s="241"/>
      <c r="P4085" s="241"/>
      <c r="Q4085" s="241"/>
    </row>
    <row r="4086" spans="1:17" ht="13.5" customHeight="1" x14ac:dyDescent="0.3">
      <c r="A4086"/>
      <c r="B4086" s="241"/>
      <c r="C4086" s="241"/>
      <c r="D4086" s="241"/>
      <c r="E4086" s="241"/>
      <c r="F4086" s="241"/>
      <c r="G4086" s="241"/>
      <c r="H4086" s="241"/>
      <c r="I4086"/>
      <c r="J4086" s="241"/>
      <c r="K4086" s="241"/>
      <c r="L4086" s="241"/>
      <c r="M4086" s="241"/>
      <c r="N4086" s="241"/>
      <c r="O4086" s="241"/>
      <c r="P4086" s="241"/>
      <c r="Q4086" s="241"/>
    </row>
    <row r="4087" spans="1:17" ht="13.5" customHeight="1" x14ac:dyDescent="0.3">
      <c r="A4087"/>
      <c r="B4087" s="241"/>
      <c r="C4087" s="241"/>
      <c r="D4087" s="241"/>
      <c r="E4087" s="241"/>
      <c r="F4087" s="241"/>
      <c r="G4087" s="241"/>
      <c r="H4087" s="241"/>
      <c r="I4087"/>
      <c r="J4087" s="241"/>
      <c r="K4087" s="241"/>
      <c r="L4087" s="241"/>
      <c r="M4087" s="241"/>
      <c r="N4087" s="241"/>
      <c r="O4087" s="241"/>
      <c r="P4087" s="241"/>
      <c r="Q4087" s="241"/>
    </row>
    <row r="4088" spans="1:17" ht="13.5" customHeight="1" x14ac:dyDescent="0.3">
      <c r="A4088"/>
      <c r="B4088" s="241"/>
      <c r="C4088" s="241"/>
      <c r="D4088" s="241"/>
      <c r="E4088" s="241"/>
      <c r="F4088" s="241"/>
      <c r="G4088" s="241"/>
      <c r="H4088" s="241"/>
      <c r="I4088"/>
      <c r="J4088" s="241"/>
      <c r="K4088" s="241"/>
      <c r="L4088" s="241"/>
      <c r="M4088" s="241"/>
      <c r="N4088" s="241"/>
      <c r="O4088" s="241"/>
      <c r="P4088" s="241"/>
      <c r="Q4088" s="241"/>
    </row>
    <row r="4089" spans="1:17" ht="13.5" customHeight="1" x14ac:dyDescent="0.3">
      <c r="A4089"/>
      <c r="B4089" s="241"/>
      <c r="C4089" s="241"/>
      <c r="D4089" s="241"/>
      <c r="E4089" s="241"/>
      <c r="F4089" s="241"/>
      <c r="G4089" s="241"/>
      <c r="H4089" s="241"/>
      <c r="I4089"/>
      <c r="J4089" s="241"/>
      <c r="K4089" s="241"/>
      <c r="L4089" s="241"/>
      <c r="M4089" s="241"/>
      <c r="N4089" s="241"/>
      <c r="O4089" s="241"/>
      <c r="P4089" s="241"/>
      <c r="Q4089" s="241"/>
    </row>
    <row r="4090" spans="1:17" ht="13.5" customHeight="1" x14ac:dyDescent="0.3">
      <c r="A4090"/>
      <c r="B4090" s="241"/>
      <c r="C4090" s="241"/>
      <c r="D4090" s="241"/>
      <c r="E4090" s="241"/>
      <c r="F4090" s="241"/>
      <c r="G4090" s="241"/>
      <c r="H4090" s="241"/>
      <c r="I4090"/>
      <c r="J4090" s="241"/>
      <c r="K4090" s="241"/>
      <c r="L4090" s="241"/>
      <c r="M4090" s="241"/>
      <c r="N4090" s="241"/>
      <c r="O4090" s="241"/>
      <c r="P4090" s="241"/>
      <c r="Q4090" s="241"/>
    </row>
    <row r="4091" spans="1:17" ht="13.5" customHeight="1" x14ac:dyDescent="0.3">
      <c r="A4091"/>
      <c r="B4091" s="241"/>
      <c r="C4091" s="241"/>
      <c r="D4091" s="241"/>
      <c r="E4091" s="241"/>
      <c r="F4091" s="241"/>
      <c r="G4091" s="241"/>
      <c r="H4091" s="241"/>
      <c r="I4091"/>
      <c r="J4091" s="241"/>
      <c r="K4091" s="241"/>
      <c r="L4091" s="241"/>
      <c r="M4091" s="241"/>
      <c r="N4091" s="241"/>
      <c r="O4091" s="241"/>
      <c r="P4091" s="241"/>
      <c r="Q4091" s="241"/>
    </row>
    <row r="4092" spans="1:17" ht="13.5" customHeight="1" x14ac:dyDescent="0.3">
      <c r="A4092"/>
      <c r="B4092" s="241"/>
      <c r="C4092" s="241"/>
      <c r="D4092" s="241"/>
      <c r="E4092" s="241"/>
      <c r="F4092" s="241"/>
      <c r="G4092" s="241"/>
      <c r="H4092" s="241"/>
      <c r="I4092"/>
      <c r="J4092" s="241"/>
      <c r="K4092" s="241"/>
      <c r="L4092" s="241"/>
      <c r="M4092" s="241"/>
      <c r="N4092" s="241"/>
      <c r="O4092" s="241"/>
      <c r="P4092" s="241"/>
      <c r="Q4092" s="241"/>
    </row>
    <row r="4093" spans="1:17" ht="13.5" customHeight="1" x14ac:dyDescent="0.3">
      <c r="A4093"/>
      <c r="B4093" s="241"/>
      <c r="C4093" s="241"/>
      <c r="D4093" s="241"/>
      <c r="E4093" s="241"/>
      <c r="F4093" s="241"/>
      <c r="G4093" s="241"/>
      <c r="H4093" s="241"/>
      <c r="I4093"/>
      <c r="J4093" s="241"/>
      <c r="K4093" s="241"/>
      <c r="L4093" s="241"/>
      <c r="M4093" s="241"/>
      <c r="N4093" s="241"/>
      <c r="O4093" s="241"/>
      <c r="P4093" s="241"/>
      <c r="Q4093" s="241"/>
    </row>
    <row r="4094" spans="1:17" ht="13.5" customHeight="1" x14ac:dyDescent="0.3">
      <c r="A4094"/>
      <c r="B4094" s="241"/>
      <c r="C4094" s="241"/>
      <c r="D4094" s="241"/>
      <c r="E4094" s="241"/>
      <c r="F4094" s="241"/>
      <c r="G4094" s="241"/>
      <c r="H4094" s="241"/>
      <c r="I4094"/>
      <c r="J4094" s="241"/>
      <c r="K4094" s="241"/>
      <c r="L4094" s="241"/>
      <c r="M4094" s="241"/>
      <c r="N4094" s="241"/>
      <c r="O4094" s="241"/>
      <c r="P4094" s="241"/>
      <c r="Q4094" s="241"/>
    </row>
    <row r="4095" spans="1:17" ht="13.5" customHeight="1" x14ac:dyDescent="0.3">
      <c r="A4095"/>
      <c r="B4095" s="241"/>
      <c r="C4095" s="241"/>
      <c r="D4095" s="241"/>
      <c r="E4095" s="241"/>
      <c r="F4095" s="241"/>
      <c r="G4095" s="241"/>
      <c r="H4095" s="241"/>
      <c r="I4095"/>
      <c r="J4095" s="241"/>
      <c r="K4095" s="241"/>
      <c r="L4095" s="241"/>
      <c r="M4095" s="241"/>
      <c r="N4095" s="241"/>
      <c r="O4095" s="241"/>
      <c r="P4095" s="241"/>
      <c r="Q4095" s="241"/>
    </row>
    <row r="4096" spans="1:17" ht="13.5" customHeight="1" x14ac:dyDescent="0.3">
      <c r="A4096"/>
      <c r="B4096" s="241"/>
      <c r="C4096" s="241"/>
      <c r="D4096" s="241"/>
      <c r="E4096" s="241"/>
      <c r="F4096" s="241"/>
      <c r="G4096" s="241"/>
      <c r="H4096" s="241"/>
      <c r="I4096"/>
      <c r="J4096" s="241"/>
      <c r="K4096" s="241"/>
      <c r="L4096" s="241"/>
      <c r="M4096" s="241"/>
      <c r="N4096" s="241"/>
      <c r="O4096" s="241"/>
      <c r="P4096" s="241"/>
      <c r="Q4096" s="241"/>
    </row>
    <row r="4097" spans="1:17" ht="13.5" customHeight="1" x14ac:dyDescent="0.3">
      <c r="A4097"/>
      <c r="B4097" s="241"/>
      <c r="C4097" s="241"/>
      <c r="D4097" s="241"/>
      <c r="E4097" s="241"/>
      <c r="F4097" s="241"/>
      <c r="G4097" s="241"/>
      <c r="H4097" s="241"/>
      <c r="I4097"/>
      <c r="J4097" s="241"/>
      <c r="K4097" s="241"/>
      <c r="L4097" s="241"/>
      <c r="M4097" s="241"/>
      <c r="N4097" s="241"/>
      <c r="O4097" s="241"/>
      <c r="P4097" s="241"/>
      <c r="Q4097" s="241"/>
    </row>
    <row r="4098" spans="1:17" ht="13.5" customHeight="1" x14ac:dyDescent="0.3">
      <c r="A4098"/>
      <c r="B4098" s="241"/>
      <c r="C4098" s="241"/>
      <c r="D4098" s="241"/>
      <c r="E4098" s="241"/>
      <c r="F4098" s="241"/>
      <c r="G4098" s="241"/>
      <c r="H4098" s="241"/>
      <c r="I4098"/>
      <c r="J4098" s="241"/>
      <c r="K4098" s="241"/>
      <c r="L4098" s="241"/>
      <c r="M4098" s="241"/>
      <c r="N4098" s="241"/>
      <c r="O4098" s="241"/>
      <c r="P4098" s="241"/>
      <c r="Q4098" s="241"/>
    </row>
    <row r="4099" spans="1:17" ht="13.5" customHeight="1" x14ac:dyDescent="0.3">
      <c r="A4099"/>
      <c r="B4099" s="241"/>
      <c r="C4099" s="241"/>
      <c r="D4099" s="241"/>
      <c r="E4099" s="241"/>
      <c r="F4099" s="241"/>
      <c r="G4099" s="241"/>
      <c r="H4099" s="241"/>
      <c r="I4099"/>
      <c r="J4099" s="241"/>
      <c r="K4099" s="241"/>
      <c r="L4099" s="241"/>
      <c r="M4099" s="241"/>
      <c r="N4099" s="241"/>
      <c r="O4099" s="241"/>
      <c r="P4099" s="241"/>
      <c r="Q4099" s="241"/>
    </row>
    <row r="4100" spans="1:17" ht="13.5" customHeight="1" x14ac:dyDescent="0.3">
      <c r="A4100"/>
      <c r="B4100" s="241"/>
      <c r="C4100" s="241"/>
      <c r="D4100" s="241"/>
      <c r="E4100" s="241"/>
      <c r="F4100" s="241"/>
      <c r="G4100" s="241"/>
      <c r="H4100" s="241"/>
      <c r="I4100"/>
      <c r="J4100" s="241"/>
      <c r="K4100" s="241"/>
      <c r="L4100" s="241"/>
      <c r="M4100" s="241"/>
      <c r="N4100" s="241"/>
      <c r="O4100" s="241"/>
      <c r="P4100" s="241"/>
      <c r="Q4100" s="241"/>
    </row>
    <row r="4101" spans="1:17" ht="13.5" customHeight="1" x14ac:dyDescent="0.3">
      <c r="A4101"/>
      <c r="B4101" s="241"/>
      <c r="C4101" s="241"/>
      <c r="D4101" s="241"/>
      <c r="E4101" s="241"/>
      <c r="F4101" s="241"/>
      <c r="G4101" s="241"/>
      <c r="H4101" s="241"/>
      <c r="I4101"/>
      <c r="J4101" s="241"/>
      <c r="K4101" s="241"/>
      <c r="L4101" s="241"/>
      <c r="M4101" s="241"/>
      <c r="N4101" s="241"/>
      <c r="O4101" s="241"/>
      <c r="P4101" s="241"/>
      <c r="Q4101" s="241"/>
    </row>
    <row r="4102" spans="1:17" ht="13.5" customHeight="1" x14ac:dyDescent="0.3">
      <c r="A4102"/>
      <c r="B4102" s="241"/>
      <c r="C4102" s="241"/>
      <c r="D4102" s="241"/>
      <c r="E4102" s="241"/>
      <c r="F4102" s="241"/>
      <c r="G4102" s="241"/>
      <c r="H4102" s="241"/>
      <c r="I4102"/>
      <c r="J4102" s="241"/>
      <c r="K4102" s="241"/>
      <c r="L4102" s="241"/>
      <c r="M4102" s="241"/>
      <c r="N4102" s="241"/>
      <c r="O4102" s="241"/>
      <c r="P4102" s="241"/>
      <c r="Q4102" s="241"/>
    </row>
    <row r="4103" spans="1:17" ht="13.5" customHeight="1" x14ac:dyDescent="0.3">
      <c r="A4103"/>
      <c r="B4103" s="241"/>
      <c r="C4103" s="241"/>
      <c r="D4103" s="241"/>
      <c r="E4103" s="241"/>
      <c r="F4103" s="241"/>
      <c r="G4103" s="241"/>
      <c r="H4103" s="241"/>
      <c r="I4103"/>
      <c r="J4103" s="241"/>
      <c r="K4103" s="241"/>
      <c r="L4103" s="241"/>
      <c r="M4103" s="241"/>
      <c r="N4103" s="241"/>
      <c r="O4103" s="241"/>
      <c r="P4103" s="241"/>
      <c r="Q4103" s="241"/>
    </row>
    <row r="4104" spans="1:17" ht="13.5" customHeight="1" x14ac:dyDescent="0.3">
      <c r="A4104"/>
      <c r="B4104" s="241"/>
      <c r="C4104" s="241"/>
      <c r="D4104" s="241"/>
      <c r="E4104" s="241"/>
      <c r="F4104" s="241"/>
      <c r="G4104" s="241"/>
      <c r="H4104" s="241"/>
      <c r="I4104"/>
      <c r="J4104" s="241"/>
      <c r="K4104" s="241"/>
      <c r="L4104" s="241"/>
      <c r="M4104" s="241"/>
      <c r="N4104" s="241"/>
      <c r="O4104" s="241"/>
      <c r="P4104" s="241"/>
      <c r="Q4104" s="241"/>
    </row>
    <row r="4105" spans="1:17" ht="13.5" customHeight="1" x14ac:dyDescent="0.3">
      <c r="A4105"/>
      <c r="B4105" s="241"/>
      <c r="C4105" s="241"/>
      <c r="D4105" s="241"/>
      <c r="E4105" s="241"/>
      <c r="F4105" s="241"/>
      <c r="G4105" s="241"/>
      <c r="H4105" s="241"/>
      <c r="I4105"/>
      <c r="J4105" s="241"/>
      <c r="K4105" s="241"/>
      <c r="L4105" s="241"/>
      <c r="M4105" s="241"/>
      <c r="N4105" s="241"/>
      <c r="O4105" s="241"/>
      <c r="P4105" s="241"/>
      <c r="Q4105" s="241"/>
    </row>
    <row r="4106" spans="1:17" ht="13.5" customHeight="1" x14ac:dyDescent="0.3">
      <c r="A4106"/>
      <c r="B4106" s="241"/>
      <c r="C4106" s="241"/>
      <c r="D4106" s="241"/>
      <c r="E4106" s="241"/>
      <c r="F4106" s="241"/>
      <c r="G4106" s="241"/>
      <c r="H4106" s="241"/>
      <c r="I4106"/>
      <c r="J4106" s="241"/>
      <c r="K4106" s="241"/>
      <c r="L4106" s="241"/>
      <c r="M4106" s="241"/>
      <c r="N4106" s="241"/>
      <c r="O4106" s="241"/>
      <c r="P4106" s="241"/>
      <c r="Q4106" s="241"/>
    </row>
    <row r="4107" spans="1:17" ht="13.5" customHeight="1" x14ac:dyDescent="0.3">
      <c r="A4107"/>
      <c r="B4107" s="241"/>
      <c r="C4107" s="241"/>
      <c r="D4107" s="241"/>
      <c r="E4107" s="241"/>
      <c r="F4107" s="241"/>
      <c r="G4107" s="241"/>
      <c r="H4107" s="241"/>
      <c r="I4107"/>
      <c r="J4107" s="241"/>
      <c r="K4107" s="241"/>
      <c r="L4107" s="241"/>
      <c r="M4107" s="241"/>
      <c r="N4107" s="241"/>
      <c r="O4107" s="241"/>
      <c r="P4107" s="241"/>
      <c r="Q4107" s="241"/>
    </row>
    <row r="4108" spans="1:17" ht="13.5" customHeight="1" x14ac:dyDescent="0.3">
      <c r="A4108"/>
      <c r="B4108" s="241"/>
      <c r="C4108" s="241"/>
      <c r="D4108" s="241"/>
      <c r="E4108" s="241"/>
      <c r="F4108" s="241"/>
      <c r="G4108" s="241"/>
      <c r="H4108" s="241"/>
      <c r="I4108"/>
      <c r="J4108" s="241"/>
      <c r="K4108" s="241"/>
      <c r="L4108" s="241"/>
      <c r="M4108" s="241"/>
      <c r="N4108" s="241"/>
      <c r="O4108" s="241"/>
      <c r="P4108" s="241"/>
      <c r="Q4108" s="241"/>
    </row>
    <row r="4109" spans="1:17" ht="13.5" customHeight="1" x14ac:dyDescent="0.3">
      <c r="A4109"/>
      <c r="B4109" s="241"/>
      <c r="C4109" s="241"/>
      <c r="D4109" s="241"/>
      <c r="E4109" s="241"/>
      <c r="F4109" s="241"/>
      <c r="G4109" s="241"/>
      <c r="H4109" s="241"/>
      <c r="I4109"/>
      <c r="J4109" s="241"/>
      <c r="K4109" s="241"/>
      <c r="L4109" s="241"/>
      <c r="M4109" s="241"/>
      <c r="N4109" s="241"/>
      <c r="O4109" s="241"/>
      <c r="P4109" s="241"/>
      <c r="Q4109" s="241"/>
    </row>
    <row r="4110" spans="1:17" ht="13.5" customHeight="1" x14ac:dyDescent="0.3">
      <c r="A4110"/>
      <c r="B4110" s="241"/>
      <c r="C4110" s="241"/>
      <c r="D4110" s="241"/>
      <c r="E4110" s="241"/>
      <c r="F4110" s="241"/>
      <c r="G4110" s="241"/>
      <c r="H4110" s="241"/>
      <c r="I4110"/>
      <c r="J4110" s="241"/>
      <c r="K4110" s="241"/>
      <c r="L4110" s="241"/>
      <c r="M4110" s="241"/>
      <c r="N4110" s="241"/>
      <c r="O4110" s="241"/>
      <c r="P4110" s="241"/>
      <c r="Q4110" s="241"/>
    </row>
    <row r="4111" spans="1:17" ht="13.5" customHeight="1" x14ac:dyDescent="0.3">
      <c r="A4111"/>
      <c r="B4111" s="241"/>
      <c r="C4111" s="241"/>
      <c r="D4111" s="241"/>
      <c r="E4111" s="241"/>
      <c r="F4111" s="241"/>
      <c r="G4111" s="241"/>
      <c r="H4111" s="241"/>
      <c r="I4111"/>
      <c r="J4111" s="241"/>
      <c r="K4111" s="241"/>
      <c r="L4111" s="241"/>
      <c r="M4111" s="241"/>
      <c r="N4111" s="241"/>
      <c r="O4111" s="241"/>
      <c r="P4111" s="241"/>
      <c r="Q4111" s="241"/>
    </row>
    <row r="4112" spans="1:17" ht="13.5" customHeight="1" x14ac:dyDescent="0.3">
      <c r="A4112"/>
      <c r="B4112" s="241"/>
      <c r="C4112" s="241"/>
      <c r="D4112" s="241"/>
      <c r="E4112" s="241"/>
      <c r="F4112" s="241"/>
      <c r="G4112" s="241"/>
      <c r="H4112" s="241"/>
      <c r="I4112"/>
      <c r="J4112" s="241"/>
      <c r="K4112" s="241"/>
      <c r="L4112" s="241"/>
      <c r="M4112" s="241"/>
      <c r="N4112" s="241"/>
      <c r="O4112" s="241"/>
      <c r="P4112" s="241"/>
      <c r="Q4112" s="241"/>
    </row>
    <row r="4113" spans="1:17" ht="13.5" customHeight="1" x14ac:dyDescent="0.3">
      <c r="A4113"/>
      <c r="B4113" s="241"/>
      <c r="C4113" s="241"/>
      <c r="D4113" s="241"/>
      <c r="E4113" s="241"/>
      <c r="F4113" s="241"/>
      <c r="G4113" s="241"/>
      <c r="H4113" s="241"/>
      <c r="I4113"/>
      <c r="J4113" s="241"/>
      <c r="K4113" s="241"/>
      <c r="L4113" s="241"/>
      <c r="M4113" s="241"/>
      <c r="N4113" s="241"/>
      <c r="O4113" s="241"/>
      <c r="P4113" s="241"/>
      <c r="Q4113" s="241"/>
    </row>
    <row r="4114" spans="1:17" ht="13.5" customHeight="1" x14ac:dyDescent="0.3">
      <c r="A4114"/>
      <c r="B4114" s="241"/>
      <c r="C4114" s="241"/>
      <c r="D4114" s="241"/>
      <c r="E4114" s="241"/>
      <c r="F4114" s="241"/>
      <c r="G4114" s="241"/>
      <c r="H4114" s="241"/>
      <c r="I4114"/>
      <c r="J4114" s="241"/>
      <c r="K4114" s="241"/>
      <c r="L4114" s="241"/>
      <c r="M4114" s="241"/>
      <c r="N4114" s="241"/>
      <c r="O4114" s="241"/>
      <c r="P4114" s="241"/>
      <c r="Q4114" s="241"/>
    </row>
    <row r="4115" spans="1:17" ht="13.5" customHeight="1" x14ac:dyDescent="0.3">
      <c r="A4115"/>
      <c r="B4115" s="241"/>
      <c r="C4115" s="241"/>
      <c r="D4115" s="241"/>
      <c r="E4115" s="241"/>
      <c r="F4115" s="241"/>
      <c r="G4115" s="241"/>
      <c r="H4115" s="241"/>
      <c r="I4115"/>
      <c r="J4115" s="241"/>
      <c r="K4115" s="241"/>
      <c r="L4115" s="241"/>
      <c r="M4115" s="241"/>
      <c r="N4115" s="241"/>
      <c r="O4115" s="241"/>
      <c r="P4115" s="241"/>
      <c r="Q4115" s="241"/>
    </row>
    <row r="4116" spans="1:17" ht="13.5" customHeight="1" x14ac:dyDescent="0.3">
      <c r="A4116"/>
      <c r="B4116" s="241"/>
      <c r="C4116" s="241"/>
      <c r="D4116" s="241"/>
      <c r="E4116" s="241"/>
      <c r="F4116" s="241"/>
      <c r="G4116" s="241"/>
      <c r="H4116" s="241"/>
      <c r="I4116"/>
      <c r="J4116" s="241"/>
      <c r="K4116" s="241"/>
      <c r="L4116" s="241"/>
      <c r="M4116" s="241"/>
      <c r="N4116" s="241"/>
      <c r="O4116" s="241"/>
      <c r="P4116" s="241"/>
      <c r="Q4116" s="241"/>
    </row>
    <row r="4117" spans="1:17" ht="13.5" customHeight="1" x14ac:dyDescent="0.3">
      <c r="A4117"/>
      <c r="B4117" s="241"/>
      <c r="C4117" s="241"/>
      <c r="D4117" s="241"/>
      <c r="E4117" s="241"/>
      <c r="F4117" s="241"/>
      <c r="G4117" s="241"/>
      <c r="H4117" s="241"/>
      <c r="I4117"/>
      <c r="J4117" s="241"/>
      <c r="K4117" s="241"/>
      <c r="L4117" s="241"/>
      <c r="M4117" s="241"/>
      <c r="N4117" s="241"/>
      <c r="O4117" s="241"/>
      <c r="P4117" s="241"/>
      <c r="Q4117" s="241"/>
    </row>
    <row r="4118" spans="1:17" ht="13.5" customHeight="1" x14ac:dyDescent="0.3">
      <c r="A4118"/>
      <c r="B4118" s="241"/>
      <c r="C4118" s="241"/>
      <c r="D4118" s="241"/>
      <c r="E4118" s="241"/>
      <c r="F4118" s="241"/>
      <c r="G4118" s="241"/>
      <c r="H4118" s="241"/>
      <c r="I4118"/>
      <c r="J4118" s="241"/>
      <c r="K4118" s="241"/>
      <c r="L4118" s="241"/>
      <c r="M4118" s="241"/>
      <c r="N4118" s="241"/>
      <c r="O4118" s="241"/>
      <c r="P4118" s="241"/>
      <c r="Q4118" s="241"/>
    </row>
    <row r="4119" spans="1:17" ht="13.5" customHeight="1" x14ac:dyDescent="0.3">
      <c r="A4119"/>
      <c r="B4119" s="241"/>
      <c r="C4119" s="241"/>
      <c r="D4119" s="241"/>
      <c r="E4119" s="241"/>
      <c r="F4119" s="241"/>
      <c r="G4119" s="241"/>
      <c r="H4119" s="241"/>
      <c r="I4119"/>
      <c r="J4119" s="241"/>
      <c r="K4119" s="241"/>
      <c r="L4119" s="241"/>
      <c r="M4119" s="241"/>
      <c r="N4119" s="241"/>
      <c r="O4119" s="241"/>
      <c r="P4119" s="241"/>
      <c r="Q4119" s="241"/>
    </row>
    <row r="4120" spans="1:17" ht="13.5" customHeight="1" x14ac:dyDescent="0.3">
      <c r="A4120"/>
      <c r="B4120" s="241"/>
      <c r="C4120" s="241"/>
      <c r="D4120" s="241"/>
      <c r="E4120" s="241"/>
      <c r="F4120" s="241"/>
      <c r="G4120" s="241"/>
      <c r="H4120" s="241"/>
      <c r="I4120"/>
      <c r="J4120" s="241"/>
      <c r="K4120" s="241"/>
      <c r="L4120" s="241"/>
      <c r="M4120" s="241"/>
      <c r="N4120" s="241"/>
      <c r="O4120" s="241"/>
      <c r="P4120" s="241"/>
      <c r="Q4120" s="241"/>
    </row>
    <row r="4121" spans="1:17" ht="13.5" customHeight="1" x14ac:dyDescent="0.3">
      <c r="A4121"/>
      <c r="B4121" s="241"/>
      <c r="C4121" s="241"/>
      <c r="D4121" s="241"/>
      <c r="E4121" s="241"/>
      <c r="F4121" s="241"/>
      <c r="G4121" s="241"/>
      <c r="H4121" s="241"/>
      <c r="I4121"/>
      <c r="J4121" s="241"/>
      <c r="K4121" s="241"/>
      <c r="L4121" s="241"/>
      <c r="M4121" s="241"/>
      <c r="N4121" s="241"/>
      <c r="O4121" s="241"/>
      <c r="P4121" s="241"/>
      <c r="Q4121" s="241"/>
    </row>
    <row r="4122" spans="1:17" ht="13.5" customHeight="1" x14ac:dyDescent="0.3">
      <c r="A4122"/>
      <c r="B4122" s="241"/>
      <c r="C4122" s="241"/>
      <c r="D4122" s="241"/>
      <c r="E4122" s="241"/>
      <c r="F4122" s="241"/>
      <c r="G4122" s="241"/>
      <c r="H4122" s="241"/>
      <c r="I4122"/>
      <c r="J4122" s="241"/>
      <c r="K4122" s="241"/>
      <c r="L4122" s="241"/>
      <c r="M4122" s="241"/>
      <c r="N4122" s="241"/>
      <c r="O4122" s="241"/>
      <c r="P4122" s="241"/>
      <c r="Q4122" s="241"/>
    </row>
    <row r="4123" spans="1:17" ht="13.5" customHeight="1" x14ac:dyDescent="0.3">
      <c r="A4123"/>
      <c r="B4123" s="241"/>
      <c r="C4123" s="241"/>
      <c r="D4123" s="241"/>
      <c r="E4123" s="241"/>
      <c r="F4123" s="241"/>
      <c r="G4123" s="241"/>
      <c r="H4123" s="241"/>
      <c r="I4123"/>
      <c r="J4123" s="241"/>
      <c r="K4123" s="241"/>
      <c r="L4123" s="241"/>
      <c r="M4123" s="241"/>
      <c r="N4123" s="241"/>
      <c r="O4123" s="241"/>
      <c r="P4123" s="241"/>
      <c r="Q4123" s="241"/>
    </row>
    <row r="4124" spans="1:17" ht="13.5" customHeight="1" x14ac:dyDescent="0.3">
      <c r="A4124"/>
      <c r="B4124" s="241"/>
      <c r="C4124" s="241"/>
      <c r="D4124" s="241"/>
      <c r="E4124" s="241"/>
      <c r="F4124" s="241"/>
      <c r="G4124" s="241"/>
      <c r="H4124" s="241"/>
      <c r="I4124"/>
      <c r="J4124" s="241"/>
      <c r="K4124" s="241"/>
      <c r="L4124" s="241"/>
      <c r="M4124" s="241"/>
      <c r="N4124" s="241"/>
      <c r="O4124" s="241"/>
      <c r="P4124" s="241"/>
      <c r="Q4124" s="241"/>
    </row>
    <row r="4125" spans="1:17" ht="13.5" customHeight="1" x14ac:dyDescent="0.3">
      <c r="A4125"/>
      <c r="B4125" s="241"/>
      <c r="C4125" s="241"/>
      <c r="D4125" s="241"/>
      <c r="E4125" s="241"/>
      <c r="F4125" s="241"/>
      <c r="G4125" s="241"/>
      <c r="H4125" s="241"/>
      <c r="I4125"/>
      <c r="J4125" s="241"/>
      <c r="K4125" s="241"/>
      <c r="L4125" s="241"/>
      <c r="M4125" s="241"/>
      <c r="N4125" s="241"/>
      <c r="O4125" s="241"/>
      <c r="P4125" s="241"/>
      <c r="Q4125" s="241"/>
    </row>
    <row r="4126" spans="1:17" ht="13.5" customHeight="1" x14ac:dyDescent="0.3">
      <c r="A4126"/>
      <c r="B4126" s="241"/>
      <c r="C4126" s="241"/>
      <c r="D4126" s="241"/>
      <c r="E4126" s="241"/>
      <c r="F4126" s="241"/>
      <c r="G4126" s="241"/>
      <c r="H4126" s="241"/>
      <c r="I4126"/>
      <c r="J4126" s="241"/>
      <c r="K4126" s="241"/>
      <c r="L4126" s="241"/>
      <c r="M4126" s="241"/>
      <c r="N4126" s="241"/>
      <c r="O4126" s="241"/>
      <c r="P4126" s="241"/>
      <c r="Q4126" s="241"/>
    </row>
    <row r="4127" spans="1:17" ht="13.5" customHeight="1" x14ac:dyDescent="0.3">
      <c r="A4127"/>
      <c r="B4127" s="241"/>
      <c r="C4127" s="241"/>
      <c r="D4127" s="241"/>
      <c r="E4127" s="241"/>
      <c r="F4127" s="241"/>
      <c r="G4127" s="241"/>
      <c r="H4127" s="241"/>
      <c r="I4127"/>
      <c r="J4127" s="241"/>
      <c r="K4127" s="241"/>
      <c r="L4127" s="241"/>
      <c r="M4127" s="241"/>
      <c r="N4127" s="241"/>
      <c r="O4127" s="241"/>
      <c r="P4127" s="241"/>
      <c r="Q4127" s="241"/>
    </row>
    <row r="4128" spans="1:17" ht="13.5" customHeight="1" x14ac:dyDescent="0.3">
      <c r="A4128"/>
      <c r="B4128" s="241"/>
      <c r="C4128" s="241"/>
      <c r="D4128" s="241"/>
      <c r="E4128" s="241"/>
      <c r="F4128" s="241"/>
      <c r="G4128" s="241"/>
      <c r="H4128" s="241"/>
      <c r="I4128"/>
      <c r="J4128" s="241"/>
      <c r="K4128" s="241"/>
      <c r="L4128" s="241"/>
      <c r="M4128" s="241"/>
      <c r="N4128" s="241"/>
      <c r="O4128" s="241"/>
      <c r="P4128" s="241"/>
      <c r="Q4128" s="241"/>
    </row>
    <row r="4129" spans="1:17" ht="13.5" customHeight="1" x14ac:dyDescent="0.3">
      <c r="A4129"/>
      <c r="B4129" s="241"/>
      <c r="C4129" s="241"/>
      <c r="D4129" s="241"/>
      <c r="E4129" s="241"/>
      <c r="F4129" s="241"/>
      <c r="G4129" s="241"/>
      <c r="H4129" s="241"/>
      <c r="I4129"/>
      <c r="J4129" s="241"/>
      <c r="K4129" s="241"/>
      <c r="L4129" s="241"/>
      <c r="M4129" s="241"/>
      <c r="N4129" s="241"/>
      <c r="O4129" s="241"/>
      <c r="P4129" s="241"/>
      <c r="Q4129" s="241"/>
    </row>
    <row r="4130" spans="1:17" ht="13.5" customHeight="1" x14ac:dyDescent="0.3">
      <c r="A4130"/>
      <c r="B4130" s="241"/>
      <c r="C4130" s="241"/>
      <c r="D4130" s="241"/>
      <c r="E4130" s="241"/>
      <c r="F4130" s="241"/>
      <c r="G4130" s="241"/>
      <c r="H4130" s="241"/>
      <c r="I4130"/>
      <c r="J4130" s="241"/>
      <c r="K4130" s="241"/>
      <c r="L4130" s="241"/>
      <c r="M4130" s="241"/>
      <c r="N4130" s="241"/>
      <c r="O4130" s="241"/>
      <c r="P4130" s="241"/>
      <c r="Q4130" s="241"/>
    </row>
    <row r="4131" spans="1:17" ht="13.5" customHeight="1" x14ac:dyDescent="0.3">
      <c r="A4131"/>
      <c r="B4131" s="241"/>
      <c r="C4131" s="241"/>
      <c r="D4131" s="241"/>
      <c r="E4131" s="241"/>
      <c r="F4131" s="241"/>
      <c r="G4131" s="241"/>
      <c r="H4131" s="241"/>
      <c r="I4131"/>
      <c r="J4131" s="241"/>
      <c r="K4131" s="241"/>
      <c r="L4131" s="241"/>
      <c r="M4131" s="241"/>
      <c r="N4131" s="241"/>
      <c r="O4131" s="241"/>
      <c r="P4131" s="241"/>
      <c r="Q4131" s="241"/>
    </row>
    <row r="4132" spans="1:17" ht="13.5" customHeight="1" x14ac:dyDescent="0.3">
      <c r="A4132"/>
      <c r="B4132" s="241"/>
      <c r="C4132" s="241"/>
      <c r="D4132" s="241"/>
      <c r="E4132" s="241"/>
      <c r="F4132" s="241"/>
      <c r="G4132" s="241"/>
      <c r="H4132" s="241"/>
      <c r="I4132"/>
      <c r="J4132" s="241"/>
      <c r="K4132" s="241"/>
      <c r="L4132" s="241"/>
      <c r="M4132" s="241"/>
      <c r="N4132" s="241"/>
      <c r="O4132" s="241"/>
      <c r="P4132" s="241"/>
      <c r="Q4132" s="241"/>
    </row>
    <row r="4133" spans="1:17" ht="13.5" customHeight="1" x14ac:dyDescent="0.3">
      <c r="A4133"/>
      <c r="B4133" s="241"/>
      <c r="C4133" s="241"/>
      <c r="D4133" s="241"/>
      <c r="E4133" s="241"/>
      <c r="F4133" s="241"/>
      <c r="G4133" s="241"/>
      <c r="H4133" s="241"/>
      <c r="I4133"/>
      <c r="J4133" s="241"/>
      <c r="K4133" s="241"/>
      <c r="L4133" s="241"/>
      <c r="M4133" s="241"/>
      <c r="N4133" s="241"/>
      <c r="O4133" s="241"/>
      <c r="P4133" s="241"/>
      <c r="Q4133" s="241"/>
    </row>
    <row r="4134" spans="1:17" ht="13.5" customHeight="1" x14ac:dyDescent="0.3">
      <c r="A4134"/>
      <c r="B4134" s="241"/>
      <c r="C4134" s="241"/>
      <c r="D4134" s="241"/>
      <c r="E4134" s="241"/>
      <c r="F4134" s="241"/>
      <c r="G4134" s="241"/>
      <c r="H4134" s="241"/>
      <c r="I4134"/>
      <c r="J4134" s="241"/>
      <c r="K4134" s="241"/>
      <c r="L4134" s="241"/>
      <c r="M4134" s="241"/>
      <c r="N4134" s="241"/>
      <c r="O4134" s="241"/>
      <c r="P4134" s="241"/>
      <c r="Q4134" s="241"/>
    </row>
    <row r="4135" spans="1:17" ht="13.5" customHeight="1" x14ac:dyDescent="0.3">
      <c r="A4135"/>
      <c r="B4135" s="241"/>
      <c r="C4135" s="241"/>
      <c r="D4135" s="241"/>
      <c r="E4135" s="241"/>
      <c r="F4135" s="241"/>
      <c r="G4135" s="241"/>
      <c r="H4135" s="241"/>
      <c r="I4135"/>
      <c r="J4135" s="241"/>
      <c r="K4135" s="241"/>
      <c r="L4135" s="241"/>
      <c r="M4135" s="241"/>
      <c r="N4135" s="241"/>
      <c r="O4135" s="241"/>
      <c r="P4135" s="241"/>
      <c r="Q4135" s="241"/>
    </row>
    <row r="4136" spans="1:17" ht="13.5" customHeight="1" x14ac:dyDescent="0.3">
      <c r="A4136"/>
      <c r="B4136" s="241"/>
      <c r="C4136" s="241"/>
      <c r="D4136" s="241"/>
      <c r="E4136" s="241"/>
      <c r="F4136" s="241"/>
      <c r="G4136" s="241"/>
      <c r="H4136" s="241"/>
      <c r="I4136"/>
      <c r="J4136" s="241"/>
      <c r="K4136" s="241"/>
      <c r="L4136" s="241"/>
      <c r="M4136" s="241"/>
      <c r="N4136" s="241"/>
      <c r="O4136" s="241"/>
      <c r="P4136" s="241"/>
      <c r="Q4136" s="241"/>
    </row>
    <row r="4137" spans="1:17" ht="13.5" customHeight="1" x14ac:dyDescent="0.3">
      <c r="A4137"/>
      <c r="B4137" s="241"/>
      <c r="C4137" s="241"/>
      <c r="D4137" s="241"/>
      <c r="E4137" s="241"/>
      <c r="F4137" s="241"/>
      <c r="G4137" s="241"/>
      <c r="H4137" s="241"/>
      <c r="I4137"/>
      <c r="J4137" s="241"/>
      <c r="K4137" s="241"/>
      <c r="L4137" s="241"/>
      <c r="M4137" s="241"/>
      <c r="N4137" s="241"/>
      <c r="O4137" s="241"/>
      <c r="P4137" s="241"/>
      <c r="Q4137" s="241"/>
    </row>
    <row r="4138" spans="1:17" ht="13.5" customHeight="1" x14ac:dyDescent="0.3">
      <c r="A4138"/>
      <c r="B4138" s="241"/>
      <c r="C4138" s="241"/>
      <c r="D4138" s="241"/>
      <c r="E4138" s="241"/>
      <c r="F4138" s="241"/>
      <c r="G4138" s="241"/>
      <c r="H4138" s="241"/>
      <c r="I4138"/>
      <c r="J4138" s="241"/>
      <c r="K4138" s="241"/>
      <c r="L4138" s="241"/>
      <c r="M4138" s="241"/>
      <c r="N4138" s="241"/>
      <c r="O4138" s="241"/>
      <c r="P4138" s="241"/>
      <c r="Q4138" s="241"/>
    </row>
    <row r="4139" spans="1:17" ht="13.5" customHeight="1" x14ac:dyDescent="0.3">
      <c r="A4139"/>
      <c r="B4139" s="241"/>
      <c r="C4139" s="241"/>
      <c r="D4139" s="241"/>
      <c r="E4139" s="241"/>
      <c r="F4139" s="241"/>
      <c r="G4139" s="241"/>
      <c r="H4139" s="241"/>
      <c r="I4139"/>
      <c r="J4139" s="241"/>
      <c r="K4139" s="241"/>
      <c r="L4139" s="241"/>
      <c r="M4139" s="241"/>
      <c r="N4139" s="241"/>
      <c r="O4139" s="241"/>
      <c r="P4139" s="241"/>
      <c r="Q4139" s="241"/>
    </row>
    <row r="4140" spans="1:17" ht="13.5" customHeight="1" x14ac:dyDescent="0.3">
      <c r="A4140"/>
      <c r="B4140" s="241"/>
      <c r="C4140" s="241"/>
      <c r="D4140" s="241"/>
      <c r="E4140" s="241"/>
      <c r="F4140" s="241"/>
      <c r="G4140" s="241"/>
      <c r="H4140" s="241"/>
      <c r="I4140"/>
      <c r="J4140" s="241"/>
      <c r="K4140" s="241"/>
      <c r="L4140" s="241"/>
      <c r="M4140" s="241"/>
      <c r="N4140" s="241"/>
      <c r="O4140" s="241"/>
      <c r="P4140" s="241"/>
      <c r="Q4140" s="241"/>
    </row>
    <row r="4141" spans="1:17" ht="13.5" customHeight="1" x14ac:dyDescent="0.3">
      <c r="A4141"/>
      <c r="B4141" s="241"/>
      <c r="C4141" s="241"/>
      <c r="D4141" s="241"/>
      <c r="E4141" s="241"/>
      <c r="F4141" s="241"/>
      <c r="G4141" s="241"/>
      <c r="H4141" s="241"/>
      <c r="I4141"/>
      <c r="J4141" s="241"/>
      <c r="K4141" s="241"/>
      <c r="L4141" s="241"/>
      <c r="M4141" s="241"/>
      <c r="N4141" s="241"/>
      <c r="O4141" s="241"/>
      <c r="P4141" s="241"/>
      <c r="Q4141" s="241"/>
    </row>
    <row r="4142" spans="1:17" ht="13.5" customHeight="1" x14ac:dyDescent="0.3">
      <c r="A4142"/>
      <c r="B4142" s="241"/>
      <c r="C4142" s="241"/>
      <c r="D4142" s="241"/>
      <c r="E4142" s="241"/>
      <c r="F4142" s="241"/>
      <c r="G4142" s="241"/>
      <c r="H4142" s="241"/>
      <c r="I4142"/>
      <c r="J4142" s="241"/>
      <c r="K4142" s="241"/>
      <c r="L4142" s="241"/>
      <c r="M4142" s="241"/>
      <c r="N4142" s="241"/>
      <c r="O4142" s="241"/>
      <c r="P4142" s="241"/>
      <c r="Q4142" s="241"/>
    </row>
    <row r="4143" spans="1:17" ht="13.5" customHeight="1" x14ac:dyDescent="0.3">
      <c r="A4143"/>
      <c r="B4143" s="241"/>
      <c r="C4143" s="241"/>
      <c r="D4143" s="241"/>
      <c r="E4143" s="241"/>
      <c r="F4143" s="241"/>
      <c r="G4143" s="241"/>
      <c r="H4143" s="241"/>
      <c r="I4143"/>
      <c r="J4143" s="241"/>
      <c r="K4143" s="241"/>
      <c r="L4143" s="241"/>
      <c r="M4143" s="241"/>
      <c r="N4143" s="241"/>
      <c r="O4143" s="241"/>
      <c r="P4143" s="241"/>
      <c r="Q4143" s="241"/>
    </row>
    <row r="4144" spans="1:17" ht="13.5" customHeight="1" x14ac:dyDescent="0.3">
      <c r="A4144"/>
      <c r="B4144" s="241"/>
      <c r="C4144" s="241"/>
      <c r="D4144" s="241"/>
      <c r="E4144" s="241"/>
      <c r="F4144" s="241"/>
      <c r="G4144" s="241"/>
      <c r="H4144" s="241"/>
      <c r="I4144"/>
      <c r="J4144" s="241"/>
      <c r="K4144" s="241"/>
      <c r="L4144" s="241"/>
      <c r="M4144" s="241"/>
      <c r="N4144" s="241"/>
      <c r="O4144" s="241"/>
      <c r="P4144" s="241"/>
      <c r="Q4144" s="241"/>
    </row>
    <row r="4145" spans="1:17" ht="13.5" customHeight="1" x14ac:dyDescent="0.3">
      <c r="A4145"/>
      <c r="B4145" s="241"/>
      <c r="C4145" s="241"/>
      <c r="D4145" s="241"/>
      <c r="E4145" s="241"/>
      <c r="F4145" s="241"/>
      <c r="G4145" s="241"/>
      <c r="H4145" s="241"/>
      <c r="I4145"/>
      <c r="J4145" s="241"/>
      <c r="K4145" s="241"/>
      <c r="L4145" s="241"/>
      <c r="M4145" s="241"/>
      <c r="N4145" s="241"/>
      <c r="O4145" s="241"/>
      <c r="P4145" s="241"/>
      <c r="Q4145" s="241"/>
    </row>
    <row r="4146" spans="1:17" ht="13.5" customHeight="1" x14ac:dyDescent="0.3">
      <c r="A4146"/>
      <c r="B4146" s="241"/>
      <c r="C4146" s="241"/>
      <c r="D4146" s="241"/>
      <c r="E4146" s="241"/>
      <c r="F4146" s="241"/>
      <c r="G4146" s="241"/>
      <c r="H4146" s="241"/>
      <c r="I4146"/>
      <c r="J4146" s="241"/>
      <c r="K4146" s="241"/>
      <c r="L4146" s="241"/>
      <c r="M4146" s="241"/>
      <c r="N4146" s="241"/>
      <c r="O4146" s="241"/>
      <c r="P4146" s="241"/>
      <c r="Q4146" s="241"/>
    </row>
    <row r="4147" spans="1:17" ht="13.5" customHeight="1" x14ac:dyDescent="0.3">
      <c r="A4147"/>
      <c r="B4147" s="241"/>
      <c r="C4147" s="241"/>
      <c r="D4147" s="241"/>
      <c r="E4147" s="241"/>
      <c r="F4147" s="241"/>
      <c r="G4147" s="241"/>
      <c r="H4147" s="241"/>
      <c r="I4147"/>
      <c r="J4147" s="241"/>
      <c r="K4147" s="241"/>
      <c r="L4147" s="241"/>
      <c r="M4147" s="241"/>
      <c r="N4147" s="241"/>
      <c r="O4147" s="241"/>
      <c r="P4147" s="241"/>
      <c r="Q4147" s="241"/>
    </row>
    <row r="4148" spans="1:17" ht="13.5" customHeight="1" x14ac:dyDescent="0.3">
      <c r="A4148"/>
      <c r="B4148" s="241"/>
      <c r="C4148" s="241"/>
      <c r="D4148" s="241"/>
      <c r="E4148" s="241"/>
      <c r="F4148" s="241"/>
      <c r="G4148" s="241"/>
      <c r="H4148" s="241"/>
      <c r="I4148"/>
      <c r="J4148" s="241"/>
      <c r="K4148" s="241"/>
      <c r="L4148" s="241"/>
      <c r="M4148" s="241"/>
      <c r="N4148" s="241"/>
      <c r="O4148" s="241"/>
      <c r="P4148" s="241"/>
      <c r="Q4148" s="241"/>
    </row>
    <row r="4149" spans="1:17" ht="13.5" customHeight="1" x14ac:dyDescent="0.3">
      <c r="A4149"/>
      <c r="B4149" s="241"/>
      <c r="C4149" s="241"/>
      <c r="D4149" s="241"/>
      <c r="E4149" s="241"/>
      <c r="F4149" s="241"/>
      <c r="G4149" s="241"/>
      <c r="H4149" s="241"/>
      <c r="I4149"/>
      <c r="J4149" s="241"/>
      <c r="K4149" s="241"/>
      <c r="L4149" s="241"/>
      <c r="M4149" s="241"/>
      <c r="N4149" s="241"/>
      <c r="O4149" s="241"/>
      <c r="P4149" s="241"/>
      <c r="Q4149" s="241"/>
    </row>
    <row r="4150" spans="1:17" ht="13.5" customHeight="1" x14ac:dyDescent="0.3">
      <c r="A4150"/>
      <c r="B4150" s="241"/>
      <c r="C4150" s="241"/>
      <c r="D4150" s="241"/>
      <c r="E4150" s="241"/>
      <c r="F4150" s="241"/>
      <c r="G4150" s="241"/>
      <c r="H4150" s="241"/>
      <c r="I4150"/>
      <c r="J4150" s="241"/>
      <c r="K4150" s="241"/>
      <c r="L4150" s="241"/>
      <c r="M4150" s="241"/>
      <c r="N4150" s="241"/>
      <c r="O4150" s="241"/>
      <c r="P4150" s="241"/>
      <c r="Q4150" s="241"/>
    </row>
    <row r="4151" spans="1:17" ht="13.5" customHeight="1" x14ac:dyDescent="0.3">
      <c r="A4151"/>
      <c r="B4151" s="241"/>
      <c r="C4151" s="241"/>
      <c r="D4151" s="241"/>
      <c r="E4151" s="241"/>
      <c r="F4151" s="241"/>
      <c r="G4151" s="241"/>
      <c r="H4151" s="241"/>
      <c r="I4151"/>
      <c r="J4151" s="241"/>
      <c r="K4151" s="241"/>
      <c r="L4151" s="241"/>
      <c r="M4151" s="241"/>
      <c r="N4151" s="241"/>
      <c r="O4151" s="241"/>
      <c r="P4151" s="241"/>
      <c r="Q4151" s="241"/>
    </row>
    <row r="4152" spans="1:17" ht="13.5" customHeight="1" x14ac:dyDescent="0.3">
      <c r="A4152"/>
      <c r="B4152" s="241"/>
      <c r="C4152" s="241"/>
      <c r="D4152" s="241"/>
      <c r="E4152" s="241"/>
      <c r="F4152" s="241"/>
      <c r="G4152" s="241"/>
      <c r="H4152" s="241"/>
      <c r="I4152"/>
      <c r="J4152" s="241"/>
      <c r="K4152" s="241"/>
      <c r="L4152" s="241"/>
      <c r="M4152" s="241"/>
      <c r="N4152" s="241"/>
      <c r="O4152" s="241"/>
      <c r="P4152" s="241"/>
      <c r="Q4152" s="241"/>
    </row>
    <row r="4153" spans="1:17" ht="13.5" customHeight="1" x14ac:dyDescent="0.3">
      <c r="A4153"/>
      <c r="B4153" s="241"/>
      <c r="C4153" s="241"/>
      <c r="D4153" s="241"/>
      <c r="E4153" s="241"/>
      <c r="F4153" s="241"/>
      <c r="G4153" s="241"/>
      <c r="H4153" s="241"/>
      <c r="I4153"/>
      <c r="J4153" s="241"/>
      <c r="K4153" s="241"/>
      <c r="L4153" s="241"/>
      <c r="M4153" s="241"/>
      <c r="N4153" s="241"/>
      <c r="O4153" s="241"/>
      <c r="P4153" s="241"/>
      <c r="Q4153" s="241"/>
    </row>
    <row r="4154" spans="1:17" ht="13.5" customHeight="1" x14ac:dyDescent="0.3">
      <c r="A4154"/>
      <c r="B4154" s="241"/>
      <c r="C4154" s="241"/>
      <c r="D4154" s="241"/>
      <c r="E4154" s="241"/>
      <c r="F4154" s="241"/>
      <c r="G4154" s="241"/>
      <c r="H4154" s="241"/>
      <c r="I4154"/>
      <c r="J4154" s="241"/>
      <c r="K4154" s="241"/>
      <c r="L4154" s="241"/>
      <c r="M4154" s="241"/>
      <c r="N4154" s="241"/>
      <c r="O4154" s="241"/>
      <c r="P4154" s="241"/>
      <c r="Q4154" s="241"/>
    </row>
    <row r="4155" spans="1:17" ht="13.5" customHeight="1" x14ac:dyDescent="0.3">
      <c r="A4155"/>
      <c r="B4155" s="241"/>
      <c r="C4155" s="241"/>
      <c r="D4155" s="241"/>
      <c r="E4155" s="241"/>
      <c r="F4155" s="241"/>
      <c r="G4155" s="241"/>
      <c r="H4155" s="241"/>
      <c r="I4155"/>
      <c r="J4155" s="241"/>
      <c r="K4155" s="241"/>
      <c r="L4155" s="241"/>
      <c r="M4155" s="241"/>
      <c r="N4155" s="241"/>
      <c r="O4155" s="241"/>
      <c r="P4155" s="241"/>
      <c r="Q4155" s="241"/>
    </row>
    <row r="4156" spans="1:17" ht="13.5" customHeight="1" x14ac:dyDescent="0.3">
      <c r="A4156"/>
      <c r="B4156" s="241"/>
      <c r="C4156" s="241"/>
      <c r="D4156" s="241"/>
      <c r="E4156" s="241"/>
      <c r="F4156" s="241"/>
      <c r="G4156" s="241"/>
      <c r="H4156" s="241"/>
      <c r="I4156"/>
      <c r="J4156" s="241"/>
      <c r="K4156" s="241"/>
      <c r="L4156" s="241"/>
      <c r="M4156" s="241"/>
      <c r="N4156" s="241"/>
      <c r="O4156" s="241"/>
      <c r="P4156" s="241"/>
      <c r="Q4156" s="241"/>
    </row>
    <row r="4157" spans="1:17" ht="13.5" customHeight="1" x14ac:dyDescent="0.3">
      <c r="A4157"/>
      <c r="B4157" s="241"/>
      <c r="C4157" s="241"/>
      <c r="D4157" s="241"/>
      <c r="E4157" s="241"/>
      <c r="F4157" s="241"/>
      <c r="G4157" s="241"/>
      <c r="H4157" s="241"/>
      <c r="I4157"/>
      <c r="J4157" s="241"/>
      <c r="K4157" s="241"/>
      <c r="L4157" s="241"/>
      <c r="M4157" s="241"/>
      <c r="N4157" s="241"/>
      <c r="O4157" s="241"/>
      <c r="P4157" s="241"/>
      <c r="Q4157" s="241"/>
    </row>
    <row r="4158" spans="1:17" ht="13.5" customHeight="1" x14ac:dyDescent="0.3">
      <c r="A4158"/>
      <c r="B4158" s="241"/>
      <c r="C4158" s="241"/>
      <c r="D4158" s="241"/>
      <c r="E4158" s="241"/>
      <c r="F4158" s="241"/>
      <c r="G4158" s="241"/>
      <c r="H4158" s="241"/>
      <c r="I4158"/>
      <c r="J4158" s="241"/>
      <c r="K4158" s="241"/>
      <c r="L4158" s="241"/>
      <c r="M4158" s="241"/>
      <c r="N4158" s="241"/>
      <c r="O4158" s="241"/>
      <c r="P4158" s="241"/>
      <c r="Q4158" s="241"/>
    </row>
    <row r="4159" spans="1:17" ht="13.5" customHeight="1" x14ac:dyDescent="0.3">
      <c r="A4159"/>
      <c r="B4159" s="241"/>
      <c r="C4159" s="241"/>
      <c r="D4159" s="241"/>
      <c r="E4159" s="241"/>
      <c r="F4159" s="241"/>
      <c r="G4159" s="241"/>
      <c r="H4159" s="241"/>
      <c r="I4159"/>
      <c r="J4159" s="241"/>
      <c r="K4159" s="241"/>
      <c r="L4159" s="241"/>
      <c r="M4159" s="241"/>
      <c r="N4159" s="241"/>
      <c r="O4159" s="241"/>
      <c r="P4159" s="241"/>
      <c r="Q4159" s="241"/>
    </row>
    <row r="4160" spans="1:17" ht="13.5" customHeight="1" x14ac:dyDescent="0.3">
      <c r="A4160"/>
      <c r="B4160" s="241"/>
      <c r="C4160" s="241"/>
      <c r="D4160" s="241"/>
      <c r="E4160" s="241"/>
      <c r="F4160" s="241"/>
      <c r="G4160" s="241"/>
      <c r="H4160" s="241"/>
      <c r="I4160"/>
      <c r="J4160" s="241"/>
      <c r="K4160" s="241"/>
      <c r="L4160" s="241"/>
      <c r="M4160" s="241"/>
      <c r="N4160" s="241"/>
      <c r="O4160" s="241"/>
      <c r="P4160" s="241"/>
      <c r="Q4160" s="241"/>
    </row>
    <row r="4161" spans="1:17" ht="13.5" customHeight="1" x14ac:dyDescent="0.3">
      <c r="A4161"/>
      <c r="B4161" s="241"/>
      <c r="C4161" s="241"/>
      <c r="D4161" s="241"/>
      <c r="E4161" s="241"/>
      <c r="F4161" s="241"/>
      <c r="G4161" s="241"/>
      <c r="H4161" s="241"/>
      <c r="I4161"/>
      <c r="J4161" s="241"/>
      <c r="K4161" s="241"/>
      <c r="L4161" s="241"/>
      <c r="M4161" s="241"/>
      <c r="N4161" s="241"/>
      <c r="O4161" s="241"/>
      <c r="P4161" s="241"/>
      <c r="Q4161" s="241"/>
    </row>
    <row r="4162" spans="1:17" ht="13.5" customHeight="1" x14ac:dyDescent="0.3">
      <c r="A4162"/>
      <c r="B4162" s="241"/>
      <c r="C4162" s="241"/>
      <c r="D4162" s="241"/>
      <c r="E4162" s="241"/>
      <c r="F4162" s="241"/>
      <c r="G4162" s="241"/>
      <c r="H4162" s="241"/>
      <c r="I4162"/>
      <c r="J4162" s="241"/>
      <c r="K4162" s="241"/>
      <c r="L4162" s="241"/>
      <c r="M4162" s="241"/>
      <c r="N4162" s="241"/>
      <c r="O4162" s="241"/>
      <c r="P4162" s="241"/>
      <c r="Q4162" s="241"/>
    </row>
    <row r="4163" spans="1:17" ht="13.5" customHeight="1" x14ac:dyDescent="0.3">
      <c r="A4163"/>
      <c r="B4163" s="241"/>
      <c r="C4163" s="241"/>
      <c r="D4163" s="241"/>
      <c r="E4163" s="241"/>
      <c r="F4163" s="241"/>
      <c r="G4163" s="241"/>
      <c r="H4163" s="241"/>
      <c r="I4163"/>
      <c r="J4163" s="241"/>
      <c r="K4163" s="241"/>
      <c r="L4163" s="241"/>
      <c r="M4163" s="241"/>
      <c r="N4163" s="241"/>
      <c r="O4163" s="241"/>
      <c r="P4163" s="241"/>
      <c r="Q4163" s="241"/>
    </row>
    <row r="4164" spans="1:17" ht="13.5" customHeight="1" x14ac:dyDescent="0.3">
      <c r="A4164"/>
      <c r="B4164" s="241"/>
      <c r="C4164" s="241"/>
      <c r="D4164" s="241"/>
      <c r="E4164" s="241"/>
      <c r="F4164" s="241"/>
      <c r="G4164" s="241"/>
      <c r="H4164" s="241"/>
      <c r="I4164"/>
      <c r="J4164" s="241"/>
      <c r="K4164" s="241"/>
      <c r="L4164" s="241"/>
      <c r="M4164" s="241"/>
      <c r="N4164" s="241"/>
      <c r="O4164" s="241"/>
      <c r="P4164" s="241"/>
      <c r="Q4164" s="241"/>
    </row>
    <row r="4165" spans="1:17" ht="13.5" customHeight="1" x14ac:dyDescent="0.3">
      <c r="A4165"/>
      <c r="B4165" s="241"/>
      <c r="C4165" s="241"/>
      <c r="D4165" s="241"/>
      <c r="E4165" s="241"/>
      <c r="F4165" s="241"/>
      <c r="G4165" s="241"/>
      <c r="H4165" s="241"/>
      <c r="I4165"/>
      <c r="J4165" s="241"/>
      <c r="K4165" s="241"/>
      <c r="L4165" s="241"/>
      <c r="M4165" s="241"/>
      <c r="N4165" s="241"/>
      <c r="O4165" s="241"/>
      <c r="P4165" s="241"/>
      <c r="Q4165" s="241"/>
    </row>
    <row r="4166" spans="1:17" ht="13.5" customHeight="1" x14ac:dyDescent="0.3">
      <c r="A4166"/>
      <c r="B4166" s="241"/>
      <c r="C4166" s="241"/>
      <c r="D4166" s="241"/>
      <c r="E4166" s="241"/>
      <c r="F4166" s="241"/>
      <c r="G4166" s="241"/>
      <c r="H4166" s="241"/>
      <c r="I4166"/>
      <c r="J4166" s="241"/>
      <c r="K4166" s="241"/>
      <c r="L4166" s="241"/>
      <c r="M4166" s="241"/>
      <c r="N4166" s="241"/>
      <c r="O4166" s="241"/>
      <c r="P4166" s="241"/>
      <c r="Q4166" s="241"/>
    </row>
    <row r="4167" spans="1:17" ht="13.5" customHeight="1" x14ac:dyDescent="0.3">
      <c r="A4167"/>
      <c r="B4167" s="241"/>
      <c r="C4167" s="241"/>
      <c r="D4167" s="241"/>
      <c r="E4167" s="241"/>
      <c r="F4167" s="241"/>
      <c r="G4167" s="241"/>
      <c r="H4167" s="241"/>
      <c r="I4167"/>
      <c r="J4167" s="241"/>
      <c r="K4167" s="241"/>
      <c r="L4167" s="241"/>
      <c r="M4167" s="241"/>
      <c r="N4167" s="241"/>
      <c r="O4167" s="241"/>
      <c r="P4167" s="241"/>
      <c r="Q4167" s="241"/>
    </row>
    <row r="4168" spans="1:17" ht="13.5" customHeight="1" x14ac:dyDescent="0.3">
      <c r="A4168"/>
      <c r="B4168" s="241"/>
      <c r="C4168" s="241"/>
      <c r="D4168" s="241"/>
      <c r="E4168" s="241"/>
      <c r="F4168" s="241"/>
      <c r="G4168" s="241"/>
      <c r="H4168" s="241"/>
      <c r="I4168"/>
      <c r="J4168" s="241"/>
      <c r="K4168" s="241"/>
      <c r="L4168" s="241"/>
      <c r="M4168" s="241"/>
      <c r="N4168" s="241"/>
      <c r="O4168" s="241"/>
      <c r="P4168" s="241"/>
      <c r="Q4168" s="241"/>
    </row>
    <row r="4169" spans="1:17" ht="13.5" customHeight="1" x14ac:dyDescent="0.3">
      <c r="A4169"/>
      <c r="B4169" s="241"/>
      <c r="C4169" s="241"/>
      <c r="D4169" s="241"/>
      <c r="E4169" s="241"/>
      <c r="F4169" s="241"/>
      <c r="G4169" s="241"/>
      <c r="H4169" s="241"/>
      <c r="I4169"/>
      <c r="J4169" s="241"/>
      <c r="K4169" s="241"/>
      <c r="L4169" s="241"/>
      <c r="M4169" s="241"/>
      <c r="N4169" s="241"/>
      <c r="O4169" s="241"/>
      <c r="P4169" s="241"/>
      <c r="Q4169" s="241"/>
    </row>
    <row r="4170" spans="1:17" ht="13.5" customHeight="1" x14ac:dyDescent="0.3">
      <c r="A4170"/>
      <c r="B4170" s="241"/>
      <c r="C4170" s="241"/>
      <c r="D4170" s="241"/>
      <c r="E4170" s="241"/>
      <c r="F4170" s="241"/>
      <c r="G4170" s="241"/>
      <c r="H4170" s="241"/>
      <c r="I4170"/>
      <c r="J4170" s="241"/>
      <c r="K4170" s="241"/>
      <c r="L4170" s="241"/>
      <c r="M4170" s="241"/>
      <c r="N4170" s="241"/>
      <c r="O4170" s="241"/>
      <c r="P4170" s="241"/>
      <c r="Q4170" s="241"/>
    </row>
    <row r="4171" spans="1:17" ht="13.5" customHeight="1" x14ac:dyDescent="0.3">
      <c r="A4171"/>
      <c r="B4171" s="241"/>
      <c r="C4171" s="241"/>
      <c r="D4171" s="241"/>
      <c r="E4171" s="241"/>
      <c r="F4171" s="241"/>
      <c r="G4171" s="241"/>
      <c r="H4171" s="241"/>
      <c r="I4171"/>
      <c r="J4171" s="241"/>
      <c r="K4171" s="241"/>
      <c r="L4171" s="241"/>
      <c r="M4171" s="241"/>
      <c r="N4171" s="241"/>
      <c r="O4171" s="241"/>
      <c r="P4171" s="241"/>
      <c r="Q4171" s="241"/>
    </row>
    <row r="4172" spans="1:17" ht="13.5" customHeight="1" x14ac:dyDescent="0.3">
      <c r="A4172"/>
      <c r="B4172" s="241"/>
      <c r="C4172" s="241"/>
      <c r="D4172" s="241"/>
      <c r="E4172" s="241"/>
      <c r="F4172" s="241"/>
      <c r="G4172" s="241"/>
      <c r="H4172" s="241"/>
      <c r="I4172"/>
      <c r="J4172" s="241"/>
      <c r="K4172" s="241"/>
      <c r="L4172" s="241"/>
      <c r="M4172" s="241"/>
      <c r="N4172" s="241"/>
      <c r="O4172" s="241"/>
      <c r="P4172" s="241"/>
      <c r="Q4172" s="241"/>
    </row>
    <row r="4173" spans="1:17" ht="13.5" customHeight="1" x14ac:dyDescent="0.3">
      <c r="A4173"/>
      <c r="B4173" s="241"/>
      <c r="C4173" s="241"/>
      <c r="D4173" s="241"/>
      <c r="E4173" s="241"/>
      <c r="F4173" s="241"/>
      <c r="G4173" s="241"/>
      <c r="H4173" s="241"/>
      <c r="I4173"/>
      <c r="J4173" s="241"/>
      <c r="K4173" s="241"/>
      <c r="L4173" s="241"/>
      <c r="M4173" s="241"/>
      <c r="N4173" s="241"/>
      <c r="O4173" s="241"/>
      <c r="P4173" s="241"/>
      <c r="Q4173" s="241"/>
    </row>
    <row r="4174" spans="1:17" ht="13.5" customHeight="1" x14ac:dyDescent="0.3">
      <c r="A4174"/>
      <c r="B4174" s="241"/>
      <c r="C4174" s="241"/>
      <c r="D4174" s="241"/>
      <c r="E4174" s="241"/>
      <c r="F4174" s="241"/>
      <c r="G4174" s="241"/>
      <c r="H4174" s="241"/>
      <c r="I4174"/>
      <c r="J4174" s="241"/>
      <c r="K4174" s="241"/>
      <c r="L4174" s="241"/>
      <c r="M4174" s="241"/>
      <c r="N4174" s="241"/>
      <c r="O4174" s="241"/>
      <c r="P4174" s="241"/>
      <c r="Q4174" s="241"/>
    </row>
    <row r="4175" spans="1:17" ht="13.5" customHeight="1" x14ac:dyDescent="0.3">
      <c r="A4175"/>
      <c r="B4175" s="241"/>
      <c r="C4175" s="241"/>
      <c r="D4175" s="241"/>
      <c r="E4175" s="241"/>
      <c r="F4175" s="241"/>
      <c r="G4175" s="241"/>
      <c r="H4175" s="241"/>
      <c r="I4175"/>
      <c r="J4175" s="241"/>
      <c r="K4175" s="241"/>
      <c r="L4175" s="241"/>
      <c r="M4175" s="241"/>
      <c r="N4175" s="241"/>
      <c r="O4175" s="241"/>
      <c r="P4175" s="241"/>
      <c r="Q4175" s="241"/>
    </row>
    <row r="4176" spans="1:17" ht="13.5" customHeight="1" x14ac:dyDescent="0.3">
      <c r="A4176"/>
      <c r="B4176" s="241"/>
      <c r="C4176" s="241"/>
      <c r="D4176" s="241"/>
      <c r="E4176" s="241"/>
      <c r="F4176" s="241"/>
      <c r="G4176" s="241"/>
      <c r="H4176" s="241"/>
      <c r="I4176"/>
      <c r="J4176" s="241"/>
      <c r="K4176" s="241"/>
      <c r="L4176" s="241"/>
      <c r="M4176" s="241"/>
      <c r="N4176" s="241"/>
      <c r="O4176" s="241"/>
      <c r="P4176" s="241"/>
      <c r="Q4176" s="241"/>
    </row>
    <row r="4177" spans="1:17" ht="13.5" customHeight="1" x14ac:dyDescent="0.3">
      <c r="A4177"/>
      <c r="B4177" s="241"/>
      <c r="C4177" s="241"/>
      <c r="D4177" s="241"/>
      <c r="E4177" s="241"/>
      <c r="F4177" s="241"/>
      <c r="G4177" s="241"/>
      <c r="H4177" s="241"/>
      <c r="I4177"/>
      <c r="J4177" s="241"/>
      <c r="K4177" s="241"/>
      <c r="L4177" s="241"/>
      <c r="M4177" s="241"/>
      <c r="N4177" s="241"/>
      <c r="O4177" s="241"/>
      <c r="P4177" s="241"/>
      <c r="Q4177" s="241"/>
    </row>
    <row r="4178" spans="1:17" ht="13.5" customHeight="1" x14ac:dyDescent="0.3">
      <c r="A4178"/>
      <c r="B4178" s="241"/>
      <c r="C4178" s="241"/>
      <c r="D4178" s="241"/>
      <c r="E4178" s="241"/>
      <c r="F4178" s="241"/>
      <c r="G4178" s="241"/>
      <c r="H4178" s="241"/>
      <c r="I4178"/>
      <c r="J4178" s="241"/>
      <c r="K4178" s="241"/>
      <c r="L4178" s="241"/>
      <c r="M4178" s="241"/>
      <c r="N4178" s="241"/>
      <c r="O4178" s="241"/>
      <c r="P4178" s="241"/>
      <c r="Q4178" s="241"/>
    </row>
    <row r="4179" spans="1:17" ht="13.5" customHeight="1" x14ac:dyDescent="0.3">
      <c r="A4179"/>
      <c r="B4179" s="241"/>
      <c r="C4179" s="241"/>
      <c r="D4179" s="241"/>
      <c r="E4179" s="241"/>
      <c r="F4179" s="241"/>
      <c r="G4179" s="241"/>
      <c r="H4179" s="241"/>
      <c r="I4179"/>
      <c r="J4179" s="241"/>
      <c r="K4179" s="241"/>
      <c r="L4179" s="241"/>
      <c r="M4179" s="241"/>
      <c r="N4179" s="241"/>
      <c r="O4179" s="241"/>
      <c r="P4179" s="241"/>
      <c r="Q4179" s="241"/>
    </row>
    <row r="4180" spans="1:17" ht="13.5" customHeight="1" x14ac:dyDescent="0.3">
      <c r="A4180"/>
      <c r="B4180" s="241"/>
      <c r="C4180" s="241"/>
      <c r="D4180" s="241"/>
      <c r="E4180" s="241"/>
      <c r="F4180" s="241"/>
      <c r="G4180" s="241"/>
      <c r="H4180" s="241"/>
      <c r="I4180"/>
      <c r="J4180" s="241"/>
      <c r="K4180" s="241"/>
      <c r="L4180" s="241"/>
      <c r="M4180" s="241"/>
      <c r="N4180" s="241"/>
      <c r="O4180" s="241"/>
      <c r="P4180" s="241"/>
      <c r="Q4180" s="241"/>
    </row>
    <row r="4181" spans="1:17" ht="13.5" customHeight="1" x14ac:dyDescent="0.3">
      <c r="A4181"/>
      <c r="B4181" s="241"/>
      <c r="C4181" s="241"/>
      <c r="D4181" s="241"/>
      <c r="E4181" s="241"/>
      <c r="F4181" s="241"/>
      <c r="G4181" s="241"/>
      <c r="H4181" s="241"/>
      <c r="I4181"/>
      <c r="J4181" s="241"/>
      <c r="K4181" s="241"/>
      <c r="L4181" s="241"/>
      <c r="M4181" s="241"/>
      <c r="N4181" s="241"/>
      <c r="O4181" s="241"/>
      <c r="P4181" s="241"/>
      <c r="Q4181" s="241"/>
    </row>
    <row r="4182" spans="1:17" ht="13.5" customHeight="1" x14ac:dyDescent="0.3">
      <c r="A4182"/>
      <c r="B4182" s="241"/>
      <c r="C4182" s="241"/>
      <c r="D4182" s="241"/>
      <c r="E4182" s="241"/>
      <c r="F4182" s="241"/>
      <c r="G4182" s="241"/>
      <c r="H4182" s="241"/>
      <c r="I4182"/>
      <c r="J4182" s="241"/>
      <c r="K4182" s="241"/>
      <c r="L4182" s="241"/>
      <c r="M4182" s="241"/>
      <c r="N4182" s="241"/>
      <c r="O4182" s="241"/>
      <c r="P4182" s="241"/>
      <c r="Q4182" s="241"/>
    </row>
    <row r="4183" spans="1:17" ht="13.5" customHeight="1" x14ac:dyDescent="0.3">
      <c r="A4183"/>
      <c r="B4183" s="241"/>
      <c r="C4183" s="241"/>
      <c r="D4183" s="241"/>
      <c r="E4183" s="241"/>
      <c r="F4183" s="241"/>
      <c r="G4183" s="241"/>
      <c r="H4183" s="241"/>
      <c r="I4183"/>
      <c r="J4183" s="241"/>
      <c r="K4183" s="241"/>
      <c r="L4183" s="241"/>
      <c r="M4183" s="241"/>
      <c r="N4183" s="241"/>
      <c r="O4183" s="241"/>
      <c r="P4183" s="241"/>
      <c r="Q4183" s="241"/>
    </row>
    <row r="4184" spans="1:17" ht="13.5" customHeight="1" x14ac:dyDescent="0.3">
      <c r="A4184"/>
      <c r="B4184" s="241"/>
      <c r="C4184" s="241"/>
      <c r="D4184" s="241"/>
      <c r="E4184" s="241"/>
      <c r="F4184" s="241"/>
      <c r="G4184" s="241"/>
      <c r="H4184" s="241"/>
      <c r="I4184"/>
      <c r="J4184" s="241"/>
      <c r="K4184" s="241"/>
      <c r="L4184" s="241"/>
      <c r="M4184" s="241"/>
      <c r="N4184" s="241"/>
      <c r="O4184" s="241"/>
      <c r="P4184" s="241"/>
      <c r="Q4184" s="241"/>
    </row>
    <row r="4185" spans="1:17" ht="13.5" customHeight="1" x14ac:dyDescent="0.3">
      <c r="A4185"/>
      <c r="B4185" s="241"/>
      <c r="C4185" s="241"/>
      <c r="D4185" s="241"/>
      <c r="E4185" s="241"/>
      <c r="F4185" s="241"/>
      <c r="G4185" s="241"/>
      <c r="H4185" s="241"/>
      <c r="I4185"/>
      <c r="J4185" s="241"/>
      <c r="K4185" s="241"/>
      <c r="L4185" s="241"/>
      <c r="M4185" s="241"/>
      <c r="N4185" s="241"/>
      <c r="O4185" s="241"/>
      <c r="P4185" s="241"/>
      <c r="Q4185" s="241"/>
    </row>
    <row r="4186" spans="1:17" ht="13.5" customHeight="1" x14ac:dyDescent="0.3">
      <c r="A4186"/>
      <c r="B4186" s="241"/>
      <c r="C4186" s="241"/>
      <c r="D4186" s="241"/>
      <c r="E4186" s="241"/>
      <c r="F4186" s="241"/>
      <c r="G4186" s="241"/>
      <c r="H4186" s="241"/>
      <c r="I4186"/>
      <c r="J4186" s="241"/>
      <c r="K4186" s="241"/>
      <c r="L4186" s="241"/>
      <c r="M4186" s="241"/>
      <c r="N4186" s="241"/>
      <c r="O4186" s="241"/>
      <c r="P4186" s="241"/>
      <c r="Q4186" s="241"/>
    </row>
    <row r="4187" spans="1:17" ht="13.5" customHeight="1" x14ac:dyDescent="0.3">
      <c r="A4187"/>
      <c r="B4187" s="241"/>
      <c r="C4187" s="241"/>
      <c r="D4187" s="241"/>
      <c r="E4187" s="241"/>
      <c r="F4187" s="241"/>
      <c r="G4187" s="241"/>
      <c r="H4187" s="241"/>
      <c r="I4187"/>
      <c r="J4187" s="241"/>
      <c r="K4187" s="241"/>
      <c r="L4187" s="241"/>
      <c r="M4187" s="241"/>
      <c r="N4187" s="241"/>
      <c r="O4187" s="241"/>
      <c r="P4187" s="241"/>
      <c r="Q4187" s="241"/>
    </row>
    <row r="4188" spans="1:17" ht="13.5" customHeight="1" x14ac:dyDescent="0.3">
      <c r="A4188"/>
      <c r="B4188" s="241"/>
      <c r="C4188" s="241"/>
      <c r="D4188" s="241"/>
      <c r="E4188" s="241"/>
      <c r="F4188" s="241"/>
      <c r="G4188" s="241"/>
      <c r="H4188" s="241"/>
      <c r="I4188"/>
      <c r="J4188" s="241"/>
      <c r="K4188" s="241"/>
      <c r="L4188" s="241"/>
      <c r="M4188" s="241"/>
      <c r="N4188" s="241"/>
      <c r="O4188" s="241"/>
      <c r="P4188" s="241"/>
      <c r="Q4188" s="241"/>
    </row>
    <row r="4189" spans="1:17" ht="13.5" customHeight="1" x14ac:dyDescent="0.3">
      <c r="A4189"/>
      <c r="B4189" s="241"/>
      <c r="C4189" s="241"/>
      <c r="D4189" s="241"/>
      <c r="E4189" s="241"/>
      <c r="F4189" s="241"/>
      <c r="G4189" s="241"/>
      <c r="H4189" s="241"/>
      <c r="I4189"/>
      <c r="J4189" s="241"/>
      <c r="K4189" s="241"/>
      <c r="L4189" s="241"/>
      <c r="M4189" s="241"/>
      <c r="N4189" s="241"/>
      <c r="O4189" s="241"/>
      <c r="P4189" s="241"/>
      <c r="Q4189" s="241"/>
    </row>
    <row r="4190" spans="1:17" ht="13.5" customHeight="1" x14ac:dyDescent="0.3">
      <c r="A4190"/>
      <c r="B4190" s="241"/>
      <c r="C4190" s="241"/>
      <c r="D4190" s="241"/>
      <c r="E4190" s="241"/>
      <c r="F4190" s="241"/>
      <c r="G4190" s="241"/>
      <c r="H4190" s="241"/>
      <c r="I4190"/>
      <c r="J4190" s="241"/>
      <c r="K4190" s="241"/>
      <c r="L4190" s="241"/>
      <c r="M4190" s="241"/>
      <c r="N4190" s="241"/>
      <c r="O4190" s="241"/>
      <c r="P4190" s="241"/>
      <c r="Q4190" s="241"/>
    </row>
    <row r="4191" spans="1:17" ht="13.5" customHeight="1" x14ac:dyDescent="0.3">
      <c r="A4191"/>
      <c r="B4191" s="241"/>
      <c r="C4191" s="241"/>
      <c r="D4191" s="241"/>
      <c r="E4191" s="241"/>
      <c r="F4191" s="241"/>
      <c r="G4191" s="241"/>
      <c r="H4191" s="241"/>
      <c r="I4191"/>
      <c r="J4191" s="241"/>
      <c r="K4191" s="241"/>
      <c r="L4191" s="241"/>
      <c r="M4191" s="241"/>
      <c r="N4191" s="241"/>
      <c r="O4191" s="241"/>
      <c r="P4191" s="241"/>
      <c r="Q4191" s="241"/>
    </row>
    <row r="4192" spans="1:17" ht="13.5" customHeight="1" x14ac:dyDescent="0.3">
      <c r="A4192"/>
      <c r="B4192" s="241"/>
      <c r="C4192" s="241"/>
      <c r="D4192" s="241"/>
      <c r="E4192" s="241"/>
      <c r="F4192" s="241"/>
      <c r="G4192" s="241"/>
      <c r="H4192" s="241"/>
      <c r="I4192"/>
      <c r="J4192" s="241"/>
      <c r="K4192" s="241"/>
      <c r="L4192" s="241"/>
      <c r="M4192" s="241"/>
      <c r="N4192" s="241"/>
      <c r="O4192" s="241"/>
      <c r="P4192" s="241"/>
      <c r="Q4192" s="241"/>
    </row>
    <row r="4193" spans="1:17" ht="13.5" customHeight="1" x14ac:dyDescent="0.3">
      <c r="A4193"/>
      <c r="B4193" s="241"/>
      <c r="C4193" s="241"/>
      <c r="D4193" s="241"/>
      <c r="E4193" s="241"/>
      <c r="F4193" s="241"/>
      <c r="G4193" s="241"/>
      <c r="H4193" s="241"/>
      <c r="I4193"/>
      <c r="J4193" s="241"/>
      <c r="K4193" s="241"/>
      <c r="L4193" s="241"/>
      <c r="M4193" s="241"/>
      <c r="N4193" s="241"/>
      <c r="O4193" s="241"/>
      <c r="P4193" s="241"/>
      <c r="Q4193" s="241"/>
    </row>
    <row r="4194" spans="1:17" ht="13.5" customHeight="1" x14ac:dyDescent="0.3">
      <c r="A4194"/>
      <c r="B4194" s="241"/>
      <c r="C4194" s="241"/>
      <c r="D4194" s="241"/>
      <c r="E4194" s="241"/>
      <c r="F4194" s="241"/>
      <c r="G4194" s="241"/>
      <c r="H4194" s="241"/>
      <c r="I4194"/>
      <c r="J4194" s="241"/>
      <c r="K4194" s="241"/>
      <c r="L4194" s="241"/>
      <c r="M4194" s="241"/>
      <c r="N4194" s="241"/>
      <c r="O4194" s="241"/>
      <c r="P4194" s="241"/>
      <c r="Q4194" s="241"/>
    </row>
    <row r="4195" spans="1:17" ht="13.5" customHeight="1" x14ac:dyDescent="0.3">
      <c r="A4195"/>
      <c r="B4195" s="241"/>
      <c r="C4195" s="241"/>
      <c r="D4195" s="241"/>
      <c r="E4195" s="241"/>
      <c r="F4195" s="241"/>
      <c r="G4195" s="241"/>
      <c r="H4195" s="241"/>
      <c r="I4195"/>
      <c r="J4195" s="241"/>
      <c r="K4195" s="241"/>
      <c r="L4195" s="241"/>
      <c r="M4195" s="241"/>
      <c r="N4195" s="241"/>
      <c r="O4195" s="241"/>
      <c r="P4195" s="241"/>
      <c r="Q4195" s="241"/>
    </row>
    <row r="4196" spans="1:17" ht="13.5" customHeight="1" x14ac:dyDescent="0.3">
      <c r="A4196"/>
      <c r="B4196" s="241"/>
      <c r="C4196" s="241"/>
      <c r="D4196" s="241"/>
      <c r="E4196" s="241"/>
      <c r="F4196" s="241"/>
      <c r="G4196" s="241"/>
      <c r="H4196" s="241"/>
      <c r="I4196"/>
      <c r="J4196" s="241"/>
      <c r="K4196" s="241"/>
      <c r="L4196" s="241"/>
      <c r="M4196" s="241"/>
      <c r="N4196" s="241"/>
      <c r="O4196" s="241"/>
      <c r="P4196" s="241"/>
      <c r="Q4196" s="241"/>
    </row>
    <row r="4197" spans="1:17" ht="13.5" customHeight="1" x14ac:dyDescent="0.3">
      <c r="A4197"/>
      <c r="B4197" s="241"/>
      <c r="C4197" s="241"/>
      <c r="D4197" s="241"/>
      <c r="E4197" s="241"/>
      <c r="F4197" s="241"/>
      <c r="G4197" s="241"/>
      <c r="H4197" s="241"/>
      <c r="I4197"/>
      <c r="J4197" s="241"/>
      <c r="K4197" s="241"/>
      <c r="L4197" s="241"/>
      <c r="M4197" s="241"/>
      <c r="N4197" s="241"/>
      <c r="O4197" s="241"/>
      <c r="P4197" s="241"/>
      <c r="Q4197" s="241"/>
    </row>
    <row r="4198" spans="1:17" ht="13.5" customHeight="1" x14ac:dyDescent="0.3">
      <c r="A4198"/>
      <c r="B4198" s="241"/>
      <c r="C4198" s="241"/>
      <c r="D4198" s="241"/>
      <c r="E4198" s="241"/>
      <c r="F4198" s="241"/>
      <c r="G4198" s="241"/>
      <c r="H4198" s="241"/>
      <c r="I4198"/>
      <c r="J4198" s="241"/>
      <c r="K4198" s="241"/>
      <c r="L4198" s="241"/>
      <c r="M4198" s="241"/>
      <c r="N4198" s="241"/>
      <c r="O4198" s="241"/>
      <c r="P4198" s="241"/>
      <c r="Q4198" s="241"/>
    </row>
    <row r="4199" spans="1:17" ht="13.5" customHeight="1" x14ac:dyDescent="0.3">
      <c r="A4199"/>
      <c r="B4199" s="241"/>
      <c r="C4199" s="241"/>
      <c r="D4199" s="241"/>
      <c r="E4199" s="241"/>
      <c r="F4199" s="241"/>
      <c r="G4199" s="241"/>
      <c r="H4199" s="241"/>
      <c r="I4199"/>
      <c r="J4199" s="241"/>
      <c r="K4199" s="241"/>
      <c r="L4199" s="241"/>
      <c r="M4199" s="241"/>
      <c r="N4199" s="241"/>
      <c r="O4199" s="241"/>
      <c r="P4199" s="241"/>
      <c r="Q4199" s="241"/>
    </row>
    <row r="4200" spans="1:17" ht="13.5" customHeight="1" x14ac:dyDescent="0.3">
      <c r="A4200"/>
      <c r="B4200" s="241"/>
      <c r="C4200" s="241"/>
      <c r="D4200" s="241"/>
      <c r="E4200" s="241"/>
      <c r="F4200" s="241"/>
      <c r="G4200" s="241"/>
      <c r="H4200" s="241"/>
      <c r="I4200"/>
      <c r="J4200" s="241"/>
      <c r="K4200" s="241"/>
      <c r="L4200" s="241"/>
      <c r="M4200" s="241"/>
      <c r="N4200" s="241"/>
      <c r="O4200" s="241"/>
      <c r="P4200" s="241"/>
      <c r="Q4200" s="241"/>
    </row>
    <row r="4201" spans="1:17" ht="13.5" customHeight="1" x14ac:dyDescent="0.3">
      <c r="A4201"/>
      <c r="B4201" s="241"/>
      <c r="C4201" s="241"/>
      <c r="D4201" s="241"/>
      <c r="E4201" s="241"/>
      <c r="F4201" s="241"/>
      <c r="G4201" s="241"/>
      <c r="H4201" s="241"/>
      <c r="I4201"/>
      <c r="J4201" s="241"/>
      <c r="K4201" s="241"/>
      <c r="L4201" s="241"/>
      <c r="M4201" s="241"/>
      <c r="N4201" s="241"/>
      <c r="O4201" s="241"/>
      <c r="P4201" s="241"/>
      <c r="Q4201" s="241"/>
    </row>
    <row r="4202" spans="1:17" ht="13.5" customHeight="1" x14ac:dyDescent="0.3">
      <c r="A4202"/>
      <c r="B4202" s="241"/>
      <c r="C4202" s="241"/>
      <c r="D4202" s="241"/>
      <c r="E4202" s="241"/>
      <c r="F4202" s="241"/>
      <c r="G4202" s="241"/>
      <c r="H4202" s="241"/>
      <c r="I4202"/>
      <c r="J4202" s="241"/>
      <c r="K4202" s="241"/>
      <c r="L4202" s="241"/>
      <c r="M4202" s="241"/>
      <c r="N4202" s="241"/>
      <c r="O4202" s="241"/>
      <c r="P4202" s="241"/>
      <c r="Q4202" s="241"/>
    </row>
    <row r="4203" spans="1:17" ht="13.5" customHeight="1" x14ac:dyDescent="0.3">
      <c r="A4203"/>
      <c r="B4203" s="241"/>
      <c r="C4203" s="241"/>
      <c r="D4203" s="241"/>
      <c r="E4203" s="241"/>
      <c r="F4203" s="241"/>
      <c r="G4203" s="241"/>
      <c r="H4203" s="241"/>
      <c r="I4203"/>
      <c r="J4203" s="241"/>
      <c r="K4203" s="241"/>
      <c r="L4203" s="241"/>
      <c r="M4203" s="241"/>
      <c r="N4203" s="241"/>
      <c r="O4203" s="241"/>
      <c r="P4203" s="241"/>
      <c r="Q4203" s="241"/>
    </row>
    <row r="4204" spans="1:17" ht="13.5" customHeight="1" x14ac:dyDescent="0.3">
      <c r="A4204"/>
      <c r="B4204" s="241"/>
      <c r="C4204" s="241"/>
      <c r="D4204" s="241"/>
      <c r="E4204" s="241"/>
      <c r="F4204" s="241"/>
      <c r="G4204" s="241"/>
      <c r="H4204" s="241"/>
      <c r="I4204"/>
      <c r="J4204" s="241"/>
      <c r="K4204" s="241"/>
      <c r="L4204" s="241"/>
      <c r="M4204" s="241"/>
      <c r="N4204" s="241"/>
      <c r="O4204" s="241"/>
      <c r="P4204" s="241"/>
      <c r="Q4204" s="241"/>
    </row>
    <row r="4205" spans="1:17" ht="13.5" customHeight="1" x14ac:dyDescent="0.3">
      <c r="A4205"/>
      <c r="B4205" s="241"/>
      <c r="C4205" s="241"/>
      <c r="D4205" s="241"/>
      <c r="E4205" s="241"/>
      <c r="F4205" s="241"/>
      <c r="G4205" s="241"/>
      <c r="H4205" s="241"/>
      <c r="I4205"/>
      <c r="J4205" s="241"/>
      <c r="K4205" s="241"/>
      <c r="L4205" s="241"/>
      <c r="M4205" s="241"/>
      <c r="N4205" s="241"/>
      <c r="O4205" s="241"/>
      <c r="P4205" s="241"/>
      <c r="Q4205" s="241"/>
    </row>
    <row r="4206" spans="1:17" ht="13.5" customHeight="1" x14ac:dyDescent="0.3">
      <c r="A4206"/>
      <c r="B4206" s="241"/>
      <c r="C4206" s="241"/>
      <c r="D4206" s="241"/>
      <c r="E4206" s="241"/>
      <c r="F4206" s="241"/>
      <c r="G4206" s="241"/>
      <c r="H4206" s="241"/>
      <c r="I4206"/>
      <c r="J4206" s="241"/>
      <c r="K4206" s="241"/>
      <c r="L4206" s="241"/>
      <c r="M4206" s="241"/>
      <c r="N4206" s="241"/>
      <c r="O4206" s="241"/>
      <c r="P4206" s="241"/>
      <c r="Q4206" s="241"/>
    </row>
    <row r="4207" spans="1:17" ht="13.5" customHeight="1" x14ac:dyDescent="0.3">
      <c r="A4207"/>
      <c r="B4207" s="241"/>
      <c r="C4207" s="241"/>
      <c r="D4207" s="241"/>
      <c r="E4207" s="241"/>
      <c r="F4207" s="241"/>
      <c r="G4207" s="241"/>
      <c r="H4207" s="241"/>
      <c r="I4207"/>
      <c r="J4207" s="241"/>
      <c r="K4207" s="241"/>
      <c r="L4207" s="241"/>
      <c r="M4207" s="241"/>
      <c r="N4207" s="241"/>
      <c r="O4207" s="241"/>
      <c r="P4207" s="241"/>
      <c r="Q4207" s="241"/>
    </row>
    <row r="4208" spans="1:17" ht="13.5" customHeight="1" x14ac:dyDescent="0.3">
      <c r="A4208"/>
      <c r="B4208" s="241"/>
      <c r="C4208" s="241"/>
      <c r="D4208" s="241"/>
      <c r="E4208" s="241"/>
      <c r="F4208" s="241"/>
      <c r="G4208" s="241"/>
      <c r="H4208" s="241"/>
      <c r="I4208"/>
      <c r="J4208" s="241"/>
      <c r="K4208" s="241"/>
      <c r="L4208" s="241"/>
      <c r="M4208" s="241"/>
      <c r="N4208" s="241"/>
      <c r="O4208" s="241"/>
      <c r="P4208" s="241"/>
      <c r="Q4208" s="241"/>
    </row>
    <row r="4209" spans="1:17" ht="13.5" customHeight="1" x14ac:dyDescent="0.3">
      <c r="A4209"/>
      <c r="B4209" s="241"/>
      <c r="C4209" s="241"/>
      <c r="D4209" s="241"/>
      <c r="E4209" s="241"/>
      <c r="F4209" s="241"/>
      <c r="G4209" s="241"/>
      <c r="H4209" s="241"/>
      <c r="I4209"/>
      <c r="J4209" s="241"/>
      <c r="K4209" s="241"/>
      <c r="L4209" s="241"/>
      <c r="M4209" s="241"/>
      <c r="N4209" s="241"/>
      <c r="O4209" s="241"/>
      <c r="P4209" s="241"/>
      <c r="Q4209" s="241"/>
    </row>
    <row r="4210" spans="1:17" ht="13.5" customHeight="1" x14ac:dyDescent="0.3">
      <c r="A4210"/>
      <c r="B4210" s="241"/>
      <c r="C4210" s="241"/>
      <c r="D4210" s="241"/>
      <c r="E4210" s="241"/>
      <c r="F4210" s="241"/>
      <c r="G4210" s="241"/>
      <c r="H4210" s="241"/>
      <c r="I4210"/>
      <c r="J4210" s="241"/>
      <c r="K4210" s="241"/>
      <c r="L4210" s="241"/>
      <c r="M4210" s="241"/>
      <c r="N4210" s="241"/>
      <c r="O4210" s="241"/>
      <c r="P4210" s="241"/>
      <c r="Q4210" s="241"/>
    </row>
    <row r="4211" spans="1:17" ht="13.5" customHeight="1" x14ac:dyDescent="0.3">
      <c r="A4211"/>
      <c r="B4211" s="241"/>
      <c r="C4211" s="241"/>
      <c r="D4211" s="241"/>
      <c r="E4211" s="241"/>
      <c r="F4211" s="241"/>
      <c r="G4211" s="241"/>
      <c r="H4211" s="241"/>
      <c r="I4211"/>
      <c r="J4211" s="241"/>
      <c r="K4211" s="241"/>
      <c r="L4211" s="241"/>
      <c r="M4211" s="241"/>
      <c r="N4211" s="241"/>
      <c r="O4211" s="241"/>
      <c r="P4211" s="241"/>
      <c r="Q4211" s="241"/>
    </row>
    <row r="4212" spans="1:17" ht="13.5" customHeight="1" x14ac:dyDescent="0.3">
      <c r="A4212"/>
      <c r="B4212" s="241"/>
      <c r="C4212" s="241"/>
      <c r="D4212" s="241"/>
      <c r="E4212" s="241"/>
      <c r="F4212" s="241"/>
      <c r="G4212" s="241"/>
      <c r="H4212" s="241"/>
      <c r="I4212"/>
      <c r="J4212" s="241"/>
      <c r="K4212" s="241"/>
      <c r="L4212" s="241"/>
      <c r="M4212" s="241"/>
      <c r="N4212" s="241"/>
      <c r="O4212" s="241"/>
      <c r="P4212" s="241"/>
      <c r="Q4212" s="241"/>
    </row>
    <row r="4213" spans="1:17" ht="13.5" customHeight="1" x14ac:dyDescent="0.3">
      <c r="A4213"/>
      <c r="B4213" s="241"/>
      <c r="C4213" s="241"/>
      <c r="D4213" s="241"/>
      <c r="E4213" s="241"/>
      <c r="F4213" s="241"/>
      <c r="G4213" s="241"/>
      <c r="H4213" s="241"/>
      <c r="I4213"/>
      <c r="J4213" s="241"/>
      <c r="K4213" s="241"/>
      <c r="L4213" s="241"/>
      <c r="M4213" s="241"/>
      <c r="N4213" s="241"/>
      <c r="O4213" s="241"/>
      <c r="P4213" s="241"/>
      <c r="Q4213" s="241"/>
    </row>
    <row r="4214" spans="1:17" ht="13.5" customHeight="1" x14ac:dyDescent="0.3">
      <c r="A4214"/>
      <c r="B4214" s="241"/>
      <c r="C4214" s="241"/>
      <c r="D4214" s="241"/>
      <c r="E4214" s="241"/>
      <c r="F4214" s="241"/>
      <c r="G4214" s="241"/>
      <c r="H4214" s="241"/>
      <c r="I4214"/>
      <c r="J4214" s="241"/>
      <c r="K4214" s="241"/>
      <c r="L4214" s="241"/>
      <c r="M4214" s="241"/>
      <c r="N4214" s="241"/>
      <c r="O4214" s="241"/>
      <c r="P4214" s="241"/>
      <c r="Q4214" s="241"/>
    </row>
    <row r="4215" spans="1:17" ht="13.5" customHeight="1" x14ac:dyDescent="0.3">
      <c r="A4215"/>
      <c r="B4215" s="241"/>
      <c r="C4215" s="241"/>
      <c r="D4215" s="241"/>
      <c r="E4215" s="241"/>
      <c r="F4215" s="241"/>
      <c r="G4215" s="241"/>
      <c r="H4215" s="241"/>
      <c r="I4215"/>
      <c r="J4215" s="241"/>
      <c r="K4215" s="241"/>
      <c r="L4215" s="241"/>
      <c r="M4215" s="241"/>
      <c r="N4215" s="241"/>
      <c r="O4215" s="241"/>
      <c r="P4215" s="241"/>
      <c r="Q4215" s="241"/>
    </row>
    <row r="4216" spans="1:17" ht="13.5" customHeight="1" x14ac:dyDescent="0.3">
      <c r="A4216"/>
      <c r="B4216" s="241"/>
      <c r="C4216" s="241"/>
      <c r="D4216" s="241"/>
      <c r="E4216" s="241"/>
      <c r="F4216" s="241"/>
      <c r="G4216" s="241"/>
      <c r="H4216" s="241"/>
      <c r="I4216"/>
      <c r="J4216" s="241"/>
      <c r="K4216" s="241"/>
      <c r="L4216" s="241"/>
      <c r="M4216" s="241"/>
      <c r="N4216" s="241"/>
      <c r="O4216" s="241"/>
      <c r="P4216" s="241"/>
      <c r="Q4216" s="241"/>
    </row>
    <row r="4217" spans="1:17" ht="13.5" customHeight="1" x14ac:dyDescent="0.3">
      <c r="A4217"/>
      <c r="B4217" s="241"/>
      <c r="C4217" s="241"/>
      <c r="D4217" s="241"/>
      <c r="E4217" s="241"/>
      <c r="F4217" s="241"/>
      <c r="G4217" s="241"/>
      <c r="H4217" s="241"/>
      <c r="I4217"/>
      <c r="J4217" s="241"/>
      <c r="K4217" s="241"/>
      <c r="L4217" s="241"/>
      <c r="M4217" s="241"/>
      <c r="N4217" s="241"/>
      <c r="O4217" s="241"/>
      <c r="P4217" s="241"/>
      <c r="Q4217" s="241"/>
    </row>
    <row r="4218" spans="1:17" ht="13.5" customHeight="1" x14ac:dyDescent="0.3">
      <c r="A4218"/>
      <c r="B4218" s="241"/>
      <c r="C4218" s="241"/>
      <c r="D4218" s="241"/>
      <c r="E4218" s="241"/>
      <c r="F4218" s="241"/>
      <c r="G4218" s="241"/>
      <c r="H4218" s="241"/>
      <c r="I4218"/>
      <c r="J4218" s="241"/>
      <c r="K4218" s="241"/>
      <c r="L4218" s="241"/>
      <c r="M4218" s="241"/>
      <c r="N4218" s="241"/>
      <c r="O4218" s="241"/>
      <c r="P4218" s="241"/>
      <c r="Q4218" s="241"/>
    </row>
    <row r="4219" spans="1:17" ht="13.5" customHeight="1" x14ac:dyDescent="0.3">
      <c r="A4219"/>
      <c r="B4219" s="241"/>
      <c r="C4219" s="241"/>
      <c r="D4219" s="241"/>
      <c r="E4219" s="241"/>
      <c r="F4219" s="241"/>
      <c r="G4219" s="241"/>
      <c r="H4219" s="241"/>
      <c r="I4219"/>
      <c r="J4219" s="241"/>
      <c r="K4219" s="241"/>
      <c r="L4219" s="241"/>
      <c r="M4219" s="241"/>
      <c r="N4219" s="241"/>
      <c r="O4219" s="241"/>
      <c r="P4219" s="241"/>
      <c r="Q4219" s="241"/>
    </row>
    <row r="4220" spans="1:17" ht="13.5" customHeight="1" x14ac:dyDescent="0.3">
      <c r="A4220"/>
      <c r="B4220" s="241"/>
      <c r="C4220" s="241"/>
      <c r="D4220" s="241"/>
      <c r="E4220" s="241"/>
      <c r="F4220" s="241"/>
      <c r="G4220" s="241"/>
      <c r="H4220" s="241"/>
      <c r="I4220"/>
      <c r="J4220" s="241"/>
      <c r="K4220" s="241"/>
      <c r="L4220" s="241"/>
      <c r="M4220" s="241"/>
      <c r="N4220" s="241"/>
      <c r="O4220" s="241"/>
      <c r="P4220" s="241"/>
      <c r="Q4220" s="241"/>
    </row>
    <row r="4221" spans="1:17" ht="13.5" customHeight="1" x14ac:dyDescent="0.3">
      <c r="A4221"/>
      <c r="B4221" s="241"/>
      <c r="C4221" s="241"/>
      <c r="D4221" s="241"/>
      <c r="E4221" s="241"/>
      <c r="F4221" s="241"/>
      <c r="G4221" s="241"/>
      <c r="H4221" s="241"/>
      <c r="I4221"/>
      <c r="J4221" s="241"/>
      <c r="K4221" s="241"/>
      <c r="L4221" s="241"/>
      <c r="M4221" s="241"/>
      <c r="N4221" s="241"/>
      <c r="O4221" s="241"/>
      <c r="P4221" s="241"/>
      <c r="Q4221" s="241"/>
    </row>
    <row r="4222" spans="1:17" ht="13.5" customHeight="1" x14ac:dyDescent="0.3">
      <c r="A4222"/>
      <c r="B4222" s="241"/>
      <c r="C4222" s="241"/>
      <c r="D4222" s="241"/>
      <c r="E4222" s="241"/>
      <c r="F4222" s="241"/>
      <c r="G4222" s="241"/>
      <c r="H4222" s="241"/>
      <c r="I4222"/>
      <c r="J4222" s="241"/>
      <c r="K4222" s="241"/>
      <c r="L4222" s="241"/>
      <c r="M4222" s="241"/>
      <c r="N4222" s="241"/>
      <c r="O4222" s="241"/>
      <c r="P4222" s="241"/>
      <c r="Q4222" s="241"/>
    </row>
    <row r="4223" spans="1:17" ht="13.5" customHeight="1" x14ac:dyDescent="0.3">
      <c r="A4223"/>
      <c r="B4223" s="241"/>
      <c r="C4223" s="241"/>
      <c r="D4223" s="241"/>
      <c r="E4223" s="241"/>
      <c r="F4223" s="241"/>
      <c r="G4223" s="241"/>
      <c r="H4223" s="241"/>
      <c r="I4223"/>
      <c r="J4223" s="241"/>
      <c r="K4223" s="241"/>
      <c r="L4223" s="241"/>
      <c r="M4223" s="241"/>
      <c r="N4223" s="241"/>
      <c r="O4223" s="241"/>
      <c r="P4223" s="241"/>
      <c r="Q4223" s="241"/>
    </row>
    <row r="4224" spans="1:17" ht="13.5" customHeight="1" x14ac:dyDescent="0.3">
      <c r="A4224"/>
      <c r="B4224" s="241"/>
      <c r="C4224" s="241"/>
      <c r="D4224" s="241"/>
      <c r="E4224" s="241"/>
      <c r="F4224" s="241"/>
      <c r="G4224" s="241"/>
      <c r="H4224" s="241"/>
      <c r="I4224"/>
      <c r="J4224" s="241"/>
      <c r="K4224" s="241"/>
      <c r="L4224" s="241"/>
      <c r="M4224" s="241"/>
      <c r="N4224" s="241"/>
      <c r="O4224" s="241"/>
      <c r="P4224" s="241"/>
      <c r="Q4224" s="241"/>
    </row>
    <row r="4225" spans="1:17" ht="13.5" customHeight="1" x14ac:dyDescent="0.3">
      <c r="A4225"/>
      <c r="B4225" s="241"/>
      <c r="C4225" s="241"/>
      <c r="D4225" s="241"/>
      <c r="E4225" s="241"/>
      <c r="F4225" s="241"/>
      <c r="G4225" s="241"/>
      <c r="H4225" s="241"/>
      <c r="I4225"/>
      <c r="J4225" s="241"/>
      <c r="K4225" s="241"/>
      <c r="L4225" s="241"/>
      <c r="M4225" s="241"/>
      <c r="N4225" s="241"/>
      <c r="O4225" s="241"/>
      <c r="P4225" s="241"/>
      <c r="Q4225" s="241"/>
    </row>
    <row r="4226" spans="1:17" ht="13.5" customHeight="1" x14ac:dyDescent="0.3">
      <c r="A4226"/>
      <c r="B4226" s="241"/>
      <c r="C4226" s="241"/>
      <c r="D4226" s="241"/>
      <c r="E4226" s="241"/>
      <c r="F4226" s="241"/>
      <c r="G4226" s="241"/>
      <c r="H4226" s="241"/>
      <c r="I4226"/>
      <c r="J4226" s="241"/>
      <c r="K4226" s="241"/>
      <c r="L4226" s="241"/>
      <c r="M4226" s="241"/>
      <c r="N4226" s="241"/>
      <c r="O4226" s="241"/>
      <c r="P4226" s="241"/>
      <c r="Q4226" s="241"/>
    </row>
    <row r="4227" spans="1:17" ht="13.5" customHeight="1" x14ac:dyDescent="0.3">
      <c r="A4227"/>
      <c r="B4227" s="241"/>
      <c r="C4227" s="241"/>
      <c r="D4227" s="241"/>
      <c r="E4227" s="241"/>
      <c r="F4227" s="241"/>
      <c r="G4227" s="241"/>
      <c r="H4227" s="241"/>
      <c r="I4227"/>
      <c r="J4227" s="241"/>
      <c r="K4227" s="241"/>
      <c r="L4227" s="241"/>
      <c r="M4227" s="241"/>
      <c r="N4227" s="241"/>
      <c r="O4227" s="241"/>
      <c r="P4227" s="241"/>
      <c r="Q4227" s="241"/>
    </row>
    <row r="4228" spans="1:17" ht="13.5" customHeight="1" x14ac:dyDescent="0.3">
      <c r="A4228"/>
      <c r="B4228" s="241"/>
      <c r="C4228" s="241"/>
      <c r="D4228" s="241"/>
      <c r="E4228" s="241"/>
      <c r="F4228" s="241"/>
      <c r="G4228" s="241"/>
      <c r="H4228" s="241"/>
      <c r="I4228"/>
      <c r="J4228" s="241"/>
      <c r="K4228" s="241"/>
      <c r="L4228" s="241"/>
      <c r="M4228" s="241"/>
      <c r="N4228" s="241"/>
      <c r="O4228" s="241"/>
      <c r="P4228" s="241"/>
      <c r="Q4228" s="241"/>
    </row>
    <row r="4229" spans="1:17" ht="13.5" customHeight="1" x14ac:dyDescent="0.3">
      <c r="A4229"/>
      <c r="B4229" s="241"/>
      <c r="C4229" s="241"/>
      <c r="D4229" s="241"/>
      <c r="E4229" s="241"/>
      <c r="F4229" s="241"/>
      <c r="G4229" s="241"/>
      <c r="H4229" s="241"/>
      <c r="I4229"/>
      <c r="J4229" s="241"/>
      <c r="K4229" s="241"/>
      <c r="L4229" s="241"/>
      <c r="M4229" s="241"/>
      <c r="N4229" s="241"/>
      <c r="O4229" s="241"/>
      <c r="P4229" s="241"/>
      <c r="Q4229" s="241"/>
    </row>
    <row r="4230" spans="1:17" ht="13.5" customHeight="1" x14ac:dyDescent="0.3">
      <c r="A4230"/>
      <c r="B4230" s="241"/>
      <c r="C4230" s="241"/>
      <c r="D4230" s="241"/>
      <c r="E4230" s="241"/>
      <c r="F4230" s="241"/>
      <c r="G4230" s="241"/>
      <c r="H4230" s="241"/>
      <c r="I4230"/>
      <c r="J4230" s="241"/>
      <c r="K4230" s="241"/>
      <c r="L4230" s="241"/>
      <c r="M4230" s="241"/>
      <c r="N4230" s="241"/>
      <c r="O4230" s="241"/>
      <c r="P4230" s="241"/>
      <c r="Q4230" s="241"/>
    </row>
    <row r="4231" spans="1:17" ht="13.5" customHeight="1" x14ac:dyDescent="0.3">
      <c r="A4231"/>
      <c r="B4231" s="241"/>
      <c r="C4231" s="241"/>
      <c r="D4231" s="241"/>
      <c r="E4231" s="241"/>
      <c r="F4231" s="241"/>
      <c r="G4231" s="241"/>
      <c r="H4231" s="241"/>
      <c r="I4231"/>
      <c r="J4231" s="241"/>
      <c r="K4231" s="241"/>
      <c r="L4231" s="241"/>
      <c r="M4231" s="241"/>
      <c r="N4231" s="241"/>
      <c r="O4231" s="241"/>
      <c r="P4231" s="241"/>
      <c r="Q4231" s="241"/>
    </row>
    <row r="4232" spans="1:17" ht="13.5" customHeight="1" x14ac:dyDescent="0.3">
      <c r="A4232"/>
      <c r="B4232" s="241"/>
      <c r="C4232" s="241"/>
      <c r="D4232" s="241"/>
      <c r="E4232" s="241"/>
      <c r="F4232" s="241"/>
      <c r="G4232" s="241"/>
      <c r="H4232" s="241"/>
      <c r="I4232"/>
      <c r="J4232" s="241"/>
      <c r="K4232" s="241"/>
      <c r="L4232" s="241"/>
      <c r="M4232" s="241"/>
      <c r="N4232" s="241"/>
      <c r="O4232" s="241"/>
      <c r="P4232" s="241"/>
      <c r="Q4232" s="241"/>
    </row>
    <row r="4233" spans="1:17" ht="13.5" customHeight="1" x14ac:dyDescent="0.3">
      <c r="A4233"/>
      <c r="B4233" s="241"/>
      <c r="C4233" s="241"/>
      <c r="D4233" s="241"/>
      <c r="E4233" s="241"/>
      <c r="F4233" s="241"/>
      <c r="G4233" s="241"/>
      <c r="H4233" s="241"/>
      <c r="I4233"/>
      <c r="J4233" s="241"/>
      <c r="K4233" s="241"/>
      <c r="L4233" s="241"/>
      <c r="M4233" s="241"/>
      <c r="N4233" s="241"/>
      <c r="O4233" s="241"/>
      <c r="P4233" s="241"/>
      <c r="Q4233" s="241"/>
    </row>
    <row r="4234" spans="1:17" ht="13.5" customHeight="1" x14ac:dyDescent="0.3">
      <c r="A4234"/>
      <c r="B4234" s="241"/>
      <c r="C4234" s="241"/>
      <c r="D4234" s="241"/>
      <c r="E4234" s="241"/>
      <c r="F4234" s="241"/>
      <c r="G4234" s="241"/>
      <c r="H4234" s="241"/>
      <c r="I4234"/>
      <c r="J4234" s="241"/>
      <c r="K4234" s="241"/>
      <c r="L4234" s="241"/>
      <c r="M4234" s="241"/>
      <c r="N4234" s="241"/>
      <c r="O4234" s="241"/>
      <c r="P4234" s="241"/>
      <c r="Q4234" s="241"/>
    </row>
    <row r="4235" spans="1:17" ht="13.5" customHeight="1" x14ac:dyDescent="0.3">
      <c r="A4235"/>
      <c r="B4235" s="241"/>
      <c r="C4235" s="241"/>
      <c r="D4235" s="241"/>
      <c r="E4235" s="241"/>
      <c r="F4235" s="241"/>
      <c r="G4235" s="241"/>
      <c r="H4235" s="241"/>
      <c r="I4235"/>
      <c r="J4235" s="241"/>
      <c r="K4235" s="241"/>
      <c r="L4235" s="241"/>
      <c r="M4235" s="241"/>
      <c r="N4235" s="241"/>
      <c r="O4235" s="241"/>
      <c r="P4235" s="241"/>
      <c r="Q4235" s="241"/>
    </row>
    <row r="4236" spans="1:17" ht="13.5" customHeight="1" x14ac:dyDescent="0.3">
      <c r="A4236"/>
      <c r="B4236" s="241"/>
      <c r="C4236" s="241"/>
      <c r="D4236" s="241"/>
      <c r="E4236" s="241"/>
      <c r="F4236" s="241"/>
      <c r="G4236" s="241"/>
      <c r="H4236" s="241"/>
      <c r="I4236"/>
      <c r="J4236" s="241"/>
      <c r="K4236" s="241"/>
      <c r="L4236" s="241"/>
      <c r="M4236" s="241"/>
      <c r="N4236" s="241"/>
      <c r="O4236" s="241"/>
      <c r="P4236" s="241"/>
      <c r="Q4236" s="241"/>
    </row>
    <row r="4237" spans="1:17" ht="13.5" customHeight="1" x14ac:dyDescent="0.3">
      <c r="A4237"/>
      <c r="B4237" s="241"/>
      <c r="C4237" s="241"/>
      <c r="D4237" s="241"/>
      <c r="E4237" s="241"/>
      <c r="F4237" s="241"/>
      <c r="G4237" s="241"/>
      <c r="H4237" s="241"/>
      <c r="I4237"/>
      <c r="J4237" s="241"/>
      <c r="K4237" s="241"/>
      <c r="L4237" s="241"/>
      <c r="M4237" s="241"/>
      <c r="N4237" s="241"/>
      <c r="O4237" s="241"/>
      <c r="P4237" s="241"/>
      <c r="Q4237" s="241"/>
    </row>
    <row r="4238" spans="1:17" ht="13.5" customHeight="1" x14ac:dyDescent="0.3">
      <c r="A4238"/>
      <c r="B4238" s="241"/>
      <c r="C4238" s="241"/>
      <c r="D4238" s="241"/>
      <c r="E4238" s="241"/>
      <c r="F4238" s="241"/>
      <c r="G4238" s="241"/>
      <c r="H4238" s="241"/>
      <c r="I4238"/>
      <c r="J4238" s="241"/>
      <c r="K4238" s="241"/>
      <c r="L4238" s="241"/>
      <c r="M4238" s="241"/>
      <c r="N4238" s="241"/>
      <c r="O4238" s="241"/>
      <c r="P4238" s="241"/>
      <c r="Q4238" s="241"/>
    </row>
    <row r="4239" spans="1:17" ht="13.5" customHeight="1" x14ac:dyDescent="0.3">
      <c r="A4239"/>
      <c r="B4239" s="241"/>
      <c r="C4239" s="241"/>
      <c r="D4239" s="241"/>
      <c r="E4239" s="241"/>
      <c r="F4239" s="241"/>
      <c r="G4239" s="241"/>
      <c r="H4239" s="241"/>
      <c r="I4239"/>
      <c r="J4239" s="241"/>
      <c r="K4239" s="241"/>
      <c r="L4239" s="241"/>
      <c r="M4239" s="241"/>
      <c r="N4239" s="241"/>
      <c r="O4239" s="241"/>
      <c r="P4239" s="241"/>
      <c r="Q4239" s="241"/>
    </row>
    <row r="4240" spans="1:17" ht="13.5" customHeight="1" x14ac:dyDescent="0.3">
      <c r="A4240"/>
      <c r="B4240" s="241"/>
      <c r="C4240" s="241"/>
      <c r="D4240" s="241"/>
      <c r="E4240" s="241"/>
      <c r="F4240" s="241"/>
      <c r="G4240" s="241"/>
      <c r="H4240" s="241"/>
      <c r="I4240"/>
      <c r="J4240" s="241"/>
      <c r="K4240" s="241"/>
      <c r="L4240" s="241"/>
      <c r="M4240" s="241"/>
      <c r="N4240" s="241"/>
      <c r="O4240" s="241"/>
      <c r="P4240" s="241"/>
      <c r="Q4240" s="241"/>
    </row>
    <row r="4241" spans="1:17" ht="13.5" customHeight="1" x14ac:dyDescent="0.3">
      <c r="A4241"/>
      <c r="B4241" s="241"/>
      <c r="C4241" s="241"/>
      <c r="D4241" s="241"/>
      <c r="E4241" s="241"/>
      <c r="F4241" s="241"/>
      <c r="G4241" s="241"/>
      <c r="H4241" s="241"/>
      <c r="I4241"/>
      <c r="J4241" s="241"/>
      <c r="K4241" s="241"/>
      <c r="L4241" s="241"/>
      <c r="M4241" s="241"/>
      <c r="N4241" s="241"/>
      <c r="O4241" s="241"/>
      <c r="P4241" s="241"/>
      <c r="Q4241" s="241"/>
    </row>
    <row r="4242" spans="1:17" ht="13.5" customHeight="1" x14ac:dyDescent="0.3">
      <c r="A4242"/>
      <c r="B4242" s="241"/>
      <c r="C4242" s="241"/>
      <c r="D4242" s="241"/>
      <c r="E4242" s="241"/>
      <c r="F4242" s="241"/>
      <c r="G4242" s="241"/>
      <c r="H4242" s="241"/>
      <c r="I4242"/>
      <c r="J4242" s="241"/>
      <c r="K4242" s="241"/>
      <c r="L4242" s="241"/>
      <c r="M4242" s="241"/>
      <c r="N4242" s="241"/>
      <c r="O4242" s="241"/>
      <c r="P4242" s="241"/>
      <c r="Q4242" s="241"/>
    </row>
    <row r="4243" spans="1:17" ht="13.5" customHeight="1" x14ac:dyDescent="0.3">
      <c r="A4243"/>
      <c r="B4243" s="241"/>
      <c r="C4243" s="241"/>
      <c r="D4243" s="241"/>
      <c r="E4243" s="241"/>
      <c r="F4243" s="241"/>
      <c r="G4243" s="241"/>
      <c r="H4243" s="241"/>
      <c r="I4243"/>
      <c r="J4243" s="241"/>
      <c r="K4243" s="241"/>
      <c r="L4243" s="241"/>
      <c r="M4243" s="241"/>
      <c r="N4243" s="241"/>
      <c r="O4243" s="241"/>
      <c r="P4243" s="241"/>
      <c r="Q4243" s="241"/>
    </row>
    <row r="4244" spans="1:17" ht="13.5" customHeight="1" x14ac:dyDescent="0.3">
      <c r="A4244"/>
      <c r="B4244" s="241"/>
      <c r="C4244" s="241"/>
      <c r="D4244" s="241"/>
      <c r="E4244" s="241"/>
      <c r="F4244" s="241"/>
      <c r="G4244" s="241"/>
      <c r="H4244" s="241"/>
      <c r="I4244"/>
      <c r="J4244" s="241"/>
      <c r="K4244" s="241"/>
      <c r="L4244" s="241"/>
      <c r="M4244" s="241"/>
      <c r="N4244" s="241"/>
      <c r="O4244" s="241"/>
      <c r="P4244" s="241"/>
      <c r="Q4244" s="241"/>
    </row>
    <row r="4245" spans="1:17" ht="13.5" customHeight="1" x14ac:dyDescent="0.3">
      <c r="A4245"/>
      <c r="B4245" s="241"/>
      <c r="C4245" s="241"/>
      <c r="D4245" s="241"/>
      <c r="E4245" s="241"/>
      <c r="F4245" s="241"/>
      <c r="G4245" s="241"/>
      <c r="H4245" s="241"/>
      <c r="I4245"/>
      <c r="J4245" s="241"/>
      <c r="K4245" s="241"/>
      <c r="L4245" s="241"/>
      <c r="M4245" s="241"/>
      <c r="N4245" s="241"/>
      <c r="O4245" s="241"/>
      <c r="P4245" s="241"/>
      <c r="Q4245" s="241"/>
    </row>
    <row r="4246" spans="1:17" ht="13.5" customHeight="1" x14ac:dyDescent="0.3">
      <c r="A4246"/>
      <c r="B4246" s="241"/>
      <c r="C4246" s="241"/>
      <c r="D4246" s="241"/>
      <c r="E4246" s="241"/>
      <c r="F4246" s="241"/>
      <c r="G4246" s="241"/>
      <c r="H4246" s="241"/>
      <c r="I4246"/>
      <c r="J4246" s="241"/>
      <c r="K4246" s="241"/>
      <c r="L4246" s="241"/>
      <c r="M4246" s="241"/>
      <c r="N4246" s="241"/>
      <c r="O4246" s="241"/>
      <c r="P4246" s="241"/>
      <c r="Q4246" s="241"/>
    </row>
    <row r="4247" spans="1:17" ht="13.5" customHeight="1" x14ac:dyDescent="0.3">
      <c r="A4247"/>
      <c r="B4247" s="241"/>
      <c r="C4247" s="241"/>
      <c r="D4247" s="241"/>
      <c r="E4247" s="241"/>
      <c r="F4247" s="241"/>
      <c r="G4247" s="241"/>
      <c r="H4247" s="241"/>
      <c r="I4247"/>
      <c r="J4247" s="241"/>
      <c r="K4247" s="241"/>
      <c r="L4247" s="241"/>
      <c r="M4247" s="241"/>
      <c r="N4247" s="241"/>
      <c r="O4247" s="241"/>
      <c r="P4247" s="241"/>
      <c r="Q4247" s="241"/>
    </row>
    <row r="4248" spans="1:17" ht="13.5" customHeight="1" x14ac:dyDescent="0.3">
      <c r="A4248"/>
      <c r="B4248" s="241"/>
      <c r="C4248" s="241"/>
      <c r="D4248" s="241"/>
      <c r="E4248" s="241"/>
      <c r="F4248" s="241"/>
      <c r="G4248" s="241"/>
      <c r="H4248" s="241"/>
      <c r="I4248"/>
      <c r="J4248" s="241"/>
      <c r="K4248" s="241"/>
      <c r="L4248" s="241"/>
      <c r="M4248" s="241"/>
      <c r="N4248" s="241"/>
      <c r="O4248" s="241"/>
      <c r="P4248" s="241"/>
      <c r="Q4248" s="241"/>
    </row>
    <row r="4249" spans="1:17" ht="13.5" customHeight="1" x14ac:dyDescent="0.3">
      <c r="A4249"/>
      <c r="B4249" s="241"/>
      <c r="C4249" s="241"/>
      <c r="D4249" s="241"/>
      <c r="E4249" s="241"/>
      <c r="F4249" s="241"/>
      <c r="G4249" s="241"/>
      <c r="H4249" s="241"/>
      <c r="I4249"/>
      <c r="J4249" s="241"/>
      <c r="K4249" s="241"/>
      <c r="L4249" s="241"/>
      <c r="M4249" s="241"/>
      <c r="N4249" s="241"/>
      <c r="O4249" s="241"/>
      <c r="P4249" s="241"/>
      <c r="Q4249" s="241"/>
    </row>
    <row r="4250" spans="1:17" ht="13.5" customHeight="1" x14ac:dyDescent="0.3">
      <c r="A4250"/>
      <c r="B4250" s="241"/>
      <c r="C4250" s="241"/>
      <c r="D4250" s="241"/>
      <c r="E4250" s="241"/>
      <c r="F4250" s="241"/>
      <c r="G4250" s="241"/>
      <c r="H4250" s="241"/>
      <c r="I4250"/>
      <c r="J4250" s="241"/>
      <c r="K4250" s="241"/>
      <c r="L4250" s="241"/>
      <c r="M4250" s="241"/>
      <c r="N4250" s="241"/>
      <c r="O4250" s="241"/>
      <c r="P4250" s="241"/>
      <c r="Q4250" s="241"/>
    </row>
    <row r="4251" spans="1:17" ht="13.5" customHeight="1" x14ac:dyDescent="0.3">
      <c r="A4251"/>
      <c r="B4251" s="241"/>
      <c r="C4251" s="241"/>
      <c r="D4251" s="241"/>
      <c r="E4251" s="241"/>
      <c r="F4251" s="241"/>
      <c r="G4251" s="241"/>
      <c r="H4251" s="241"/>
      <c r="I4251"/>
      <c r="J4251" s="241"/>
      <c r="K4251" s="241"/>
      <c r="L4251" s="241"/>
      <c r="M4251" s="241"/>
      <c r="N4251" s="241"/>
      <c r="O4251" s="241"/>
      <c r="P4251" s="241"/>
      <c r="Q4251" s="241"/>
    </row>
    <row r="4252" spans="1:17" ht="13.5" customHeight="1" x14ac:dyDescent="0.3">
      <c r="A4252"/>
      <c r="B4252" s="241"/>
      <c r="C4252" s="241"/>
      <c r="D4252" s="241"/>
      <c r="E4252" s="241"/>
      <c r="F4252" s="241"/>
      <c r="G4252" s="241"/>
      <c r="H4252" s="241"/>
      <c r="I4252"/>
      <c r="J4252" s="241"/>
      <c r="K4252" s="241"/>
      <c r="L4252" s="241"/>
      <c r="M4252" s="241"/>
      <c r="N4252" s="241"/>
      <c r="O4252" s="241"/>
      <c r="P4252" s="241"/>
      <c r="Q4252" s="241"/>
    </row>
    <row r="4253" spans="1:17" ht="13.5" customHeight="1" x14ac:dyDescent="0.3">
      <c r="A4253"/>
      <c r="B4253" s="241"/>
      <c r="C4253" s="241"/>
      <c r="D4253" s="241"/>
      <c r="E4253" s="241"/>
      <c r="F4253" s="241"/>
      <c r="G4253" s="241"/>
      <c r="H4253" s="241"/>
      <c r="I4253"/>
      <c r="J4253" s="241"/>
      <c r="K4253" s="241"/>
      <c r="L4253" s="241"/>
      <c r="M4253" s="241"/>
      <c r="N4253" s="241"/>
      <c r="O4253" s="241"/>
      <c r="P4253" s="241"/>
      <c r="Q4253" s="241"/>
    </row>
    <row r="4254" spans="1:17" ht="13.5" customHeight="1" x14ac:dyDescent="0.3">
      <c r="A4254"/>
      <c r="B4254" s="241"/>
      <c r="C4254" s="241"/>
      <c r="D4254" s="241"/>
      <c r="E4254" s="241"/>
      <c r="F4254" s="241"/>
      <c r="G4254" s="241"/>
      <c r="H4254" s="241"/>
      <c r="I4254"/>
      <c r="J4254" s="241"/>
      <c r="K4254" s="241"/>
      <c r="L4254" s="241"/>
      <c r="M4254" s="241"/>
      <c r="N4254" s="241"/>
      <c r="O4254" s="241"/>
      <c r="P4254" s="241"/>
      <c r="Q4254" s="241"/>
    </row>
    <row r="4255" spans="1:17" ht="13.5" customHeight="1" x14ac:dyDescent="0.3">
      <c r="A4255"/>
      <c r="B4255" s="241"/>
      <c r="C4255" s="241"/>
      <c r="D4255" s="241"/>
      <c r="E4255" s="241"/>
      <c r="F4255" s="241"/>
      <c r="G4255" s="241"/>
      <c r="H4255" s="241"/>
      <c r="I4255"/>
      <c r="J4255" s="241"/>
      <c r="K4255" s="241"/>
      <c r="L4255" s="241"/>
      <c r="M4255" s="241"/>
      <c r="N4255" s="241"/>
      <c r="O4255" s="241"/>
      <c r="P4255" s="241"/>
      <c r="Q4255" s="241"/>
    </row>
    <row r="4256" spans="1:17" ht="13.5" customHeight="1" x14ac:dyDescent="0.3">
      <c r="A4256"/>
      <c r="B4256" s="241"/>
      <c r="C4256" s="241"/>
      <c r="D4256" s="241"/>
      <c r="E4256" s="241"/>
      <c r="F4256" s="241"/>
      <c r="G4256" s="241"/>
      <c r="H4256" s="241"/>
      <c r="I4256"/>
      <c r="J4256" s="241"/>
      <c r="K4256" s="241"/>
      <c r="L4256" s="241"/>
      <c r="M4256" s="241"/>
      <c r="N4256" s="241"/>
      <c r="O4256" s="241"/>
      <c r="P4256" s="241"/>
      <c r="Q4256" s="241"/>
    </row>
    <row r="4257" spans="1:17" ht="13.5" customHeight="1" x14ac:dyDescent="0.3">
      <c r="A4257"/>
      <c r="B4257" s="241"/>
      <c r="C4257" s="241"/>
      <c r="D4257" s="241"/>
      <c r="E4257" s="241"/>
      <c r="F4257" s="241"/>
      <c r="G4257" s="241"/>
      <c r="H4257" s="241"/>
      <c r="I4257"/>
      <c r="J4257" s="241"/>
      <c r="K4257" s="241"/>
      <c r="L4257" s="241"/>
      <c r="M4257" s="241"/>
      <c r="N4257" s="241"/>
      <c r="O4257" s="241"/>
      <c r="P4257" s="241"/>
      <c r="Q4257" s="241"/>
    </row>
    <row r="4258" spans="1:17" ht="13.5" customHeight="1" x14ac:dyDescent="0.3">
      <c r="A4258"/>
      <c r="B4258" s="241"/>
      <c r="C4258" s="241"/>
      <c r="D4258" s="241"/>
      <c r="E4258" s="241"/>
      <c r="F4258" s="241"/>
      <c r="G4258" s="241"/>
      <c r="H4258" s="241"/>
      <c r="I4258"/>
      <c r="J4258" s="241"/>
      <c r="K4258" s="241"/>
      <c r="L4258" s="241"/>
      <c r="M4258" s="241"/>
      <c r="N4258" s="241"/>
      <c r="O4258" s="241"/>
      <c r="P4258" s="241"/>
      <c r="Q4258" s="241"/>
    </row>
    <row r="4259" spans="1:17" ht="13.5" customHeight="1" x14ac:dyDescent="0.3">
      <c r="A4259"/>
      <c r="B4259" s="241"/>
      <c r="C4259" s="241"/>
      <c r="D4259" s="241"/>
      <c r="E4259" s="241"/>
      <c r="F4259" s="241"/>
      <c r="G4259" s="241"/>
      <c r="H4259" s="241"/>
      <c r="I4259"/>
      <c r="J4259" s="241"/>
      <c r="K4259" s="241"/>
      <c r="L4259" s="241"/>
      <c r="M4259" s="241"/>
      <c r="N4259" s="241"/>
      <c r="O4259" s="241"/>
      <c r="P4259" s="241"/>
      <c r="Q4259" s="241"/>
    </row>
    <row r="4260" spans="1:17" ht="13.5" customHeight="1" x14ac:dyDescent="0.3">
      <c r="A4260"/>
      <c r="B4260" s="241"/>
      <c r="C4260" s="241"/>
      <c r="D4260" s="241"/>
      <c r="E4260" s="241"/>
      <c r="F4260" s="241"/>
      <c r="G4260" s="241"/>
      <c r="H4260" s="241"/>
      <c r="I4260"/>
      <c r="J4260" s="241"/>
      <c r="K4260" s="241"/>
      <c r="L4260" s="241"/>
      <c r="M4260" s="241"/>
      <c r="N4260" s="241"/>
      <c r="O4260" s="241"/>
      <c r="P4260" s="241"/>
      <c r="Q4260" s="241"/>
    </row>
    <row r="4261" spans="1:17" ht="13.5" customHeight="1" x14ac:dyDescent="0.3">
      <c r="A4261"/>
      <c r="B4261" s="241"/>
      <c r="C4261" s="241"/>
      <c r="D4261" s="241"/>
      <c r="E4261" s="241"/>
      <c r="F4261" s="241"/>
      <c r="G4261" s="241"/>
      <c r="H4261" s="241"/>
      <c r="I4261"/>
      <c r="J4261" s="241"/>
      <c r="K4261" s="241"/>
      <c r="L4261" s="241"/>
      <c r="M4261" s="241"/>
      <c r="N4261" s="241"/>
      <c r="O4261" s="241"/>
      <c r="P4261" s="241"/>
      <c r="Q4261" s="241"/>
    </row>
    <row r="4262" spans="1:17" ht="13.5" customHeight="1" x14ac:dyDescent="0.3">
      <c r="A4262"/>
      <c r="B4262" s="241"/>
      <c r="C4262" s="241"/>
      <c r="D4262" s="241"/>
      <c r="E4262" s="241"/>
      <c r="F4262" s="241"/>
      <c r="G4262" s="241"/>
      <c r="H4262" s="241"/>
      <c r="I4262"/>
      <c r="J4262" s="241"/>
      <c r="K4262" s="241"/>
      <c r="L4262" s="241"/>
      <c r="M4262" s="241"/>
      <c r="N4262" s="241"/>
      <c r="O4262" s="241"/>
      <c r="P4262" s="241"/>
      <c r="Q4262" s="241"/>
    </row>
    <row r="4263" spans="1:17" ht="13.5" customHeight="1" x14ac:dyDescent="0.3">
      <c r="A4263"/>
      <c r="B4263" s="241"/>
      <c r="C4263" s="241"/>
      <c r="D4263" s="241"/>
      <c r="E4263" s="241"/>
      <c r="F4263" s="241"/>
      <c r="G4263" s="241"/>
      <c r="H4263" s="241"/>
      <c r="I4263"/>
      <c r="J4263" s="241"/>
      <c r="K4263" s="241"/>
      <c r="L4263" s="241"/>
      <c r="M4263" s="241"/>
      <c r="N4263" s="241"/>
      <c r="O4263" s="241"/>
      <c r="P4263" s="241"/>
      <c r="Q4263" s="241"/>
    </row>
    <row r="4264" spans="1:17" ht="13.5" customHeight="1" x14ac:dyDescent="0.3">
      <c r="A4264"/>
      <c r="B4264" s="241"/>
      <c r="C4264" s="241"/>
      <c r="D4264" s="241"/>
      <c r="E4264" s="241"/>
      <c r="F4264" s="241"/>
      <c r="G4264" s="241"/>
      <c r="H4264" s="241"/>
      <c r="I4264"/>
      <c r="J4264" s="241"/>
      <c r="K4264" s="241"/>
      <c r="L4264" s="241"/>
      <c r="M4264" s="241"/>
      <c r="N4264" s="241"/>
      <c r="O4264" s="241"/>
      <c r="P4264" s="241"/>
      <c r="Q4264" s="241"/>
    </row>
    <row r="4265" spans="1:17" ht="13.5" customHeight="1" x14ac:dyDescent="0.3">
      <c r="A4265"/>
      <c r="B4265" s="241"/>
      <c r="C4265" s="241"/>
      <c r="D4265" s="241"/>
      <c r="E4265" s="241"/>
      <c r="F4265" s="241"/>
      <c r="G4265" s="241"/>
      <c r="H4265" s="241"/>
      <c r="I4265"/>
      <c r="J4265" s="241"/>
      <c r="K4265" s="241"/>
      <c r="L4265" s="241"/>
      <c r="M4265" s="241"/>
      <c r="N4265" s="241"/>
      <c r="O4265" s="241"/>
      <c r="P4265" s="241"/>
      <c r="Q4265" s="241"/>
    </row>
    <row r="4266" spans="1:17" ht="13.5" customHeight="1" x14ac:dyDescent="0.3">
      <c r="A4266"/>
      <c r="B4266" s="241"/>
      <c r="C4266" s="241"/>
      <c r="D4266" s="241"/>
      <c r="E4266" s="241"/>
      <c r="F4266" s="241"/>
      <c r="G4266" s="241"/>
      <c r="H4266" s="241"/>
      <c r="I4266"/>
      <c r="J4266" s="241"/>
      <c r="K4266" s="241"/>
      <c r="L4266" s="241"/>
      <c r="M4266" s="241"/>
      <c r="N4266" s="241"/>
      <c r="O4266" s="241"/>
      <c r="P4266" s="241"/>
      <c r="Q4266" s="241"/>
    </row>
    <row r="4267" spans="1:17" ht="13.5" customHeight="1" x14ac:dyDescent="0.3">
      <c r="A4267"/>
      <c r="B4267" s="241"/>
      <c r="C4267" s="241"/>
      <c r="D4267" s="241"/>
      <c r="E4267" s="241"/>
      <c r="F4267" s="241"/>
      <c r="G4267" s="241"/>
      <c r="H4267" s="241"/>
      <c r="I4267"/>
      <c r="J4267" s="241"/>
      <c r="K4267" s="241"/>
      <c r="L4267" s="241"/>
      <c r="M4267" s="241"/>
      <c r="N4267" s="241"/>
      <c r="O4267" s="241"/>
      <c r="P4267" s="241"/>
      <c r="Q4267" s="241"/>
    </row>
    <row r="4268" spans="1:17" ht="13.5" customHeight="1" x14ac:dyDescent="0.3">
      <c r="A4268"/>
      <c r="B4268" s="241"/>
      <c r="C4268" s="241"/>
      <c r="D4268" s="241"/>
      <c r="E4268" s="241"/>
      <c r="F4268" s="241"/>
      <c r="G4268" s="241"/>
      <c r="H4268" s="241"/>
      <c r="I4268"/>
      <c r="J4268" s="241"/>
      <c r="K4268" s="241"/>
      <c r="L4268" s="241"/>
      <c r="M4268" s="241"/>
      <c r="N4268" s="241"/>
      <c r="O4268" s="241"/>
      <c r="P4268" s="241"/>
      <c r="Q4268" s="241"/>
    </row>
    <row r="4269" spans="1:17" ht="13.5" customHeight="1" x14ac:dyDescent="0.3">
      <c r="A4269"/>
      <c r="B4269" s="241"/>
      <c r="C4269" s="241"/>
      <c r="D4269" s="241"/>
      <c r="E4269" s="241"/>
      <c r="F4269" s="241"/>
      <c r="G4269" s="241"/>
      <c r="H4269" s="241"/>
      <c r="I4269"/>
      <c r="J4269" s="241"/>
      <c r="K4269" s="241"/>
      <c r="L4269" s="241"/>
      <c r="M4269" s="241"/>
      <c r="N4269" s="241"/>
      <c r="O4269" s="241"/>
      <c r="P4269" s="241"/>
      <c r="Q4269" s="241"/>
    </row>
    <row r="4270" spans="1:17" ht="13.5" customHeight="1" x14ac:dyDescent="0.3">
      <c r="A4270"/>
      <c r="B4270" s="241"/>
      <c r="C4270" s="241"/>
      <c r="D4270" s="241"/>
      <c r="E4270" s="241"/>
      <c r="F4270" s="241"/>
      <c r="G4270" s="241"/>
      <c r="H4270" s="241"/>
      <c r="I4270"/>
      <c r="J4270" s="241"/>
      <c r="K4270" s="241"/>
      <c r="L4270" s="241"/>
      <c r="M4270" s="241"/>
      <c r="N4270" s="241"/>
      <c r="O4270" s="241"/>
      <c r="P4270" s="241"/>
      <c r="Q4270" s="241"/>
    </row>
    <row r="4271" spans="1:17" ht="13.5" customHeight="1" x14ac:dyDescent="0.3">
      <c r="A4271"/>
      <c r="B4271" s="241"/>
      <c r="C4271" s="241"/>
      <c r="D4271" s="241"/>
      <c r="E4271" s="241"/>
      <c r="F4271" s="241"/>
      <c r="G4271" s="241"/>
      <c r="H4271" s="241"/>
      <c r="I4271"/>
      <c r="J4271" s="241"/>
      <c r="K4271" s="241"/>
      <c r="L4271" s="241"/>
      <c r="M4271" s="241"/>
      <c r="N4271" s="241"/>
      <c r="O4271" s="241"/>
      <c r="P4271" s="241"/>
      <c r="Q4271" s="241"/>
    </row>
    <row r="4272" spans="1:17" ht="13.5" customHeight="1" x14ac:dyDescent="0.3">
      <c r="A4272"/>
      <c r="B4272" s="241"/>
      <c r="C4272" s="241"/>
      <c r="D4272" s="241"/>
      <c r="E4272" s="241"/>
      <c r="F4272" s="241"/>
      <c r="G4272" s="241"/>
      <c r="H4272" s="241"/>
      <c r="I4272"/>
      <c r="J4272" s="241"/>
      <c r="K4272" s="241"/>
      <c r="L4272" s="241"/>
      <c r="M4272" s="241"/>
      <c r="N4272" s="241"/>
      <c r="O4272" s="241"/>
      <c r="P4272" s="241"/>
      <c r="Q4272" s="241"/>
    </row>
    <row r="4273" spans="1:17" ht="13.5" customHeight="1" x14ac:dyDescent="0.3">
      <c r="A4273"/>
      <c r="B4273" s="241"/>
      <c r="C4273" s="241"/>
      <c r="D4273" s="241"/>
      <c r="E4273" s="241"/>
      <c r="F4273" s="241"/>
      <c r="G4273" s="241"/>
      <c r="H4273" s="241"/>
      <c r="I4273"/>
      <c r="J4273" s="241"/>
      <c r="K4273" s="241"/>
      <c r="L4273" s="241"/>
      <c r="M4273" s="241"/>
      <c r="N4273" s="241"/>
      <c r="O4273" s="241"/>
      <c r="P4273" s="241"/>
      <c r="Q4273" s="241"/>
    </row>
    <row r="4274" spans="1:17" ht="13.5" customHeight="1" x14ac:dyDescent="0.3">
      <c r="A4274"/>
      <c r="B4274" s="241"/>
      <c r="C4274" s="241"/>
      <c r="D4274" s="241"/>
      <c r="E4274" s="241"/>
      <c r="F4274" s="241"/>
      <c r="G4274" s="241"/>
      <c r="H4274" s="241"/>
      <c r="I4274"/>
      <c r="J4274" s="241"/>
      <c r="K4274" s="241"/>
      <c r="L4274" s="241"/>
      <c r="M4274" s="241"/>
      <c r="N4274" s="241"/>
      <c r="O4274" s="241"/>
      <c r="P4274" s="241"/>
      <c r="Q4274" s="241"/>
    </row>
    <row r="4275" spans="1:17" ht="13.5" customHeight="1" x14ac:dyDescent="0.3">
      <c r="A4275"/>
      <c r="B4275" s="241"/>
      <c r="C4275" s="241"/>
      <c r="D4275" s="241"/>
      <c r="E4275" s="241"/>
      <c r="F4275" s="241"/>
      <c r="G4275" s="241"/>
      <c r="H4275" s="241"/>
      <c r="I4275"/>
      <c r="J4275" s="241"/>
      <c r="K4275" s="241"/>
      <c r="L4275" s="241"/>
      <c r="M4275" s="241"/>
      <c r="N4275" s="241"/>
      <c r="O4275" s="241"/>
      <c r="P4275" s="241"/>
      <c r="Q4275" s="241"/>
    </row>
    <row r="4276" spans="1:17" ht="13.5" customHeight="1" x14ac:dyDescent="0.3">
      <c r="A4276"/>
      <c r="B4276" s="241"/>
      <c r="C4276" s="241"/>
      <c r="D4276" s="241"/>
      <c r="E4276" s="241"/>
      <c r="F4276" s="241"/>
      <c r="G4276" s="241"/>
      <c r="H4276" s="241"/>
      <c r="I4276"/>
      <c r="J4276" s="241"/>
      <c r="K4276" s="241"/>
      <c r="L4276" s="241"/>
      <c r="M4276" s="241"/>
      <c r="N4276" s="241"/>
      <c r="O4276" s="241"/>
      <c r="P4276" s="241"/>
      <c r="Q4276" s="241"/>
    </row>
    <row r="4277" spans="1:17" ht="13.5" customHeight="1" x14ac:dyDescent="0.3">
      <c r="A4277"/>
      <c r="B4277" s="241"/>
      <c r="C4277" s="241"/>
      <c r="D4277" s="241"/>
      <c r="E4277" s="241"/>
      <c r="F4277" s="241"/>
      <c r="G4277" s="241"/>
      <c r="H4277" s="241"/>
      <c r="I4277"/>
      <c r="J4277" s="241"/>
      <c r="K4277" s="241"/>
      <c r="L4277" s="241"/>
      <c r="M4277" s="241"/>
      <c r="N4277" s="241"/>
      <c r="O4277" s="241"/>
      <c r="P4277" s="241"/>
      <c r="Q4277" s="241"/>
    </row>
    <row r="4278" spans="1:17" ht="13.5" customHeight="1" x14ac:dyDescent="0.3">
      <c r="A4278"/>
      <c r="B4278" s="241"/>
      <c r="C4278" s="241"/>
      <c r="D4278" s="241"/>
      <c r="E4278" s="241"/>
      <c r="F4278" s="241"/>
      <c r="G4278" s="241"/>
      <c r="H4278" s="241"/>
      <c r="I4278"/>
      <c r="J4278" s="241"/>
      <c r="K4278" s="241"/>
      <c r="L4278" s="241"/>
      <c r="M4278" s="241"/>
      <c r="N4278" s="241"/>
      <c r="O4278" s="241"/>
      <c r="P4278" s="241"/>
      <c r="Q4278" s="241"/>
    </row>
    <row r="4279" spans="1:17" ht="13.5" customHeight="1" x14ac:dyDescent="0.3">
      <c r="A4279"/>
      <c r="B4279" s="241"/>
      <c r="C4279" s="241"/>
      <c r="D4279" s="241"/>
      <c r="E4279" s="241"/>
      <c r="F4279" s="241"/>
      <c r="G4279" s="241"/>
      <c r="H4279" s="241"/>
      <c r="I4279"/>
      <c r="J4279" s="241"/>
      <c r="K4279" s="241"/>
      <c r="L4279" s="241"/>
      <c r="M4279" s="241"/>
      <c r="N4279" s="241"/>
      <c r="O4279" s="241"/>
      <c r="P4279" s="241"/>
      <c r="Q4279" s="241"/>
    </row>
    <row r="4280" spans="1:17" ht="13.5" customHeight="1" x14ac:dyDescent="0.3">
      <c r="A4280"/>
      <c r="B4280" s="241"/>
      <c r="C4280" s="241"/>
      <c r="D4280" s="241"/>
      <c r="E4280" s="241"/>
      <c r="F4280" s="241"/>
      <c r="G4280" s="241"/>
      <c r="H4280" s="241"/>
      <c r="I4280"/>
      <c r="J4280" s="241"/>
      <c r="K4280" s="241"/>
      <c r="L4280" s="241"/>
      <c r="M4280" s="241"/>
      <c r="N4280" s="241"/>
      <c r="O4280" s="241"/>
      <c r="P4280" s="241"/>
      <c r="Q4280" s="241"/>
    </row>
    <row r="4281" spans="1:17" ht="13.5" customHeight="1" x14ac:dyDescent="0.3">
      <c r="A4281"/>
      <c r="B4281" s="241"/>
      <c r="C4281" s="241"/>
      <c r="D4281" s="241"/>
      <c r="E4281" s="241"/>
      <c r="F4281" s="241"/>
      <c r="G4281" s="241"/>
      <c r="H4281" s="241"/>
      <c r="I4281"/>
      <c r="J4281" s="241"/>
      <c r="K4281" s="241"/>
      <c r="L4281" s="241"/>
      <c r="M4281" s="241"/>
      <c r="N4281" s="241"/>
      <c r="O4281" s="241"/>
      <c r="P4281" s="241"/>
      <c r="Q4281" s="241"/>
    </row>
    <row r="4282" spans="1:17" ht="13.5" customHeight="1" x14ac:dyDescent="0.3">
      <c r="A4282"/>
      <c r="B4282" s="241"/>
      <c r="C4282" s="241"/>
      <c r="D4282" s="241"/>
      <c r="E4282" s="241"/>
      <c r="F4282" s="241"/>
      <c r="G4282" s="241"/>
      <c r="H4282" s="241"/>
      <c r="I4282"/>
      <c r="J4282" s="241"/>
      <c r="K4282" s="241"/>
      <c r="L4282" s="241"/>
      <c r="M4282" s="241"/>
      <c r="N4282" s="241"/>
      <c r="O4282" s="241"/>
      <c r="P4282" s="241"/>
      <c r="Q4282" s="241"/>
    </row>
    <row r="4283" spans="1:17" ht="13.5" customHeight="1" x14ac:dyDescent="0.3">
      <c r="A4283"/>
      <c r="B4283" s="241"/>
      <c r="C4283" s="241"/>
      <c r="D4283" s="241"/>
      <c r="E4283" s="241"/>
      <c r="F4283" s="241"/>
      <c r="G4283" s="241"/>
      <c r="H4283" s="241"/>
      <c r="I4283"/>
      <c r="J4283" s="241"/>
      <c r="K4283" s="241"/>
      <c r="L4283" s="241"/>
      <c r="M4283" s="241"/>
      <c r="N4283" s="241"/>
      <c r="O4283" s="241"/>
      <c r="P4283" s="241"/>
      <c r="Q4283" s="241"/>
    </row>
    <row r="4284" spans="1:17" ht="13.5" customHeight="1" x14ac:dyDescent="0.3">
      <c r="A4284"/>
      <c r="B4284" s="241"/>
      <c r="C4284" s="241"/>
      <c r="D4284" s="241"/>
      <c r="E4284" s="241"/>
      <c r="F4284" s="241"/>
      <c r="G4284" s="241"/>
      <c r="H4284" s="241"/>
      <c r="I4284"/>
      <c r="J4284" s="241"/>
      <c r="K4284" s="241"/>
      <c r="L4284" s="241"/>
      <c r="M4284" s="241"/>
      <c r="N4284" s="241"/>
      <c r="O4284" s="241"/>
      <c r="P4284" s="241"/>
      <c r="Q4284" s="241"/>
    </row>
    <row r="4285" spans="1:17" ht="13.5" customHeight="1" x14ac:dyDescent="0.3">
      <c r="A4285"/>
      <c r="B4285" s="241"/>
      <c r="C4285" s="241"/>
      <c r="D4285" s="241"/>
      <c r="E4285" s="241"/>
      <c r="F4285" s="241"/>
      <c r="G4285" s="241"/>
      <c r="H4285" s="241"/>
      <c r="I4285"/>
      <c r="J4285" s="241"/>
      <c r="K4285" s="241"/>
      <c r="L4285" s="241"/>
      <c r="M4285" s="241"/>
      <c r="N4285" s="241"/>
      <c r="O4285" s="241"/>
      <c r="P4285" s="241"/>
      <c r="Q4285" s="241"/>
    </row>
    <row r="4286" spans="1:17" ht="13.5" customHeight="1" x14ac:dyDescent="0.3">
      <c r="A4286"/>
      <c r="B4286" s="241"/>
      <c r="C4286" s="241"/>
      <c r="D4286" s="241"/>
      <c r="E4286" s="241"/>
      <c r="F4286" s="241"/>
      <c r="G4286" s="241"/>
      <c r="H4286" s="241"/>
      <c r="I4286"/>
      <c r="J4286" s="241"/>
      <c r="K4286" s="241"/>
      <c r="L4286" s="241"/>
      <c r="M4286" s="241"/>
      <c r="N4286" s="241"/>
      <c r="O4286" s="241"/>
      <c r="P4286" s="241"/>
      <c r="Q4286" s="241"/>
    </row>
    <row r="4287" spans="1:17" ht="13.5" customHeight="1" x14ac:dyDescent="0.3">
      <c r="A4287"/>
      <c r="B4287" s="241"/>
      <c r="C4287" s="241"/>
      <c r="D4287" s="241"/>
      <c r="E4287" s="241"/>
      <c r="F4287" s="241"/>
      <c r="G4287" s="241"/>
      <c r="H4287" s="241"/>
      <c r="I4287"/>
      <c r="J4287" s="241"/>
      <c r="K4287" s="241"/>
      <c r="L4287" s="241"/>
      <c r="M4287" s="241"/>
      <c r="N4287" s="241"/>
      <c r="O4287" s="241"/>
      <c r="P4287" s="241"/>
      <c r="Q4287" s="241"/>
    </row>
    <row r="4288" spans="1:17" ht="13.5" customHeight="1" x14ac:dyDescent="0.3">
      <c r="A4288"/>
      <c r="B4288" s="241"/>
      <c r="C4288" s="241"/>
      <c r="D4288" s="241"/>
      <c r="E4288" s="241"/>
      <c r="F4288" s="241"/>
      <c r="G4288" s="241"/>
      <c r="H4288" s="241"/>
      <c r="I4288"/>
      <c r="J4288" s="241"/>
      <c r="K4288" s="241"/>
      <c r="L4288" s="241"/>
      <c r="M4288" s="241"/>
      <c r="N4288" s="241"/>
      <c r="O4288" s="241"/>
      <c r="P4288" s="241"/>
      <c r="Q4288" s="241"/>
    </row>
    <row r="4289" spans="1:17" ht="13.5" customHeight="1" x14ac:dyDescent="0.3">
      <c r="A4289"/>
      <c r="B4289" s="241"/>
      <c r="C4289" s="241"/>
      <c r="D4289" s="241"/>
      <c r="E4289" s="241"/>
      <c r="F4289" s="241"/>
      <c r="G4289" s="241"/>
      <c r="H4289" s="241"/>
      <c r="I4289"/>
      <c r="J4289" s="241"/>
      <c r="K4289" s="241"/>
      <c r="L4289" s="241"/>
      <c r="M4289" s="241"/>
      <c r="N4289" s="241"/>
      <c r="O4289" s="241"/>
      <c r="P4289" s="241"/>
      <c r="Q4289" s="241"/>
    </row>
    <row r="4290" spans="1:17" ht="13.5" customHeight="1" x14ac:dyDescent="0.3">
      <c r="A4290"/>
      <c r="B4290" s="241"/>
      <c r="C4290" s="241"/>
      <c r="D4290" s="241"/>
      <c r="E4290" s="241"/>
      <c r="F4290" s="241"/>
      <c r="G4290" s="241"/>
      <c r="H4290" s="241"/>
      <c r="I4290"/>
      <c r="J4290" s="241"/>
      <c r="K4290" s="241"/>
      <c r="L4290" s="241"/>
      <c r="M4290" s="241"/>
      <c r="N4290" s="241"/>
      <c r="O4290" s="241"/>
      <c r="P4290" s="241"/>
      <c r="Q4290" s="241"/>
    </row>
    <row r="4291" spans="1:17" ht="13.5" customHeight="1" x14ac:dyDescent="0.3">
      <c r="A4291"/>
      <c r="B4291" s="241"/>
      <c r="C4291" s="241"/>
      <c r="D4291" s="241"/>
      <c r="E4291" s="241"/>
      <c r="F4291" s="241"/>
      <c r="G4291" s="241"/>
      <c r="H4291" s="241"/>
      <c r="I4291"/>
      <c r="J4291" s="241"/>
      <c r="K4291" s="241"/>
      <c r="L4291" s="241"/>
      <c r="M4291" s="241"/>
      <c r="N4291" s="241"/>
      <c r="O4291" s="241"/>
      <c r="P4291" s="241"/>
      <c r="Q4291" s="241"/>
    </row>
    <row r="4292" spans="1:17" ht="13.5" customHeight="1" x14ac:dyDescent="0.3">
      <c r="A4292"/>
      <c r="B4292" s="241"/>
      <c r="C4292" s="241"/>
      <c r="D4292" s="241"/>
      <c r="E4292" s="241"/>
      <c r="F4292" s="241"/>
      <c r="G4292" s="241"/>
      <c r="H4292" s="241"/>
      <c r="I4292"/>
      <c r="J4292" s="241"/>
      <c r="K4292" s="241"/>
      <c r="L4292" s="241"/>
      <c r="M4292" s="241"/>
      <c r="N4292" s="241"/>
      <c r="O4292" s="241"/>
      <c r="P4292" s="241"/>
      <c r="Q4292" s="241"/>
    </row>
    <row r="4293" spans="1:17" ht="13.5" customHeight="1" x14ac:dyDescent="0.3">
      <c r="A4293"/>
      <c r="B4293" s="241"/>
      <c r="C4293" s="241"/>
      <c r="D4293" s="241"/>
      <c r="E4293" s="241"/>
      <c r="F4293" s="241"/>
      <c r="G4293" s="241"/>
      <c r="H4293" s="241"/>
      <c r="I4293"/>
      <c r="J4293" s="241"/>
      <c r="K4293" s="241"/>
      <c r="L4293" s="241"/>
      <c r="M4293" s="241"/>
      <c r="N4293" s="241"/>
      <c r="O4293" s="241"/>
      <c r="P4293" s="241"/>
      <c r="Q4293" s="241"/>
    </row>
    <row r="4294" spans="1:17" ht="13.5" customHeight="1" x14ac:dyDescent="0.3">
      <c r="A4294"/>
      <c r="B4294" s="241"/>
      <c r="C4294" s="241"/>
      <c r="D4294" s="241"/>
      <c r="E4294" s="241"/>
      <c r="F4294" s="241"/>
      <c r="G4294" s="241"/>
      <c r="H4294" s="241"/>
      <c r="I4294"/>
      <c r="J4294" s="241"/>
      <c r="K4294" s="241"/>
      <c r="L4294" s="241"/>
      <c r="M4294" s="241"/>
      <c r="N4294" s="241"/>
      <c r="O4294" s="241"/>
      <c r="P4294" s="241"/>
      <c r="Q4294" s="241"/>
    </row>
    <row r="4295" spans="1:17" ht="13.5" customHeight="1" x14ac:dyDescent="0.3">
      <c r="A4295"/>
      <c r="B4295" s="241"/>
      <c r="C4295" s="241"/>
      <c r="D4295" s="241"/>
      <c r="E4295" s="241"/>
      <c r="F4295" s="241"/>
      <c r="G4295" s="241"/>
      <c r="H4295" s="241"/>
      <c r="I4295"/>
      <c r="J4295" s="241"/>
      <c r="K4295" s="241"/>
      <c r="L4295" s="241"/>
      <c r="M4295" s="241"/>
      <c r="N4295" s="241"/>
      <c r="O4295" s="241"/>
      <c r="P4295" s="241"/>
      <c r="Q4295" s="241"/>
    </row>
    <row r="4296" spans="1:17" ht="13.5" customHeight="1" x14ac:dyDescent="0.3">
      <c r="A4296"/>
      <c r="B4296" s="241"/>
      <c r="C4296" s="241"/>
      <c r="D4296" s="241"/>
      <c r="E4296" s="241"/>
      <c r="F4296" s="241"/>
      <c r="G4296" s="241"/>
      <c r="H4296" s="241"/>
      <c r="I4296"/>
      <c r="J4296" s="241"/>
      <c r="K4296" s="241"/>
      <c r="L4296" s="241"/>
      <c r="M4296" s="241"/>
      <c r="N4296" s="241"/>
      <c r="O4296" s="241"/>
      <c r="P4296" s="241"/>
      <c r="Q4296" s="241"/>
    </row>
    <row r="4297" spans="1:17" ht="13.5" customHeight="1" x14ac:dyDescent="0.3">
      <c r="A4297"/>
      <c r="B4297" s="241"/>
      <c r="C4297" s="241"/>
      <c r="D4297" s="241"/>
      <c r="E4297" s="241"/>
      <c r="F4297" s="241"/>
      <c r="G4297" s="241"/>
      <c r="H4297" s="241"/>
      <c r="I4297"/>
      <c r="J4297" s="241"/>
      <c r="K4297" s="241"/>
      <c r="L4297" s="241"/>
      <c r="M4297" s="241"/>
      <c r="N4297" s="241"/>
      <c r="O4297" s="241"/>
      <c r="P4297" s="241"/>
      <c r="Q4297" s="241"/>
    </row>
    <row r="4298" spans="1:17" ht="13.5" customHeight="1" x14ac:dyDescent="0.3">
      <c r="A4298"/>
      <c r="B4298" s="241"/>
      <c r="C4298" s="241"/>
      <c r="D4298" s="241"/>
      <c r="E4298" s="241"/>
      <c r="F4298" s="241"/>
      <c r="G4298" s="241"/>
      <c r="H4298" s="241"/>
      <c r="I4298"/>
      <c r="J4298" s="241"/>
      <c r="K4298" s="241"/>
      <c r="L4298" s="241"/>
      <c r="M4298" s="241"/>
      <c r="N4298" s="241"/>
      <c r="O4298" s="241"/>
      <c r="P4298" s="241"/>
      <c r="Q4298" s="241"/>
    </row>
    <row r="4299" spans="1:17" ht="13.5" customHeight="1" x14ac:dyDescent="0.3">
      <c r="A4299"/>
      <c r="B4299" s="241"/>
      <c r="C4299" s="241"/>
      <c r="D4299" s="241"/>
      <c r="E4299" s="241"/>
      <c r="F4299" s="241"/>
      <c r="G4299" s="241"/>
      <c r="H4299" s="241"/>
      <c r="I4299"/>
      <c r="J4299" s="241"/>
      <c r="K4299" s="241"/>
      <c r="L4299" s="241"/>
      <c r="M4299" s="241"/>
      <c r="N4299" s="241"/>
      <c r="O4299" s="241"/>
      <c r="P4299" s="241"/>
      <c r="Q4299" s="241"/>
    </row>
    <row r="4300" spans="1:17" ht="13.5" customHeight="1" x14ac:dyDescent="0.3">
      <c r="A4300"/>
      <c r="B4300" s="241"/>
      <c r="C4300" s="241"/>
      <c r="D4300" s="241"/>
      <c r="E4300" s="241"/>
      <c r="F4300" s="241"/>
      <c r="G4300" s="241"/>
      <c r="H4300" s="241"/>
      <c r="I4300"/>
      <c r="J4300" s="241"/>
      <c r="K4300" s="241"/>
      <c r="L4300" s="241"/>
      <c r="M4300" s="241"/>
      <c r="N4300" s="241"/>
      <c r="O4300" s="241"/>
      <c r="P4300" s="241"/>
      <c r="Q4300" s="241"/>
    </row>
    <row r="4301" spans="1:17" ht="13.5" customHeight="1" x14ac:dyDescent="0.3">
      <c r="A4301"/>
      <c r="B4301" s="241"/>
      <c r="C4301" s="241"/>
      <c r="D4301" s="241"/>
      <c r="E4301" s="241"/>
      <c r="F4301" s="241"/>
      <c r="G4301" s="241"/>
      <c r="H4301" s="241"/>
      <c r="I4301"/>
      <c r="J4301" s="241"/>
      <c r="K4301" s="241"/>
      <c r="L4301" s="241"/>
      <c r="M4301" s="241"/>
      <c r="N4301" s="241"/>
      <c r="O4301" s="241"/>
      <c r="P4301" s="241"/>
      <c r="Q4301" s="241"/>
    </row>
    <row r="4302" spans="1:17" ht="13.5" customHeight="1" x14ac:dyDescent="0.3">
      <c r="A4302"/>
      <c r="B4302" s="241"/>
      <c r="C4302" s="241"/>
      <c r="D4302" s="241"/>
      <c r="E4302" s="241"/>
      <c r="F4302" s="241"/>
      <c r="G4302" s="241"/>
      <c r="H4302" s="241"/>
      <c r="I4302"/>
      <c r="J4302" s="241"/>
      <c r="K4302" s="241"/>
      <c r="L4302" s="241"/>
      <c r="M4302" s="241"/>
      <c r="N4302" s="241"/>
      <c r="O4302" s="241"/>
      <c r="P4302" s="241"/>
      <c r="Q4302" s="241"/>
    </row>
    <row r="4303" spans="1:17" ht="13.5" customHeight="1" x14ac:dyDescent="0.3">
      <c r="A4303"/>
      <c r="B4303" s="241"/>
      <c r="C4303" s="241"/>
      <c r="D4303" s="241"/>
      <c r="E4303" s="241"/>
      <c r="F4303" s="241"/>
      <c r="G4303" s="241"/>
      <c r="H4303" s="241"/>
      <c r="I4303"/>
      <c r="J4303" s="241"/>
      <c r="K4303" s="241"/>
      <c r="L4303" s="241"/>
      <c r="M4303" s="241"/>
      <c r="N4303" s="241"/>
      <c r="O4303" s="241"/>
      <c r="P4303" s="241"/>
      <c r="Q4303" s="241"/>
    </row>
    <row r="4304" spans="1:17" ht="13.5" customHeight="1" x14ac:dyDescent="0.3">
      <c r="A4304"/>
      <c r="B4304" s="241"/>
      <c r="C4304" s="241"/>
      <c r="D4304" s="241"/>
      <c r="E4304" s="241"/>
      <c r="F4304" s="241"/>
      <c r="G4304" s="241"/>
      <c r="H4304" s="241"/>
      <c r="I4304"/>
      <c r="J4304" s="241"/>
      <c r="K4304" s="241"/>
      <c r="L4304" s="241"/>
      <c r="M4304" s="241"/>
      <c r="N4304" s="241"/>
      <c r="O4304" s="241"/>
      <c r="P4304" s="241"/>
      <c r="Q4304" s="241"/>
    </row>
    <row r="4305" spans="1:17" ht="13.5" customHeight="1" x14ac:dyDescent="0.3">
      <c r="A4305"/>
      <c r="B4305" s="241"/>
      <c r="C4305" s="241"/>
      <c r="D4305" s="241"/>
      <c r="E4305" s="241"/>
      <c r="F4305" s="241"/>
      <c r="G4305" s="241"/>
      <c r="H4305" s="241"/>
      <c r="I4305"/>
      <c r="J4305" s="241"/>
      <c r="K4305" s="241"/>
      <c r="L4305" s="241"/>
      <c r="M4305" s="241"/>
      <c r="N4305" s="241"/>
      <c r="O4305" s="241"/>
      <c r="P4305" s="241"/>
      <c r="Q4305" s="241"/>
    </row>
    <row r="4306" spans="1:17" ht="13.5" customHeight="1" x14ac:dyDescent="0.3">
      <c r="A4306"/>
      <c r="B4306" s="241"/>
      <c r="C4306" s="241"/>
      <c r="D4306" s="241"/>
      <c r="E4306" s="241"/>
      <c r="F4306" s="241"/>
      <c r="G4306" s="241"/>
      <c r="H4306" s="241"/>
      <c r="I4306"/>
      <c r="J4306" s="241"/>
      <c r="K4306" s="241"/>
      <c r="L4306" s="241"/>
      <c r="M4306" s="241"/>
      <c r="N4306" s="241"/>
      <c r="O4306" s="241"/>
      <c r="P4306" s="241"/>
      <c r="Q4306" s="241"/>
    </row>
    <row r="4307" spans="1:17" ht="13.5" customHeight="1" x14ac:dyDescent="0.3">
      <c r="A4307"/>
      <c r="B4307" s="241"/>
      <c r="C4307" s="241"/>
      <c r="D4307" s="241"/>
      <c r="E4307" s="241"/>
      <c r="F4307" s="241"/>
      <c r="G4307" s="241"/>
      <c r="H4307" s="241"/>
      <c r="I4307"/>
      <c r="J4307" s="241"/>
      <c r="K4307" s="241"/>
      <c r="L4307" s="241"/>
      <c r="M4307" s="241"/>
      <c r="N4307" s="241"/>
      <c r="O4307" s="241"/>
      <c r="P4307" s="241"/>
      <c r="Q4307" s="241"/>
    </row>
    <row r="4308" spans="1:17" ht="13.5" customHeight="1" x14ac:dyDescent="0.3">
      <c r="A4308"/>
      <c r="B4308" s="241"/>
      <c r="C4308" s="241"/>
      <c r="D4308" s="241"/>
      <c r="E4308" s="241"/>
      <c r="F4308" s="241"/>
      <c r="G4308" s="241"/>
      <c r="H4308" s="241"/>
      <c r="I4308"/>
      <c r="J4308" s="241"/>
      <c r="K4308" s="241"/>
      <c r="L4308" s="241"/>
      <c r="M4308" s="241"/>
      <c r="N4308" s="241"/>
      <c r="O4308" s="241"/>
      <c r="P4308" s="241"/>
      <c r="Q4308" s="241"/>
    </row>
    <row r="4309" spans="1:17" ht="13.5" customHeight="1" x14ac:dyDescent="0.3">
      <c r="A4309"/>
      <c r="B4309" s="241"/>
      <c r="C4309" s="241"/>
      <c r="D4309" s="241"/>
      <c r="E4309" s="241"/>
      <c r="F4309" s="241"/>
      <c r="G4309" s="241"/>
      <c r="H4309" s="241"/>
      <c r="I4309"/>
      <c r="J4309" s="241"/>
      <c r="K4309" s="241"/>
      <c r="L4309" s="241"/>
      <c r="M4309" s="241"/>
      <c r="N4309" s="241"/>
      <c r="O4309" s="241"/>
      <c r="P4309" s="241"/>
      <c r="Q4309" s="241"/>
    </row>
    <row r="4310" spans="1:17" ht="13.5" customHeight="1" x14ac:dyDescent="0.3">
      <c r="A4310"/>
      <c r="B4310" s="241"/>
      <c r="C4310" s="241"/>
      <c r="D4310" s="241"/>
      <c r="E4310" s="241"/>
      <c r="F4310" s="241"/>
      <c r="G4310" s="241"/>
      <c r="H4310" s="241"/>
      <c r="I4310"/>
      <c r="J4310" s="241"/>
      <c r="K4310" s="241"/>
      <c r="L4310" s="241"/>
      <c r="M4310" s="241"/>
      <c r="N4310" s="241"/>
      <c r="O4310" s="241"/>
      <c r="P4310" s="241"/>
      <c r="Q4310" s="241"/>
    </row>
    <row r="4311" spans="1:17" ht="13.5" customHeight="1" x14ac:dyDescent="0.3">
      <c r="A4311"/>
      <c r="B4311" s="241"/>
      <c r="C4311" s="241"/>
      <c r="D4311" s="241"/>
      <c r="E4311" s="241"/>
      <c r="F4311" s="241"/>
      <c r="G4311" s="241"/>
      <c r="H4311" s="241"/>
      <c r="I4311"/>
      <c r="J4311" s="241"/>
      <c r="K4311" s="241"/>
      <c r="L4311" s="241"/>
      <c r="M4311" s="241"/>
      <c r="N4311" s="241"/>
      <c r="O4311" s="241"/>
      <c r="P4311" s="241"/>
      <c r="Q4311" s="241"/>
    </row>
    <row r="4312" spans="1:17" ht="13.5" customHeight="1" x14ac:dyDescent="0.3">
      <c r="A4312"/>
      <c r="B4312" s="241"/>
      <c r="C4312" s="241"/>
      <c r="D4312" s="241"/>
      <c r="E4312" s="241"/>
      <c r="F4312" s="241"/>
      <c r="G4312" s="241"/>
      <c r="H4312" s="241"/>
      <c r="I4312"/>
      <c r="J4312" s="241"/>
      <c r="K4312" s="241"/>
      <c r="L4312" s="241"/>
      <c r="M4312" s="241"/>
      <c r="N4312" s="241"/>
      <c r="O4312" s="241"/>
      <c r="P4312" s="241"/>
      <c r="Q4312" s="241"/>
    </row>
    <row r="4313" spans="1:17" ht="13.5" customHeight="1" x14ac:dyDescent="0.3">
      <c r="A4313"/>
      <c r="B4313" s="241"/>
      <c r="C4313" s="241"/>
      <c r="D4313" s="241"/>
      <c r="E4313" s="241"/>
      <c r="F4313" s="241"/>
      <c r="G4313" s="241"/>
      <c r="H4313" s="241"/>
      <c r="I4313"/>
      <c r="J4313" s="241"/>
      <c r="K4313" s="241"/>
      <c r="L4313" s="241"/>
      <c r="M4313" s="241"/>
      <c r="N4313" s="241"/>
      <c r="O4313" s="241"/>
      <c r="P4313" s="241"/>
      <c r="Q4313" s="241"/>
    </row>
    <row r="4314" spans="1:17" ht="13.5" customHeight="1" x14ac:dyDescent="0.3">
      <c r="A4314"/>
      <c r="B4314" s="241"/>
      <c r="C4314" s="241"/>
      <c r="D4314" s="241"/>
      <c r="E4314" s="241"/>
      <c r="F4314" s="241"/>
      <c r="G4314" s="241"/>
      <c r="H4314" s="241"/>
      <c r="I4314"/>
      <c r="J4314" s="241"/>
      <c r="K4314" s="241"/>
      <c r="L4314" s="241"/>
      <c r="M4314" s="241"/>
      <c r="N4314" s="241"/>
      <c r="O4314" s="241"/>
      <c r="P4314" s="241"/>
      <c r="Q4314" s="241"/>
    </row>
    <row r="4315" spans="1:17" ht="13.5" customHeight="1" x14ac:dyDescent="0.3">
      <c r="A4315"/>
      <c r="B4315" s="241"/>
      <c r="C4315" s="241"/>
      <c r="D4315" s="241"/>
      <c r="E4315" s="241"/>
      <c r="F4315" s="241"/>
      <c r="G4315" s="241"/>
      <c r="H4315" s="241"/>
      <c r="I4315"/>
      <c r="J4315" s="241"/>
      <c r="K4315" s="241"/>
      <c r="L4315" s="241"/>
      <c r="M4315" s="241"/>
      <c r="N4315" s="241"/>
      <c r="O4315" s="241"/>
      <c r="P4315" s="241"/>
      <c r="Q4315" s="241"/>
    </row>
    <row r="4316" spans="1:17" ht="13.5" customHeight="1" x14ac:dyDescent="0.3">
      <c r="A4316"/>
      <c r="B4316" s="241"/>
      <c r="C4316" s="241"/>
      <c r="D4316" s="241"/>
      <c r="E4316" s="241"/>
      <c r="F4316" s="241"/>
      <c r="G4316" s="241"/>
      <c r="H4316" s="241"/>
      <c r="I4316"/>
      <c r="J4316" s="241"/>
      <c r="K4316" s="241"/>
      <c r="L4316" s="241"/>
      <c r="M4316" s="241"/>
      <c r="N4316" s="241"/>
      <c r="O4316" s="241"/>
      <c r="P4316" s="241"/>
      <c r="Q4316" s="241"/>
    </row>
    <row r="4317" spans="1:17" ht="13.5" customHeight="1" x14ac:dyDescent="0.3">
      <c r="A4317"/>
      <c r="B4317" s="241"/>
      <c r="C4317" s="241"/>
      <c r="D4317" s="241"/>
      <c r="E4317" s="241"/>
      <c r="F4317" s="241"/>
      <c r="G4317" s="241"/>
      <c r="H4317" s="241"/>
      <c r="I4317"/>
      <c r="J4317" s="241"/>
      <c r="K4317" s="241"/>
      <c r="L4317" s="241"/>
      <c r="M4317" s="241"/>
      <c r="N4317" s="241"/>
      <c r="O4317" s="241"/>
      <c r="P4317" s="241"/>
      <c r="Q4317" s="241"/>
    </row>
    <row r="4318" spans="1:17" ht="13.5" customHeight="1" x14ac:dyDescent="0.3">
      <c r="A4318"/>
      <c r="B4318" s="241"/>
      <c r="C4318" s="241"/>
      <c r="D4318" s="241"/>
      <c r="E4318" s="241"/>
      <c r="F4318" s="241"/>
      <c r="G4318" s="241"/>
      <c r="H4318" s="241"/>
      <c r="I4318"/>
      <c r="J4318" s="241"/>
      <c r="K4318" s="241"/>
      <c r="L4318" s="241"/>
      <c r="M4318" s="241"/>
      <c r="N4318" s="241"/>
      <c r="O4318" s="241"/>
      <c r="P4318" s="241"/>
      <c r="Q4318" s="241"/>
    </row>
    <row r="4319" spans="1:17" ht="13.5" customHeight="1" x14ac:dyDescent="0.3">
      <c r="A4319"/>
      <c r="B4319" s="241"/>
      <c r="C4319" s="241"/>
      <c r="D4319" s="241"/>
      <c r="E4319" s="241"/>
      <c r="F4319" s="241"/>
      <c r="G4319" s="241"/>
      <c r="H4319" s="241"/>
      <c r="I4319"/>
      <c r="J4319" s="241"/>
      <c r="K4319" s="241"/>
      <c r="L4319" s="241"/>
      <c r="M4319" s="241"/>
      <c r="N4319" s="241"/>
      <c r="O4319" s="241"/>
      <c r="P4319" s="241"/>
      <c r="Q4319" s="241"/>
    </row>
    <row r="4320" spans="1:17" ht="13.5" customHeight="1" x14ac:dyDescent="0.3">
      <c r="A4320"/>
      <c r="B4320" s="241"/>
      <c r="C4320" s="241"/>
      <c r="D4320" s="241"/>
      <c r="E4320" s="241"/>
      <c r="F4320" s="241"/>
      <c r="G4320" s="241"/>
      <c r="H4320" s="241"/>
      <c r="I4320"/>
      <c r="J4320" s="241"/>
      <c r="K4320" s="241"/>
      <c r="L4320" s="241"/>
      <c r="M4320" s="241"/>
      <c r="N4320" s="241"/>
      <c r="O4320" s="241"/>
      <c r="P4320" s="241"/>
      <c r="Q4320" s="241"/>
    </row>
    <row r="4321" spans="1:17" ht="13.5" customHeight="1" x14ac:dyDescent="0.3">
      <c r="A4321"/>
      <c r="B4321" s="241"/>
      <c r="C4321" s="241"/>
      <c r="D4321" s="241"/>
      <c r="E4321" s="241"/>
      <c r="F4321" s="241"/>
      <c r="G4321" s="241"/>
      <c r="H4321" s="241"/>
      <c r="I4321"/>
      <c r="J4321" s="241"/>
      <c r="K4321" s="241"/>
      <c r="L4321" s="241"/>
      <c r="M4321" s="241"/>
      <c r="N4321" s="241"/>
      <c r="O4321" s="241"/>
      <c r="P4321" s="241"/>
      <c r="Q4321" s="241"/>
    </row>
    <row r="4322" spans="1:17" ht="13.5" customHeight="1" x14ac:dyDescent="0.3">
      <c r="A4322"/>
      <c r="B4322" s="241"/>
      <c r="C4322" s="241"/>
      <c r="D4322" s="241"/>
      <c r="E4322" s="241"/>
      <c r="F4322" s="241"/>
      <c r="G4322" s="241"/>
      <c r="H4322" s="241"/>
      <c r="I4322"/>
      <c r="J4322" s="241"/>
      <c r="K4322" s="241"/>
      <c r="L4322" s="241"/>
      <c r="M4322" s="241"/>
      <c r="N4322" s="241"/>
      <c r="O4322" s="241"/>
      <c r="P4322" s="241"/>
      <c r="Q4322" s="241"/>
    </row>
    <row r="4323" spans="1:17" ht="13.5" customHeight="1" x14ac:dyDescent="0.3">
      <c r="A4323"/>
      <c r="B4323" s="241"/>
      <c r="C4323" s="241"/>
      <c r="D4323" s="241"/>
      <c r="E4323" s="241"/>
      <c r="F4323" s="241"/>
      <c r="G4323" s="241"/>
      <c r="H4323" s="241"/>
      <c r="I4323"/>
      <c r="J4323" s="241"/>
      <c r="K4323" s="241"/>
      <c r="L4323" s="241"/>
      <c r="M4323" s="241"/>
      <c r="N4323" s="241"/>
      <c r="O4323" s="241"/>
      <c r="P4323" s="241"/>
      <c r="Q4323" s="241"/>
    </row>
    <row r="4324" spans="1:17" ht="13.5" customHeight="1" x14ac:dyDescent="0.3">
      <c r="A4324"/>
      <c r="B4324" s="241"/>
      <c r="C4324" s="241"/>
      <c r="D4324" s="241"/>
      <c r="E4324" s="241"/>
      <c r="F4324" s="241"/>
      <c r="G4324" s="241"/>
      <c r="H4324" s="241"/>
      <c r="I4324"/>
      <c r="J4324" s="241"/>
      <c r="K4324" s="241"/>
      <c r="L4324" s="241"/>
      <c r="M4324" s="241"/>
      <c r="N4324" s="241"/>
      <c r="O4324" s="241"/>
      <c r="P4324" s="241"/>
      <c r="Q4324" s="241"/>
    </row>
    <row r="4325" spans="1:17" ht="13.5" customHeight="1" x14ac:dyDescent="0.3">
      <c r="A4325"/>
      <c r="B4325" s="241"/>
      <c r="C4325" s="241"/>
      <c r="D4325" s="241"/>
      <c r="E4325" s="241"/>
      <c r="F4325" s="241"/>
      <c r="G4325" s="241"/>
      <c r="H4325" s="241"/>
      <c r="I4325"/>
      <c r="J4325" s="241"/>
      <c r="K4325" s="241"/>
      <c r="L4325" s="241"/>
      <c r="M4325" s="241"/>
      <c r="N4325" s="241"/>
      <c r="O4325" s="241"/>
      <c r="P4325" s="241"/>
      <c r="Q4325" s="241"/>
    </row>
    <row r="4326" spans="1:17" ht="13.5" customHeight="1" x14ac:dyDescent="0.3">
      <c r="A4326"/>
      <c r="B4326" s="241"/>
      <c r="C4326" s="241"/>
      <c r="D4326" s="241"/>
      <c r="E4326" s="241"/>
      <c r="F4326" s="241"/>
      <c r="G4326" s="241"/>
      <c r="H4326" s="241"/>
      <c r="I4326"/>
      <c r="J4326" s="241"/>
      <c r="K4326" s="241"/>
      <c r="L4326" s="241"/>
      <c r="M4326" s="241"/>
      <c r="N4326" s="241"/>
      <c r="O4326" s="241"/>
      <c r="P4326" s="241"/>
      <c r="Q4326" s="241"/>
    </row>
    <row r="4327" spans="1:17" ht="13.5" customHeight="1" x14ac:dyDescent="0.3">
      <c r="A4327"/>
      <c r="B4327" s="241"/>
      <c r="C4327" s="241"/>
      <c r="D4327" s="241"/>
      <c r="E4327" s="241"/>
      <c r="F4327" s="241"/>
      <c r="G4327" s="241"/>
      <c r="H4327" s="241"/>
      <c r="I4327"/>
      <c r="J4327" s="241"/>
      <c r="K4327" s="241"/>
      <c r="L4327" s="241"/>
      <c r="M4327" s="241"/>
      <c r="N4327" s="241"/>
      <c r="O4327" s="241"/>
      <c r="P4327" s="241"/>
      <c r="Q4327" s="241"/>
    </row>
    <row r="4328" spans="1:17" ht="13.5" customHeight="1" x14ac:dyDescent="0.3">
      <c r="A4328"/>
      <c r="B4328" s="241"/>
      <c r="C4328" s="241"/>
      <c r="D4328" s="241"/>
      <c r="E4328" s="241"/>
      <c r="F4328" s="241"/>
      <c r="G4328" s="241"/>
      <c r="H4328" s="241"/>
      <c r="I4328"/>
      <c r="J4328" s="241"/>
      <c r="K4328" s="241"/>
      <c r="L4328" s="241"/>
      <c r="M4328" s="241"/>
      <c r="N4328" s="241"/>
      <c r="O4328" s="241"/>
      <c r="P4328" s="241"/>
      <c r="Q4328" s="241"/>
    </row>
    <row r="4329" spans="1:17" ht="13.5" customHeight="1" x14ac:dyDescent="0.3">
      <c r="A4329"/>
      <c r="B4329" s="241"/>
      <c r="C4329" s="241"/>
      <c r="D4329" s="241"/>
      <c r="E4329" s="241"/>
      <c r="F4329" s="241"/>
      <c r="G4329" s="241"/>
      <c r="H4329" s="241"/>
      <c r="I4329"/>
      <c r="J4329" s="241"/>
      <c r="K4329" s="241"/>
      <c r="L4329" s="241"/>
      <c r="M4329" s="241"/>
      <c r="N4329" s="241"/>
      <c r="O4329" s="241"/>
      <c r="P4329" s="241"/>
      <c r="Q4329" s="241"/>
    </row>
    <row r="4330" spans="1:17" ht="13.5" customHeight="1" x14ac:dyDescent="0.3">
      <c r="A4330"/>
      <c r="B4330" s="241"/>
      <c r="C4330" s="241"/>
      <c r="D4330" s="241"/>
      <c r="E4330" s="241"/>
      <c r="F4330" s="241"/>
      <c r="G4330" s="241"/>
      <c r="H4330" s="241"/>
      <c r="I4330"/>
      <c r="J4330" s="241"/>
      <c r="K4330" s="241"/>
      <c r="L4330" s="241"/>
      <c r="M4330" s="241"/>
      <c r="N4330" s="241"/>
      <c r="O4330" s="241"/>
      <c r="P4330" s="241"/>
      <c r="Q4330" s="241"/>
    </row>
    <row r="4331" spans="1:17" ht="13.5" customHeight="1" x14ac:dyDescent="0.3">
      <c r="A4331"/>
      <c r="B4331" s="241"/>
      <c r="C4331" s="241"/>
      <c r="D4331" s="241"/>
      <c r="E4331" s="241"/>
      <c r="F4331" s="241"/>
      <c r="G4331" s="241"/>
      <c r="H4331" s="241"/>
      <c r="I4331"/>
      <c r="J4331" s="241"/>
      <c r="K4331" s="241"/>
      <c r="L4331" s="241"/>
      <c r="M4331" s="241"/>
      <c r="N4331" s="241"/>
      <c r="O4331" s="241"/>
      <c r="P4331" s="241"/>
      <c r="Q4331" s="241"/>
    </row>
    <row r="4332" spans="1:17" ht="13.5" customHeight="1" x14ac:dyDescent="0.3">
      <c r="A4332"/>
      <c r="B4332" s="241"/>
      <c r="C4332" s="241"/>
      <c r="D4332" s="241"/>
      <c r="E4332" s="241"/>
      <c r="F4332" s="241"/>
      <c r="G4332" s="241"/>
      <c r="H4332" s="241"/>
      <c r="I4332"/>
      <c r="J4332" s="241"/>
      <c r="K4332" s="241"/>
      <c r="L4332" s="241"/>
      <c r="M4332" s="241"/>
      <c r="N4332" s="241"/>
      <c r="O4332" s="241"/>
      <c r="P4332" s="241"/>
      <c r="Q4332" s="241"/>
    </row>
    <row r="4333" spans="1:17" ht="13.5" customHeight="1" x14ac:dyDescent="0.3">
      <c r="A4333"/>
      <c r="B4333" s="241"/>
      <c r="C4333" s="241"/>
      <c r="D4333" s="241"/>
      <c r="E4333" s="241"/>
      <c r="F4333" s="241"/>
      <c r="G4333" s="241"/>
      <c r="H4333" s="241"/>
      <c r="I4333"/>
      <c r="J4333" s="241"/>
      <c r="K4333" s="241"/>
      <c r="L4333" s="241"/>
      <c r="M4333" s="241"/>
      <c r="N4333" s="241"/>
      <c r="O4333" s="241"/>
      <c r="P4333" s="241"/>
      <c r="Q4333" s="241"/>
    </row>
    <row r="4334" spans="1:17" ht="13.5" customHeight="1" x14ac:dyDescent="0.3">
      <c r="A4334"/>
      <c r="B4334" s="241"/>
      <c r="C4334" s="241"/>
      <c r="D4334" s="241"/>
      <c r="E4334" s="241"/>
      <c r="F4334" s="241"/>
      <c r="G4334" s="241"/>
      <c r="H4334" s="241"/>
      <c r="I4334"/>
      <c r="J4334" s="241"/>
      <c r="K4334" s="241"/>
      <c r="L4334" s="241"/>
      <c r="M4334" s="241"/>
      <c r="N4334" s="241"/>
      <c r="O4334" s="241"/>
      <c r="P4334" s="241"/>
      <c r="Q4334" s="241"/>
    </row>
    <row r="4335" spans="1:17" ht="13.5" customHeight="1" x14ac:dyDescent="0.3">
      <c r="A4335"/>
      <c r="B4335" s="241"/>
      <c r="C4335" s="241"/>
      <c r="D4335" s="241"/>
      <c r="E4335" s="241"/>
      <c r="F4335" s="241"/>
      <c r="G4335" s="241"/>
      <c r="H4335" s="241"/>
      <c r="I4335"/>
      <c r="J4335" s="241"/>
      <c r="K4335" s="241"/>
      <c r="L4335" s="241"/>
      <c r="M4335" s="241"/>
      <c r="N4335" s="241"/>
      <c r="O4335" s="241"/>
      <c r="P4335" s="241"/>
      <c r="Q4335" s="241"/>
    </row>
    <row r="4336" spans="1:17" ht="13.5" customHeight="1" x14ac:dyDescent="0.3">
      <c r="A4336"/>
      <c r="B4336" s="241"/>
      <c r="C4336" s="241"/>
      <c r="D4336" s="241"/>
      <c r="E4336" s="241"/>
      <c r="F4336" s="241"/>
      <c r="G4336" s="241"/>
      <c r="H4336" s="241"/>
      <c r="I4336"/>
      <c r="J4336" s="241"/>
      <c r="K4336" s="241"/>
      <c r="L4336" s="241"/>
      <c r="M4336" s="241"/>
      <c r="N4336" s="241"/>
      <c r="O4336" s="241"/>
      <c r="P4336" s="241"/>
      <c r="Q4336" s="241"/>
    </row>
    <row r="4337" spans="1:17" ht="13.5" customHeight="1" x14ac:dyDescent="0.3">
      <c r="A4337"/>
      <c r="B4337" s="241"/>
      <c r="C4337" s="241"/>
      <c r="D4337" s="241"/>
      <c r="E4337" s="241"/>
      <c r="F4337" s="241"/>
      <c r="G4337" s="241"/>
      <c r="H4337" s="241"/>
      <c r="I4337"/>
      <c r="J4337" s="241"/>
      <c r="K4337" s="241"/>
      <c r="L4337" s="241"/>
      <c r="M4337" s="241"/>
      <c r="N4337" s="241"/>
      <c r="O4337" s="241"/>
      <c r="P4337" s="241"/>
      <c r="Q4337" s="241"/>
    </row>
    <row r="4338" spans="1:17" ht="13.5" customHeight="1" x14ac:dyDescent="0.3">
      <c r="A4338"/>
      <c r="B4338" s="241"/>
      <c r="C4338" s="241"/>
      <c r="D4338" s="241"/>
      <c r="E4338" s="241"/>
      <c r="F4338" s="241"/>
      <c r="G4338" s="241"/>
      <c r="H4338" s="241"/>
      <c r="I4338"/>
      <c r="J4338" s="241"/>
      <c r="K4338" s="241"/>
      <c r="L4338" s="241"/>
      <c r="M4338" s="241"/>
      <c r="N4338" s="241"/>
      <c r="O4338" s="241"/>
      <c r="P4338" s="241"/>
      <c r="Q4338" s="241"/>
    </row>
    <row r="4339" spans="1:17" ht="13.5" customHeight="1" x14ac:dyDescent="0.3">
      <c r="A4339"/>
      <c r="B4339" s="241"/>
      <c r="C4339" s="241"/>
      <c r="D4339" s="241"/>
      <c r="E4339" s="241"/>
      <c r="F4339" s="241"/>
      <c r="G4339" s="241"/>
      <c r="H4339" s="241"/>
      <c r="I4339"/>
      <c r="J4339" s="241"/>
      <c r="K4339" s="241"/>
      <c r="L4339" s="241"/>
      <c r="M4339" s="241"/>
      <c r="N4339" s="241"/>
      <c r="O4339" s="241"/>
      <c r="P4339" s="241"/>
      <c r="Q4339" s="241"/>
    </row>
    <row r="4340" spans="1:17" ht="13.5" customHeight="1" x14ac:dyDescent="0.3">
      <c r="A4340"/>
      <c r="B4340" s="241"/>
      <c r="C4340" s="241"/>
      <c r="D4340" s="241"/>
      <c r="E4340" s="241"/>
      <c r="F4340" s="241"/>
      <c r="G4340" s="241"/>
      <c r="H4340" s="241"/>
      <c r="I4340"/>
      <c r="J4340" s="241"/>
      <c r="K4340" s="241"/>
      <c r="L4340" s="241"/>
      <c r="M4340" s="241"/>
      <c r="N4340" s="241"/>
      <c r="O4340" s="241"/>
      <c r="P4340" s="241"/>
      <c r="Q4340" s="241"/>
    </row>
    <row r="4341" spans="1:17" ht="13.5" customHeight="1" x14ac:dyDescent="0.3">
      <c r="A4341"/>
      <c r="B4341" s="241"/>
      <c r="C4341" s="241"/>
      <c r="D4341" s="241"/>
      <c r="E4341" s="241"/>
      <c r="F4341" s="241"/>
      <c r="G4341" s="241"/>
      <c r="H4341" s="241"/>
      <c r="I4341"/>
      <c r="J4341" s="241"/>
      <c r="K4341" s="241"/>
      <c r="L4341" s="241"/>
      <c r="M4341" s="241"/>
      <c r="N4341" s="241"/>
      <c r="O4341" s="241"/>
      <c r="P4341" s="241"/>
      <c r="Q4341" s="241"/>
    </row>
    <row r="4342" spans="1:17" ht="13.5" customHeight="1" x14ac:dyDescent="0.3">
      <c r="A4342"/>
      <c r="B4342" s="241"/>
      <c r="C4342" s="241"/>
      <c r="D4342" s="241"/>
      <c r="E4342" s="241"/>
      <c r="F4342" s="241"/>
      <c r="G4342" s="241"/>
      <c r="H4342" s="241"/>
      <c r="I4342"/>
      <c r="J4342" s="241"/>
      <c r="K4342" s="241"/>
      <c r="L4342" s="241"/>
      <c r="M4342" s="241"/>
      <c r="N4342" s="241"/>
      <c r="O4342" s="241"/>
      <c r="P4342" s="241"/>
      <c r="Q4342" s="241"/>
    </row>
    <row r="4343" spans="1:17" ht="13.5" customHeight="1" x14ac:dyDescent="0.3">
      <c r="A4343"/>
      <c r="B4343" s="241"/>
      <c r="C4343" s="241"/>
      <c r="D4343" s="241"/>
      <c r="E4343" s="241"/>
      <c r="F4343" s="241"/>
      <c r="G4343" s="241"/>
      <c r="H4343" s="241"/>
      <c r="I4343"/>
      <c r="J4343" s="241"/>
      <c r="K4343" s="241"/>
      <c r="L4343" s="241"/>
      <c r="M4343" s="241"/>
      <c r="N4343" s="241"/>
      <c r="O4343" s="241"/>
      <c r="P4343" s="241"/>
      <c r="Q4343" s="241"/>
    </row>
    <row r="4344" spans="1:17" ht="13.5" customHeight="1" x14ac:dyDescent="0.3">
      <c r="A4344"/>
      <c r="B4344" s="241"/>
      <c r="C4344" s="241"/>
      <c r="D4344" s="241"/>
      <c r="E4344" s="241"/>
      <c r="F4344" s="241"/>
      <c r="G4344" s="241"/>
      <c r="H4344" s="241"/>
      <c r="I4344"/>
      <c r="J4344" s="241"/>
      <c r="K4344" s="241"/>
      <c r="L4344" s="241"/>
      <c r="M4344" s="241"/>
      <c r="N4344" s="241"/>
      <c r="O4344" s="241"/>
      <c r="P4344" s="241"/>
      <c r="Q4344" s="241"/>
    </row>
    <row r="4345" spans="1:17" ht="13.5" customHeight="1" x14ac:dyDescent="0.3">
      <c r="A4345"/>
      <c r="B4345" s="241"/>
      <c r="C4345" s="241"/>
      <c r="D4345" s="241"/>
      <c r="E4345" s="241"/>
      <c r="F4345" s="241"/>
      <c r="G4345" s="241"/>
      <c r="H4345" s="241"/>
      <c r="I4345"/>
      <c r="J4345" s="241"/>
      <c r="K4345" s="241"/>
      <c r="L4345" s="241"/>
      <c r="M4345" s="241"/>
      <c r="N4345" s="241"/>
      <c r="O4345" s="241"/>
      <c r="P4345" s="241"/>
      <c r="Q4345" s="241"/>
    </row>
    <row r="4346" spans="1:17" ht="13.5" customHeight="1" x14ac:dyDescent="0.3">
      <c r="A4346"/>
      <c r="B4346" s="241"/>
      <c r="C4346" s="241"/>
      <c r="D4346" s="241"/>
      <c r="E4346" s="241"/>
      <c r="F4346" s="241"/>
      <c r="G4346" s="241"/>
      <c r="H4346" s="241"/>
      <c r="I4346"/>
      <c r="J4346" s="241"/>
      <c r="K4346" s="241"/>
      <c r="L4346" s="241"/>
      <c r="M4346" s="241"/>
      <c r="N4346" s="241"/>
      <c r="O4346" s="241"/>
      <c r="P4346" s="241"/>
      <c r="Q4346" s="241"/>
    </row>
    <row r="4347" spans="1:17" ht="13.5" customHeight="1" x14ac:dyDescent="0.3">
      <c r="A4347"/>
      <c r="B4347" s="241"/>
      <c r="C4347" s="241"/>
      <c r="D4347" s="241"/>
      <c r="E4347" s="241"/>
      <c r="F4347" s="241"/>
      <c r="G4347" s="241"/>
      <c r="H4347" s="241"/>
      <c r="I4347"/>
      <c r="J4347" s="241"/>
      <c r="K4347" s="241"/>
      <c r="L4347" s="241"/>
      <c r="M4347" s="241"/>
      <c r="N4347" s="241"/>
      <c r="O4347" s="241"/>
      <c r="P4347" s="241"/>
      <c r="Q4347" s="241"/>
    </row>
    <row r="4348" spans="1:17" ht="13.5" customHeight="1" x14ac:dyDescent="0.3">
      <c r="A4348"/>
      <c r="B4348" s="241"/>
      <c r="C4348" s="241"/>
      <c r="D4348" s="241"/>
      <c r="E4348" s="241"/>
      <c r="F4348" s="241"/>
      <c r="G4348" s="241"/>
      <c r="H4348" s="241"/>
      <c r="I4348"/>
      <c r="J4348" s="241"/>
      <c r="K4348" s="241"/>
      <c r="L4348" s="241"/>
      <c r="M4348" s="241"/>
      <c r="N4348" s="241"/>
      <c r="O4348" s="241"/>
      <c r="P4348" s="241"/>
      <c r="Q4348" s="241"/>
    </row>
    <row r="4349" spans="1:17" ht="13.5" customHeight="1" x14ac:dyDescent="0.3">
      <c r="A4349"/>
      <c r="B4349" s="241"/>
      <c r="C4349" s="241"/>
      <c r="D4349" s="241"/>
      <c r="E4349" s="241"/>
      <c r="F4349" s="241"/>
      <c r="G4349" s="241"/>
      <c r="H4349" s="241"/>
      <c r="I4349"/>
      <c r="J4349" s="241"/>
      <c r="K4349" s="241"/>
      <c r="L4349" s="241"/>
      <c r="M4349" s="241"/>
      <c r="N4349" s="241"/>
      <c r="O4349" s="241"/>
      <c r="P4349" s="241"/>
      <c r="Q4349" s="241"/>
    </row>
    <row r="4350" spans="1:17" ht="13.5" customHeight="1" x14ac:dyDescent="0.3">
      <c r="A4350"/>
      <c r="B4350" s="241"/>
      <c r="C4350" s="241"/>
      <c r="D4350" s="241"/>
      <c r="E4350" s="241"/>
      <c r="F4350" s="241"/>
      <c r="G4350" s="241"/>
      <c r="H4350" s="241"/>
      <c r="I4350"/>
      <c r="J4350" s="241"/>
      <c r="K4350" s="241"/>
      <c r="L4350" s="241"/>
      <c r="M4350" s="241"/>
      <c r="N4350" s="241"/>
      <c r="O4350" s="241"/>
      <c r="P4350" s="241"/>
      <c r="Q4350" s="241"/>
    </row>
    <row r="4351" spans="1:17" ht="13.5" customHeight="1" x14ac:dyDescent="0.3">
      <c r="A4351"/>
      <c r="B4351" s="241"/>
      <c r="C4351" s="241"/>
      <c r="D4351" s="241"/>
      <c r="E4351" s="241"/>
      <c r="F4351" s="241"/>
      <c r="G4351" s="241"/>
      <c r="H4351" s="241"/>
      <c r="I4351"/>
      <c r="J4351" s="241"/>
      <c r="K4351" s="241"/>
      <c r="L4351" s="241"/>
      <c r="M4351" s="241"/>
      <c r="N4351" s="241"/>
      <c r="O4351" s="241"/>
      <c r="P4351" s="241"/>
      <c r="Q4351" s="241"/>
    </row>
    <row r="4352" spans="1:17" ht="13.5" customHeight="1" x14ac:dyDescent="0.3">
      <c r="A4352"/>
      <c r="B4352" s="241"/>
      <c r="C4352" s="241"/>
      <c r="D4352" s="241"/>
      <c r="E4352" s="241"/>
      <c r="F4352" s="241"/>
      <c r="G4352" s="241"/>
      <c r="H4352" s="241"/>
      <c r="I4352"/>
      <c r="J4352" s="241"/>
      <c r="K4352" s="241"/>
      <c r="L4352" s="241"/>
      <c r="M4352" s="241"/>
      <c r="N4352" s="241"/>
      <c r="O4352" s="241"/>
      <c r="P4352" s="241"/>
      <c r="Q4352" s="241"/>
    </row>
    <row r="4353" spans="1:17" ht="13.5" customHeight="1" x14ac:dyDescent="0.3">
      <c r="A4353"/>
      <c r="B4353" s="241"/>
      <c r="C4353" s="241"/>
      <c r="D4353" s="241"/>
      <c r="E4353" s="241"/>
      <c r="F4353" s="241"/>
      <c r="G4353" s="241"/>
      <c r="H4353" s="241"/>
      <c r="I4353"/>
      <c r="J4353" s="241"/>
      <c r="K4353" s="241"/>
      <c r="L4353" s="241"/>
      <c r="M4353" s="241"/>
      <c r="N4353" s="241"/>
      <c r="O4353" s="241"/>
      <c r="P4353" s="241"/>
      <c r="Q4353" s="241"/>
    </row>
    <row r="4354" spans="1:17" ht="13.5" customHeight="1" x14ac:dyDescent="0.3">
      <c r="A4354"/>
      <c r="B4354" s="241"/>
      <c r="C4354" s="241"/>
      <c r="D4354" s="241"/>
      <c r="E4354" s="241"/>
      <c r="F4354" s="241"/>
      <c r="G4354" s="241"/>
      <c r="H4354" s="241"/>
      <c r="I4354"/>
      <c r="J4354" s="241"/>
      <c r="K4354" s="241"/>
      <c r="L4354" s="241"/>
      <c r="M4354" s="241"/>
      <c r="N4354" s="241"/>
      <c r="O4354" s="241"/>
      <c r="P4354" s="241"/>
      <c r="Q4354" s="241"/>
    </row>
    <row r="4355" spans="1:17" ht="13.5" customHeight="1" x14ac:dyDescent="0.3">
      <c r="A4355"/>
      <c r="B4355" s="241"/>
      <c r="C4355" s="241"/>
      <c r="D4355" s="241"/>
      <c r="E4355" s="241"/>
      <c r="F4355" s="241"/>
      <c r="G4355" s="241"/>
      <c r="H4355" s="241"/>
      <c r="I4355"/>
      <c r="J4355" s="241"/>
      <c r="K4355" s="241"/>
      <c r="L4355" s="241"/>
      <c r="M4355" s="241"/>
      <c r="N4355" s="241"/>
      <c r="O4355" s="241"/>
      <c r="P4355" s="241"/>
      <c r="Q4355" s="241"/>
    </row>
    <row r="4356" spans="1:17" ht="13.5" customHeight="1" x14ac:dyDescent="0.3">
      <c r="A4356"/>
      <c r="B4356" s="241"/>
      <c r="C4356" s="241"/>
      <c r="D4356" s="241"/>
      <c r="E4356" s="241"/>
      <c r="F4356" s="241"/>
      <c r="G4356" s="241"/>
      <c r="H4356" s="241"/>
      <c r="I4356"/>
      <c r="J4356" s="241"/>
      <c r="K4356" s="241"/>
      <c r="L4356" s="241"/>
      <c r="M4356" s="241"/>
      <c r="N4356" s="241"/>
      <c r="O4356" s="241"/>
      <c r="P4356" s="241"/>
      <c r="Q4356" s="241"/>
    </row>
    <row r="4357" spans="1:17" ht="13.5" customHeight="1" x14ac:dyDescent="0.3">
      <c r="A4357"/>
      <c r="B4357" s="241"/>
      <c r="C4357" s="241"/>
      <c r="D4357" s="241"/>
      <c r="E4357" s="241"/>
      <c r="F4357" s="241"/>
      <c r="G4357" s="241"/>
      <c r="H4357" s="241"/>
      <c r="I4357"/>
      <c r="J4357" s="241"/>
      <c r="K4357" s="241"/>
      <c r="L4357" s="241"/>
      <c r="M4357" s="241"/>
      <c r="N4357" s="241"/>
      <c r="O4357" s="241"/>
      <c r="P4357" s="241"/>
      <c r="Q4357" s="241"/>
    </row>
    <row r="4358" spans="1:17" ht="13.5" customHeight="1" x14ac:dyDescent="0.3">
      <c r="A4358"/>
      <c r="B4358" s="241"/>
      <c r="C4358" s="241"/>
      <c r="D4358" s="241"/>
      <c r="E4358" s="241"/>
      <c r="F4358" s="241"/>
      <c r="G4358" s="241"/>
      <c r="H4358" s="241"/>
      <c r="I4358"/>
      <c r="J4358" s="241"/>
      <c r="K4358" s="241"/>
      <c r="L4358" s="241"/>
      <c r="M4358" s="241"/>
      <c r="N4358" s="241"/>
      <c r="O4358" s="241"/>
      <c r="P4358" s="241"/>
      <c r="Q4358" s="241"/>
    </row>
    <row r="4359" spans="1:17" ht="13.5" customHeight="1" x14ac:dyDescent="0.3">
      <c r="A4359"/>
      <c r="B4359" s="241"/>
      <c r="C4359" s="241"/>
      <c r="D4359" s="241"/>
      <c r="E4359" s="241"/>
      <c r="F4359" s="241"/>
      <c r="G4359" s="241"/>
      <c r="H4359" s="241"/>
      <c r="I4359"/>
      <c r="J4359" s="241"/>
      <c r="K4359" s="241"/>
      <c r="L4359" s="241"/>
      <c r="M4359" s="241"/>
      <c r="N4359" s="241"/>
      <c r="O4359" s="241"/>
      <c r="P4359" s="241"/>
      <c r="Q4359" s="241"/>
    </row>
    <row r="4360" spans="1:17" ht="13.5" customHeight="1" x14ac:dyDescent="0.3">
      <c r="A4360"/>
      <c r="B4360" s="241"/>
      <c r="C4360" s="241"/>
      <c r="D4360" s="241"/>
      <c r="E4360" s="241"/>
      <c r="F4360" s="241"/>
      <c r="G4360" s="241"/>
      <c r="H4360" s="241"/>
      <c r="I4360"/>
      <c r="J4360" s="241"/>
      <c r="K4360" s="241"/>
      <c r="L4360" s="241"/>
      <c r="M4360" s="241"/>
      <c r="N4360" s="241"/>
      <c r="O4360" s="241"/>
      <c r="P4360" s="241"/>
      <c r="Q4360" s="241"/>
    </row>
    <row r="4361" spans="1:17" ht="13.5" customHeight="1" x14ac:dyDescent="0.3">
      <c r="A4361"/>
      <c r="B4361" s="241"/>
      <c r="C4361" s="241"/>
      <c r="D4361" s="241"/>
      <c r="E4361" s="241"/>
      <c r="F4361" s="241"/>
      <c r="G4361" s="241"/>
      <c r="H4361" s="241"/>
      <c r="I4361"/>
      <c r="J4361" s="241"/>
      <c r="K4361" s="241"/>
      <c r="L4361" s="241"/>
      <c r="M4361" s="241"/>
      <c r="N4361" s="241"/>
      <c r="O4361" s="241"/>
      <c r="P4361" s="241"/>
      <c r="Q4361" s="241"/>
    </row>
    <row r="4362" spans="1:17" ht="13.5" customHeight="1" x14ac:dyDescent="0.3">
      <c r="A4362"/>
      <c r="B4362" s="241"/>
      <c r="C4362" s="241"/>
      <c r="D4362" s="241"/>
      <c r="E4362" s="241"/>
      <c r="F4362" s="241"/>
      <c r="G4362" s="241"/>
      <c r="H4362" s="241"/>
      <c r="I4362"/>
      <c r="J4362" s="241"/>
      <c r="K4362" s="241"/>
      <c r="L4362" s="241"/>
      <c r="M4362" s="241"/>
      <c r="N4362" s="241"/>
      <c r="O4362" s="241"/>
      <c r="P4362" s="241"/>
      <c r="Q4362" s="241"/>
    </row>
    <row r="4363" spans="1:17" ht="13.5" customHeight="1" x14ac:dyDescent="0.3">
      <c r="A4363"/>
      <c r="B4363" s="241"/>
      <c r="C4363" s="241"/>
      <c r="D4363" s="241"/>
      <c r="E4363" s="241"/>
      <c r="F4363" s="241"/>
      <c r="G4363" s="241"/>
      <c r="H4363" s="241"/>
      <c r="I4363"/>
      <c r="J4363" s="241"/>
      <c r="K4363" s="241"/>
      <c r="L4363" s="241"/>
      <c r="M4363" s="241"/>
      <c r="N4363" s="241"/>
      <c r="O4363" s="241"/>
      <c r="P4363" s="241"/>
      <c r="Q4363" s="241"/>
    </row>
    <row r="4364" spans="1:17" ht="13.5" customHeight="1" x14ac:dyDescent="0.3">
      <c r="A4364"/>
      <c r="B4364" s="241"/>
      <c r="C4364" s="241"/>
      <c r="D4364" s="241"/>
      <c r="E4364" s="241"/>
      <c r="F4364" s="241"/>
      <c r="G4364" s="241"/>
      <c r="H4364" s="241"/>
      <c r="I4364"/>
      <c r="J4364" s="241"/>
      <c r="K4364" s="241"/>
      <c r="L4364" s="241"/>
      <c r="M4364" s="241"/>
      <c r="N4364" s="241"/>
      <c r="O4364" s="241"/>
      <c r="P4364" s="241"/>
      <c r="Q4364" s="241"/>
    </row>
    <row r="4365" spans="1:17" ht="13.5" customHeight="1" x14ac:dyDescent="0.3">
      <c r="A4365"/>
      <c r="B4365" s="241"/>
      <c r="C4365" s="241"/>
      <c r="D4365" s="241"/>
      <c r="E4365" s="241"/>
      <c r="F4365" s="241"/>
      <c r="G4365" s="241"/>
      <c r="H4365" s="241"/>
      <c r="I4365"/>
      <c r="J4365" s="241"/>
      <c r="K4365" s="241"/>
      <c r="L4365" s="241"/>
      <c r="M4365" s="241"/>
      <c r="N4365" s="241"/>
      <c r="O4365" s="241"/>
      <c r="P4365" s="241"/>
      <c r="Q4365" s="241"/>
    </row>
    <row r="4366" spans="1:17" ht="13.5" customHeight="1" x14ac:dyDescent="0.3">
      <c r="A4366"/>
      <c r="B4366" s="241"/>
      <c r="C4366" s="241"/>
      <c r="D4366" s="241"/>
      <c r="E4366" s="241"/>
      <c r="F4366" s="241"/>
      <c r="G4366" s="241"/>
      <c r="H4366" s="241"/>
      <c r="I4366"/>
      <c r="J4366" s="241"/>
      <c r="K4366" s="241"/>
      <c r="L4366" s="241"/>
      <c r="M4366" s="241"/>
      <c r="N4366" s="241"/>
      <c r="O4366" s="241"/>
      <c r="P4366" s="241"/>
      <c r="Q4366" s="241"/>
    </row>
    <row r="4367" spans="1:17" ht="13.5" customHeight="1" x14ac:dyDescent="0.3">
      <c r="A4367"/>
      <c r="B4367" s="241"/>
      <c r="C4367" s="241"/>
      <c r="D4367" s="241"/>
      <c r="E4367" s="241"/>
      <c r="F4367" s="241"/>
      <c r="G4367" s="241"/>
      <c r="H4367" s="241"/>
      <c r="I4367"/>
      <c r="J4367" s="241"/>
      <c r="K4367" s="241"/>
      <c r="L4367" s="241"/>
      <c r="M4367" s="241"/>
      <c r="N4367" s="241"/>
      <c r="O4367" s="241"/>
      <c r="P4367" s="241"/>
      <c r="Q4367" s="241"/>
    </row>
    <row r="4368" spans="1:17" ht="13.5" customHeight="1" x14ac:dyDescent="0.3">
      <c r="A4368"/>
      <c r="B4368" s="241"/>
      <c r="C4368" s="241"/>
      <c r="D4368" s="241"/>
      <c r="E4368" s="241"/>
      <c r="F4368" s="241"/>
      <c r="G4368" s="241"/>
      <c r="H4368" s="241"/>
      <c r="I4368"/>
      <c r="J4368" s="241"/>
      <c r="K4368" s="241"/>
      <c r="L4368" s="241"/>
      <c r="M4368" s="241"/>
      <c r="N4368" s="241"/>
      <c r="O4368" s="241"/>
      <c r="P4368" s="241"/>
      <c r="Q4368" s="241"/>
    </row>
    <row r="4369" spans="1:17" ht="13.5" customHeight="1" x14ac:dyDescent="0.3">
      <c r="A4369"/>
      <c r="B4369" s="241"/>
      <c r="C4369" s="241"/>
      <c r="D4369" s="241"/>
      <c r="E4369" s="241"/>
      <c r="F4369" s="241"/>
      <c r="G4369" s="241"/>
      <c r="H4369" s="241"/>
      <c r="I4369"/>
      <c r="J4369" s="241"/>
      <c r="K4369" s="241"/>
      <c r="L4369" s="241"/>
      <c r="M4369" s="241"/>
      <c r="N4369" s="241"/>
      <c r="O4369" s="241"/>
      <c r="P4369" s="241"/>
      <c r="Q4369" s="241"/>
    </row>
    <row r="4370" spans="1:17" ht="13.5" customHeight="1" x14ac:dyDescent="0.3">
      <c r="A4370"/>
      <c r="B4370" s="241"/>
      <c r="C4370" s="241"/>
      <c r="D4370" s="241"/>
      <c r="E4370" s="241"/>
      <c r="F4370" s="241"/>
      <c r="G4370" s="241"/>
      <c r="H4370" s="241"/>
      <c r="I4370"/>
      <c r="J4370" s="241"/>
      <c r="K4370" s="241"/>
      <c r="L4370" s="241"/>
      <c r="M4370" s="241"/>
      <c r="N4370" s="241"/>
      <c r="O4370" s="241"/>
      <c r="P4370" s="241"/>
      <c r="Q4370" s="241"/>
    </row>
    <row r="4371" spans="1:17" ht="13.5" customHeight="1" x14ac:dyDescent="0.3">
      <c r="A4371"/>
      <c r="B4371" s="241"/>
      <c r="C4371" s="241"/>
      <c r="D4371" s="241"/>
      <c r="E4371" s="241"/>
      <c r="F4371" s="241"/>
      <c r="G4371" s="241"/>
      <c r="H4371" s="241"/>
      <c r="I4371"/>
      <c r="J4371" s="241"/>
      <c r="K4371" s="241"/>
      <c r="L4371" s="241"/>
      <c r="M4371" s="241"/>
      <c r="N4371" s="241"/>
      <c r="O4371" s="241"/>
      <c r="P4371" s="241"/>
      <c r="Q4371" s="241"/>
    </row>
    <row r="4372" spans="1:17" ht="13.5" customHeight="1" x14ac:dyDescent="0.3">
      <c r="A4372"/>
      <c r="B4372" s="241"/>
      <c r="C4372" s="241"/>
      <c r="D4372" s="241"/>
      <c r="E4372" s="241"/>
      <c r="F4372" s="241"/>
      <c r="G4372" s="241"/>
      <c r="H4372" s="241"/>
      <c r="I4372"/>
      <c r="J4372" s="241"/>
      <c r="K4372" s="241"/>
      <c r="L4372" s="241"/>
      <c r="M4372" s="241"/>
      <c r="N4372" s="241"/>
      <c r="O4372" s="241"/>
      <c r="P4372" s="241"/>
      <c r="Q4372" s="241"/>
    </row>
    <row r="4373" spans="1:17" ht="13.5" customHeight="1" x14ac:dyDescent="0.3">
      <c r="A4373"/>
      <c r="B4373" s="241"/>
      <c r="C4373" s="241"/>
      <c r="D4373" s="241"/>
      <c r="E4373" s="241"/>
      <c r="F4373" s="241"/>
      <c r="G4373" s="241"/>
      <c r="H4373" s="241"/>
      <c r="I4373"/>
      <c r="J4373" s="241"/>
      <c r="K4373" s="241"/>
      <c r="L4373" s="241"/>
      <c r="M4373" s="241"/>
      <c r="N4373" s="241"/>
      <c r="O4373" s="241"/>
      <c r="P4373" s="241"/>
      <c r="Q4373" s="241"/>
    </row>
    <row r="4374" spans="1:17" ht="13.5" customHeight="1" x14ac:dyDescent="0.3">
      <c r="A4374"/>
      <c r="B4374" s="241"/>
      <c r="C4374" s="241"/>
      <c r="D4374" s="241"/>
      <c r="E4374" s="241"/>
      <c r="F4374" s="241"/>
      <c r="G4374" s="241"/>
      <c r="H4374" s="241"/>
      <c r="I4374"/>
      <c r="J4374" s="241"/>
      <c r="K4374" s="241"/>
      <c r="L4374" s="241"/>
      <c r="M4374" s="241"/>
      <c r="N4374" s="241"/>
      <c r="O4374" s="241"/>
      <c r="P4374" s="241"/>
      <c r="Q4374" s="241"/>
    </row>
    <row r="4375" spans="1:17" ht="13.5" customHeight="1" x14ac:dyDescent="0.3">
      <c r="A4375"/>
      <c r="B4375" s="241"/>
      <c r="C4375" s="241"/>
      <c r="D4375" s="241"/>
      <c r="E4375" s="241"/>
      <c r="F4375" s="241"/>
      <c r="G4375" s="241"/>
      <c r="H4375" s="241"/>
      <c r="I4375"/>
      <c r="J4375" s="241"/>
      <c r="K4375" s="241"/>
      <c r="L4375" s="241"/>
      <c r="M4375" s="241"/>
      <c r="N4375" s="241"/>
      <c r="O4375" s="241"/>
      <c r="P4375" s="241"/>
      <c r="Q4375" s="241"/>
    </row>
    <row r="4376" spans="1:17" ht="13.5" customHeight="1" x14ac:dyDescent="0.3">
      <c r="A4376"/>
      <c r="B4376" s="241"/>
      <c r="C4376" s="241"/>
      <c r="D4376" s="241"/>
      <c r="E4376" s="241"/>
      <c r="F4376" s="241"/>
      <c r="G4376" s="241"/>
      <c r="H4376" s="241"/>
      <c r="I4376"/>
      <c r="J4376" s="241"/>
      <c r="K4376" s="241"/>
      <c r="L4376" s="241"/>
      <c r="M4376" s="241"/>
      <c r="N4376" s="241"/>
      <c r="O4376" s="241"/>
      <c r="P4376" s="241"/>
      <c r="Q4376" s="241"/>
    </row>
    <row r="4377" spans="1:17" ht="13.5" customHeight="1" x14ac:dyDescent="0.3">
      <c r="A4377"/>
      <c r="B4377" s="241"/>
      <c r="C4377" s="241"/>
      <c r="D4377" s="241"/>
      <c r="E4377" s="241"/>
      <c r="F4377" s="241"/>
      <c r="G4377" s="241"/>
      <c r="H4377" s="241"/>
      <c r="I4377"/>
      <c r="J4377" s="241"/>
      <c r="K4377" s="241"/>
      <c r="L4377" s="241"/>
      <c r="M4377" s="241"/>
      <c r="N4377" s="241"/>
      <c r="O4377" s="241"/>
      <c r="P4377" s="241"/>
      <c r="Q4377" s="241"/>
    </row>
    <row r="4378" spans="1:17" ht="13.5" customHeight="1" x14ac:dyDescent="0.3">
      <c r="A4378"/>
      <c r="B4378" s="241"/>
      <c r="C4378" s="241"/>
      <c r="D4378" s="241"/>
      <c r="E4378" s="241"/>
      <c r="F4378" s="241"/>
      <c r="G4378" s="241"/>
      <c r="H4378" s="241"/>
      <c r="I4378"/>
      <c r="J4378" s="241"/>
      <c r="K4378" s="241"/>
      <c r="L4378" s="241"/>
      <c r="M4378" s="241"/>
      <c r="N4378" s="241"/>
      <c r="O4378" s="241"/>
      <c r="P4378" s="241"/>
      <c r="Q4378" s="241"/>
    </row>
    <row r="4379" spans="1:17" ht="13.5" customHeight="1" x14ac:dyDescent="0.3">
      <c r="A4379"/>
      <c r="B4379" s="241"/>
      <c r="C4379" s="241"/>
      <c r="D4379" s="241"/>
      <c r="E4379" s="241"/>
      <c r="F4379" s="241"/>
      <c r="G4379" s="241"/>
      <c r="H4379" s="241"/>
      <c r="I4379"/>
      <c r="J4379" s="241"/>
      <c r="K4379" s="241"/>
      <c r="L4379" s="241"/>
      <c r="M4379" s="241"/>
      <c r="N4379" s="241"/>
      <c r="O4379" s="241"/>
      <c r="P4379" s="241"/>
      <c r="Q4379" s="241"/>
    </row>
    <row r="4380" spans="1:17" ht="13.5" customHeight="1" x14ac:dyDescent="0.3">
      <c r="A4380"/>
      <c r="B4380" s="241"/>
      <c r="C4380" s="241"/>
      <c r="D4380" s="241"/>
      <c r="E4380" s="241"/>
      <c r="F4380" s="241"/>
      <c r="G4380" s="241"/>
      <c r="H4380" s="241"/>
      <c r="I4380"/>
      <c r="J4380" s="241"/>
      <c r="K4380" s="241"/>
      <c r="L4380" s="241"/>
      <c r="M4380" s="241"/>
      <c r="N4380" s="241"/>
      <c r="O4380" s="241"/>
      <c r="P4380" s="241"/>
      <c r="Q4380" s="241"/>
    </row>
    <row r="4381" spans="1:17" ht="13.5" customHeight="1" x14ac:dyDescent="0.3">
      <c r="A4381"/>
      <c r="B4381" s="241"/>
      <c r="C4381" s="241"/>
      <c r="D4381" s="241"/>
      <c r="E4381" s="241"/>
      <c r="F4381" s="241"/>
      <c r="G4381" s="241"/>
      <c r="H4381" s="241"/>
      <c r="I4381"/>
      <c r="J4381" s="241"/>
      <c r="K4381" s="241"/>
      <c r="L4381" s="241"/>
      <c r="M4381" s="241"/>
      <c r="N4381" s="241"/>
      <c r="O4381" s="241"/>
      <c r="P4381" s="241"/>
      <c r="Q4381" s="241"/>
    </row>
    <row r="4382" spans="1:17" ht="13.5" customHeight="1" x14ac:dyDescent="0.3">
      <c r="A4382"/>
      <c r="B4382" s="241"/>
      <c r="C4382" s="241"/>
      <c r="D4382" s="241"/>
      <c r="E4382" s="241"/>
      <c r="F4382" s="241"/>
      <c r="G4382" s="241"/>
      <c r="H4382" s="241"/>
      <c r="I4382"/>
      <c r="J4382" s="241"/>
      <c r="K4382" s="241"/>
      <c r="L4382" s="241"/>
      <c r="M4382" s="241"/>
      <c r="N4382" s="241"/>
      <c r="O4382" s="241"/>
      <c r="P4382" s="241"/>
      <c r="Q4382" s="241"/>
    </row>
    <row r="4383" spans="1:17" ht="13.5" customHeight="1" x14ac:dyDescent="0.3">
      <c r="A4383"/>
      <c r="B4383" s="241"/>
      <c r="C4383" s="241"/>
      <c r="D4383" s="241"/>
      <c r="E4383" s="241"/>
      <c r="F4383" s="241"/>
      <c r="G4383" s="241"/>
      <c r="H4383" s="241"/>
      <c r="I4383"/>
      <c r="J4383" s="241"/>
      <c r="K4383" s="241"/>
      <c r="L4383" s="241"/>
      <c r="M4383" s="241"/>
      <c r="N4383" s="241"/>
      <c r="O4383" s="241"/>
      <c r="P4383" s="241"/>
      <c r="Q4383" s="241"/>
    </row>
    <row r="4384" spans="1:17" ht="13.5" customHeight="1" x14ac:dyDescent="0.3">
      <c r="A4384"/>
      <c r="B4384" s="241"/>
      <c r="C4384" s="241"/>
      <c r="D4384" s="241"/>
      <c r="E4384" s="241"/>
      <c r="F4384" s="241"/>
      <c r="G4384" s="241"/>
      <c r="H4384" s="241"/>
      <c r="I4384"/>
      <c r="J4384" s="241"/>
      <c r="K4384" s="241"/>
      <c r="L4384" s="241"/>
      <c r="M4384" s="241"/>
      <c r="N4384" s="241"/>
      <c r="O4384" s="241"/>
      <c r="P4384" s="241"/>
      <c r="Q4384" s="241"/>
    </row>
    <row r="4385" spans="1:17" ht="13.5" customHeight="1" x14ac:dyDescent="0.3">
      <c r="A4385"/>
      <c r="B4385" s="241"/>
      <c r="C4385" s="241"/>
      <c r="D4385" s="241"/>
      <c r="E4385" s="241"/>
      <c r="F4385" s="241"/>
      <c r="G4385" s="241"/>
      <c r="H4385" s="241"/>
      <c r="I4385"/>
      <c r="J4385" s="241"/>
      <c r="K4385" s="241"/>
      <c r="L4385" s="241"/>
      <c r="M4385" s="241"/>
      <c r="N4385" s="241"/>
      <c r="O4385" s="241"/>
      <c r="P4385" s="241"/>
      <c r="Q4385" s="241"/>
    </row>
    <row r="4386" spans="1:17" ht="13.5" customHeight="1" x14ac:dyDescent="0.3">
      <c r="A4386"/>
      <c r="B4386" s="241"/>
      <c r="C4386" s="241"/>
      <c r="D4386" s="241"/>
      <c r="E4386" s="241"/>
      <c r="F4386" s="241"/>
      <c r="G4386" s="241"/>
      <c r="H4386" s="241"/>
      <c r="I4386"/>
      <c r="J4386" s="241"/>
      <c r="K4386" s="241"/>
      <c r="L4386" s="241"/>
      <c r="M4386" s="241"/>
      <c r="N4386" s="241"/>
      <c r="O4386" s="241"/>
      <c r="P4386" s="241"/>
      <c r="Q4386" s="241"/>
    </row>
    <row r="4387" spans="1:17" ht="13.5" customHeight="1" x14ac:dyDescent="0.3">
      <c r="A4387"/>
      <c r="B4387" s="241"/>
      <c r="C4387" s="241"/>
      <c r="D4387" s="241"/>
      <c r="E4387" s="241"/>
      <c r="F4387" s="241"/>
      <c r="G4387" s="241"/>
      <c r="H4387" s="241"/>
      <c r="I4387"/>
      <c r="J4387" s="241"/>
      <c r="K4387" s="241"/>
      <c r="L4387" s="241"/>
      <c r="M4387" s="241"/>
      <c r="N4387" s="241"/>
      <c r="O4387" s="241"/>
      <c r="P4387" s="241"/>
      <c r="Q4387" s="241"/>
    </row>
    <row r="4388" spans="1:17" ht="13.5" customHeight="1" x14ac:dyDescent="0.3">
      <c r="A4388"/>
      <c r="B4388" s="241"/>
      <c r="C4388" s="241"/>
      <c r="D4388" s="241"/>
      <c r="E4388" s="241"/>
      <c r="F4388" s="241"/>
      <c r="G4388" s="241"/>
      <c r="H4388" s="241"/>
      <c r="I4388"/>
      <c r="J4388" s="241"/>
      <c r="K4388" s="241"/>
      <c r="L4388" s="241"/>
      <c r="M4388" s="241"/>
      <c r="N4388" s="241"/>
      <c r="O4388" s="241"/>
      <c r="P4388" s="241"/>
      <c r="Q4388" s="241"/>
    </row>
    <row r="4389" spans="1:17" ht="13.5" customHeight="1" x14ac:dyDescent="0.3">
      <c r="A4389"/>
      <c r="B4389" s="241"/>
      <c r="C4389" s="241"/>
      <c r="D4389" s="241"/>
      <c r="E4389" s="241"/>
      <c r="F4389" s="241"/>
      <c r="G4389" s="241"/>
      <c r="H4389" s="241"/>
      <c r="I4389"/>
      <c r="J4389" s="241"/>
      <c r="K4389" s="241"/>
      <c r="L4389" s="241"/>
      <c r="M4389" s="241"/>
      <c r="N4389" s="241"/>
      <c r="O4389" s="241"/>
      <c r="P4389" s="241"/>
      <c r="Q4389" s="241"/>
    </row>
    <row r="4390" spans="1:17" ht="13.5" customHeight="1" x14ac:dyDescent="0.3">
      <c r="A4390"/>
      <c r="B4390" s="241"/>
      <c r="C4390" s="241"/>
      <c r="D4390" s="241"/>
      <c r="E4390" s="241"/>
      <c r="F4390" s="241"/>
      <c r="G4390" s="241"/>
      <c r="H4390" s="241"/>
      <c r="I4390"/>
      <c r="J4390" s="241"/>
      <c r="K4390" s="241"/>
      <c r="L4390" s="241"/>
      <c r="M4390" s="241"/>
      <c r="N4390" s="241"/>
      <c r="O4390" s="241"/>
      <c r="P4390" s="241"/>
      <c r="Q4390" s="241"/>
    </row>
    <row r="4391" spans="1:17" ht="13.5" customHeight="1" x14ac:dyDescent="0.3">
      <c r="A4391"/>
      <c r="B4391" s="241"/>
      <c r="C4391" s="241"/>
      <c r="D4391" s="241"/>
      <c r="E4391" s="241"/>
      <c r="F4391" s="241"/>
      <c r="G4391" s="241"/>
      <c r="H4391" s="241"/>
      <c r="I4391"/>
      <c r="J4391" s="241"/>
      <c r="K4391" s="241"/>
      <c r="L4391" s="241"/>
      <c r="M4391" s="241"/>
      <c r="N4391" s="241"/>
      <c r="O4391" s="241"/>
      <c r="P4391" s="241"/>
      <c r="Q4391" s="241"/>
    </row>
    <row r="4392" spans="1:17" ht="13.5" customHeight="1" x14ac:dyDescent="0.3">
      <c r="A4392"/>
      <c r="B4392" s="241"/>
      <c r="C4392" s="241"/>
      <c r="D4392" s="241"/>
      <c r="E4392" s="241"/>
      <c r="F4392" s="241"/>
      <c r="G4392" s="241"/>
      <c r="H4392" s="241"/>
      <c r="I4392"/>
      <c r="J4392" s="241"/>
      <c r="K4392" s="241"/>
      <c r="L4392" s="241"/>
      <c r="M4392" s="241"/>
      <c r="N4392" s="241"/>
      <c r="O4392" s="241"/>
      <c r="P4392" s="241"/>
      <c r="Q4392" s="241"/>
    </row>
    <row r="4393" spans="1:17" ht="13.5" customHeight="1" x14ac:dyDescent="0.3">
      <c r="A4393"/>
      <c r="B4393" s="241"/>
      <c r="C4393" s="241"/>
      <c r="D4393" s="241"/>
      <c r="E4393" s="241"/>
      <c r="F4393" s="241"/>
      <c r="G4393" s="241"/>
      <c r="H4393" s="241"/>
      <c r="I4393"/>
      <c r="J4393" s="241"/>
      <c r="K4393" s="241"/>
      <c r="L4393" s="241"/>
      <c r="M4393" s="241"/>
      <c r="N4393" s="241"/>
      <c r="O4393" s="241"/>
      <c r="P4393" s="241"/>
      <c r="Q4393" s="241"/>
    </row>
    <row r="4394" spans="1:17" ht="13.5" customHeight="1" x14ac:dyDescent="0.3">
      <c r="A4394"/>
      <c r="B4394" s="241"/>
      <c r="C4394" s="241"/>
      <c r="D4394" s="241"/>
      <c r="E4394" s="241"/>
      <c r="F4394" s="241"/>
      <c r="G4394" s="241"/>
      <c r="H4394" s="241"/>
      <c r="I4394"/>
      <c r="J4394" s="241"/>
      <c r="K4394" s="241"/>
      <c r="L4394" s="241"/>
      <c r="M4394" s="241"/>
      <c r="N4394" s="241"/>
      <c r="O4394" s="241"/>
      <c r="P4394" s="241"/>
      <c r="Q4394" s="241"/>
    </row>
    <row r="4395" spans="1:17" ht="13.5" customHeight="1" x14ac:dyDescent="0.3">
      <c r="A4395"/>
      <c r="B4395" s="241"/>
      <c r="C4395" s="241"/>
      <c r="D4395" s="241"/>
      <c r="E4395" s="241"/>
      <c r="F4395" s="241"/>
      <c r="G4395" s="241"/>
      <c r="H4395" s="241"/>
      <c r="I4395"/>
      <c r="J4395" s="241"/>
      <c r="K4395" s="241"/>
      <c r="L4395" s="241"/>
      <c r="M4395" s="241"/>
      <c r="N4395" s="241"/>
      <c r="O4395" s="241"/>
      <c r="P4395" s="241"/>
      <c r="Q4395" s="241"/>
    </row>
    <row r="4396" spans="1:17" ht="13.5" customHeight="1" x14ac:dyDescent="0.3">
      <c r="A4396"/>
      <c r="B4396" s="241"/>
      <c r="C4396" s="241"/>
      <c r="D4396" s="241"/>
      <c r="E4396" s="241"/>
      <c r="F4396" s="241"/>
      <c r="G4396" s="241"/>
      <c r="H4396" s="241"/>
      <c r="I4396"/>
      <c r="J4396" s="241"/>
      <c r="K4396" s="241"/>
      <c r="L4396" s="241"/>
      <c r="M4396" s="241"/>
      <c r="N4396" s="241"/>
      <c r="O4396" s="241"/>
      <c r="P4396" s="241"/>
      <c r="Q4396" s="241"/>
    </row>
    <row r="4397" spans="1:17" ht="13.5" customHeight="1" x14ac:dyDescent="0.3">
      <c r="A4397"/>
      <c r="B4397" s="241"/>
      <c r="C4397" s="241"/>
      <c r="D4397" s="241"/>
      <c r="E4397" s="241"/>
      <c r="F4397" s="241"/>
      <c r="G4397" s="241"/>
      <c r="H4397" s="241"/>
      <c r="I4397"/>
      <c r="J4397" s="241"/>
      <c r="K4397" s="241"/>
      <c r="L4397" s="241"/>
      <c r="M4397" s="241"/>
      <c r="N4397" s="241"/>
      <c r="O4397" s="241"/>
      <c r="P4397" s="241"/>
      <c r="Q4397" s="241"/>
    </row>
    <row r="4398" spans="1:17" ht="13.5" customHeight="1" x14ac:dyDescent="0.3">
      <c r="A4398"/>
      <c r="B4398" s="241"/>
      <c r="C4398" s="241"/>
      <c r="D4398" s="241"/>
      <c r="E4398" s="241"/>
      <c r="F4398" s="241"/>
      <c r="G4398" s="241"/>
      <c r="H4398" s="241"/>
      <c r="I4398"/>
      <c r="J4398" s="241"/>
      <c r="K4398" s="241"/>
      <c r="L4398" s="241"/>
      <c r="M4398" s="241"/>
      <c r="N4398" s="241"/>
      <c r="O4398" s="241"/>
      <c r="P4398" s="241"/>
      <c r="Q4398" s="241"/>
    </row>
    <row r="4399" spans="1:17" ht="13.5" customHeight="1" x14ac:dyDescent="0.3">
      <c r="A4399"/>
      <c r="B4399" s="241"/>
      <c r="C4399" s="241"/>
      <c r="D4399" s="241"/>
      <c r="E4399" s="241"/>
      <c r="F4399" s="241"/>
      <c r="G4399" s="241"/>
      <c r="H4399" s="241"/>
      <c r="I4399"/>
      <c r="J4399" s="241"/>
      <c r="K4399" s="241"/>
      <c r="L4399" s="241"/>
      <c r="M4399" s="241"/>
      <c r="N4399" s="241"/>
      <c r="O4399" s="241"/>
      <c r="P4399" s="241"/>
      <c r="Q4399" s="241"/>
    </row>
    <row r="4400" spans="1:17" ht="13.5" customHeight="1" x14ac:dyDescent="0.3">
      <c r="A4400"/>
      <c r="B4400" s="241"/>
      <c r="C4400" s="241"/>
      <c r="D4400" s="241"/>
      <c r="E4400" s="241"/>
      <c r="F4400" s="241"/>
      <c r="G4400" s="241"/>
      <c r="H4400" s="241"/>
      <c r="I4400"/>
      <c r="J4400" s="241"/>
      <c r="K4400" s="241"/>
      <c r="L4400" s="241"/>
      <c r="M4400" s="241"/>
      <c r="N4400" s="241"/>
      <c r="O4400" s="241"/>
      <c r="P4400" s="241"/>
      <c r="Q4400" s="241"/>
    </row>
    <row r="4401" spans="1:17" ht="13.5" customHeight="1" x14ac:dyDescent="0.3">
      <c r="A4401"/>
      <c r="B4401" s="241"/>
      <c r="C4401" s="241"/>
      <c r="D4401" s="241"/>
      <c r="E4401" s="241"/>
      <c r="F4401" s="241"/>
      <c r="G4401" s="241"/>
      <c r="H4401" s="241"/>
      <c r="I4401"/>
      <c r="J4401" s="241"/>
      <c r="K4401" s="241"/>
      <c r="L4401" s="241"/>
      <c r="M4401" s="241"/>
      <c r="N4401" s="241"/>
      <c r="O4401" s="241"/>
      <c r="P4401" s="241"/>
      <c r="Q4401" s="241"/>
    </row>
    <row r="4402" spans="1:17" ht="13.5" customHeight="1" x14ac:dyDescent="0.3">
      <c r="A4402"/>
      <c r="B4402" s="241"/>
      <c r="C4402" s="241"/>
      <c r="D4402" s="241"/>
      <c r="E4402" s="241"/>
      <c r="F4402" s="241"/>
      <c r="G4402" s="241"/>
      <c r="H4402" s="241"/>
      <c r="I4402"/>
      <c r="J4402" s="241"/>
      <c r="K4402" s="241"/>
      <c r="L4402" s="241"/>
      <c r="M4402" s="241"/>
      <c r="N4402" s="241"/>
      <c r="O4402" s="241"/>
      <c r="P4402" s="241"/>
      <c r="Q4402" s="241"/>
    </row>
    <row r="4403" spans="1:17" ht="13.5" customHeight="1" x14ac:dyDescent="0.3">
      <c r="A4403"/>
      <c r="B4403" s="241"/>
      <c r="C4403" s="241"/>
      <c r="D4403" s="241"/>
      <c r="E4403" s="241"/>
      <c r="F4403" s="241"/>
      <c r="G4403" s="241"/>
      <c r="H4403" s="241"/>
      <c r="I4403"/>
      <c r="J4403" s="241"/>
      <c r="K4403" s="241"/>
      <c r="L4403" s="241"/>
      <c r="M4403" s="241"/>
      <c r="N4403" s="241"/>
      <c r="O4403" s="241"/>
      <c r="P4403" s="241"/>
      <c r="Q4403" s="241"/>
    </row>
    <row r="4404" spans="1:17" ht="13.5" customHeight="1" x14ac:dyDescent="0.3">
      <c r="A4404"/>
      <c r="B4404" s="241"/>
      <c r="C4404" s="241"/>
      <c r="D4404" s="241"/>
      <c r="E4404" s="241"/>
      <c r="F4404" s="241"/>
      <c r="G4404" s="241"/>
      <c r="H4404" s="241"/>
      <c r="I4404"/>
      <c r="J4404" s="241"/>
      <c r="K4404" s="241"/>
      <c r="L4404" s="241"/>
      <c r="M4404" s="241"/>
      <c r="N4404" s="241"/>
      <c r="O4404" s="241"/>
      <c r="P4404" s="241"/>
      <c r="Q4404" s="241"/>
    </row>
    <row r="4405" spans="1:17" ht="13.5" customHeight="1" x14ac:dyDescent="0.3">
      <c r="A4405"/>
      <c r="B4405" s="241"/>
      <c r="C4405" s="241"/>
      <c r="D4405" s="241"/>
      <c r="E4405" s="241"/>
      <c r="F4405" s="241"/>
      <c r="G4405" s="241"/>
      <c r="H4405" s="241"/>
      <c r="I4405"/>
      <c r="J4405" s="241"/>
      <c r="K4405" s="241"/>
      <c r="L4405" s="241"/>
      <c r="M4405" s="241"/>
      <c r="N4405" s="241"/>
      <c r="O4405" s="241"/>
      <c r="P4405" s="241"/>
      <c r="Q4405" s="241"/>
    </row>
    <row r="4406" spans="1:17" ht="13.5" customHeight="1" x14ac:dyDescent="0.3">
      <c r="A4406"/>
      <c r="B4406" s="241"/>
      <c r="C4406" s="241"/>
      <c r="D4406" s="241"/>
      <c r="E4406" s="241"/>
      <c r="F4406" s="241"/>
      <c r="G4406" s="241"/>
      <c r="H4406" s="241"/>
      <c r="I4406"/>
      <c r="J4406" s="241"/>
      <c r="K4406" s="241"/>
      <c r="L4406" s="241"/>
      <c r="M4406" s="241"/>
      <c r="N4406" s="241"/>
      <c r="O4406" s="241"/>
      <c r="P4406" s="241"/>
      <c r="Q4406" s="241"/>
    </row>
    <row r="4407" spans="1:17" ht="13.5" customHeight="1" x14ac:dyDescent="0.3">
      <c r="A4407"/>
      <c r="B4407" s="241"/>
      <c r="C4407" s="241"/>
      <c r="D4407" s="241"/>
      <c r="E4407" s="241"/>
      <c r="F4407" s="241"/>
      <c r="G4407" s="241"/>
      <c r="H4407" s="241"/>
      <c r="I4407"/>
      <c r="J4407" s="241"/>
      <c r="K4407" s="241"/>
      <c r="L4407" s="241"/>
      <c r="M4407" s="241"/>
      <c r="N4407" s="241"/>
      <c r="O4407" s="241"/>
      <c r="P4407" s="241"/>
      <c r="Q4407" s="241"/>
    </row>
    <row r="4408" spans="1:17" ht="13.5" customHeight="1" x14ac:dyDescent="0.3">
      <c r="A4408"/>
      <c r="B4408" s="241"/>
      <c r="C4408" s="241"/>
      <c r="D4408" s="241"/>
      <c r="E4408" s="241"/>
      <c r="F4408" s="241"/>
      <c r="G4408" s="241"/>
      <c r="H4408" s="241"/>
      <c r="I4408"/>
      <c r="J4408" s="241"/>
      <c r="K4408" s="241"/>
      <c r="L4408" s="241"/>
      <c r="M4408" s="241"/>
      <c r="N4408" s="241"/>
      <c r="O4408" s="241"/>
      <c r="P4408" s="241"/>
      <c r="Q4408" s="241"/>
    </row>
    <row r="4409" spans="1:17" ht="13.5" customHeight="1" x14ac:dyDescent="0.3">
      <c r="A4409"/>
      <c r="B4409" s="241"/>
      <c r="C4409" s="241"/>
      <c r="D4409" s="241"/>
      <c r="E4409" s="241"/>
      <c r="F4409" s="241"/>
      <c r="G4409" s="241"/>
      <c r="H4409" s="241"/>
      <c r="I4409"/>
      <c r="J4409" s="241"/>
      <c r="K4409" s="241"/>
      <c r="L4409" s="241"/>
      <c r="M4409" s="241"/>
      <c r="N4409" s="241"/>
      <c r="O4409" s="241"/>
      <c r="P4409" s="241"/>
      <c r="Q4409" s="241"/>
    </row>
    <row r="4410" spans="1:17" ht="13.5" customHeight="1" x14ac:dyDescent="0.3">
      <c r="A4410"/>
      <c r="B4410" s="241"/>
      <c r="C4410" s="241"/>
      <c r="D4410" s="241"/>
      <c r="E4410" s="241"/>
      <c r="F4410" s="241"/>
      <c r="G4410" s="241"/>
      <c r="H4410" s="241"/>
      <c r="I4410"/>
      <c r="J4410" s="241"/>
      <c r="K4410" s="241"/>
      <c r="L4410" s="241"/>
      <c r="M4410" s="241"/>
      <c r="N4410" s="241"/>
      <c r="O4410" s="241"/>
      <c r="P4410" s="241"/>
      <c r="Q4410" s="241"/>
    </row>
    <row r="4411" spans="1:17" ht="13.5" customHeight="1" x14ac:dyDescent="0.3">
      <c r="A4411"/>
      <c r="B4411" s="241"/>
      <c r="C4411" s="241"/>
      <c r="D4411" s="241"/>
      <c r="E4411" s="241"/>
      <c r="F4411" s="241"/>
      <c r="G4411" s="241"/>
      <c r="H4411" s="241"/>
      <c r="I4411"/>
      <c r="J4411" s="241"/>
      <c r="K4411" s="241"/>
      <c r="L4411" s="241"/>
      <c r="M4411" s="241"/>
      <c r="N4411" s="241"/>
      <c r="O4411" s="241"/>
      <c r="P4411" s="241"/>
      <c r="Q4411" s="241"/>
    </row>
    <row r="4412" spans="1:17" ht="13.5" customHeight="1" x14ac:dyDescent="0.3">
      <c r="A4412"/>
      <c r="B4412" s="241"/>
      <c r="C4412" s="241"/>
      <c r="D4412" s="241"/>
      <c r="E4412" s="241"/>
      <c r="F4412" s="241"/>
      <c r="G4412" s="241"/>
      <c r="H4412" s="241"/>
      <c r="I4412"/>
      <c r="J4412" s="241"/>
      <c r="K4412" s="241"/>
      <c r="L4412" s="241"/>
      <c r="M4412" s="241"/>
      <c r="N4412" s="241"/>
      <c r="O4412" s="241"/>
      <c r="P4412" s="241"/>
      <c r="Q4412" s="241"/>
    </row>
    <row r="4413" spans="1:17" ht="13.5" customHeight="1" x14ac:dyDescent="0.3">
      <c r="A4413"/>
      <c r="B4413" s="241"/>
      <c r="C4413" s="241"/>
      <c r="D4413" s="241"/>
      <c r="E4413" s="241"/>
      <c r="F4413" s="241"/>
      <c r="G4413" s="241"/>
      <c r="H4413" s="241"/>
      <c r="I4413"/>
      <c r="J4413" s="241"/>
      <c r="K4413" s="241"/>
      <c r="L4413" s="241"/>
      <c r="M4413" s="241"/>
      <c r="N4413" s="241"/>
      <c r="O4413" s="241"/>
      <c r="P4413" s="241"/>
      <c r="Q4413" s="241"/>
    </row>
    <row r="4414" spans="1:17" ht="13.5" customHeight="1" x14ac:dyDescent="0.3">
      <c r="A4414"/>
      <c r="B4414" s="241"/>
      <c r="C4414" s="241"/>
      <c r="D4414" s="241"/>
      <c r="E4414" s="241"/>
      <c r="F4414" s="241"/>
      <c r="G4414" s="241"/>
      <c r="H4414" s="241"/>
      <c r="I4414"/>
      <c r="J4414" s="241"/>
      <c r="K4414" s="241"/>
      <c r="L4414" s="241"/>
      <c r="M4414" s="241"/>
      <c r="N4414" s="241"/>
      <c r="O4414" s="241"/>
      <c r="P4414" s="241"/>
      <c r="Q4414" s="241"/>
    </row>
    <row r="4415" spans="1:17" ht="13.5" customHeight="1" x14ac:dyDescent="0.3">
      <c r="A4415"/>
      <c r="B4415" s="241"/>
      <c r="C4415" s="241"/>
      <c r="D4415" s="241"/>
      <c r="E4415" s="241"/>
      <c r="F4415" s="241"/>
      <c r="G4415" s="241"/>
      <c r="H4415" s="241"/>
      <c r="I4415"/>
      <c r="J4415" s="241"/>
      <c r="K4415" s="241"/>
      <c r="L4415" s="241"/>
      <c r="M4415" s="241"/>
      <c r="N4415" s="241"/>
      <c r="O4415" s="241"/>
      <c r="P4415" s="241"/>
      <c r="Q4415" s="241"/>
    </row>
    <row r="4416" spans="1:17" ht="13.5" customHeight="1" x14ac:dyDescent="0.3">
      <c r="A4416"/>
      <c r="B4416" s="241"/>
      <c r="C4416" s="241"/>
      <c r="D4416" s="241"/>
      <c r="E4416" s="241"/>
      <c r="F4416" s="241"/>
      <c r="G4416" s="241"/>
      <c r="H4416" s="241"/>
      <c r="I4416"/>
      <c r="J4416" s="241"/>
      <c r="K4416" s="241"/>
      <c r="L4416" s="241"/>
      <c r="M4416" s="241"/>
      <c r="N4416" s="241"/>
      <c r="O4416" s="241"/>
      <c r="P4416" s="241"/>
      <c r="Q4416" s="241"/>
    </row>
    <row r="4417" spans="1:17" ht="13.5" customHeight="1" x14ac:dyDescent="0.3">
      <c r="A4417"/>
      <c r="B4417" s="241"/>
      <c r="C4417" s="241"/>
      <c r="D4417" s="241"/>
      <c r="E4417" s="241"/>
      <c r="F4417" s="241"/>
      <c r="G4417" s="241"/>
      <c r="H4417" s="241"/>
      <c r="I4417"/>
      <c r="J4417" s="241"/>
      <c r="K4417" s="241"/>
      <c r="L4417" s="241"/>
      <c r="M4417" s="241"/>
      <c r="N4417" s="241"/>
      <c r="O4417" s="241"/>
      <c r="P4417" s="241"/>
      <c r="Q4417" s="241"/>
    </row>
    <row r="4418" spans="1:17" ht="13.5" customHeight="1" x14ac:dyDescent="0.3">
      <c r="A4418"/>
      <c r="B4418" s="241"/>
      <c r="C4418" s="241"/>
      <c r="D4418" s="241"/>
      <c r="E4418" s="241"/>
      <c r="F4418" s="241"/>
      <c r="G4418" s="241"/>
      <c r="H4418" s="241"/>
      <c r="I4418"/>
      <c r="J4418" s="241"/>
      <c r="K4418" s="241"/>
      <c r="L4418" s="241"/>
      <c r="M4418" s="241"/>
      <c r="N4418" s="241"/>
      <c r="O4418" s="241"/>
      <c r="P4418" s="241"/>
      <c r="Q4418" s="241"/>
    </row>
    <row r="4419" spans="1:17" ht="13.5" customHeight="1" x14ac:dyDescent="0.3">
      <c r="A4419"/>
      <c r="B4419" s="241"/>
      <c r="C4419" s="241"/>
      <c r="D4419" s="241"/>
      <c r="E4419" s="241"/>
      <c r="F4419" s="241"/>
      <c r="G4419" s="241"/>
      <c r="H4419" s="241"/>
      <c r="I4419"/>
      <c r="J4419" s="241"/>
      <c r="K4419" s="241"/>
      <c r="L4419" s="241"/>
      <c r="M4419" s="241"/>
      <c r="N4419" s="241"/>
      <c r="O4419" s="241"/>
      <c r="P4419" s="241"/>
      <c r="Q4419" s="241"/>
    </row>
    <row r="4420" spans="1:17" ht="13.5" customHeight="1" x14ac:dyDescent="0.3">
      <c r="A4420"/>
      <c r="B4420" s="241"/>
      <c r="C4420" s="241"/>
      <c r="D4420" s="241"/>
      <c r="E4420" s="241"/>
      <c r="F4420" s="241"/>
      <c r="G4420" s="241"/>
      <c r="H4420" s="241"/>
      <c r="I4420"/>
      <c r="J4420" s="241"/>
      <c r="K4420" s="241"/>
      <c r="L4420" s="241"/>
      <c r="M4420" s="241"/>
      <c r="N4420" s="241"/>
      <c r="O4420" s="241"/>
      <c r="P4420" s="241"/>
      <c r="Q4420" s="241"/>
    </row>
    <row r="4421" spans="1:17" ht="13.5" customHeight="1" x14ac:dyDescent="0.3">
      <c r="A4421"/>
      <c r="B4421" s="241"/>
      <c r="C4421" s="241"/>
      <c r="D4421" s="241"/>
      <c r="E4421" s="241"/>
      <c r="F4421" s="241"/>
      <c r="G4421" s="241"/>
      <c r="H4421" s="241"/>
      <c r="I4421"/>
      <c r="J4421" s="241"/>
      <c r="K4421" s="241"/>
      <c r="L4421" s="241"/>
      <c r="M4421" s="241"/>
      <c r="N4421" s="241"/>
      <c r="O4421" s="241"/>
      <c r="P4421" s="241"/>
      <c r="Q4421" s="241"/>
    </row>
    <row r="4422" spans="1:17" ht="13.5" customHeight="1" x14ac:dyDescent="0.3">
      <c r="A4422"/>
      <c r="B4422" s="241"/>
      <c r="C4422" s="241"/>
      <c r="D4422" s="241"/>
      <c r="E4422" s="241"/>
      <c r="F4422" s="241"/>
      <c r="G4422" s="241"/>
      <c r="H4422" s="241"/>
      <c r="I4422"/>
      <c r="J4422" s="241"/>
      <c r="K4422" s="241"/>
      <c r="L4422" s="241"/>
      <c r="M4422" s="241"/>
      <c r="N4422" s="241"/>
      <c r="O4422" s="241"/>
      <c r="P4422" s="241"/>
      <c r="Q4422" s="241"/>
    </row>
    <row r="4423" spans="1:17" ht="13.5" customHeight="1" x14ac:dyDescent="0.3">
      <c r="A4423"/>
      <c r="B4423" s="241"/>
      <c r="C4423" s="241"/>
      <c r="D4423" s="241"/>
      <c r="E4423" s="241"/>
      <c r="F4423" s="241"/>
      <c r="G4423" s="241"/>
      <c r="H4423" s="241"/>
      <c r="I4423"/>
      <c r="J4423" s="241"/>
      <c r="K4423" s="241"/>
      <c r="L4423" s="241"/>
      <c r="M4423" s="241"/>
      <c r="N4423" s="241"/>
      <c r="O4423" s="241"/>
      <c r="P4423" s="241"/>
      <c r="Q4423" s="241"/>
    </row>
    <row r="4424" spans="1:17" ht="13.5" customHeight="1" x14ac:dyDescent="0.3">
      <c r="A4424"/>
      <c r="B4424" s="241"/>
      <c r="C4424" s="241"/>
      <c r="D4424" s="241"/>
      <c r="E4424" s="241"/>
      <c r="F4424" s="241"/>
      <c r="G4424" s="241"/>
      <c r="H4424" s="241"/>
      <c r="I4424"/>
      <c r="J4424" s="241"/>
      <c r="K4424" s="241"/>
      <c r="L4424" s="241"/>
      <c r="M4424" s="241"/>
      <c r="N4424" s="241"/>
      <c r="O4424" s="241"/>
      <c r="P4424" s="241"/>
      <c r="Q4424" s="241"/>
    </row>
    <row r="4425" spans="1:17" ht="13.5" customHeight="1" x14ac:dyDescent="0.3">
      <c r="A4425"/>
      <c r="B4425" s="241"/>
      <c r="C4425" s="241"/>
      <c r="D4425" s="241"/>
      <c r="E4425" s="241"/>
      <c r="F4425" s="241"/>
      <c r="G4425" s="241"/>
      <c r="H4425" s="241"/>
      <c r="I4425"/>
      <c r="J4425" s="241"/>
      <c r="K4425" s="241"/>
      <c r="L4425" s="241"/>
      <c r="M4425" s="241"/>
      <c r="N4425" s="241"/>
      <c r="O4425" s="241"/>
      <c r="P4425" s="241"/>
      <c r="Q4425" s="241"/>
    </row>
    <row r="4426" spans="1:17" ht="13.5" customHeight="1" x14ac:dyDescent="0.3">
      <c r="A4426"/>
      <c r="B4426" s="241"/>
      <c r="C4426" s="241"/>
      <c r="D4426" s="241"/>
      <c r="E4426" s="241"/>
      <c r="F4426" s="241"/>
      <c r="G4426" s="241"/>
      <c r="H4426" s="241"/>
      <c r="I4426"/>
      <c r="J4426" s="241"/>
      <c r="K4426" s="241"/>
      <c r="L4426" s="241"/>
      <c r="M4426" s="241"/>
      <c r="N4426" s="241"/>
      <c r="O4426" s="241"/>
      <c r="P4426" s="241"/>
      <c r="Q4426" s="241"/>
    </row>
    <row r="4427" spans="1:17" ht="13.5" customHeight="1" x14ac:dyDescent="0.3">
      <c r="A4427"/>
      <c r="B4427" s="241"/>
      <c r="C4427" s="241"/>
      <c r="D4427" s="241"/>
      <c r="E4427" s="241"/>
      <c r="F4427" s="241"/>
      <c r="G4427" s="241"/>
      <c r="H4427" s="241"/>
      <c r="I4427"/>
      <c r="J4427" s="241"/>
      <c r="K4427" s="241"/>
      <c r="L4427" s="241"/>
      <c r="M4427" s="241"/>
      <c r="N4427" s="241"/>
      <c r="O4427" s="241"/>
      <c r="P4427" s="241"/>
      <c r="Q4427" s="241"/>
    </row>
    <row r="4428" spans="1:17" ht="13.5" customHeight="1" x14ac:dyDescent="0.3">
      <c r="A4428"/>
      <c r="B4428" s="241"/>
      <c r="C4428" s="241"/>
      <c r="D4428" s="241"/>
      <c r="E4428" s="241"/>
      <c r="F4428" s="241"/>
      <c r="G4428" s="241"/>
      <c r="H4428" s="241"/>
      <c r="I4428"/>
      <c r="J4428" s="241"/>
      <c r="K4428" s="241"/>
      <c r="L4428" s="241"/>
      <c r="M4428" s="241"/>
      <c r="N4428" s="241"/>
      <c r="O4428" s="241"/>
      <c r="P4428" s="241"/>
      <c r="Q4428" s="241"/>
    </row>
    <row r="4429" spans="1:17" ht="13.5" customHeight="1" x14ac:dyDescent="0.3">
      <c r="A4429"/>
      <c r="B4429" s="241"/>
      <c r="C4429" s="241"/>
      <c r="D4429" s="241"/>
      <c r="E4429" s="241"/>
      <c r="F4429" s="241"/>
      <c r="G4429" s="241"/>
      <c r="H4429" s="241"/>
      <c r="I4429"/>
      <c r="J4429" s="241"/>
      <c r="K4429" s="241"/>
      <c r="L4429" s="241"/>
      <c r="M4429" s="241"/>
      <c r="N4429" s="241"/>
      <c r="O4429" s="241"/>
      <c r="P4429" s="241"/>
      <c r="Q4429" s="241"/>
    </row>
    <row r="4430" spans="1:17" ht="13.5" customHeight="1" x14ac:dyDescent="0.3">
      <c r="A4430"/>
      <c r="B4430" s="241"/>
      <c r="C4430" s="241"/>
      <c r="D4430" s="241"/>
      <c r="E4430" s="241"/>
      <c r="F4430" s="241"/>
      <c r="G4430" s="241"/>
      <c r="H4430" s="241"/>
      <c r="I4430"/>
      <c r="J4430" s="241"/>
      <c r="K4430" s="241"/>
      <c r="L4430" s="241"/>
      <c r="M4430" s="241"/>
      <c r="N4430" s="241"/>
      <c r="O4430" s="241"/>
      <c r="P4430" s="241"/>
      <c r="Q4430" s="241"/>
    </row>
    <row r="4431" spans="1:17" ht="13.5" customHeight="1" x14ac:dyDescent="0.3">
      <c r="A4431"/>
      <c r="B4431" s="241"/>
      <c r="C4431" s="241"/>
      <c r="D4431" s="241"/>
      <c r="E4431" s="241"/>
      <c r="F4431" s="241"/>
      <c r="G4431" s="241"/>
      <c r="H4431" s="241"/>
      <c r="I4431"/>
      <c r="J4431" s="241"/>
      <c r="K4431" s="241"/>
      <c r="L4431" s="241"/>
      <c r="M4431" s="241"/>
      <c r="N4431" s="241"/>
      <c r="O4431" s="241"/>
      <c r="P4431" s="241"/>
      <c r="Q4431" s="241"/>
    </row>
    <row r="4432" spans="1:17" ht="13.5" customHeight="1" x14ac:dyDescent="0.3">
      <c r="A4432"/>
      <c r="B4432" s="241"/>
      <c r="C4432" s="241"/>
      <c r="D4432" s="241"/>
      <c r="E4432" s="241"/>
      <c r="F4432" s="241"/>
      <c r="G4432" s="241"/>
      <c r="H4432" s="241"/>
      <c r="I4432"/>
      <c r="J4432" s="241"/>
      <c r="K4432" s="241"/>
      <c r="L4432" s="241"/>
      <c r="M4432" s="241"/>
      <c r="N4432" s="241"/>
      <c r="O4432" s="241"/>
      <c r="P4432" s="241"/>
      <c r="Q4432" s="241"/>
    </row>
    <row r="4433" spans="1:17" ht="13.5" customHeight="1" x14ac:dyDescent="0.3">
      <c r="A4433"/>
      <c r="B4433" s="241"/>
      <c r="C4433" s="241"/>
      <c r="D4433" s="241"/>
      <c r="E4433" s="241"/>
      <c r="F4433" s="241"/>
      <c r="G4433" s="241"/>
      <c r="H4433" s="241"/>
      <c r="I4433"/>
      <c r="J4433" s="241"/>
      <c r="K4433" s="241"/>
      <c r="L4433" s="241"/>
      <c r="M4433" s="241"/>
      <c r="N4433" s="241"/>
      <c r="O4433" s="241"/>
      <c r="P4433" s="241"/>
      <c r="Q4433" s="241"/>
    </row>
    <row r="4434" spans="1:17" ht="13.5" customHeight="1" x14ac:dyDescent="0.3">
      <c r="A4434"/>
      <c r="B4434" s="241"/>
      <c r="C4434" s="241"/>
      <c r="D4434" s="241"/>
      <c r="E4434" s="241"/>
      <c r="F4434" s="241"/>
      <c r="G4434" s="241"/>
      <c r="H4434" s="241"/>
      <c r="I4434"/>
      <c r="J4434" s="241"/>
      <c r="K4434" s="241"/>
      <c r="L4434" s="241"/>
      <c r="M4434" s="241"/>
      <c r="N4434" s="241"/>
      <c r="O4434" s="241"/>
      <c r="P4434" s="241"/>
      <c r="Q4434" s="241"/>
    </row>
    <row r="4435" spans="1:17" ht="13.5" customHeight="1" x14ac:dyDescent="0.3">
      <c r="A4435"/>
      <c r="B4435" s="241"/>
      <c r="C4435" s="241"/>
      <c r="D4435" s="241"/>
      <c r="E4435" s="241"/>
      <c r="F4435" s="241"/>
      <c r="G4435" s="241"/>
      <c r="H4435" s="241"/>
      <c r="I4435"/>
      <c r="J4435" s="241"/>
      <c r="K4435" s="241"/>
      <c r="L4435" s="241"/>
      <c r="M4435" s="241"/>
      <c r="N4435" s="241"/>
      <c r="O4435" s="241"/>
      <c r="P4435" s="241"/>
      <c r="Q4435" s="241"/>
    </row>
    <row r="4436" spans="1:17" ht="13.5" customHeight="1" x14ac:dyDescent="0.3">
      <c r="A4436"/>
      <c r="B4436" s="241"/>
      <c r="C4436" s="241"/>
      <c r="D4436" s="241"/>
      <c r="E4436" s="241"/>
      <c r="F4436" s="241"/>
      <c r="G4436" s="241"/>
      <c r="H4436" s="241"/>
      <c r="I4436"/>
      <c r="J4436" s="241"/>
      <c r="K4436" s="241"/>
      <c r="L4436" s="241"/>
      <c r="M4436" s="241"/>
      <c r="N4436" s="241"/>
      <c r="O4436" s="241"/>
      <c r="P4436" s="241"/>
      <c r="Q4436" s="241"/>
    </row>
    <row r="4437" spans="1:17" ht="13.5" customHeight="1" x14ac:dyDescent="0.3">
      <c r="A4437"/>
      <c r="B4437" s="241"/>
      <c r="C4437" s="241"/>
      <c r="D4437" s="241"/>
      <c r="E4437" s="241"/>
      <c r="F4437" s="241"/>
      <c r="G4437" s="241"/>
      <c r="H4437" s="241"/>
      <c r="I4437"/>
      <c r="J4437" s="241"/>
      <c r="K4437" s="241"/>
      <c r="L4437" s="241"/>
      <c r="M4437" s="241"/>
      <c r="N4437" s="241"/>
      <c r="O4437" s="241"/>
      <c r="P4437" s="241"/>
      <c r="Q4437" s="241"/>
    </row>
    <row r="4438" spans="1:17" ht="13.5" customHeight="1" x14ac:dyDescent="0.3">
      <c r="A4438"/>
      <c r="B4438" s="241"/>
      <c r="C4438" s="241"/>
      <c r="D4438" s="241"/>
      <c r="E4438" s="241"/>
      <c r="F4438" s="241"/>
      <c r="G4438" s="241"/>
      <c r="H4438" s="241"/>
      <c r="I4438"/>
      <c r="J4438" s="241"/>
      <c r="K4438" s="241"/>
      <c r="L4438" s="241"/>
      <c r="M4438" s="241"/>
      <c r="N4438" s="241"/>
      <c r="O4438" s="241"/>
      <c r="P4438" s="241"/>
      <c r="Q4438" s="241"/>
    </row>
    <row r="4439" spans="1:17" ht="13.5" customHeight="1" x14ac:dyDescent="0.3">
      <c r="A4439"/>
      <c r="B4439" s="241"/>
      <c r="C4439" s="241"/>
      <c r="D4439" s="241"/>
      <c r="E4439" s="241"/>
      <c r="F4439" s="241"/>
      <c r="G4439" s="241"/>
      <c r="H4439" s="241"/>
      <c r="I4439"/>
      <c r="J4439" s="241"/>
      <c r="K4439" s="241"/>
      <c r="L4439" s="241"/>
      <c r="M4439" s="241"/>
      <c r="N4439" s="241"/>
      <c r="O4439" s="241"/>
      <c r="P4439" s="241"/>
      <c r="Q4439" s="241"/>
    </row>
    <row r="4440" spans="1:17" ht="13.5" customHeight="1" x14ac:dyDescent="0.3">
      <c r="A4440"/>
      <c r="B4440" s="241"/>
      <c r="C4440" s="241"/>
      <c r="D4440" s="241"/>
      <c r="E4440" s="241"/>
      <c r="F4440" s="241"/>
      <c r="G4440" s="241"/>
      <c r="H4440" s="241"/>
      <c r="I4440"/>
      <c r="J4440" s="241"/>
      <c r="K4440" s="241"/>
      <c r="L4440" s="241"/>
      <c r="M4440" s="241"/>
      <c r="N4440" s="241"/>
      <c r="O4440" s="241"/>
      <c r="P4440" s="241"/>
      <c r="Q4440" s="241"/>
    </row>
    <row r="4441" spans="1:17" ht="13.5" customHeight="1" x14ac:dyDescent="0.3">
      <c r="A4441"/>
      <c r="B4441" s="241"/>
      <c r="C4441" s="241"/>
      <c r="D4441" s="241"/>
      <c r="E4441" s="241"/>
      <c r="F4441" s="241"/>
      <c r="G4441" s="241"/>
      <c r="H4441" s="241"/>
      <c r="I4441"/>
      <c r="J4441" s="241"/>
      <c r="K4441" s="241"/>
      <c r="L4441" s="241"/>
      <c r="M4441" s="241"/>
      <c r="N4441" s="241"/>
      <c r="O4441" s="241"/>
      <c r="P4441" s="241"/>
      <c r="Q4441" s="241"/>
    </row>
    <row r="4442" spans="1:17" ht="13.5" customHeight="1" x14ac:dyDescent="0.3">
      <c r="A4442"/>
      <c r="B4442" s="241"/>
      <c r="C4442" s="241"/>
      <c r="D4442" s="241"/>
      <c r="E4442" s="241"/>
      <c r="F4442" s="241"/>
      <c r="G4442" s="241"/>
      <c r="H4442" s="241"/>
      <c r="I4442"/>
      <c r="J4442" s="241"/>
      <c r="K4442" s="241"/>
      <c r="L4442" s="241"/>
      <c r="M4442" s="241"/>
      <c r="N4442" s="241"/>
      <c r="O4442" s="241"/>
      <c r="P4442" s="241"/>
      <c r="Q4442" s="241"/>
    </row>
    <row r="4443" spans="1:17" ht="13.5" customHeight="1" x14ac:dyDescent="0.3">
      <c r="A4443"/>
      <c r="B4443" s="241"/>
      <c r="C4443" s="241"/>
      <c r="D4443" s="241"/>
      <c r="E4443" s="241"/>
      <c r="F4443" s="241"/>
      <c r="G4443" s="241"/>
      <c r="H4443" s="241"/>
      <c r="I4443"/>
      <c r="J4443" s="241"/>
      <c r="K4443" s="241"/>
      <c r="L4443" s="241"/>
      <c r="M4443" s="241"/>
      <c r="N4443" s="241"/>
      <c r="O4443" s="241"/>
      <c r="P4443" s="241"/>
      <c r="Q4443" s="241"/>
    </row>
    <row r="4444" spans="1:17" ht="13.5" customHeight="1" x14ac:dyDescent="0.3">
      <c r="A4444"/>
      <c r="B4444" s="241"/>
      <c r="C4444" s="241"/>
      <c r="D4444" s="241"/>
      <c r="E4444" s="241"/>
      <c r="F4444" s="241"/>
      <c r="G4444" s="241"/>
      <c r="H4444" s="241"/>
      <c r="I4444"/>
      <c r="J4444" s="241"/>
      <c r="K4444" s="241"/>
      <c r="L4444" s="241"/>
      <c r="M4444" s="241"/>
      <c r="N4444" s="241"/>
      <c r="O4444" s="241"/>
      <c r="P4444" s="241"/>
      <c r="Q4444" s="241"/>
    </row>
    <row r="4445" spans="1:17" ht="13.5" customHeight="1" x14ac:dyDescent="0.3">
      <c r="A4445"/>
      <c r="B4445" s="241"/>
      <c r="C4445" s="241"/>
      <c r="D4445" s="241"/>
      <c r="E4445" s="241"/>
      <c r="F4445" s="241"/>
      <c r="G4445" s="241"/>
      <c r="H4445" s="241"/>
      <c r="I4445"/>
      <c r="J4445" s="241"/>
      <c r="K4445" s="241"/>
      <c r="L4445" s="241"/>
      <c r="M4445" s="241"/>
      <c r="N4445" s="241"/>
      <c r="O4445" s="241"/>
      <c r="P4445" s="241"/>
      <c r="Q4445" s="241"/>
    </row>
    <row r="4446" spans="1:17" ht="13.5" customHeight="1" x14ac:dyDescent="0.3">
      <c r="A4446"/>
      <c r="B4446" s="241"/>
      <c r="C4446" s="241"/>
      <c r="D4446" s="241"/>
      <c r="E4446" s="241"/>
      <c r="F4446" s="241"/>
      <c r="G4446" s="241"/>
      <c r="H4446" s="241"/>
      <c r="I4446"/>
      <c r="J4446" s="241"/>
      <c r="K4446" s="241"/>
      <c r="L4446" s="241"/>
      <c r="M4446" s="241"/>
      <c r="N4446" s="241"/>
      <c r="O4446" s="241"/>
      <c r="P4446" s="241"/>
      <c r="Q4446" s="241"/>
    </row>
    <row r="4447" spans="1:17" ht="13.5" customHeight="1" x14ac:dyDescent="0.3">
      <c r="A4447"/>
      <c r="B4447" s="241"/>
      <c r="C4447" s="241"/>
      <c r="D4447" s="241"/>
      <c r="E4447" s="241"/>
      <c r="F4447" s="241"/>
      <c r="G4447" s="241"/>
      <c r="H4447" s="241"/>
      <c r="I4447"/>
      <c r="J4447" s="241"/>
      <c r="K4447" s="241"/>
      <c r="L4447" s="241"/>
      <c r="M4447" s="241"/>
      <c r="N4447" s="241"/>
      <c r="O4447" s="241"/>
      <c r="P4447" s="241"/>
      <c r="Q4447" s="241"/>
    </row>
    <row r="4448" spans="1:17" ht="13.5" customHeight="1" x14ac:dyDescent="0.3">
      <c r="A4448"/>
      <c r="B4448" s="241"/>
      <c r="C4448" s="241"/>
      <c r="D4448" s="241"/>
      <c r="E4448" s="241"/>
      <c r="F4448" s="241"/>
      <c r="G4448" s="241"/>
      <c r="H4448" s="241"/>
      <c r="I4448"/>
      <c r="J4448" s="241"/>
      <c r="K4448" s="241"/>
      <c r="L4448" s="241"/>
      <c r="M4448" s="241"/>
      <c r="N4448" s="241"/>
      <c r="O4448" s="241"/>
      <c r="P4448" s="241"/>
      <c r="Q4448" s="241"/>
    </row>
    <row r="4449" spans="1:17" ht="13.5" customHeight="1" x14ac:dyDescent="0.3">
      <c r="A4449"/>
      <c r="B4449" s="241"/>
      <c r="C4449" s="241"/>
      <c r="D4449" s="241"/>
      <c r="E4449" s="241"/>
      <c r="F4449" s="241"/>
      <c r="G4449" s="241"/>
      <c r="H4449" s="241"/>
      <c r="I4449"/>
      <c r="J4449" s="241"/>
      <c r="K4449" s="241"/>
      <c r="L4449" s="241"/>
      <c r="M4449" s="241"/>
      <c r="N4449" s="241"/>
      <c r="O4449" s="241"/>
      <c r="P4449" s="241"/>
      <c r="Q4449" s="241"/>
    </row>
    <row r="4450" spans="1:17" ht="13.5" customHeight="1" x14ac:dyDescent="0.3">
      <c r="A4450"/>
      <c r="B4450" s="241"/>
      <c r="C4450" s="241"/>
      <c r="D4450" s="241"/>
      <c r="E4450" s="241"/>
      <c r="F4450" s="241"/>
      <c r="G4450" s="241"/>
      <c r="H4450" s="241"/>
      <c r="I4450"/>
      <c r="J4450" s="241"/>
      <c r="K4450" s="241"/>
      <c r="L4450" s="241"/>
      <c r="M4450" s="241"/>
      <c r="N4450" s="241"/>
      <c r="O4450" s="241"/>
      <c r="P4450" s="241"/>
      <c r="Q4450" s="241"/>
    </row>
    <row r="4451" spans="1:17" ht="13.5" customHeight="1" x14ac:dyDescent="0.3">
      <c r="A4451"/>
      <c r="B4451" s="241"/>
      <c r="C4451" s="241"/>
      <c r="D4451" s="241"/>
      <c r="E4451" s="241"/>
      <c r="F4451" s="241"/>
      <c r="G4451" s="241"/>
      <c r="H4451" s="241"/>
      <c r="I4451"/>
      <c r="J4451" s="241"/>
      <c r="K4451" s="241"/>
      <c r="L4451" s="241"/>
      <c r="M4451" s="241"/>
      <c r="N4451" s="241"/>
      <c r="O4451" s="241"/>
      <c r="P4451" s="241"/>
      <c r="Q4451" s="241"/>
    </row>
    <row r="4452" spans="1:17" ht="13.5" customHeight="1" x14ac:dyDescent="0.3">
      <c r="A4452"/>
      <c r="B4452" s="241"/>
      <c r="C4452" s="241"/>
      <c r="D4452" s="241"/>
      <c r="E4452" s="241"/>
      <c r="F4452" s="241"/>
      <c r="G4452" s="241"/>
      <c r="H4452" s="241"/>
      <c r="I4452"/>
      <c r="J4452" s="241"/>
      <c r="K4452" s="241"/>
      <c r="L4452" s="241"/>
      <c r="M4452" s="241"/>
      <c r="N4452" s="241"/>
      <c r="O4452" s="241"/>
      <c r="P4452" s="241"/>
      <c r="Q4452" s="241"/>
    </row>
    <row r="4453" spans="1:17" ht="13.5" customHeight="1" x14ac:dyDescent="0.3">
      <c r="A4453"/>
      <c r="B4453" s="241"/>
      <c r="C4453" s="241"/>
      <c r="D4453" s="241"/>
      <c r="E4453" s="241"/>
      <c r="F4453" s="241"/>
      <c r="G4453" s="241"/>
      <c r="H4453" s="241"/>
      <c r="I4453"/>
      <c r="J4453" s="241"/>
      <c r="K4453" s="241"/>
      <c r="L4453" s="241"/>
      <c r="M4453" s="241"/>
      <c r="N4453" s="241"/>
      <c r="O4453" s="241"/>
      <c r="P4453" s="241"/>
      <c r="Q4453" s="241"/>
    </row>
    <row r="4454" spans="1:17" ht="13.5" customHeight="1" x14ac:dyDescent="0.3">
      <c r="A4454"/>
      <c r="B4454" s="241"/>
      <c r="C4454" s="241"/>
      <c r="D4454" s="241"/>
      <c r="E4454" s="241"/>
      <c r="F4454" s="241"/>
      <c r="G4454" s="241"/>
      <c r="H4454" s="241"/>
      <c r="I4454"/>
      <c r="J4454" s="241"/>
      <c r="K4454" s="241"/>
      <c r="L4454" s="241"/>
      <c r="M4454" s="241"/>
      <c r="N4454" s="241"/>
      <c r="O4454" s="241"/>
      <c r="P4454" s="241"/>
      <c r="Q4454" s="241"/>
    </row>
    <row r="4455" spans="1:17" ht="13.5" customHeight="1" x14ac:dyDescent="0.3">
      <c r="A4455"/>
      <c r="B4455" s="241"/>
      <c r="C4455" s="241"/>
      <c r="D4455" s="241"/>
      <c r="E4455" s="241"/>
      <c r="F4455" s="241"/>
      <c r="G4455" s="241"/>
      <c r="H4455" s="241"/>
      <c r="I4455"/>
      <c r="J4455" s="241"/>
      <c r="K4455" s="241"/>
      <c r="L4455" s="241"/>
      <c r="M4455" s="241"/>
      <c r="N4455" s="241"/>
      <c r="O4455" s="241"/>
      <c r="P4455" s="241"/>
      <c r="Q4455" s="241"/>
    </row>
    <row r="4456" spans="1:17" ht="13.5" customHeight="1" x14ac:dyDescent="0.3">
      <c r="A4456"/>
      <c r="B4456" s="241"/>
      <c r="C4456" s="241"/>
      <c r="D4456" s="241"/>
      <c r="E4456" s="241"/>
      <c r="F4456" s="241"/>
      <c r="G4456" s="241"/>
      <c r="H4456" s="241"/>
      <c r="I4456"/>
      <c r="J4456" s="241"/>
      <c r="K4456" s="241"/>
      <c r="L4456" s="241"/>
      <c r="M4456" s="241"/>
      <c r="N4456" s="241"/>
      <c r="O4456" s="241"/>
      <c r="P4456" s="241"/>
      <c r="Q4456" s="241"/>
    </row>
    <row r="4457" spans="1:17" ht="13.5" customHeight="1" x14ac:dyDescent="0.3">
      <c r="A4457"/>
      <c r="B4457" s="241"/>
      <c r="C4457" s="241"/>
      <c r="D4457" s="241"/>
      <c r="E4457" s="241"/>
      <c r="F4457" s="241"/>
      <c r="G4457" s="241"/>
      <c r="H4457" s="241"/>
      <c r="I4457"/>
      <c r="J4457" s="241"/>
      <c r="K4457" s="241"/>
      <c r="L4457" s="241"/>
      <c r="M4457" s="241"/>
      <c r="N4457" s="241"/>
      <c r="O4457" s="241"/>
      <c r="P4457" s="241"/>
      <c r="Q4457" s="241"/>
    </row>
    <row r="4458" spans="1:17" ht="13.5" customHeight="1" x14ac:dyDescent="0.3">
      <c r="A4458"/>
      <c r="B4458" s="241"/>
      <c r="C4458" s="241"/>
      <c r="D4458" s="241"/>
      <c r="E4458" s="241"/>
      <c r="F4458" s="241"/>
      <c r="G4458" s="241"/>
      <c r="H4458" s="241"/>
      <c r="I4458"/>
      <c r="J4458" s="241"/>
      <c r="K4458" s="241"/>
      <c r="L4458" s="241"/>
      <c r="M4458" s="241"/>
      <c r="N4458" s="241"/>
      <c r="O4458" s="241"/>
      <c r="P4458" s="241"/>
      <c r="Q4458" s="241"/>
    </row>
    <row r="4459" spans="1:17" ht="13.5" customHeight="1" x14ac:dyDescent="0.3">
      <c r="A4459"/>
      <c r="B4459" s="241"/>
      <c r="C4459" s="241"/>
      <c r="D4459" s="241"/>
      <c r="E4459" s="241"/>
      <c r="F4459" s="241"/>
      <c r="G4459" s="241"/>
      <c r="H4459" s="241"/>
      <c r="I4459"/>
      <c r="J4459" s="241"/>
      <c r="K4459" s="241"/>
      <c r="L4459" s="241"/>
      <c r="M4459" s="241"/>
      <c r="N4459" s="241"/>
      <c r="O4459" s="241"/>
      <c r="P4459" s="241"/>
      <c r="Q4459" s="241"/>
    </row>
    <row r="4460" spans="1:17" ht="13.5" customHeight="1" x14ac:dyDescent="0.3">
      <c r="A4460"/>
      <c r="B4460" s="241"/>
      <c r="C4460" s="241"/>
      <c r="D4460" s="241"/>
      <c r="E4460" s="241"/>
      <c r="F4460" s="241"/>
      <c r="G4460" s="241"/>
      <c r="H4460" s="241"/>
      <c r="I4460"/>
      <c r="J4460" s="241"/>
      <c r="K4460" s="241"/>
      <c r="L4460" s="241"/>
      <c r="M4460" s="241"/>
      <c r="N4460" s="241"/>
      <c r="O4460" s="241"/>
      <c r="P4460" s="241"/>
      <c r="Q4460" s="241"/>
    </row>
    <row r="4461" spans="1:17" ht="13.5" customHeight="1" x14ac:dyDescent="0.3">
      <c r="A4461"/>
      <c r="B4461" s="241"/>
      <c r="C4461" s="241"/>
      <c r="D4461" s="241"/>
      <c r="E4461" s="241"/>
      <c r="F4461" s="241"/>
      <c r="G4461" s="241"/>
      <c r="H4461" s="241"/>
      <c r="I4461"/>
      <c r="J4461" s="241"/>
      <c r="K4461" s="241"/>
      <c r="L4461" s="241"/>
      <c r="M4461" s="241"/>
      <c r="N4461" s="241"/>
      <c r="O4461" s="241"/>
      <c r="P4461" s="241"/>
      <c r="Q4461" s="241"/>
    </row>
    <row r="4462" spans="1:17" ht="13.5" customHeight="1" x14ac:dyDescent="0.3">
      <c r="A4462"/>
      <c r="B4462" s="241"/>
      <c r="C4462" s="241"/>
      <c r="D4462" s="241"/>
      <c r="E4462" s="241"/>
      <c r="F4462" s="241"/>
      <c r="G4462" s="241"/>
      <c r="H4462" s="241"/>
      <c r="I4462"/>
      <c r="J4462" s="241"/>
      <c r="K4462" s="241"/>
      <c r="L4462" s="241"/>
      <c r="M4462" s="241"/>
      <c r="N4462" s="241"/>
      <c r="O4462" s="241"/>
      <c r="P4462" s="241"/>
      <c r="Q4462" s="241"/>
    </row>
    <row r="4463" spans="1:17" ht="13.5" customHeight="1" x14ac:dyDescent="0.3">
      <c r="A4463"/>
      <c r="B4463" s="241"/>
      <c r="C4463" s="241"/>
      <c r="D4463" s="241"/>
      <c r="E4463" s="241"/>
      <c r="F4463" s="241"/>
      <c r="G4463" s="241"/>
      <c r="H4463" s="241"/>
      <c r="I4463"/>
      <c r="J4463" s="241"/>
      <c r="K4463" s="241"/>
      <c r="L4463" s="241"/>
      <c r="M4463" s="241"/>
      <c r="N4463" s="241"/>
      <c r="O4463" s="241"/>
      <c r="P4463" s="241"/>
      <c r="Q4463" s="241"/>
    </row>
    <row r="4464" spans="1:17" ht="13.5" customHeight="1" x14ac:dyDescent="0.3">
      <c r="A4464"/>
      <c r="B4464" s="241"/>
      <c r="C4464" s="241"/>
      <c r="D4464" s="241"/>
      <c r="E4464" s="241"/>
      <c r="F4464" s="241"/>
      <c r="G4464" s="241"/>
      <c r="H4464" s="241"/>
      <c r="I4464"/>
      <c r="J4464" s="241"/>
      <c r="K4464" s="241"/>
      <c r="L4464" s="241"/>
      <c r="M4464" s="241"/>
      <c r="N4464" s="241"/>
      <c r="O4464" s="241"/>
      <c r="P4464" s="241"/>
      <c r="Q4464" s="241"/>
    </row>
    <row r="4465" spans="1:17" ht="13.5" customHeight="1" x14ac:dyDescent="0.3">
      <c r="A4465"/>
      <c r="B4465" s="241"/>
      <c r="C4465" s="241"/>
      <c r="D4465" s="241"/>
      <c r="E4465" s="241"/>
      <c r="F4465" s="241"/>
      <c r="G4465" s="241"/>
      <c r="H4465" s="241"/>
      <c r="I4465"/>
      <c r="J4465" s="241"/>
      <c r="K4465" s="241"/>
      <c r="L4465" s="241"/>
      <c r="M4465" s="241"/>
      <c r="N4465" s="241"/>
      <c r="O4465" s="241"/>
      <c r="P4465" s="241"/>
      <c r="Q4465" s="241"/>
    </row>
    <row r="4466" spans="1:17" ht="13.5" customHeight="1" x14ac:dyDescent="0.3">
      <c r="A4466"/>
      <c r="B4466" s="241"/>
      <c r="C4466" s="241"/>
      <c r="D4466" s="241"/>
      <c r="E4466" s="241"/>
      <c r="F4466" s="241"/>
      <c r="G4466" s="241"/>
      <c r="H4466" s="241"/>
      <c r="I4466"/>
      <c r="J4466" s="241"/>
      <c r="K4466" s="241"/>
      <c r="L4466" s="241"/>
      <c r="M4466" s="241"/>
      <c r="N4466" s="241"/>
      <c r="O4466" s="241"/>
      <c r="P4466" s="241"/>
      <c r="Q4466" s="241"/>
    </row>
    <row r="4467" spans="1:17" ht="13.5" customHeight="1" x14ac:dyDescent="0.3">
      <c r="A4467"/>
      <c r="B4467" s="241"/>
      <c r="C4467" s="241"/>
      <c r="D4467" s="241"/>
      <c r="E4467" s="241"/>
      <c r="F4467" s="241"/>
      <c r="G4467" s="241"/>
      <c r="H4467" s="241"/>
      <c r="I4467"/>
      <c r="J4467" s="241"/>
      <c r="K4467" s="241"/>
      <c r="L4467" s="241"/>
      <c r="M4467" s="241"/>
      <c r="N4467" s="241"/>
      <c r="O4467" s="241"/>
      <c r="P4467" s="241"/>
      <c r="Q4467" s="241"/>
    </row>
    <row r="4468" spans="1:17" ht="13.5" customHeight="1" x14ac:dyDescent="0.3">
      <c r="A4468"/>
      <c r="B4468" s="241"/>
      <c r="C4468" s="241"/>
      <c r="D4468" s="241"/>
      <c r="E4468" s="241"/>
      <c r="F4468" s="241"/>
      <c r="G4468" s="241"/>
      <c r="H4468" s="241"/>
      <c r="I4468"/>
      <c r="J4468" s="241"/>
      <c r="K4468" s="241"/>
      <c r="L4468" s="241"/>
      <c r="M4468" s="241"/>
      <c r="N4468" s="241"/>
      <c r="O4468" s="241"/>
      <c r="P4468" s="241"/>
      <c r="Q4468" s="241"/>
    </row>
    <row r="4469" spans="1:17" ht="13.5" customHeight="1" x14ac:dyDescent="0.3">
      <c r="A4469"/>
      <c r="B4469" s="241"/>
      <c r="C4469" s="241"/>
      <c r="D4469" s="241"/>
      <c r="E4469" s="241"/>
      <c r="F4469" s="241"/>
      <c r="G4469" s="241"/>
      <c r="H4469" s="241"/>
      <c r="I4469"/>
      <c r="J4469" s="241"/>
      <c r="K4469" s="241"/>
      <c r="L4469" s="241"/>
      <c r="M4469" s="241"/>
      <c r="N4469" s="241"/>
      <c r="O4469" s="241"/>
      <c r="P4469" s="241"/>
      <c r="Q4469" s="241"/>
    </row>
    <row r="4470" spans="1:17" ht="13.5" customHeight="1" x14ac:dyDescent="0.3">
      <c r="A4470"/>
      <c r="B4470" s="241"/>
      <c r="C4470" s="241"/>
      <c r="D4470" s="241"/>
      <c r="E4470" s="241"/>
      <c r="F4470" s="241"/>
      <c r="G4470" s="241"/>
      <c r="H4470" s="241"/>
      <c r="I4470"/>
      <c r="J4470" s="241"/>
      <c r="K4470" s="241"/>
      <c r="L4470" s="241"/>
      <c r="M4470" s="241"/>
      <c r="N4470" s="241"/>
      <c r="O4470" s="241"/>
      <c r="P4470" s="241"/>
      <c r="Q4470" s="241"/>
    </row>
    <row r="4471" spans="1:17" ht="13.5" customHeight="1" x14ac:dyDescent="0.3">
      <c r="A4471"/>
      <c r="B4471" s="241"/>
      <c r="C4471" s="241"/>
      <c r="D4471" s="241"/>
      <c r="E4471" s="241"/>
      <c r="F4471" s="241"/>
      <c r="G4471" s="241"/>
      <c r="H4471" s="241"/>
      <c r="I4471"/>
      <c r="J4471" s="241"/>
      <c r="K4471" s="241"/>
      <c r="L4471" s="241"/>
      <c r="M4471" s="241"/>
      <c r="N4471" s="241"/>
      <c r="O4471" s="241"/>
      <c r="P4471" s="241"/>
      <c r="Q4471" s="241"/>
    </row>
    <row r="4472" spans="1:17" ht="13.5" customHeight="1" x14ac:dyDescent="0.3">
      <c r="A4472"/>
      <c r="B4472" s="241"/>
      <c r="C4472" s="241"/>
      <c r="D4472" s="241"/>
      <c r="E4472" s="241"/>
      <c r="F4472" s="241"/>
      <c r="G4472" s="241"/>
      <c r="H4472" s="241"/>
      <c r="I4472"/>
      <c r="J4472" s="241"/>
      <c r="K4472" s="241"/>
      <c r="L4472" s="241"/>
      <c r="M4472" s="241"/>
      <c r="N4472" s="241"/>
      <c r="O4472" s="241"/>
      <c r="P4472" s="241"/>
      <c r="Q4472" s="241"/>
    </row>
    <row r="4473" spans="1:17" ht="13.5" customHeight="1" x14ac:dyDescent="0.3">
      <c r="A4473"/>
      <c r="B4473" s="241"/>
      <c r="C4473" s="241"/>
      <c r="D4473" s="241"/>
      <c r="E4473" s="241"/>
      <c r="F4473" s="241"/>
      <c r="G4473" s="241"/>
      <c r="H4473" s="241"/>
      <c r="I4473"/>
      <c r="J4473" s="241"/>
      <c r="K4473" s="241"/>
      <c r="L4473" s="241"/>
      <c r="M4473" s="241"/>
      <c r="N4473" s="241"/>
      <c r="O4473" s="241"/>
      <c r="P4473" s="241"/>
      <c r="Q4473" s="241"/>
    </row>
    <row r="4474" spans="1:17" ht="13.5" customHeight="1" x14ac:dyDescent="0.3">
      <c r="A4474"/>
      <c r="B4474" s="241"/>
      <c r="C4474" s="241"/>
      <c r="D4474" s="241"/>
      <c r="E4474" s="241"/>
      <c r="F4474" s="241"/>
      <c r="G4474" s="241"/>
      <c r="H4474" s="241"/>
      <c r="I4474"/>
      <c r="J4474" s="241"/>
      <c r="K4474" s="241"/>
      <c r="L4474" s="241"/>
      <c r="M4474" s="241"/>
      <c r="N4474" s="241"/>
      <c r="O4474" s="241"/>
      <c r="P4474" s="241"/>
      <c r="Q4474" s="241"/>
    </row>
    <row r="4475" spans="1:17" ht="13.5" customHeight="1" x14ac:dyDescent="0.3">
      <c r="A4475"/>
      <c r="B4475" s="241"/>
      <c r="C4475" s="241"/>
      <c r="D4475" s="241"/>
      <c r="E4475" s="241"/>
      <c r="F4475" s="241"/>
      <c r="G4475" s="241"/>
      <c r="H4475" s="241"/>
      <c r="I4475"/>
      <c r="J4475" s="241"/>
      <c r="K4475" s="241"/>
      <c r="L4475" s="241"/>
      <c r="M4475" s="241"/>
      <c r="N4475" s="241"/>
      <c r="O4475" s="241"/>
      <c r="P4475" s="241"/>
      <c r="Q4475" s="241"/>
    </row>
    <row r="4476" spans="1:17" ht="13.5" customHeight="1" x14ac:dyDescent="0.3">
      <c r="A4476"/>
      <c r="B4476" s="241"/>
      <c r="C4476" s="241"/>
      <c r="D4476" s="241"/>
      <c r="E4476" s="241"/>
      <c r="F4476" s="241"/>
      <c r="G4476" s="241"/>
      <c r="H4476" s="241"/>
      <c r="I4476"/>
      <c r="J4476" s="241"/>
      <c r="K4476" s="241"/>
      <c r="L4476" s="241"/>
      <c r="M4476" s="241"/>
      <c r="N4476" s="241"/>
      <c r="O4476" s="241"/>
      <c r="P4476" s="241"/>
      <c r="Q4476" s="241"/>
    </row>
    <row r="4477" spans="1:17" ht="13.5" customHeight="1" x14ac:dyDescent="0.3">
      <c r="A4477"/>
      <c r="B4477" s="241"/>
      <c r="C4477" s="241"/>
      <c r="D4477" s="241"/>
      <c r="E4477" s="241"/>
      <c r="F4477" s="241"/>
      <c r="G4477" s="241"/>
      <c r="H4477" s="241"/>
      <c r="I4477"/>
      <c r="J4477" s="241"/>
      <c r="K4477" s="241"/>
      <c r="L4477" s="241"/>
      <c r="M4477" s="241"/>
      <c r="N4477" s="241"/>
      <c r="O4477" s="241"/>
      <c r="P4477" s="241"/>
      <c r="Q4477" s="241"/>
    </row>
    <row r="4478" spans="1:17" ht="13.5" customHeight="1" x14ac:dyDescent="0.3">
      <c r="A4478"/>
      <c r="B4478" s="241"/>
      <c r="C4478" s="241"/>
      <c r="D4478" s="241"/>
      <c r="E4478" s="241"/>
      <c r="F4478" s="241"/>
      <c r="G4478" s="241"/>
      <c r="H4478" s="241"/>
      <c r="I4478"/>
      <c r="J4478" s="241"/>
      <c r="K4478" s="241"/>
      <c r="L4478" s="241"/>
      <c r="M4478" s="241"/>
      <c r="N4478" s="241"/>
      <c r="O4478" s="241"/>
      <c r="P4478" s="241"/>
      <c r="Q4478" s="241"/>
    </row>
    <row r="4479" spans="1:17" ht="13.5" customHeight="1" x14ac:dyDescent="0.3">
      <c r="A4479"/>
      <c r="B4479" s="241"/>
      <c r="C4479" s="241"/>
      <c r="D4479" s="241"/>
      <c r="E4479" s="241"/>
      <c r="F4479" s="241"/>
      <c r="G4479" s="241"/>
      <c r="H4479" s="241"/>
      <c r="I4479"/>
      <c r="J4479" s="241"/>
      <c r="K4479" s="241"/>
      <c r="L4479" s="241"/>
      <c r="M4479" s="241"/>
      <c r="N4479" s="241"/>
      <c r="O4479" s="241"/>
      <c r="P4479" s="241"/>
      <c r="Q4479" s="241"/>
    </row>
    <row r="4480" spans="1:17" ht="13.5" customHeight="1" x14ac:dyDescent="0.3">
      <c r="A4480"/>
      <c r="B4480" s="241"/>
      <c r="C4480" s="241"/>
      <c r="D4480" s="241"/>
      <c r="E4480" s="241"/>
      <c r="F4480" s="241"/>
      <c r="G4480" s="241"/>
      <c r="H4480" s="241"/>
      <c r="I4480"/>
      <c r="J4480" s="241"/>
      <c r="K4480" s="241"/>
      <c r="L4480" s="241"/>
      <c r="M4480" s="241"/>
      <c r="N4480" s="241"/>
      <c r="O4480" s="241"/>
      <c r="P4480" s="241"/>
      <c r="Q4480" s="241"/>
    </row>
    <row r="4481" spans="1:17" ht="13.5" customHeight="1" x14ac:dyDescent="0.3">
      <c r="A4481"/>
      <c r="B4481" s="241"/>
      <c r="C4481" s="241"/>
      <c r="D4481" s="241"/>
      <c r="E4481" s="241"/>
      <c r="F4481" s="241"/>
      <c r="G4481" s="241"/>
      <c r="H4481" s="241"/>
      <c r="I4481"/>
      <c r="J4481" s="241"/>
      <c r="K4481" s="241"/>
      <c r="L4481" s="241"/>
      <c r="M4481" s="241"/>
      <c r="N4481" s="241"/>
      <c r="O4481" s="241"/>
      <c r="P4481" s="241"/>
      <c r="Q4481" s="241"/>
    </row>
    <row r="4482" spans="1:17" ht="13.5" customHeight="1" x14ac:dyDescent="0.3">
      <c r="A4482"/>
      <c r="B4482" s="241"/>
      <c r="C4482" s="241"/>
      <c r="D4482" s="241"/>
      <c r="E4482" s="241"/>
      <c r="F4482" s="241"/>
      <c r="G4482" s="241"/>
      <c r="H4482" s="241"/>
      <c r="I4482"/>
      <c r="J4482" s="241"/>
      <c r="K4482" s="241"/>
      <c r="L4482" s="241"/>
      <c r="M4482" s="241"/>
      <c r="N4482" s="241"/>
      <c r="O4482" s="241"/>
      <c r="P4482" s="241"/>
      <c r="Q4482" s="241"/>
    </row>
    <row r="4483" spans="1:17" ht="13.5" customHeight="1" x14ac:dyDescent="0.3">
      <c r="A4483"/>
      <c r="B4483" s="241"/>
      <c r="C4483" s="241"/>
      <c r="D4483" s="241"/>
      <c r="E4483" s="241"/>
      <c r="F4483" s="241"/>
      <c r="G4483" s="241"/>
      <c r="H4483" s="241"/>
      <c r="I4483"/>
      <c r="J4483" s="241"/>
      <c r="K4483" s="241"/>
      <c r="L4483" s="241"/>
      <c r="M4483" s="241"/>
      <c r="N4483" s="241"/>
      <c r="O4483" s="241"/>
      <c r="P4483" s="241"/>
      <c r="Q4483" s="241"/>
    </row>
    <row r="4484" spans="1:17" ht="13.5" customHeight="1" x14ac:dyDescent="0.3">
      <c r="A4484"/>
      <c r="B4484" s="241"/>
      <c r="C4484" s="241"/>
      <c r="D4484" s="241"/>
      <c r="E4484" s="241"/>
      <c r="F4484" s="241"/>
      <c r="G4484" s="241"/>
      <c r="H4484" s="241"/>
      <c r="I4484"/>
      <c r="J4484" s="241"/>
      <c r="K4484" s="241"/>
      <c r="L4484" s="241"/>
      <c r="M4484" s="241"/>
      <c r="N4484" s="241"/>
      <c r="O4484" s="241"/>
      <c r="P4484" s="241"/>
      <c r="Q4484" s="241"/>
    </row>
    <row r="4485" spans="1:17" ht="13.5" customHeight="1" x14ac:dyDescent="0.3">
      <c r="A4485"/>
      <c r="B4485" s="241"/>
      <c r="C4485" s="241"/>
      <c r="D4485" s="241"/>
      <c r="E4485" s="241"/>
      <c r="F4485" s="241"/>
      <c r="G4485" s="241"/>
      <c r="H4485" s="241"/>
      <c r="I4485"/>
      <c r="J4485" s="241"/>
      <c r="K4485" s="241"/>
      <c r="L4485" s="241"/>
      <c r="M4485" s="241"/>
      <c r="N4485" s="241"/>
      <c r="O4485" s="241"/>
      <c r="P4485" s="241"/>
      <c r="Q4485" s="241"/>
    </row>
    <row r="4486" spans="1:17" ht="13.5" customHeight="1" x14ac:dyDescent="0.3">
      <c r="A4486"/>
      <c r="B4486" s="241"/>
      <c r="C4486" s="241"/>
      <c r="D4486" s="241"/>
      <c r="E4486" s="241"/>
      <c r="F4486" s="241"/>
      <c r="G4486" s="241"/>
      <c r="H4486" s="241"/>
      <c r="I4486"/>
      <c r="J4486" s="241"/>
      <c r="K4486" s="241"/>
      <c r="L4486" s="241"/>
      <c r="M4486" s="241"/>
      <c r="N4486" s="241"/>
      <c r="O4486" s="241"/>
      <c r="P4486" s="241"/>
      <c r="Q4486" s="241"/>
    </row>
    <row r="4487" spans="1:17" ht="13.5" customHeight="1" x14ac:dyDescent="0.3">
      <c r="A4487"/>
      <c r="B4487" s="241"/>
      <c r="C4487" s="241"/>
      <c r="D4487" s="241"/>
      <c r="E4487" s="241"/>
      <c r="F4487" s="241"/>
      <c r="G4487" s="241"/>
      <c r="H4487" s="241"/>
      <c r="I4487"/>
      <c r="J4487" s="241"/>
      <c r="K4487" s="241"/>
      <c r="L4487" s="241"/>
      <c r="M4487" s="241"/>
      <c r="N4487" s="241"/>
      <c r="O4487" s="241"/>
      <c r="P4487" s="241"/>
      <c r="Q4487" s="241"/>
    </row>
    <row r="4488" spans="1:17" ht="13.5" customHeight="1" x14ac:dyDescent="0.3">
      <c r="A4488"/>
      <c r="B4488" s="241"/>
      <c r="C4488" s="241"/>
      <c r="D4488" s="241"/>
      <c r="E4488" s="241"/>
      <c r="F4488" s="241"/>
      <c r="G4488" s="241"/>
      <c r="H4488" s="241"/>
      <c r="I4488"/>
      <c r="J4488" s="241"/>
      <c r="K4488" s="241"/>
      <c r="L4488" s="241"/>
      <c r="M4488" s="241"/>
      <c r="N4488" s="241"/>
      <c r="O4488" s="241"/>
      <c r="P4488" s="241"/>
      <c r="Q4488" s="241"/>
    </row>
    <row r="4489" spans="1:17" ht="13.5" customHeight="1" x14ac:dyDescent="0.3">
      <c r="A4489"/>
      <c r="B4489" s="241"/>
      <c r="C4489" s="241"/>
      <c r="D4489" s="241"/>
      <c r="E4489" s="241"/>
      <c r="F4489" s="241"/>
      <c r="G4489" s="241"/>
      <c r="H4489" s="241"/>
      <c r="I4489"/>
      <c r="J4489" s="241"/>
      <c r="K4489" s="241"/>
      <c r="L4489" s="241"/>
      <c r="M4489" s="241"/>
      <c r="N4489" s="241"/>
      <c r="O4489" s="241"/>
      <c r="P4489" s="241"/>
      <c r="Q4489" s="241"/>
    </row>
    <row r="4490" spans="1:17" ht="13.5" customHeight="1" x14ac:dyDescent="0.3">
      <c r="A4490"/>
      <c r="B4490" s="241"/>
      <c r="C4490" s="241"/>
      <c r="D4490" s="241"/>
      <c r="E4490" s="241"/>
      <c r="F4490" s="241"/>
      <c r="G4490" s="241"/>
      <c r="H4490" s="241"/>
      <c r="I4490"/>
      <c r="J4490" s="241"/>
      <c r="K4490" s="241"/>
      <c r="L4490" s="241"/>
      <c r="M4490" s="241"/>
      <c r="N4490" s="241"/>
      <c r="O4490" s="241"/>
      <c r="P4490" s="241"/>
      <c r="Q4490" s="241"/>
    </row>
    <row r="4491" spans="1:17" ht="13.5" customHeight="1" x14ac:dyDescent="0.3">
      <c r="A4491"/>
      <c r="B4491" s="241"/>
      <c r="C4491" s="241"/>
      <c r="D4491" s="241"/>
      <c r="E4491" s="241"/>
      <c r="F4491" s="241"/>
      <c r="G4491" s="241"/>
      <c r="H4491" s="241"/>
      <c r="I4491"/>
      <c r="J4491" s="241"/>
      <c r="K4491" s="241"/>
      <c r="L4491" s="241"/>
      <c r="M4491" s="241"/>
      <c r="N4491" s="241"/>
      <c r="O4491" s="241"/>
      <c r="P4491" s="241"/>
      <c r="Q4491" s="241"/>
    </row>
    <row r="4492" spans="1:17" ht="13.5" customHeight="1" x14ac:dyDescent="0.3">
      <c r="A4492"/>
      <c r="B4492" s="241"/>
      <c r="C4492" s="241"/>
      <c r="D4492" s="241"/>
      <c r="E4492" s="241"/>
      <c r="F4492" s="241"/>
      <c r="G4492" s="241"/>
      <c r="H4492" s="241"/>
      <c r="I4492"/>
      <c r="J4492" s="241"/>
      <c r="K4492" s="241"/>
      <c r="L4492" s="241"/>
      <c r="M4492" s="241"/>
      <c r="N4492" s="241"/>
      <c r="O4492" s="241"/>
      <c r="P4492" s="241"/>
      <c r="Q4492" s="241"/>
    </row>
    <row r="4493" spans="1:17" ht="13.5" customHeight="1" x14ac:dyDescent="0.3">
      <c r="A4493"/>
      <c r="B4493" s="241"/>
      <c r="C4493" s="241"/>
      <c r="D4493" s="241"/>
      <c r="E4493" s="241"/>
      <c r="F4493" s="241"/>
      <c r="G4493" s="241"/>
      <c r="H4493" s="241"/>
      <c r="I4493"/>
      <c r="J4493" s="241"/>
      <c r="K4493" s="241"/>
      <c r="L4493" s="241"/>
      <c r="M4493" s="241"/>
      <c r="N4493" s="241"/>
      <c r="O4493" s="241"/>
      <c r="P4493" s="241"/>
      <c r="Q4493" s="241"/>
    </row>
    <row r="4494" spans="1:17" ht="13.5" customHeight="1" x14ac:dyDescent="0.3">
      <c r="A4494"/>
      <c r="B4494" s="241"/>
      <c r="C4494" s="241"/>
      <c r="D4494" s="241"/>
      <c r="E4494" s="241"/>
      <c r="F4494" s="241"/>
      <c r="G4494" s="241"/>
      <c r="H4494" s="241"/>
      <c r="I4494"/>
      <c r="J4494" s="241"/>
      <c r="K4494" s="241"/>
      <c r="L4494" s="241"/>
      <c r="M4494" s="241"/>
      <c r="N4494" s="241"/>
      <c r="O4494" s="241"/>
      <c r="P4494" s="241"/>
      <c r="Q4494" s="241"/>
    </row>
    <row r="4495" spans="1:17" ht="13.5" customHeight="1" x14ac:dyDescent="0.3">
      <c r="A4495"/>
      <c r="B4495" s="241"/>
      <c r="C4495" s="241"/>
      <c r="D4495" s="241"/>
      <c r="E4495" s="241"/>
      <c r="F4495" s="241"/>
      <c r="G4495" s="241"/>
      <c r="H4495" s="241"/>
      <c r="I4495"/>
      <c r="J4495" s="241"/>
      <c r="K4495" s="241"/>
      <c r="L4495" s="241"/>
      <c r="M4495" s="241"/>
      <c r="N4495" s="241"/>
      <c r="O4495" s="241"/>
      <c r="P4495" s="241"/>
      <c r="Q4495" s="241"/>
    </row>
    <row r="4496" spans="1:17" ht="13.5" customHeight="1" x14ac:dyDescent="0.3">
      <c r="A4496"/>
      <c r="B4496" s="241"/>
      <c r="C4496" s="241"/>
      <c r="D4496" s="241"/>
      <c r="E4496" s="241"/>
      <c r="F4496" s="241"/>
      <c r="G4496" s="241"/>
      <c r="H4496" s="241"/>
      <c r="I4496"/>
      <c r="J4496" s="241"/>
      <c r="K4496" s="241"/>
      <c r="L4496" s="241"/>
      <c r="M4496" s="241"/>
      <c r="N4496" s="241"/>
      <c r="O4496" s="241"/>
      <c r="P4496" s="241"/>
      <c r="Q4496" s="241"/>
    </row>
    <row r="4497" spans="1:17" ht="13.5" customHeight="1" x14ac:dyDescent="0.3">
      <c r="A4497"/>
      <c r="B4497" s="241"/>
      <c r="C4497" s="241"/>
      <c r="D4497" s="241"/>
      <c r="E4497" s="241"/>
      <c r="F4497" s="241"/>
      <c r="G4497" s="241"/>
      <c r="H4497" s="241"/>
      <c r="I4497"/>
      <c r="J4497" s="241"/>
      <c r="K4497" s="241"/>
      <c r="L4497" s="241"/>
      <c r="M4497" s="241"/>
      <c r="N4497" s="241"/>
      <c r="O4497" s="241"/>
      <c r="P4497" s="241"/>
      <c r="Q4497" s="241"/>
    </row>
    <row r="4498" spans="1:17" ht="13.5" customHeight="1" x14ac:dyDescent="0.3">
      <c r="A4498"/>
      <c r="B4498" s="241"/>
      <c r="C4498" s="241"/>
      <c r="D4498" s="241"/>
      <c r="E4498" s="241"/>
      <c r="F4498" s="241"/>
      <c r="G4498" s="241"/>
      <c r="H4498" s="241"/>
      <c r="I4498"/>
      <c r="J4498" s="241"/>
      <c r="K4498" s="241"/>
      <c r="L4498" s="241"/>
      <c r="M4498" s="241"/>
      <c r="N4498" s="241"/>
      <c r="O4498" s="241"/>
      <c r="P4498" s="241"/>
      <c r="Q4498" s="241"/>
    </row>
    <row r="4499" spans="1:17" ht="13.5" customHeight="1" x14ac:dyDescent="0.3">
      <c r="A4499"/>
      <c r="B4499" s="241"/>
      <c r="C4499" s="241"/>
      <c r="D4499" s="241"/>
      <c r="E4499" s="241"/>
      <c r="F4499" s="241"/>
      <c r="G4499" s="241"/>
      <c r="H4499" s="241"/>
      <c r="I4499"/>
      <c r="J4499" s="241"/>
      <c r="K4499" s="241"/>
      <c r="L4499" s="241"/>
      <c r="M4499" s="241"/>
      <c r="N4499" s="241"/>
      <c r="O4499" s="241"/>
      <c r="P4499" s="241"/>
      <c r="Q4499" s="241"/>
    </row>
    <row r="4500" spans="1:17" ht="13.5" customHeight="1" x14ac:dyDescent="0.3">
      <c r="A4500"/>
      <c r="B4500" s="241"/>
      <c r="C4500" s="241"/>
      <c r="D4500" s="241"/>
      <c r="E4500" s="241"/>
      <c r="F4500" s="241"/>
      <c r="G4500" s="241"/>
      <c r="H4500" s="241"/>
      <c r="I4500"/>
      <c r="J4500" s="241"/>
      <c r="K4500" s="241"/>
      <c r="L4500" s="241"/>
      <c r="M4500" s="241"/>
      <c r="N4500" s="241"/>
      <c r="O4500" s="241"/>
      <c r="P4500" s="241"/>
      <c r="Q4500" s="241"/>
    </row>
    <row r="4501" spans="1:17" ht="13.5" customHeight="1" x14ac:dyDescent="0.3">
      <c r="A4501"/>
      <c r="B4501" s="241"/>
      <c r="C4501" s="241"/>
      <c r="D4501" s="241"/>
      <c r="E4501" s="241"/>
      <c r="F4501" s="241"/>
      <c r="G4501" s="241"/>
      <c r="H4501" s="241"/>
      <c r="I4501"/>
      <c r="J4501" s="241"/>
      <c r="K4501" s="241"/>
      <c r="L4501" s="241"/>
      <c r="M4501" s="241"/>
      <c r="N4501" s="241"/>
      <c r="O4501" s="241"/>
      <c r="P4501" s="241"/>
      <c r="Q4501" s="241"/>
    </row>
    <row r="4502" spans="1:17" ht="13.5" customHeight="1" x14ac:dyDescent="0.3">
      <c r="A4502"/>
      <c r="B4502" s="241"/>
      <c r="C4502" s="241"/>
      <c r="D4502" s="241"/>
      <c r="E4502" s="241"/>
      <c r="F4502" s="241"/>
      <c r="G4502" s="241"/>
      <c r="H4502" s="241"/>
      <c r="I4502"/>
      <c r="J4502" s="241"/>
      <c r="K4502" s="241"/>
      <c r="L4502" s="241"/>
      <c r="M4502" s="241"/>
      <c r="N4502" s="241"/>
      <c r="O4502" s="241"/>
      <c r="P4502" s="241"/>
      <c r="Q4502" s="241"/>
    </row>
    <row r="4503" spans="1:17" ht="13.5" customHeight="1" x14ac:dyDescent="0.3">
      <c r="A4503"/>
      <c r="B4503" s="241"/>
      <c r="C4503" s="241"/>
      <c r="D4503" s="241"/>
      <c r="E4503" s="241"/>
      <c r="F4503" s="241"/>
      <c r="G4503" s="241"/>
      <c r="H4503" s="241"/>
      <c r="I4503"/>
      <c r="J4503" s="241"/>
      <c r="K4503" s="241"/>
      <c r="L4503" s="241"/>
      <c r="M4503" s="241"/>
      <c r="N4503" s="241"/>
      <c r="O4503" s="241"/>
      <c r="P4503" s="241"/>
      <c r="Q4503" s="241"/>
    </row>
    <row r="4504" spans="1:17" ht="13.5" customHeight="1" x14ac:dyDescent="0.3">
      <c r="A4504"/>
      <c r="B4504" s="241"/>
      <c r="C4504" s="241"/>
      <c r="D4504" s="241"/>
      <c r="E4504" s="241"/>
      <c r="F4504" s="241"/>
      <c r="G4504" s="241"/>
      <c r="H4504" s="241"/>
      <c r="I4504"/>
      <c r="J4504" s="241"/>
      <c r="K4504" s="241"/>
      <c r="L4504" s="241"/>
      <c r="M4504" s="241"/>
      <c r="N4504" s="241"/>
      <c r="O4504" s="241"/>
      <c r="P4504" s="241"/>
      <c r="Q4504" s="241"/>
    </row>
    <row r="4505" spans="1:17" ht="13.5" customHeight="1" x14ac:dyDescent="0.3">
      <c r="A4505"/>
      <c r="B4505" s="241"/>
      <c r="C4505" s="241"/>
      <c r="D4505" s="241"/>
      <c r="E4505" s="241"/>
      <c r="F4505" s="241"/>
      <c r="G4505" s="241"/>
      <c r="H4505" s="241"/>
      <c r="I4505"/>
      <c r="J4505" s="241"/>
      <c r="K4505" s="241"/>
      <c r="L4505" s="241"/>
      <c r="M4505" s="241"/>
      <c r="N4505" s="241"/>
      <c r="O4505" s="241"/>
      <c r="P4505" s="241"/>
      <c r="Q4505" s="241"/>
    </row>
    <row r="4506" spans="1:17" ht="13.5" customHeight="1" x14ac:dyDescent="0.3">
      <c r="A4506"/>
      <c r="B4506" s="241"/>
      <c r="C4506" s="241"/>
      <c r="D4506" s="241"/>
      <c r="E4506" s="241"/>
      <c r="F4506" s="241"/>
      <c r="G4506" s="241"/>
      <c r="H4506" s="241"/>
      <c r="I4506"/>
      <c r="J4506" s="241"/>
      <c r="K4506" s="241"/>
      <c r="L4506" s="241"/>
      <c r="M4506" s="241"/>
      <c r="N4506" s="241"/>
      <c r="O4506" s="241"/>
      <c r="P4506" s="241"/>
      <c r="Q4506" s="241"/>
    </row>
    <row r="4507" spans="1:17" ht="13.5" customHeight="1" x14ac:dyDescent="0.3">
      <c r="A4507"/>
      <c r="B4507" s="241"/>
      <c r="C4507" s="241"/>
      <c r="D4507" s="241"/>
      <c r="E4507" s="241"/>
      <c r="F4507" s="241"/>
      <c r="G4507" s="241"/>
      <c r="H4507" s="241"/>
      <c r="I4507"/>
      <c r="J4507" s="241"/>
      <c r="K4507" s="241"/>
      <c r="L4507" s="241"/>
      <c r="M4507" s="241"/>
      <c r="N4507" s="241"/>
      <c r="O4507" s="241"/>
      <c r="P4507" s="241"/>
      <c r="Q4507" s="241"/>
    </row>
    <row r="4508" spans="1:17" ht="13.5" customHeight="1" x14ac:dyDescent="0.3">
      <c r="A4508"/>
      <c r="B4508" s="241"/>
      <c r="C4508" s="241"/>
      <c r="D4508" s="241"/>
      <c r="E4508" s="241"/>
      <c r="F4508" s="241"/>
      <c r="G4508" s="241"/>
      <c r="H4508" s="241"/>
      <c r="I4508"/>
      <c r="J4508" s="241"/>
      <c r="K4508" s="241"/>
      <c r="L4508" s="241"/>
      <c r="M4508" s="241"/>
      <c r="N4508" s="241"/>
      <c r="O4508" s="241"/>
      <c r="P4508" s="241"/>
      <c r="Q4508" s="241"/>
    </row>
    <row r="4509" spans="1:17" ht="13.5" customHeight="1" x14ac:dyDescent="0.3">
      <c r="A4509"/>
      <c r="B4509" s="241"/>
      <c r="C4509" s="241"/>
      <c r="D4509" s="241"/>
      <c r="E4509" s="241"/>
      <c r="F4509" s="241"/>
      <c r="G4509" s="241"/>
      <c r="H4509" s="241"/>
      <c r="I4509"/>
      <c r="J4509" s="241"/>
      <c r="K4509" s="241"/>
      <c r="L4509" s="241"/>
      <c r="M4509" s="241"/>
      <c r="N4509" s="241"/>
      <c r="O4509" s="241"/>
      <c r="P4509" s="241"/>
      <c r="Q4509" s="241"/>
    </row>
    <row r="4510" spans="1:17" ht="13.5" customHeight="1" x14ac:dyDescent="0.3">
      <c r="A4510"/>
      <c r="B4510" s="241"/>
      <c r="C4510" s="241"/>
      <c r="D4510" s="241"/>
      <c r="E4510" s="241"/>
      <c r="F4510" s="241"/>
      <c r="G4510" s="241"/>
      <c r="H4510" s="241"/>
      <c r="I4510"/>
      <c r="J4510" s="241"/>
      <c r="K4510" s="241"/>
      <c r="L4510" s="241"/>
      <c r="M4510" s="241"/>
      <c r="N4510" s="241"/>
      <c r="O4510" s="241"/>
      <c r="P4510" s="241"/>
      <c r="Q4510" s="241"/>
    </row>
    <row r="4511" spans="1:17" ht="13.5" customHeight="1" x14ac:dyDescent="0.3">
      <c r="A4511"/>
      <c r="B4511" s="241"/>
      <c r="C4511" s="241"/>
      <c r="D4511" s="241"/>
      <c r="E4511" s="241"/>
      <c r="F4511" s="241"/>
      <c r="G4511" s="241"/>
      <c r="H4511" s="241"/>
      <c r="I4511"/>
      <c r="J4511" s="241"/>
      <c r="K4511" s="241"/>
      <c r="L4511" s="241"/>
      <c r="M4511" s="241"/>
      <c r="N4511" s="241"/>
      <c r="O4511" s="241"/>
      <c r="P4511" s="241"/>
      <c r="Q4511" s="241"/>
    </row>
    <row r="4512" spans="1:17" ht="13.5" customHeight="1" x14ac:dyDescent="0.3">
      <c r="A4512"/>
      <c r="B4512" s="241"/>
      <c r="C4512" s="241"/>
      <c r="D4512" s="241"/>
      <c r="E4512" s="241"/>
      <c r="F4512" s="241"/>
      <c r="G4512" s="241"/>
      <c r="H4512" s="241"/>
      <c r="I4512"/>
      <c r="J4512" s="241"/>
      <c r="K4512" s="241"/>
      <c r="L4512" s="241"/>
      <c r="M4512" s="241"/>
      <c r="N4512" s="241"/>
      <c r="O4512" s="241"/>
      <c r="P4512" s="241"/>
      <c r="Q4512" s="241"/>
    </row>
    <row r="4513" spans="1:17" ht="13.5" customHeight="1" x14ac:dyDescent="0.3">
      <c r="A4513"/>
      <c r="B4513" s="241"/>
      <c r="C4513" s="241"/>
      <c r="D4513" s="241"/>
      <c r="E4513" s="241"/>
      <c r="F4513" s="241"/>
      <c r="G4513" s="241"/>
      <c r="H4513" s="241"/>
      <c r="I4513"/>
      <c r="J4513" s="241"/>
      <c r="K4513" s="241"/>
      <c r="L4513" s="241"/>
      <c r="M4513" s="241"/>
      <c r="N4513" s="241"/>
      <c r="O4513" s="241"/>
      <c r="P4513" s="241"/>
      <c r="Q4513" s="241"/>
    </row>
    <row r="4514" spans="1:17" ht="13.5" customHeight="1" x14ac:dyDescent="0.3">
      <c r="A4514"/>
      <c r="B4514" s="241"/>
      <c r="C4514" s="241"/>
      <c r="D4514" s="241"/>
      <c r="E4514" s="241"/>
      <c r="F4514" s="241"/>
      <c r="G4514" s="241"/>
      <c r="H4514" s="241"/>
      <c r="I4514"/>
      <c r="J4514" s="241"/>
      <c r="K4514" s="241"/>
      <c r="L4514" s="241"/>
      <c r="M4514" s="241"/>
      <c r="N4514" s="241"/>
      <c r="O4514" s="241"/>
      <c r="P4514" s="241"/>
      <c r="Q4514" s="241"/>
    </row>
    <row r="4515" spans="1:17" ht="13.5" customHeight="1" x14ac:dyDescent="0.3">
      <c r="A4515"/>
      <c r="B4515" s="241"/>
      <c r="C4515" s="241"/>
      <c r="D4515" s="241"/>
      <c r="E4515" s="241"/>
      <c r="F4515" s="241"/>
      <c r="G4515" s="241"/>
      <c r="H4515" s="241"/>
      <c r="I4515"/>
      <c r="J4515" s="241"/>
      <c r="K4515" s="241"/>
      <c r="L4515" s="241"/>
      <c r="M4515" s="241"/>
      <c r="N4515" s="241"/>
      <c r="O4515" s="241"/>
      <c r="P4515" s="241"/>
      <c r="Q4515" s="241"/>
    </row>
    <row r="4516" spans="1:17" ht="13.5" customHeight="1" x14ac:dyDescent="0.3">
      <c r="A4516"/>
      <c r="B4516" s="241"/>
      <c r="C4516" s="241"/>
      <c r="D4516" s="241"/>
      <c r="E4516" s="241"/>
      <c r="F4516" s="241"/>
      <c r="G4516" s="241"/>
      <c r="H4516" s="241"/>
      <c r="I4516"/>
      <c r="J4516" s="241"/>
      <c r="K4516" s="241"/>
      <c r="L4516" s="241"/>
      <c r="M4516" s="241"/>
      <c r="N4516" s="241"/>
      <c r="O4516" s="241"/>
      <c r="P4516" s="241"/>
      <c r="Q4516" s="241"/>
    </row>
    <row r="4517" spans="1:17" ht="13.5" customHeight="1" x14ac:dyDescent="0.3">
      <c r="A4517"/>
      <c r="B4517" s="241"/>
      <c r="C4517" s="241"/>
      <c r="D4517" s="241"/>
      <c r="E4517" s="241"/>
      <c r="F4517" s="241"/>
      <c r="G4517" s="241"/>
      <c r="H4517" s="241"/>
      <c r="I4517"/>
      <c r="J4517" s="241"/>
      <c r="K4517" s="241"/>
      <c r="L4517" s="241"/>
      <c r="M4517" s="241"/>
      <c r="N4517" s="241"/>
      <c r="O4517" s="241"/>
      <c r="P4517" s="241"/>
      <c r="Q4517" s="241"/>
    </row>
    <row r="4518" spans="1:17" ht="13.5" customHeight="1" x14ac:dyDescent="0.3">
      <c r="A4518"/>
      <c r="B4518" s="241"/>
      <c r="C4518" s="241"/>
      <c r="D4518" s="241"/>
      <c r="E4518" s="241"/>
      <c r="F4518" s="241"/>
      <c r="G4518" s="241"/>
      <c r="H4518" s="241"/>
      <c r="I4518"/>
      <c r="J4518" s="241"/>
      <c r="K4518" s="241"/>
      <c r="L4518" s="241"/>
      <c r="M4518" s="241"/>
      <c r="N4518" s="241"/>
      <c r="O4518" s="241"/>
      <c r="P4518" s="241"/>
      <c r="Q4518" s="241"/>
    </row>
    <row r="4519" spans="1:17" ht="13.5" customHeight="1" x14ac:dyDescent="0.3">
      <c r="A4519"/>
      <c r="B4519" s="241"/>
      <c r="C4519" s="241"/>
      <c r="D4519" s="241"/>
      <c r="E4519" s="241"/>
      <c r="F4519" s="241"/>
      <c r="G4519" s="241"/>
      <c r="H4519" s="241"/>
      <c r="I4519"/>
      <c r="J4519" s="241"/>
      <c r="K4519" s="241"/>
      <c r="L4519" s="241"/>
      <c r="M4519" s="241"/>
      <c r="N4519" s="241"/>
      <c r="O4519" s="241"/>
      <c r="P4519" s="241"/>
      <c r="Q4519" s="241"/>
    </row>
    <row r="4520" spans="1:17" ht="13.5" customHeight="1" x14ac:dyDescent="0.3">
      <c r="A4520"/>
      <c r="B4520" s="241"/>
      <c r="C4520" s="241"/>
      <c r="D4520" s="241"/>
      <c r="E4520" s="241"/>
      <c r="F4520" s="241"/>
      <c r="G4520" s="241"/>
      <c r="H4520" s="241"/>
      <c r="I4520"/>
      <c r="J4520" s="241"/>
      <c r="K4520" s="241"/>
      <c r="L4520" s="241"/>
      <c r="M4520" s="241"/>
      <c r="N4520" s="241"/>
      <c r="O4520" s="241"/>
      <c r="P4520" s="241"/>
      <c r="Q4520" s="241"/>
    </row>
    <row r="4521" spans="1:17" ht="13.5" customHeight="1" x14ac:dyDescent="0.3">
      <c r="A4521"/>
      <c r="B4521" s="241"/>
      <c r="C4521" s="241"/>
      <c r="D4521" s="241"/>
      <c r="E4521" s="241"/>
      <c r="F4521" s="241"/>
      <c r="G4521" s="241"/>
      <c r="H4521" s="241"/>
      <c r="I4521"/>
      <c r="J4521" s="241"/>
      <c r="K4521" s="241"/>
      <c r="L4521" s="241"/>
      <c r="M4521" s="241"/>
      <c r="N4521" s="241"/>
      <c r="O4521" s="241"/>
      <c r="P4521" s="241"/>
      <c r="Q4521" s="241"/>
    </row>
    <row r="4522" spans="1:17" ht="13.5" customHeight="1" x14ac:dyDescent="0.3">
      <c r="A4522"/>
      <c r="B4522" s="241"/>
      <c r="C4522" s="241"/>
      <c r="D4522" s="241"/>
      <c r="E4522" s="241"/>
      <c r="F4522" s="241"/>
      <c r="G4522" s="241"/>
      <c r="H4522" s="241"/>
      <c r="I4522"/>
      <c r="J4522" s="241"/>
      <c r="K4522" s="241"/>
      <c r="L4522" s="241"/>
      <c r="M4522" s="241"/>
      <c r="N4522" s="241"/>
      <c r="O4522" s="241"/>
      <c r="P4522" s="241"/>
      <c r="Q4522" s="241"/>
    </row>
    <row r="4523" spans="1:17" ht="13.5" customHeight="1" x14ac:dyDescent="0.3">
      <c r="A4523"/>
      <c r="B4523" s="241"/>
      <c r="C4523" s="241"/>
      <c r="D4523" s="241"/>
      <c r="E4523" s="241"/>
      <c r="F4523" s="241"/>
      <c r="G4523" s="241"/>
      <c r="H4523" s="241"/>
      <c r="I4523"/>
      <c r="J4523" s="241"/>
      <c r="K4523" s="241"/>
      <c r="L4523" s="241"/>
      <c r="M4523" s="241"/>
      <c r="N4523" s="241"/>
      <c r="O4523" s="241"/>
      <c r="P4523" s="241"/>
      <c r="Q4523" s="241"/>
    </row>
    <row r="4524" spans="1:17" ht="13.5" customHeight="1" x14ac:dyDescent="0.3">
      <c r="A4524"/>
      <c r="B4524" s="241"/>
      <c r="C4524" s="241"/>
      <c r="D4524" s="241"/>
      <c r="E4524" s="241"/>
      <c r="F4524" s="241"/>
      <c r="G4524" s="241"/>
      <c r="H4524" s="241"/>
      <c r="I4524"/>
      <c r="J4524" s="241"/>
      <c r="K4524" s="241"/>
      <c r="L4524" s="241"/>
      <c r="M4524" s="241"/>
      <c r="N4524" s="241"/>
      <c r="O4524" s="241"/>
      <c r="P4524" s="241"/>
      <c r="Q4524" s="241"/>
    </row>
    <row r="4525" spans="1:17" ht="13.5" customHeight="1" x14ac:dyDescent="0.3">
      <c r="A4525"/>
      <c r="B4525" s="241"/>
      <c r="C4525" s="241"/>
      <c r="D4525" s="241"/>
      <c r="E4525" s="241"/>
      <c r="F4525" s="241"/>
      <c r="G4525" s="241"/>
      <c r="H4525" s="241"/>
      <c r="I4525"/>
      <c r="J4525" s="241"/>
      <c r="K4525" s="241"/>
      <c r="L4525" s="241"/>
      <c r="M4525" s="241"/>
      <c r="N4525" s="241"/>
      <c r="O4525" s="241"/>
      <c r="P4525" s="241"/>
      <c r="Q4525" s="241"/>
    </row>
    <row r="4526" spans="1:17" ht="13.5" customHeight="1" x14ac:dyDescent="0.3">
      <c r="A4526"/>
      <c r="B4526" s="241"/>
      <c r="C4526" s="241"/>
      <c r="D4526" s="241"/>
      <c r="E4526" s="241"/>
      <c r="F4526" s="241"/>
      <c r="G4526" s="241"/>
      <c r="H4526" s="241"/>
      <c r="I4526"/>
      <c r="J4526" s="241"/>
      <c r="K4526" s="241"/>
      <c r="L4526" s="241"/>
      <c r="M4526" s="241"/>
      <c r="N4526" s="241"/>
      <c r="O4526" s="241"/>
      <c r="P4526" s="241"/>
      <c r="Q4526" s="241"/>
    </row>
    <row r="4527" spans="1:17" ht="13.5" customHeight="1" x14ac:dyDescent="0.3">
      <c r="A4527"/>
      <c r="B4527" s="241"/>
      <c r="C4527" s="241"/>
      <c r="D4527" s="241"/>
      <c r="E4527" s="241"/>
      <c r="F4527" s="241"/>
      <c r="G4527" s="241"/>
      <c r="H4527" s="241"/>
      <c r="I4527"/>
      <c r="J4527" s="241"/>
      <c r="K4527" s="241"/>
      <c r="L4527" s="241"/>
      <c r="M4527" s="241"/>
      <c r="N4527" s="241"/>
      <c r="O4527" s="241"/>
      <c r="P4527" s="241"/>
      <c r="Q4527" s="241"/>
    </row>
    <row r="4528" spans="1:17" ht="13.5" customHeight="1" x14ac:dyDescent="0.3">
      <c r="A4528"/>
      <c r="B4528" s="241"/>
      <c r="C4528" s="241"/>
      <c r="D4528" s="241"/>
      <c r="E4528" s="241"/>
      <c r="F4528" s="241"/>
      <c r="G4528" s="241"/>
      <c r="H4528" s="241"/>
      <c r="I4528"/>
      <c r="J4528" s="241"/>
      <c r="K4528" s="241"/>
      <c r="L4528" s="241"/>
      <c r="M4528" s="241"/>
      <c r="N4528" s="241"/>
      <c r="O4528" s="241"/>
      <c r="P4528" s="241"/>
      <c r="Q4528" s="241"/>
    </row>
    <row r="4529" spans="1:17" ht="13.5" customHeight="1" x14ac:dyDescent="0.3">
      <c r="A4529"/>
      <c r="B4529" s="241"/>
      <c r="C4529" s="241"/>
      <c r="D4529" s="241"/>
      <c r="E4529" s="241"/>
      <c r="F4529" s="241"/>
      <c r="G4529" s="241"/>
      <c r="H4529" s="241"/>
      <c r="I4529"/>
      <c r="J4529" s="241"/>
      <c r="K4529" s="241"/>
      <c r="L4529" s="241"/>
      <c r="M4529" s="241"/>
      <c r="N4529" s="241"/>
      <c r="O4529" s="241"/>
      <c r="P4529" s="241"/>
      <c r="Q4529" s="241"/>
    </row>
    <row r="4530" spans="1:17" ht="13.5" customHeight="1" x14ac:dyDescent="0.3">
      <c r="A4530"/>
      <c r="B4530" s="241"/>
      <c r="C4530" s="241"/>
      <c r="D4530" s="241"/>
      <c r="E4530" s="241"/>
      <c r="F4530" s="241"/>
      <c r="G4530" s="241"/>
      <c r="H4530" s="241"/>
      <c r="I4530"/>
      <c r="J4530" s="241"/>
      <c r="K4530" s="241"/>
      <c r="L4530" s="241"/>
      <c r="M4530" s="241"/>
      <c r="N4530" s="241"/>
      <c r="O4530" s="241"/>
      <c r="P4530" s="241"/>
      <c r="Q4530" s="241"/>
    </row>
    <row r="4531" spans="1:17" ht="13.5" customHeight="1" x14ac:dyDescent="0.3">
      <c r="A4531"/>
      <c r="B4531" s="241"/>
      <c r="C4531" s="241"/>
      <c r="D4531" s="241"/>
      <c r="E4531" s="241"/>
      <c r="F4531" s="241"/>
      <c r="G4531" s="241"/>
      <c r="H4531" s="241"/>
      <c r="I4531"/>
      <c r="J4531" s="241"/>
      <c r="K4531" s="241"/>
      <c r="L4531" s="241"/>
      <c r="M4531" s="241"/>
      <c r="N4531" s="241"/>
      <c r="O4531" s="241"/>
      <c r="P4531" s="241"/>
      <c r="Q4531" s="241"/>
    </row>
    <row r="4532" spans="1:17" ht="13.5" customHeight="1" x14ac:dyDescent="0.3">
      <c r="A4532"/>
      <c r="B4532" s="241"/>
      <c r="C4532" s="241"/>
      <c r="D4532" s="241"/>
      <c r="E4532" s="241"/>
      <c r="F4532" s="241"/>
      <c r="G4532" s="241"/>
      <c r="H4532" s="241"/>
      <c r="I4532"/>
      <c r="J4532" s="241"/>
      <c r="K4532" s="241"/>
      <c r="L4532" s="241"/>
      <c r="M4532" s="241"/>
      <c r="N4532" s="241"/>
      <c r="O4532" s="241"/>
      <c r="P4532" s="241"/>
      <c r="Q4532" s="241"/>
    </row>
    <row r="4533" spans="1:17" ht="13.5" customHeight="1" x14ac:dyDescent="0.3">
      <c r="A4533"/>
      <c r="B4533" s="241"/>
      <c r="C4533" s="241"/>
      <c r="D4533" s="241"/>
      <c r="E4533" s="241"/>
      <c r="F4533" s="241"/>
      <c r="G4533" s="241"/>
      <c r="H4533" s="241"/>
      <c r="I4533"/>
      <c r="J4533" s="241"/>
      <c r="K4533" s="241"/>
      <c r="L4533" s="241"/>
      <c r="M4533" s="241"/>
      <c r="N4533" s="241"/>
      <c r="O4533" s="241"/>
      <c r="P4533" s="241"/>
      <c r="Q4533" s="241"/>
    </row>
    <row r="4534" spans="1:17" ht="13.5" customHeight="1" x14ac:dyDescent="0.3">
      <c r="A4534"/>
      <c r="B4534" s="241"/>
      <c r="C4534" s="241"/>
      <c r="D4534" s="241"/>
      <c r="E4534" s="241"/>
      <c r="F4534" s="241"/>
      <c r="G4534" s="241"/>
      <c r="H4534" s="241"/>
      <c r="I4534"/>
      <c r="J4534" s="241"/>
      <c r="K4534" s="241"/>
      <c r="L4534" s="241"/>
      <c r="M4534" s="241"/>
      <c r="N4534" s="241"/>
      <c r="O4534" s="241"/>
      <c r="P4534" s="241"/>
      <c r="Q4534" s="241"/>
    </row>
    <row r="4535" spans="1:17" ht="13.5" customHeight="1" x14ac:dyDescent="0.3">
      <c r="A4535"/>
      <c r="B4535" s="241"/>
      <c r="C4535" s="241"/>
      <c r="D4535" s="241"/>
      <c r="E4535" s="241"/>
      <c r="F4535" s="241"/>
      <c r="G4535" s="241"/>
      <c r="H4535" s="241"/>
      <c r="I4535"/>
      <c r="J4535" s="241"/>
      <c r="K4535" s="241"/>
      <c r="L4535" s="241"/>
      <c r="M4535" s="241"/>
      <c r="N4535" s="241"/>
      <c r="O4535" s="241"/>
      <c r="P4535" s="241"/>
      <c r="Q4535" s="241"/>
    </row>
    <row r="4536" spans="1:17" ht="13.5" customHeight="1" x14ac:dyDescent="0.3">
      <c r="A4536"/>
      <c r="B4536" s="241"/>
      <c r="C4536" s="241"/>
      <c r="D4536" s="241"/>
      <c r="E4536" s="241"/>
      <c r="F4536" s="241"/>
      <c r="G4536" s="241"/>
      <c r="H4536" s="241"/>
      <c r="I4536"/>
      <c r="J4536" s="241"/>
      <c r="K4536" s="241"/>
      <c r="L4536" s="241"/>
      <c r="M4536" s="241"/>
      <c r="N4536" s="241"/>
      <c r="O4536" s="241"/>
      <c r="P4536" s="241"/>
      <c r="Q4536" s="241"/>
    </row>
    <row r="4537" spans="1:17" ht="13.5" customHeight="1" x14ac:dyDescent="0.3">
      <c r="A4537"/>
      <c r="B4537" s="241"/>
      <c r="C4537" s="241"/>
      <c r="D4537" s="241"/>
      <c r="E4537" s="241"/>
      <c r="F4537" s="241"/>
      <c r="G4537" s="241"/>
      <c r="H4537" s="241"/>
      <c r="I4537"/>
      <c r="J4537" s="241"/>
      <c r="K4537" s="241"/>
      <c r="L4537" s="241"/>
      <c r="M4537" s="241"/>
      <c r="N4537" s="241"/>
      <c r="O4537" s="241"/>
      <c r="P4537" s="241"/>
      <c r="Q4537" s="241"/>
    </row>
    <row r="4538" spans="1:17" ht="13.5" customHeight="1" x14ac:dyDescent="0.3">
      <c r="A4538"/>
      <c r="B4538" s="241"/>
      <c r="C4538" s="241"/>
      <c r="D4538" s="241"/>
      <c r="E4538" s="241"/>
      <c r="F4538" s="241"/>
      <c r="G4538" s="241"/>
      <c r="H4538" s="241"/>
      <c r="I4538"/>
      <c r="J4538" s="241"/>
      <c r="K4538" s="241"/>
      <c r="L4538" s="241"/>
      <c r="M4538" s="241"/>
      <c r="N4538" s="241"/>
      <c r="O4538" s="241"/>
      <c r="P4538" s="241"/>
      <c r="Q4538" s="241"/>
    </row>
    <row r="4539" spans="1:17" ht="13.5" customHeight="1" x14ac:dyDescent="0.3">
      <c r="A4539"/>
      <c r="B4539" s="241"/>
      <c r="C4539" s="241"/>
      <c r="D4539" s="241"/>
      <c r="E4539" s="241"/>
      <c r="F4539" s="241"/>
      <c r="G4539" s="241"/>
      <c r="H4539" s="241"/>
      <c r="I4539"/>
      <c r="J4539" s="241"/>
      <c r="K4539" s="241"/>
      <c r="L4539" s="241"/>
      <c r="M4539" s="241"/>
      <c r="N4539" s="241"/>
      <c r="O4539" s="241"/>
      <c r="P4539" s="241"/>
      <c r="Q4539" s="241"/>
    </row>
    <row r="4540" spans="1:17" ht="13.5" customHeight="1" x14ac:dyDescent="0.3">
      <c r="A4540"/>
      <c r="B4540" s="241"/>
      <c r="C4540" s="241"/>
      <c r="D4540" s="241"/>
      <c r="E4540" s="241"/>
      <c r="F4540" s="241"/>
      <c r="G4540" s="241"/>
      <c r="H4540" s="241"/>
      <c r="I4540"/>
      <c r="J4540" s="241"/>
      <c r="K4540" s="241"/>
      <c r="L4540" s="241"/>
      <c r="M4540" s="241"/>
      <c r="N4540" s="241"/>
      <c r="O4540" s="241"/>
      <c r="P4540" s="241"/>
      <c r="Q4540" s="241"/>
    </row>
    <row r="4541" spans="1:17" ht="13.5" customHeight="1" x14ac:dyDescent="0.3">
      <c r="A4541"/>
      <c r="B4541" s="241"/>
      <c r="C4541" s="241"/>
      <c r="D4541" s="241"/>
      <c r="E4541" s="241"/>
      <c r="F4541" s="241"/>
      <c r="G4541" s="241"/>
      <c r="H4541" s="241"/>
      <c r="I4541"/>
      <c r="J4541" s="241"/>
      <c r="K4541" s="241"/>
      <c r="L4541" s="241"/>
      <c r="M4541" s="241"/>
      <c r="N4541" s="241"/>
      <c r="O4541" s="241"/>
      <c r="P4541" s="241"/>
      <c r="Q4541" s="241"/>
    </row>
    <row r="4542" spans="1:17" ht="13.5" customHeight="1" x14ac:dyDescent="0.3">
      <c r="A4542"/>
      <c r="B4542" s="241"/>
      <c r="C4542" s="241"/>
      <c r="D4542" s="241"/>
      <c r="E4542" s="241"/>
      <c r="F4542" s="241"/>
      <c r="G4542" s="241"/>
      <c r="H4542" s="241"/>
      <c r="I4542"/>
      <c r="J4542" s="241"/>
      <c r="K4542" s="241"/>
      <c r="L4542" s="241"/>
      <c r="M4542" s="241"/>
      <c r="N4542" s="241"/>
      <c r="O4542" s="241"/>
      <c r="P4542" s="241"/>
      <c r="Q4542" s="241"/>
    </row>
    <row r="4543" spans="1:17" ht="13.5" customHeight="1" x14ac:dyDescent="0.3">
      <c r="A4543"/>
      <c r="B4543" s="241"/>
      <c r="C4543" s="241"/>
      <c r="D4543" s="241"/>
      <c r="E4543" s="241"/>
      <c r="F4543" s="241"/>
      <c r="G4543" s="241"/>
      <c r="H4543" s="241"/>
      <c r="I4543"/>
      <c r="J4543" s="241"/>
      <c r="K4543" s="241"/>
      <c r="L4543" s="241"/>
      <c r="M4543" s="241"/>
      <c r="N4543" s="241"/>
      <c r="O4543" s="241"/>
      <c r="P4543" s="241"/>
      <c r="Q4543" s="241"/>
    </row>
    <row r="4544" spans="1:17" ht="13.5" customHeight="1" x14ac:dyDescent="0.3">
      <c r="A4544"/>
      <c r="B4544" s="241"/>
      <c r="C4544" s="241"/>
      <c r="D4544" s="241"/>
      <c r="E4544" s="241"/>
      <c r="F4544" s="241"/>
      <c r="G4544" s="241"/>
      <c r="H4544" s="241"/>
      <c r="I4544"/>
      <c r="J4544" s="241"/>
      <c r="K4544" s="241"/>
      <c r="L4544" s="241"/>
      <c r="M4544" s="241"/>
      <c r="N4544" s="241"/>
      <c r="O4544" s="241"/>
      <c r="P4544" s="241"/>
      <c r="Q4544" s="241"/>
    </row>
    <row r="4545" spans="1:17" ht="13.5" customHeight="1" x14ac:dyDescent="0.3">
      <c r="A4545"/>
      <c r="B4545" s="241"/>
      <c r="C4545" s="241"/>
      <c r="D4545" s="241"/>
      <c r="E4545" s="241"/>
      <c r="F4545" s="241"/>
      <c r="G4545" s="241"/>
      <c r="H4545" s="241"/>
      <c r="I4545"/>
      <c r="J4545" s="241"/>
      <c r="K4545" s="241"/>
      <c r="L4545" s="241"/>
      <c r="M4545" s="241"/>
      <c r="N4545" s="241"/>
      <c r="O4545" s="241"/>
      <c r="P4545" s="241"/>
      <c r="Q4545" s="241"/>
    </row>
    <row r="4546" spans="1:17" ht="13.5" customHeight="1" x14ac:dyDescent="0.3">
      <c r="A4546"/>
      <c r="B4546" s="241"/>
      <c r="C4546" s="241"/>
      <c r="D4546" s="241"/>
      <c r="E4546" s="241"/>
      <c r="F4546" s="241"/>
      <c r="G4546" s="241"/>
      <c r="H4546" s="241"/>
      <c r="I4546"/>
      <c r="J4546" s="241"/>
      <c r="K4546" s="241"/>
      <c r="L4546" s="241"/>
      <c r="M4546" s="241"/>
      <c r="N4546" s="241"/>
      <c r="O4546" s="241"/>
      <c r="P4546" s="241"/>
      <c r="Q4546" s="241"/>
    </row>
    <row r="4547" spans="1:17" ht="13.5" customHeight="1" x14ac:dyDescent="0.3">
      <c r="A4547"/>
      <c r="B4547" s="241"/>
      <c r="C4547" s="241"/>
      <c r="D4547" s="241"/>
      <c r="E4547" s="241"/>
      <c r="F4547" s="241"/>
      <c r="G4547" s="241"/>
      <c r="H4547" s="241"/>
      <c r="I4547"/>
      <c r="J4547" s="241"/>
      <c r="K4547" s="241"/>
      <c r="L4547" s="241"/>
      <c r="M4547" s="241"/>
      <c r="N4547" s="241"/>
      <c r="O4547" s="241"/>
      <c r="P4547" s="241"/>
      <c r="Q4547" s="241"/>
    </row>
    <row r="4548" spans="1:17" ht="13.5" customHeight="1" x14ac:dyDescent="0.3">
      <c r="A4548"/>
      <c r="B4548" s="241"/>
      <c r="C4548" s="241"/>
      <c r="D4548" s="241"/>
      <c r="E4548" s="241"/>
      <c r="F4548" s="241"/>
      <c r="G4548" s="241"/>
      <c r="H4548" s="241"/>
      <c r="I4548"/>
      <c r="J4548" s="241"/>
      <c r="K4548" s="241"/>
      <c r="L4548" s="241"/>
      <c r="M4548" s="241"/>
      <c r="N4548" s="241"/>
      <c r="O4548" s="241"/>
      <c r="P4548" s="241"/>
      <c r="Q4548" s="241"/>
    </row>
    <row r="4549" spans="1:17" ht="13.5" customHeight="1" x14ac:dyDescent="0.3">
      <c r="A4549"/>
      <c r="B4549" s="241"/>
      <c r="C4549" s="241"/>
      <c r="D4549" s="241"/>
      <c r="E4549" s="241"/>
      <c r="F4549" s="241"/>
      <c r="G4549" s="241"/>
      <c r="H4549" s="241"/>
      <c r="I4549"/>
      <c r="J4549" s="241"/>
      <c r="K4549" s="241"/>
      <c r="L4549" s="241"/>
      <c r="M4549" s="241"/>
      <c r="N4549" s="241"/>
      <c r="O4549" s="241"/>
      <c r="P4549" s="241"/>
      <c r="Q4549" s="241"/>
    </row>
    <row r="4550" spans="1:17" ht="13.5" customHeight="1" x14ac:dyDescent="0.3">
      <c r="A4550"/>
      <c r="B4550" s="241"/>
      <c r="C4550" s="241"/>
      <c r="D4550" s="241"/>
      <c r="E4550" s="241"/>
      <c r="F4550" s="241"/>
      <c r="G4550" s="241"/>
      <c r="H4550" s="241"/>
      <c r="I4550"/>
      <c r="J4550" s="241"/>
      <c r="K4550" s="241"/>
      <c r="L4550" s="241"/>
      <c r="M4550" s="241"/>
      <c r="N4550" s="241"/>
      <c r="O4550" s="241"/>
      <c r="P4550" s="241"/>
      <c r="Q4550" s="241"/>
    </row>
    <row r="4551" spans="1:17" ht="13.5" customHeight="1" x14ac:dyDescent="0.3">
      <c r="A4551"/>
      <c r="B4551" s="241"/>
      <c r="C4551" s="241"/>
      <c r="D4551" s="241"/>
      <c r="E4551" s="241"/>
      <c r="F4551" s="241"/>
      <c r="G4551" s="241"/>
      <c r="H4551" s="241"/>
      <c r="I4551"/>
      <c r="J4551" s="241"/>
      <c r="K4551" s="241"/>
      <c r="L4551" s="241"/>
      <c r="M4551" s="241"/>
      <c r="N4551" s="241"/>
      <c r="O4551" s="241"/>
      <c r="P4551" s="241"/>
      <c r="Q4551" s="241"/>
    </row>
    <row r="4552" spans="1:17" ht="13.5" customHeight="1" x14ac:dyDescent="0.3">
      <c r="A4552"/>
      <c r="B4552" s="241"/>
      <c r="C4552" s="241"/>
      <c r="D4552" s="241"/>
      <c r="E4552" s="241"/>
      <c r="F4552" s="241"/>
      <c r="G4552" s="241"/>
      <c r="H4552" s="241"/>
      <c r="I4552"/>
      <c r="J4552" s="241"/>
      <c r="K4552" s="241"/>
      <c r="L4552" s="241"/>
      <c r="M4552" s="241"/>
      <c r="N4552" s="241"/>
      <c r="O4552" s="241"/>
      <c r="P4552" s="241"/>
      <c r="Q4552" s="241"/>
    </row>
    <row r="4553" spans="1:17" ht="13.5" customHeight="1" x14ac:dyDescent="0.3">
      <c r="A4553"/>
      <c r="B4553" s="241"/>
      <c r="C4553" s="241"/>
      <c r="D4553" s="241"/>
      <c r="E4553" s="241"/>
      <c r="F4553" s="241"/>
      <c r="G4553" s="241"/>
      <c r="H4553" s="241"/>
      <c r="I4553"/>
      <c r="J4553" s="241"/>
      <c r="K4553" s="241"/>
      <c r="L4553" s="241"/>
      <c r="M4553" s="241"/>
      <c r="N4553" s="241"/>
      <c r="O4553" s="241"/>
      <c r="P4553" s="241"/>
      <c r="Q4553" s="241"/>
    </row>
    <row r="4554" spans="1:17" ht="13.5" customHeight="1" x14ac:dyDescent="0.3">
      <c r="A4554"/>
      <c r="B4554" s="241"/>
      <c r="C4554" s="241"/>
      <c r="D4554" s="241"/>
      <c r="E4554" s="241"/>
      <c r="F4554" s="241"/>
      <c r="G4554" s="241"/>
      <c r="H4554" s="241"/>
      <c r="I4554"/>
      <c r="J4554" s="241"/>
      <c r="K4554" s="241"/>
      <c r="L4554" s="241"/>
      <c r="M4554" s="241"/>
      <c r="N4554" s="241"/>
      <c r="O4554" s="241"/>
      <c r="P4554" s="241"/>
      <c r="Q4554" s="241"/>
    </row>
    <row r="4555" spans="1:17" ht="13.5" customHeight="1" x14ac:dyDescent="0.3">
      <c r="A4555"/>
      <c r="B4555" s="241"/>
      <c r="C4555" s="241"/>
      <c r="D4555" s="241"/>
      <c r="E4555" s="241"/>
      <c r="F4555" s="241"/>
      <c r="G4555" s="241"/>
      <c r="H4555" s="241"/>
      <c r="I4555"/>
      <c r="J4555" s="241"/>
      <c r="K4555" s="241"/>
      <c r="L4555" s="241"/>
      <c r="M4555" s="241"/>
      <c r="N4555" s="241"/>
      <c r="O4555" s="241"/>
      <c r="P4555" s="241"/>
      <c r="Q4555" s="241"/>
    </row>
    <row r="4556" spans="1:17" ht="13.5" customHeight="1" x14ac:dyDescent="0.3">
      <c r="A4556"/>
      <c r="B4556" s="241"/>
      <c r="C4556" s="241"/>
      <c r="D4556" s="241"/>
      <c r="E4556" s="241"/>
      <c r="F4556" s="241"/>
      <c r="G4556" s="241"/>
      <c r="H4556" s="241"/>
      <c r="I4556"/>
      <c r="J4556" s="241"/>
      <c r="K4556" s="241"/>
      <c r="L4556" s="241"/>
      <c r="M4556" s="241"/>
      <c r="N4556" s="241"/>
      <c r="O4556" s="241"/>
      <c r="P4556" s="241"/>
      <c r="Q4556" s="241"/>
    </row>
    <row r="4557" spans="1:17" ht="13.5" customHeight="1" x14ac:dyDescent="0.3">
      <c r="A4557"/>
      <c r="B4557" s="241"/>
      <c r="C4557" s="241"/>
      <c r="D4557" s="241"/>
      <c r="E4557" s="241"/>
      <c r="F4557" s="241"/>
      <c r="G4557" s="241"/>
      <c r="H4557" s="241"/>
      <c r="I4557"/>
      <c r="J4557" s="241"/>
      <c r="K4557" s="241"/>
      <c r="L4557" s="241"/>
      <c r="M4557" s="241"/>
      <c r="N4557" s="241"/>
      <c r="O4557" s="241"/>
      <c r="P4557" s="241"/>
      <c r="Q4557" s="241"/>
    </row>
    <row r="4558" spans="1:17" ht="13.5" customHeight="1" x14ac:dyDescent="0.3">
      <c r="A4558"/>
      <c r="B4558" s="241"/>
      <c r="C4558" s="241"/>
      <c r="D4558" s="241"/>
      <c r="E4558" s="241"/>
      <c r="F4558" s="241"/>
      <c r="G4558" s="241"/>
      <c r="H4558" s="241"/>
      <c r="I4558"/>
      <c r="J4558" s="241"/>
      <c r="K4558" s="241"/>
      <c r="L4558" s="241"/>
      <c r="M4558" s="241"/>
      <c r="N4558" s="241"/>
      <c r="O4558" s="241"/>
      <c r="P4558" s="241"/>
      <c r="Q4558" s="241"/>
    </row>
    <row r="4559" spans="1:17" ht="13.5" customHeight="1" x14ac:dyDescent="0.3">
      <c r="A4559"/>
      <c r="B4559" s="241"/>
      <c r="C4559" s="241"/>
      <c r="D4559" s="241"/>
      <c r="E4559" s="241"/>
      <c r="F4559" s="241"/>
      <c r="G4559" s="241"/>
      <c r="H4559" s="241"/>
      <c r="I4559"/>
      <c r="J4559" s="241"/>
      <c r="K4559" s="241"/>
      <c r="L4559" s="241"/>
      <c r="M4559" s="241"/>
      <c r="N4559" s="241"/>
      <c r="O4559" s="241"/>
      <c r="P4559" s="241"/>
      <c r="Q4559" s="241"/>
    </row>
    <row r="4560" spans="1:17" ht="13.5" customHeight="1" x14ac:dyDescent="0.3">
      <c r="A4560"/>
      <c r="B4560" s="241"/>
      <c r="C4560" s="241"/>
      <c r="D4560" s="241"/>
      <c r="E4560" s="241"/>
      <c r="F4560" s="241"/>
      <c r="G4560" s="241"/>
      <c r="H4560" s="241"/>
      <c r="I4560"/>
      <c r="J4560" s="241"/>
      <c r="K4560" s="241"/>
      <c r="L4560" s="241"/>
      <c r="M4560" s="241"/>
      <c r="N4560" s="241"/>
      <c r="O4560" s="241"/>
      <c r="P4560" s="241"/>
      <c r="Q4560" s="241"/>
    </row>
    <row r="4561" spans="1:17" ht="13.5" customHeight="1" x14ac:dyDescent="0.3">
      <c r="A4561"/>
      <c r="B4561" s="241"/>
      <c r="C4561" s="241"/>
      <c r="D4561" s="241"/>
      <c r="E4561" s="241"/>
      <c r="F4561" s="241"/>
      <c r="G4561" s="241"/>
      <c r="H4561" s="241"/>
      <c r="I4561"/>
      <c r="J4561" s="241"/>
      <c r="K4561" s="241"/>
      <c r="L4561" s="241"/>
      <c r="M4561" s="241"/>
      <c r="N4561" s="241"/>
      <c r="O4561" s="241"/>
      <c r="P4561" s="241"/>
      <c r="Q4561" s="241"/>
    </row>
    <row r="4562" spans="1:17" ht="13.5" customHeight="1" x14ac:dyDescent="0.3">
      <c r="A4562"/>
      <c r="B4562" s="241"/>
      <c r="C4562" s="241"/>
      <c r="D4562" s="241"/>
      <c r="E4562" s="241"/>
      <c r="F4562" s="241"/>
      <c r="G4562" s="241"/>
      <c r="H4562" s="241"/>
      <c r="I4562"/>
      <c r="J4562" s="241"/>
      <c r="K4562" s="241"/>
      <c r="L4562" s="241"/>
      <c r="M4562" s="241"/>
      <c r="N4562" s="241"/>
      <c r="O4562" s="241"/>
      <c r="P4562" s="241"/>
      <c r="Q4562" s="241"/>
    </row>
    <row r="4563" spans="1:17" ht="13.5" customHeight="1" x14ac:dyDescent="0.3">
      <c r="A4563"/>
      <c r="B4563" s="241"/>
      <c r="C4563" s="241"/>
      <c r="D4563" s="241"/>
      <c r="E4563" s="241"/>
      <c r="F4563" s="241"/>
      <c r="G4563" s="241"/>
      <c r="H4563" s="241"/>
      <c r="I4563"/>
      <c r="J4563" s="241"/>
      <c r="K4563" s="241"/>
      <c r="L4563" s="241"/>
      <c r="M4563" s="241"/>
      <c r="N4563" s="241"/>
      <c r="O4563" s="241"/>
      <c r="P4563" s="241"/>
      <c r="Q4563" s="241"/>
    </row>
    <row r="4564" spans="1:17" ht="13.5" customHeight="1" x14ac:dyDescent="0.3">
      <c r="A4564"/>
      <c r="B4564" s="241"/>
      <c r="C4564" s="241"/>
      <c r="D4564" s="241"/>
      <c r="E4564" s="241"/>
      <c r="F4564" s="241"/>
      <c r="G4564" s="241"/>
      <c r="H4564" s="241"/>
      <c r="I4564"/>
      <c r="J4564" s="241"/>
      <c r="K4564" s="241"/>
      <c r="L4564" s="241"/>
      <c r="M4564" s="241"/>
      <c r="N4564" s="241"/>
      <c r="O4564" s="241"/>
      <c r="P4564" s="241"/>
      <c r="Q4564" s="241"/>
    </row>
    <row r="4565" spans="1:17" ht="13.5" customHeight="1" x14ac:dyDescent="0.3">
      <c r="A4565"/>
      <c r="B4565" s="241"/>
      <c r="C4565" s="241"/>
      <c r="D4565" s="241"/>
      <c r="E4565" s="241"/>
      <c r="F4565" s="241"/>
      <c r="G4565" s="241"/>
      <c r="H4565" s="241"/>
      <c r="I4565"/>
      <c r="J4565" s="241"/>
      <c r="K4565" s="241"/>
      <c r="L4565" s="241"/>
      <c r="M4565" s="241"/>
      <c r="N4565" s="241"/>
      <c r="O4565" s="241"/>
      <c r="P4565" s="241"/>
      <c r="Q4565" s="241"/>
    </row>
    <row r="4566" spans="1:17" ht="13.5" customHeight="1" x14ac:dyDescent="0.3">
      <c r="A4566"/>
      <c r="B4566" s="241"/>
      <c r="C4566" s="241"/>
      <c r="D4566" s="241"/>
      <c r="E4566" s="241"/>
      <c r="F4566" s="241"/>
      <c r="G4566" s="241"/>
      <c r="H4566" s="241"/>
      <c r="I4566"/>
      <c r="J4566" s="241"/>
      <c r="K4566" s="241"/>
      <c r="L4566" s="241"/>
      <c r="M4566" s="241"/>
      <c r="N4566" s="241"/>
      <c r="O4566" s="241"/>
      <c r="P4566" s="241"/>
      <c r="Q4566" s="241"/>
    </row>
    <row r="4567" spans="1:17" ht="13.5" customHeight="1" x14ac:dyDescent="0.3">
      <c r="A4567"/>
      <c r="B4567" s="241"/>
      <c r="C4567" s="241"/>
      <c r="D4567" s="241"/>
      <c r="E4567" s="241"/>
      <c r="F4567" s="241"/>
      <c r="G4567" s="241"/>
      <c r="H4567" s="241"/>
      <c r="I4567"/>
      <c r="J4567" s="241"/>
      <c r="K4567" s="241"/>
      <c r="L4567" s="241"/>
      <c r="M4567" s="241"/>
      <c r="N4567" s="241"/>
      <c r="O4567" s="241"/>
      <c r="P4567" s="241"/>
      <c r="Q4567" s="241"/>
    </row>
    <row r="4568" spans="1:17" ht="13.5" customHeight="1" x14ac:dyDescent="0.3">
      <c r="A4568"/>
      <c r="B4568" s="241"/>
      <c r="C4568" s="241"/>
      <c r="D4568" s="241"/>
      <c r="E4568" s="241"/>
      <c r="F4568" s="241"/>
      <c r="G4568" s="241"/>
      <c r="H4568" s="241"/>
      <c r="I4568"/>
      <c r="J4568" s="241"/>
      <c r="K4568" s="241"/>
      <c r="L4568" s="241"/>
      <c r="M4568" s="241"/>
      <c r="N4568" s="241"/>
      <c r="O4568" s="241"/>
      <c r="P4568" s="241"/>
      <c r="Q4568" s="241"/>
    </row>
    <row r="4569" spans="1:17" ht="13.5" customHeight="1" x14ac:dyDescent="0.3">
      <c r="A4569"/>
      <c r="B4569" s="241"/>
      <c r="C4569" s="241"/>
      <c r="D4569" s="241"/>
      <c r="E4569" s="241"/>
      <c r="F4569" s="241"/>
      <c r="G4569" s="241"/>
      <c r="H4569" s="241"/>
      <c r="I4569"/>
      <c r="J4569" s="241"/>
      <c r="K4569" s="241"/>
      <c r="L4569" s="241"/>
      <c r="M4569" s="241"/>
      <c r="N4569" s="241"/>
      <c r="O4569" s="241"/>
      <c r="P4569" s="241"/>
      <c r="Q4569" s="241"/>
    </row>
    <row r="4570" spans="1:17" ht="13.5" customHeight="1" x14ac:dyDescent="0.3">
      <c r="A4570"/>
      <c r="B4570" s="241"/>
      <c r="C4570" s="241"/>
      <c r="D4570" s="241"/>
      <c r="E4570" s="241"/>
      <c r="F4570" s="241"/>
      <c r="G4570" s="241"/>
      <c r="H4570" s="241"/>
      <c r="I4570"/>
      <c r="J4570" s="241"/>
      <c r="K4570" s="241"/>
      <c r="L4570" s="241"/>
      <c r="M4570" s="241"/>
      <c r="N4570" s="241"/>
      <c r="O4570" s="241"/>
      <c r="P4570" s="241"/>
      <c r="Q4570" s="241"/>
    </row>
    <row r="4571" spans="1:17" ht="13.5" customHeight="1" x14ac:dyDescent="0.3">
      <c r="A4571"/>
      <c r="B4571" s="241"/>
      <c r="C4571" s="241"/>
      <c r="D4571" s="241"/>
      <c r="E4571" s="241"/>
      <c r="F4571" s="241"/>
      <c r="G4571" s="241"/>
      <c r="H4571" s="241"/>
      <c r="I4571"/>
      <c r="J4571" s="241"/>
      <c r="K4571" s="241"/>
      <c r="L4571" s="241"/>
      <c r="M4571" s="241"/>
      <c r="N4571" s="241"/>
      <c r="O4571" s="241"/>
      <c r="P4571" s="241"/>
      <c r="Q4571" s="241"/>
    </row>
    <row r="4572" spans="1:17" ht="13.5" customHeight="1" x14ac:dyDescent="0.3">
      <c r="A4572"/>
      <c r="B4572" s="241"/>
      <c r="C4572" s="241"/>
      <c r="D4572" s="241"/>
      <c r="E4572" s="241"/>
      <c r="F4572" s="241"/>
      <c r="G4572" s="241"/>
      <c r="H4572" s="241"/>
      <c r="I4572"/>
      <c r="J4572" s="241"/>
      <c r="K4572" s="241"/>
      <c r="L4572" s="241"/>
      <c r="M4572" s="241"/>
      <c r="N4572" s="241"/>
      <c r="O4572" s="241"/>
      <c r="P4572" s="241"/>
      <c r="Q4572" s="241"/>
    </row>
    <row r="4573" spans="1:17" ht="13.5" customHeight="1" x14ac:dyDescent="0.3">
      <c r="A4573"/>
      <c r="B4573" s="241"/>
      <c r="C4573" s="241"/>
      <c r="D4573" s="241"/>
      <c r="E4573" s="241"/>
      <c r="F4573" s="241"/>
      <c r="G4573" s="241"/>
      <c r="H4573" s="241"/>
      <c r="I4573"/>
      <c r="J4573" s="241"/>
      <c r="K4573" s="241"/>
      <c r="L4573" s="241"/>
      <c r="M4573" s="241"/>
      <c r="N4573" s="241"/>
      <c r="O4573" s="241"/>
      <c r="P4573" s="241"/>
      <c r="Q4573" s="241"/>
    </row>
    <row r="4574" spans="1:17" ht="13.5" customHeight="1" x14ac:dyDescent="0.3">
      <c r="A4574"/>
      <c r="B4574" s="241"/>
      <c r="C4574" s="241"/>
      <c r="D4574" s="241"/>
      <c r="E4574" s="241"/>
      <c r="F4574" s="241"/>
      <c r="G4574" s="241"/>
      <c r="H4574" s="241"/>
      <c r="I4574"/>
      <c r="J4574" s="241"/>
      <c r="K4574" s="241"/>
      <c r="L4574" s="241"/>
      <c r="M4574" s="241"/>
      <c r="N4574" s="241"/>
      <c r="O4574" s="241"/>
      <c r="P4574" s="241"/>
      <c r="Q4574" s="241"/>
    </row>
    <row r="4575" spans="1:17" ht="13.5" customHeight="1" x14ac:dyDescent="0.3">
      <c r="A4575"/>
      <c r="B4575" s="241"/>
      <c r="C4575" s="241"/>
      <c r="D4575" s="241"/>
      <c r="E4575" s="241"/>
      <c r="F4575" s="241"/>
      <c r="G4575" s="241"/>
      <c r="H4575" s="241"/>
      <c r="I4575"/>
      <c r="J4575" s="241"/>
      <c r="K4575" s="241"/>
      <c r="L4575" s="241"/>
      <c r="M4575" s="241"/>
      <c r="N4575" s="241"/>
      <c r="O4575" s="241"/>
      <c r="P4575" s="241"/>
      <c r="Q4575" s="241"/>
    </row>
    <row r="4576" spans="1:17" ht="13.5" customHeight="1" x14ac:dyDescent="0.3">
      <c r="A4576"/>
      <c r="B4576" s="241"/>
      <c r="C4576" s="241"/>
      <c r="D4576" s="241"/>
      <c r="E4576" s="241"/>
      <c r="F4576" s="241"/>
      <c r="G4576" s="241"/>
      <c r="H4576" s="241"/>
      <c r="I4576"/>
      <c r="J4576" s="241"/>
      <c r="K4576" s="241"/>
      <c r="L4576" s="241"/>
      <c r="M4576" s="241"/>
      <c r="N4576" s="241"/>
      <c r="O4576" s="241"/>
      <c r="P4576" s="241"/>
      <c r="Q4576" s="241"/>
    </row>
    <row r="4577" spans="1:17" ht="13.5" customHeight="1" x14ac:dyDescent="0.3">
      <c r="A4577"/>
      <c r="B4577" s="241"/>
      <c r="C4577" s="241"/>
      <c r="D4577" s="241"/>
      <c r="E4577" s="241"/>
      <c r="F4577" s="241"/>
      <c r="G4577" s="241"/>
      <c r="H4577" s="241"/>
      <c r="I4577"/>
      <c r="J4577" s="241"/>
      <c r="K4577" s="241"/>
      <c r="L4577" s="241"/>
      <c r="M4577" s="241"/>
      <c r="N4577" s="241"/>
      <c r="O4577" s="241"/>
      <c r="P4577" s="241"/>
      <c r="Q4577" s="241"/>
    </row>
    <row r="4578" spans="1:17" ht="13.5" customHeight="1" x14ac:dyDescent="0.3">
      <c r="A4578"/>
      <c r="B4578" s="241"/>
      <c r="C4578" s="241"/>
      <c r="D4578" s="241"/>
      <c r="E4578" s="241"/>
      <c r="F4578" s="241"/>
      <c r="G4578" s="241"/>
      <c r="H4578" s="241"/>
      <c r="I4578"/>
      <c r="J4578" s="241"/>
      <c r="K4578" s="241"/>
      <c r="L4578" s="241"/>
      <c r="M4578" s="241"/>
      <c r="N4578" s="241"/>
      <c r="O4578" s="241"/>
      <c r="P4578" s="241"/>
      <c r="Q4578" s="241"/>
    </row>
    <row r="4579" spans="1:17" ht="13.5" customHeight="1" x14ac:dyDescent="0.3">
      <c r="A4579"/>
      <c r="B4579" s="241"/>
      <c r="C4579" s="241"/>
      <c r="D4579" s="241"/>
      <c r="E4579" s="241"/>
      <c r="F4579" s="241"/>
      <c r="G4579" s="241"/>
      <c r="H4579" s="241"/>
      <c r="I4579"/>
      <c r="J4579" s="241"/>
      <c r="K4579" s="241"/>
      <c r="L4579" s="241"/>
      <c r="M4579" s="241"/>
      <c r="N4579" s="241"/>
      <c r="O4579" s="241"/>
      <c r="P4579" s="241"/>
      <c r="Q4579" s="241"/>
    </row>
    <row r="4580" spans="1:17" ht="13.5" customHeight="1" x14ac:dyDescent="0.3">
      <c r="A4580"/>
      <c r="B4580" s="241"/>
      <c r="C4580" s="241"/>
      <c r="D4580" s="241"/>
      <c r="E4580" s="241"/>
      <c r="F4580" s="241"/>
      <c r="G4580" s="241"/>
      <c r="H4580" s="241"/>
      <c r="I4580"/>
      <c r="J4580" s="241"/>
      <c r="K4580" s="241"/>
      <c r="L4580" s="241"/>
      <c r="M4580" s="241"/>
      <c r="N4580" s="241"/>
      <c r="O4580" s="241"/>
      <c r="P4580" s="241"/>
      <c r="Q4580" s="241"/>
    </row>
    <row r="4581" spans="1:17" ht="13.5" customHeight="1" x14ac:dyDescent="0.3">
      <c r="A4581"/>
      <c r="B4581" s="241"/>
      <c r="C4581" s="241"/>
      <c r="D4581" s="241"/>
      <c r="E4581" s="241"/>
      <c r="F4581" s="241"/>
      <c r="G4581" s="241"/>
      <c r="H4581" s="241"/>
      <c r="I4581"/>
      <c r="J4581" s="241"/>
      <c r="K4581" s="241"/>
      <c r="L4581" s="241"/>
      <c r="M4581" s="241"/>
      <c r="N4581" s="241"/>
      <c r="O4581" s="241"/>
      <c r="P4581" s="241"/>
      <c r="Q4581" s="241"/>
    </row>
    <row r="4582" spans="1:17" ht="13.5" customHeight="1" x14ac:dyDescent="0.3">
      <c r="A4582"/>
      <c r="B4582" s="241"/>
      <c r="C4582" s="241"/>
      <c r="D4582" s="241"/>
      <c r="E4582" s="241"/>
      <c r="F4582" s="241"/>
      <c r="G4582" s="241"/>
      <c r="H4582" s="241"/>
      <c r="I4582"/>
      <c r="J4582" s="241"/>
      <c r="K4582" s="241"/>
      <c r="L4582" s="241"/>
      <c r="M4582" s="241"/>
      <c r="N4582" s="241"/>
      <c r="O4582" s="241"/>
      <c r="P4582" s="241"/>
      <c r="Q4582" s="241"/>
    </row>
    <row r="4583" spans="1:17" ht="13.5" customHeight="1" x14ac:dyDescent="0.3">
      <c r="A4583"/>
      <c r="B4583" s="241"/>
      <c r="C4583" s="241"/>
      <c r="D4583" s="241"/>
      <c r="E4583" s="241"/>
      <c r="F4583" s="241"/>
      <c r="G4583" s="241"/>
      <c r="H4583" s="241"/>
      <c r="I4583"/>
      <c r="J4583" s="241"/>
      <c r="K4583" s="241"/>
      <c r="L4583" s="241"/>
      <c r="M4583" s="241"/>
      <c r="N4583" s="241"/>
      <c r="O4583" s="241"/>
      <c r="P4583" s="241"/>
      <c r="Q4583" s="241"/>
    </row>
    <row r="4584" spans="1:17" ht="13.5" customHeight="1" x14ac:dyDescent="0.3">
      <c r="A4584"/>
      <c r="B4584" s="241"/>
      <c r="C4584" s="241"/>
      <c r="D4584" s="241"/>
      <c r="E4584" s="241"/>
      <c r="F4584" s="241"/>
      <c r="G4584" s="241"/>
      <c r="H4584" s="241"/>
      <c r="I4584"/>
      <c r="J4584" s="241"/>
      <c r="K4584" s="241"/>
      <c r="L4584" s="241"/>
      <c r="M4584" s="241"/>
      <c r="N4584" s="241"/>
      <c r="O4584" s="241"/>
      <c r="P4584" s="241"/>
      <c r="Q4584" s="241"/>
    </row>
    <row r="4585" spans="1:17" ht="13.5" customHeight="1" x14ac:dyDescent="0.3">
      <c r="A4585"/>
      <c r="B4585" s="241"/>
      <c r="C4585" s="241"/>
      <c r="D4585" s="241"/>
      <c r="E4585" s="241"/>
      <c r="F4585" s="241"/>
      <c r="G4585" s="241"/>
      <c r="H4585" s="241"/>
      <c r="I4585"/>
      <c r="J4585" s="241"/>
      <c r="K4585" s="241"/>
      <c r="L4585" s="241"/>
      <c r="M4585" s="241"/>
      <c r="N4585" s="241"/>
      <c r="O4585" s="241"/>
      <c r="P4585" s="241"/>
      <c r="Q4585" s="241"/>
    </row>
    <row r="4586" spans="1:17" ht="13.5" customHeight="1" x14ac:dyDescent="0.3">
      <c r="A4586"/>
      <c r="B4586" s="241"/>
      <c r="C4586" s="241"/>
      <c r="D4586" s="241"/>
      <c r="E4586" s="241"/>
      <c r="F4586" s="241"/>
      <c r="G4586" s="241"/>
      <c r="H4586" s="241"/>
      <c r="I4586"/>
      <c r="J4586" s="241"/>
      <c r="K4586" s="241"/>
      <c r="L4586" s="241"/>
      <c r="M4586" s="241"/>
      <c r="N4586" s="241"/>
      <c r="O4586" s="241"/>
      <c r="P4586" s="241"/>
      <c r="Q4586" s="241"/>
    </row>
    <row r="4587" spans="1:17" ht="13.5" customHeight="1" x14ac:dyDescent="0.3">
      <c r="A4587"/>
      <c r="B4587" s="241"/>
      <c r="C4587" s="241"/>
      <c r="D4587" s="241"/>
      <c r="E4587" s="241"/>
      <c r="F4587" s="241"/>
      <c r="G4587" s="241"/>
      <c r="H4587" s="241"/>
      <c r="I4587"/>
      <c r="J4587" s="241"/>
      <c r="K4587" s="241"/>
      <c r="L4587" s="241"/>
      <c r="M4587" s="241"/>
      <c r="N4587" s="241"/>
      <c r="O4587" s="241"/>
      <c r="P4587" s="241"/>
      <c r="Q4587" s="241"/>
    </row>
    <row r="4588" spans="1:17" ht="13.5" customHeight="1" x14ac:dyDescent="0.3">
      <c r="A4588"/>
      <c r="B4588" s="241"/>
      <c r="C4588" s="241"/>
      <c r="D4588" s="241"/>
      <c r="E4588" s="241"/>
      <c r="F4588" s="241"/>
      <c r="G4588" s="241"/>
      <c r="H4588" s="241"/>
      <c r="I4588"/>
      <c r="J4588" s="241"/>
      <c r="K4588" s="241"/>
      <c r="L4588" s="241"/>
      <c r="M4588" s="241"/>
      <c r="N4588" s="241"/>
      <c r="O4588" s="241"/>
      <c r="P4588" s="241"/>
      <c r="Q4588" s="241"/>
    </row>
    <row r="4589" spans="1:17" ht="13.5" customHeight="1" x14ac:dyDescent="0.3">
      <c r="A4589"/>
      <c r="B4589" s="241"/>
      <c r="C4589" s="241"/>
      <c r="D4589" s="241"/>
      <c r="E4589" s="241"/>
      <c r="F4589" s="241"/>
      <c r="G4589" s="241"/>
      <c r="H4589" s="241"/>
      <c r="I4589"/>
      <c r="J4589" s="241"/>
      <c r="K4589" s="241"/>
      <c r="L4589" s="241"/>
      <c r="M4589" s="241"/>
      <c r="N4589" s="241"/>
      <c r="O4589" s="241"/>
      <c r="P4589" s="241"/>
      <c r="Q4589" s="241"/>
    </row>
    <row r="4590" spans="1:17" ht="13.5" customHeight="1" x14ac:dyDescent="0.3">
      <c r="A4590"/>
      <c r="B4590" s="241"/>
      <c r="C4590" s="241"/>
      <c r="D4590" s="241"/>
      <c r="E4590" s="241"/>
      <c r="F4590" s="241"/>
      <c r="G4590" s="241"/>
      <c r="H4590" s="241"/>
      <c r="I4590"/>
      <c r="J4590" s="241"/>
      <c r="K4590" s="241"/>
      <c r="L4590" s="241"/>
      <c r="M4590" s="241"/>
      <c r="N4590" s="241"/>
      <c r="O4590" s="241"/>
      <c r="P4590" s="241"/>
      <c r="Q4590" s="241"/>
    </row>
    <row r="4591" spans="1:17" ht="13.5" customHeight="1" x14ac:dyDescent="0.3">
      <c r="A4591"/>
      <c r="B4591" s="241"/>
      <c r="C4591" s="241"/>
      <c r="D4591" s="241"/>
      <c r="E4591" s="241"/>
      <c r="F4591" s="241"/>
      <c r="G4591" s="241"/>
      <c r="H4591" s="241"/>
      <c r="I4591"/>
      <c r="J4591" s="241"/>
      <c r="K4591" s="241"/>
      <c r="L4591" s="241"/>
      <c r="M4591" s="241"/>
      <c r="N4591" s="241"/>
      <c r="O4591" s="241"/>
      <c r="P4591" s="241"/>
      <c r="Q4591" s="241"/>
    </row>
    <row r="4592" spans="1:17" ht="13.5" customHeight="1" x14ac:dyDescent="0.3">
      <c r="A4592"/>
      <c r="B4592" s="241"/>
      <c r="C4592" s="241"/>
      <c r="D4592" s="241"/>
      <c r="E4592" s="241"/>
      <c r="F4592" s="241"/>
      <c r="G4592" s="241"/>
      <c r="H4592" s="241"/>
      <c r="I4592"/>
      <c r="J4592" s="241"/>
      <c r="K4592" s="241"/>
      <c r="L4592" s="241"/>
      <c r="M4592" s="241"/>
      <c r="N4592" s="241"/>
      <c r="O4592" s="241"/>
      <c r="P4592" s="241"/>
      <c r="Q4592" s="241"/>
    </row>
    <row r="4593" spans="1:17" ht="13.5" customHeight="1" x14ac:dyDescent="0.3">
      <c r="A4593"/>
      <c r="B4593" s="241"/>
      <c r="C4593" s="241"/>
      <c r="D4593" s="241"/>
      <c r="E4593" s="241"/>
      <c r="F4593" s="241"/>
      <c r="G4593" s="241"/>
      <c r="H4593" s="241"/>
      <c r="I4593"/>
      <c r="J4593" s="241"/>
      <c r="K4593" s="241"/>
      <c r="L4593" s="241"/>
      <c r="M4593" s="241"/>
      <c r="N4593" s="241"/>
      <c r="O4593" s="241"/>
      <c r="P4593" s="241"/>
      <c r="Q4593" s="241"/>
    </row>
    <row r="4594" spans="1:17" ht="13.5" customHeight="1" x14ac:dyDescent="0.3">
      <c r="A4594"/>
      <c r="B4594" s="241"/>
      <c r="C4594" s="241"/>
      <c r="D4594" s="241"/>
      <c r="E4594" s="241"/>
      <c r="F4594" s="241"/>
      <c r="G4594" s="241"/>
      <c r="H4594" s="241"/>
      <c r="I4594"/>
      <c r="J4594" s="241"/>
      <c r="K4594" s="241"/>
      <c r="L4594" s="241"/>
      <c r="M4594" s="241"/>
      <c r="N4594" s="241"/>
      <c r="O4594" s="241"/>
      <c r="P4594" s="241"/>
      <c r="Q4594" s="241"/>
    </row>
    <row r="4595" spans="1:17" ht="13.5" customHeight="1" x14ac:dyDescent="0.3">
      <c r="A4595"/>
      <c r="B4595" s="241"/>
      <c r="C4595" s="241"/>
      <c r="D4595" s="241"/>
      <c r="E4595" s="241"/>
      <c r="F4595" s="241"/>
      <c r="G4595" s="241"/>
      <c r="H4595" s="241"/>
      <c r="I4595"/>
      <c r="J4595" s="241"/>
      <c r="K4595" s="241"/>
      <c r="L4595" s="241"/>
      <c r="M4595" s="241"/>
      <c r="N4595" s="241"/>
      <c r="O4595" s="241"/>
      <c r="P4595" s="241"/>
      <c r="Q4595" s="241"/>
    </row>
    <row r="4596" spans="1:17" ht="13.5" customHeight="1" x14ac:dyDescent="0.3">
      <c r="A4596"/>
      <c r="B4596" s="241"/>
      <c r="C4596" s="241"/>
      <c r="D4596" s="241"/>
      <c r="E4596" s="241"/>
      <c r="F4596" s="241"/>
      <c r="G4596" s="241"/>
      <c r="H4596" s="241"/>
      <c r="I4596"/>
      <c r="J4596" s="241"/>
      <c r="K4596" s="241"/>
      <c r="L4596" s="241"/>
      <c r="M4596" s="241"/>
      <c r="N4596" s="241"/>
      <c r="O4596" s="241"/>
      <c r="P4596" s="241"/>
      <c r="Q4596" s="241"/>
    </row>
    <row r="4597" spans="1:17" ht="13.5" customHeight="1" x14ac:dyDescent="0.3">
      <c r="A4597"/>
      <c r="B4597" s="241"/>
      <c r="C4597" s="241"/>
      <c r="D4597" s="241"/>
      <c r="E4597" s="241"/>
      <c r="F4597" s="241"/>
      <c r="G4597" s="241"/>
      <c r="H4597" s="241"/>
      <c r="I4597"/>
      <c r="J4597" s="241"/>
      <c r="K4597" s="241"/>
      <c r="L4597" s="241"/>
      <c r="M4597" s="241"/>
      <c r="N4597" s="241"/>
      <c r="O4597" s="241"/>
      <c r="P4597" s="241"/>
      <c r="Q4597" s="241"/>
    </row>
    <row r="4598" spans="1:17" ht="13.5" customHeight="1" x14ac:dyDescent="0.3">
      <c r="A4598"/>
      <c r="B4598" s="241"/>
      <c r="C4598" s="241"/>
      <c r="D4598" s="241"/>
      <c r="E4598" s="241"/>
      <c r="F4598" s="241"/>
      <c r="G4598" s="241"/>
      <c r="H4598" s="241"/>
      <c r="I4598"/>
      <c r="J4598" s="241"/>
      <c r="K4598" s="241"/>
      <c r="L4598" s="241"/>
      <c r="M4598" s="241"/>
      <c r="N4598" s="241"/>
      <c r="O4598" s="241"/>
      <c r="P4598" s="241"/>
      <c r="Q4598" s="241"/>
    </row>
    <row r="4599" spans="1:17" ht="13.5" customHeight="1" x14ac:dyDescent="0.3">
      <c r="A4599"/>
      <c r="B4599" s="241"/>
      <c r="C4599" s="241"/>
      <c r="D4599" s="241"/>
      <c r="E4599" s="241"/>
      <c r="F4599" s="241"/>
      <c r="G4599" s="241"/>
      <c r="H4599" s="241"/>
      <c r="I4599"/>
      <c r="J4599" s="241"/>
      <c r="K4599" s="241"/>
      <c r="L4599" s="241"/>
      <c r="M4599" s="241"/>
      <c r="N4599" s="241"/>
      <c r="O4599" s="241"/>
      <c r="P4599" s="241"/>
      <c r="Q4599" s="241"/>
    </row>
    <row r="4600" spans="1:17" ht="13.5" customHeight="1" x14ac:dyDescent="0.3">
      <c r="A4600"/>
      <c r="B4600" s="241"/>
      <c r="C4600" s="241"/>
      <c r="D4600" s="241"/>
      <c r="E4600" s="241"/>
      <c r="F4600" s="241"/>
      <c r="G4600" s="241"/>
      <c r="H4600" s="241"/>
      <c r="I4600"/>
      <c r="J4600" s="241"/>
      <c r="K4600" s="241"/>
      <c r="L4600" s="241"/>
      <c r="M4600" s="241"/>
      <c r="N4600" s="241"/>
      <c r="O4600" s="241"/>
      <c r="P4600" s="241"/>
      <c r="Q4600" s="241"/>
    </row>
    <row r="4601" spans="1:17" ht="13.5" customHeight="1" x14ac:dyDescent="0.3">
      <c r="A4601"/>
      <c r="B4601" s="241"/>
      <c r="C4601" s="241"/>
      <c r="D4601" s="241"/>
      <c r="E4601" s="241"/>
      <c r="F4601" s="241"/>
      <c r="G4601" s="241"/>
      <c r="H4601" s="241"/>
      <c r="I4601"/>
      <c r="J4601" s="241"/>
      <c r="K4601" s="241"/>
      <c r="L4601" s="241"/>
      <c r="M4601" s="241"/>
      <c r="N4601" s="241"/>
      <c r="O4601" s="241"/>
      <c r="P4601" s="241"/>
      <c r="Q4601" s="241"/>
    </row>
    <row r="4602" spans="1:17" ht="13.5" customHeight="1" x14ac:dyDescent="0.3">
      <c r="A4602"/>
      <c r="B4602" s="241"/>
      <c r="C4602" s="241"/>
      <c r="D4602" s="241"/>
      <c r="E4602" s="241"/>
      <c r="F4602" s="241"/>
      <c r="G4602" s="241"/>
      <c r="H4602" s="241"/>
      <c r="I4602"/>
      <c r="J4602" s="241"/>
      <c r="K4602" s="241"/>
      <c r="L4602" s="241"/>
      <c r="M4602" s="241"/>
      <c r="N4602" s="241"/>
      <c r="O4602" s="241"/>
      <c r="P4602" s="241"/>
      <c r="Q4602" s="241"/>
    </row>
    <row r="4603" spans="1:17" ht="13.5" customHeight="1" x14ac:dyDescent="0.3">
      <c r="A4603"/>
      <c r="B4603" s="241"/>
      <c r="C4603" s="241"/>
      <c r="D4603" s="241"/>
      <c r="E4603" s="241"/>
      <c r="F4603" s="241"/>
      <c r="G4603" s="241"/>
      <c r="H4603" s="241"/>
      <c r="I4603"/>
      <c r="J4603" s="241"/>
      <c r="K4603" s="241"/>
      <c r="L4603" s="241"/>
      <c r="M4603" s="241"/>
      <c r="N4603" s="241"/>
      <c r="O4603" s="241"/>
      <c r="P4603" s="241"/>
      <c r="Q4603" s="241"/>
    </row>
    <row r="4604" spans="1:17" ht="13.5" customHeight="1" x14ac:dyDescent="0.3">
      <c r="A4604"/>
      <c r="B4604" s="241"/>
      <c r="C4604" s="241"/>
      <c r="D4604" s="241"/>
      <c r="E4604" s="241"/>
      <c r="F4604" s="241"/>
      <c r="G4604" s="241"/>
      <c r="H4604" s="241"/>
      <c r="I4604"/>
      <c r="J4604" s="241"/>
      <c r="K4604" s="241"/>
      <c r="L4604" s="241"/>
      <c r="M4604" s="241"/>
      <c r="N4604" s="241"/>
      <c r="O4604" s="241"/>
      <c r="P4604" s="241"/>
      <c r="Q4604" s="241"/>
    </row>
    <row r="4605" spans="1:17" ht="13.5" customHeight="1" x14ac:dyDescent="0.3">
      <c r="A4605"/>
      <c r="B4605" s="241"/>
      <c r="C4605" s="241"/>
      <c r="D4605" s="241"/>
      <c r="E4605" s="241"/>
      <c r="F4605" s="241"/>
      <c r="G4605" s="241"/>
      <c r="H4605" s="241"/>
      <c r="I4605"/>
      <c r="J4605" s="241"/>
      <c r="K4605" s="241"/>
      <c r="L4605" s="241"/>
      <c r="M4605" s="241"/>
      <c r="N4605" s="241"/>
      <c r="O4605" s="241"/>
      <c r="P4605" s="241"/>
      <c r="Q4605" s="241"/>
    </row>
    <row r="4606" spans="1:17" ht="13.5" customHeight="1" x14ac:dyDescent="0.3">
      <c r="A4606"/>
      <c r="B4606" s="241"/>
      <c r="C4606" s="241"/>
      <c r="D4606" s="241"/>
      <c r="E4606" s="241"/>
      <c r="F4606" s="241"/>
      <c r="G4606" s="241"/>
      <c r="H4606" s="241"/>
      <c r="I4606"/>
      <c r="J4606" s="241"/>
      <c r="K4606" s="241"/>
      <c r="L4606" s="241"/>
      <c r="M4606" s="241"/>
      <c r="N4606" s="241"/>
      <c r="O4606" s="241"/>
      <c r="P4606" s="241"/>
      <c r="Q4606" s="241"/>
    </row>
    <row r="4607" spans="1:17" ht="13.5" customHeight="1" x14ac:dyDescent="0.3">
      <c r="A4607"/>
      <c r="B4607" s="241"/>
      <c r="C4607" s="241"/>
      <c r="D4607" s="241"/>
      <c r="E4607" s="241"/>
      <c r="F4607" s="241"/>
      <c r="G4607" s="241"/>
      <c r="H4607" s="241"/>
      <c r="I4607"/>
      <c r="J4607" s="241"/>
      <c r="K4607" s="241"/>
      <c r="L4607" s="241"/>
      <c r="M4607" s="241"/>
      <c r="N4607" s="241"/>
      <c r="O4607" s="241"/>
      <c r="P4607" s="241"/>
      <c r="Q4607" s="241"/>
    </row>
    <row r="4608" spans="1:17" ht="13.5" customHeight="1" x14ac:dyDescent="0.3">
      <c r="A4608"/>
      <c r="B4608" s="241"/>
      <c r="C4608" s="241"/>
      <c r="D4608" s="241"/>
      <c r="E4608" s="241"/>
      <c r="F4608" s="241"/>
      <c r="G4608" s="241"/>
      <c r="H4608" s="241"/>
      <c r="I4608"/>
      <c r="J4608" s="241"/>
      <c r="K4608" s="241"/>
      <c r="L4608" s="241"/>
      <c r="M4608" s="241"/>
      <c r="N4608" s="241"/>
      <c r="O4608" s="241"/>
      <c r="P4608" s="241"/>
      <c r="Q4608" s="241"/>
    </row>
    <row r="4609" spans="1:17" ht="13.5" customHeight="1" x14ac:dyDescent="0.3">
      <c r="A4609"/>
      <c r="B4609" s="241"/>
      <c r="C4609" s="241"/>
      <c r="D4609" s="241"/>
      <c r="E4609" s="241"/>
      <c r="F4609" s="241"/>
      <c r="G4609" s="241"/>
      <c r="H4609" s="241"/>
      <c r="I4609"/>
      <c r="J4609" s="241"/>
      <c r="K4609" s="241"/>
      <c r="L4609" s="241"/>
      <c r="M4609" s="241"/>
      <c r="N4609" s="241"/>
      <c r="O4609" s="241"/>
      <c r="P4609" s="241"/>
      <c r="Q4609" s="241"/>
    </row>
    <row r="4610" spans="1:17" ht="13.5" customHeight="1" x14ac:dyDescent="0.3">
      <c r="A4610"/>
      <c r="B4610" s="241"/>
      <c r="C4610" s="241"/>
      <c r="D4610" s="241"/>
      <c r="E4610" s="241"/>
      <c r="F4610" s="241"/>
      <c r="G4610" s="241"/>
      <c r="H4610" s="241"/>
      <c r="I4610"/>
      <c r="J4610" s="241"/>
      <c r="K4610" s="241"/>
      <c r="L4610" s="241"/>
      <c r="M4610" s="241"/>
      <c r="N4610" s="241"/>
      <c r="O4610" s="241"/>
      <c r="P4610" s="241"/>
      <c r="Q4610" s="241"/>
    </row>
    <row r="4611" spans="1:17" ht="13.5" customHeight="1" x14ac:dyDescent="0.3">
      <c r="A4611"/>
      <c r="B4611" s="241"/>
      <c r="C4611" s="241"/>
      <c r="D4611" s="241"/>
      <c r="E4611" s="241"/>
      <c r="F4611" s="241"/>
      <c r="G4611" s="241"/>
      <c r="H4611" s="241"/>
      <c r="I4611"/>
      <c r="J4611" s="241"/>
      <c r="K4611" s="241"/>
      <c r="L4611" s="241"/>
      <c r="M4611" s="241"/>
      <c r="N4611" s="241"/>
      <c r="O4611" s="241"/>
      <c r="P4611" s="241"/>
      <c r="Q4611" s="241"/>
    </row>
    <row r="4612" spans="1:17" ht="13.5" customHeight="1" x14ac:dyDescent="0.3">
      <c r="A4612"/>
      <c r="B4612" s="241"/>
      <c r="C4612" s="241"/>
      <c r="D4612" s="241"/>
      <c r="E4612" s="241"/>
      <c r="F4612" s="241"/>
      <c r="G4612" s="241"/>
      <c r="H4612" s="241"/>
      <c r="I4612"/>
      <c r="J4612" s="241"/>
      <c r="K4612" s="241"/>
      <c r="L4612" s="241"/>
      <c r="M4612" s="241"/>
      <c r="N4612" s="241"/>
      <c r="O4612" s="241"/>
      <c r="P4612" s="241"/>
      <c r="Q4612" s="241"/>
    </row>
    <row r="4613" spans="1:17" ht="13.5" customHeight="1" x14ac:dyDescent="0.3">
      <c r="A4613"/>
      <c r="B4613" s="241"/>
      <c r="C4613" s="241"/>
      <c r="D4613" s="241"/>
      <c r="E4613" s="241"/>
      <c r="F4613" s="241"/>
      <c r="G4613" s="241"/>
      <c r="H4613" s="241"/>
      <c r="I4613"/>
      <c r="J4613" s="241"/>
      <c r="K4613" s="241"/>
      <c r="L4613" s="241"/>
      <c r="M4613" s="241"/>
      <c r="N4613" s="241"/>
      <c r="O4613" s="241"/>
      <c r="P4613" s="241"/>
      <c r="Q4613" s="241"/>
    </row>
    <row r="4614" spans="1:17" ht="13.5" customHeight="1" x14ac:dyDescent="0.3">
      <c r="A4614"/>
      <c r="B4614" s="241"/>
      <c r="C4614" s="241"/>
      <c r="D4614" s="241"/>
      <c r="E4614" s="241"/>
      <c r="F4614" s="241"/>
      <c r="G4614" s="241"/>
      <c r="H4614" s="241"/>
      <c r="I4614"/>
      <c r="J4614" s="241"/>
      <c r="K4614" s="241"/>
      <c r="L4614" s="241"/>
      <c r="M4614" s="241"/>
      <c r="N4614" s="241"/>
      <c r="O4614" s="241"/>
      <c r="P4614" s="241"/>
      <c r="Q4614" s="241"/>
    </row>
    <row r="4615" spans="1:17" ht="13.5" customHeight="1" x14ac:dyDescent="0.3">
      <c r="A4615"/>
      <c r="B4615" s="241"/>
      <c r="C4615" s="241"/>
      <c r="D4615" s="241"/>
      <c r="E4615" s="241"/>
      <c r="F4615" s="241"/>
      <c r="G4615" s="241"/>
      <c r="H4615" s="241"/>
      <c r="I4615"/>
      <c r="J4615" s="241"/>
      <c r="K4615" s="241"/>
      <c r="L4615" s="241"/>
      <c r="M4615" s="241"/>
      <c r="N4615" s="241"/>
      <c r="O4615" s="241"/>
      <c r="P4615" s="241"/>
      <c r="Q4615" s="241"/>
    </row>
    <row r="4616" spans="1:17" ht="13.5" customHeight="1" x14ac:dyDescent="0.3">
      <c r="A4616"/>
      <c r="B4616" s="241"/>
      <c r="C4616" s="241"/>
      <c r="D4616" s="241"/>
      <c r="E4616" s="241"/>
      <c r="F4616" s="241"/>
      <c r="G4616" s="241"/>
      <c r="H4616" s="241"/>
      <c r="I4616"/>
      <c r="J4616" s="241"/>
      <c r="K4616" s="241"/>
      <c r="L4616" s="241"/>
      <c r="M4616" s="241"/>
      <c r="N4616" s="241"/>
      <c r="O4616" s="241"/>
      <c r="P4616" s="241"/>
      <c r="Q4616" s="241"/>
    </row>
    <row r="4617" spans="1:17" ht="13.5" customHeight="1" x14ac:dyDescent="0.3">
      <c r="A4617"/>
      <c r="B4617" s="241"/>
      <c r="C4617" s="241"/>
      <c r="D4617" s="241"/>
      <c r="E4617" s="241"/>
      <c r="F4617" s="241"/>
      <c r="G4617" s="241"/>
      <c r="H4617" s="241"/>
      <c r="I4617"/>
      <c r="J4617" s="241"/>
      <c r="K4617" s="241"/>
      <c r="L4617" s="241"/>
      <c r="M4617" s="241"/>
      <c r="N4617" s="241"/>
      <c r="O4617" s="241"/>
      <c r="P4617" s="241"/>
      <c r="Q4617" s="241"/>
    </row>
    <row r="4618" spans="1:17" ht="13.5" customHeight="1" x14ac:dyDescent="0.3">
      <c r="A4618"/>
      <c r="B4618" s="241"/>
      <c r="C4618" s="241"/>
      <c r="D4618" s="241"/>
      <c r="E4618" s="241"/>
      <c r="F4618" s="241"/>
      <c r="G4618" s="241"/>
      <c r="H4618" s="241"/>
      <c r="I4618"/>
      <c r="J4618" s="241"/>
      <c r="K4618" s="241"/>
      <c r="L4618" s="241"/>
      <c r="M4618" s="241"/>
      <c r="N4618" s="241"/>
      <c r="O4618" s="241"/>
      <c r="P4618" s="241"/>
      <c r="Q4618" s="241"/>
    </row>
    <row r="4619" spans="1:17" ht="13.5" customHeight="1" x14ac:dyDescent="0.3">
      <c r="A4619"/>
      <c r="B4619" s="241"/>
      <c r="C4619" s="241"/>
      <c r="D4619" s="241"/>
      <c r="E4619" s="241"/>
      <c r="F4619" s="241"/>
      <c r="G4619" s="241"/>
      <c r="H4619" s="241"/>
      <c r="I4619"/>
      <c r="J4619" s="241"/>
      <c r="K4619" s="241"/>
      <c r="L4619" s="241"/>
      <c r="M4619" s="241"/>
      <c r="N4619" s="241"/>
      <c r="O4619" s="241"/>
      <c r="P4619" s="241"/>
      <c r="Q4619" s="241"/>
    </row>
    <row r="4620" spans="1:17" ht="13.5" customHeight="1" x14ac:dyDescent="0.3">
      <c r="A4620"/>
      <c r="B4620" s="241"/>
      <c r="C4620" s="241"/>
      <c r="D4620" s="241"/>
      <c r="E4620" s="241"/>
      <c r="F4620" s="241"/>
      <c r="G4620" s="241"/>
      <c r="H4620" s="241"/>
      <c r="I4620"/>
      <c r="J4620" s="241"/>
      <c r="K4620" s="241"/>
      <c r="L4620" s="241"/>
      <c r="M4620" s="241"/>
      <c r="N4620" s="241"/>
      <c r="O4620" s="241"/>
      <c r="P4620" s="241"/>
      <c r="Q4620" s="241"/>
    </row>
    <row r="4621" spans="1:17" ht="13.5" customHeight="1" x14ac:dyDescent="0.3">
      <c r="A4621"/>
      <c r="B4621" s="241"/>
      <c r="C4621" s="241"/>
      <c r="D4621" s="241"/>
      <c r="E4621" s="241"/>
      <c r="F4621" s="241"/>
      <c r="G4621" s="241"/>
      <c r="H4621" s="241"/>
      <c r="I4621"/>
      <c r="J4621" s="241"/>
      <c r="K4621" s="241"/>
      <c r="L4621" s="241"/>
      <c r="M4621" s="241"/>
      <c r="N4621" s="241"/>
      <c r="O4621" s="241"/>
      <c r="P4621" s="241"/>
      <c r="Q4621" s="241"/>
    </row>
    <row r="4622" spans="1:17" ht="13.5" customHeight="1" x14ac:dyDescent="0.3">
      <c r="A4622"/>
      <c r="B4622" s="241"/>
      <c r="C4622" s="241"/>
      <c r="D4622" s="241"/>
      <c r="E4622" s="241"/>
      <c r="F4622" s="241"/>
      <c r="G4622" s="241"/>
      <c r="H4622" s="241"/>
      <c r="I4622"/>
      <c r="J4622" s="241"/>
      <c r="K4622" s="241"/>
      <c r="L4622" s="241"/>
      <c r="M4622" s="241"/>
      <c r="N4622" s="241"/>
      <c r="O4622" s="241"/>
      <c r="P4622" s="241"/>
      <c r="Q4622" s="241"/>
    </row>
    <row r="4623" spans="1:17" ht="13.5" customHeight="1" x14ac:dyDescent="0.3">
      <c r="A4623"/>
      <c r="B4623" s="241"/>
      <c r="C4623" s="241"/>
      <c r="D4623" s="241"/>
      <c r="E4623" s="241"/>
      <c r="F4623" s="241"/>
      <c r="G4623" s="241"/>
      <c r="H4623" s="241"/>
      <c r="I4623"/>
      <c r="J4623" s="241"/>
      <c r="K4623" s="241"/>
      <c r="L4623" s="241"/>
      <c r="M4623" s="241"/>
      <c r="N4623" s="241"/>
      <c r="O4623" s="241"/>
      <c r="P4623" s="241"/>
      <c r="Q4623" s="241"/>
    </row>
    <row r="4624" spans="1:17" ht="13.5" customHeight="1" x14ac:dyDescent="0.3">
      <c r="A4624"/>
      <c r="B4624" s="241"/>
      <c r="C4624" s="241"/>
      <c r="D4624" s="241"/>
      <c r="E4624" s="241"/>
      <c r="F4624" s="241"/>
      <c r="G4624" s="241"/>
      <c r="H4624" s="241"/>
      <c r="I4624"/>
      <c r="J4624" s="241"/>
      <c r="K4624" s="241"/>
      <c r="L4624" s="241"/>
      <c r="M4624" s="241"/>
      <c r="N4624" s="241"/>
      <c r="O4624" s="241"/>
      <c r="P4624" s="241"/>
      <c r="Q4624" s="241"/>
    </row>
    <row r="4625" spans="1:17" ht="13.5" customHeight="1" x14ac:dyDescent="0.3">
      <c r="A4625"/>
      <c r="B4625" s="241"/>
      <c r="C4625" s="241"/>
      <c r="D4625" s="241"/>
      <c r="E4625" s="241"/>
      <c r="F4625" s="241"/>
      <c r="G4625" s="241"/>
      <c r="H4625" s="241"/>
      <c r="I4625"/>
      <c r="J4625" s="241"/>
      <c r="K4625" s="241"/>
      <c r="L4625" s="241"/>
      <c r="M4625" s="241"/>
      <c r="N4625" s="241"/>
      <c r="O4625" s="241"/>
      <c r="P4625" s="241"/>
      <c r="Q4625" s="241"/>
    </row>
    <row r="4626" spans="1:17" ht="13.5" customHeight="1" x14ac:dyDescent="0.3">
      <c r="A4626"/>
      <c r="B4626" s="241"/>
      <c r="C4626" s="241"/>
      <c r="D4626" s="241"/>
      <c r="E4626" s="241"/>
      <c r="F4626" s="241"/>
      <c r="G4626" s="241"/>
      <c r="H4626" s="241"/>
      <c r="I4626"/>
      <c r="J4626" s="241"/>
      <c r="K4626" s="241"/>
      <c r="L4626" s="241"/>
      <c r="M4626" s="241"/>
      <c r="N4626" s="241"/>
      <c r="O4626" s="241"/>
      <c r="P4626" s="241"/>
      <c r="Q4626" s="241"/>
    </row>
    <row r="4627" spans="1:17" ht="13.5" customHeight="1" x14ac:dyDescent="0.3">
      <c r="A4627"/>
      <c r="B4627" s="241"/>
      <c r="C4627" s="241"/>
      <c r="D4627" s="241"/>
      <c r="E4627" s="241"/>
      <c r="F4627" s="241"/>
      <c r="G4627" s="241"/>
      <c r="H4627" s="241"/>
      <c r="I4627"/>
      <c r="J4627" s="241"/>
      <c r="K4627" s="241"/>
      <c r="L4627" s="241"/>
      <c r="M4627" s="241"/>
      <c r="N4627" s="241"/>
      <c r="O4627" s="241"/>
      <c r="P4627" s="241"/>
      <c r="Q4627" s="241"/>
    </row>
    <row r="4628" spans="1:17" ht="13.5" customHeight="1" x14ac:dyDescent="0.3">
      <c r="A4628"/>
      <c r="B4628" s="241"/>
      <c r="C4628" s="241"/>
      <c r="D4628" s="241"/>
      <c r="E4628" s="241"/>
      <c r="F4628" s="241"/>
      <c r="G4628" s="241"/>
      <c r="H4628" s="241"/>
      <c r="I4628"/>
      <c r="J4628" s="241"/>
      <c r="K4628" s="241"/>
      <c r="L4628" s="241"/>
      <c r="M4628" s="241"/>
      <c r="N4628" s="241"/>
      <c r="O4628" s="241"/>
      <c r="P4628" s="241"/>
      <c r="Q4628" s="241"/>
    </row>
    <row r="4629" spans="1:17" ht="13.5" customHeight="1" x14ac:dyDescent="0.3">
      <c r="A4629"/>
      <c r="B4629" s="241"/>
      <c r="C4629" s="241"/>
      <c r="D4629" s="241"/>
      <c r="E4629" s="241"/>
      <c r="F4629" s="241"/>
      <c r="G4629" s="241"/>
      <c r="H4629" s="241"/>
      <c r="I4629"/>
      <c r="J4629" s="241"/>
      <c r="K4629" s="241"/>
      <c r="L4629" s="241"/>
      <c r="M4629" s="241"/>
      <c r="N4629" s="241"/>
      <c r="O4629" s="241"/>
      <c r="P4629" s="241"/>
      <c r="Q4629" s="241"/>
    </row>
    <row r="4630" spans="1:17" ht="13.5" customHeight="1" x14ac:dyDescent="0.3">
      <c r="A4630"/>
      <c r="B4630" s="241"/>
      <c r="C4630" s="241"/>
      <c r="D4630" s="241"/>
      <c r="E4630" s="241"/>
      <c r="F4630" s="241"/>
      <c r="G4630" s="241"/>
      <c r="H4630" s="241"/>
      <c r="I4630"/>
      <c r="J4630" s="241"/>
      <c r="K4630" s="241"/>
      <c r="L4630" s="241"/>
      <c r="M4630" s="241"/>
      <c r="N4630" s="241"/>
      <c r="O4630" s="241"/>
      <c r="P4630" s="241"/>
      <c r="Q4630" s="241"/>
    </row>
    <row r="4631" spans="1:17" ht="13.5" customHeight="1" x14ac:dyDescent="0.3">
      <c r="A4631"/>
      <c r="B4631" s="241"/>
      <c r="C4631" s="241"/>
      <c r="D4631" s="241"/>
      <c r="E4631" s="241"/>
      <c r="F4631" s="241"/>
      <c r="G4631" s="241"/>
      <c r="H4631" s="241"/>
      <c r="I4631"/>
      <c r="J4631" s="241"/>
      <c r="K4631" s="241"/>
      <c r="L4631" s="241"/>
      <c r="M4631" s="241"/>
      <c r="N4631" s="241"/>
      <c r="O4631" s="241"/>
      <c r="P4631" s="241"/>
      <c r="Q4631" s="241"/>
    </row>
    <row r="4632" spans="1:17" ht="13.5" customHeight="1" x14ac:dyDescent="0.3">
      <c r="A4632"/>
      <c r="B4632" s="241"/>
      <c r="C4632" s="241"/>
      <c r="D4632" s="241"/>
      <c r="E4632" s="241"/>
      <c r="F4632" s="241"/>
      <c r="G4632" s="241"/>
      <c r="H4632" s="241"/>
      <c r="I4632"/>
      <c r="J4632" s="241"/>
      <c r="K4632" s="241"/>
      <c r="L4632" s="241"/>
      <c r="M4632" s="241"/>
      <c r="N4632" s="241"/>
      <c r="O4632" s="241"/>
      <c r="P4632" s="241"/>
      <c r="Q4632" s="241"/>
    </row>
    <row r="4633" spans="1:17" ht="13.5" customHeight="1" x14ac:dyDescent="0.3">
      <c r="A4633"/>
      <c r="B4633" s="241"/>
      <c r="C4633" s="241"/>
      <c r="D4633" s="241"/>
      <c r="E4633" s="241"/>
      <c r="F4633" s="241"/>
      <c r="G4633" s="241"/>
      <c r="H4633" s="241"/>
      <c r="I4633"/>
      <c r="J4633" s="241"/>
      <c r="K4633" s="241"/>
      <c r="L4633" s="241"/>
      <c r="M4633" s="241"/>
      <c r="N4633" s="241"/>
      <c r="O4633" s="241"/>
      <c r="P4633" s="241"/>
      <c r="Q4633" s="241"/>
    </row>
    <row r="4634" spans="1:17" ht="13.5" customHeight="1" x14ac:dyDescent="0.3">
      <c r="A4634"/>
      <c r="B4634" s="241"/>
      <c r="C4634" s="241"/>
      <c r="D4634" s="241"/>
      <c r="E4634" s="241"/>
      <c r="F4634" s="241"/>
      <c r="G4634" s="241"/>
      <c r="H4634" s="241"/>
      <c r="I4634"/>
      <c r="J4634" s="241"/>
      <c r="K4634" s="241"/>
      <c r="L4634" s="241"/>
      <c r="M4634" s="241"/>
      <c r="N4634" s="241"/>
      <c r="O4634" s="241"/>
      <c r="P4634" s="241"/>
      <c r="Q4634" s="241"/>
    </row>
    <row r="4635" spans="1:17" ht="13.5" customHeight="1" x14ac:dyDescent="0.3">
      <c r="A4635"/>
      <c r="B4635" s="241"/>
      <c r="C4635" s="241"/>
      <c r="D4635" s="241"/>
      <c r="E4635" s="241"/>
      <c r="F4635" s="241"/>
      <c r="G4635" s="241"/>
      <c r="H4635" s="241"/>
      <c r="I4635"/>
      <c r="J4635" s="241"/>
      <c r="K4635" s="241"/>
      <c r="L4635" s="241"/>
      <c r="M4635" s="241"/>
      <c r="N4635" s="241"/>
      <c r="O4635" s="241"/>
      <c r="P4635" s="241"/>
      <c r="Q4635" s="241"/>
    </row>
    <row r="4636" spans="1:17" ht="13.5" customHeight="1" x14ac:dyDescent="0.3">
      <c r="A4636"/>
      <c r="B4636" s="241"/>
      <c r="C4636" s="241"/>
      <c r="D4636" s="241"/>
      <c r="E4636" s="241"/>
      <c r="F4636" s="241"/>
      <c r="G4636" s="241"/>
      <c r="H4636" s="241"/>
      <c r="I4636"/>
      <c r="J4636" s="241"/>
      <c r="K4636" s="241"/>
      <c r="L4636" s="241"/>
      <c r="M4636" s="241"/>
      <c r="N4636" s="241"/>
      <c r="O4636" s="241"/>
      <c r="P4636" s="241"/>
      <c r="Q4636" s="241"/>
    </row>
    <row r="4637" spans="1:17" ht="13.5" customHeight="1" x14ac:dyDescent="0.3">
      <c r="A4637"/>
      <c r="B4637" s="241"/>
      <c r="C4637" s="241"/>
      <c r="D4637" s="241"/>
      <c r="E4637" s="241"/>
      <c r="F4637" s="241"/>
      <c r="G4637" s="241"/>
      <c r="H4637" s="241"/>
      <c r="I4637"/>
      <c r="J4637" s="241"/>
      <c r="K4637" s="241"/>
      <c r="L4637" s="241"/>
      <c r="M4637" s="241"/>
      <c r="N4637" s="241"/>
      <c r="O4637" s="241"/>
      <c r="P4637" s="241"/>
      <c r="Q4637" s="241"/>
    </row>
    <row r="4638" spans="1:17" ht="13.5" customHeight="1" x14ac:dyDescent="0.3">
      <c r="A4638"/>
      <c r="B4638" s="241"/>
      <c r="C4638" s="241"/>
      <c r="D4638" s="241"/>
      <c r="E4638" s="241"/>
      <c r="F4638" s="241"/>
      <c r="G4638" s="241"/>
      <c r="H4638" s="241"/>
      <c r="I4638"/>
      <c r="J4638" s="241"/>
      <c r="K4638" s="241"/>
      <c r="L4638" s="241"/>
      <c r="M4638" s="241"/>
      <c r="N4638" s="241"/>
      <c r="O4638" s="241"/>
      <c r="P4638" s="241"/>
      <c r="Q4638" s="241"/>
    </row>
    <row r="4639" spans="1:17" ht="13.5" customHeight="1" x14ac:dyDescent="0.3">
      <c r="A4639"/>
      <c r="B4639" s="241"/>
      <c r="C4639" s="241"/>
      <c r="D4639" s="241"/>
      <c r="E4639" s="241"/>
      <c r="F4639" s="241"/>
      <c r="G4639" s="241"/>
      <c r="H4639" s="241"/>
      <c r="I4639"/>
      <c r="J4639" s="241"/>
      <c r="K4639" s="241"/>
      <c r="L4639" s="241"/>
      <c r="M4639" s="241"/>
      <c r="N4639" s="241"/>
      <c r="O4639" s="241"/>
      <c r="P4639" s="241"/>
      <c r="Q4639" s="241"/>
    </row>
    <row r="4640" spans="1:17" ht="13.5" customHeight="1" x14ac:dyDescent="0.3">
      <c r="A4640"/>
      <c r="B4640" s="241"/>
      <c r="C4640" s="241"/>
      <c r="D4640" s="241"/>
      <c r="E4640" s="241"/>
      <c r="F4640" s="241"/>
      <c r="G4640" s="241"/>
      <c r="H4640" s="241"/>
      <c r="I4640"/>
      <c r="J4640" s="241"/>
      <c r="K4640" s="241"/>
      <c r="L4640" s="241"/>
      <c r="M4640" s="241"/>
      <c r="N4640" s="241"/>
      <c r="O4640" s="241"/>
      <c r="P4640" s="241"/>
      <c r="Q4640" s="241"/>
    </row>
    <row r="4641" spans="1:17" ht="13.5" customHeight="1" x14ac:dyDescent="0.3">
      <c r="A4641"/>
      <c r="B4641" s="241"/>
      <c r="C4641" s="241"/>
      <c r="D4641" s="241"/>
      <c r="E4641" s="241"/>
      <c r="F4641" s="241"/>
      <c r="G4641" s="241"/>
      <c r="H4641" s="241"/>
      <c r="I4641"/>
      <c r="J4641" s="241"/>
      <c r="K4641" s="241"/>
      <c r="L4641" s="241"/>
      <c r="M4641" s="241"/>
      <c r="N4641" s="241"/>
      <c r="O4641" s="241"/>
      <c r="P4641" s="241"/>
      <c r="Q4641" s="241"/>
    </row>
    <row r="4642" spans="1:17" ht="13.5" customHeight="1" x14ac:dyDescent="0.3">
      <c r="A4642"/>
      <c r="B4642" s="241"/>
      <c r="C4642" s="241"/>
      <c r="D4642" s="241"/>
      <c r="E4642" s="241"/>
      <c r="F4642" s="241"/>
      <c r="G4642" s="241"/>
      <c r="H4642" s="241"/>
      <c r="I4642"/>
      <c r="J4642" s="241"/>
      <c r="K4642" s="241"/>
      <c r="L4642" s="241"/>
      <c r="M4642" s="241"/>
      <c r="N4642" s="241"/>
      <c r="O4642" s="241"/>
      <c r="P4642" s="241"/>
      <c r="Q4642" s="241"/>
    </row>
    <row r="4643" spans="1:17" ht="13.5" customHeight="1" x14ac:dyDescent="0.3">
      <c r="A4643"/>
      <c r="B4643" s="241"/>
      <c r="C4643" s="241"/>
      <c r="D4643" s="241"/>
      <c r="E4643" s="241"/>
      <c r="F4643" s="241"/>
      <c r="G4643" s="241"/>
      <c r="H4643" s="241"/>
      <c r="I4643"/>
      <c r="J4643" s="241"/>
      <c r="K4643" s="241"/>
      <c r="L4643" s="241"/>
      <c r="M4643" s="241"/>
      <c r="N4643" s="241"/>
      <c r="O4643" s="241"/>
      <c r="P4643" s="241"/>
      <c r="Q4643" s="241"/>
    </row>
    <row r="4644" spans="1:17" ht="13.5" customHeight="1" x14ac:dyDescent="0.3">
      <c r="A4644"/>
      <c r="B4644" s="241"/>
      <c r="C4644" s="241"/>
      <c r="D4644" s="241"/>
      <c r="E4644" s="241"/>
      <c r="F4644" s="241"/>
      <c r="G4644" s="241"/>
      <c r="H4644" s="241"/>
      <c r="I4644"/>
      <c r="J4644" s="241"/>
      <c r="K4644" s="241"/>
      <c r="L4644" s="241"/>
      <c r="M4644" s="241"/>
      <c r="N4644" s="241"/>
      <c r="O4644" s="241"/>
      <c r="P4644" s="241"/>
      <c r="Q4644" s="241"/>
    </row>
    <row r="4645" spans="1:17" ht="13.5" customHeight="1" x14ac:dyDescent="0.3">
      <c r="A4645"/>
      <c r="B4645" s="241"/>
      <c r="C4645" s="241"/>
      <c r="D4645" s="241"/>
      <c r="E4645" s="241"/>
      <c r="F4645" s="241"/>
      <c r="G4645" s="241"/>
      <c r="H4645" s="241"/>
      <c r="I4645"/>
      <c r="J4645" s="241"/>
      <c r="K4645" s="241"/>
      <c r="L4645" s="241"/>
      <c r="M4645" s="241"/>
      <c r="N4645" s="241"/>
      <c r="O4645" s="241"/>
      <c r="P4645" s="241"/>
      <c r="Q4645" s="241"/>
    </row>
    <row r="4646" spans="1:17" ht="13.5" customHeight="1" x14ac:dyDescent="0.3">
      <c r="A4646"/>
      <c r="B4646" s="241"/>
      <c r="C4646" s="241"/>
      <c r="D4646" s="241"/>
      <c r="E4646" s="241"/>
      <c r="F4646" s="241"/>
      <c r="G4646" s="241"/>
      <c r="H4646" s="241"/>
      <c r="I4646"/>
      <c r="J4646" s="241"/>
      <c r="K4646" s="241"/>
      <c r="L4646" s="241"/>
      <c r="M4646" s="241"/>
      <c r="N4646" s="241"/>
      <c r="O4646" s="241"/>
      <c r="P4646" s="241"/>
      <c r="Q4646" s="241"/>
    </row>
    <row r="4647" spans="1:17" ht="13.5" customHeight="1" x14ac:dyDescent="0.3">
      <c r="A4647"/>
      <c r="B4647" s="241"/>
      <c r="C4647" s="241"/>
      <c r="D4647" s="241"/>
      <c r="E4647" s="241"/>
      <c r="F4647" s="241"/>
      <c r="G4647" s="241"/>
      <c r="H4647" s="241"/>
      <c r="I4647"/>
      <c r="J4647" s="241"/>
      <c r="K4647" s="241"/>
      <c r="L4647" s="241"/>
      <c r="M4647" s="241"/>
      <c r="N4647" s="241"/>
      <c r="O4647" s="241"/>
      <c r="P4647" s="241"/>
      <c r="Q4647" s="241"/>
    </row>
    <row r="4648" spans="1:17" ht="13.5" customHeight="1" x14ac:dyDescent="0.3">
      <c r="A4648"/>
      <c r="B4648" s="241"/>
      <c r="C4648" s="241"/>
      <c r="D4648" s="241"/>
      <c r="E4648" s="241"/>
      <c r="F4648" s="241"/>
      <c r="G4648" s="241"/>
      <c r="H4648" s="241"/>
      <c r="I4648"/>
      <c r="J4648" s="241"/>
      <c r="K4648" s="241"/>
      <c r="L4648" s="241"/>
      <c r="M4648" s="241"/>
      <c r="N4648" s="241"/>
      <c r="O4648" s="241"/>
      <c r="P4648" s="241"/>
      <c r="Q4648" s="241"/>
    </row>
    <row r="4649" spans="1:17" ht="13.5" customHeight="1" x14ac:dyDescent="0.3">
      <c r="A4649"/>
      <c r="B4649" s="241"/>
      <c r="C4649" s="241"/>
      <c r="D4649" s="241"/>
      <c r="E4649" s="241"/>
      <c r="F4649" s="241"/>
      <c r="G4649" s="241"/>
      <c r="H4649" s="241"/>
      <c r="I4649"/>
      <c r="J4649" s="241"/>
      <c r="K4649" s="241"/>
      <c r="L4649" s="241"/>
      <c r="M4649" s="241"/>
      <c r="N4649" s="241"/>
      <c r="O4649" s="241"/>
      <c r="P4649" s="241"/>
      <c r="Q4649" s="241"/>
    </row>
    <row r="4650" spans="1:17" ht="13.5" customHeight="1" x14ac:dyDescent="0.3">
      <c r="A4650"/>
      <c r="B4650" s="241"/>
      <c r="C4650" s="241"/>
      <c r="D4650" s="241"/>
      <c r="E4650" s="241"/>
      <c r="F4650" s="241"/>
      <c r="G4650" s="241"/>
      <c r="H4650" s="241"/>
      <c r="I4650"/>
      <c r="J4650" s="241"/>
      <c r="K4650" s="241"/>
      <c r="L4650" s="241"/>
      <c r="M4650" s="241"/>
      <c r="N4650" s="241"/>
      <c r="O4650" s="241"/>
      <c r="P4650" s="241"/>
      <c r="Q4650" s="241"/>
    </row>
    <row r="4651" spans="1:17" ht="13.5" customHeight="1" x14ac:dyDescent="0.3">
      <c r="A4651"/>
      <c r="B4651" s="241"/>
      <c r="C4651" s="241"/>
      <c r="D4651" s="241"/>
      <c r="E4651" s="241"/>
      <c r="F4651" s="241"/>
      <c r="G4651" s="241"/>
      <c r="H4651" s="241"/>
      <c r="I4651"/>
      <c r="J4651" s="241"/>
      <c r="K4651" s="241"/>
      <c r="L4651" s="241"/>
      <c r="M4651" s="241"/>
      <c r="N4651" s="241"/>
      <c r="O4651" s="241"/>
      <c r="P4651" s="241"/>
      <c r="Q4651" s="241"/>
    </row>
    <row r="4652" spans="1:17" ht="13.5" customHeight="1" x14ac:dyDescent="0.3">
      <c r="A4652"/>
      <c r="B4652" s="241"/>
      <c r="C4652" s="241"/>
      <c r="D4652" s="241"/>
      <c r="E4652" s="241"/>
      <c r="F4652" s="241"/>
      <c r="G4652" s="241"/>
      <c r="H4652" s="241"/>
      <c r="I4652"/>
      <c r="J4652" s="241"/>
      <c r="K4652" s="241"/>
      <c r="L4652" s="241"/>
      <c r="M4652" s="241"/>
      <c r="N4652" s="241"/>
      <c r="O4652" s="241"/>
      <c r="P4652" s="241"/>
      <c r="Q4652" s="241"/>
    </row>
    <row r="4653" spans="1:17" ht="13.5" customHeight="1" x14ac:dyDescent="0.3">
      <c r="A4653"/>
      <c r="B4653" s="241"/>
      <c r="C4653" s="241"/>
      <c r="D4653" s="241"/>
      <c r="E4653" s="241"/>
      <c r="F4653" s="241"/>
      <c r="G4653" s="241"/>
      <c r="H4653" s="241"/>
      <c r="I4653"/>
      <c r="J4653" s="241"/>
      <c r="K4653" s="241"/>
      <c r="L4653" s="241"/>
      <c r="M4653" s="241"/>
      <c r="N4653" s="241"/>
      <c r="O4653" s="241"/>
      <c r="P4653" s="241"/>
      <c r="Q4653" s="241"/>
    </row>
    <row r="4654" spans="1:17" ht="13.5" customHeight="1" x14ac:dyDescent="0.3">
      <c r="A4654"/>
      <c r="B4654" s="241"/>
      <c r="C4654" s="241"/>
      <c r="D4654" s="241"/>
      <c r="E4654" s="241"/>
      <c r="F4654" s="241"/>
      <c r="G4654" s="241"/>
      <c r="H4654" s="241"/>
      <c r="I4654"/>
      <c r="J4654" s="241"/>
      <c r="K4654" s="241"/>
      <c r="L4654" s="241"/>
      <c r="M4654" s="241"/>
      <c r="N4654" s="241"/>
      <c r="O4654" s="241"/>
      <c r="P4654" s="241"/>
      <c r="Q4654" s="241"/>
    </row>
    <row r="4655" spans="1:17" ht="13.5" customHeight="1" x14ac:dyDescent="0.3">
      <c r="A4655"/>
      <c r="B4655" s="241"/>
      <c r="C4655" s="241"/>
      <c r="D4655" s="241"/>
      <c r="E4655" s="241"/>
      <c r="F4655" s="241"/>
      <c r="G4655" s="241"/>
      <c r="H4655" s="241"/>
      <c r="I4655"/>
      <c r="J4655" s="241"/>
      <c r="K4655" s="241"/>
      <c r="L4655" s="241"/>
      <c r="M4655" s="241"/>
      <c r="N4655" s="241"/>
      <c r="O4655" s="241"/>
      <c r="P4655" s="241"/>
      <c r="Q4655" s="241"/>
    </row>
    <row r="4656" spans="1:17" ht="13.5" customHeight="1" x14ac:dyDescent="0.3">
      <c r="A4656"/>
      <c r="B4656" s="241"/>
      <c r="C4656" s="241"/>
      <c r="D4656" s="241"/>
      <c r="E4656" s="241"/>
      <c r="F4656" s="241"/>
      <c r="G4656" s="241"/>
      <c r="H4656" s="241"/>
      <c r="I4656"/>
      <c r="J4656" s="241"/>
      <c r="K4656" s="241"/>
      <c r="L4656" s="241"/>
      <c r="M4656" s="241"/>
      <c r="N4656" s="241"/>
      <c r="O4656" s="241"/>
      <c r="P4656" s="241"/>
      <c r="Q4656" s="241"/>
    </row>
    <row r="4657" spans="1:17" ht="13.5" customHeight="1" x14ac:dyDescent="0.3">
      <c r="A4657"/>
      <c r="B4657" s="241"/>
      <c r="C4657" s="241"/>
      <c r="D4657" s="241"/>
      <c r="E4657" s="241"/>
      <c r="F4657" s="241"/>
      <c r="G4657" s="241"/>
      <c r="H4657" s="241"/>
      <c r="I4657"/>
      <c r="J4657" s="241"/>
      <c r="K4657" s="241"/>
      <c r="L4657" s="241"/>
      <c r="M4657" s="241"/>
      <c r="N4657" s="241"/>
      <c r="O4657" s="241"/>
      <c r="P4657" s="241"/>
      <c r="Q4657" s="241"/>
    </row>
    <row r="4658" spans="1:17" ht="13.5" customHeight="1" x14ac:dyDescent="0.3">
      <c r="A4658"/>
      <c r="B4658" s="241"/>
      <c r="C4658" s="241"/>
      <c r="D4658" s="241"/>
      <c r="E4658" s="241"/>
      <c r="F4658" s="241"/>
      <c r="G4658" s="241"/>
      <c r="H4658" s="241"/>
      <c r="I4658"/>
      <c r="J4658" s="241"/>
      <c r="K4658" s="241"/>
      <c r="L4658" s="241"/>
      <c r="M4658" s="241"/>
      <c r="N4658" s="241"/>
      <c r="O4658" s="241"/>
      <c r="P4658" s="241"/>
      <c r="Q4658" s="241"/>
    </row>
    <row r="4659" spans="1:17" ht="13.5" customHeight="1" x14ac:dyDescent="0.3">
      <c r="A4659"/>
      <c r="B4659" s="241"/>
      <c r="C4659" s="241"/>
      <c r="D4659" s="241"/>
      <c r="E4659" s="241"/>
      <c r="F4659" s="241"/>
      <c r="G4659" s="241"/>
      <c r="H4659" s="241"/>
      <c r="I4659"/>
      <c r="J4659" s="241"/>
      <c r="K4659" s="241"/>
      <c r="L4659" s="241"/>
      <c r="M4659" s="241"/>
      <c r="N4659" s="241"/>
      <c r="O4659" s="241"/>
      <c r="P4659" s="241"/>
      <c r="Q4659" s="241"/>
    </row>
    <row r="4660" spans="1:17" ht="13.5" customHeight="1" x14ac:dyDescent="0.3">
      <c r="A4660"/>
      <c r="B4660" s="241"/>
      <c r="C4660" s="241"/>
      <c r="D4660" s="241"/>
      <c r="E4660" s="241"/>
      <c r="F4660" s="241"/>
      <c r="G4660" s="241"/>
      <c r="H4660" s="241"/>
      <c r="I4660"/>
      <c r="J4660" s="241"/>
      <c r="K4660" s="241"/>
      <c r="L4660" s="241"/>
      <c r="M4660" s="241"/>
      <c r="N4660" s="241"/>
      <c r="O4660" s="241"/>
      <c r="P4660" s="241"/>
      <c r="Q4660" s="241"/>
    </row>
    <row r="4661" spans="1:17" ht="13.5" customHeight="1" x14ac:dyDescent="0.3">
      <c r="A4661"/>
      <c r="B4661" s="241"/>
      <c r="C4661" s="241"/>
      <c r="D4661" s="241"/>
      <c r="E4661" s="241"/>
      <c r="F4661" s="241"/>
      <c r="G4661" s="241"/>
      <c r="H4661" s="241"/>
      <c r="I4661"/>
      <c r="J4661" s="241"/>
      <c r="K4661" s="241"/>
      <c r="L4661" s="241"/>
      <c r="M4661" s="241"/>
      <c r="N4661" s="241"/>
      <c r="O4661" s="241"/>
      <c r="P4661" s="241"/>
      <c r="Q4661" s="241"/>
    </row>
    <row r="4662" spans="1:17" ht="13.5" customHeight="1" x14ac:dyDescent="0.3">
      <c r="A4662"/>
      <c r="B4662" s="241"/>
      <c r="C4662" s="241"/>
      <c r="D4662" s="241"/>
      <c r="E4662" s="241"/>
      <c r="F4662" s="241"/>
      <c r="G4662" s="241"/>
      <c r="H4662" s="241"/>
      <c r="I4662"/>
      <c r="J4662" s="241"/>
      <c r="K4662" s="241"/>
      <c r="L4662" s="241"/>
      <c r="M4662" s="241"/>
      <c r="N4662" s="241"/>
      <c r="O4662" s="241"/>
      <c r="P4662" s="241"/>
      <c r="Q4662" s="241"/>
    </row>
    <row r="4663" spans="1:17" ht="13.5" customHeight="1" x14ac:dyDescent="0.3">
      <c r="A4663"/>
      <c r="B4663" s="241"/>
      <c r="C4663" s="241"/>
      <c r="D4663" s="241"/>
      <c r="E4663" s="241"/>
      <c r="F4663" s="241"/>
      <c r="G4663" s="241"/>
      <c r="H4663" s="241"/>
      <c r="I4663"/>
      <c r="J4663" s="241"/>
      <c r="K4663" s="241"/>
      <c r="L4663" s="241"/>
      <c r="M4663" s="241"/>
      <c r="N4663" s="241"/>
      <c r="O4663" s="241"/>
      <c r="P4663" s="241"/>
      <c r="Q4663" s="241"/>
    </row>
    <row r="4664" spans="1:17" ht="13.5" customHeight="1" x14ac:dyDescent="0.3">
      <c r="A4664"/>
      <c r="B4664" s="241"/>
      <c r="C4664" s="241"/>
      <c r="D4664" s="241"/>
      <c r="E4664" s="241"/>
      <c r="F4664" s="241"/>
      <c r="G4664" s="241"/>
      <c r="H4664" s="241"/>
      <c r="I4664"/>
      <c r="J4664" s="241"/>
      <c r="K4664" s="241"/>
      <c r="L4664" s="241"/>
      <c r="M4664" s="241"/>
      <c r="N4664" s="241"/>
      <c r="O4664" s="241"/>
      <c r="P4664" s="241"/>
      <c r="Q4664" s="241"/>
    </row>
    <row r="4665" spans="1:17" ht="13.5" customHeight="1" x14ac:dyDescent="0.3">
      <c r="A4665"/>
      <c r="B4665" s="241"/>
      <c r="C4665" s="241"/>
      <c r="D4665" s="241"/>
      <c r="E4665" s="241"/>
      <c r="F4665" s="241"/>
      <c r="G4665" s="241"/>
      <c r="H4665" s="241"/>
      <c r="I4665"/>
      <c r="J4665" s="241"/>
      <c r="K4665" s="241"/>
      <c r="L4665" s="241"/>
      <c r="M4665" s="241"/>
      <c r="N4665" s="241"/>
      <c r="O4665" s="241"/>
      <c r="P4665" s="241"/>
      <c r="Q4665" s="241"/>
    </row>
    <row r="4666" spans="1:17" ht="13.5" customHeight="1" x14ac:dyDescent="0.3">
      <c r="A4666"/>
      <c r="B4666" s="241"/>
      <c r="C4666" s="241"/>
      <c r="D4666" s="241"/>
      <c r="E4666" s="241"/>
      <c r="F4666" s="241"/>
      <c r="G4666" s="241"/>
      <c r="H4666" s="241"/>
      <c r="I4666"/>
      <c r="J4666" s="241"/>
      <c r="K4666" s="241"/>
      <c r="L4666" s="241"/>
      <c r="M4666" s="241"/>
      <c r="N4666" s="241"/>
      <c r="O4666" s="241"/>
      <c r="P4666" s="241"/>
      <c r="Q4666" s="241"/>
    </row>
    <row r="4667" spans="1:17" ht="13.5" customHeight="1" x14ac:dyDescent="0.3">
      <c r="A4667"/>
      <c r="B4667" s="241"/>
      <c r="C4667" s="241"/>
      <c r="D4667" s="241"/>
      <c r="E4667" s="241"/>
      <c r="F4667" s="241"/>
      <c r="G4667" s="241"/>
      <c r="H4667" s="241"/>
      <c r="I4667"/>
      <c r="J4667" s="241"/>
      <c r="K4667" s="241"/>
      <c r="L4667" s="241"/>
      <c r="M4667" s="241"/>
      <c r="N4667" s="241"/>
      <c r="O4667" s="241"/>
      <c r="P4667" s="241"/>
      <c r="Q4667" s="241"/>
    </row>
    <row r="4668" spans="1:17" ht="13.5" customHeight="1" x14ac:dyDescent="0.3">
      <c r="A4668"/>
      <c r="B4668" s="241"/>
      <c r="C4668" s="241"/>
      <c r="D4668" s="241"/>
      <c r="E4668" s="241"/>
      <c r="F4668" s="241"/>
      <c r="G4668" s="241"/>
      <c r="H4668" s="241"/>
      <c r="I4668"/>
      <c r="J4668" s="241"/>
      <c r="K4668" s="241"/>
      <c r="L4668" s="241"/>
      <c r="M4668" s="241"/>
      <c r="N4668" s="241"/>
      <c r="O4668" s="241"/>
      <c r="P4668" s="241"/>
      <c r="Q4668" s="241"/>
    </row>
    <row r="4669" spans="1:17" ht="13.5" customHeight="1" x14ac:dyDescent="0.3">
      <c r="A4669"/>
      <c r="B4669" s="241"/>
      <c r="C4669" s="241"/>
      <c r="D4669" s="241"/>
      <c r="E4669" s="241"/>
      <c r="F4669" s="241"/>
      <c r="G4669" s="241"/>
      <c r="H4669" s="241"/>
      <c r="I4669"/>
      <c r="J4669" s="241"/>
      <c r="K4669" s="241"/>
      <c r="L4669" s="241"/>
      <c r="M4669" s="241"/>
      <c r="N4669" s="241"/>
      <c r="O4669" s="241"/>
      <c r="P4669" s="241"/>
      <c r="Q4669" s="241"/>
    </row>
    <row r="4670" spans="1:17" ht="13.5" customHeight="1" x14ac:dyDescent="0.3">
      <c r="A4670"/>
      <c r="B4670" s="241"/>
      <c r="C4670" s="241"/>
      <c r="D4670" s="241"/>
      <c r="E4670" s="241"/>
      <c r="F4670" s="241"/>
      <c r="G4670" s="241"/>
      <c r="H4670" s="241"/>
      <c r="I4670"/>
      <c r="J4670" s="241"/>
      <c r="K4670" s="241"/>
      <c r="L4670" s="241"/>
      <c r="M4670" s="241"/>
      <c r="N4670" s="241"/>
      <c r="O4670" s="241"/>
      <c r="P4670" s="241"/>
      <c r="Q4670" s="241"/>
    </row>
    <row r="4671" spans="1:17" ht="13.5" customHeight="1" x14ac:dyDescent="0.3">
      <c r="A4671"/>
      <c r="B4671" s="241"/>
      <c r="C4671" s="241"/>
      <c r="D4671" s="241"/>
      <c r="E4671" s="241"/>
      <c r="F4671" s="241"/>
      <c r="G4671" s="241"/>
      <c r="H4671" s="241"/>
      <c r="I4671"/>
      <c r="J4671" s="241"/>
      <c r="K4671" s="241"/>
      <c r="L4671" s="241"/>
      <c r="M4671" s="241"/>
      <c r="N4671" s="241"/>
      <c r="O4671" s="241"/>
      <c r="P4671" s="241"/>
      <c r="Q4671" s="241"/>
    </row>
    <row r="4672" spans="1:17" ht="13.5" customHeight="1" x14ac:dyDescent="0.3">
      <c r="A4672"/>
      <c r="B4672" s="241"/>
      <c r="C4672" s="241"/>
      <c r="D4672" s="241"/>
      <c r="E4672" s="241"/>
      <c r="F4672" s="241"/>
      <c r="G4672" s="241"/>
      <c r="H4672" s="241"/>
      <c r="I4672"/>
      <c r="J4672" s="241"/>
      <c r="K4672" s="241"/>
      <c r="L4672" s="241"/>
      <c r="M4672" s="241"/>
      <c r="N4672" s="241"/>
      <c r="O4672" s="241"/>
      <c r="P4672" s="241"/>
      <c r="Q4672" s="241"/>
    </row>
    <row r="4673" spans="1:17" ht="13.5" customHeight="1" x14ac:dyDescent="0.3">
      <c r="A4673"/>
      <c r="B4673" s="241"/>
      <c r="C4673" s="241"/>
      <c r="D4673" s="241"/>
      <c r="E4673" s="241"/>
      <c r="F4673" s="241"/>
      <c r="G4673" s="241"/>
      <c r="H4673" s="241"/>
      <c r="I4673"/>
      <c r="J4673" s="241"/>
      <c r="K4673" s="241"/>
      <c r="L4673" s="241"/>
      <c r="M4673" s="241"/>
      <c r="N4673" s="241"/>
      <c r="O4673" s="241"/>
      <c r="P4673" s="241"/>
      <c r="Q4673" s="241"/>
    </row>
    <row r="4674" spans="1:17" ht="13.5" customHeight="1" x14ac:dyDescent="0.3">
      <c r="A4674"/>
      <c r="B4674" s="241"/>
      <c r="C4674" s="241"/>
      <c r="D4674" s="241"/>
      <c r="E4674" s="241"/>
      <c r="F4674" s="241"/>
      <c r="G4674" s="241"/>
      <c r="H4674" s="241"/>
      <c r="I4674"/>
      <c r="J4674" s="241"/>
      <c r="K4674" s="241"/>
      <c r="L4674" s="241"/>
      <c r="M4674" s="241"/>
      <c r="N4674" s="241"/>
      <c r="O4674" s="241"/>
      <c r="P4674" s="241"/>
      <c r="Q4674" s="241"/>
    </row>
    <row r="4675" spans="1:17" ht="13.5" customHeight="1" x14ac:dyDescent="0.3">
      <c r="A4675"/>
      <c r="B4675" s="241"/>
      <c r="C4675" s="241"/>
      <c r="D4675" s="241"/>
      <c r="E4675" s="241"/>
      <c r="F4675" s="241"/>
      <c r="G4675" s="241"/>
      <c r="H4675" s="241"/>
      <c r="I4675"/>
      <c r="J4675" s="241"/>
      <c r="K4675" s="241"/>
      <c r="L4675" s="241"/>
      <c r="M4675" s="241"/>
      <c r="N4675" s="241"/>
      <c r="O4675" s="241"/>
      <c r="P4675" s="241"/>
      <c r="Q4675" s="241"/>
    </row>
    <row r="4676" spans="1:17" ht="13.5" customHeight="1" x14ac:dyDescent="0.3">
      <c r="A4676"/>
      <c r="B4676" s="241"/>
      <c r="C4676" s="241"/>
      <c r="D4676" s="241"/>
      <c r="E4676" s="241"/>
      <c r="F4676" s="241"/>
      <c r="G4676" s="241"/>
      <c r="H4676" s="241"/>
      <c r="I4676"/>
      <c r="J4676" s="241"/>
      <c r="K4676" s="241"/>
      <c r="L4676" s="241"/>
      <c r="M4676" s="241"/>
      <c r="N4676" s="241"/>
      <c r="O4676" s="241"/>
      <c r="P4676" s="241"/>
      <c r="Q4676" s="241"/>
    </row>
    <row r="4677" spans="1:17" ht="13.5" customHeight="1" x14ac:dyDescent="0.3">
      <c r="A4677"/>
      <c r="B4677" s="241"/>
      <c r="C4677" s="241"/>
      <c r="D4677" s="241"/>
      <c r="E4677" s="241"/>
      <c r="F4677" s="241"/>
      <c r="G4677" s="241"/>
      <c r="H4677" s="241"/>
      <c r="I4677"/>
      <c r="J4677" s="241"/>
      <c r="K4677" s="241"/>
      <c r="L4677" s="241"/>
      <c r="M4677" s="241"/>
      <c r="N4677" s="241"/>
      <c r="O4677" s="241"/>
      <c r="P4677" s="241"/>
      <c r="Q4677" s="241"/>
    </row>
    <row r="4678" spans="1:17" ht="13.5" customHeight="1" x14ac:dyDescent="0.3">
      <c r="A4678"/>
      <c r="B4678" s="241"/>
      <c r="C4678" s="241"/>
      <c r="D4678" s="241"/>
      <c r="E4678" s="241"/>
      <c r="F4678" s="241"/>
      <c r="G4678" s="241"/>
      <c r="H4678" s="241"/>
      <c r="I4678"/>
      <c r="J4678" s="241"/>
      <c r="K4678" s="241"/>
      <c r="L4678" s="241"/>
      <c r="M4678" s="241"/>
      <c r="N4678" s="241"/>
      <c r="O4678" s="241"/>
      <c r="P4678" s="241"/>
      <c r="Q4678" s="241"/>
    </row>
    <row r="4679" spans="1:17" ht="13.5" customHeight="1" x14ac:dyDescent="0.3">
      <c r="A4679"/>
      <c r="B4679" s="241"/>
      <c r="C4679" s="241"/>
      <c r="D4679" s="241"/>
      <c r="E4679" s="241"/>
      <c r="F4679" s="241"/>
      <c r="G4679" s="241"/>
      <c r="H4679" s="241"/>
      <c r="I4679"/>
      <c r="J4679" s="241"/>
      <c r="K4679" s="241"/>
      <c r="L4679" s="241"/>
      <c r="M4679" s="241"/>
      <c r="N4679" s="241"/>
      <c r="O4679" s="241"/>
      <c r="P4679" s="241"/>
      <c r="Q4679" s="241"/>
    </row>
    <row r="4680" spans="1:17" ht="13.5" customHeight="1" x14ac:dyDescent="0.3">
      <c r="A4680"/>
      <c r="B4680" s="241"/>
      <c r="C4680" s="241"/>
      <c r="D4680" s="241"/>
      <c r="E4680" s="241"/>
      <c r="F4680" s="241"/>
      <c r="G4680" s="241"/>
      <c r="H4680" s="241"/>
      <c r="I4680"/>
      <c r="J4680" s="241"/>
      <c r="K4680" s="241"/>
      <c r="L4680" s="241"/>
      <c r="M4680" s="241"/>
      <c r="N4680" s="241"/>
      <c r="O4680" s="241"/>
      <c r="P4680" s="241"/>
      <c r="Q4680" s="241"/>
    </row>
    <row r="4681" spans="1:17" ht="13.5" customHeight="1" x14ac:dyDescent="0.3">
      <c r="A4681"/>
      <c r="B4681" s="241"/>
      <c r="C4681" s="241"/>
      <c r="D4681" s="241"/>
      <c r="E4681" s="241"/>
      <c r="F4681" s="241"/>
      <c r="G4681" s="241"/>
      <c r="H4681" s="241"/>
      <c r="I4681"/>
      <c r="J4681" s="241"/>
      <c r="K4681" s="241"/>
      <c r="L4681" s="241"/>
      <c r="M4681" s="241"/>
      <c r="N4681" s="241"/>
      <c r="O4681" s="241"/>
      <c r="P4681" s="241"/>
      <c r="Q4681" s="241"/>
    </row>
    <row r="4682" spans="1:17" ht="13.5" customHeight="1" x14ac:dyDescent="0.3">
      <c r="A4682"/>
      <c r="B4682" s="241"/>
      <c r="C4682" s="241"/>
      <c r="D4682" s="241"/>
      <c r="E4682" s="241"/>
      <c r="F4682" s="241"/>
      <c r="G4682" s="241"/>
      <c r="H4682" s="241"/>
      <c r="I4682"/>
      <c r="J4682" s="241"/>
      <c r="K4682" s="241"/>
      <c r="L4682" s="241"/>
      <c r="M4682" s="241"/>
      <c r="N4682" s="241"/>
      <c r="O4682" s="241"/>
      <c r="P4682" s="241"/>
      <c r="Q4682" s="241"/>
    </row>
    <row r="4683" spans="1:17" ht="13.5" customHeight="1" x14ac:dyDescent="0.3">
      <c r="A4683"/>
      <c r="B4683" s="241"/>
      <c r="C4683" s="241"/>
      <c r="D4683" s="241"/>
      <c r="E4683" s="241"/>
      <c r="F4683" s="241"/>
      <c r="G4683" s="241"/>
      <c r="H4683" s="241"/>
      <c r="I4683"/>
      <c r="J4683" s="241"/>
      <c r="K4683" s="241"/>
      <c r="L4683" s="241"/>
      <c r="M4683" s="241"/>
      <c r="N4683" s="241"/>
      <c r="O4683" s="241"/>
      <c r="P4683" s="241"/>
      <c r="Q4683" s="241"/>
    </row>
    <row r="4684" spans="1:17" ht="13.5" customHeight="1" x14ac:dyDescent="0.3">
      <c r="A4684"/>
      <c r="B4684" s="241"/>
      <c r="C4684" s="241"/>
      <c r="D4684" s="241"/>
      <c r="E4684" s="241"/>
      <c r="F4684" s="241"/>
      <c r="G4684" s="241"/>
      <c r="H4684" s="241"/>
      <c r="I4684"/>
      <c r="J4684" s="241"/>
      <c r="K4684" s="241"/>
      <c r="L4684" s="241"/>
      <c r="M4684" s="241"/>
      <c r="N4684" s="241"/>
      <c r="O4684" s="241"/>
      <c r="P4684" s="241"/>
      <c r="Q4684" s="241"/>
    </row>
    <row r="4685" spans="1:17" ht="13.5" customHeight="1" x14ac:dyDescent="0.3">
      <c r="A4685"/>
      <c r="B4685" s="241"/>
      <c r="C4685" s="241"/>
      <c r="D4685" s="241"/>
      <c r="E4685" s="241"/>
      <c r="F4685" s="241"/>
      <c r="G4685" s="241"/>
      <c r="H4685" s="241"/>
      <c r="I4685"/>
      <c r="J4685" s="241"/>
      <c r="K4685" s="241"/>
      <c r="L4685" s="241"/>
      <c r="M4685" s="241"/>
      <c r="N4685" s="241"/>
      <c r="O4685" s="241"/>
      <c r="P4685" s="241"/>
      <c r="Q4685" s="241"/>
    </row>
    <row r="4686" spans="1:17" ht="13.5" customHeight="1" x14ac:dyDescent="0.3">
      <c r="A4686"/>
      <c r="B4686" s="241"/>
      <c r="C4686" s="241"/>
      <c r="D4686" s="241"/>
      <c r="E4686" s="241"/>
      <c r="F4686" s="241"/>
      <c r="G4686" s="241"/>
      <c r="H4686" s="241"/>
      <c r="I4686"/>
      <c r="J4686" s="241"/>
      <c r="K4686" s="241"/>
      <c r="L4686" s="241"/>
      <c r="M4686" s="241"/>
      <c r="N4686" s="241"/>
      <c r="O4686" s="241"/>
      <c r="P4686" s="241"/>
      <c r="Q4686" s="241"/>
    </row>
    <row r="4687" spans="1:17" ht="13.5" customHeight="1" x14ac:dyDescent="0.3">
      <c r="A4687"/>
      <c r="B4687" s="241"/>
      <c r="C4687" s="241"/>
      <c r="D4687" s="241"/>
      <c r="E4687" s="241"/>
      <c r="F4687" s="241"/>
      <c r="G4687" s="241"/>
      <c r="H4687" s="241"/>
      <c r="I4687"/>
      <c r="J4687" s="241"/>
      <c r="K4687" s="241"/>
      <c r="L4687" s="241"/>
      <c r="M4687" s="241"/>
      <c r="N4687" s="241"/>
      <c r="O4687" s="241"/>
      <c r="P4687" s="241"/>
      <c r="Q4687" s="241"/>
    </row>
    <row r="4688" spans="1:17" ht="13.5" customHeight="1" x14ac:dyDescent="0.3">
      <c r="A4688"/>
      <c r="B4688" s="241"/>
      <c r="C4688" s="241"/>
      <c r="D4688" s="241"/>
      <c r="E4688" s="241"/>
      <c r="F4688" s="241"/>
      <c r="G4688" s="241"/>
      <c r="H4688" s="241"/>
      <c r="I4688"/>
      <c r="J4688" s="241"/>
      <c r="K4688" s="241"/>
      <c r="L4688" s="241"/>
      <c r="M4688" s="241"/>
      <c r="N4688" s="241"/>
      <c r="O4688" s="241"/>
      <c r="P4688" s="241"/>
      <c r="Q4688" s="241"/>
    </row>
    <row r="4689" spans="1:17" ht="13.5" customHeight="1" x14ac:dyDescent="0.3">
      <c r="A4689"/>
      <c r="B4689" s="241"/>
      <c r="C4689" s="241"/>
      <c r="D4689" s="241"/>
      <c r="E4689" s="241"/>
      <c r="F4689" s="241"/>
      <c r="G4689" s="241"/>
      <c r="H4689" s="241"/>
      <c r="I4689"/>
      <c r="J4689" s="241"/>
      <c r="K4689" s="241"/>
      <c r="L4689" s="241"/>
      <c r="M4689" s="241"/>
      <c r="N4689" s="241"/>
      <c r="O4689" s="241"/>
      <c r="P4689" s="241"/>
      <c r="Q4689" s="241"/>
    </row>
    <row r="4690" spans="1:17" ht="13.5" customHeight="1" x14ac:dyDescent="0.3">
      <c r="A4690"/>
      <c r="B4690" s="241"/>
      <c r="C4690" s="241"/>
      <c r="D4690" s="241"/>
      <c r="E4690" s="241"/>
      <c r="F4690" s="241"/>
      <c r="G4690" s="241"/>
      <c r="H4690" s="241"/>
      <c r="I4690"/>
      <c r="J4690" s="241"/>
      <c r="K4690" s="241"/>
      <c r="L4690" s="241"/>
      <c r="M4690" s="241"/>
      <c r="N4690" s="241"/>
      <c r="O4690" s="241"/>
      <c r="P4690" s="241"/>
      <c r="Q4690" s="241"/>
    </row>
    <row r="4691" spans="1:17" ht="13.5" customHeight="1" x14ac:dyDescent="0.3">
      <c r="A4691"/>
      <c r="B4691" s="241"/>
      <c r="C4691" s="241"/>
      <c r="D4691" s="241"/>
      <c r="E4691" s="241"/>
      <c r="F4691" s="241"/>
      <c r="G4691" s="241"/>
      <c r="H4691" s="241"/>
      <c r="I4691"/>
      <c r="J4691" s="241"/>
      <c r="K4691" s="241"/>
      <c r="L4691" s="241"/>
      <c r="M4691" s="241"/>
      <c r="N4691" s="241"/>
      <c r="O4691" s="241"/>
      <c r="P4691" s="241"/>
      <c r="Q4691" s="241"/>
    </row>
    <row r="4692" spans="1:17" ht="13.5" customHeight="1" x14ac:dyDescent="0.3">
      <c r="A4692"/>
      <c r="B4692" s="241"/>
      <c r="C4692" s="241"/>
      <c r="D4692" s="241"/>
      <c r="E4692" s="241"/>
      <c r="F4692" s="241"/>
      <c r="G4692" s="241"/>
      <c r="H4692" s="241"/>
      <c r="I4692"/>
      <c r="J4692" s="241"/>
      <c r="K4692" s="241"/>
      <c r="L4692" s="241"/>
      <c r="M4692" s="241"/>
      <c r="N4692" s="241"/>
      <c r="O4692" s="241"/>
      <c r="P4692" s="241"/>
      <c r="Q4692" s="241"/>
    </row>
    <row r="4693" spans="1:17" ht="13.5" customHeight="1" x14ac:dyDescent="0.3">
      <c r="A4693"/>
      <c r="B4693" s="241"/>
      <c r="C4693" s="241"/>
      <c r="D4693" s="241"/>
      <c r="E4693" s="241"/>
      <c r="F4693" s="241"/>
      <c r="G4693" s="241"/>
      <c r="H4693" s="241"/>
      <c r="I4693"/>
      <c r="J4693" s="241"/>
      <c r="K4693" s="241"/>
      <c r="L4693" s="241"/>
      <c r="M4693" s="241"/>
      <c r="N4693" s="241"/>
      <c r="O4693" s="241"/>
      <c r="P4693" s="241"/>
      <c r="Q4693" s="241"/>
    </row>
    <row r="4694" spans="1:17" ht="13.5" customHeight="1" x14ac:dyDescent="0.3">
      <c r="A4694"/>
      <c r="B4694" s="241"/>
      <c r="C4694" s="241"/>
      <c r="D4694" s="241"/>
      <c r="E4694" s="241"/>
      <c r="F4694" s="241"/>
      <c r="G4694" s="241"/>
      <c r="H4694" s="241"/>
      <c r="I4694"/>
      <c r="J4694" s="241"/>
      <c r="K4694" s="241"/>
      <c r="L4694" s="241"/>
      <c r="M4694" s="241"/>
      <c r="N4694" s="241"/>
      <c r="O4694" s="241"/>
      <c r="P4694" s="241"/>
      <c r="Q4694" s="241"/>
    </row>
    <row r="4695" spans="1:17" ht="13.5" customHeight="1" x14ac:dyDescent="0.3">
      <c r="A4695"/>
      <c r="B4695" s="241"/>
      <c r="C4695" s="241"/>
      <c r="D4695" s="241"/>
      <c r="E4695" s="241"/>
      <c r="F4695" s="241"/>
      <c r="G4695" s="241"/>
      <c r="H4695" s="241"/>
      <c r="I4695"/>
      <c r="J4695" s="241"/>
      <c r="K4695" s="241"/>
      <c r="L4695" s="241"/>
      <c r="M4695" s="241"/>
      <c r="N4695" s="241"/>
      <c r="O4695" s="241"/>
      <c r="P4695" s="241"/>
      <c r="Q4695" s="241"/>
    </row>
    <row r="4696" spans="1:17" ht="13.5" customHeight="1" x14ac:dyDescent="0.3">
      <c r="A4696"/>
      <c r="B4696" s="241"/>
      <c r="C4696" s="241"/>
      <c r="D4696" s="241"/>
      <c r="E4696" s="241"/>
      <c r="F4696" s="241"/>
      <c r="G4696" s="241"/>
      <c r="H4696" s="241"/>
      <c r="I4696"/>
      <c r="J4696" s="241"/>
      <c r="K4696" s="241"/>
      <c r="L4696" s="241"/>
      <c r="M4696" s="241"/>
      <c r="N4696" s="241"/>
      <c r="O4696" s="241"/>
      <c r="P4696" s="241"/>
      <c r="Q4696" s="241"/>
    </row>
    <row r="4697" spans="1:17" ht="13.5" customHeight="1" x14ac:dyDescent="0.3">
      <c r="A4697"/>
      <c r="B4697" s="241"/>
      <c r="C4697" s="241"/>
      <c r="D4697" s="241"/>
      <c r="E4697" s="241"/>
      <c r="F4697" s="241"/>
      <c r="G4697" s="241"/>
      <c r="H4697" s="241"/>
      <c r="I4697"/>
      <c r="J4697" s="241"/>
      <c r="K4697" s="241"/>
      <c r="L4697" s="241"/>
      <c r="M4697" s="241"/>
      <c r="N4697" s="241"/>
      <c r="O4697" s="241"/>
      <c r="P4697" s="241"/>
      <c r="Q4697" s="241"/>
    </row>
    <row r="4698" spans="1:17" ht="13.5" customHeight="1" x14ac:dyDescent="0.3">
      <c r="A4698"/>
      <c r="B4698" s="241"/>
      <c r="C4698" s="241"/>
      <c r="D4698" s="241"/>
      <c r="E4698" s="241"/>
      <c r="F4698" s="241"/>
      <c r="G4698" s="241"/>
      <c r="H4698" s="241"/>
      <c r="I4698"/>
      <c r="J4698" s="241"/>
      <c r="K4698" s="241"/>
      <c r="L4698" s="241"/>
      <c r="M4698" s="241"/>
      <c r="N4698" s="241"/>
      <c r="O4698" s="241"/>
      <c r="P4698" s="241"/>
      <c r="Q4698" s="241"/>
    </row>
    <row r="4699" spans="1:17" ht="13.5" customHeight="1" x14ac:dyDescent="0.3">
      <c r="A4699"/>
      <c r="B4699" s="241"/>
      <c r="C4699" s="241"/>
      <c r="D4699" s="241"/>
      <c r="E4699" s="241"/>
      <c r="F4699" s="241"/>
      <c r="G4699" s="241"/>
      <c r="H4699" s="241"/>
      <c r="I4699"/>
      <c r="J4699" s="241"/>
      <c r="K4699" s="241"/>
      <c r="L4699" s="241"/>
      <c r="M4699" s="241"/>
      <c r="N4699" s="241"/>
      <c r="O4699" s="241"/>
      <c r="P4699" s="241"/>
      <c r="Q4699" s="241"/>
    </row>
    <row r="4700" spans="1:17" ht="13.5" customHeight="1" x14ac:dyDescent="0.3">
      <c r="A4700"/>
      <c r="B4700" s="241"/>
      <c r="C4700" s="241"/>
      <c r="D4700" s="241"/>
      <c r="E4700" s="241"/>
      <c r="F4700" s="241"/>
      <c r="G4700" s="241"/>
      <c r="H4700" s="241"/>
      <c r="I4700"/>
      <c r="J4700" s="241"/>
      <c r="K4700" s="241"/>
      <c r="L4700" s="241"/>
      <c r="M4700" s="241"/>
      <c r="N4700" s="241"/>
      <c r="O4700" s="241"/>
      <c r="P4700" s="241"/>
      <c r="Q4700" s="241"/>
    </row>
    <row r="4701" spans="1:17" ht="13.5" customHeight="1" x14ac:dyDescent="0.3">
      <c r="A4701"/>
      <c r="B4701" s="241"/>
      <c r="C4701" s="241"/>
      <c r="D4701" s="241"/>
      <c r="E4701" s="241"/>
      <c r="F4701" s="241"/>
      <c r="G4701" s="241"/>
      <c r="H4701" s="241"/>
      <c r="I4701"/>
      <c r="J4701" s="241"/>
      <c r="K4701" s="241"/>
      <c r="L4701" s="241"/>
      <c r="M4701" s="241"/>
      <c r="N4701" s="241"/>
      <c r="O4701" s="241"/>
      <c r="P4701" s="241"/>
      <c r="Q4701" s="241"/>
    </row>
    <row r="4702" spans="1:17" ht="13.5" customHeight="1" x14ac:dyDescent="0.3">
      <c r="A4702"/>
      <c r="B4702" s="241"/>
      <c r="C4702" s="241"/>
      <c r="D4702" s="241"/>
      <c r="E4702" s="241"/>
      <c r="F4702" s="241"/>
      <c r="G4702" s="241"/>
      <c r="H4702" s="241"/>
      <c r="I4702"/>
      <c r="J4702" s="241"/>
      <c r="K4702" s="241"/>
      <c r="L4702" s="241"/>
      <c r="M4702" s="241"/>
      <c r="N4702" s="241"/>
      <c r="O4702" s="241"/>
      <c r="P4702" s="241"/>
      <c r="Q4702" s="241"/>
    </row>
    <row r="4703" spans="1:17" ht="13.5" customHeight="1" x14ac:dyDescent="0.3">
      <c r="A4703"/>
      <c r="B4703" s="241"/>
      <c r="C4703" s="241"/>
      <c r="D4703" s="241"/>
      <c r="E4703" s="241"/>
      <c r="F4703" s="241"/>
      <c r="G4703" s="241"/>
      <c r="H4703" s="241"/>
      <c r="I4703"/>
      <c r="J4703" s="241"/>
      <c r="K4703" s="241"/>
      <c r="L4703" s="241"/>
      <c r="M4703" s="241"/>
      <c r="N4703" s="241"/>
      <c r="O4703" s="241"/>
      <c r="P4703" s="241"/>
      <c r="Q4703" s="241"/>
    </row>
    <row r="4704" spans="1:17" ht="13.5" customHeight="1" x14ac:dyDescent="0.3">
      <c r="A4704"/>
      <c r="B4704" s="241"/>
      <c r="C4704" s="241"/>
      <c r="D4704" s="241"/>
      <c r="E4704" s="241"/>
      <c r="F4704" s="241"/>
      <c r="G4704" s="241"/>
      <c r="H4704" s="241"/>
      <c r="I4704"/>
      <c r="J4704" s="241"/>
      <c r="K4704" s="241"/>
      <c r="L4704" s="241"/>
      <c r="M4704" s="241"/>
      <c r="N4704" s="241"/>
      <c r="O4704" s="241"/>
      <c r="P4704" s="241"/>
      <c r="Q4704" s="241"/>
    </row>
    <row r="4705" spans="1:17" ht="13.5" customHeight="1" x14ac:dyDescent="0.3">
      <c r="A4705"/>
      <c r="B4705" s="241"/>
      <c r="C4705" s="241"/>
      <c r="D4705" s="241"/>
      <c r="E4705" s="241"/>
      <c r="F4705" s="241"/>
      <c r="G4705" s="241"/>
      <c r="H4705" s="241"/>
      <c r="I4705"/>
      <c r="J4705" s="241"/>
      <c r="K4705" s="241"/>
      <c r="L4705" s="241"/>
      <c r="M4705" s="241"/>
      <c r="N4705" s="241"/>
      <c r="O4705" s="241"/>
      <c r="P4705" s="241"/>
      <c r="Q4705" s="241"/>
    </row>
    <row r="4706" spans="1:17" ht="13.5" customHeight="1" x14ac:dyDescent="0.3">
      <c r="A4706"/>
      <c r="B4706" s="241"/>
      <c r="C4706" s="241"/>
      <c r="D4706" s="241"/>
      <c r="E4706" s="241"/>
      <c r="F4706" s="241"/>
      <c r="G4706" s="241"/>
      <c r="H4706" s="241"/>
      <c r="I4706"/>
      <c r="J4706" s="241"/>
      <c r="K4706" s="241"/>
      <c r="L4706" s="241"/>
      <c r="M4706" s="241"/>
      <c r="N4706" s="241"/>
      <c r="O4706" s="241"/>
      <c r="P4706" s="241"/>
      <c r="Q4706" s="241"/>
    </row>
    <row r="4707" spans="1:17" ht="13.5" customHeight="1" x14ac:dyDescent="0.3">
      <c r="A4707"/>
      <c r="B4707" s="241"/>
      <c r="C4707" s="241"/>
      <c r="D4707" s="241"/>
      <c r="E4707" s="241"/>
      <c r="F4707" s="241"/>
      <c r="G4707" s="241"/>
      <c r="H4707" s="241"/>
      <c r="I4707"/>
      <c r="J4707" s="241"/>
      <c r="K4707" s="241"/>
      <c r="L4707" s="241"/>
      <c r="M4707" s="241"/>
      <c r="N4707" s="241"/>
      <c r="O4707" s="241"/>
      <c r="P4707" s="241"/>
      <c r="Q4707" s="241"/>
    </row>
    <row r="4708" spans="1:17" ht="13.5" customHeight="1" x14ac:dyDescent="0.3">
      <c r="A4708"/>
      <c r="B4708" s="241"/>
      <c r="C4708" s="241"/>
      <c r="D4708" s="241"/>
      <c r="E4708" s="241"/>
      <c r="F4708" s="241"/>
      <c r="G4708" s="241"/>
      <c r="H4708" s="241"/>
      <c r="I4708"/>
      <c r="J4708" s="241"/>
      <c r="K4708" s="241"/>
      <c r="L4708" s="241"/>
      <c r="M4708" s="241"/>
      <c r="N4708" s="241"/>
      <c r="O4708" s="241"/>
      <c r="P4708" s="241"/>
      <c r="Q4708" s="241"/>
    </row>
    <row r="4709" spans="1:17" ht="13.5" customHeight="1" x14ac:dyDescent="0.3">
      <c r="A4709"/>
      <c r="B4709" s="241"/>
      <c r="C4709" s="241"/>
      <c r="D4709" s="241"/>
      <c r="E4709" s="241"/>
      <c r="F4709" s="241"/>
      <c r="G4709" s="241"/>
      <c r="H4709" s="241"/>
      <c r="I4709"/>
      <c r="J4709" s="241"/>
      <c r="K4709" s="241"/>
      <c r="L4709" s="241"/>
      <c r="M4709" s="241"/>
      <c r="N4709" s="241"/>
      <c r="O4709" s="241"/>
      <c r="P4709" s="241"/>
      <c r="Q4709" s="241"/>
    </row>
    <row r="4710" spans="1:17" ht="13.5" customHeight="1" x14ac:dyDescent="0.3">
      <c r="A4710"/>
      <c r="B4710" s="241"/>
      <c r="C4710" s="241"/>
      <c r="D4710" s="241"/>
      <c r="E4710" s="241"/>
      <c r="F4710" s="241"/>
      <c r="G4710" s="241"/>
      <c r="H4710" s="241"/>
      <c r="I4710"/>
      <c r="J4710" s="241"/>
      <c r="K4710" s="241"/>
      <c r="L4710" s="241"/>
      <c r="M4710" s="241"/>
      <c r="N4710" s="241"/>
      <c r="O4710" s="241"/>
      <c r="P4710" s="241"/>
      <c r="Q4710" s="241"/>
    </row>
    <row r="4711" spans="1:17" ht="13.5" customHeight="1" x14ac:dyDescent="0.3">
      <c r="A4711"/>
      <c r="B4711" s="241"/>
      <c r="C4711" s="241"/>
      <c r="D4711" s="241"/>
      <c r="E4711" s="241"/>
      <c r="F4711" s="241"/>
      <c r="G4711" s="241"/>
      <c r="H4711" s="241"/>
      <c r="I4711"/>
      <c r="J4711" s="241"/>
      <c r="K4711" s="241"/>
      <c r="L4711" s="241"/>
      <c r="M4711" s="241"/>
      <c r="N4711" s="241"/>
      <c r="O4711" s="241"/>
      <c r="P4711" s="241"/>
      <c r="Q4711" s="241"/>
    </row>
    <row r="4712" spans="1:17" ht="13.5" customHeight="1" x14ac:dyDescent="0.3">
      <c r="A4712"/>
      <c r="B4712" s="241"/>
      <c r="C4712" s="241"/>
      <c r="D4712" s="241"/>
      <c r="E4712" s="241"/>
      <c r="F4712" s="241"/>
      <c r="G4712" s="241"/>
      <c r="H4712" s="241"/>
      <c r="I4712"/>
      <c r="J4712" s="241"/>
      <c r="K4712" s="241"/>
      <c r="L4712" s="241"/>
      <c r="M4712" s="241"/>
      <c r="N4712" s="241"/>
      <c r="O4712" s="241"/>
      <c r="P4712" s="241"/>
      <c r="Q4712" s="241"/>
    </row>
    <row r="4713" spans="1:17" ht="13.5" customHeight="1" x14ac:dyDescent="0.3">
      <c r="A4713"/>
      <c r="B4713" s="241"/>
      <c r="C4713" s="241"/>
      <c r="D4713" s="241"/>
      <c r="E4713" s="241"/>
      <c r="F4713" s="241"/>
      <c r="G4713" s="241"/>
      <c r="H4713" s="241"/>
      <c r="I4713"/>
      <c r="J4713" s="241"/>
      <c r="K4713" s="241"/>
      <c r="L4713" s="241"/>
      <c r="M4713" s="241"/>
      <c r="N4713" s="241"/>
      <c r="O4713" s="241"/>
      <c r="P4713" s="241"/>
      <c r="Q4713" s="241"/>
    </row>
    <row r="4714" spans="1:17" ht="13.5" customHeight="1" x14ac:dyDescent="0.3">
      <c r="A4714"/>
      <c r="B4714" s="241"/>
      <c r="C4714" s="241"/>
      <c r="D4714" s="241"/>
      <c r="E4714" s="241"/>
      <c r="F4714" s="241"/>
      <c r="G4714" s="241"/>
      <c r="H4714" s="241"/>
      <c r="I4714"/>
      <c r="J4714" s="241"/>
      <c r="K4714" s="241"/>
      <c r="L4714" s="241"/>
      <c r="M4714" s="241"/>
      <c r="N4714" s="241"/>
      <c r="O4714" s="241"/>
      <c r="P4714" s="241"/>
      <c r="Q4714" s="241"/>
    </row>
    <row r="4715" spans="1:17" ht="13.5" customHeight="1" x14ac:dyDescent="0.3">
      <c r="A4715"/>
      <c r="B4715" s="241"/>
      <c r="C4715" s="241"/>
      <c r="D4715" s="241"/>
      <c r="E4715" s="241"/>
      <c r="F4715" s="241"/>
      <c r="G4715" s="241"/>
      <c r="H4715" s="241"/>
      <c r="I4715"/>
      <c r="J4715" s="241"/>
      <c r="K4715" s="241"/>
      <c r="L4715" s="241"/>
      <c r="M4715" s="241"/>
      <c r="N4715" s="241"/>
      <c r="O4715" s="241"/>
      <c r="P4715" s="241"/>
      <c r="Q4715" s="241"/>
    </row>
    <row r="4716" spans="1:17" ht="13.5" customHeight="1" x14ac:dyDescent="0.3">
      <c r="A4716"/>
      <c r="B4716" s="241"/>
      <c r="C4716" s="241"/>
      <c r="D4716" s="241"/>
      <c r="E4716" s="241"/>
      <c r="F4716" s="241"/>
      <c r="G4716" s="241"/>
      <c r="H4716" s="241"/>
      <c r="I4716"/>
      <c r="J4716" s="241"/>
      <c r="K4716" s="241"/>
      <c r="L4716" s="241"/>
      <c r="M4716" s="241"/>
      <c r="N4716" s="241"/>
      <c r="O4716" s="241"/>
      <c r="P4716" s="241"/>
      <c r="Q4716" s="241"/>
    </row>
    <row r="4717" spans="1:17" ht="13.5" customHeight="1" x14ac:dyDescent="0.3">
      <c r="A4717"/>
      <c r="B4717" s="241"/>
      <c r="C4717" s="241"/>
      <c r="D4717" s="241"/>
      <c r="E4717" s="241"/>
      <c r="F4717" s="241"/>
      <c r="G4717" s="241"/>
      <c r="H4717" s="241"/>
      <c r="I4717"/>
      <c r="J4717" s="241"/>
      <c r="K4717" s="241"/>
      <c r="L4717" s="241"/>
      <c r="M4717" s="241"/>
      <c r="N4717" s="241"/>
      <c r="O4717" s="241"/>
      <c r="P4717" s="241"/>
      <c r="Q4717" s="241"/>
    </row>
    <row r="4718" spans="1:17" ht="13.5" customHeight="1" x14ac:dyDescent="0.3">
      <c r="A4718"/>
      <c r="B4718" s="241"/>
      <c r="C4718" s="241"/>
      <c r="D4718" s="241"/>
      <c r="E4718" s="241"/>
      <c r="F4718" s="241"/>
      <c r="G4718" s="241"/>
      <c r="H4718" s="241"/>
      <c r="I4718"/>
      <c r="J4718" s="241"/>
      <c r="K4718" s="241"/>
      <c r="L4718" s="241"/>
      <c r="M4718" s="241"/>
      <c r="N4718" s="241"/>
      <c r="O4718" s="241"/>
      <c r="P4718" s="241"/>
      <c r="Q4718" s="241"/>
    </row>
    <row r="4719" spans="1:17" ht="13.5" customHeight="1" x14ac:dyDescent="0.3">
      <c r="A4719"/>
      <c r="B4719" s="241"/>
      <c r="C4719" s="241"/>
      <c r="D4719" s="241"/>
      <c r="E4719" s="241"/>
      <c r="F4719" s="241"/>
      <c r="G4719" s="241"/>
      <c r="H4719" s="241"/>
      <c r="I4719"/>
      <c r="J4719" s="241"/>
      <c r="K4719" s="241"/>
      <c r="L4719" s="241"/>
      <c r="M4719" s="241"/>
      <c r="N4719" s="241"/>
      <c r="O4719" s="241"/>
      <c r="P4719" s="241"/>
      <c r="Q4719" s="241"/>
    </row>
    <row r="4720" spans="1:17" ht="13.5" customHeight="1" x14ac:dyDescent="0.3">
      <c r="A4720"/>
      <c r="B4720" s="241"/>
      <c r="C4720" s="241"/>
      <c r="D4720" s="241"/>
      <c r="E4720" s="241"/>
      <c r="F4720" s="241"/>
      <c r="G4720" s="241"/>
      <c r="H4720" s="241"/>
      <c r="I4720"/>
      <c r="J4720" s="241"/>
      <c r="K4720" s="241"/>
      <c r="L4720" s="241"/>
      <c r="M4720" s="241"/>
      <c r="N4720" s="241"/>
      <c r="O4720" s="241"/>
      <c r="P4720" s="241"/>
      <c r="Q4720" s="241"/>
    </row>
    <row r="4721" spans="1:17" ht="13.5" customHeight="1" x14ac:dyDescent="0.3">
      <c r="A4721"/>
      <c r="B4721" s="241"/>
      <c r="C4721" s="241"/>
      <c r="D4721" s="241"/>
      <c r="E4721" s="241"/>
      <c r="F4721" s="241"/>
      <c r="G4721" s="241"/>
      <c r="H4721" s="241"/>
      <c r="I4721"/>
      <c r="J4721" s="241"/>
      <c r="K4721" s="241"/>
      <c r="L4721" s="241"/>
      <c r="M4721" s="241"/>
      <c r="N4721" s="241"/>
      <c r="O4721" s="241"/>
      <c r="P4721" s="241"/>
      <c r="Q4721" s="241"/>
    </row>
    <row r="4722" spans="1:17" ht="13.5" customHeight="1" x14ac:dyDescent="0.3">
      <c r="A4722"/>
      <c r="B4722" s="241"/>
      <c r="C4722" s="241"/>
      <c r="D4722" s="241"/>
      <c r="E4722" s="241"/>
      <c r="F4722" s="241"/>
      <c r="G4722" s="241"/>
      <c r="H4722" s="241"/>
      <c r="I4722"/>
      <c r="J4722" s="241"/>
      <c r="K4722" s="241"/>
      <c r="L4722" s="241"/>
      <c r="M4722" s="241"/>
      <c r="N4722" s="241"/>
      <c r="O4722" s="241"/>
      <c r="P4722" s="241"/>
      <c r="Q4722" s="241"/>
    </row>
    <row r="4723" spans="1:17" ht="13.5" customHeight="1" x14ac:dyDescent="0.3">
      <c r="A4723"/>
      <c r="B4723" s="241"/>
      <c r="C4723" s="241"/>
      <c r="D4723" s="241"/>
      <c r="E4723" s="241"/>
      <c r="F4723" s="241"/>
      <c r="G4723" s="241"/>
      <c r="H4723" s="241"/>
      <c r="I4723"/>
      <c r="J4723" s="241"/>
      <c r="K4723" s="241"/>
      <c r="L4723" s="241"/>
      <c r="M4723" s="241"/>
      <c r="N4723" s="241"/>
      <c r="O4723" s="241"/>
      <c r="P4723" s="241"/>
      <c r="Q4723" s="241"/>
    </row>
    <row r="4724" spans="1:17" ht="13.5" customHeight="1" x14ac:dyDescent="0.3">
      <c r="A4724"/>
      <c r="B4724" s="241"/>
      <c r="C4724" s="241"/>
      <c r="D4724" s="241"/>
      <c r="E4724" s="241"/>
      <c r="F4724" s="241"/>
      <c r="G4724" s="241"/>
      <c r="H4724" s="241"/>
      <c r="I4724"/>
      <c r="J4724" s="241"/>
      <c r="K4724" s="241"/>
      <c r="L4724" s="241"/>
      <c r="M4724" s="241"/>
      <c r="N4724" s="241"/>
      <c r="O4724" s="241"/>
      <c r="P4724" s="241"/>
      <c r="Q4724" s="241"/>
    </row>
    <row r="4725" spans="1:17" ht="13.5" customHeight="1" x14ac:dyDescent="0.3">
      <c r="A4725"/>
      <c r="B4725" s="241"/>
      <c r="C4725" s="241"/>
      <c r="D4725" s="241"/>
      <c r="E4725" s="241"/>
      <c r="F4725" s="241"/>
      <c r="G4725" s="241"/>
      <c r="H4725" s="241"/>
      <c r="I4725"/>
      <c r="J4725" s="241"/>
      <c r="K4725" s="241"/>
      <c r="L4725" s="241"/>
      <c r="M4725" s="241"/>
      <c r="N4725" s="241"/>
      <c r="O4725" s="241"/>
      <c r="P4725" s="241"/>
      <c r="Q4725" s="241"/>
    </row>
    <row r="4726" spans="1:17" ht="13.5" customHeight="1" x14ac:dyDescent="0.3">
      <c r="A4726"/>
      <c r="B4726" s="241"/>
      <c r="C4726" s="241"/>
      <c r="D4726" s="241"/>
      <c r="E4726" s="241"/>
      <c r="F4726" s="241"/>
      <c r="G4726" s="241"/>
      <c r="H4726" s="241"/>
      <c r="I4726"/>
      <c r="J4726" s="241"/>
      <c r="K4726" s="241"/>
      <c r="L4726" s="241"/>
      <c r="M4726" s="241"/>
      <c r="N4726" s="241"/>
      <c r="O4726" s="241"/>
      <c r="P4726" s="241"/>
      <c r="Q4726" s="241"/>
    </row>
    <row r="4727" spans="1:17" ht="13.5" customHeight="1" x14ac:dyDescent="0.3">
      <c r="A4727"/>
      <c r="B4727" s="241"/>
      <c r="C4727" s="241"/>
      <c r="D4727" s="241"/>
      <c r="E4727" s="241"/>
      <c r="F4727" s="241"/>
      <c r="G4727" s="241"/>
      <c r="H4727" s="241"/>
      <c r="I4727"/>
      <c r="J4727" s="241"/>
      <c r="K4727" s="241"/>
      <c r="L4727" s="241"/>
      <c r="M4727" s="241"/>
      <c r="N4727" s="241"/>
      <c r="O4727" s="241"/>
      <c r="P4727" s="241"/>
      <c r="Q4727" s="241"/>
    </row>
    <row r="4728" spans="1:17" ht="13.5" customHeight="1" x14ac:dyDescent="0.3">
      <c r="A4728"/>
      <c r="B4728" s="241"/>
      <c r="C4728" s="241"/>
      <c r="D4728" s="241"/>
      <c r="E4728" s="241"/>
      <c r="F4728" s="241"/>
      <c r="G4728" s="241"/>
      <c r="H4728" s="241"/>
      <c r="I4728"/>
      <c r="J4728" s="241"/>
      <c r="K4728" s="241"/>
      <c r="L4728" s="241"/>
      <c r="M4728" s="241"/>
      <c r="N4728" s="241"/>
      <c r="O4728" s="241"/>
      <c r="P4728" s="241"/>
      <c r="Q4728" s="241"/>
    </row>
    <row r="4729" spans="1:17" ht="13.5" customHeight="1" x14ac:dyDescent="0.3">
      <c r="A4729"/>
      <c r="B4729" s="241"/>
      <c r="C4729" s="241"/>
      <c r="D4729" s="241"/>
      <c r="E4729" s="241"/>
      <c r="F4729" s="241"/>
      <c r="G4729" s="241"/>
      <c r="H4729" s="241"/>
      <c r="I4729"/>
      <c r="J4729" s="241"/>
      <c r="K4729" s="241"/>
      <c r="L4729" s="241"/>
      <c r="M4729" s="241"/>
      <c r="N4729" s="241"/>
      <c r="O4729" s="241"/>
      <c r="P4729" s="241"/>
      <c r="Q4729" s="241"/>
    </row>
    <row r="4730" spans="1:17" ht="13.5" customHeight="1" x14ac:dyDescent="0.3">
      <c r="A4730"/>
      <c r="B4730" s="241"/>
      <c r="C4730" s="241"/>
      <c r="D4730" s="241"/>
      <c r="E4730" s="241"/>
      <c r="F4730" s="241"/>
      <c r="G4730" s="241"/>
      <c r="H4730" s="241"/>
      <c r="I4730"/>
      <c r="J4730" s="241"/>
      <c r="K4730" s="241"/>
      <c r="L4730" s="241"/>
      <c r="M4730" s="241"/>
      <c r="N4730" s="241"/>
      <c r="O4730" s="241"/>
      <c r="P4730" s="241"/>
      <c r="Q4730" s="241"/>
    </row>
    <row r="4731" spans="1:17" ht="13.5" customHeight="1" x14ac:dyDescent="0.3">
      <c r="A4731"/>
      <c r="B4731" s="241"/>
      <c r="C4731" s="241"/>
      <c r="D4731" s="241"/>
      <c r="E4731" s="241"/>
      <c r="F4731" s="241"/>
      <c r="G4731" s="241"/>
      <c r="H4731" s="241"/>
      <c r="I4731"/>
      <c r="J4731" s="241"/>
      <c r="K4731" s="241"/>
      <c r="L4731" s="241"/>
      <c r="M4731" s="241"/>
      <c r="N4731" s="241"/>
      <c r="O4731" s="241"/>
      <c r="P4731" s="241"/>
      <c r="Q4731" s="241"/>
    </row>
    <row r="4732" spans="1:17" ht="13.5" customHeight="1" x14ac:dyDescent="0.3">
      <c r="A4732"/>
      <c r="B4732" s="241"/>
      <c r="C4732" s="241"/>
      <c r="D4732" s="241"/>
      <c r="E4732" s="241"/>
      <c r="F4732" s="241"/>
      <c r="G4732" s="241"/>
      <c r="H4732" s="241"/>
      <c r="I4732"/>
      <c r="J4732" s="241"/>
      <c r="K4732" s="241"/>
      <c r="L4732" s="241"/>
      <c r="M4732" s="241"/>
      <c r="N4732" s="241"/>
      <c r="O4732" s="241"/>
      <c r="P4732" s="241"/>
      <c r="Q4732" s="241"/>
    </row>
    <row r="4733" spans="1:17" ht="13.5" customHeight="1" x14ac:dyDescent="0.3">
      <c r="A4733"/>
      <c r="B4733" s="241"/>
      <c r="C4733" s="241"/>
      <c r="D4733" s="241"/>
      <c r="E4733" s="241"/>
      <c r="F4733" s="241"/>
      <c r="G4733" s="241"/>
      <c r="H4733" s="241"/>
      <c r="I4733"/>
      <c r="J4733" s="241"/>
      <c r="K4733" s="241"/>
      <c r="L4733" s="241"/>
      <c r="M4733" s="241"/>
      <c r="N4733" s="241"/>
      <c r="O4733" s="241"/>
      <c r="P4733" s="241"/>
      <c r="Q4733" s="241"/>
    </row>
    <row r="4734" spans="1:17" ht="13.5" customHeight="1" x14ac:dyDescent="0.3">
      <c r="A4734"/>
      <c r="B4734" s="241"/>
      <c r="C4734" s="241"/>
      <c r="D4734" s="241"/>
      <c r="E4734" s="241"/>
      <c r="F4734" s="241"/>
      <c r="G4734" s="241"/>
      <c r="H4734" s="241"/>
      <c r="I4734"/>
      <c r="J4734" s="241"/>
      <c r="K4734" s="241"/>
      <c r="L4734" s="241"/>
      <c r="M4734" s="241"/>
      <c r="N4734" s="241"/>
      <c r="O4734" s="241"/>
      <c r="P4734" s="241"/>
      <c r="Q4734" s="241"/>
    </row>
    <row r="4735" spans="1:17" ht="13.5" customHeight="1" x14ac:dyDescent="0.3">
      <c r="A4735"/>
      <c r="B4735" s="241"/>
      <c r="C4735" s="241"/>
      <c r="D4735" s="241"/>
      <c r="E4735" s="241"/>
      <c r="F4735" s="241"/>
      <c r="G4735" s="241"/>
      <c r="H4735" s="241"/>
      <c r="I4735"/>
      <c r="J4735" s="241"/>
      <c r="K4735" s="241"/>
      <c r="L4735" s="241"/>
      <c r="M4735" s="241"/>
      <c r="N4735" s="241"/>
      <c r="O4735" s="241"/>
      <c r="P4735" s="241"/>
      <c r="Q4735" s="241"/>
    </row>
    <row r="4736" spans="1:17" ht="13.5" customHeight="1" x14ac:dyDescent="0.3">
      <c r="A4736"/>
      <c r="B4736" s="241"/>
      <c r="C4736" s="241"/>
      <c r="D4736" s="241"/>
      <c r="E4736" s="241"/>
      <c r="F4736" s="241"/>
      <c r="G4736" s="241"/>
      <c r="H4736" s="241"/>
      <c r="I4736"/>
      <c r="J4736" s="241"/>
      <c r="K4736" s="241"/>
      <c r="L4736" s="241"/>
      <c r="M4736" s="241"/>
      <c r="N4736" s="241"/>
      <c r="O4736" s="241"/>
      <c r="P4736" s="241"/>
      <c r="Q4736" s="241"/>
    </row>
    <row r="4737" spans="1:17" ht="13.5" customHeight="1" x14ac:dyDescent="0.3">
      <c r="A4737"/>
      <c r="B4737" s="241"/>
      <c r="C4737" s="241"/>
      <c r="D4737" s="241"/>
      <c r="E4737" s="241"/>
      <c r="F4737" s="241"/>
      <c r="G4737" s="241"/>
      <c r="H4737" s="241"/>
      <c r="I4737"/>
      <c r="J4737" s="241"/>
      <c r="K4737" s="241"/>
      <c r="L4737" s="241"/>
      <c r="M4737" s="241"/>
      <c r="N4737" s="241"/>
      <c r="O4737" s="241"/>
      <c r="P4737" s="241"/>
      <c r="Q4737" s="241"/>
    </row>
    <row r="4738" spans="1:17" ht="13.5" customHeight="1" x14ac:dyDescent="0.3">
      <c r="A4738"/>
      <c r="B4738" s="241"/>
      <c r="C4738" s="241"/>
      <c r="D4738" s="241"/>
      <c r="E4738" s="241"/>
      <c r="F4738" s="241"/>
      <c r="G4738" s="241"/>
      <c r="H4738" s="241"/>
      <c r="I4738"/>
      <c r="J4738" s="241"/>
      <c r="K4738" s="241"/>
      <c r="L4738" s="241"/>
      <c r="M4738" s="241"/>
      <c r="N4738" s="241"/>
      <c r="O4738" s="241"/>
      <c r="P4738" s="241"/>
      <c r="Q4738" s="241"/>
    </row>
    <row r="4739" spans="1:17" ht="13.5" customHeight="1" x14ac:dyDescent="0.3">
      <c r="A4739"/>
      <c r="B4739" s="241"/>
      <c r="C4739" s="241"/>
      <c r="D4739" s="241"/>
      <c r="E4739" s="241"/>
      <c r="F4739" s="241"/>
      <c r="G4739" s="241"/>
      <c r="H4739" s="241"/>
      <c r="I4739"/>
      <c r="J4739" s="241"/>
      <c r="K4739" s="241"/>
      <c r="L4739" s="241"/>
      <c r="M4739" s="241"/>
      <c r="N4739" s="241"/>
      <c r="O4739" s="241"/>
      <c r="P4739" s="241"/>
      <c r="Q4739" s="241"/>
    </row>
    <row r="4740" spans="1:17" ht="13.5" customHeight="1" x14ac:dyDescent="0.3">
      <c r="A4740"/>
      <c r="B4740" s="241"/>
      <c r="C4740" s="241"/>
      <c r="D4740" s="241"/>
      <c r="E4740" s="241"/>
      <c r="F4740" s="241"/>
      <c r="G4740" s="241"/>
      <c r="H4740" s="241"/>
      <c r="I4740"/>
      <c r="J4740" s="241"/>
      <c r="K4740" s="241"/>
      <c r="L4740" s="241"/>
      <c r="M4740" s="241"/>
      <c r="N4740" s="241"/>
      <c r="O4740" s="241"/>
      <c r="P4740" s="241"/>
      <c r="Q4740" s="241"/>
    </row>
    <row r="4741" spans="1:17" ht="13.5" customHeight="1" x14ac:dyDescent="0.3">
      <c r="A4741"/>
      <c r="B4741" s="241"/>
      <c r="C4741" s="241"/>
      <c r="D4741" s="241"/>
      <c r="E4741" s="241"/>
      <c r="F4741" s="241"/>
      <c r="G4741" s="241"/>
      <c r="H4741" s="241"/>
      <c r="I4741"/>
      <c r="J4741" s="241"/>
      <c r="K4741" s="241"/>
      <c r="L4741" s="241"/>
      <c r="M4741" s="241"/>
      <c r="N4741" s="241"/>
      <c r="O4741" s="241"/>
      <c r="P4741" s="241"/>
      <c r="Q4741" s="241"/>
    </row>
    <row r="4742" spans="1:17" ht="13.5" customHeight="1" x14ac:dyDescent="0.3">
      <c r="A4742"/>
      <c r="B4742" s="241"/>
      <c r="C4742" s="241"/>
      <c r="D4742" s="241"/>
      <c r="E4742" s="241"/>
      <c r="F4742" s="241"/>
      <c r="G4742" s="241"/>
      <c r="H4742" s="241"/>
      <c r="I4742"/>
      <c r="J4742" s="241"/>
      <c r="K4742" s="241"/>
      <c r="L4742" s="241"/>
      <c r="M4742" s="241"/>
      <c r="N4742" s="241"/>
      <c r="O4742" s="241"/>
      <c r="P4742" s="241"/>
      <c r="Q4742" s="241"/>
    </row>
    <row r="4743" spans="1:17" ht="13.5" customHeight="1" x14ac:dyDescent="0.3">
      <c r="A4743"/>
      <c r="B4743" s="241"/>
      <c r="C4743" s="241"/>
      <c r="D4743" s="241"/>
      <c r="E4743" s="241"/>
      <c r="F4743" s="241"/>
      <c r="G4743" s="241"/>
      <c r="H4743" s="241"/>
      <c r="I4743"/>
      <c r="J4743" s="241"/>
      <c r="K4743" s="241"/>
      <c r="L4743" s="241"/>
      <c r="M4743" s="241"/>
      <c r="N4743" s="241"/>
      <c r="O4743" s="241"/>
      <c r="P4743" s="241"/>
      <c r="Q4743" s="241"/>
    </row>
    <row r="4744" spans="1:17" ht="13.5" customHeight="1" x14ac:dyDescent="0.3">
      <c r="A4744"/>
      <c r="B4744" s="241"/>
      <c r="C4744" s="241"/>
      <c r="D4744" s="241"/>
      <c r="E4744" s="241"/>
      <c r="F4744" s="241"/>
      <c r="G4744" s="241"/>
      <c r="H4744" s="241"/>
      <c r="I4744"/>
      <c r="J4744" s="241"/>
      <c r="K4744" s="241"/>
      <c r="L4744" s="241"/>
      <c r="M4744" s="241"/>
      <c r="N4744" s="241"/>
      <c r="O4744" s="241"/>
      <c r="P4744" s="241"/>
      <c r="Q4744" s="241"/>
    </row>
    <row r="4745" spans="1:17" ht="13.5" customHeight="1" x14ac:dyDescent="0.3">
      <c r="A4745"/>
      <c r="B4745" s="241"/>
      <c r="C4745" s="241"/>
      <c r="D4745" s="241"/>
      <c r="E4745" s="241"/>
      <c r="F4745" s="241"/>
      <c r="G4745" s="241"/>
      <c r="H4745" s="241"/>
      <c r="I4745"/>
      <c r="J4745" s="241"/>
      <c r="K4745" s="241"/>
      <c r="L4745" s="241"/>
      <c r="M4745" s="241"/>
      <c r="N4745" s="241"/>
      <c r="O4745" s="241"/>
      <c r="P4745" s="241"/>
      <c r="Q4745" s="241"/>
    </row>
    <row r="4746" spans="1:17" ht="13.5" customHeight="1" x14ac:dyDescent="0.3">
      <c r="A4746"/>
      <c r="B4746" s="241"/>
      <c r="C4746" s="241"/>
      <c r="D4746" s="241"/>
      <c r="E4746" s="241"/>
      <c r="F4746" s="241"/>
      <c r="G4746" s="241"/>
      <c r="H4746" s="241"/>
      <c r="I4746"/>
      <c r="J4746" s="241"/>
      <c r="K4746" s="241"/>
      <c r="L4746" s="241"/>
      <c r="M4746" s="241"/>
      <c r="N4746" s="241"/>
      <c r="O4746" s="241"/>
      <c r="P4746" s="241"/>
      <c r="Q4746" s="241"/>
    </row>
    <row r="4747" spans="1:17" ht="13.5" customHeight="1" x14ac:dyDescent="0.3">
      <c r="A4747"/>
      <c r="B4747" s="241"/>
      <c r="C4747" s="241"/>
      <c r="D4747" s="241"/>
      <c r="E4747" s="241"/>
      <c r="F4747" s="241"/>
      <c r="G4747" s="241"/>
      <c r="H4747" s="241"/>
      <c r="I4747"/>
      <c r="J4747" s="241"/>
      <c r="K4747" s="241"/>
      <c r="L4747" s="241"/>
      <c r="M4747" s="241"/>
      <c r="N4747" s="241"/>
      <c r="O4747" s="241"/>
      <c r="P4747" s="241"/>
      <c r="Q4747" s="241"/>
    </row>
    <row r="4748" spans="1:17" ht="13.5" customHeight="1" x14ac:dyDescent="0.3">
      <c r="A4748"/>
      <c r="B4748" s="241"/>
      <c r="C4748" s="241"/>
      <c r="D4748" s="241"/>
      <c r="E4748" s="241"/>
      <c r="F4748" s="241"/>
      <c r="G4748" s="241"/>
      <c r="H4748" s="241"/>
      <c r="I4748"/>
      <c r="J4748" s="241"/>
      <c r="K4748" s="241"/>
      <c r="L4748" s="241"/>
      <c r="M4748" s="241"/>
      <c r="N4748" s="241"/>
      <c r="O4748" s="241"/>
      <c r="P4748" s="241"/>
      <c r="Q4748" s="241"/>
    </row>
    <row r="4749" spans="1:17" ht="13.5" customHeight="1" x14ac:dyDescent="0.3">
      <c r="A4749"/>
      <c r="B4749" s="241"/>
      <c r="C4749" s="241"/>
      <c r="D4749" s="241"/>
      <c r="E4749" s="241"/>
      <c r="F4749" s="241"/>
      <c r="G4749" s="241"/>
      <c r="H4749" s="241"/>
      <c r="I4749"/>
      <c r="J4749" s="241"/>
      <c r="K4749" s="241"/>
      <c r="L4749" s="241"/>
      <c r="M4749" s="241"/>
      <c r="N4749" s="241"/>
      <c r="O4749" s="241"/>
      <c r="P4749" s="241"/>
      <c r="Q4749" s="241"/>
    </row>
    <row r="4750" spans="1:17" ht="13.5" customHeight="1" x14ac:dyDescent="0.3">
      <c r="A4750"/>
      <c r="B4750" s="241"/>
      <c r="C4750" s="241"/>
      <c r="D4750" s="241"/>
      <c r="E4750" s="241"/>
      <c r="F4750" s="241"/>
      <c r="G4750" s="241"/>
      <c r="H4750" s="241"/>
      <c r="I4750"/>
      <c r="J4750" s="241"/>
      <c r="K4750" s="241"/>
      <c r="L4750" s="241"/>
      <c r="M4750" s="241"/>
      <c r="N4750" s="241"/>
      <c r="O4750" s="241"/>
      <c r="P4750" s="241"/>
      <c r="Q4750" s="241"/>
    </row>
    <row r="4751" spans="1:17" ht="13.5" customHeight="1" x14ac:dyDescent="0.3">
      <c r="A4751"/>
      <c r="B4751" s="241"/>
      <c r="C4751" s="241"/>
      <c r="D4751" s="241"/>
      <c r="E4751" s="241"/>
      <c r="F4751" s="241"/>
      <c r="G4751" s="241"/>
      <c r="H4751" s="241"/>
      <c r="I4751"/>
      <c r="J4751" s="241"/>
      <c r="K4751" s="241"/>
      <c r="L4751" s="241"/>
      <c r="M4751" s="241"/>
      <c r="N4751" s="241"/>
      <c r="O4751" s="241"/>
      <c r="P4751" s="241"/>
      <c r="Q4751" s="241"/>
    </row>
    <row r="4752" spans="1:17" ht="13.5" customHeight="1" x14ac:dyDescent="0.3">
      <c r="A4752"/>
      <c r="B4752" s="241"/>
      <c r="C4752" s="241"/>
      <c r="D4752" s="241"/>
      <c r="E4752" s="241"/>
      <c r="F4752" s="241"/>
      <c r="G4752" s="241"/>
      <c r="H4752" s="241"/>
      <c r="I4752"/>
      <c r="J4752" s="241"/>
      <c r="K4752" s="241"/>
      <c r="L4752" s="241"/>
      <c r="M4752" s="241"/>
      <c r="N4752" s="241"/>
      <c r="O4752" s="241"/>
      <c r="P4752" s="241"/>
      <c r="Q4752" s="241"/>
    </row>
    <row r="4753" spans="1:17" ht="13.5" customHeight="1" x14ac:dyDescent="0.3">
      <c r="A4753"/>
      <c r="B4753" s="241"/>
      <c r="C4753" s="241"/>
      <c r="D4753" s="241"/>
      <c r="E4753" s="241"/>
      <c r="F4753" s="241"/>
      <c r="G4753" s="241"/>
      <c r="H4753" s="241"/>
      <c r="I4753"/>
      <c r="J4753" s="241"/>
      <c r="K4753" s="241"/>
      <c r="L4753" s="241"/>
      <c r="M4753" s="241"/>
      <c r="N4753" s="241"/>
      <c r="O4753" s="241"/>
      <c r="P4753" s="241"/>
      <c r="Q4753" s="241"/>
    </row>
    <row r="4754" spans="1:17" ht="13.5" customHeight="1" x14ac:dyDescent="0.3">
      <c r="A4754"/>
      <c r="B4754" s="241"/>
      <c r="C4754" s="241"/>
      <c r="D4754" s="241"/>
      <c r="E4754" s="241"/>
      <c r="F4754" s="241"/>
      <c r="G4754" s="241"/>
      <c r="H4754" s="241"/>
      <c r="I4754"/>
      <c r="J4754" s="241"/>
      <c r="K4754" s="241"/>
      <c r="L4754" s="241"/>
      <c r="M4754" s="241"/>
      <c r="N4754" s="241"/>
      <c r="O4754" s="241"/>
      <c r="P4754" s="241"/>
      <c r="Q4754" s="241"/>
    </row>
    <row r="4755" spans="1:17" ht="13.5" customHeight="1" x14ac:dyDescent="0.3">
      <c r="A4755"/>
      <c r="B4755" s="241"/>
      <c r="C4755" s="241"/>
      <c r="D4755" s="241"/>
      <c r="E4755" s="241"/>
      <c r="F4755" s="241"/>
      <c r="G4755" s="241"/>
      <c r="H4755" s="241"/>
      <c r="I4755"/>
      <c r="J4755" s="241"/>
      <c r="K4755" s="241"/>
      <c r="L4755" s="241"/>
      <c r="M4755" s="241"/>
      <c r="N4755" s="241"/>
      <c r="O4755" s="241"/>
      <c r="P4755" s="241"/>
      <c r="Q4755" s="241"/>
    </row>
  </sheetData>
  <autoFilter ref="A1:Q4755" xr:uid="{00000000-0009-0000-0000-000022000000}"/>
  <sortState xmlns:xlrd2="http://schemas.microsoft.com/office/spreadsheetml/2017/richdata2" ref="A2:E4755">
    <sortCondition ref="A2:A4755"/>
  </sortState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FBDD5-4CC6-4CA0-A288-1FD072FF21DA}">
  <dimension ref="A1:Z997"/>
  <sheetViews>
    <sheetView topLeftCell="G1" workbookViewId="0">
      <selection activeCell="K9" sqref="K2:K9"/>
    </sheetView>
  </sheetViews>
  <sheetFormatPr defaultColWidth="12.6328125" defaultRowHeight="15" customHeight="1" x14ac:dyDescent="0.25"/>
  <cols>
    <col min="1" max="6" width="11.453125" style="242" customWidth="1"/>
    <col min="7" max="7" width="17.36328125" style="242" customWidth="1"/>
    <col min="8" max="8" width="11.453125" style="242" customWidth="1"/>
    <col min="9" max="9" width="12.6328125" style="242" bestFit="1" customWidth="1"/>
    <col min="10" max="10" width="11.453125" style="242" customWidth="1"/>
    <col min="11" max="11" width="12.6328125" style="242" bestFit="1" customWidth="1"/>
    <col min="12" max="26" width="11.453125" style="242" customWidth="1"/>
    <col min="27" max="16384" width="12.6328125" style="242"/>
  </cols>
  <sheetData>
    <row r="1" spans="1:26" ht="13.5" customHeight="1" x14ac:dyDescent="0.25">
      <c r="A1" s="262" t="s">
        <v>1949</v>
      </c>
      <c r="B1" s="262" t="s">
        <v>2289</v>
      </c>
      <c r="C1" s="263" t="s">
        <v>1950</v>
      </c>
      <c r="D1" s="262" t="s">
        <v>2290</v>
      </c>
      <c r="E1" s="264" t="s">
        <v>1951</v>
      </c>
      <c r="F1" s="264" t="s">
        <v>2291</v>
      </c>
      <c r="G1" s="263" t="s">
        <v>1952</v>
      </c>
      <c r="H1" s="265" t="s">
        <v>1953</v>
      </c>
      <c r="I1" s="262" t="s">
        <v>1954</v>
      </c>
      <c r="J1" s="266" t="s">
        <v>1955</v>
      </c>
      <c r="K1" s="262" t="s">
        <v>1956</v>
      </c>
      <c r="L1" s="267" t="s">
        <v>1957</v>
      </c>
      <c r="M1" s="267" t="s">
        <v>1958</v>
      </c>
      <c r="N1" s="267" t="s">
        <v>2292</v>
      </c>
      <c r="O1" s="263" t="s">
        <v>1959</v>
      </c>
      <c r="P1" s="268" t="s">
        <v>2293</v>
      </c>
      <c r="Q1" s="269" t="s">
        <v>2294</v>
      </c>
      <c r="R1" s="264" t="s">
        <v>2295</v>
      </c>
      <c r="S1" s="269" t="s">
        <v>2296</v>
      </c>
      <c r="T1" s="269" t="s">
        <v>2297</v>
      </c>
      <c r="U1" s="264" t="s">
        <v>2298</v>
      </c>
      <c r="V1" s="264" t="s">
        <v>2299</v>
      </c>
      <c r="W1" s="269" t="s">
        <v>2300</v>
      </c>
      <c r="X1" s="269" t="s">
        <v>1961</v>
      </c>
      <c r="Y1" s="269" t="s">
        <v>2301</v>
      </c>
      <c r="Z1" s="269" t="s">
        <v>1960</v>
      </c>
    </row>
    <row r="2" spans="1:26" ht="13.5" customHeight="1" x14ac:dyDescent="0.3">
      <c r="A2" s="277" t="s">
        <v>1962</v>
      </c>
      <c r="B2" s="277" t="s">
        <v>797</v>
      </c>
      <c r="C2" s="278">
        <v>46077</v>
      </c>
      <c r="D2" s="279"/>
      <c r="E2" s="277" t="s">
        <v>2302</v>
      </c>
      <c r="F2" s="277" t="s">
        <v>1496</v>
      </c>
      <c r="G2" s="277" t="s">
        <v>3051</v>
      </c>
      <c r="H2" s="280" t="s">
        <v>688</v>
      </c>
      <c r="I2" s="291">
        <v>-124944.34</v>
      </c>
      <c r="J2" s="281">
        <v>1</v>
      </c>
      <c r="K2" s="291">
        <v>-124944.34</v>
      </c>
      <c r="L2" s="277" t="s">
        <v>2303</v>
      </c>
      <c r="M2" s="277" t="s">
        <v>2304</v>
      </c>
      <c r="N2" s="277" t="s">
        <v>438</v>
      </c>
      <c r="O2" s="277" t="s">
        <v>3052</v>
      </c>
      <c r="P2" s="277" t="s">
        <v>93</v>
      </c>
      <c r="Q2" s="277" t="s">
        <v>1923</v>
      </c>
      <c r="R2" s="277" t="s">
        <v>1993</v>
      </c>
      <c r="S2" s="277" t="s">
        <v>1923</v>
      </c>
      <c r="T2" s="282" t="s">
        <v>2302</v>
      </c>
      <c r="U2" s="282" t="s">
        <v>1496</v>
      </c>
      <c r="V2" s="283" t="s">
        <v>1496</v>
      </c>
      <c r="W2" s="282" t="s">
        <v>1496</v>
      </c>
      <c r="X2" s="282" t="s">
        <v>2305</v>
      </c>
      <c r="Y2" s="278">
        <v>45838</v>
      </c>
      <c r="Z2" s="282"/>
    </row>
    <row r="3" spans="1:26" ht="13.5" customHeight="1" x14ac:dyDescent="0.3">
      <c r="A3" s="270" t="s">
        <v>1962</v>
      </c>
      <c r="B3" s="271" t="s">
        <v>797</v>
      </c>
      <c r="C3" s="272">
        <v>46077</v>
      </c>
      <c r="D3" s="271"/>
      <c r="E3" s="270" t="s">
        <v>2302</v>
      </c>
      <c r="F3" s="270" t="s">
        <v>1496</v>
      </c>
      <c r="G3" s="271" t="s">
        <v>3053</v>
      </c>
      <c r="H3" s="273" t="s">
        <v>688</v>
      </c>
      <c r="I3" s="290">
        <v>639561.66</v>
      </c>
      <c r="J3" s="274">
        <v>1</v>
      </c>
      <c r="K3" s="290">
        <v>639561.66</v>
      </c>
      <c r="L3" s="270" t="s">
        <v>2303</v>
      </c>
      <c r="M3" s="270" t="s">
        <v>2304</v>
      </c>
      <c r="N3" s="271" t="s">
        <v>470</v>
      </c>
      <c r="O3" s="271" t="s">
        <v>3054</v>
      </c>
      <c r="P3" s="271" t="s">
        <v>93</v>
      </c>
      <c r="Q3" s="271" t="s">
        <v>1923</v>
      </c>
      <c r="R3" s="271" t="s">
        <v>1993</v>
      </c>
      <c r="S3" s="271" t="s">
        <v>1923</v>
      </c>
      <c r="T3" s="275" t="s">
        <v>2302</v>
      </c>
      <c r="U3" s="275" t="s">
        <v>1496</v>
      </c>
      <c r="V3" s="276" t="s">
        <v>1496</v>
      </c>
      <c r="W3" s="275" t="s">
        <v>1496</v>
      </c>
      <c r="X3" s="275" t="s">
        <v>2305</v>
      </c>
      <c r="Y3" s="272">
        <v>45808</v>
      </c>
      <c r="Z3" s="275"/>
    </row>
    <row r="4" spans="1:26" ht="13.5" customHeight="1" x14ac:dyDescent="0.3">
      <c r="A4" s="277" t="s">
        <v>1962</v>
      </c>
      <c r="B4" s="277" t="s">
        <v>3042</v>
      </c>
      <c r="C4" s="278">
        <v>46077</v>
      </c>
      <c r="D4" s="279"/>
      <c r="E4" s="277" t="s">
        <v>2302</v>
      </c>
      <c r="F4" s="277" t="s">
        <v>1496</v>
      </c>
      <c r="G4" s="277" t="s">
        <v>3051</v>
      </c>
      <c r="H4" s="280" t="s">
        <v>688</v>
      </c>
      <c r="I4" s="291">
        <v>806113.35</v>
      </c>
      <c r="J4" s="281">
        <v>1</v>
      </c>
      <c r="K4" s="291">
        <v>806113.35</v>
      </c>
      <c r="L4" s="277" t="s">
        <v>2303</v>
      </c>
      <c r="M4" s="277" t="s">
        <v>2304</v>
      </c>
      <c r="N4" s="277" t="s">
        <v>443</v>
      </c>
      <c r="O4" s="277" t="s">
        <v>3055</v>
      </c>
      <c r="P4" s="277" t="s">
        <v>93</v>
      </c>
      <c r="Q4" s="277" t="s">
        <v>1923</v>
      </c>
      <c r="R4" s="277" t="s">
        <v>1993</v>
      </c>
      <c r="S4" s="277" t="s">
        <v>1923</v>
      </c>
      <c r="T4" s="282" t="s">
        <v>2302</v>
      </c>
      <c r="U4" s="282" t="s">
        <v>1496</v>
      </c>
      <c r="V4" s="283" t="s">
        <v>1496</v>
      </c>
      <c r="W4" s="282" t="s">
        <v>1496</v>
      </c>
      <c r="X4" s="282" t="s">
        <v>2305</v>
      </c>
      <c r="Y4" s="278">
        <v>45838</v>
      </c>
      <c r="Z4" s="282"/>
    </row>
    <row r="5" spans="1:26" ht="13.5" customHeight="1" x14ac:dyDescent="0.3">
      <c r="A5" s="270" t="s">
        <v>1962</v>
      </c>
      <c r="B5" s="271" t="s">
        <v>833</v>
      </c>
      <c r="C5" s="272">
        <v>46077</v>
      </c>
      <c r="D5" s="271"/>
      <c r="E5" s="270" t="s">
        <v>2302</v>
      </c>
      <c r="F5" s="270" t="s">
        <v>1496</v>
      </c>
      <c r="G5" s="271" t="s">
        <v>3051</v>
      </c>
      <c r="H5" s="273" t="s">
        <v>688</v>
      </c>
      <c r="I5" s="290">
        <v>-191802.69</v>
      </c>
      <c r="J5" s="274">
        <v>1</v>
      </c>
      <c r="K5" s="290">
        <v>-191802.69</v>
      </c>
      <c r="L5" s="270" t="s">
        <v>2303</v>
      </c>
      <c r="M5" s="270" t="s">
        <v>2304</v>
      </c>
      <c r="N5" s="271" t="s">
        <v>440</v>
      </c>
      <c r="O5" s="271" t="s">
        <v>3056</v>
      </c>
      <c r="P5" s="271" t="s">
        <v>93</v>
      </c>
      <c r="Q5" s="271" t="s">
        <v>1923</v>
      </c>
      <c r="R5" s="271" t="s">
        <v>1993</v>
      </c>
      <c r="S5" s="271" t="s">
        <v>1923</v>
      </c>
      <c r="T5" s="275" t="s">
        <v>2302</v>
      </c>
      <c r="U5" s="275" t="s">
        <v>1496</v>
      </c>
      <c r="V5" s="276" t="s">
        <v>1496</v>
      </c>
      <c r="W5" s="275" t="s">
        <v>1496</v>
      </c>
      <c r="X5" s="275" t="s">
        <v>2305</v>
      </c>
      <c r="Y5" s="272">
        <v>45838</v>
      </c>
      <c r="Z5" s="275"/>
    </row>
    <row r="6" spans="1:26" ht="13.5" customHeight="1" x14ac:dyDescent="0.3">
      <c r="A6" s="277" t="s">
        <v>1962</v>
      </c>
      <c r="B6" s="277" t="s">
        <v>3041</v>
      </c>
      <c r="C6" s="278">
        <v>46077</v>
      </c>
      <c r="D6" s="279"/>
      <c r="E6" s="277" t="s">
        <v>2302</v>
      </c>
      <c r="F6" s="277" t="s">
        <v>1496</v>
      </c>
      <c r="G6" s="277" t="s">
        <v>3050</v>
      </c>
      <c r="H6" s="280" t="s">
        <v>688</v>
      </c>
      <c r="I6" s="291">
        <v>1520686.0800000001</v>
      </c>
      <c r="J6" s="281">
        <v>1</v>
      </c>
      <c r="K6" s="291">
        <v>1520686.0800000001</v>
      </c>
      <c r="L6" s="277" t="s">
        <v>2303</v>
      </c>
      <c r="M6" s="277" t="s">
        <v>2304</v>
      </c>
      <c r="N6" s="277" t="s">
        <v>441</v>
      </c>
      <c r="O6" s="277" t="s">
        <v>3057</v>
      </c>
      <c r="P6" s="277" t="s">
        <v>93</v>
      </c>
      <c r="Q6" s="277" t="s">
        <v>1923</v>
      </c>
      <c r="R6" s="277" t="s">
        <v>1993</v>
      </c>
      <c r="S6" s="277" t="s">
        <v>1923</v>
      </c>
      <c r="T6" s="282" t="s">
        <v>2302</v>
      </c>
      <c r="U6" s="282" t="s">
        <v>1496</v>
      </c>
      <c r="V6" s="283" t="s">
        <v>1496</v>
      </c>
      <c r="W6" s="282" t="s">
        <v>1496</v>
      </c>
      <c r="X6" s="282" t="s">
        <v>2305</v>
      </c>
      <c r="Y6" s="278">
        <v>45869</v>
      </c>
      <c r="Z6" s="282"/>
    </row>
    <row r="7" spans="1:26" ht="13.5" customHeight="1" x14ac:dyDescent="0.3">
      <c r="A7" s="270" t="s">
        <v>1962</v>
      </c>
      <c r="B7" s="271" t="s">
        <v>3041</v>
      </c>
      <c r="C7" s="272">
        <v>46077</v>
      </c>
      <c r="D7" s="271"/>
      <c r="E7" s="270" t="s">
        <v>2302</v>
      </c>
      <c r="F7" s="270" t="s">
        <v>1496</v>
      </c>
      <c r="G7" s="271" t="s">
        <v>3058</v>
      </c>
      <c r="H7" s="273" t="s">
        <v>688</v>
      </c>
      <c r="I7" s="290">
        <v>871226.4</v>
      </c>
      <c r="J7" s="274">
        <v>1</v>
      </c>
      <c r="K7" s="290">
        <v>871226.4</v>
      </c>
      <c r="L7" s="270" t="s">
        <v>2303</v>
      </c>
      <c r="M7" s="270" t="s">
        <v>2304</v>
      </c>
      <c r="N7" s="271" t="s">
        <v>444</v>
      </c>
      <c r="O7" s="271" t="s">
        <v>3059</v>
      </c>
      <c r="P7" s="271" t="s">
        <v>93</v>
      </c>
      <c r="Q7" s="271" t="s">
        <v>1923</v>
      </c>
      <c r="R7" s="271" t="s">
        <v>1993</v>
      </c>
      <c r="S7" s="271" t="s">
        <v>1923</v>
      </c>
      <c r="T7" s="275" t="s">
        <v>2302</v>
      </c>
      <c r="U7" s="275" t="s">
        <v>1496</v>
      </c>
      <c r="V7" s="276" t="s">
        <v>1496</v>
      </c>
      <c r="W7" s="275" t="s">
        <v>1496</v>
      </c>
      <c r="X7" s="275" t="s">
        <v>2305</v>
      </c>
      <c r="Y7" s="272">
        <v>45899</v>
      </c>
      <c r="Z7" s="275"/>
    </row>
    <row r="8" spans="1:26" ht="13.5" customHeight="1" x14ac:dyDescent="0.3">
      <c r="A8" s="277"/>
      <c r="B8" s="277"/>
      <c r="C8" s="278"/>
      <c r="D8" s="279"/>
      <c r="E8" s="277"/>
      <c r="F8" s="277"/>
      <c r="G8" s="277"/>
      <c r="H8" s="280"/>
      <c r="I8" s="281"/>
      <c r="J8" s="281"/>
      <c r="K8" s="281"/>
      <c r="L8" s="277"/>
      <c r="M8" s="277"/>
      <c r="N8" s="277"/>
      <c r="O8" s="277"/>
      <c r="P8" s="277"/>
      <c r="Q8" s="277"/>
      <c r="R8" s="277"/>
      <c r="S8" s="277"/>
      <c r="T8" s="282"/>
      <c r="U8" s="282"/>
      <c r="V8" s="283"/>
      <c r="W8" s="282"/>
      <c r="X8" s="282"/>
      <c r="Y8" s="278"/>
      <c r="Z8" s="282"/>
    </row>
    <row r="9" spans="1:26" ht="13.5" customHeight="1" x14ac:dyDescent="0.3">
      <c r="A9" s="270"/>
      <c r="B9" s="271"/>
      <c r="C9" s="272"/>
      <c r="D9" s="271"/>
      <c r="E9" s="270"/>
      <c r="F9" s="270"/>
      <c r="G9" s="271"/>
      <c r="H9" s="273"/>
      <c r="I9" s="274"/>
      <c r="J9" s="274"/>
      <c r="K9" s="274"/>
      <c r="L9" s="270"/>
      <c r="M9" s="270"/>
      <c r="N9" s="271"/>
      <c r="O9" s="271"/>
      <c r="P9" s="271"/>
      <c r="Q9" s="271"/>
      <c r="R9" s="271"/>
      <c r="S9" s="271"/>
      <c r="T9" s="275"/>
      <c r="U9" s="275"/>
      <c r="V9" s="276"/>
      <c r="W9" s="275"/>
      <c r="X9" s="275"/>
      <c r="Y9" s="272"/>
      <c r="Z9" s="275"/>
    </row>
    <row r="10" spans="1:26" ht="13.5" customHeight="1" x14ac:dyDescent="0.3">
      <c r="A10" s="277"/>
      <c r="B10" s="277"/>
      <c r="C10" s="278"/>
      <c r="D10" s="279"/>
      <c r="E10" s="277"/>
      <c r="F10" s="277"/>
      <c r="G10" s="277"/>
      <c r="H10" s="280"/>
      <c r="I10" s="281"/>
      <c r="J10" s="281"/>
      <c r="K10" s="281"/>
      <c r="L10" s="277"/>
      <c r="M10" s="277"/>
      <c r="N10" s="277"/>
      <c r="O10" s="277"/>
      <c r="P10" s="277"/>
      <c r="Q10" s="277"/>
      <c r="R10" s="277"/>
      <c r="S10" s="277"/>
      <c r="T10" s="282"/>
      <c r="U10" s="282"/>
      <c r="V10" s="283"/>
      <c r="W10" s="282"/>
      <c r="X10" s="282"/>
      <c r="Y10" s="278"/>
      <c r="Z10" s="282"/>
    </row>
    <row r="11" spans="1:26" ht="13.5" customHeight="1" x14ac:dyDescent="0.3">
      <c r="A11" s="270"/>
      <c r="B11" s="271"/>
      <c r="C11" s="272"/>
      <c r="D11" s="271"/>
      <c r="E11" s="270"/>
      <c r="F11" s="270"/>
      <c r="G11" s="271"/>
      <c r="H11" s="273"/>
      <c r="I11" s="274"/>
      <c r="J11" s="274"/>
      <c r="K11" s="274"/>
      <c r="L11" s="270"/>
      <c r="M11" s="270"/>
      <c r="N11" s="271"/>
      <c r="O11" s="271"/>
      <c r="P11" s="271"/>
      <c r="Q11" s="271"/>
      <c r="R11" s="271"/>
      <c r="S11" s="271"/>
      <c r="T11" s="275"/>
      <c r="U11" s="275"/>
      <c r="V11" s="276"/>
      <c r="W11" s="275"/>
      <c r="X11" s="275"/>
      <c r="Y11" s="272"/>
      <c r="Z11" s="275"/>
    </row>
    <row r="12" spans="1:26" ht="13.5" customHeight="1" x14ac:dyDescent="0.3">
      <c r="A12" s="277"/>
      <c r="B12" s="277"/>
      <c r="C12" s="278"/>
      <c r="D12" s="279"/>
      <c r="E12" s="277"/>
      <c r="F12" s="277"/>
      <c r="G12" s="277"/>
      <c r="H12" s="280"/>
      <c r="I12" s="281"/>
      <c r="J12" s="281"/>
      <c r="K12" s="281"/>
      <c r="L12" s="277"/>
      <c r="M12" s="277"/>
      <c r="N12" s="277"/>
      <c r="O12" s="277"/>
      <c r="P12" s="277"/>
      <c r="Q12" s="277"/>
      <c r="R12" s="277"/>
      <c r="S12" s="277"/>
      <c r="T12" s="282"/>
      <c r="U12" s="282"/>
      <c r="V12" s="283"/>
      <c r="W12" s="282"/>
      <c r="X12" s="282"/>
      <c r="Y12" s="278"/>
      <c r="Z12" s="282"/>
    </row>
    <row r="13" spans="1:26" ht="13.5" customHeight="1" x14ac:dyDescent="0.3">
      <c r="A13" s="270"/>
      <c r="B13" s="271"/>
      <c r="C13" s="272"/>
      <c r="D13" s="271"/>
      <c r="E13" s="270"/>
      <c r="F13" s="270"/>
      <c r="G13" s="271"/>
      <c r="H13" s="273"/>
      <c r="I13" s="274"/>
      <c r="J13" s="274"/>
      <c r="K13" s="274"/>
      <c r="L13" s="270"/>
      <c r="M13" s="270"/>
      <c r="N13" s="271"/>
      <c r="O13" s="271"/>
      <c r="P13" s="271"/>
      <c r="Q13" s="271"/>
      <c r="R13" s="271"/>
      <c r="S13" s="271"/>
      <c r="T13" s="275"/>
      <c r="U13" s="275"/>
      <c r="V13" s="276"/>
      <c r="W13" s="275"/>
      <c r="X13" s="275"/>
      <c r="Y13" s="272"/>
      <c r="Z13" s="275"/>
    </row>
    <row r="14" spans="1:26" ht="13.5" customHeight="1" x14ac:dyDescent="0.3">
      <c r="A14" s="277"/>
      <c r="B14" s="277"/>
      <c r="C14" s="278"/>
      <c r="D14" s="279"/>
      <c r="E14" s="277"/>
      <c r="F14" s="277"/>
      <c r="G14" s="277"/>
      <c r="H14" s="280"/>
      <c r="I14" s="281"/>
      <c r="J14" s="281"/>
      <c r="K14" s="281"/>
      <c r="L14" s="277"/>
      <c r="M14" s="277"/>
      <c r="N14" s="277"/>
      <c r="O14" s="277"/>
      <c r="P14" s="277"/>
      <c r="Q14" s="277"/>
      <c r="R14" s="277"/>
      <c r="S14" s="277"/>
      <c r="T14" s="282"/>
      <c r="U14" s="282"/>
      <c r="V14" s="283"/>
      <c r="W14" s="282"/>
      <c r="X14" s="282"/>
      <c r="Y14" s="278"/>
      <c r="Z14" s="282"/>
    </row>
    <row r="15" spans="1:26" ht="13.5" customHeight="1" x14ac:dyDescent="0.3">
      <c r="A15" s="270"/>
      <c r="B15" s="271"/>
      <c r="C15" s="272"/>
      <c r="D15" s="271"/>
      <c r="E15" s="270"/>
      <c r="F15" s="270"/>
      <c r="G15" s="271"/>
      <c r="H15" s="273"/>
      <c r="I15" s="274"/>
      <c r="J15" s="274"/>
      <c r="K15" s="274"/>
      <c r="L15" s="270"/>
      <c r="M15" s="270"/>
      <c r="N15" s="271"/>
      <c r="O15" s="271"/>
      <c r="P15" s="271"/>
      <c r="Q15" s="271"/>
      <c r="R15" s="271"/>
      <c r="S15" s="271"/>
      <c r="T15" s="275"/>
      <c r="U15" s="275"/>
      <c r="V15" s="276"/>
      <c r="W15" s="275"/>
      <c r="X15" s="275"/>
      <c r="Y15" s="272"/>
      <c r="Z15" s="275"/>
    </row>
    <row r="16" spans="1:26" ht="13.5" customHeight="1" x14ac:dyDescent="0.3">
      <c r="A16" s="277"/>
      <c r="B16" s="277"/>
      <c r="C16" s="278"/>
      <c r="D16" s="279"/>
      <c r="E16" s="277"/>
      <c r="F16" s="277"/>
      <c r="G16" s="277"/>
      <c r="H16" s="280"/>
      <c r="I16" s="281"/>
      <c r="J16" s="281"/>
      <c r="K16" s="281"/>
      <c r="L16" s="277"/>
      <c r="M16" s="277"/>
      <c r="N16" s="277"/>
      <c r="O16" s="277"/>
      <c r="P16" s="277"/>
      <c r="Q16" s="277"/>
      <c r="R16" s="277"/>
      <c r="S16" s="277"/>
      <c r="T16" s="282"/>
      <c r="U16" s="282"/>
      <c r="V16" s="283"/>
      <c r="W16" s="282"/>
      <c r="X16" s="282"/>
      <c r="Y16" s="278"/>
      <c r="Z16" s="282"/>
    </row>
    <row r="17" spans="1:26" ht="13.5" customHeight="1" x14ac:dyDescent="0.3">
      <c r="A17" s="270"/>
      <c r="B17" s="271"/>
      <c r="C17" s="272"/>
      <c r="D17" s="271"/>
      <c r="E17" s="270"/>
      <c r="F17" s="270"/>
      <c r="G17" s="271"/>
      <c r="H17" s="273"/>
      <c r="I17" s="274"/>
      <c r="J17" s="274"/>
      <c r="K17" s="274"/>
      <c r="L17" s="270"/>
      <c r="M17" s="270"/>
      <c r="N17" s="271"/>
      <c r="O17" s="271"/>
      <c r="P17" s="271"/>
      <c r="Q17" s="271"/>
      <c r="R17" s="271"/>
      <c r="S17" s="271"/>
      <c r="T17" s="275"/>
      <c r="U17" s="275"/>
      <c r="V17" s="276"/>
      <c r="W17" s="275"/>
      <c r="X17" s="275"/>
      <c r="Y17" s="272"/>
      <c r="Z17" s="275"/>
    </row>
    <row r="18" spans="1:26" ht="13.5" customHeight="1" x14ac:dyDescent="0.3">
      <c r="A18" s="277"/>
      <c r="B18" s="277"/>
      <c r="C18" s="278"/>
      <c r="D18" s="279"/>
      <c r="E18" s="277"/>
      <c r="F18" s="277"/>
      <c r="G18" s="277"/>
      <c r="H18" s="280"/>
      <c r="I18" s="281"/>
      <c r="J18" s="281"/>
      <c r="K18" s="281"/>
      <c r="L18" s="277"/>
      <c r="M18" s="277"/>
      <c r="N18" s="277"/>
      <c r="O18" s="277"/>
      <c r="P18" s="277"/>
      <c r="Q18" s="277"/>
      <c r="R18" s="277"/>
      <c r="S18" s="277"/>
      <c r="T18" s="282"/>
      <c r="U18" s="282"/>
      <c r="V18" s="283"/>
      <c r="W18" s="282"/>
      <c r="X18" s="282"/>
      <c r="Y18" s="278"/>
      <c r="Z18" s="282"/>
    </row>
    <row r="19" spans="1:26" ht="13.5" customHeight="1" x14ac:dyDescent="0.3">
      <c r="A19" s="270"/>
      <c r="B19" s="271"/>
      <c r="C19" s="272"/>
      <c r="D19" s="271"/>
      <c r="E19" s="270"/>
      <c r="F19" s="270"/>
      <c r="G19" s="271"/>
      <c r="H19" s="273"/>
      <c r="I19" s="274"/>
      <c r="J19" s="274"/>
      <c r="K19" s="274"/>
      <c r="L19" s="270"/>
      <c r="M19" s="270"/>
      <c r="N19" s="271"/>
      <c r="O19" s="271"/>
      <c r="P19" s="271"/>
      <c r="Q19" s="271"/>
      <c r="R19" s="271"/>
      <c r="S19" s="271"/>
      <c r="T19" s="275"/>
      <c r="U19" s="275"/>
      <c r="V19" s="276"/>
      <c r="W19" s="275"/>
      <c r="X19" s="275"/>
      <c r="Y19" s="272"/>
      <c r="Z19" s="275"/>
    </row>
    <row r="20" spans="1:26" ht="13.5" customHeight="1" x14ac:dyDescent="0.3">
      <c r="A20" s="277"/>
      <c r="B20" s="277"/>
      <c r="C20" s="278"/>
      <c r="D20" s="279"/>
      <c r="E20" s="277"/>
      <c r="F20" s="277"/>
      <c r="G20" s="277"/>
      <c r="H20" s="280"/>
      <c r="I20" s="281"/>
      <c r="J20" s="281"/>
      <c r="K20" s="281"/>
      <c r="L20" s="277"/>
      <c r="M20" s="277"/>
      <c r="N20" s="277"/>
      <c r="O20" s="277"/>
      <c r="P20" s="277"/>
      <c r="Q20" s="277"/>
      <c r="R20" s="277"/>
      <c r="S20" s="277"/>
      <c r="T20" s="282"/>
      <c r="U20" s="282"/>
      <c r="V20" s="283"/>
      <c r="W20" s="282"/>
      <c r="X20" s="282"/>
      <c r="Y20" s="278"/>
      <c r="Z20" s="282"/>
    </row>
    <row r="21" spans="1:26" ht="13.5" customHeight="1" x14ac:dyDescent="0.3">
      <c r="A21" s="270"/>
      <c r="B21" s="271"/>
      <c r="C21" s="272"/>
      <c r="D21" s="271"/>
      <c r="E21" s="270"/>
      <c r="F21" s="270"/>
      <c r="G21" s="271"/>
      <c r="H21" s="273"/>
      <c r="I21" s="274"/>
      <c r="J21" s="274"/>
      <c r="K21" s="274"/>
      <c r="L21" s="270"/>
      <c r="M21" s="270"/>
      <c r="N21" s="271"/>
      <c r="O21" s="271"/>
      <c r="P21" s="271"/>
      <c r="Q21" s="271"/>
      <c r="R21" s="271"/>
      <c r="S21" s="271"/>
      <c r="T21" s="275"/>
      <c r="U21" s="275"/>
      <c r="V21" s="276"/>
      <c r="W21" s="275"/>
      <c r="X21" s="275"/>
      <c r="Y21" s="272"/>
      <c r="Z21" s="275"/>
    </row>
    <row r="22" spans="1:26" ht="13.5" customHeight="1" x14ac:dyDescent="0.3">
      <c r="A22" s="277"/>
      <c r="B22" s="277"/>
      <c r="C22" s="278"/>
      <c r="D22" s="279"/>
      <c r="E22" s="277"/>
      <c r="F22" s="277"/>
      <c r="G22" s="277"/>
      <c r="H22" s="280"/>
      <c r="I22" s="281"/>
      <c r="J22" s="281"/>
      <c r="K22" s="281"/>
      <c r="L22" s="277"/>
      <c r="M22" s="277"/>
      <c r="N22" s="277"/>
      <c r="O22" s="277"/>
      <c r="P22" s="277"/>
      <c r="Q22" s="277"/>
      <c r="R22" s="277"/>
      <c r="S22" s="277"/>
      <c r="T22" s="282"/>
      <c r="U22" s="282"/>
      <c r="V22" s="283"/>
      <c r="W22" s="282"/>
      <c r="X22" s="282"/>
      <c r="Y22" s="278"/>
      <c r="Z22" s="282"/>
    </row>
    <row r="23" spans="1:26" ht="13.5" customHeight="1" x14ac:dyDescent="0.3">
      <c r="A23" s="270"/>
      <c r="B23" s="271"/>
      <c r="C23" s="272"/>
      <c r="D23" s="271"/>
      <c r="E23" s="270"/>
      <c r="F23" s="270"/>
      <c r="G23" s="271"/>
      <c r="H23" s="273"/>
      <c r="I23" s="274"/>
      <c r="J23" s="274"/>
      <c r="K23" s="274"/>
      <c r="L23" s="270"/>
      <c r="M23" s="270"/>
      <c r="N23" s="271"/>
      <c r="O23" s="271"/>
      <c r="P23" s="271"/>
      <c r="Q23" s="271"/>
      <c r="R23" s="271"/>
      <c r="S23" s="271"/>
      <c r="T23" s="275"/>
      <c r="U23" s="275"/>
      <c r="V23" s="276"/>
      <c r="W23" s="275"/>
      <c r="X23" s="275"/>
      <c r="Y23" s="272"/>
      <c r="Z23" s="275"/>
    </row>
    <row r="24" spans="1:26" ht="13.5" customHeight="1" x14ac:dyDescent="0.3">
      <c r="A24" s="277"/>
      <c r="B24" s="277"/>
      <c r="C24" s="278"/>
      <c r="D24" s="279"/>
      <c r="E24" s="277"/>
      <c r="F24" s="277"/>
      <c r="G24" s="277"/>
      <c r="H24" s="280"/>
      <c r="I24" s="281"/>
      <c r="J24" s="281"/>
      <c r="K24" s="281"/>
      <c r="L24" s="277"/>
      <c r="M24" s="277"/>
      <c r="N24" s="277"/>
      <c r="O24" s="277"/>
      <c r="P24" s="277"/>
      <c r="Q24" s="277"/>
      <c r="R24" s="277"/>
      <c r="S24" s="277"/>
      <c r="T24" s="282"/>
      <c r="U24" s="282"/>
      <c r="V24" s="283"/>
      <c r="W24" s="282"/>
      <c r="X24" s="282"/>
      <c r="Y24" s="278"/>
      <c r="Z24" s="282"/>
    </row>
    <row r="25" spans="1:26" ht="13.5" customHeight="1" x14ac:dyDescent="0.3">
      <c r="A25" s="270"/>
      <c r="B25" s="271"/>
      <c r="C25" s="272"/>
      <c r="D25" s="271"/>
      <c r="E25" s="270"/>
      <c r="F25" s="270"/>
      <c r="G25" s="271"/>
      <c r="H25" s="273"/>
      <c r="I25" s="274"/>
      <c r="J25" s="274"/>
      <c r="K25" s="274"/>
      <c r="L25" s="270"/>
      <c r="M25" s="270"/>
      <c r="N25" s="271"/>
      <c r="O25" s="271"/>
      <c r="P25" s="271"/>
      <c r="Q25" s="271"/>
      <c r="R25" s="271"/>
      <c r="S25" s="271"/>
      <c r="T25" s="275"/>
      <c r="U25" s="275"/>
      <c r="V25" s="276"/>
      <c r="W25" s="275"/>
      <c r="X25" s="275"/>
      <c r="Y25" s="272"/>
      <c r="Z25" s="275"/>
    </row>
    <row r="26" spans="1:26" ht="13.5" customHeight="1" x14ac:dyDescent="0.3">
      <c r="A26" s="277"/>
      <c r="B26" s="277"/>
      <c r="C26" s="278"/>
      <c r="D26" s="279"/>
      <c r="E26" s="277"/>
      <c r="F26" s="277"/>
      <c r="G26" s="277"/>
      <c r="H26" s="280"/>
      <c r="I26" s="281"/>
      <c r="J26" s="281"/>
      <c r="K26" s="281"/>
      <c r="L26" s="277"/>
      <c r="M26" s="277"/>
      <c r="N26" s="277"/>
      <c r="O26" s="277"/>
      <c r="P26" s="277"/>
      <c r="Q26" s="277"/>
      <c r="R26" s="277"/>
      <c r="S26" s="277"/>
      <c r="T26" s="282"/>
      <c r="U26" s="282"/>
      <c r="V26" s="283"/>
      <c r="W26" s="282"/>
      <c r="X26" s="282"/>
      <c r="Y26" s="278"/>
      <c r="Z26" s="282"/>
    </row>
    <row r="27" spans="1:26" ht="13.5" customHeight="1" x14ac:dyDescent="0.3">
      <c r="A27" s="270"/>
      <c r="B27" s="271"/>
      <c r="C27" s="272"/>
      <c r="D27" s="271"/>
      <c r="E27" s="270"/>
      <c r="F27" s="270"/>
      <c r="G27" s="271"/>
      <c r="H27" s="273"/>
      <c r="I27" s="274"/>
      <c r="J27" s="274"/>
      <c r="K27" s="274"/>
      <c r="L27" s="270"/>
      <c r="M27" s="270"/>
      <c r="N27" s="271"/>
      <c r="O27" s="271"/>
      <c r="P27" s="271"/>
      <c r="Q27" s="271"/>
      <c r="R27" s="271"/>
      <c r="S27" s="271"/>
      <c r="T27" s="275"/>
      <c r="U27" s="275"/>
      <c r="V27" s="276"/>
      <c r="W27" s="275"/>
      <c r="X27" s="275"/>
      <c r="Y27" s="272"/>
      <c r="Z27" s="275"/>
    </row>
    <row r="28" spans="1:26" ht="13.5" customHeight="1" x14ac:dyDescent="0.3">
      <c r="A28" s="277"/>
      <c r="B28" s="277"/>
      <c r="C28" s="278"/>
      <c r="D28" s="279"/>
      <c r="E28" s="277"/>
      <c r="F28" s="277"/>
      <c r="G28" s="277"/>
      <c r="H28" s="280"/>
      <c r="I28" s="281"/>
      <c r="J28" s="281"/>
      <c r="K28" s="281"/>
      <c r="L28" s="277"/>
      <c r="M28" s="277"/>
      <c r="N28" s="277"/>
      <c r="O28" s="277"/>
      <c r="P28" s="277"/>
      <c r="Q28" s="277"/>
      <c r="R28" s="277"/>
      <c r="S28" s="277"/>
      <c r="T28" s="282"/>
      <c r="U28" s="282"/>
      <c r="V28" s="283"/>
      <c r="W28" s="282"/>
      <c r="X28" s="282"/>
      <c r="Y28" s="278"/>
      <c r="Z28" s="282"/>
    </row>
    <row r="29" spans="1:26" ht="13.5" customHeight="1" x14ac:dyDescent="0.3">
      <c r="A29" s="270"/>
      <c r="B29" s="271"/>
      <c r="C29" s="272"/>
      <c r="D29" s="271"/>
      <c r="E29" s="270"/>
      <c r="F29" s="270"/>
      <c r="G29" s="271"/>
      <c r="H29" s="273"/>
      <c r="I29" s="274"/>
      <c r="J29" s="274"/>
      <c r="K29" s="274"/>
      <c r="L29" s="270"/>
      <c r="M29" s="270"/>
      <c r="N29" s="271"/>
      <c r="O29" s="271"/>
      <c r="P29" s="271"/>
      <c r="Q29" s="271"/>
      <c r="R29" s="271"/>
      <c r="S29" s="271"/>
      <c r="T29" s="275"/>
      <c r="U29" s="275"/>
      <c r="V29" s="276"/>
      <c r="W29" s="275"/>
      <c r="X29" s="275"/>
      <c r="Y29" s="272"/>
      <c r="Z29" s="275"/>
    </row>
    <row r="30" spans="1:26" ht="13.5" customHeight="1" x14ac:dyDescent="0.3">
      <c r="A30" s="277"/>
      <c r="B30" s="277"/>
      <c r="C30" s="278"/>
      <c r="D30" s="279"/>
      <c r="E30" s="277"/>
      <c r="F30" s="277"/>
      <c r="G30" s="277"/>
      <c r="H30" s="280"/>
      <c r="I30" s="281"/>
      <c r="J30" s="281"/>
      <c r="K30" s="281"/>
      <c r="L30" s="277"/>
      <c r="M30" s="277"/>
      <c r="N30" s="277"/>
      <c r="O30" s="277"/>
      <c r="P30" s="277"/>
      <c r="Q30" s="277"/>
      <c r="R30" s="277"/>
      <c r="S30" s="277"/>
      <c r="T30" s="282"/>
      <c r="U30" s="282"/>
      <c r="V30" s="283"/>
      <c r="W30" s="282"/>
      <c r="X30" s="282"/>
      <c r="Y30" s="278"/>
      <c r="Z30" s="282"/>
    </row>
    <row r="31" spans="1:26" ht="13.5" customHeight="1" x14ac:dyDescent="0.3">
      <c r="A31" s="270"/>
      <c r="B31" s="271"/>
      <c r="C31" s="272"/>
      <c r="D31" s="271"/>
      <c r="E31" s="270"/>
      <c r="F31" s="270"/>
      <c r="G31" s="271"/>
      <c r="H31" s="273"/>
      <c r="I31" s="274"/>
      <c r="J31" s="274"/>
      <c r="K31" s="274"/>
      <c r="L31" s="270"/>
      <c r="M31" s="270"/>
      <c r="N31" s="271"/>
      <c r="O31" s="271"/>
      <c r="P31" s="271"/>
      <c r="Q31" s="271"/>
      <c r="R31" s="271"/>
      <c r="S31" s="271"/>
      <c r="T31" s="275"/>
      <c r="U31" s="275"/>
      <c r="V31" s="276"/>
      <c r="W31" s="275"/>
      <c r="X31" s="275"/>
      <c r="Y31" s="272"/>
      <c r="Z31" s="275"/>
    </row>
    <row r="32" spans="1:26" ht="13.5" customHeight="1" x14ac:dyDescent="0.3">
      <c r="A32" s="277"/>
      <c r="B32" s="277"/>
      <c r="C32" s="278"/>
      <c r="D32" s="279"/>
      <c r="E32" s="277"/>
      <c r="F32" s="277"/>
      <c r="G32" s="277"/>
      <c r="H32" s="280"/>
      <c r="I32" s="281"/>
      <c r="J32" s="281"/>
      <c r="K32" s="281"/>
      <c r="L32" s="277"/>
      <c r="M32" s="277"/>
      <c r="N32" s="277"/>
      <c r="O32" s="277"/>
      <c r="P32" s="277"/>
      <c r="Q32" s="277"/>
      <c r="R32" s="277"/>
      <c r="S32" s="277"/>
      <c r="T32" s="282"/>
      <c r="U32" s="282"/>
      <c r="V32" s="283"/>
      <c r="W32" s="282"/>
      <c r="X32" s="282"/>
      <c r="Y32" s="278"/>
      <c r="Z32" s="282"/>
    </row>
    <row r="33" spans="1:26" ht="13.5" customHeight="1" x14ac:dyDescent="0.3">
      <c r="A33" s="270"/>
      <c r="B33" s="271"/>
      <c r="C33" s="272"/>
      <c r="D33" s="271"/>
      <c r="E33" s="270"/>
      <c r="F33" s="270"/>
      <c r="G33" s="271"/>
      <c r="H33" s="273"/>
      <c r="I33" s="274"/>
      <c r="J33" s="274"/>
      <c r="K33" s="274"/>
      <c r="L33" s="270"/>
      <c r="M33" s="270"/>
      <c r="N33" s="271"/>
      <c r="O33" s="271"/>
      <c r="P33" s="271"/>
      <c r="Q33" s="271"/>
      <c r="R33" s="271"/>
      <c r="S33" s="271"/>
      <c r="T33" s="275"/>
      <c r="U33" s="275"/>
      <c r="V33" s="276"/>
      <c r="W33" s="275"/>
      <c r="X33" s="275"/>
      <c r="Y33" s="272"/>
      <c r="Z33" s="275"/>
    </row>
    <row r="34" spans="1:26" ht="13.5" customHeight="1" x14ac:dyDescent="0.3">
      <c r="A34" s="277"/>
      <c r="B34" s="277"/>
      <c r="C34" s="278"/>
      <c r="D34" s="279"/>
      <c r="E34" s="277"/>
      <c r="F34" s="277"/>
      <c r="G34" s="277"/>
      <c r="H34" s="280"/>
      <c r="I34" s="281"/>
      <c r="J34" s="281"/>
      <c r="K34" s="281"/>
      <c r="L34" s="277"/>
      <c r="M34" s="277"/>
      <c r="N34" s="277"/>
      <c r="O34" s="277"/>
      <c r="P34" s="277"/>
      <c r="Q34" s="277"/>
      <c r="R34" s="277"/>
      <c r="S34" s="277"/>
      <c r="T34" s="282"/>
      <c r="U34" s="282"/>
      <c r="V34" s="283"/>
      <c r="W34" s="282"/>
      <c r="X34" s="282"/>
      <c r="Y34" s="278"/>
      <c r="Z34" s="282"/>
    </row>
    <row r="35" spans="1:26" ht="13.5" customHeight="1" x14ac:dyDescent="0.3">
      <c r="A35" s="270"/>
      <c r="B35" s="271"/>
      <c r="C35" s="272"/>
      <c r="D35" s="271"/>
      <c r="E35" s="270"/>
      <c r="F35" s="270"/>
      <c r="G35" s="271"/>
      <c r="H35" s="273"/>
      <c r="I35" s="274"/>
      <c r="J35" s="274"/>
      <c r="K35" s="274"/>
      <c r="L35" s="270"/>
      <c r="M35" s="270"/>
      <c r="N35" s="271"/>
      <c r="O35" s="271"/>
      <c r="P35" s="271"/>
      <c r="Q35" s="271"/>
      <c r="R35" s="271"/>
      <c r="S35" s="271"/>
      <c r="T35" s="275"/>
      <c r="U35" s="275"/>
      <c r="V35" s="276"/>
      <c r="W35" s="275"/>
      <c r="X35" s="275"/>
      <c r="Y35" s="272"/>
      <c r="Z35" s="275"/>
    </row>
    <row r="36" spans="1:26" ht="13.5" customHeight="1" x14ac:dyDescent="0.3">
      <c r="A36" s="277"/>
      <c r="B36" s="277"/>
      <c r="C36" s="278"/>
      <c r="D36" s="279"/>
      <c r="E36" s="277"/>
      <c r="F36" s="277"/>
      <c r="G36" s="277"/>
      <c r="H36" s="280"/>
      <c r="I36" s="281"/>
      <c r="J36" s="281"/>
      <c r="K36" s="281"/>
      <c r="L36" s="277"/>
      <c r="M36" s="277"/>
      <c r="N36" s="277"/>
      <c r="O36" s="277"/>
      <c r="P36" s="277"/>
      <c r="Q36" s="277"/>
      <c r="R36" s="277"/>
      <c r="S36" s="277"/>
      <c r="T36" s="282"/>
      <c r="U36" s="282"/>
      <c r="V36" s="283"/>
      <c r="W36" s="282"/>
      <c r="X36" s="282"/>
      <c r="Y36" s="278"/>
      <c r="Z36" s="282"/>
    </row>
    <row r="37" spans="1:26" ht="13.5" customHeight="1" x14ac:dyDescent="0.3">
      <c r="A37" s="241"/>
      <c r="B37" s="241"/>
      <c r="C37" s="241"/>
      <c r="D37" s="241"/>
      <c r="E37" s="241"/>
      <c r="F37" s="241"/>
      <c r="G37" s="241"/>
      <c r="H37" s="241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Y37" s="241"/>
      <c r="Z37" s="241"/>
    </row>
    <row r="38" spans="1:26" ht="13.5" customHeight="1" x14ac:dyDescent="0.3">
      <c r="A38" s="241"/>
      <c r="B38" s="241"/>
      <c r="C38" s="241"/>
      <c r="D38" s="241"/>
      <c r="E38" s="241"/>
      <c r="F38" s="241"/>
      <c r="G38" s="241"/>
      <c r="H38" s="241"/>
      <c r="I38" s="241"/>
      <c r="J38" s="241"/>
      <c r="K38" s="241"/>
      <c r="L38" s="241"/>
      <c r="M38" s="241"/>
      <c r="N38" s="241"/>
      <c r="O38" s="241"/>
      <c r="P38" s="241"/>
      <c r="Q38" s="241"/>
      <c r="R38" s="241"/>
      <c r="S38" s="241"/>
      <c r="T38" s="241"/>
      <c r="U38" s="241"/>
      <c r="V38" s="241"/>
      <c r="W38" s="241"/>
      <c r="X38" s="241"/>
      <c r="Y38" s="241"/>
      <c r="Z38" s="241"/>
    </row>
    <row r="39" spans="1:26" ht="13.5" customHeight="1" x14ac:dyDescent="0.3">
      <c r="A39" s="241"/>
      <c r="B39" s="241"/>
      <c r="C39" s="241"/>
      <c r="D39" s="241"/>
      <c r="E39" s="241"/>
      <c r="F39" s="241"/>
      <c r="G39" s="241"/>
      <c r="H39" s="241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Y39" s="241"/>
      <c r="Z39" s="241"/>
    </row>
    <row r="40" spans="1:26" ht="13.5" customHeight="1" x14ac:dyDescent="0.3">
      <c r="A40" s="241"/>
      <c r="B40" s="241"/>
      <c r="C40" s="241"/>
      <c r="D40" s="241"/>
      <c r="E40" s="241"/>
      <c r="F40" s="241"/>
      <c r="G40" s="241"/>
      <c r="H40" s="241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Y40" s="241"/>
      <c r="Z40" s="241"/>
    </row>
    <row r="41" spans="1:26" ht="13.5" customHeight="1" x14ac:dyDescent="0.3">
      <c r="A41" s="241"/>
      <c r="B41" s="241"/>
      <c r="C41" s="241"/>
      <c r="D41" s="241"/>
      <c r="E41" s="241"/>
      <c r="F41" s="241"/>
      <c r="G41" s="241"/>
      <c r="H41" s="241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Y41" s="241"/>
      <c r="Z41" s="241"/>
    </row>
    <row r="42" spans="1:26" ht="13.5" customHeight="1" x14ac:dyDescent="0.3">
      <c r="A42" s="241"/>
      <c r="B42" s="241"/>
      <c r="C42" s="241"/>
      <c r="D42" s="241"/>
      <c r="E42" s="241"/>
      <c r="F42" s="241"/>
      <c r="G42" s="241"/>
      <c r="H42" s="241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Y42" s="241"/>
      <c r="Z42" s="241"/>
    </row>
    <row r="43" spans="1:26" ht="13.5" customHeight="1" x14ac:dyDescent="0.3">
      <c r="A43" s="241"/>
      <c r="B43" s="241"/>
      <c r="C43" s="241"/>
      <c r="D43" s="241"/>
      <c r="E43" s="241"/>
      <c r="F43" s="241"/>
      <c r="G43" s="241"/>
      <c r="H43" s="241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Y43" s="241"/>
      <c r="Z43" s="241"/>
    </row>
    <row r="44" spans="1:26" ht="13.5" customHeight="1" x14ac:dyDescent="0.3">
      <c r="A44" s="241"/>
      <c r="B44" s="241"/>
      <c r="C44" s="241"/>
      <c r="D44" s="241"/>
      <c r="E44" s="241"/>
      <c r="F44" s="241"/>
      <c r="G44" s="241"/>
      <c r="H44" s="241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Y44" s="241"/>
      <c r="Z44" s="241"/>
    </row>
    <row r="45" spans="1:26" ht="13.5" customHeight="1" x14ac:dyDescent="0.3">
      <c r="A45" s="241"/>
      <c r="B45" s="241"/>
      <c r="C45" s="241"/>
      <c r="D45" s="241"/>
      <c r="E45" s="241"/>
      <c r="F45" s="241"/>
      <c r="G45" s="241"/>
      <c r="H45" s="241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Y45" s="241"/>
      <c r="Z45" s="241"/>
    </row>
    <row r="46" spans="1:26" ht="13.5" customHeight="1" x14ac:dyDescent="0.3">
      <c r="A46" s="241"/>
      <c r="B46" s="241"/>
      <c r="C46" s="241"/>
      <c r="D46" s="241"/>
      <c r="E46" s="241"/>
      <c r="F46" s="241"/>
      <c r="G46" s="241"/>
      <c r="H46" s="241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Y46" s="241"/>
      <c r="Z46" s="241"/>
    </row>
    <row r="47" spans="1:26" ht="13.5" customHeight="1" x14ac:dyDescent="0.3">
      <c r="A47" s="241"/>
      <c r="B47" s="241"/>
      <c r="C47" s="241"/>
      <c r="D47" s="241"/>
      <c r="E47" s="241"/>
      <c r="F47" s="241"/>
      <c r="G47" s="241"/>
      <c r="H47" s="241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Y47" s="241"/>
      <c r="Z47" s="241"/>
    </row>
    <row r="48" spans="1:26" ht="13.5" customHeight="1" x14ac:dyDescent="0.3">
      <c r="A48" s="241"/>
      <c r="B48" s="241"/>
      <c r="C48" s="241"/>
      <c r="D48" s="241"/>
      <c r="E48" s="241"/>
      <c r="F48" s="241"/>
      <c r="G48" s="241"/>
      <c r="H48" s="241"/>
      <c r="I48" s="241"/>
      <c r="J48" s="241"/>
      <c r="K48" s="241"/>
      <c r="L48" s="241"/>
      <c r="M48" s="241"/>
      <c r="N48" s="241"/>
      <c r="O48" s="241"/>
      <c r="P48" s="241"/>
      <c r="Q48" s="241"/>
      <c r="R48" s="241"/>
      <c r="S48" s="241"/>
      <c r="T48" s="241"/>
      <c r="U48" s="241"/>
      <c r="V48" s="241"/>
      <c r="W48" s="241"/>
      <c r="X48" s="241"/>
      <c r="Y48" s="241"/>
      <c r="Z48" s="241"/>
    </row>
    <row r="49" spans="1:26" ht="13.5" customHeight="1" x14ac:dyDescent="0.3">
      <c r="A49" s="241"/>
      <c r="B49" s="241"/>
      <c r="C49" s="241"/>
      <c r="D49" s="241"/>
      <c r="E49" s="241"/>
      <c r="F49" s="241"/>
      <c r="G49" s="241"/>
      <c r="H49" s="241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Y49" s="241"/>
      <c r="Z49" s="241"/>
    </row>
    <row r="50" spans="1:26" ht="13.5" customHeight="1" x14ac:dyDescent="0.3">
      <c r="A50" s="241"/>
      <c r="B50" s="241"/>
      <c r="C50" s="241"/>
      <c r="D50" s="241"/>
      <c r="E50" s="241"/>
      <c r="F50" s="241"/>
      <c r="G50" s="241"/>
      <c r="H50" s="241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Y50" s="241"/>
      <c r="Z50" s="241"/>
    </row>
    <row r="51" spans="1:26" ht="13.5" customHeight="1" x14ac:dyDescent="0.3">
      <c r="A51" s="241"/>
      <c r="B51" s="241"/>
      <c r="C51" s="241"/>
      <c r="D51" s="241"/>
      <c r="E51" s="241"/>
      <c r="F51" s="241"/>
      <c r="G51" s="241"/>
      <c r="H51" s="24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Y51" s="241"/>
      <c r="Z51" s="241"/>
    </row>
    <row r="52" spans="1:26" ht="13.5" customHeight="1" x14ac:dyDescent="0.3">
      <c r="A52" s="241"/>
      <c r="B52" s="241"/>
      <c r="C52" s="241"/>
      <c r="D52" s="241"/>
      <c r="E52" s="241"/>
      <c r="F52" s="241"/>
      <c r="G52" s="241"/>
      <c r="H52" s="241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Y52" s="241"/>
      <c r="Z52" s="241"/>
    </row>
    <row r="53" spans="1:26" ht="13.5" customHeight="1" x14ac:dyDescent="0.3">
      <c r="A53" s="241"/>
      <c r="B53" s="241"/>
      <c r="C53" s="241"/>
      <c r="D53" s="241"/>
      <c r="E53" s="241"/>
      <c r="F53" s="241"/>
      <c r="G53" s="241"/>
      <c r="H53" s="24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Y53" s="241"/>
      <c r="Z53" s="241"/>
    </row>
    <row r="54" spans="1:26" ht="13.5" customHeight="1" x14ac:dyDescent="0.3">
      <c r="A54" s="241"/>
      <c r="B54" s="241"/>
      <c r="C54" s="241"/>
      <c r="D54" s="241"/>
      <c r="E54" s="241"/>
      <c r="F54" s="241"/>
      <c r="G54" s="241"/>
      <c r="H54" s="241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Y54" s="241"/>
      <c r="Z54" s="241"/>
    </row>
    <row r="55" spans="1:26" ht="13.5" customHeight="1" x14ac:dyDescent="0.3">
      <c r="A55" s="241"/>
      <c r="B55" s="241"/>
      <c r="C55" s="241"/>
      <c r="D55" s="241"/>
      <c r="E55" s="241"/>
      <c r="F55" s="241"/>
      <c r="G55" s="241"/>
      <c r="H55" s="241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Y55" s="241"/>
      <c r="Z55" s="241"/>
    </row>
    <row r="56" spans="1:26" ht="13.5" customHeight="1" x14ac:dyDescent="0.3">
      <c r="A56" s="241"/>
      <c r="B56" s="241"/>
      <c r="C56" s="241"/>
      <c r="D56" s="241"/>
      <c r="E56" s="241"/>
      <c r="F56" s="241"/>
      <c r="G56" s="241"/>
      <c r="H56" s="241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Y56" s="241"/>
      <c r="Z56" s="241"/>
    </row>
    <row r="57" spans="1:26" ht="13.5" customHeight="1" x14ac:dyDescent="0.3">
      <c r="A57" s="241"/>
      <c r="B57" s="241"/>
      <c r="C57" s="241"/>
      <c r="D57" s="241"/>
      <c r="E57" s="241"/>
      <c r="F57" s="241"/>
      <c r="G57" s="241"/>
      <c r="H57" s="241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Y57" s="241"/>
      <c r="Z57" s="241"/>
    </row>
    <row r="58" spans="1:26" ht="13.5" customHeight="1" x14ac:dyDescent="0.3">
      <c r="A58" s="241"/>
      <c r="B58" s="241"/>
      <c r="C58" s="241"/>
      <c r="D58" s="241"/>
      <c r="E58" s="241"/>
      <c r="F58" s="241"/>
      <c r="G58" s="241"/>
      <c r="H58" s="241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Y58" s="241"/>
      <c r="Z58" s="241"/>
    </row>
    <row r="59" spans="1:26" ht="13.5" customHeight="1" x14ac:dyDescent="0.3">
      <c r="A59" s="241"/>
      <c r="B59" s="241"/>
      <c r="C59" s="241"/>
      <c r="D59" s="241"/>
      <c r="E59" s="241"/>
      <c r="F59" s="241"/>
      <c r="G59" s="241"/>
      <c r="H59" s="24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Y59" s="241"/>
      <c r="Z59" s="241"/>
    </row>
    <row r="60" spans="1:26" ht="13.5" customHeight="1" x14ac:dyDescent="0.3">
      <c r="A60" s="241"/>
      <c r="B60" s="241"/>
      <c r="C60" s="241"/>
      <c r="D60" s="241"/>
      <c r="E60" s="241"/>
      <c r="F60" s="241"/>
      <c r="G60" s="241"/>
      <c r="H60" s="241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Y60" s="241"/>
      <c r="Z60" s="241"/>
    </row>
    <row r="61" spans="1:26" ht="13.5" customHeight="1" x14ac:dyDescent="0.3">
      <c r="A61" s="241"/>
      <c r="B61" s="241"/>
      <c r="C61" s="241"/>
      <c r="D61" s="241"/>
      <c r="E61" s="241"/>
      <c r="F61" s="241"/>
      <c r="G61" s="241"/>
      <c r="H61" s="24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Y61" s="241"/>
      <c r="Z61" s="241"/>
    </row>
    <row r="62" spans="1:26" ht="13.5" customHeight="1" x14ac:dyDescent="0.3">
      <c r="A62" s="241"/>
      <c r="B62" s="241"/>
      <c r="C62" s="241"/>
      <c r="D62" s="241"/>
      <c r="E62" s="241"/>
      <c r="F62" s="241"/>
      <c r="G62" s="241"/>
      <c r="H62" s="241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Y62" s="241"/>
      <c r="Z62" s="241"/>
    </row>
    <row r="63" spans="1:26" ht="13.5" customHeight="1" x14ac:dyDescent="0.3">
      <c r="A63" s="241"/>
      <c r="B63" s="241"/>
      <c r="C63" s="241"/>
      <c r="D63" s="241"/>
      <c r="E63" s="241"/>
      <c r="F63" s="241"/>
      <c r="G63" s="241"/>
      <c r="H63" s="24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Y63" s="241"/>
      <c r="Z63" s="241"/>
    </row>
    <row r="64" spans="1:26" ht="13.5" customHeight="1" x14ac:dyDescent="0.3">
      <c r="A64" s="241"/>
      <c r="B64" s="241"/>
      <c r="C64" s="241"/>
      <c r="D64" s="241"/>
      <c r="E64" s="241"/>
      <c r="F64" s="241"/>
      <c r="G64" s="241"/>
      <c r="H64" s="24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Y64" s="241"/>
      <c r="Z64" s="241"/>
    </row>
    <row r="65" spans="1:26" ht="13.5" customHeight="1" x14ac:dyDescent="0.3">
      <c r="A65" s="241"/>
      <c r="B65" s="241"/>
      <c r="C65" s="241"/>
      <c r="D65" s="241"/>
      <c r="E65" s="241"/>
      <c r="F65" s="241"/>
      <c r="G65" s="241"/>
      <c r="H65" s="241"/>
      <c r="I65" s="241"/>
      <c r="J65" s="241"/>
      <c r="K65" s="241"/>
      <c r="L65" s="241"/>
      <c r="M65" s="241"/>
      <c r="N65" s="241"/>
      <c r="O65" s="241"/>
      <c r="P65" s="241"/>
      <c r="Q65" s="241"/>
      <c r="R65" s="241"/>
      <c r="S65" s="241"/>
      <c r="T65" s="241"/>
      <c r="U65" s="241"/>
      <c r="V65" s="241"/>
      <c r="W65" s="241"/>
      <c r="X65" s="241"/>
      <c r="Y65" s="241"/>
      <c r="Z65" s="241"/>
    </row>
    <row r="66" spans="1:26" ht="13.5" customHeight="1" x14ac:dyDescent="0.3">
      <c r="A66" s="241"/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  <c r="O66" s="241"/>
      <c r="P66" s="241"/>
      <c r="Q66" s="241"/>
      <c r="R66" s="241"/>
      <c r="S66" s="241"/>
      <c r="T66" s="241"/>
      <c r="U66" s="241"/>
      <c r="V66" s="241"/>
      <c r="W66" s="241"/>
      <c r="X66" s="241"/>
      <c r="Y66" s="241"/>
      <c r="Z66" s="241"/>
    </row>
    <row r="67" spans="1:26" ht="13.5" customHeight="1" x14ac:dyDescent="0.3">
      <c r="A67" s="241"/>
      <c r="B67" s="241"/>
      <c r="C67" s="241"/>
      <c r="D67" s="241"/>
      <c r="E67" s="241"/>
      <c r="F67" s="241"/>
      <c r="G67" s="241"/>
      <c r="H67" s="241"/>
      <c r="I67" s="241"/>
      <c r="J67" s="241"/>
      <c r="K67" s="241"/>
      <c r="L67" s="241"/>
      <c r="M67" s="241"/>
      <c r="N67" s="241"/>
      <c r="O67" s="241"/>
      <c r="P67" s="241"/>
      <c r="Q67" s="241"/>
      <c r="R67" s="241"/>
      <c r="S67" s="241"/>
      <c r="T67" s="241"/>
      <c r="U67" s="241"/>
      <c r="V67" s="241"/>
      <c r="W67" s="241"/>
      <c r="X67" s="241"/>
      <c r="Y67" s="241"/>
      <c r="Z67" s="241"/>
    </row>
    <row r="68" spans="1:26" ht="13.5" customHeight="1" x14ac:dyDescent="0.3">
      <c r="A68" s="241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1"/>
      <c r="Q68" s="241"/>
      <c r="R68" s="241"/>
      <c r="S68" s="241"/>
      <c r="T68" s="241"/>
      <c r="U68" s="241"/>
      <c r="V68" s="241"/>
      <c r="W68" s="241"/>
      <c r="X68" s="241"/>
      <c r="Y68" s="241"/>
      <c r="Z68" s="241"/>
    </row>
    <row r="69" spans="1:26" ht="13.5" customHeight="1" x14ac:dyDescent="0.3">
      <c r="A69" s="241"/>
      <c r="B69" s="241"/>
      <c r="C69" s="241"/>
      <c r="D69" s="241"/>
      <c r="E69" s="241"/>
      <c r="F69" s="241"/>
      <c r="G69" s="241"/>
      <c r="H69" s="241"/>
      <c r="I69" s="241"/>
      <c r="J69" s="241"/>
      <c r="K69" s="241"/>
      <c r="L69" s="241"/>
      <c r="M69" s="241"/>
      <c r="N69" s="241"/>
      <c r="O69" s="241"/>
      <c r="P69" s="241"/>
      <c r="Q69" s="241"/>
      <c r="R69" s="241"/>
      <c r="S69" s="241"/>
      <c r="T69" s="241"/>
      <c r="U69" s="241"/>
      <c r="V69" s="241"/>
      <c r="W69" s="241"/>
      <c r="X69" s="241"/>
      <c r="Y69" s="241"/>
      <c r="Z69" s="241"/>
    </row>
    <row r="70" spans="1:26" ht="13.5" customHeight="1" x14ac:dyDescent="0.3">
      <c r="A70" s="241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241"/>
      <c r="Q70" s="241"/>
      <c r="R70" s="241"/>
      <c r="S70" s="241"/>
      <c r="T70" s="241"/>
      <c r="U70" s="241"/>
      <c r="V70" s="241"/>
      <c r="W70" s="241"/>
      <c r="X70" s="241"/>
      <c r="Y70" s="241"/>
      <c r="Z70" s="241"/>
    </row>
    <row r="71" spans="1:26" ht="13.5" customHeight="1" x14ac:dyDescent="0.3">
      <c r="A71" s="241"/>
      <c r="B71" s="241"/>
      <c r="C71" s="241"/>
      <c r="D71" s="241"/>
      <c r="E71" s="241"/>
      <c r="F71" s="241"/>
      <c r="G71" s="241"/>
      <c r="H71" s="241"/>
      <c r="I71" s="241"/>
      <c r="J71" s="241"/>
      <c r="K71" s="241"/>
      <c r="L71" s="241"/>
      <c r="M71" s="241"/>
      <c r="N71" s="241"/>
      <c r="O71" s="241"/>
      <c r="P71" s="241"/>
      <c r="Q71" s="241"/>
      <c r="R71" s="241"/>
      <c r="S71" s="241"/>
      <c r="T71" s="241"/>
      <c r="U71" s="241"/>
      <c r="V71" s="241"/>
      <c r="W71" s="241"/>
      <c r="X71" s="241"/>
      <c r="Y71" s="241"/>
      <c r="Z71" s="241"/>
    </row>
    <row r="72" spans="1:26" ht="13.5" customHeight="1" x14ac:dyDescent="0.3">
      <c r="A72" s="241"/>
      <c r="B72" s="241"/>
      <c r="C72" s="241"/>
      <c r="D72" s="241"/>
      <c r="E72" s="241"/>
      <c r="F72" s="241"/>
      <c r="G72" s="241"/>
      <c r="H72" s="241"/>
      <c r="I72" s="241"/>
      <c r="J72" s="241"/>
      <c r="K72" s="241"/>
      <c r="L72" s="241"/>
      <c r="M72" s="241"/>
      <c r="N72" s="241"/>
      <c r="O72" s="241"/>
      <c r="P72" s="241"/>
      <c r="Q72" s="241"/>
      <c r="R72" s="241"/>
      <c r="S72" s="241"/>
      <c r="T72" s="241"/>
      <c r="U72" s="241"/>
      <c r="V72" s="241"/>
      <c r="W72" s="241"/>
      <c r="X72" s="241"/>
      <c r="Y72" s="241"/>
      <c r="Z72" s="241"/>
    </row>
    <row r="73" spans="1:26" ht="13.5" customHeight="1" x14ac:dyDescent="0.3">
      <c r="A73" s="241"/>
      <c r="B73" s="241"/>
      <c r="C73" s="241"/>
      <c r="D73" s="241"/>
      <c r="E73" s="241"/>
      <c r="F73" s="241"/>
      <c r="G73" s="241"/>
      <c r="H73" s="241"/>
      <c r="I73" s="241"/>
      <c r="J73" s="241"/>
      <c r="K73" s="241"/>
      <c r="L73" s="241"/>
      <c r="M73" s="241"/>
      <c r="N73" s="241"/>
      <c r="O73" s="241"/>
      <c r="P73" s="241"/>
      <c r="Q73" s="241"/>
      <c r="R73" s="241"/>
      <c r="S73" s="241"/>
      <c r="T73" s="241"/>
      <c r="U73" s="241"/>
      <c r="V73" s="241"/>
      <c r="W73" s="241"/>
      <c r="X73" s="241"/>
      <c r="Y73" s="241"/>
      <c r="Z73" s="241"/>
    </row>
    <row r="74" spans="1:26" ht="13.5" customHeight="1" x14ac:dyDescent="0.3">
      <c r="A74" s="241"/>
      <c r="B74" s="241"/>
      <c r="C74" s="241"/>
      <c r="D74" s="241"/>
      <c r="E74" s="241"/>
      <c r="F74" s="241"/>
      <c r="G74" s="241"/>
      <c r="H74" s="241"/>
      <c r="I74" s="241"/>
      <c r="J74" s="241"/>
      <c r="K74" s="241"/>
      <c r="L74" s="241"/>
      <c r="M74" s="241"/>
      <c r="N74" s="241"/>
      <c r="O74" s="241"/>
      <c r="P74" s="241"/>
      <c r="Q74" s="241"/>
      <c r="R74" s="241"/>
      <c r="S74" s="241"/>
      <c r="T74" s="241"/>
      <c r="U74" s="241"/>
      <c r="V74" s="241"/>
      <c r="W74" s="241"/>
      <c r="X74" s="241"/>
      <c r="Y74" s="241"/>
      <c r="Z74" s="241"/>
    </row>
    <row r="75" spans="1:26" ht="13.5" customHeight="1" x14ac:dyDescent="0.3">
      <c r="A75" s="241"/>
      <c r="B75" s="241"/>
      <c r="C75" s="241"/>
      <c r="D75" s="241"/>
      <c r="E75" s="241"/>
      <c r="F75" s="241"/>
      <c r="G75" s="241"/>
      <c r="H75" s="241"/>
      <c r="I75" s="241"/>
      <c r="J75" s="241"/>
      <c r="K75" s="241"/>
      <c r="L75" s="241"/>
      <c r="M75" s="241"/>
      <c r="N75" s="241"/>
      <c r="O75" s="241"/>
      <c r="P75" s="241"/>
      <c r="Q75" s="241"/>
      <c r="R75" s="241"/>
      <c r="S75" s="241"/>
      <c r="T75" s="241"/>
      <c r="U75" s="241"/>
      <c r="V75" s="241"/>
      <c r="W75" s="241"/>
      <c r="X75" s="241"/>
      <c r="Y75" s="241"/>
      <c r="Z75" s="241"/>
    </row>
    <row r="76" spans="1:26" ht="13.5" customHeight="1" x14ac:dyDescent="0.3">
      <c r="A76" s="241"/>
      <c r="B76" s="241"/>
      <c r="C76" s="241"/>
      <c r="D76" s="241"/>
      <c r="E76" s="241"/>
      <c r="F76" s="241"/>
      <c r="G76" s="241"/>
      <c r="H76" s="241"/>
      <c r="I76" s="241"/>
      <c r="J76" s="241"/>
      <c r="K76" s="241"/>
      <c r="L76" s="241"/>
      <c r="M76" s="241"/>
      <c r="N76" s="241"/>
      <c r="O76" s="241"/>
      <c r="P76" s="241"/>
      <c r="Q76" s="241"/>
      <c r="R76" s="241"/>
      <c r="S76" s="241"/>
      <c r="T76" s="241"/>
      <c r="U76" s="241"/>
      <c r="V76" s="241"/>
      <c r="W76" s="241"/>
      <c r="X76" s="241"/>
      <c r="Y76" s="241"/>
      <c r="Z76" s="241"/>
    </row>
    <row r="77" spans="1:26" ht="13.5" customHeight="1" x14ac:dyDescent="0.3">
      <c r="A77" s="241"/>
      <c r="B77" s="241"/>
      <c r="C77" s="241"/>
      <c r="D77" s="241"/>
      <c r="E77" s="241"/>
      <c r="F77" s="241"/>
      <c r="G77" s="241"/>
      <c r="H77" s="241"/>
      <c r="I77" s="241"/>
      <c r="J77" s="241"/>
      <c r="K77" s="241"/>
      <c r="L77" s="241"/>
      <c r="M77" s="241"/>
      <c r="N77" s="241"/>
      <c r="O77" s="241"/>
      <c r="P77" s="241"/>
      <c r="Q77" s="241"/>
      <c r="R77" s="241"/>
      <c r="S77" s="241"/>
      <c r="T77" s="241"/>
      <c r="U77" s="241"/>
      <c r="V77" s="241"/>
      <c r="W77" s="241"/>
      <c r="X77" s="241"/>
      <c r="Y77" s="241"/>
      <c r="Z77" s="241"/>
    </row>
    <row r="78" spans="1:26" ht="13.5" customHeight="1" x14ac:dyDescent="0.3">
      <c r="A78" s="241"/>
      <c r="B78" s="241"/>
      <c r="C78" s="241"/>
      <c r="D78" s="241"/>
      <c r="E78" s="241"/>
      <c r="F78" s="241"/>
      <c r="G78" s="241"/>
      <c r="H78" s="241"/>
      <c r="I78" s="241"/>
      <c r="J78" s="241"/>
      <c r="K78" s="241"/>
      <c r="L78" s="241"/>
      <c r="M78" s="241"/>
      <c r="N78" s="241"/>
      <c r="O78" s="241"/>
      <c r="P78" s="241"/>
      <c r="Q78" s="241"/>
      <c r="R78" s="241"/>
      <c r="S78" s="241"/>
      <c r="T78" s="241"/>
      <c r="U78" s="241"/>
      <c r="V78" s="241"/>
      <c r="W78" s="241"/>
      <c r="X78" s="241"/>
      <c r="Y78" s="241"/>
      <c r="Z78" s="241"/>
    </row>
    <row r="79" spans="1:26" ht="13.5" customHeight="1" x14ac:dyDescent="0.3">
      <c r="A79" s="241"/>
      <c r="B79" s="241"/>
      <c r="C79" s="241"/>
      <c r="D79" s="241"/>
      <c r="E79" s="241"/>
      <c r="F79" s="241"/>
      <c r="G79" s="241"/>
      <c r="H79" s="241"/>
      <c r="I79" s="241"/>
      <c r="J79" s="241"/>
      <c r="K79" s="241"/>
      <c r="L79" s="241"/>
      <c r="M79" s="241"/>
      <c r="N79" s="241"/>
      <c r="O79" s="241"/>
      <c r="P79" s="241"/>
      <c r="Q79" s="241"/>
      <c r="R79" s="241"/>
      <c r="S79" s="241"/>
      <c r="T79" s="241"/>
      <c r="U79" s="241"/>
      <c r="V79" s="241"/>
      <c r="W79" s="241"/>
      <c r="X79" s="241"/>
      <c r="Y79" s="241"/>
      <c r="Z79" s="241"/>
    </row>
    <row r="80" spans="1:26" ht="13.5" customHeight="1" x14ac:dyDescent="0.3">
      <c r="A80" s="241"/>
      <c r="B80" s="241"/>
      <c r="C80" s="241"/>
      <c r="D80" s="241"/>
      <c r="E80" s="241"/>
      <c r="F80" s="241"/>
      <c r="G80" s="241"/>
      <c r="H80" s="241"/>
      <c r="I80" s="241"/>
      <c r="J80" s="241"/>
      <c r="K80" s="241"/>
      <c r="L80" s="241"/>
      <c r="M80" s="241"/>
      <c r="N80" s="241"/>
      <c r="O80" s="241"/>
      <c r="P80" s="241"/>
      <c r="Q80" s="241"/>
      <c r="R80" s="241"/>
      <c r="S80" s="241"/>
      <c r="T80" s="241"/>
      <c r="U80" s="241"/>
      <c r="V80" s="241"/>
      <c r="W80" s="241"/>
      <c r="X80" s="241"/>
      <c r="Y80" s="241"/>
      <c r="Z80" s="241"/>
    </row>
    <row r="81" spans="1:26" ht="13.5" customHeight="1" x14ac:dyDescent="0.3">
      <c r="A81" s="241"/>
      <c r="B81" s="241"/>
      <c r="C81" s="241"/>
      <c r="D81" s="241"/>
      <c r="E81" s="241"/>
      <c r="F81" s="241"/>
      <c r="G81" s="241"/>
      <c r="H81" s="241"/>
      <c r="I81" s="241"/>
      <c r="J81" s="241"/>
      <c r="K81" s="241"/>
      <c r="L81" s="241"/>
      <c r="M81" s="241"/>
      <c r="N81" s="241"/>
      <c r="O81" s="241"/>
      <c r="P81" s="241"/>
      <c r="Q81" s="241"/>
      <c r="R81" s="241"/>
      <c r="S81" s="241"/>
      <c r="T81" s="241"/>
      <c r="U81" s="241"/>
      <c r="V81" s="241"/>
      <c r="W81" s="241"/>
      <c r="X81" s="241"/>
      <c r="Y81" s="241"/>
      <c r="Z81" s="241"/>
    </row>
    <row r="82" spans="1:26" ht="13.5" customHeight="1" x14ac:dyDescent="0.3">
      <c r="A82" s="241"/>
      <c r="B82" s="241"/>
      <c r="C82" s="241"/>
      <c r="D82" s="241"/>
      <c r="E82" s="241"/>
      <c r="F82" s="241"/>
      <c r="G82" s="241"/>
      <c r="H82" s="241"/>
      <c r="I82" s="241"/>
      <c r="J82" s="241"/>
      <c r="K82" s="241"/>
      <c r="L82" s="241"/>
      <c r="M82" s="241"/>
      <c r="N82" s="241"/>
      <c r="O82" s="241"/>
      <c r="P82" s="241"/>
      <c r="Q82" s="241"/>
      <c r="R82" s="241"/>
      <c r="S82" s="241"/>
      <c r="T82" s="241"/>
      <c r="U82" s="241"/>
      <c r="V82" s="241"/>
      <c r="W82" s="241"/>
      <c r="X82" s="241"/>
      <c r="Y82" s="241"/>
      <c r="Z82" s="241"/>
    </row>
    <row r="83" spans="1:26" ht="13.5" customHeight="1" x14ac:dyDescent="0.3">
      <c r="A83" s="241"/>
      <c r="B83" s="241"/>
      <c r="C83" s="241"/>
      <c r="D83" s="241"/>
      <c r="E83" s="241"/>
      <c r="F83" s="241"/>
      <c r="G83" s="241"/>
      <c r="H83" s="241"/>
      <c r="I83" s="241"/>
      <c r="J83" s="241"/>
      <c r="K83" s="241"/>
      <c r="L83" s="241"/>
      <c r="M83" s="241"/>
      <c r="N83" s="241"/>
      <c r="O83" s="241"/>
      <c r="P83" s="241"/>
      <c r="Q83" s="241"/>
      <c r="R83" s="241"/>
      <c r="S83" s="241"/>
      <c r="T83" s="241"/>
      <c r="U83" s="241"/>
      <c r="V83" s="241"/>
      <c r="W83" s="241"/>
      <c r="X83" s="241"/>
      <c r="Y83" s="241"/>
      <c r="Z83" s="241"/>
    </row>
    <row r="84" spans="1:26" ht="13.5" customHeight="1" x14ac:dyDescent="0.3">
      <c r="A84" s="241"/>
      <c r="B84" s="241"/>
      <c r="C84" s="241"/>
      <c r="D84" s="241"/>
      <c r="E84" s="241"/>
      <c r="F84" s="241"/>
      <c r="G84" s="241"/>
      <c r="H84" s="241"/>
      <c r="I84" s="241"/>
      <c r="J84" s="241"/>
      <c r="K84" s="241"/>
      <c r="L84" s="241"/>
      <c r="M84" s="241"/>
      <c r="N84" s="241"/>
      <c r="O84" s="241"/>
      <c r="P84" s="241"/>
      <c r="Q84" s="241"/>
      <c r="R84" s="241"/>
      <c r="S84" s="241"/>
      <c r="T84" s="241"/>
      <c r="U84" s="241"/>
      <c r="V84" s="241"/>
      <c r="W84" s="241"/>
      <c r="X84" s="241"/>
      <c r="Y84" s="241"/>
      <c r="Z84" s="241"/>
    </row>
    <row r="85" spans="1:26" ht="13.5" customHeight="1" x14ac:dyDescent="0.3">
      <c r="A85" s="241"/>
      <c r="B85" s="241"/>
      <c r="C85" s="241"/>
      <c r="D85" s="241"/>
      <c r="E85" s="241"/>
      <c r="F85" s="241"/>
      <c r="G85" s="241"/>
      <c r="H85" s="241"/>
      <c r="I85" s="241"/>
      <c r="J85" s="241"/>
      <c r="K85" s="241"/>
      <c r="L85" s="241"/>
      <c r="M85" s="241"/>
      <c r="N85" s="241"/>
      <c r="O85" s="241"/>
      <c r="P85" s="241"/>
      <c r="Q85" s="241"/>
      <c r="R85" s="241"/>
      <c r="S85" s="241"/>
      <c r="T85" s="241"/>
      <c r="U85" s="241"/>
      <c r="V85" s="241"/>
      <c r="W85" s="241"/>
      <c r="X85" s="241"/>
      <c r="Y85" s="241"/>
      <c r="Z85" s="241"/>
    </row>
    <row r="86" spans="1:26" ht="13.5" customHeight="1" x14ac:dyDescent="0.3">
      <c r="A86" s="241"/>
      <c r="B86" s="241"/>
      <c r="C86" s="241"/>
      <c r="D86" s="241"/>
      <c r="E86" s="241"/>
      <c r="F86" s="241"/>
      <c r="G86" s="241"/>
      <c r="H86" s="241"/>
      <c r="I86" s="241"/>
      <c r="J86" s="241"/>
      <c r="K86" s="241"/>
      <c r="L86" s="241"/>
      <c r="M86" s="241"/>
      <c r="N86" s="241"/>
      <c r="O86" s="241"/>
      <c r="P86" s="241"/>
      <c r="Q86" s="241"/>
      <c r="R86" s="241"/>
      <c r="S86" s="241"/>
      <c r="T86" s="241"/>
      <c r="U86" s="241"/>
      <c r="V86" s="241"/>
      <c r="W86" s="241"/>
      <c r="X86" s="241"/>
      <c r="Y86" s="241"/>
      <c r="Z86" s="241"/>
    </row>
    <row r="87" spans="1:26" ht="13.5" customHeight="1" x14ac:dyDescent="0.3">
      <c r="A87" s="241"/>
      <c r="B87" s="241"/>
      <c r="C87" s="241"/>
      <c r="D87" s="241"/>
      <c r="E87" s="241"/>
      <c r="F87" s="241"/>
      <c r="G87" s="241"/>
      <c r="H87" s="241"/>
      <c r="I87" s="241"/>
      <c r="J87" s="241"/>
      <c r="K87" s="241"/>
      <c r="L87" s="241"/>
      <c r="M87" s="241"/>
      <c r="N87" s="241"/>
      <c r="O87" s="241"/>
      <c r="P87" s="241"/>
      <c r="Q87" s="241"/>
      <c r="R87" s="241"/>
      <c r="S87" s="241"/>
      <c r="T87" s="241"/>
      <c r="U87" s="241"/>
      <c r="V87" s="241"/>
      <c r="W87" s="241"/>
      <c r="X87" s="241"/>
      <c r="Y87" s="241"/>
      <c r="Z87" s="241"/>
    </row>
    <row r="88" spans="1:26" ht="13.5" customHeight="1" x14ac:dyDescent="0.3">
      <c r="A88" s="241"/>
      <c r="B88" s="241"/>
      <c r="C88" s="241"/>
      <c r="D88" s="241"/>
      <c r="E88" s="241"/>
      <c r="F88" s="241"/>
      <c r="G88" s="241"/>
      <c r="H88" s="241"/>
      <c r="I88" s="241"/>
      <c r="J88" s="241"/>
      <c r="K88" s="241"/>
      <c r="L88" s="241"/>
      <c r="M88" s="241"/>
      <c r="N88" s="241"/>
      <c r="O88" s="241"/>
      <c r="P88" s="241"/>
      <c r="Q88" s="241"/>
      <c r="R88" s="241"/>
      <c r="S88" s="241"/>
      <c r="T88" s="241"/>
      <c r="U88" s="241"/>
      <c r="V88" s="241"/>
      <c r="W88" s="241"/>
      <c r="X88" s="241"/>
      <c r="Y88" s="241"/>
      <c r="Z88" s="241"/>
    </row>
    <row r="89" spans="1:26" ht="13.5" customHeight="1" x14ac:dyDescent="0.3">
      <c r="A89" s="241"/>
      <c r="B89" s="241"/>
      <c r="C89" s="241"/>
      <c r="D89" s="241"/>
      <c r="E89" s="241"/>
      <c r="F89" s="241"/>
      <c r="G89" s="241"/>
      <c r="H89" s="241"/>
      <c r="I89" s="241"/>
      <c r="J89" s="241"/>
      <c r="K89" s="241"/>
      <c r="L89" s="241"/>
      <c r="M89" s="241"/>
      <c r="N89" s="241"/>
      <c r="O89" s="241"/>
      <c r="P89" s="241"/>
      <c r="Q89" s="241"/>
      <c r="R89" s="241"/>
      <c r="S89" s="241"/>
      <c r="T89" s="241"/>
      <c r="U89" s="241"/>
      <c r="V89" s="241"/>
      <c r="W89" s="241"/>
      <c r="X89" s="241"/>
      <c r="Y89" s="241"/>
      <c r="Z89" s="241"/>
    </row>
    <row r="90" spans="1:26" ht="13.5" customHeight="1" x14ac:dyDescent="0.3">
      <c r="A90" s="241"/>
      <c r="B90" s="241"/>
      <c r="C90" s="241"/>
      <c r="D90" s="241"/>
      <c r="E90" s="241"/>
      <c r="F90" s="241"/>
      <c r="G90" s="241"/>
      <c r="H90" s="241"/>
      <c r="I90" s="241"/>
      <c r="J90" s="241"/>
      <c r="K90" s="241"/>
      <c r="L90" s="241"/>
      <c r="M90" s="241"/>
      <c r="N90" s="241"/>
      <c r="O90" s="241"/>
      <c r="P90" s="241"/>
      <c r="Q90" s="241"/>
      <c r="R90" s="241"/>
      <c r="S90" s="241"/>
      <c r="T90" s="241"/>
      <c r="U90" s="241"/>
      <c r="V90" s="241"/>
      <c r="W90" s="241"/>
      <c r="X90" s="241"/>
      <c r="Y90" s="241"/>
      <c r="Z90" s="241"/>
    </row>
    <row r="91" spans="1:26" ht="13.5" customHeight="1" x14ac:dyDescent="0.3">
      <c r="A91" s="241"/>
      <c r="B91" s="241"/>
      <c r="C91" s="241"/>
      <c r="D91" s="241"/>
      <c r="E91" s="241"/>
      <c r="F91" s="241"/>
      <c r="G91" s="241"/>
      <c r="H91" s="241"/>
      <c r="I91" s="241"/>
      <c r="J91" s="241"/>
      <c r="K91" s="241"/>
      <c r="L91" s="241"/>
      <c r="M91" s="241"/>
      <c r="N91" s="241"/>
      <c r="O91" s="241"/>
      <c r="P91" s="241"/>
      <c r="Q91" s="241"/>
      <c r="R91" s="241"/>
      <c r="S91" s="241"/>
      <c r="T91" s="241"/>
      <c r="U91" s="241"/>
      <c r="V91" s="241"/>
      <c r="W91" s="241"/>
      <c r="X91" s="241"/>
      <c r="Y91" s="241"/>
      <c r="Z91" s="241"/>
    </row>
    <row r="92" spans="1:26" ht="13.5" customHeight="1" x14ac:dyDescent="0.3">
      <c r="A92" s="241"/>
      <c r="B92" s="241"/>
      <c r="C92" s="241"/>
      <c r="D92" s="241"/>
      <c r="E92" s="241"/>
      <c r="F92" s="241"/>
      <c r="G92" s="241"/>
      <c r="H92" s="241"/>
      <c r="I92" s="241"/>
      <c r="J92" s="241"/>
      <c r="K92" s="241"/>
      <c r="L92" s="241"/>
      <c r="M92" s="241"/>
      <c r="N92" s="241"/>
      <c r="O92" s="241"/>
      <c r="P92" s="241"/>
      <c r="Q92" s="241"/>
      <c r="R92" s="241"/>
      <c r="S92" s="241"/>
      <c r="T92" s="241"/>
      <c r="U92" s="241"/>
      <c r="V92" s="241"/>
      <c r="W92" s="241"/>
      <c r="X92" s="241"/>
      <c r="Y92" s="241"/>
      <c r="Z92" s="241"/>
    </row>
    <row r="93" spans="1:26" ht="13.5" customHeight="1" x14ac:dyDescent="0.3">
      <c r="A93" s="241"/>
      <c r="B93" s="241"/>
      <c r="C93" s="241"/>
      <c r="D93" s="241"/>
      <c r="E93" s="241"/>
      <c r="F93" s="241"/>
      <c r="G93" s="241"/>
      <c r="H93" s="241"/>
      <c r="I93" s="241"/>
      <c r="J93" s="241"/>
      <c r="K93" s="241"/>
      <c r="L93" s="241"/>
      <c r="M93" s="241"/>
      <c r="N93" s="241"/>
      <c r="O93" s="241"/>
      <c r="P93" s="241"/>
      <c r="Q93" s="241"/>
      <c r="R93" s="241"/>
      <c r="S93" s="241"/>
      <c r="T93" s="241"/>
      <c r="U93" s="241"/>
      <c r="V93" s="241"/>
      <c r="W93" s="241"/>
      <c r="X93" s="241"/>
      <c r="Y93" s="241"/>
      <c r="Z93" s="241"/>
    </row>
    <row r="94" spans="1:26" ht="13.5" customHeight="1" x14ac:dyDescent="0.3">
      <c r="A94" s="241"/>
      <c r="B94" s="241"/>
      <c r="C94" s="241"/>
      <c r="D94" s="241"/>
      <c r="E94" s="241"/>
      <c r="F94" s="241"/>
      <c r="G94" s="241"/>
      <c r="H94" s="241"/>
      <c r="I94" s="241"/>
      <c r="J94" s="241"/>
      <c r="K94" s="241"/>
      <c r="L94" s="241"/>
      <c r="M94" s="241"/>
      <c r="N94" s="241"/>
      <c r="O94" s="241"/>
      <c r="P94" s="241"/>
      <c r="Q94" s="241"/>
      <c r="R94" s="241"/>
      <c r="S94" s="241"/>
      <c r="T94" s="241"/>
      <c r="U94" s="241"/>
      <c r="V94" s="241"/>
      <c r="W94" s="241"/>
      <c r="X94" s="241"/>
      <c r="Y94" s="241"/>
      <c r="Z94" s="241"/>
    </row>
    <row r="95" spans="1:26" ht="13.5" customHeight="1" x14ac:dyDescent="0.3">
      <c r="A95" s="241"/>
      <c r="B95" s="241"/>
      <c r="C95" s="241"/>
      <c r="D95" s="241"/>
      <c r="E95" s="241"/>
      <c r="F95" s="241"/>
      <c r="G95" s="241"/>
      <c r="H95" s="241"/>
      <c r="I95" s="241"/>
      <c r="J95" s="241"/>
      <c r="K95" s="241"/>
      <c r="L95" s="241"/>
      <c r="M95" s="241"/>
      <c r="N95" s="241"/>
      <c r="O95" s="241"/>
      <c r="P95" s="241"/>
      <c r="Q95" s="241"/>
      <c r="R95" s="241"/>
      <c r="S95" s="241"/>
      <c r="T95" s="241"/>
      <c r="U95" s="241"/>
      <c r="V95" s="241"/>
      <c r="W95" s="241"/>
      <c r="X95" s="241"/>
      <c r="Y95" s="241"/>
      <c r="Z95" s="241"/>
    </row>
    <row r="96" spans="1:26" ht="13.5" customHeight="1" x14ac:dyDescent="0.3">
      <c r="A96" s="241"/>
      <c r="B96" s="241"/>
      <c r="C96" s="241"/>
      <c r="D96" s="241"/>
      <c r="E96" s="241"/>
      <c r="F96" s="241"/>
      <c r="G96" s="241"/>
      <c r="H96" s="241"/>
      <c r="I96" s="241"/>
      <c r="J96" s="241"/>
      <c r="K96" s="241"/>
      <c r="L96" s="241"/>
      <c r="M96" s="241"/>
      <c r="N96" s="241"/>
      <c r="O96" s="241"/>
      <c r="P96" s="241"/>
      <c r="Q96" s="241"/>
      <c r="R96" s="241"/>
      <c r="S96" s="241"/>
      <c r="T96" s="241"/>
      <c r="U96" s="241"/>
      <c r="V96" s="241"/>
      <c r="W96" s="241"/>
      <c r="X96" s="241"/>
      <c r="Y96" s="241"/>
      <c r="Z96" s="241"/>
    </row>
    <row r="97" spans="1:26" ht="13.5" customHeight="1" x14ac:dyDescent="0.3">
      <c r="A97" s="241"/>
      <c r="B97" s="241"/>
      <c r="C97" s="241"/>
      <c r="D97" s="241"/>
      <c r="E97" s="241"/>
      <c r="F97" s="241"/>
      <c r="G97" s="241"/>
      <c r="H97" s="241"/>
      <c r="I97" s="241"/>
      <c r="J97" s="241"/>
      <c r="K97" s="241"/>
      <c r="L97" s="241"/>
      <c r="M97" s="241"/>
      <c r="N97" s="241"/>
      <c r="O97" s="241"/>
      <c r="P97" s="241"/>
      <c r="Q97" s="241"/>
      <c r="R97" s="241"/>
      <c r="S97" s="241"/>
      <c r="T97" s="241"/>
      <c r="U97" s="241"/>
      <c r="V97" s="241"/>
      <c r="W97" s="241"/>
      <c r="X97" s="241"/>
      <c r="Y97" s="241"/>
      <c r="Z97" s="241"/>
    </row>
    <row r="98" spans="1:26" ht="13.5" customHeight="1" x14ac:dyDescent="0.3">
      <c r="A98" s="241"/>
      <c r="B98" s="241"/>
      <c r="C98" s="241"/>
      <c r="D98" s="241"/>
      <c r="E98" s="241"/>
      <c r="F98" s="241"/>
      <c r="G98" s="241"/>
      <c r="H98" s="241"/>
      <c r="I98" s="241"/>
      <c r="J98" s="241"/>
      <c r="K98" s="241"/>
      <c r="L98" s="241"/>
      <c r="M98" s="241"/>
      <c r="N98" s="241"/>
      <c r="O98" s="241"/>
      <c r="P98" s="241"/>
      <c r="Q98" s="241"/>
      <c r="R98" s="241"/>
      <c r="S98" s="241"/>
      <c r="T98" s="241"/>
      <c r="U98" s="241"/>
      <c r="V98" s="241"/>
      <c r="W98" s="241"/>
      <c r="X98" s="241"/>
      <c r="Y98" s="241"/>
      <c r="Z98" s="241"/>
    </row>
    <row r="99" spans="1:26" ht="13.5" customHeight="1" x14ac:dyDescent="0.3">
      <c r="A99" s="241"/>
      <c r="B99" s="241"/>
      <c r="C99" s="241"/>
      <c r="D99" s="241"/>
      <c r="E99" s="241"/>
      <c r="F99" s="241"/>
      <c r="G99" s="241"/>
      <c r="H99" s="241"/>
      <c r="I99" s="241"/>
      <c r="J99" s="241"/>
      <c r="K99" s="241"/>
      <c r="L99" s="241"/>
      <c r="M99" s="241"/>
      <c r="N99" s="241"/>
      <c r="O99" s="241"/>
      <c r="P99" s="241"/>
      <c r="Q99" s="241"/>
      <c r="R99" s="241"/>
      <c r="S99" s="241"/>
      <c r="T99" s="241"/>
      <c r="U99" s="241"/>
      <c r="V99" s="241"/>
      <c r="W99" s="241"/>
      <c r="X99" s="241"/>
      <c r="Y99" s="241"/>
      <c r="Z99" s="241"/>
    </row>
    <row r="100" spans="1:26" ht="13.5" customHeight="1" x14ac:dyDescent="0.3">
      <c r="A100" s="241"/>
      <c r="B100" s="241"/>
      <c r="C100" s="241"/>
      <c r="D100" s="241"/>
      <c r="E100" s="241"/>
      <c r="F100" s="241"/>
      <c r="G100" s="241"/>
      <c r="H100" s="241"/>
      <c r="I100" s="241"/>
      <c r="J100" s="241"/>
      <c r="K100" s="241"/>
      <c r="L100" s="241"/>
      <c r="M100" s="241"/>
      <c r="N100" s="241"/>
      <c r="O100" s="241"/>
      <c r="P100" s="241"/>
      <c r="Q100" s="241"/>
      <c r="R100" s="241"/>
      <c r="S100" s="241"/>
      <c r="T100" s="241"/>
      <c r="U100" s="241"/>
      <c r="V100" s="241"/>
      <c r="W100" s="241"/>
      <c r="X100" s="241"/>
      <c r="Y100" s="241"/>
      <c r="Z100" s="241"/>
    </row>
    <row r="101" spans="1:26" ht="13.5" customHeight="1" x14ac:dyDescent="0.3">
      <c r="A101" s="241"/>
      <c r="B101" s="241"/>
      <c r="C101" s="241"/>
      <c r="D101" s="241"/>
      <c r="E101" s="241"/>
      <c r="F101" s="241"/>
      <c r="G101" s="241"/>
      <c r="H101" s="241"/>
      <c r="I101" s="241"/>
      <c r="J101" s="241"/>
      <c r="K101" s="241"/>
      <c r="L101" s="241"/>
      <c r="M101" s="241"/>
      <c r="N101" s="241"/>
      <c r="O101" s="241"/>
      <c r="P101" s="241"/>
      <c r="Q101" s="241"/>
      <c r="R101" s="241"/>
      <c r="S101" s="241"/>
      <c r="T101" s="241"/>
      <c r="U101" s="241"/>
      <c r="V101" s="241"/>
      <c r="W101" s="241"/>
      <c r="X101" s="241"/>
      <c r="Y101" s="241"/>
      <c r="Z101" s="241"/>
    </row>
    <row r="102" spans="1:26" ht="13.5" customHeight="1" x14ac:dyDescent="0.3">
      <c r="A102" s="241"/>
      <c r="B102" s="241"/>
      <c r="C102" s="241"/>
      <c r="D102" s="241"/>
      <c r="E102" s="241"/>
      <c r="F102" s="241"/>
      <c r="G102" s="241"/>
      <c r="H102" s="241"/>
      <c r="I102" s="241"/>
      <c r="J102" s="241"/>
      <c r="K102" s="241"/>
      <c r="L102" s="241"/>
      <c r="M102" s="241"/>
      <c r="N102" s="241"/>
      <c r="O102" s="241"/>
      <c r="P102" s="241"/>
      <c r="Q102" s="241"/>
      <c r="R102" s="241"/>
      <c r="S102" s="241"/>
      <c r="T102" s="241"/>
      <c r="U102" s="241"/>
      <c r="V102" s="241"/>
      <c r="W102" s="241"/>
      <c r="X102" s="241"/>
      <c r="Y102" s="241"/>
      <c r="Z102" s="241"/>
    </row>
    <row r="103" spans="1:26" ht="13.5" customHeight="1" x14ac:dyDescent="0.3">
      <c r="A103" s="241"/>
      <c r="B103" s="241"/>
      <c r="C103" s="241"/>
      <c r="D103" s="241"/>
      <c r="E103" s="241"/>
      <c r="F103" s="241"/>
      <c r="G103" s="241"/>
      <c r="H103" s="241"/>
      <c r="I103" s="241"/>
      <c r="J103" s="241"/>
      <c r="K103" s="241"/>
      <c r="L103" s="241"/>
      <c r="M103" s="241"/>
      <c r="N103" s="241"/>
      <c r="O103" s="241"/>
      <c r="P103" s="241"/>
      <c r="Q103" s="241"/>
      <c r="R103" s="241"/>
      <c r="S103" s="241"/>
      <c r="T103" s="241"/>
      <c r="U103" s="241"/>
      <c r="V103" s="241"/>
      <c r="W103" s="241"/>
      <c r="X103" s="241"/>
      <c r="Y103" s="241"/>
      <c r="Z103" s="241"/>
    </row>
    <row r="104" spans="1:26" ht="13.5" customHeight="1" x14ac:dyDescent="0.3">
      <c r="A104" s="241"/>
      <c r="B104" s="241"/>
      <c r="C104" s="241"/>
      <c r="D104" s="241"/>
      <c r="E104" s="241"/>
      <c r="F104" s="241"/>
      <c r="G104" s="241"/>
      <c r="H104" s="241"/>
      <c r="I104" s="241"/>
      <c r="J104" s="241"/>
      <c r="K104" s="241"/>
      <c r="L104" s="241"/>
      <c r="M104" s="241"/>
      <c r="N104" s="241"/>
      <c r="O104" s="241"/>
      <c r="P104" s="241"/>
      <c r="Q104" s="241"/>
      <c r="R104" s="241"/>
      <c r="S104" s="241"/>
      <c r="T104" s="241"/>
      <c r="U104" s="241"/>
      <c r="V104" s="241"/>
      <c r="W104" s="241"/>
      <c r="X104" s="241"/>
      <c r="Y104" s="241"/>
      <c r="Z104" s="241"/>
    </row>
    <row r="105" spans="1:26" ht="13.5" customHeight="1" x14ac:dyDescent="0.3">
      <c r="A105" s="241"/>
      <c r="B105" s="241"/>
      <c r="C105" s="241"/>
      <c r="D105" s="241"/>
      <c r="E105" s="241"/>
      <c r="F105" s="241"/>
      <c r="G105" s="241"/>
      <c r="H105" s="241"/>
      <c r="I105" s="241"/>
      <c r="J105" s="241"/>
      <c r="K105" s="241"/>
      <c r="L105" s="241"/>
      <c r="M105" s="241"/>
      <c r="N105" s="241"/>
      <c r="O105" s="241"/>
      <c r="P105" s="241"/>
      <c r="Q105" s="241"/>
      <c r="R105" s="241"/>
      <c r="S105" s="241"/>
      <c r="T105" s="241"/>
      <c r="U105" s="241"/>
      <c r="V105" s="241"/>
      <c r="W105" s="241"/>
      <c r="X105" s="241"/>
      <c r="Y105" s="241"/>
      <c r="Z105" s="241"/>
    </row>
    <row r="106" spans="1:26" ht="13.5" customHeight="1" x14ac:dyDescent="0.3">
      <c r="A106" s="241"/>
      <c r="B106" s="241"/>
      <c r="C106" s="241"/>
      <c r="D106" s="241"/>
      <c r="E106" s="241"/>
      <c r="F106" s="241"/>
      <c r="G106" s="241"/>
      <c r="H106" s="241"/>
      <c r="I106" s="241"/>
      <c r="J106" s="241"/>
      <c r="K106" s="241"/>
      <c r="L106" s="241"/>
      <c r="M106" s="241"/>
      <c r="N106" s="241"/>
      <c r="O106" s="241"/>
      <c r="P106" s="241"/>
      <c r="Q106" s="241"/>
      <c r="R106" s="241"/>
      <c r="S106" s="241"/>
      <c r="T106" s="241"/>
      <c r="U106" s="241"/>
      <c r="V106" s="241"/>
      <c r="W106" s="241"/>
      <c r="X106" s="241"/>
      <c r="Y106" s="241"/>
      <c r="Z106" s="241"/>
    </row>
    <row r="107" spans="1:26" ht="13.5" customHeight="1" x14ac:dyDescent="0.3">
      <c r="A107" s="241"/>
      <c r="B107" s="241"/>
      <c r="C107" s="241"/>
      <c r="D107" s="241"/>
      <c r="E107" s="241"/>
      <c r="F107" s="241"/>
      <c r="G107" s="241"/>
      <c r="H107" s="241"/>
      <c r="I107" s="241"/>
      <c r="J107" s="241"/>
      <c r="K107" s="241"/>
      <c r="L107" s="241"/>
      <c r="M107" s="241"/>
      <c r="N107" s="241"/>
      <c r="O107" s="241"/>
      <c r="P107" s="241"/>
      <c r="Q107" s="241"/>
      <c r="R107" s="241"/>
      <c r="S107" s="241"/>
      <c r="T107" s="241"/>
      <c r="U107" s="241"/>
      <c r="V107" s="241"/>
      <c r="W107" s="241"/>
      <c r="X107" s="241"/>
      <c r="Y107" s="241"/>
      <c r="Z107" s="241"/>
    </row>
    <row r="108" spans="1:26" ht="13.5" customHeight="1" x14ac:dyDescent="0.3">
      <c r="A108" s="241"/>
      <c r="B108" s="241"/>
      <c r="C108" s="241"/>
      <c r="D108" s="241"/>
      <c r="E108" s="241"/>
      <c r="F108" s="241"/>
      <c r="G108" s="241"/>
      <c r="H108" s="241"/>
      <c r="I108" s="241"/>
      <c r="J108" s="241"/>
      <c r="K108" s="241"/>
      <c r="L108" s="241"/>
      <c r="M108" s="241"/>
      <c r="N108" s="241"/>
      <c r="O108" s="241"/>
      <c r="P108" s="241"/>
      <c r="Q108" s="241"/>
      <c r="R108" s="241"/>
      <c r="S108" s="241"/>
      <c r="T108" s="241"/>
      <c r="U108" s="241"/>
      <c r="V108" s="241"/>
      <c r="W108" s="241"/>
      <c r="X108" s="241"/>
      <c r="Y108" s="241"/>
      <c r="Z108" s="241"/>
    </row>
    <row r="109" spans="1:26" ht="13.5" customHeight="1" x14ac:dyDescent="0.3">
      <c r="A109" s="241"/>
      <c r="B109" s="241"/>
      <c r="C109" s="241"/>
      <c r="D109" s="241"/>
      <c r="E109" s="241"/>
      <c r="F109" s="241"/>
      <c r="G109" s="241"/>
      <c r="H109" s="241"/>
      <c r="I109" s="241"/>
      <c r="J109" s="241"/>
      <c r="K109" s="241"/>
      <c r="L109" s="241"/>
      <c r="M109" s="241"/>
      <c r="N109" s="241"/>
      <c r="O109" s="241"/>
      <c r="P109" s="241"/>
      <c r="Q109" s="241"/>
      <c r="R109" s="241"/>
      <c r="S109" s="241"/>
      <c r="T109" s="241"/>
      <c r="U109" s="241"/>
      <c r="V109" s="241"/>
      <c r="W109" s="241"/>
      <c r="X109" s="241"/>
      <c r="Y109" s="241"/>
      <c r="Z109" s="241"/>
    </row>
    <row r="110" spans="1:26" ht="13.5" customHeight="1" x14ac:dyDescent="0.3">
      <c r="A110" s="241"/>
      <c r="B110" s="241"/>
      <c r="C110" s="241"/>
      <c r="D110" s="241"/>
      <c r="E110" s="241"/>
      <c r="F110" s="241"/>
      <c r="G110" s="241"/>
      <c r="H110" s="241"/>
      <c r="I110" s="241"/>
      <c r="J110" s="241"/>
      <c r="K110" s="241"/>
      <c r="L110" s="241"/>
      <c r="M110" s="241"/>
      <c r="N110" s="241"/>
      <c r="O110" s="241"/>
      <c r="P110" s="241"/>
      <c r="Q110" s="241"/>
      <c r="R110" s="241"/>
      <c r="S110" s="241"/>
      <c r="T110" s="241"/>
      <c r="U110" s="241"/>
      <c r="V110" s="241"/>
      <c r="W110" s="241"/>
      <c r="X110" s="241"/>
      <c r="Y110" s="241"/>
      <c r="Z110" s="241"/>
    </row>
    <row r="111" spans="1:26" ht="13.5" customHeight="1" x14ac:dyDescent="0.3">
      <c r="A111" s="241"/>
      <c r="B111" s="241"/>
      <c r="C111" s="241"/>
      <c r="D111" s="241"/>
      <c r="E111" s="241"/>
      <c r="F111" s="241"/>
      <c r="G111" s="241"/>
      <c r="H111" s="241"/>
      <c r="I111" s="241"/>
      <c r="J111" s="241"/>
      <c r="K111" s="241"/>
      <c r="L111" s="241"/>
      <c r="M111" s="241"/>
      <c r="N111" s="241"/>
      <c r="O111" s="241"/>
      <c r="P111" s="241"/>
      <c r="Q111" s="241"/>
      <c r="R111" s="241"/>
      <c r="S111" s="241"/>
      <c r="T111" s="241"/>
      <c r="U111" s="241"/>
      <c r="V111" s="241"/>
      <c r="W111" s="241"/>
      <c r="X111" s="241"/>
      <c r="Y111" s="241"/>
      <c r="Z111" s="241"/>
    </row>
    <row r="112" spans="1:26" ht="13.5" customHeight="1" x14ac:dyDescent="0.3">
      <c r="A112" s="241"/>
      <c r="B112" s="241"/>
      <c r="C112" s="241"/>
      <c r="D112" s="241"/>
      <c r="E112" s="241"/>
      <c r="F112" s="241"/>
      <c r="G112" s="241"/>
      <c r="H112" s="241"/>
      <c r="I112" s="241"/>
      <c r="J112" s="241"/>
      <c r="K112" s="241"/>
      <c r="L112" s="241"/>
      <c r="M112" s="241"/>
      <c r="N112" s="241"/>
      <c r="O112" s="241"/>
      <c r="P112" s="241"/>
      <c r="Q112" s="241"/>
      <c r="R112" s="241"/>
      <c r="S112" s="241"/>
      <c r="T112" s="241"/>
      <c r="U112" s="241"/>
      <c r="V112" s="241"/>
      <c r="W112" s="241"/>
      <c r="X112" s="241"/>
      <c r="Y112" s="241"/>
      <c r="Z112" s="241"/>
    </row>
    <row r="113" spans="1:26" ht="13.5" customHeight="1" x14ac:dyDescent="0.3">
      <c r="A113" s="241"/>
      <c r="B113" s="241"/>
      <c r="C113" s="241"/>
      <c r="D113" s="241"/>
      <c r="E113" s="241"/>
      <c r="F113" s="241"/>
      <c r="G113" s="241"/>
      <c r="H113" s="241"/>
      <c r="I113" s="241"/>
      <c r="J113" s="241"/>
      <c r="K113" s="241"/>
      <c r="L113" s="241"/>
      <c r="M113" s="241"/>
      <c r="N113" s="241"/>
      <c r="O113" s="241"/>
      <c r="P113" s="241"/>
      <c r="Q113" s="241"/>
      <c r="R113" s="241"/>
      <c r="S113" s="241"/>
      <c r="T113" s="241"/>
      <c r="U113" s="241"/>
      <c r="V113" s="241"/>
      <c r="W113" s="241"/>
      <c r="X113" s="241"/>
      <c r="Y113" s="241"/>
      <c r="Z113" s="241"/>
    </row>
    <row r="114" spans="1:26" ht="13.5" customHeight="1" x14ac:dyDescent="0.3">
      <c r="A114" s="241"/>
      <c r="B114" s="241"/>
      <c r="C114" s="241"/>
      <c r="D114" s="241"/>
      <c r="E114" s="241"/>
      <c r="F114" s="241"/>
      <c r="G114" s="241"/>
      <c r="H114" s="241"/>
      <c r="I114" s="241"/>
      <c r="J114" s="241"/>
      <c r="K114" s="241"/>
      <c r="L114" s="241"/>
      <c r="M114" s="241"/>
      <c r="N114" s="241"/>
      <c r="O114" s="241"/>
      <c r="P114" s="241"/>
      <c r="Q114" s="241"/>
      <c r="R114" s="241"/>
      <c r="S114" s="241"/>
      <c r="T114" s="241"/>
      <c r="U114" s="241"/>
      <c r="V114" s="241"/>
      <c r="W114" s="241"/>
      <c r="X114" s="241"/>
      <c r="Y114" s="241"/>
      <c r="Z114" s="241"/>
    </row>
    <row r="115" spans="1:26" ht="13.5" customHeight="1" x14ac:dyDescent="0.3">
      <c r="A115" s="241"/>
      <c r="B115" s="241"/>
      <c r="C115" s="241"/>
      <c r="D115" s="241"/>
      <c r="E115" s="241"/>
      <c r="F115" s="241"/>
      <c r="G115" s="241"/>
      <c r="H115" s="241"/>
      <c r="I115" s="241"/>
      <c r="J115" s="241"/>
      <c r="K115" s="241"/>
      <c r="L115" s="241"/>
      <c r="M115" s="241"/>
      <c r="N115" s="241"/>
      <c r="O115" s="241"/>
      <c r="P115" s="241"/>
      <c r="Q115" s="241"/>
      <c r="R115" s="241"/>
      <c r="S115" s="241"/>
      <c r="T115" s="241"/>
      <c r="U115" s="241"/>
      <c r="V115" s="241"/>
      <c r="W115" s="241"/>
      <c r="X115" s="241"/>
      <c r="Y115" s="241"/>
      <c r="Z115" s="241"/>
    </row>
    <row r="116" spans="1:26" ht="13.5" customHeight="1" x14ac:dyDescent="0.3">
      <c r="A116" s="241"/>
      <c r="B116" s="241"/>
      <c r="C116" s="241"/>
      <c r="D116" s="241"/>
      <c r="E116" s="241"/>
      <c r="F116" s="241"/>
      <c r="G116" s="241"/>
      <c r="H116" s="241"/>
      <c r="I116" s="241"/>
      <c r="J116" s="241"/>
      <c r="K116" s="241"/>
      <c r="L116" s="241"/>
      <c r="M116" s="241"/>
      <c r="N116" s="241"/>
      <c r="O116" s="241"/>
      <c r="P116" s="241"/>
      <c r="Q116" s="241"/>
      <c r="R116" s="241"/>
      <c r="S116" s="241"/>
      <c r="T116" s="241"/>
      <c r="U116" s="241"/>
      <c r="V116" s="241"/>
      <c r="W116" s="241"/>
      <c r="X116" s="241"/>
      <c r="Y116" s="241"/>
      <c r="Z116" s="241"/>
    </row>
    <row r="117" spans="1:26" ht="13.5" customHeight="1" x14ac:dyDescent="0.3">
      <c r="A117" s="241"/>
      <c r="B117" s="241"/>
      <c r="C117" s="241"/>
      <c r="D117" s="241"/>
      <c r="E117" s="241"/>
      <c r="F117" s="241"/>
      <c r="G117" s="241"/>
      <c r="H117" s="241"/>
      <c r="I117" s="241"/>
      <c r="J117" s="241"/>
      <c r="K117" s="241"/>
      <c r="L117" s="241"/>
      <c r="M117" s="241"/>
      <c r="N117" s="241"/>
      <c r="O117" s="241"/>
      <c r="P117" s="241"/>
      <c r="Q117" s="241"/>
      <c r="R117" s="241"/>
      <c r="S117" s="241"/>
      <c r="T117" s="241"/>
      <c r="U117" s="241"/>
      <c r="V117" s="241"/>
      <c r="W117" s="241"/>
      <c r="X117" s="241"/>
      <c r="Y117" s="241"/>
      <c r="Z117" s="241"/>
    </row>
    <row r="118" spans="1:26" ht="13.5" customHeight="1" x14ac:dyDescent="0.3">
      <c r="A118" s="241"/>
      <c r="B118" s="241"/>
      <c r="C118" s="241"/>
      <c r="D118" s="241"/>
      <c r="E118" s="241"/>
      <c r="F118" s="241"/>
      <c r="G118" s="241"/>
      <c r="H118" s="241"/>
      <c r="I118" s="241"/>
      <c r="J118" s="241"/>
      <c r="K118" s="241"/>
      <c r="L118" s="241"/>
      <c r="M118" s="241"/>
      <c r="N118" s="241"/>
      <c r="O118" s="241"/>
      <c r="P118" s="241"/>
      <c r="Q118" s="241"/>
      <c r="R118" s="241"/>
      <c r="S118" s="241"/>
      <c r="T118" s="241"/>
      <c r="U118" s="241"/>
      <c r="V118" s="241"/>
      <c r="W118" s="241"/>
      <c r="X118" s="241"/>
      <c r="Y118" s="241"/>
      <c r="Z118" s="241"/>
    </row>
    <row r="119" spans="1:26" ht="13.5" customHeight="1" x14ac:dyDescent="0.3">
      <c r="A119" s="241"/>
      <c r="B119" s="241"/>
      <c r="C119" s="241"/>
      <c r="D119" s="241"/>
      <c r="E119" s="241"/>
      <c r="F119" s="241"/>
      <c r="G119" s="241"/>
      <c r="H119" s="241"/>
      <c r="I119" s="241"/>
      <c r="J119" s="241"/>
      <c r="K119" s="241"/>
      <c r="L119" s="241"/>
      <c r="M119" s="241"/>
      <c r="N119" s="241"/>
      <c r="O119" s="241"/>
      <c r="P119" s="241"/>
      <c r="Q119" s="241"/>
      <c r="R119" s="241"/>
      <c r="S119" s="241"/>
      <c r="T119" s="241"/>
      <c r="U119" s="241"/>
      <c r="V119" s="241"/>
      <c r="W119" s="241"/>
      <c r="X119" s="241"/>
      <c r="Y119" s="241"/>
      <c r="Z119" s="241"/>
    </row>
    <row r="120" spans="1:26" ht="13.5" customHeight="1" x14ac:dyDescent="0.3">
      <c r="A120" s="241"/>
      <c r="B120" s="241"/>
      <c r="C120" s="241"/>
      <c r="D120" s="241"/>
      <c r="E120" s="241"/>
      <c r="F120" s="241"/>
      <c r="G120" s="241"/>
      <c r="H120" s="241"/>
      <c r="I120" s="241"/>
      <c r="J120" s="241"/>
      <c r="K120" s="241"/>
      <c r="L120" s="241"/>
      <c r="M120" s="241"/>
      <c r="N120" s="241"/>
      <c r="O120" s="241"/>
      <c r="P120" s="241"/>
      <c r="Q120" s="241"/>
      <c r="R120" s="241"/>
      <c r="S120" s="241"/>
      <c r="T120" s="241"/>
      <c r="U120" s="241"/>
      <c r="V120" s="241"/>
      <c r="W120" s="241"/>
      <c r="X120" s="241"/>
      <c r="Y120" s="241"/>
      <c r="Z120" s="241"/>
    </row>
    <row r="121" spans="1:26" ht="13.5" customHeight="1" x14ac:dyDescent="0.3">
      <c r="A121" s="241"/>
      <c r="B121" s="241"/>
      <c r="C121" s="241"/>
      <c r="D121" s="241"/>
      <c r="E121" s="241"/>
      <c r="F121" s="241"/>
      <c r="G121" s="241"/>
      <c r="H121" s="241"/>
      <c r="I121" s="241"/>
      <c r="J121" s="241"/>
      <c r="K121" s="241"/>
      <c r="L121" s="241"/>
      <c r="M121" s="241"/>
      <c r="N121" s="241"/>
      <c r="O121" s="241"/>
      <c r="P121" s="241"/>
      <c r="Q121" s="241"/>
      <c r="R121" s="241"/>
      <c r="S121" s="241"/>
      <c r="T121" s="241"/>
      <c r="U121" s="241"/>
      <c r="V121" s="241"/>
      <c r="W121" s="241"/>
      <c r="X121" s="241"/>
      <c r="Y121" s="241"/>
      <c r="Z121" s="241"/>
    </row>
    <row r="122" spans="1:26" ht="13.5" customHeight="1" x14ac:dyDescent="0.3">
      <c r="A122" s="241"/>
      <c r="B122" s="241"/>
      <c r="C122" s="241"/>
      <c r="D122" s="241"/>
      <c r="E122" s="241"/>
      <c r="F122" s="241"/>
      <c r="G122" s="241"/>
      <c r="H122" s="241"/>
      <c r="I122" s="241"/>
      <c r="J122" s="241"/>
      <c r="K122" s="241"/>
      <c r="L122" s="241"/>
      <c r="M122" s="241"/>
      <c r="N122" s="241"/>
      <c r="O122" s="241"/>
      <c r="P122" s="241"/>
      <c r="Q122" s="241"/>
      <c r="R122" s="241"/>
      <c r="S122" s="241"/>
      <c r="T122" s="241"/>
      <c r="U122" s="241"/>
      <c r="V122" s="241"/>
      <c r="W122" s="241"/>
      <c r="X122" s="241"/>
      <c r="Y122" s="241"/>
      <c r="Z122" s="241"/>
    </row>
    <row r="123" spans="1:26" ht="13.5" customHeight="1" x14ac:dyDescent="0.3">
      <c r="A123" s="241"/>
      <c r="B123" s="241"/>
      <c r="C123" s="241"/>
      <c r="D123" s="241"/>
      <c r="E123" s="241"/>
      <c r="F123" s="241"/>
      <c r="G123" s="241"/>
      <c r="H123" s="241"/>
      <c r="I123" s="241"/>
      <c r="J123" s="241"/>
      <c r="K123" s="241"/>
      <c r="L123" s="241"/>
      <c r="M123" s="241"/>
      <c r="N123" s="241"/>
      <c r="O123" s="241"/>
      <c r="P123" s="241"/>
      <c r="Q123" s="241"/>
      <c r="R123" s="241"/>
      <c r="S123" s="241"/>
      <c r="T123" s="241"/>
      <c r="U123" s="241"/>
      <c r="V123" s="241"/>
      <c r="W123" s="241"/>
      <c r="X123" s="241"/>
      <c r="Y123" s="241"/>
      <c r="Z123" s="241"/>
    </row>
    <row r="124" spans="1:26" ht="13.5" customHeight="1" x14ac:dyDescent="0.3">
      <c r="A124" s="241"/>
      <c r="B124" s="241"/>
      <c r="C124" s="241"/>
      <c r="D124" s="241"/>
      <c r="E124" s="241"/>
      <c r="F124" s="241"/>
      <c r="G124" s="241"/>
      <c r="H124" s="241"/>
      <c r="I124" s="241"/>
      <c r="J124" s="241"/>
      <c r="K124" s="241"/>
      <c r="L124" s="241"/>
      <c r="M124" s="241"/>
      <c r="N124" s="241"/>
      <c r="O124" s="241"/>
      <c r="P124" s="241"/>
      <c r="Q124" s="241"/>
      <c r="R124" s="241"/>
      <c r="S124" s="241"/>
      <c r="T124" s="241"/>
      <c r="U124" s="241"/>
      <c r="V124" s="241"/>
      <c r="W124" s="241"/>
      <c r="X124" s="241"/>
      <c r="Y124" s="241"/>
      <c r="Z124" s="241"/>
    </row>
    <row r="125" spans="1:26" ht="13.5" customHeight="1" x14ac:dyDescent="0.3">
      <c r="A125" s="241"/>
      <c r="B125" s="241"/>
      <c r="C125" s="241"/>
      <c r="D125" s="241"/>
      <c r="E125" s="241"/>
      <c r="F125" s="241"/>
      <c r="G125" s="241"/>
      <c r="H125" s="241"/>
      <c r="I125" s="241"/>
      <c r="J125" s="241"/>
      <c r="K125" s="241"/>
      <c r="L125" s="241"/>
      <c r="M125" s="241"/>
      <c r="N125" s="241"/>
      <c r="O125" s="241"/>
      <c r="P125" s="241"/>
      <c r="Q125" s="241"/>
      <c r="R125" s="241"/>
      <c r="S125" s="241"/>
      <c r="T125" s="241"/>
      <c r="U125" s="241"/>
      <c r="V125" s="241"/>
      <c r="W125" s="241"/>
      <c r="X125" s="241"/>
      <c r="Y125" s="241"/>
      <c r="Z125" s="241"/>
    </row>
    <row r="126" spans="1:26" ht="13.5" customHeight="1" x14ac:dyDescent="0.3">
      <c r="A126" s="241"/>
      <c r="B126" s="241"/>
      <c r="C126" s="241"/>
      <c r="D126" s="241"/>
      <c r="E126" s="241"/>
      <c r="F126" s="241"/>
      <c r="G126" s="241"/>
      <c r="H126" s="241"/>
      <c r="I126" s="241"/>
      <c r="J126" s="241"/>
      <c r="K126" s="241"/>
      <c r="L126" s="241"/>
      <c r="M126" s="241"/>
      <c r="N126" s="241"/>
      <c r="O126" s="241"/>
      <c r="P126" s="241"/>
      <c r="Q126" s="241"/>
      <c r="R126" s="241"/>
      <c r="S126" s="241"/>
      <c r="T126" s="241"/>
      <c r="U126" s="241"/>
      <c r="V126" s="241"/>
      <c r="W126" s="241"/>
      <c r="X126" s="241"/>
      <c r="Y126" s="241"/>
      <c r="Z126" s="241"/>
    </row>
    <row r="127" spans="1:26" ht="13.5" customHeight="1" x14ac:dyDescent="0.3">
      <c r="A127" s="241"/>
      <c r="B127" s="241"/>
      <c r="C127" s="241"/>
      <c r="D127" s="241"/>
      <c r="E127" s="241"/>
      <c r="F127" s="241"/>
      <c r="G127" s="241"/>
      <c r="H127" s="241"/>
      <c r="I127" s="241"/>
      <c r="J127" s="241"/>
      <c r="K127" s="241"/>
      <c r="L127" s="241"/>
      <c r="M127" s="241"/>
      <c r="N127" s="241"/>
      <c r="O127" s="241"/>
      <c r="P127" s="241"/>
      <c r="Q127" s="241"/>
      <c r="R127" s="241"/>
      <c r="S127" s="241"/>
      <c r="T127" s="241"/>
      <c r="U127" s="241"/>
      <c r="V127" s="241"/>
      <c r="W127" s="241"/>
      <c r="X127" s="241"/>
      <c r="Y127" s="241"/>
      <c r="Z127" s="241"/>
    </row>
    <row r="128" spans="1:26" ht="13.5" customHeight="1" x14ac:dyDescent="0.3">
      <c r="A128" s="241"/>
      <c r="B128" s="241"/>
      <c r="C128" s="241"/>
      <c r="D128" s="241"/>
      <c r="E128" s="241"/>
      <c r="F128" s="241"/>
      <c r="G128" s="241"/>
      <c r="H128" s="241"/>
      <c r="I128" s="241"/>
      <c r="J128" s="241"/>
      <c r="K128" s="241"/>
      <c r="L128" s="241"/>
      <c r="M128" s="241"/>
      <c r="N128" s="241"/>
      <c r="O128" s="241"/>
      <c r="P128" s="241"/>
      <c r="Q128" s="241"/>
      <c r="R128" s="241"/>
      <c r="S128" s="241"/>
      <c r="T128" s="241"/>
      <c r="U128" s="241"/>
      <c r="V128" s="241"/>
      <c r="W128" s="241"/>
      <c r="X128" s="241"/>
      <c r="Y128" s="241"/>
      <c r="Z128" s="241"/>
    </row>
    <row r="129" spans="1:26" ht="13.5" customHeight="1" x14ac:dyDescent="0.3">
      <c r="A129" s="241"/>
      <c r="B129" s="241"/>
      <c r="C129" s="241"/>
      <c r="D129" s="241"/>
      <c r="E129" s="241"/>
      <c r="F129" s="241"/>
      <c r="G129" s="241"/>
      <c r="H129" s="241"/>
      <c r="I129" s="241"/>
      <c r="J129" s="241"/>
      <c r="K129" s="241"/>
      <c r="L129" s="241"/>
      <c r="M129" s="241"/>
      <c r="N129" s="241"/>
      <c r="O129" s="241"/>
      <c r="P129" s="241"/>
      <c r="Q129" s="241"/>
      <c r="R129" s="241"/>
      <c r="S129" s="241"/>
      <c r="T129" s="241"/>
      <c r="U129" s="241"/>
      <c r="V129" s="241"/>
      <c r="W129" s="241"/>
      <c r="X129" s="241"/>
      <c r="Y129" s="241"/>
      <c r="Z129" s="241"/>
    </row>
    <row r="130" spans="1:26" ht="13.5" customHeight="1" x14ac:dyDescent="0.3">
      <c r="A130" s="241"/>
      <c r="B130" s="241"/>
      <c r="C130" s="241"/>
      <c r="D130" s="241"/>
      <c r="E130" s="241"/>
      <c r="F130" s="241"/>
      <c r="G130" s="241"/>
      <c r="H130" s="241"/>
      <c r="I130" s="241"/>
      <c r="J130" s="241"/>
      <c r="K130" s="241"/>
      <c r="L130" s="241"/>
      <c r="M130" s="241"/>
      <c r="N130" s="241"/>
      <c r="O130" s="241"/>
      <c r="P130" s="241"/>
      <c r="Q130" s="241"/>
      <c r="R130" s="241"/>
      <c r="S130" s="241"/>
      <c r="T130" s="241"/>
      <c r="U130" s="241"/>
      <c r="V130" s="241"/>
      <c r="W130" s="241"/>
      <c r="X130" s="241"/>
      <c r="Y130" s="241"/>
      <c r="Z130" s="241"/>
    </row>
    <row r="131" spans="1:26" ht="13.5" customHeight="1" x14ac:dyDescent="0.3">
      <c r="A131" s="241"/>
      <c r="B131" s="241"/>
      <c r="C131" s="241"/>
      <c r="D131" s="241"/>
      <c r="E131" s="241"/>
      <c r="F131" s="241"/>
      <c r="G131" s="241"/>
      <c r="H131" s="241"/>
      <c r="I131" s="241"/>
      <c r="J131" s="241"/>
      <c r="K131" s="241"/>
      <c r="L131" s="241"/>
      <c r="M131" s="241"/>
      <c r="N131" s="241"/>
      <c r="O131" s="241"/>
      <c r="P131" s="241"/>
      <c r="Q131" s="241"/>
      <c r="R131" s="241"/>
      <c r="S131" s="241"/>
      <c r="T131" s="241"/>
      <c r="U131" s="241"/>
      <c r="V131" s="241"/>
      <c r="W131" s="241"/>
      <c r="X131" s="241"/>
      <c r="Y131" s="241"/>
      <c r="Z131" s="241"/>
    </row>
    <row r="132" spans="1:26" ht="13.5" customHeight="1" x14ac:dyDescent="0.3">
      <c r="A132" s="241"/>
      <c r="B132" s="241"/>
      <c r="C132" s="241"/>
      <c r="D132" s="241"/>
      <c r="E132" s="241"/>
      <c r="F132" s="241"/>
      <c r="G132" s="241"/>
      <c r="H132" s="241"/>
      <c r="I132" s="241"/>
      <c r="J132" s="241"/>
      <c r="K132" s="241"/>
      <c r="L132" s="241"/>
      <c r="M132" s="241"/>
      <c r="N132" s="241"/>
      <c r="O132" s="241"/>
      <c r="P132" s="241"/>
      <c r="Q132" s="241"/>
      <c r="R132" s="241"/>
      <c r="S132" s="241"/>
      <c r="T132" s="241"/>
      <c r="U132" s="241"/>
      <c r="V132" s="241"/>
      <c r="W132" s="241"/>
      <c r="X132" s="241"/>
      <c r="Y132" s="241"/>
      <c r="Z132" s="241"/>
    </row>
    <row r="133" spans="1:26" ht="13.5" customHeight="1" x14ac:dyDescent="0.3">
      <c r="A133" s="241"/>
      <c r="B133" s="241"/>
      <c r="C133" s="241"/>
      <c r="D133" s="241"/>
      <c r="E133" s="241"/>
      <c r="F133" s="241"/>
      <c r="G133" s="241"/>
      <c r="H133" s="241"/>
      <c r="I133" s="241"/>
      <c r="J133" s="241"/>
      <c r="K133" s="241"/>
      <c r="L133" s="241"/>
      <c r="M133" s="241"/>
      <c r="N133" s="241"/>
      <c r="O133" s="241"/>
      <c r="P133" s="241"/>
      <c r="Q133" s="241"/>
      <c r="R133" s="241"/>
      <c r="S133" s="241"/>
      <c r="T133" s="241"/>
      <c r="U133" s="241"/>
      <c r="V133" s="241"/>
      <c r="W133" s="241"/>
      <c r="X133" s="241"/>
      <c r="Y133" s="241"/>
      <c r="Z133" s="241"/>
    </row>
    <row r="134" spans="1:26" ht="13.5" customHeight="1" x14ac:dyDescent="0.3">
      <c r="A134" s="241"/>
      <c r="B134" s="241"/>
      <c r="C134" s="241"/>
      <c r="D134" s="241"/>
      <c r="E134" s="241"/>
      <c r="F134" s="241"/>
      <c r="G134" s="241"/>
      <c r="H134" s="241"/>
      <c r="I134" s="241"/>
      <c r="J134" s="241"/>
      <c r="K134" s="241"/>
      <c r="L134" s="241"/>
      <c r="M134" s="241"/>
      <c r="N134" s="241"/>
      <c r="O134" s="241"/>
      <c r="P134" s="241"/>
      <c r="Q134" s="241"/>
      <c r="R134" s="241"/>
      <c r="S134" s="241"/>
      <c r="T134" s="241"/>
      <c r="U134" s="241"/>
      <c r="V134" s="241"/>
      <c r="W134" s="241"/>
      <c r="X134" s="241"/>
      <c r="Y134" s="241"/>
      <c r="Z134" s="241"/>
    </row>
    <row r="135" spans="1:26" ht="13.5" customHeight="1" x14ac:dyDescent="0.3">
      <c r="A135" s="241"/>
      <c r="B135" s="241"/>
      <c r="C135" s="241"/>
      <c r="D135" s="241"/>
      <c r="E135" s="241"/>
      <c r="F135" s="241"/>
      <c r="G135" s="241"/>
      <c r="H135" s="241"/>
      <c r="I135" s="241"/>
      <c r="J135" s="241"/>
      <c r="K135" s="241"/>
      <c r="L135" s="241"/>
      <c r="M135" s="241"/>
      <c r="N135" s="241"/>
      <c r="O135" s="241"/>
      <c r="P135" s="241"/>
      <c r="Q135" s="241"/>
      <c r="R135" s="241"/>
      <c r="S135" s="241"/>
      <c r="T135" s="241"/>
      <c r="U135" s="241"/>
      <c r="V135" s="241"/>
      <c r="W135" s="241"/>
      <c r="X135" s="241"/>
      <c r="Y135" s="241"/>
      <c r="Z135" s="241"/>
    </row>
    <row r="136" spans="1:26" ht="13.5" customHeight="1" x14ac:dyDescent="0.3">
      <c r="A136" s="241"/>
      <c r="B136" s="241"/>
      <c r="C136" s="241"/>
      <c r="D136" s="241"/>
      <c r="E136" s="241"/>
      <c r="F136" s="241"/>
      <c r="G136" s="241"/>
      <c r="H136" s="241"/>
      <c r="I136" s="241"/>
      <c r="J136" s="241"/>
      <c r="K136" s="241"/>
      <c r="L136" s="241"/>
      <c r="M136" s="241"/>
      <c r="N136" s="241"/>
      <c r="O136" s="241"/>
      <c r="P136" s="241"/>
      <c r="Q136" s="241"/>
      <c r="R136" s="241"/>
      <c r="S136" s="241"/>
      <c r="T136" s="241"/>
      <c r="U136" s="241"/>
      <c r="V136" s="241"/>
      <c r="W136" s="241"/>
      <c r="X136" s="241"/>
      <c r="Y136" s="241"/>
      <c r="Z136" s="241"/>
    </row>
    <row r="137" spans="1:26" ht="13.5" customHeight="1" x14ac:dyDescent="0.3">
      <c r="A137" s="241"/>
      <c r="B137" s="241"/>
      <c r="C137" s="241"/>
      <c r="D137" s="241"/>
      <c r="E137" s="241"/>
      <c r="F137" s="241"/>
      <c r="G137" s="241"/>
      <c r="H137" s="241"/>
      <c r="I137" s="241"/>
      <c r="J137" s="241"/>
      <c r="K137" s="241"/>
      <c r="L137" s="241"/>
      <c r="M137" s="241"/>
      <c r="N137" s="241"/>
      <c r="O137" s="241"/>
      <c r="P137" s="241"/>
      <c r="Q137" s="241"/>
      <c r="R137" s="241"/>
      <c r="S137" s="241"/>
      <c r="T137" s="241"/>
      <c r="U137" s="241"/>
      <c r="V137" s="241"/>
      <c r="W137" s="241"/>
      <c r="X137" s="241"/>
      <c r="Y137" s="241"/>
      <c r="Z137" s="241"/>
    </row>
    <row r="138" spans="1:26" ht="13.5" customHeight="1" x14ac:dyDescent="0.3">
      <c r="A138" s="241"/>
      <c r="B138" s="241"/>
      <c r="C138" s="241"/>
      <c r="D138" s="241"/>
      <c r="E138" s="241"/>
      <c r="F138" s="241"/>
      <c r="G138" s="241"/>
      <c r="H138" s="241"/>
      <c r="I138" s="241"/>
      <c r="J138" s="241"/>
      <c r="K138" s="241"/>
      <c r="L138" s="241"/>
      <c r="M138" s="241"/>
      <c r="N138" s="241"/>
      <c r="O138" s="241"/>
      <c r="P138" s="241"/>
      <c r="Q138" s="241"/>
      <c r="R138" s="241"/>
      <c r="S138" s="241"/>
      <c r="T138" s="241"/>
      <c r="U138" s="241"/>
      <c r="V138" s="241"/>
      <c r="W138" s="241"/>
      <c r="X138" s="241"/>
      <c r="Y138" s="241"/>
      <c r="Z138" s="241"/>
    </row>
    <row r="139" spans="1:26" ht="13.5" customHeight="1" x14ac:dyDescent="0.3">
      <c r="A139" s="241"/>
      <c r="B139" s="241"/>
      <c r="C139" s="241"/>
      <c r="D139" s="241"/>
      <c r="E139" s="241"/>
      <c r="F139" s="241"/>
      <c r="G139" s="241"/>
      <c r="H139" s="241"/>
      <c r="I139" s="241"/>
      <c r="J139" s="241"/>
      <c r="K139" s="241"/>
      <c r="L139" s="241"/>
      <c r="M139" s="241"/>
      <c r="N139" s="241"/>
      <c r="O139" s="241"/>
      <c r="P139" s="241"/>
      <c r="Q139" s="241"/>
      <c r="R139" s="241"/>
      <c r="S139" s="241"/>
      <c r="T139" s="241"/>
      <c r="U139" s="241"/>
      <c r="V139" s="241"/>
      <c r="W139" s="241"/>
      <c r="X139" s="241"/>
      <c r="Y139" s="241"/>
      <c r="Z139" s="241"/>
    </row>
    <row r="140" spans="1:26" ht="13.5" customHeight="1" x14ac:dyDescent="0.3">
      <c r="A140" s="241"/>
      <c r="B140" s="241"/>
      <c r="C140" s="241"/>
      <c r="D140" s="241"/>
      <c r="E140" s="241"/>
      <c r="F140" s="241"/>
      <c r="G140" s="241"/>
      <c r="H140" s="241"/>
      <c r="I140" s="241"/>
      <c r="J140" s="241"/>
      <c r="K140" s="241"/>
      <c r="L140" s="241"/>
      <c r="M140" s="241"/>
      <c r="N140" s="241"/>
      <c r="O140" s="241"/>
      <c r="P140" s="241"/>
      <c r="Q140" s="241"/>
      <c r="R140" s="241"/>
      <c r="S140" s="241"/>
      <c r="T140" s="241"/>
      <c r="U140" s="241"/>
      <c r="V140" s="241"/>
      <c r="W140" s="241"/>
      <c r="X140" s="241"/>
      <c r="Y140" s="241"/>
      <c r="Z140" s="241"/>
    </row>
    <row r="141" spans="1:26" ht="13.5" customHeight="1" x14ac:dyDescent="0.3">
      <c r="A141" s="241"/>
      <c r="B141" s="241"/>
      <c r="C141" s="241"/>
      <c r="D141" s="241"/>
      <c r="E141" s="241"/>
      <c r="F141" s="241"/>
      <c r="G141" s="241"/>
      <c r="H141" s="241"/>
      <c r="I141" s="241"/>
      <c r="J141" s="241"/>
      <c r="K141" s="241"/>
      <c r="L141" s="241"/>
      <c r="M141" s="241"/>
      <c r="N141" s="241"/>
      <c r="O141" s="241"/>
      <c r="P141" s="241"/>
      <c r="Q141" s="241"/>
      <c r="R141" s="241"/>
      <c r="S141" s="241"/>
      <c r="T141" s="241"/>
      <c r="U141" s="241"/>
      <c r="V141" s="241"/>
      <c r="W141" s="241"/>
      <c r="X141" s="241"/>
      <c r="Y141" s="241"/>
      <c r="Z141" s="241"/>
    </row>
    <row r="142" spans="1:26" ht="13.5" customHeight="1" x14ac:dyDescent="0.3">
      <c r="A142" s="241"/>
      <c r="B142" s="241"/>
      <c r="C142" s="241"/>
      <c r="D142" s="241"/>
      <c r="E142" s="241"/>
      <c r="F142" s="241"/>
      <c r="G142" s="241"/>
      <c r="H142" s="241"/>
      <c r="I142" s="241"/>
      <c r="J142" s="241"/>
      <c r="K142" s="241"/>
      <c r="L142" s="241"/>
      <c r="M142" s="241"/>
      <c r="N142" s="241"/>
      <c r="O142" s="241"/>
      <c r="P142" s="241"/>
      <c r="Q142" s="241"/>
      <c r="R142" s="241"/>
      <c r="S142" s="241"/>
      <c r="T142" s="241"/>
      <c r="U142" s="241"/>
      <c r="V142" s="241"/>
      <c r="W142" s="241"/>
      <c r="X142" s="241"/>
      <c r="Y142" s="241"/>
      <c r="Z142" s="241"/>
    </row>
    <row r="143" spans="1:26" ht="13.5" customHeight="1" x14ac:dyDescent="0.3">
      <c r="A143" s="241"/>
      <c r="B143" s="241"/>
      <c r="C143" s="241"/>
      <c r="D143" s="241"/>
      <c r="E143" s="241"/>
      <c r="F143" s="241"/>
      <c r="G143" s="241"/>
      <c r="H143" s="241"/>
      <c r="I143" s="241"/>
      <c r="J143" s="241"/>
      <c r="K143" s="241"/>
      <c r="L143" s="241"/>
      <c r="M143" s="241"/>
      <c r="N143" s="241"/>
      <c r="O143" s="241"/>
      <c r="P143" s="241"/>
      <c r="Q143" s="241"/>
      <c r="R143" s="241"/>
      <c r="S143" s="241"/>
      <c r="T143" s="241"/>
      <c r="U143" s="241"/>
      <c r="V143" s="241"/>
      <c r="W143" s="241"/>
      <c r="X143" s="241"/>
      <c r="Y143" s="241"/>
      <c r="Z143" s="241"/>
    </row>
    <row r="144" spans="1:26" ht="13.5" customHeight="1" x14ac:dyDescent="0.3">
      <c r="A144" s="241"/>
      <c r="B144" s="241"/>
      <c r="C144" s="241"/>
      <c r="D144" s="241"/>
      <c r="E144" s="241"/>
      <c r="F144" s="241"/>
      <c r="G144" s="241"/>
      <c r="H144" s="241"/>
      <c r="I144" s="241"/>
      <c r="J144" s="241"/>
      <c r="K144" s="241"/>
      <c r="L144" s="241"/>
      <c r="M144" s="241"/>
      <c r="N144" s="241"/>
      <c r="O144" s="241"/>
      <c r="P144" s="241"/>
      <c r="Q144" s="241"/>
      <c r="R144" s="241"/>
      <c r="S144" s="241"/>
      <c r="T144" s="241"/>
      <c r="U144" s="241"/>
      <c r="V144" s="241"/>
      <c r="W144" s="241"/>
      <c r="X144" s="241"/>
      <c r="Y144" s="241"/>
      <c r="Z144" s="241"/>
    </row>
    <row r="145" spans="1:26" ht="13.5" customHeight="1" x14ac:dyDescent="0.3">
      <c r="A145" s="241"/>
      <c r="B145" s="241"/>
      <c r="C145" s="241"/>
      <c r="D145" s="241"/>
      <c r="E145" s="241"/>
      <c r="F145" s="241"/>
      <c r="G145" s="241"/>
      <c r="H145" s="241"/>
      <c r="I145" s="241"/>
      <c r="J145" s="241"/>
      <c r="K145" s="241"/>
      <c r="L145" s="241"/>
      <c r="M145" s="241"/>
      <c r="N145" s="241"/>
      <c r="O145" s="241"/>
      <c r="P145" s="241"/>
      <c r="Q145" s="241"/>
      <c r="R145" s="241"/>
      <c r="S145" s="241"/>
      <c r="T145" s="241"/>
      <c r="U145" s="241"/>
      <c r="V145" s="241"/>
      <c r="W145" s="241"/>
      <c r="X145" s="241"/>
      <c r="Y145" s="241"/>
      <c r="Z145" s="241"/>
    </row>
    <row r="146" spans="1:26" ht="13.5" customHeight="1" x14ac:dyDescent="0.3">
      <c r="A146" s="241"/>
      <c r="B146" s="241"/>
      <c r="C146" s="241"/>
      <c r="D146" s="241"/>
      <c r="E146" s="241"/>
      <c r="F146" s="241"/>
      <c r="G146" s="241"/>
      <c r="H146" s="241"/>
      <c r="I146" s="241"/>
      <c r="J146" s="241"/>
      <c r="K146" s="241"/>
      <c r="L146" s="241"/>
      <c r="M146" s="241"/>
      <c r="N146" s="241"/>
      <c r="O146" s="241"/>
      <c r="P146" s="241"/>
      <c r="Q146" s="241"/>
      <c r="R146" s="241"/>
      <c r="S146" s="241"/>
      <c r="T146" s="241"/>
      <c r="U146" s="241"/>
      <c r="V146" s="241"/>
      <c r="W146" s="241"/>
      <c r="X146" s="241"/>
      <c r="Y146" s="241"/>
      <c r="Z146" s="241"/>
    </row>
    <row r="147" spans="1:26" ht="13.5" customHeight="1" x14ac:dyDescent="0.3">
      <c r="A147" s="241"/>
      <c r="B147" s="241"/>
      <c r="C147" s="241"/>
      <c r="D147" s="241"/>
      <c r="E147" s="241"/>
      <c r="F147" s="241"/>
      <c r="G147" s="241"/>
      <c r="H147" s="241"/>
      <c r="I147" s="241"/>
      <c r="J147" s="241"/>
      <c r="K147" s="241"/>
      <c r="L147" s="241"/>
      <c r="M147" s="241"/>
      <c r="N147" s="241"/>
      <c r="O147" s="241"/>
      <c r="P147" s="241"/>
      <c r="Q147" s="241"/>
      <c r="R147" s="241"/>
      <c r="S147" s="241"/>
      <c r="T147" s="241"/>
      <c r="U147" s="241"/>
      <c r="V147" s="241"/>
      <c r="W147" s="241"/>
      <c r="X147" s="241"/>
      <c r="Y147" s="241"/>
      <c r="Z147" s="241"/>
    </row>
    <row r="148" spans="1:26" ht="13.5" customHeight="1" x14ac:dyDescent="0.3">
      <c r="A148" s="241"/>
      <c r="B148" s="241"/>
      <c r="C148" s="241"/>
      <c r="D148" s="241"/>
      <c r="E148" s="241"/>
      <c r="F148" s="241"/>
      <c r="G148" s="241"/>
      <c r="H148" s="241"/>
      <c r="I148" s="241"/>
      <c r="J148" s="241"/>
      <c r="K148" s="241"/>
      <c r="L148" s="241"/>
      <c r="M148" s="241"/>
      <c r="N148" s="241"/>
      <c r="O148" s="241"/>
      <c r="P148" s="241"/>
      <c r="Q148" s="241"/>
      <c r="R148" s="241"/>
      <c r="S148" s="241"/>
      <c r="T148" s="241"/>
      <c r="U148" s="241"/>
      <c r="V148" s="241"/>
      <c r="W148" s="241"/>
      <c r="X148" s="241"/>
      <c r="Y148" s="241"/>
      <c r="Z148" s="241"/>
    </row>
    <row r="149" spans="1:26" ht="13.5" customHeight="1" x14ac:dyDescent="0.3">
      <c r="A149" s="241"/>
      <c r="B149" s="241"/>
      <c r="C149" s="241"/>
      <c r="D149" s="241"/>
      <c r="E149" s="241"/>
      <c r="F149" s="241"/>
      <c r="G149" s="241"/>
      <c r="H149" s="241"/>
      <c r="I149" s="241"/>
      <c r="J149" s="241"/>
      <c r="K149" s="241"/>
      <c r="L149" s="241"/>
      <c r="M149" s="241"/>
      <c r="N149" s="241"/>
      <c r="O149" s="241"/>
      <c r="P149" s="241"/>
      <c r="Q149" s="241"/>
      <c r="R149" s="241"/>
      <c r="S149" s="241"/>
      <c r="T149" s="241"/>
      <c r="U149" s="241"/>
      <c r="V149" s="241"/>
      <c r="W149" s="241"/>
      <c r="X149" s="241"/>
      <c r="Y149" s="241"/>
      <c r="Z149" s="241"/>
    </row>
    <row r="150" spans="1:26" ht="13.5" customHeight="1" x14ac:dyDescent="0.3">
      <c r="A150" s="241"/>
      <c r="B150" s="241"/>
      <c r="C150" s="241"/>
      <c r="D150" s="241"/>
      <c r="E150" s="241"/>
      <c r="F150" s="241"/>
      <c r="G150" s="241"/>
      <c r="H150" s="241"/>
      <c r="I150" s="241"/>
      <c r="J150" s="241"/>
      <c r="K150" s="241"/>
      <c r="L150" s="241"/>
      <c r="M150" s="241"/>
      <c r="N150" s="241"/>
      <c r="O150" s="241"/>
      <c r="P150" s="241"/>
      <c r="Q150" s="241"/>
      <c r="R150" s="241"/>
      <c r="S150" s="241"/>
      <c r="T150" s="241"/>
      <c r="U150" s="241"/>
      <c r="V150" s="241"/>
      <c r="W150" s="241"/>
      <c r="X150" s="241"/>
      <c r="Y150" s="241"/>
      <c r="Z150" s="241"/>
    </row>
    <row r="151" spans="1:26" ht="13.5" customHeight="1" x14ac:dyDescent="0.3">
      <c r="A151" s="241"/>
      <c r="B151" s="241"/>
      <c r="C151" s="241"/>
      <c r="D151" s="241"/>
      <c r="E151" s="241"/>
      <c r="F151" s="241"/>
      <c r="G151" s="241"/>
      <c r="H151" s="241"/>
      <c r="I151" s="241"/>
      <c r="J151" s="241"/>
      <c r="K151" s="241"/>
      <c r="L151" s="241"/>
      <c r="M151" s="241"/>
      <c r="N151" s="241"/>
      <c r="O151" s="241"/>
      <c r="P151" s="241"/>
      <c r="Q151" s="241"/>
      <c r="R151" s="241"/>
      <c r="S151" s="241"/>
      <c r="T151" s="241"/>
      <c r="U151" s="241"/>
      <c r="V151" s="241"/>
      <c r="W151" s="241"/>
      <c r="X151" s="241"/>
      <c r="Y151" s="241"/>
      <c r="Z151" s="241"/>
    </row>
    <row r="152" spans="1:26" ht="13.5" customHeight="1" x14ac:dyDescent="0.3">
      <c r="A152" s="241"/>
      <c r="B152" s="241"/>
      <c r="C152" s="241"/>
      <c r="D152" s="241"/>
      <c r="E152" s="241"/>
      <c r="F152" s="241"/>
      <c r="G152" s="241"/>
      <c r="H152" s="241"/>
      <c r="I152" s="241"/>
      <c r="J152" s="241"/>
      <c r="K152" s="241"/>
      <c r="L152" s="241"/>
      <c r="M152" s="241"/>
      <c r="N152" s="241"/>
      <c r="O152" s="241"/>
      <c r="P152" s="241"/>
      <c r="Q152" s="241"/>
      <c r="R152" s="241"/>
      <c r="S152" s="241"/>
      <c r="T152" s="241"/>
      <c r="U152" s="241"/>
      <c r="V152" s="241"/>
      <c r="W152" s="241"/>
      <c r="X152" s="241"/>
      <c r="Y152" s="241"/>
      <c r="Z152" s="241"/>
    </row>
    <row r="153" spans="1:26" ht="13.5" customHeight="1" x14ac:dyDescent="0.3">
      <c r="A153" s="241"/>
      <c r="B153" s="241"/>
      <c r="C153" s="241"/>
      <c r="D153" s="241"/>
      <c r="E153" s="241"/>
      <c r="F153" s="241"/>
      <c r="G153" s="241"/>
      <c r="H153" s="241"/>
      <c r="I153" s="241"/>
      <c r="J153" s="241"/>
      <c r="K153" s="241"/>
      <c r="L153" s="241"/>
      <c r="M153" s="241"/>
      <c r="N153" s="241"/>
      <c r="O153" s="241"/>
      <c r="P153" s="241"/>
      <c r="Q153" s="241"/>
      <c r="R153" s="241"/>
      <c r="S153" s="241"/>
      <c r="T153" s="241"/>
      <c r="U153" s="241"/>
      <c r="V153" s="241"/>
      <c r="W153" s="241"/>
      <c r="X153" s="241"/>
      <c r="Y153" s="241"/>
      <c r="Z153" s="241"/>
    </row>
    <row r="154" spans="1:26" ht="13.5" customHeight="1" x14ac:dyDescent="0.3">
      <c r="A154" s="241"/>
      <c r="B154" s="241"/>
      <c r="C154" s="241"/>
      <c r="D154" s="241"/>
      <c r="E154" s="241"/>
      <c r="F154" s="241"/>
      <c r="G154" s="241"/>
      <c r="H154" s="241"/>
      <c r="I154" s="241"/>
      <c r="J154" s="241"/>
      <c r="K154" s="241"/>
      <c r="L154" s="241"/>
      <c r="M154" s="241"/>
      <c r="N154" s="241"/>
      <c r="O154" s="241"/>
      <c r="P154" s="241"/>
      <c r="Q154" s="241"/>
      <c r="R154" s="241"/>
      <c r="S154" s="241"/>
      <c r="T154" s="241"/>
      <c r="U154" s="241"/>
      <c r="V154" s="241"/>
      <c r="W154" s="241"/>
      <c r="X154" s="241"/>
      <c r="Y154" s="241"/>
      <c r="Z154" s="241"/>
    </row>
    <row r="155" spans="1:26" ht="13.5" customHeight="1" x14ac:dyDescent="0.3">
      <c r="A155" s="241"/>
      <c r="B155" s="241"/>
      <c r="C155" s="241"/>
      <c r="D155" s="241"/>
      <c r="E155" s="241"/>
      <c r="F155" s="241"/>
      <c r="G155" s="241"/>
      <c r="H155" s="241"/>
      <c r="I155" s="241"/>
      <c r="J155" s="241"/>
      <c r="K155" s="241"/>
      <c r="L155" s="241"/>
      <c r="M155" s="241"/>
      <c r="N155" s="241"/>
      <c r="O155" s="241"/>
      <c r="P155" s="241"/>
      <c r="Q155" s="241"/>
      <c r="R155" s="241"/>
      <c r="S155" s="241"/>
      <c r="T155" s="241"/>
      <c r="U155" s="241"/>
      <c r="V155" s="241"/>
      <c r="W155" s="241"/>
      <c r="X155" s="241"/>
      <c r="Y155" s="241"/>
      <c r="Z155" s="241"/>
    </row>
    <row r="156" spans="1:26" ht="13.5" customHeight="1" x14ac:dyDescent="0.3">
      <c r="A156" s="241"/>
      <c r="B156" s="241"/>
      <c r="C156" s="241"/>
      <c r="D156" s="241"/>
      <c r="E156" s="241"/>
      <c r="F156" s="241"/>
      <c r="G156" s="241"/>
      <c r="H156" s="241"/>
      <c r="I156" s="241"/>
      <c r="J156" s="241"/>
      <c r="K156" s="241"/>
      <c r="L156" s="241"/>
      <c r="M156" s="241"/>
      <c r="N156" s="241"/>
      <c r="O156" s="241"/>
      <c r="P156" s="241"/>
      <c r="Q156" s="241"/>
      <c r="R156" s="241"/>
      <c r="S156" s="241"/>
      <c r="T156" s="241"/>
      <c r="U156" s="241"/>
      <c r="V156" s="241"/>
      <c r="W156" s="241"/>
      <c r="X156" s="241"/>
      <c r="Y156" s="241"/>
      <c r="Z156" s="241"/>
    </row>
    <row r="157" spans="1:26" ht="13.5" customHeight="1" x14ac:dyDescent="0.3">
      <c r="A157" s="241"/>
      <c r="B157" s="241"/>
      <c r="C157" s="241"/>
      <c r="D157" s="241"/>
      <c r="E157" s="241"/>
      <c r="F157" s="241"/>
      <c r="G157" s="241"/>
      <c r="H157" s="241"/>
      <c r="I157" s="241"/>
      <c r="J157" s="241"/>
      <c r="K157" s="241"/>
      <c r="L157" s="241"/>
      <c r="M157" s="241"/>
      <c r="N157" s="241"/>
      <c r="O157" s="241"/>
      <c r="P157" s="241"/>
      <c r="Q157" s="241"/>
      <c r="R157" s="241"/>
      <c r="S157" s="241"/>
      <c r="T157" s="241"/>
      <c r="U157" s="241"/>
      <c r="V157" s="241"/>
      <c r="W157" s="241"/>
      <c r="X157" s="241"/>
      <c r="Y157" s="241"/>
      <c r="Z157" s="241"/>
    </row>
    <row r="158" spans="1:26" ht="13.5" customHeight="1" x14ac:dyDescent="0.3">
      <c r="A158" s="241"/>
      <c r="B158" s="241"/>
      <c r="C158" s="241"/>
      <c r="D158" s="241"/>
      <c r="E158" s="241"/>
      <c r="F158" s="241"/>
      <c r="G158" s="241"/>
      <c r="H158" s="241"/>
      <c r="I158" s="241"/>
      <c r="J158" s="241"/>
      <c r="K158" s="241"/>
      <c r="L158" s="241"/>
      <c r="M158" s="241"/>
      <c r="N158" s="241"/>
      <c r="O158" s="241"/>
      <c r="P158" s="241"/>
      <c r="Q158" s="241"/>
      <c r="R158" s="241"/>
      <c r="S158" s="241"/>
      <c r="T158" s="241"/>
      <c r="U158" s="241"/>
      <c r="V158" s="241"/>
      <c r="W158" s="241"/>
      <c r="X158" s="241"/>
      <c r="Y158" s="241"/>
      <c r="Z158" s="241"/>
    </row>
    <row r="159" spans="1:26" ht="13.5" customHeight="1" x14ac:dyDescent="0.3">
      <c r="A159" s="241"/>
      <c r="B159" s="241"/>
      <c r="C159" s="241"/>
      <c r="D159" s="241"/>
      <c r="E159" s="241"/>
      <c r="F159" s="241"/>
      <c r="G159" s="241"/>
      <c r="H159" s="241"/>
      <c r="I159" s="241"/>
      <c r="J159" s="241"/>
      <c r="K159" s="241"/>
      <c r="L159" s="241"/>
      <c r="M159" s="241"/>
      <c r="N159" s="241"/>
      <c r="O159" s="241"/>
      <c r="P159" s="241"/>
      <c r="Q159" s="241"/>
      <c r="R159" s="241"/>
      <c r="S159" s="241"/>
      <c r="T159" s="241"/>
      <c r="U159" s="241"/>
      <c r="V159" s="241"/>
      <c r="W159" s="241"/>
      <c r="X159" s="241"/>
      <c r="Y159" s="241"/>
      <c r="Z159" s="241"/>
    </row>
    <row r="160" spans="1:26" ht="13.5" customHeight="1" x14ac:dyDescent="0.3">
      <c r="A160" s="241"/>
      <c r="B160" s="241"/>
      <c r="C160" s="241"/>
      <c r="D160" s="241"/>
      <c r="E160" s="241"/>
      <c r="F160" s="241"/>
      <c r="G160" s="241"/>
      <c r="H160" s="241"/>
      <c r="I160" s="241"/>
      <c r="J160" s="241"/>
      <c r="K160" s="241"/>
      <c r="L160" s="241"/>
      <c r="M160" s="241"/>
      <c r="N160" s="241"/>
      <c r="O160" s="241"/>
      <c r="P160" s="241"/>
      <c r="Q160" s="241"/>
      <c r="R160" s="241"/>
      <c r="S160" s="241"/>
      <c r="T160" s="241"/>
      <c r="U160" s="241"/>
      <c r="V160" s="241"/>
      <c r="W160" s="241"/>
      <c r="X160" s="241"/>
      <c r="Y160" s="241"/>
      <c r="Z160" s="241"/>
    </row>
    <row r="161" spans="1:26" ht="13.5" customHeight="1" x14ac:dyDescent="0.3">
      <c r="A161" s="241"/>
      <c r="B161" s="241"/>
      <c r="C161" s="241"/>
      <c r="D161" s="241"/>
      <c r="E161" s="241"/>
      <c r="F161" s="241"/>
      <c r="G161" s="241"/>
      <c r="H161" s="241"/>
      <c r="I161" s="241"/>
      <c r="J161" s="241"/>
      <c r="K161" s="241"/>
      <c r="L161" s="241"/>
      <c r="M161" s="241"/>
      <c r="N161" s="241"/>
      <c r="O161" s="241"/>
      <c r="P161" s="241"/>
      <c r="Q161" s="241"/>
      <c r="R161" s="241"/>
      <c r="S161" s="241"/>
      <c r="T161" s="241"/>
      <c r="U161" s="241"/>
      <c r="V161" s="241"/>
      <c r="W161" s="241"/>
      <c r="X161" s="241"/>
      <c r="Y161" s="241"/>
      <c r="Z161" s="241"/>
    </row>
    <row r="162" spans="1:26" ht="13.5" customHeight="1" x14ac:dyDescent="0.3">
      <c r="A162" s="241"/>
      <c r="B162" s="241"/>
      <c r="C162" s="241"/>
      <c r="D162" s="241"/>
      <c r="E162" s="241"/>
      <c r="F162" s="241"/>
      <c r="G162" s="241"/>
      <c r="H162" s="241"/>
      <c r="I162" s="241"/>
      <c r="J162" s="241"/>
      <c r="K162" s="241"/>
      <c r="L162" s="241"/>
      <c r="M162" s="241"/>
      <c r="N162" s="241"/>
      <c r="O162" s="241"/>
      <c r="P162" s="241"/>
      <c r="Q162" s="241"/>
      <c r="R162" s="241"/>
      <c r="S162" s="241"/>
      <c r="T162" s="241"/>
      <c r="U162" s="241"/>
      <c r="V162" s="241"/>
      <c r="W162" s="241"/>
      <c r="X162" s="241"/>
      <c r="Y162" s="241"/>
      <c r="Z162" s="241"/>
    </row>
    <row r="163" spans="1:26" ht="13.5" customHeight="1" x14ac:dyDescent="0.3">
      <c r="A163" s="241"/>
      <c r="B163" s="241"/>
      <c r="C163" s="241"/>
      <c r="D163" s="241"/>
      <c r="E163" s="241"/>
      <c r="F163" s="241"/>
      <c r="G163" s="241"/>
      <c r="H163" s="241"/>
      <c r="I163" s="241"/>
      <c r="J163" s="241"/>
      <c r="K163" s="241"/>
      <c r="L163" s="241"/>
      <c r="M163" s="241"/>
      <c r="N163" s="241"/>
      <c r="O163" s="241"/>
      <c r="P163" s="241"/>
      <c r="Q163" s="241"/>
      <c r="R163" s="241"/>
      <c r="S163" s="241"/>
      <c r="T163" s="241"/>
      <c r="U163" s="241"/>
      <c r="V163" s="241"/>
      <c r="W163" s="241"/>
      <c r="X163" s="241"/>
      <c r="Y163" s="241"/>
      <c r="Z163" s="241"/>
    </row>
    <row r="164" spans="1:26" ht="13.5" customHeight="1" x14ac:dyDescent="0.3">
      <c r="A164" s="241"/>
      <c r="B164" s="241"/>
      <c r="C164" s="241"/>
      <c r="D164" s="241"/>
      <c r="E164" s="241"/>
      <c r="F164" s="241"/>
      <c r="G164" s="241"/>
      <c r="H164" s="241"/>
      <c r="I164" s="241"/>
      <c r="J164" s="241"/>
      <c r="K164" s="241"/>
      <c r="L164" s="241"/>
      <c r="M164" s="241"/>
      <c r="N164" s="241"/>
      <c r="O164" s="241"/>
      <c r="P164" s="241"/>
      <c r="Q164" s="241"/>
      <c r="R164" s="241"/>
      <c r="S164" s="241"/>
      <c r="T164" s="241"/>
      <c r="U164" s="241"/>
      <c r="V164" s="241"/>
      <c r="W164" s="241"/>
      <c r="X164" s="241"/>
      <c r="Y164" s="241"/>
      <c r="Z164" s="241"/>
    </row>
    <row r="165" spans="1:26" ht="13.5" customHeight="1" x14ac:dyDescent="0.3">
      <c r="A165" s="241"/>
      <c r="B165" s="241"/>
      <c r="C165" s="241"/>
      <c r="D165" s="241"/>
      <c r="E165" s="241"/>
      <c r="F165" s="241"/>
      <c r="G165" s="241"/>
      <c r="H165" s="241"/>
      <c r="I165" s="241"/>
      <c r="J165" s="241"/>
      <c r="K165" s="241"/>
      <c r="L165" s="241"/>
      <c r="M165" s="241"/>
      <c r="N165" s="241"/>
      <c r="O165" s="241"/>
      <c r="P165" s="241"/>
      <c r="Q165" s="241"/>
      <c r="R165" s="241"/>
      <c r="S165" s="241"/>
      <c r="T165" s="241"/>
      <c r="U165" s="241"/>
      <c r="V165" s="241"/>
      <c r="W165" s="241"/>
      <c r="X165" s="241"/>
      <c r="Y165" s="241"/>
      <c r="Z165" s="241"/>
    </row>
    <row r="166" spans="1:26" ht="13.5" customHeight="1" x14ac:dyDescent="0.3">
      <c r="A166" s="241"/>
      <c r="B166" s="241"/>
      <c r="C166" s="241"/>
      <c r="D166" s="241"/>
      <c r="E166" s="241"/>
      <c r="F166" s="241"/>
      <c r="G166" s="241"/>
      <c r="H166" s="241"/>
      <c r="I166" s="241"/>
      <c r="J166" s="241"/>
      <c r="K166" s="241"/>
      <c r="L166" s="241"/>
      <c r="M166" s="241"/>
      <c r="N166" s="241"/>
      <c r="O166" s="241"/>
      <c r="P166" s="241"/>
      <c r="Q166" s="241"/>
      <c r="R166" s="241"/>
      <c r="S166" s="241"/>
      <c r="T166" s="241"/>
      <c r="U166" s="241"/>
      <c r="V166" s="241"/>
      <c r="W166" s="241"/>
      <c r="X166" s="241"/>
      <c r="Y166" s="241"/>
      <c r="Z166" s="241"/>
    </row>
    <row r="167" spans="1:26" ht="13.5" customHeight="1" x14ac:dyDescent="0.3">
      <c r="A167" s="241"/>
      <c r="B167" s="241"/>
      <c r="C167" s="241"/>
      <c r="D167" s="241"/>
      <c r="E167" s="241"/>
      <c r="F167" s="241"/>
      <c r="G167" s="241"/>
      <c r="H167" s="241"/>
      <c r="I167" s="241"/>
      <c r="J167" s="241"/>
      <c r="K167" s="241"/>
      <c r="L167" s="241"/>
      <c r="M167" s="241"/>
      <c r="N167" s="241"/>
      <c r="O167" s="241"/>
      <c r="P167" s="241"/>
      <c r="Q167" s="241"/>
      <c r="R167" s="241"/>
      <c r="S167" s="241"/>
      <c r="T167" s="241"/>
      <c r="U167" s="241"/>
      <c r="V167" s="241"/>
      <c r="W167" s="241"/>
      <c r="X167" s="241"/>
      <c r="Y167" s="241"/>
      <c r="Z167" s="241"/>
    </row>
    <row r="168" spans="1:26" ht="13.5" customHeight="1" x14ac:dyDescent="0.3">
      <c r="A168" s="241"/>
      <c r="B168" s="241"/>
      <c r="C168" s="241"/>
      <c r="D168" s="241"/>
      <c r="E168" s="241"/>
      <c r="F168" s="241"/>
      <c r="G168" s="241"/>
      <c r="H168" s="241"/>
      <c r="I168" s="241"/>
      <c r="J168" s="241"/>
      <c r="K168" s="241"/>
      <c r="L168" s="241"/>
      <c r="M168" s="241"/>
      <c r="N168" s="241"/>
      <c r="O168" s="241"/>
      <c r="P168" s="241"/>
      <c r="Q168" s="241"/>
      <c r="R168" s="241"/>
      <c r="S168" s="241"/>
      <c r="T168" s="241"/>
      <c r="U168" s="241"/>
      <c r="V168" s="241"/>
      <c r="W168" s="241"/>
      <c r="X168" s="241"/>
      <c r="Y168" s="241"/>
      <c r="Z168" s="241"/>
    </row>
    <row r="169" spans="1:26" ht="13.5" customHeight="1" x14ac:dyDescent="0.3">
      <c r="A169" s="241"/>
      <c r="B169" s="241"/>
      <c r="C169" s="241"/>
      <c r="D169" s="241"/>
      <c r="E169" s="241"/>
      <c r="F169" s="241"/>
      <c r="G169" s="241"/>
      <c r="H169" s="241"/>
      <c r="I169" s="241"/>
      <c r="J169" s="241"/>
      <c r="K169" s="241"/>
      <c r="L169" s="241"/>
      <c r="M169" s="241"/>
      <c r="N169" s="241"/>
      <c r="O169" s="241"/>
      <c r="P169" s="241"/>
      <c r="Q169" s="241"/>
      <c r="R169" s="241"/>
      <c r="S169" s="241"/>
      <c r="T169" s="241"/>
      <c r="U169" s="241"/>
      <c r="V169" s="241"/>
      <c r="W169" s="241"/>
      <c r="X169" s="241"/>
      <c r="Y169" s="241"/>
      <c r="Z169" s="241"/>
    </row>
    <row r="170" spans="1:26" ht="13.5" customHeight="1" x14ac:dyDescent="0.3">
      <c r="A170" s="241"/>
      <c r="B170" s="241"/>
      <c r="C170" s="241"/>
      <c r="D170" s="241"/>
      <c r="E170" s="241"/>
      <c r="F170" s="241"/>
      <c r="G170" s="241"/>
      <c r="H170" s="241"/>
      <c r="I170" s="241"/>
      <c r="J170" s="241"/>
      <c r="K170" s="241"/>
      <c r="L170" s="241"/>
      <c r="M170" s="241"/>
      <c r="N170" s="241"/>
      <c r="O170" s="241"/>
      <c r="P170" s="241"/>
      <c r="Q170" s="241"/>
      <c r="R170" s="241"/>
      <c r="S170" s="241"/>
      <c r="T170" s="241"/>
      <c r="U170" s="241"/>
      <c r="V170" s="241"/>
      <c r="W170" s="241"/>
      <c r="X170" s="241"/>
      <c r="Y170" s="241"/>
      <c r="Z170" s="241"/>
    </row>
    <row r="171" spans="1:26" ht="13.5" customHeight="1" x14ac:dyDescent="0.3">
      <c r="A171" s="241"/>
      <c r="B171" s="241"/>
      <c r="C171" s="241"/>
      <c r="D171" s="241"/>
      <c r="E171" s="241"/>
      <c r="F171" s="241"/>
      <c r="G171" s="241"/>
      <c r="H171" s="241"/>
      <c r="I171" s="241"/>
      <c r="J171" s="241"/>
      <c r="K171" s="241"/>
      <c r="L171" s="241"/>
      <c r="M171" s="241"/>
      <c r="N171" s="241"/>
      <c r="O171" s="241"/>
      <c r="P171" s="241"/>
      <c r="Q171" s="241"/>
      <c r="R171" s="241"/>
      <c r="S171" s="241"/>
      <c r="T171" s="241"/>
      <c r="U171" s="241"/>
      <c r="V171" s="241"/>
      <c r="W171" s="241"/>
      <c r="X171" s="241"/>
      <c r="Y171" s="241"/>
      <c r="Z171" s="241"/>
    </row>
    <row r="172" spans="1:26" ht="13.5" customHeight="1" x14ac:dyDescent="0.3">
      <c r="A172" s="241"/>
      <c r="B172" s="241"/>
      <c r="C172" s="241"/>
      <c r="D172" s="241"/>
      <c r="E172" s="241"/>
      <c r="F172" s="241"/>
      <c r="G172" s="241"/>
      <c r="H172" s="241"/>
      <c r="I172" s="241"/>
      <c r="J172" s="241"/>
      <c r="K172" s="241"/>
      <c r="L172" s="241"/>
      <c r="M172" s="241"/>
      <c r="N172" s="241"/>
      <c r="O172" s="241"/>
      <c r="P172" s="241"/>
      <c r="Q172" s="241"/>
      <c r="R172" s="241"/>
      <c r="S172" s="241"/>
      <c r="T172" s="241"/>
      <c r="U172" s="241"/>
      <c r="V172" s="241"/>
      <c r="W172" s="241"/>
      <c r="X172" s="241"/>
      <c r="Y172" s="241"/>
      <c r="Z172" s="241"/>
    </row>
    <row r="173" spans="1:26" ht="13.5" customHeight="1" x14ac:dyDescent="0.3">
      <c r="A173" s="241"/>
      <c r="B173" s="241"/>
      <c r="C173" s="241"/>
      <c r="D173" s="241"/>
      <c r="E173" s="241"/>
      <c r="F173" s="241"/>
      <c r="G173" s="241"/>
      <c r="H173" s="241"/>
      <c r="I173" s="241"/>
      <c r="J173" s="241"/>
      <c r="K173" s="241"/>
      <c r="L173" s="241"/>
      <c r="M173" s="241"/>
      <c r="N173" s="241"/>
      <c r="O173" s="241"/>
      <c r="P173" s="241"/>
      <c r="Q173" s="241"/>
      <c r="R173" s="241"/>
      <c r="S173" s="241"/>
      <c r="T173" s="241"/>
      <c r="U173" s="241"/>
      <c r="V173" s="241"/>
      <c r="W173" s="241"/>
      <c r="X173" s="241"/>
      <c r="Y173" s="241"/>
      <c r="Z173" s="241"/>
    </row>
    <row r="174" spans="1:26" ht="13.5" customHeight="1" x14ac:dyDescent="0.3">
      <c r="A174" s="241"/>
      <c r="B174" s="241"/>
      <c r="C174" s="241"/>
      <c r="D174" s="241"/>
      <c r="E174" s="241"/>
      <c r="F174" s="241"/>
      <c r="G174" s="241"/>
      <c r="H174" s="241"/>
      <c r="I174" s="241"/>
      <c r="J174" s="241"/>
      <c r="K174" s="241"/>
      <c r="L174" s="241"/>
      <c r="M174" s="241"/>
      <c r="N174" s="241"/>
      <c r="O174" s="241"/>
      <c r="P174" s="241"/>
      <c r="Q174" s="241"/>
      <c r="R174" s="241"/>
      <c r="S174" s="241"/>
      <c r="T174" s="241"/>
      <c r="U174" s="241"/>
      <c r="V174" s="241"/>
      <c r="W174" s="241"/>
      <c r="X174" s="241"/>
      <c r="Y174" s="241"/>
      <c r="Z174" s="241"/>
    </row>
    <row r="175" spans="1:26" ht="13.5" customHeight="1" x14ac:dyDescent="0.3">
      <c r="A175" s="241"/>
      <c r="B175" s="241"/>
      <c r="C175" s="241"/>
      <c r="D175" s="241"/>
      <c r="E175" s="241"/>
      <c r="F175" s="241"/>
      <c r="G175" s="241"/>
      <c r="H175" s="241"/>
      <c r="I175" s="241"/>
      <c r="J175" s="241"/>
      <c r="K175" s="241"/>
      <c r="L175" s="241"/>
      <c r="M175" s="241"/>
      <c r="N175" s="241"/>
      <c r="O175" s="241"/>
      <c r="P175" s="241"/>
      <c r="Q175" s="241"/>
      <c r="R175" s="241"/>
      <c r="S175" s="241"/>
      <c r="T175" s="241"/>
      <c r="U175" s="241"/>
      <c r="V175" s="241"/>
      <c r="W175" s="241"/>
      <c r="X175" s="241"/>
      <c r="Y175" s="241"/>
      <c r="Z175" s="241"/>
    </row>
    <row r="176" spans="1:26" ht="13.5" customHeight="1" x14ac:dyDescent="0.3">
      <c r="A176" s="241"/>
      <c r="B176" s="241"/>
      <c r="C176" s="241"/>
      <c r="D176" s="241"/>
      <c r="E176" s="241"/>
      <c r="F176" s="241"/>
      <c r="G176" s="241"/>
      <c r="H176" s="241"/>
      <c r="I176" s="241"/>
      <c r="J176" s="241"/>
      <c r="K176" s="241"/>
      <c r="L176" s="241"/>
      <c r="M176" s="241"/>
      <c r="N176" s="241"/>
      <c r="O176" s="241"/>
      <c r="P176" s="241"/>
      <c r="Q176" s="241"/>
      <c r="R176" s="241"/>
      <c r="S176" s="241"/>
      <c r="T176" s="241"/>
      <c r="U176" s="241"/>
      <c r="V176" s="241"/>
      <c r="W176" s="241"/>
      <c r="X176" s="241"/>
      <c r="Y176" s="241"/>
      <c r="Z176" s="241"/>
    </row>
    <row r="177" spans="1:26" ht="13.5" customHeight="1" x14ac:dyDescent="0.3">
      <c r="A177" s="241"/>
      <c r="B177" s="241"/>
      <c r="C177" s="241"/>
      <c r="D177" s="241"/>
      <c r="E177" s="241"/>
      <c r="F177" s="241"/>
      <c r="G177" s="241"/>
      <c r="H177" s="241"/>
      <c r="I177" s="241"/>
      <c r="J177" s="241"/>
      <c r="K177" s="241"/>
      <c r="L177" s="241"/>
      <c r="M177" s="241"/>
      <c r="N177" s="241"/>
      <c r="O177" s="241"/>
      <c r="P177" s="241"/>
      <c r="Q177" s="241"/>
      <c r="R177" s="241"/>
      <c r="S177" s="241"/>
      <c r="T177" s="241"/>
      <c r="U177" s="241"/>
      <c r="V177" s="241"/>
      <c r="W177" s="241"/>
      <c r="X177" s="241"/>
      <c r="Y177" s="241"/>
      <c r="Z177" s="241"/>
    </row>
    <row r="178" spans="1:26" ht="13.5" customHeight="1" x14ac:dyDescent="0.3">
      <c r="A178" s="241"/>
      <c r="B178" s="241"/>
      <c r="C178" s="241"/>
      <c r="D178" s="241"/>
      <c r="E178" s="241"/>
      <c r="F178" s="241"/>
      <c r="G178" s="241"/>
      <c r="H178" s="241"/>
      <c r="I178" s="241"/>
      <c r="J178" s="241"/>
      <c r="K178" s="241"/>
      <c r="L178" s="241"/>
      <c r="M178" s="241"/>
      <c r="N178" s="241"/>
      <c r="O178" s="241"/>
      <c r="P178" s="241"/>
      <c r="Q178" s="241"/>
      <c r="R178" s="241"/>
      <c r="S178" s="241"/>
      <c r="T178" s="241"/>
      <c r="U178" s="241"/>
      <c r="V178" s="241"/>
      <c r="W178" s="241"/>
      <c r="X178" s="241"/>
      <c r="Y178" s="241"/>
      <c r="Z178" s="241"/>
    </row>
    <row r="179" spans="1:26" ht="13.5" customHeight="1" x14ac:dyDescent="0.3">
      <c r="A179" s="241"/>
      <c r="B179" s="241"/>
      <c r="C179" s="241"/>
      <c r="D179" s="241"/>
      <c r="E179" s="241"/>
      <c r="F179" s="241"/>
      <c r="G179" s="241"/>
      <c r="H179" s="241"/>
      <c r="I179" s="241"/>
      <c r="J179" s="241"/>
      <c r="K179" s="241"/>
      <c r="L179" s="241"/>
      <c r="M179" s="241"/>
      <c r="N179" s="241"/>
      <c r="O179" s="241"/>
      <c r="P179" s="241"/>
      <c r="Q179" s="241"/>
      <c r="R179" s="241"/>
      <c r="S179" s="241"/>
      <c r="T179" s="241"/>
      <c r="U179" s="241"/>
      <c r="V179" s="241"/>
      <c r="W179" s="241"/>
      <c r="X179" s="241"/>
      <c r="Y179" s="241"/>
      <c r="Z179" s="241"/>
    </row>
    <row r="180" spans="1:26" ht="13.5" customHeight="1" x14ac:dyDescent="0.3">
      <c r="A180" s="241"/>
      <c r="B180" s="241"/>
      <c r="C180" s="241"/>
      <c r="D180" s="241"/>
      <c r="E180" s="241"/>
      <c r="F180" s="241"/>
      <c r="G180" s="241"/>
      <c r="H180" s="241"/>
      <c r="I180" s="241"/>
      <c r="J180" s="241"/>
      <c r="K180" s="241"/>
      <c r="L180" s="241"/>
      <c r="M180" s="241"/>
      <c r="N180" s="241"/>
      <c r="O180" s="241"/>
      <c r="P180" s="241"/>
      <c r="Q180" s="241"/>
      <c r="R180" s="241"/>
      <c r="S180" s="241"/>
      <c r="T180" s="241"/>
      <c r="U180" s="241"/>
      <c r="V180" s="241"/>
      <c r="W180" s="241"/>
      <c r="X180" s="241"/>
      <c r="Y180" s="241"/>
      <c r="Z180" s="241"/>
    </row>
    <row r="181" spans="1:26" ht="13.5" customHeight="1" x14ac:dyDescent="0.3">
      <c r="A181" s="241"/>
      <c r="B181" s="241"/>
      <c r="C181" s="241"/>
      <c r="D181" s="241"/>
      <c r="E181" s="241"/>
      <c r="F181" s="241"/>
      <c r="G181" s="241"/>
      <c r="H181" s="241"/>
      <c r="I181" s="241"/>
      <c r="J181" s="241"/>
      <c r="K181" s="241"/>
      <c r="L181" s="241"/>
      <c r="M181" s="241"/>
      <c r="N181" s="241"/>
      <c r="O181" s="241"/>
      <c r="P181" s="241"/>
      <c r="Q181" s="241"/>
      <c r="R181" s="241"/>
      <c r="S181" s="241"/>
      <c r="T181" s="241"/>
      <c r="U181" s="241"/>
      <c r="V181" s="241"/>
      <c r="W181" s="241"/>
      <c r="X181" s="241"/>
      <c r="Y181" s="241"/>
      <c r="Z181" s="241"/>
    </row>
    <row r="182" spans="1:26" ht="13.5" customHeight="1" x14ac:dyDescent="0.3">
      <c r="A182" s="241"/>
      <c r="B182" s="241"/>
      <c r="C182" s="241"/>
      <c r="D182" s="241"/>
      <c r="E182" s="241"/>
      <c r="F182" s="241"/>
      <c r="G182" s="241"/>
      <c r="H182" s="241"/>
      <c r="I182" s="241"/>
      <c r="J182" s="241"/>
      <c r="K182" s="241"/>
      <c r="L182" s="241"/>
      <c r="M182" s="241"/>
      <c r="N182" s="241"/>
      <c r="O182" s="241"/>
      <c r="P182" s="241"/>
      <c r="Q182" s="241"/>
      <c r="R182" s="241"/>
      <c r="S182" s="241"/>
      <c r="T182" s="241"/>
      <c r="U182" s="241"/>
      <c r="V182" s="241"/>
      <c r="W182" s="241"/>
      <c r="X182" s="241"/>
      <c r="Y182" s="241"/>
      <c r="Z182" s="241"/>
    </row>
    <row r="183" spans="1:26" ht="13.5" customHeight="1" x14ac:dyDescent="0.3">
      <c r="A183" s="241"/>
      <c r="B183" s="241"/>
      <c r="C183" s="241"/>
      <c r="D183" s="241"/>
      <c r="E183" s="241"/>
      <c r="F183" s="241"/>
      <c r="G183" s="241"/>
      <c r="H183" s="241"/>
      <c r="I183" s="241"/>
      <c r="J183" s="241"/>
      <c r="K183" s="241"/>
      <c r="L183" s="241"/>
      <c r="M183" s="241"/>
      <c r="N183" s="241"/>
      <c r="O183" s="241"/>
      <c r="P183" s="241"/>
      <c r="Q183" s="241"/>
      <c r="R183" s="241"/>
      <c r="S183" s="241"/>
      <c r="T183" s="241"/>
      <c r="U183" s="241"/>
      <c r="V183" s="241"/>
      <c r="W183" s="241"/>
      <c r="X183" s="241"/>
      <c r="Y183" s="241"/>
      <c r="Z183" s="241"/>
    </row>
    <row r="184" spans="1:26" ht="13.5" customHeight="1" x14ac:dyDescent="0.3">
      <c r="A184" s="241"/>
      <c r="B184" s="241"/>
      <c r="C184" s="241"/>
      <c r="D184" s="241"/>
      <c r="E184" s="241"/>
      <c r="F184" s="241"/>
      <c r="G184" s="241"/>
      <c r="H184" s="241"/>
      <c r="I184" s="241"/>
      <c r="J184" s="241"/>
      <c r="K184" s="241"/>
      <c r="L184" s="241"/>
      <c r="M184" s="241"/>
      <c r="N184" s="241"/>
      <c r="O184" s="241"/>
      <c r="P184" s="241"/>
      <c r="Q184" s="241"/>
      <c r="R184" s="241"/>
      <c r="S184" s="241"/>
      <c r="T184" s="241"/>
      <c r="U184" s="241"/>
      <c r="V184" s="241"/>
      <c r="W184" s="241"/>
      <c r="X184" s="241"/>
      <c r="Y184" s="241"/>
      <c r="Z184" s="241"/>
    </row>
    <row r="185" spans="1:26" ht="13.5" customHeight="1" x14ac:dyDescent="0.3">
      <c r="A185" s="241"/>
      <c r="B185" s="241"/>
      <c r="C185" s="241"/>
      <c r="D185" s="241"/>
      <c r="E185" s="241"/>
      <c r="F185" s="241"/>
      <c r="G185" s="241"/>
      <c r="H185" s="241"/>
      <c r="I185" s="241"/>
      <c r="J185" s="241"/>
      <c r="K185" s="241"/>
      <c r="L185" s="241"/>
      <c r="M185" s="241"/>
      <c r="N185" s="241"/>
      <c r="O185" s="241"/>
      <c r="P185" s="241"/>
      <c r="Q185" s="241"/>
      <c r="R185" s="241"/>
      <c r="S185" s="241"/>
      <c r="T185" s="241"/>
      <c r="U185" s="241"/>
      <c r="V185" s="241"/>
      <c r="W185" s="241"/>
      <c r="X185" s="241"/>
      <c r="Y185" s="241"/>
      <c r="Z185" s="241"/>
    </row>
    <row r="186" spans="1:26" ht="13.5" customHeight="1" x14ac:dyDescent="0.3">
      <c r="A186" s="241"/>
      <c r="B186" s="241"/>
      <c r="C186" s="241"/>
      <c r="D186" s="241"/>
      <c r="E186" s="241"/>
      <c r="F186" s="241"/>
      <c r="G186" s="241"/>
      <c r="H186" s="241"/>
      <c r="I186" s="241"/>
      <c r="J186" s="241"/>
      <c r="K186" s="241"/>
      <c r="L186" s="241"/>
      <c r="M186" s="241"/>
      <c r="N186" s="241"/>
      <c r="O186" s="241"/>
      <c r="P186" s="241"/>
      <c r="Q186" s="241"/>
      <c r="R186" s="241"/>
      <c r="S186" s="241"/>
      <c r="T186" s="241"/>
      <c r="U186" s="241"/>
      <c r="V186" s="241"/>
      <c r="W186" s="241"/>
      <c r="X186" s="241"/>
      <c r="Y186" s="241"/>
      <c r="Z186" s="241"/>
    </row>
    <row r="187" spans="1:26" ht="13.5" customHeight="1" x14ac:dyDescent="0.3">
      <c r="A187" s="241"/>
      <c r="B187" s="241"/>
      <c r="C187" s="241"/>
      <c r="D187" s="241"/>
      <c r="E187" s="241"/>
      <c r="F187" s="241"/>
      <c r="G187" s="241"/>
      <c r="H187" s="241"/>
      <c r="I187" s="241"/>
      <c r="J187" s="241"/>
      <c r="K187" s="241"/>
      <c r="L187" s="241"/>
      <c r="M187" s="241"/>
      <c r="N187" s="241"/>
      <c r="O187" s="241"/>
      <c r="P187" s="241"/>
      <c r="Q187" s="241"/>
      <c r="R187" s="241"/>
      <c r="S187" s="241"/>
      <c r="T187" s="241"/>
      <c r="U187" s="241"/>
      <c r="V187" s="241"/>
      <c r="W187" s="241"/>
      <c r="X187" s="241"/>
      <c r="Y187" s="241"/>
      <c r="Z187" s="241"/>
    </row>
    <row r="188" spans="1:26" ht="13.5" customHeight="1" x14ac:dyDescent="0.3">
      <c r="A188" s="241"/>
      <c r="B188" s="241"/>
      <c r="C188" s="241"/>
      <c r="D188" s="241"/>
      <c r="E188" s="241"/>
      <c r="F188" s="241"/>
      <c r="G188" s="241"/>
      <c r="H188" s="241"/>
      <c r="I188" s="241"/>
      <c r="J188" s="241"/>
      <c r="K188" s="241"/>
      <c r="L188" s="241"/>
      <c r="M188" s="241"/>
      <c r="N188" s="241"/>
      <c r="O188" s="241"/>
      <c r="P188" s="241"/>
      <c r="Q188" s="241"/>
      <c r="R188" s="241"/>
      <c r="S188" s="241"/>
      <c r="T188" s="241"/>
      <c r="U188" s="241"/>
      <c r="V188" s="241"/>
      <c r="W188" s="241"/>
      <c r="X188" s="241"/>
      <c r="Y188" s="241"/>
      <c r="Z188" s="241"/>
    </row>
    <row r="189" spans="1:26" ht="13.5" customHeight="1" x14ac:dyDescent="0.3">
      <c r="A189" s="241"/>
      <c r="B189" s="241"/>
      <c r="C189" s="241"/>
      <c r="D189" s="241"/>
      <c r="E189" s="241"/>
      <c r="F189" s="241"/>
      <c r="G189" s="241"/>
      <c r="H189" s="241"/>
      <c r="I189" s="241"/>
      <c r="J189" s="241"/>
      <c r="K189" s="241"/>
      <c r="L189" s="241"/>
      <c r="M189" s="241"/>
      <c r="N189" s="241"/>
      <c r="O189" s="241"/>
      <c r="P189" s="241"/>
      <c r="Q189" s="241"/>
      <c r="R189" s="241"/>
      <c r="S189" s="241"/>
      <c r="T189" s="241"/>
      <c r="U189" s="241"/>
      <c r="V189" s="241"/>
      <c r="W189" s="241"/>
      <c r="X189" s="241"/>
      <c r="Y189" s="241"/>
      <c r="Z189" s="241"/>
    </row>
    <row r="190" spans="1:26" ht="13.5" customHeight="1" x14ac:dyDescent="0.3">
      <c r="A190" s="241"/>
      <c r="B190" s="241"/>
      <c r="C190" s="241"/>
      <c r="D190" s="241"/>
      <c r="E190" s="241"/>
      <c r="F190" s="241"/>
      <c r="G190" s="241"/>
      <c r="H190" s="241"/>
      <c r="I190" s="241"/>
      <c r="J190" s="241"/>
      <c r="K190" s="241"/>
      <c r="L190" s="241"/>
      <c r="M190" s="241"/>
      <c r="N190" s="241"/>
      <c r="O190" s="241"/>
      <c r="P190" s="241"/>
      <c r="Q190" s="241"/>
      <c r="R190" s="241"/>
      <c r="S190" s="241"/>
      <c r="T190" s="241"/>
      <c r="U190" s="241"/>
      <c r="V190" s="241"/>
      <c r="W190" s="241"/>
      <c r="X190" s="241"/>
      <c r="Y190" s="241"/>
      <c r="Z190" s="241"/>
    </row>
    <row r="191" spans="1:26" ht="13.5" customHeight="1" x14ac:dyDescent="0.3">
      <c r="A191" s="241"/>
      <c r="B191" s="241"/>
      <c r="C191" s="241"/>
      <c r="D191" s="241"/>
      <c r="E191" s="241"/>
      <c r="F191" s="241"/>
      <c r="G191" s="241"/>
      <c r="H191" s="241"/>
      <c r="I191" s="241"/>
      <c r="J191" s="241"/>
      <c r="K191" s="241"/>
      <c r="L191" s="241"/>
      <c r="M191" s="241"/>
      <c r="N191" s="241"/>
      <c r="O191" s="241"/>
      <c r="P191" s="241"/>
      <c r="Q191" s="241"/>
      <c r="R191" s="241"/>
      <c r="S191" s="241"/>
      <c r="T191" s="241"/>
      <c r="U191" s="241"/>
      <c r="V191" s="241"/>
      <c r="W191" s="241"/>
      <c r="X191" s="241"/>
      <c r="Y191" s="241"/>
      <c r="Z191" s="241"/>
    </row>
    <row r="192" spans="1:26" ht="13.5" customHeight="1" x14ac:dyDescent="0.3">
      <c r="A192" s="241"/>
      <c r="B192" s="241"/>
      <c r="C192" s="241"/>
      <c r="D192" s="241"/>
      <c r="E192" s="241"/>
      <c r="F192" s="241"/>
      <c r="G192" s="241"/>
      <c r="H192" s="241"/>
      <c r="I192" s="241"/>
      <c r="J192" s="241"/>
      <c r="K192" s="241"/>
      <c r="L192" s="241"/>
      <c r="M192" s="241"/>
      <c r="N192" s="241"/>
      <c r="O192" s="241"/>
      <c r="P192" s="241"/>
      <c r="Q192" s="241"/>
      <c r="R192" s="241"/>
      <c r="S192" s="241"/>
      <c r="T192" s="241"/>
      <c r="U192" s="241"/>
      <c r="V192" s="241"/>
      <c r="W192" s="241"/>
      <c r="X192" s="241"/>
      <c r="Y192" s="241"/>
      <c r="Z192" s="241"/>
    </row>
    <row r="193" spans="1:26" ht="13.5" customHeight="1" x14ac:dyDescent="0.3">
      <c r="A193" s="241"/>
      <c r="B193" s="241"/>
      <c r="C193" s="241"/>
      <c r="D193" s="241"/>
      <c r="E193" s="241"/>
      <c r="F193" s="241"/>
      <c r="G193" s="241"/>
      <c r="H193" s="241"/>
      <c r="I193" s="241"/>
      <c r="J193" s="241"/>
      <c r="K193" s="241"/>
      <c r="L193" s="241"/>
      <c r="M193" s="241"/>
      <c r="N193" s="241"/>
      <c r="O193" s="241"/>
      <c r="P193" s="241"/>
      <c r="Q193" s="241"/>
      <c r="R193" s="241"/>
      <c r="S193" s="241"/>
      <c r="T193" s="241"/>
      <c r="U193" s="241"/>
      <c r="V193" s="241"/>
      <c r="W193" s="241"/>
      <c r="X193" s="241"/>
      <c r="Y193" s="241"/>
      <c r="Z193" s="241"/>
    </row>
    <row r="194" spans="1:26" ht="13.5" customHeight="1" x14ac:dyDescent="0.3">
      <c r="A194" s="241"/>
      <c r="B194" s="241"/>
      <c r="C194" s="241"/>
      <c r="D194" s="241"/>
      <c r="E194" s="241"/>
      <c r="F194" s="241"/>
      <c r="G194" s="241"/>
      <c r="H194" s="241"/>
      <c r="I194" s="241"/>
      <c r="J194" s="241"/>
      <c r="K194" s="241"/>
      <c r="L194" s="241"/>
      <c r="M194" s="241"/>
      <c r="N194" s="241"/>
      <c r="O194" s="241"/>
      <c r="P194" s="241"/>
      <c r="Q194" s="241"/>
      <c r="R194" s="241"/>
      <c r="S194" s="241"/>
      <c r="T194" s="241"/>
      <c r="U194" s="241"/>
      <c r="V194" s="241"/>
      <c r="W194" s="241"/>
      <c r="X194" s="241"/>
      <c r="Y194" s="241"/>
      <c r="Z194" s="241"/>
    </row>
    <row r="195" spans="1:26" ht="13.5" customHeight="1" x14ac:dyDescent="0.3">
      <c r="A195" s="241"/>
      <c r="B195" s="241"/>
      <c r="C195" s="241"/>
      <c r="D195" s="241"/>
      <c r="E195" s="241"/>
      <c r="F195" s="241"/>
      <c r="G195" s="241"/>
      <c r="H195" s="241"/>
      <c r="I195" s="241"/>
      <c r="J195" s="241"/>
      <c r="K195" s="241"/>
      <c r="L195" s="241"/>
      <c r="M195" s="241"/>
      <c r="N195" s="241"/>
      <c r="O195" s="241"/>
      <c r="P195" s="241"/>
      <c r="Q195" s="241"/>
      <c r="R195" s="241"/>
      <c r="S195" s="241"/>
      <c r="T195" s="241"/>
      <c r="U195" s="241"/>
      <c r="V195" s="241"/>
      <c r="W195" s="241"/>
      <c r="X195" s="241"/>
      <c r="Y195" s="241"/>
      <c r="Z195" s="241"/>
    </row>
    <row r="196" spans="1:26" ht="13.5" customHeight="1" x14ac:dyDescent="0.3">
      <c r="A196" s="241"/>
      <c r="B196" s="241"/>
      <c r="C196" s="241"/>
      <c r="D196" s="241"/>
      <c r="E196" s="241"/>
      <c r="F196" s="241"/>
      <c r="G196" s="241"/>
      <c r="H196" s="241"/>
      <c r="I196" s="241"/>
      <c r="J196" s="241"/>
      <c r="K196" s="241"/>
      <c r="L196" s="241"/>
      <c r="M196" s="241"/>
      <c r="N196" s="241"/>
      <c r="O196" s="241"/>
      <c r="P196" s="241"/>
      <c r="Q196" s="241"/>
      <c r="R196" s="241"/>
      <c r="S196" s="241"/>
      <c r="T196" s="241"/>
      <c r="U196" s="241"/>
      <c r="V196" s="241"/>
      <c r="W196" s="241"/>
      <c r="X196" s="241"/>
      <c r="Y196" s="241"/>
      <c r="Z196" s="241"/>
    </row>
    <row r="197" spans="1:26" ht="13.5" customHeight="1" x14ac:dyDescent="0.3">
      <c r="A197" s="241"/>
      <c r="B197" s="241"/>
      <c r="C197" s="241"/>
      <c r="D197" s="241"/>
      <c r="E197" s="241"/>
      <c r="F197" s="241"/>
      <c r="G197" s="241"/>
      <c r="H197" s="241"/>
      <c r="I197" s="241"/>
      <c r="J197" s="241"/>
      <c r="K197" s="241"/>
      <c r="L197" s="241"/>
      <c r="M197" s="241"/>
      <c r="N197" s="241"/>
      <c r="O197" s="241"/>
      <c r="P197" s="241"/>
      <c r="Q197" s="241"/>
      <c r="R197" s="241"/>
      <c r="S197" s="241"/>
      <c r="T197" s="241"/>
      <c r="U197" s="241"/>
      <c r="V197" s="241"/>
      <c r="W197" s="241"/>
      <c r="X197" s="241"/>
      <c r="Y197" s="241"/>
      <c r="Z197" s="241"/>
    </row>
    <row r="198" spans="1:26" ht="13.5" customHeight="1" x14ac:dyDescent="0.3">
      <c r="A198" s="241"/>
      <c r="B198" s="241"/>
      <c r="C198" s="241"/>
      <c r="D198" s="241"/>
      <c r="E198" s="241"/>
      <c r="F198" s="241"/>
      <c r="G198" s="241"/>
      <c r="H198" s="241"/>
      <c r="I198" s="241"/>
      <c r="J198" s="241"/>
      <c r="K198" s="241"/>
      <c r="L198" s="241"/>
      <c r="M198" s="241"/>
      <c r="N198" s="241"/>
      <c r="O198" s="241"/>
      <c r="P198" s="241"/>
      <c r="Q198" s="241"/>
      <c r="R198" s="241"/>
      <c r="S198" s="241"/>
      <c r="T198" s="241"/>
      <c r="U198" s="241"/>
      <c r="V198" s="241"/>
      <c r="W198" s="241"/>
      <c r="X198" s="241"/>
      <c r="Y198" s="241"/>
      <c r="Z198" s="241"/>
    </row>
    <row r="199" spans="1:26" ht="13.5" customHeight="1" x14ac:dyDescent="0.3">
      <c r="A199" s="241"/>
      <c r="B199" s="241"/>
      <c r="C199" s="241"/>
      <c r="D199" s="241"/>
      <c r="E199" s="241"/>
      <c r="F199" s="241"/>
      <c r="G199" s="241"/>
      <c r="H199" s="241"/>
      <c r="I199" s="241"/>
      <c r="J199" s="241"/>
      <c r="K199" s="241"/>
      <c r="L199" s="241"/>
      <c r="M199" s="241"/>
      <c r="N199" s="241"/>
      <c r="O199" s="241"/>
      <c r="P199" s="241"/>
      <c r="Q199" s="241"/>
      <c r="R199" s="241"/>
      <c r="S199" s="241"/>
      <c r="T199" s="241"/>
      <c r="U199" s="241"/>
      <c r="V199" s="241"/>
      <c r="W199" s="241"/>
      <c r="X199" s="241"/>
      <c r="Y199" s="241"/>
      <c r="Z199" s="241"/>
    </row>
    <row r="200" spans="1:26" ht="13.5" customHeight="1" x14ac:dyDescent="0.3">
      <c r="A200" s="241"/>
      <c r="B200" s="241"/>
      <c r="C200" s="241"/>
      <c r="D200" s="241"/>
      <c r="E200" s="241"/>
      <c r="F200" s="241"/>
      <c r="G200" s="241"/>
      <c r="H200" s="241"/>
      <c r="I200" s="241"/>
      <c r="J200" s="241"/>
      <c r="K200" s="241"/>
      <c r="L200" s="241"/>
      <c r="M200" s="241"/>
      <c r="N200" s="241"/>
      <c r="O200" s="241"/>
      <c r="P200" s="241"/>
      <c r="Q200" s="241"/>
      <c r="R200" s="241"/>
      <c r="S200" s="241"/>
      <c r="T200" s="241"/>
      <c r="U200" s="241"/>
      <c r="V200" s="241"/>
      <c r="W200" s="241"/>
      <c r="X200" s="241"/>
      <c r="Y200" s="241"/>
      <c r="Z200" s="241"/>
    </row>
    <row r="201" spans="1:26" ht="13.5" customHeight="1" x14ac:dyDescent="0.3">
      <c r="A201" s="241"/>
      <c r="B201" s="241"/>
      <c r="C201" s="241"/>
      <c r="D201" s="241"/>
      <c r="E201" s="241"/>
      <c r="F201" s="241"/>
      <c r="G201" s="241"/>
      <c r="H201" s="241"/>
      <c r="I201" s="241"/>
      <c r="J201" s="241"/>
      <c r="K201" s="241"/>
      <c r="L201" s="241"/>
      <c r="M201" s="241"/>
      <c r="N201" s="241"/>
      <c r="O201" s="241"/>
      <c r="P201" s="241"/>
      <c r="Q201" s="241"/>
      <c r="R201" s="241"/>
      <c r="S201" s="241"/>
      <c r="T201" s="241"/>
      <c r="U201" s="241"/>
      <c r="V201" s="241"/>
      <c r="W201" s="241"/>
      <c r="X201" s="241"/>
      <c r="Y201" s="241"/>
      <c r="Z201" s="241"/>
    </row>
    <row r="202" spans="1:26" ht="13.5" customHeight="1" x14ac:dyDescent="0.3">
      <c r="A202" s="241"/>
      <c r="B202" s="241"/>
      <c r="C202" s="241"/>
      <c r="D202" s="241"/>
      <c r="E202" s="241"/>
      <c r="F202" s="241"/>
      <c r="G202" s="241"/>
      <c r="H202" s="241"/>
      <c r="I202" s="241"/>
      <c r="J202" s="241"/>
      <c r="K202" s="241"/>
      <c r="L202" s="241"/>
      <c r="M202" s="241"/>
      <c r="N202" s="241"/>
      <c r="O202" s="241"/>
      <c r="P202" s="241"/>
      <c r="Q202" s="241"/>
      <c r="R202" s="241"/>
      <c r="S202" s="241"/>
      <c r="T202" s="241"/>
      <c r="U202" s="241"/>
      <c r="V202" s="241"/>
      <c r="W202" s="241"/>
      <c r="X202" s="241"/>
      <c r="Y202" s="241"/>
      <c r="Z202" s="241"/>
    </row>
    <row r="203" spans="1:26" ht="13.5" customHeight="1" x14ac:dyDescent="0.3">
      <c r="A203" s="241"/>
      <c r="B203" s="241"/>
      <c r="C203" s="241"/>
      <c r="D203" s="241"/>
      <c r="E203" s="241"/>
      <c r="F203" s="241"/>
      <c r="G203" s="241"/>
      <c r="H203" s="241"/>
      <c r="I203" s="241"/>
      <c r="J203" s="241"/>
      <c r="K203" s="241"/>
      <c r="L203" s="241"/>
      <c r="M203" s="241"/>
      <c r="N203" s="241"/>
      <c r="O203" s="241"/>
      <c r="P203" s="241"/>
      <c r="Q203" s="241"/>
      <c r="R203" s="241"/>
      <c r="S203" s="241"/>
      <c r="T203" s="241"/>
      <c r="U203" s="241"/>
      <c r="V203" s="241"/>
      <c r="W203" s="241"/>
      <c r="X203" s="241"/>
      <c r="Y203" s="241"/>
      <c r="Z203" s="241"/>
    </row>
    <row r="204" spans="1:26" ht="13.5" customHeight="1" x14ac:dyDescent="0.3">
      <c r="A204" s="241"/>
      <c r="B204" s="241"/>
      <c r="C204" s="241"/>
      <c r="D204" s="241"/>
      <c r="E204" s="241"/>
      <c r="F204" s="241"/>
      <c r="G204" s="241"/>
      <c r="H204" s="241"/>
      <c r="I204" s="241"/>
      <c r="J204" s="241"/>
      <c r="K204" s="241"/>
      <c r="L204" s="241"/>
      <c r="M204" s="241"/>
      <c r="N204" s="241"/>
      <c r="O204" s="241"/>
      <c r="P204" s="241"/>
      <c r="Q204" s="241"/>
      <c r="R204" s="241"/>
      <c r="S204" s="241"/>
      <c r="T204" s="241"/>
      <c r="U204" s="241"/>
      <c r="V204" s="241"/>
      <c r="W204" s="241"/>
      <c r="X204" s="241"/>
      <c r="Y204" s="241"/>
      <c r="Z204" s="241"/>
    </row>
    <row r="205" spans="1:26" ht="13.5" customHeight="1" x14ac:dyDescent="0.3">
      <c r="A205" s="241"/>
      <c r="B205" s="241"/>
      <c r="C205" s="241"/>
      <c r="D205" s="241"/>
      <c r="E205" s="241"/>
      <c r="F205" s="241"/>
      <c r="G205" s="241"/>
      <c r="H205" s="241"/>
      <c r="I205" s="241"/>
      <c r="J205" s="241"/>
      <c r="K205" s="241"/>
      <c r="L205" s="241"/>
      <c r="M205" s="241"/>
      <c r="N205" s="241"/>
      <c r="O205" s="241"/>
      <c r="P205" s="241"/>
      <c r="Q205" s="241"/>
      <c r="R205" s="241"/>
      <c r="S205" s="241"/>
      <c r="T205" s="241"/>
      <c r="U205" s="241"/>
      <c r="V205" s="241"/>
      <c r="W205" s="241"/>
      <c r="X205" s="241"/>
      <c r="Y205" s="241"/>
      <c r="Z205" s="241"/>
    </row>
    <row r="206" spans="1:26" ht="13.5" customHeight="1" x14ac:dyDescent="0.3">
      <c r="A206" s="241"/>
      <c r="B206" s="241"/>
      <c r="C206" s="241"/>
      <c r="D206" s="241"/>
      <c r="E206" s="241"/>
      <c r="F206" s="241"/>
      <c r="G206" s="241"/>
      <c r="H206" s="241"/>
      <c r="I206" s="241"/>
      <c r="J206" s="241"/>
      <c r="K206" s="241"/>
      <c r="L206" s="241"/>
      <c r="M206" s="241"/>
      <c r="N206" s="241"/>
      <c r="O206" s="241"/>
      <c r="P206" s="241"/>
      <c r="Q206" s="241"/>
      <c r="R206" s="241"/>
      <c r="S206" s="241"/>
      <c r="T206" s="241"/>
      <c r="U206" s="241"/>
      <c r="V206" s="241"/>
      <c r="W206" s="241"/>
      <c r="X206" s="241"/>
      <c r="Y206" s="241"/>
      <c r="Z206" s="241"/>
    </row>
    <row r="207" spans="1:26" ht="13.5" customHeight="1" x14ac:dyDescent="0.3">
      <c r="A207" s="241"/>
      <c r="B207" s="241"/>
      <c r="C207" s="241"/>
      <c r="D207" s="241"/>
      <c r="E207" s="241"/>
      <c r="F207" s="241"/>
      <c r="G207" s="241"/>
      <c r="H207" s="241"/>
      <c r="I207" s="241"/>
      <c r="J207" s="241"/>
      <c r="K207" s="241"/>
      <c r="L207" s="241"/>
      <c r="M207" s="241"/>
      <c r="N207" s="241"/>
      <c r="O207" s="241"/>
      <c r="P207" s="241"/>
      <c r="Q207" s="241"/>
      <c r="R207" s="241"/>
      <c r="S207" s="241"/>
      <c r="T207" s="241"/>
      <c r="U207" s="241"/>
      <c r="V207" s="241"/>
      <c r="W207" s="241"/>
      <c r="X207" s="241"/>
      <c r="Y207" s="241"/>
      <c r="Z207" s="241"/>
    </row>
    <row r="208" spans="1:26" ht="13.5" customHeight="1" x14ac:dyDescent="0.3">
      <c r="A208" s="241"/>
      <c r="B208" s="241"/>
      <c r="C208" s="241"/>
      <c r="D208" s="241"/>
      <c r="E208" s="241"/>
      <c r="F208" s="241"/>
      <c r="G208" s="241"/>
      <c r="H208" s="241"/>
      <c r="I208" s="241"/>
      <c r="J208" s="241"/>
      <c r="K208" s="241"/>
      <c r="L208" s="241"/>
      <c r="M208" s="241"/>
      <c r="N208" s="241"/>
      <c r="O208" s="241"/>
      <c r="P208" s="241"/>
      <c r="Q208" s="241"/>
      <c r="R208" s="241"/>
      <c r="S208" s="241"/>
      <c r="T208" s="241"/>
      <c r="U208" s="241"/>
      <c r="V208" s="241"/>
      <c r="W208" s="241"/>
      <c r="X208" s="241"/>
      <c r="Y208" s="241"/>
      <c r="Z208" s="241"/>
    </row>
    <row r="209" spans="1:26" ht="13.5" customHeight="1" x14ac:dyDescent="0.3">
      <c r="A209" s="241"/>
      <c r="B209" s="241"/>
      <c r="C209" s="241"/>
      <c r="D209" s="241"/>
      <c r="E209" s="241"/>
      <c r="F209" s="241"/>
      <c r="G209" s="241"/>
      <c r="H209" s="241"/>
      <c r="I209" s="241"/>
      <c r="J209" s="241"/>
      <c r="K209" s="241"/>
      <c r="L209" s="241"/>
      <c r="M209" s="241"/>
      <c r="N209" s="241"/>
      <c r="O209" s="241"/>
      <c r="P209" s="241"/>
      <c r="Q209" s="241"/>
      <c r="R209" s="241"/>
      <c r="S209" s="241"/>
      <c r="T209" s="241"/>
      <c r="U209" s="241"/>
      <c r="V209" s="241"/>
      <c r="W209" s="241"/>
      <c r="X209" s="241"/>
      <c r="Y209" s="241"/>
      <c r="Z209" s="241"/>
    </row>
    <row r="210" spans="1:26" ht="13.5" customHeight="1" x14ac:dyDescent="0.3">
      <c r="A210" s="241"/>
      <c r="B210" s="241"/>
      <c r="C210" s="241"/>
      <c r="D210" s="241"/>
      <c r="E210" s="241"/>
      <c r="F210" s="241"/>
      <c r="G210" s="241"/>
      <c r="H210" s="241"/>
      <c r="I210" s="241"/>
      <c r="J210" s="241"/>
      <c r="K210" s="241"/>
      <c r="L210" s="241"/>
      <c r="M210" s="241"/>
      <c r="N210" s="241"/>
      <c r="O210" s="241"/>
      <c r="P210" s="241"/>
      <c r="Q210" s="241"/>
      <c r="R210" s="241"/>
      <c r="S210" s="241"/>
      <c r="T210" s="241"/>
      <c r="U210" s="241"/>
      <c r="V210" s="241"/>
      <c r="W210" s="241"/>
      <c r="X210" s="241"/>
      <c r="Y210" s="241"/>
      <c r="Z210" s="241"/>
    </row>
    <row r="211" spans="1:26" ht="13.5" customHeight="1" x14ac:dyDescent="0.3">
      <c r="A211" s="241"/>
      <c r="B211" s="241"/>
      <c r="C211" s="241"/>
      <c r="D211" s="241"/>
      <c r="E211" s="241"/>
      <c r="F211" s="241"/>
      <c r="G211" s="241"/>
      <c r="H211" s="241"/>
      <c r="I211" s="241"/>
      <c r="J211" s="241"/>
      <c r="K211" s="241"/>
      <c r="L211" s="241"/>
      <c r="M211" s="241"/>
      <c r="N211" s="241"/>
      <c r="O211" s="241"/>
      <c r="P211" s="241"/>
      <c r="Q211" s="241"/>
      <c r="R211" s="241"/>
      <c r="S211" s="241"/>
      <c r="T211" s="241"/>
      <c r="U211" s="241"/>
      <c r="V211" s="241"/>
      <c r="W211" s="241"/>
      <c r="X211" s="241"/>
      <c r="Y211" s="241"/>
      <c r="Z211" s="241"/>
    </row>
    <row r="212" spans="1:26" ht="13.5" customHeight="1" x14ac:dyDescent="0.3">
      <c r="A212" s="241"/>
      <c r="B212" s="241"/>
      <c r="C212" s="241"/>
      <c r="D212" s="241"/>
      <c r="E212" s="241"/>
      <c r="F212" s="241"/>
      <c r="G212" s="241"/>
      <c r="H212" s="241"/>
      <c r="I212" s="241"/>
      <c r="J212" s="241"/>
      <c r="K212" s="241"/>
      <c r="L212" s="241"/>
      <c r="M212" s="241"/>
      <c r="N212" s="241"/>
      <c r="O212" s="241"/>
      <c r="P212" s="241"/>
      <c r="Q212" s="241"/>
      <c r="R212" s="241"/>
      <c r="S212" s="241"/>
      <c r="T212" s="241"/>
      <c r="U212" s="241"/>
      <c r="V212" s="241"/>
      <c r="W212" s="241"/>
      <c r="X212" s="241"/>
      <c r="Y212" s="241"/>
      <c r="Z212" s="241"/>
    </row>
    <row r="213" spans="1:26" ht="13.5" customHeight="1" x14ac:dyDescent="0.3">
      <c r="A213" s="241"/>
      <c r="B213" s="241"/>
      <c r="C213" s="241"/>
      <c r="D213" s="241"/>
      <c r="E213" s="241"/>
      <c r="F213" s="241"/>
      <c r="G213" s="241"/>
      <c r="H213" s="241"/>
      <c r="I213" s="241"/>
      <c r="J213" s="241"/>
      <c r="K213" s="241"/>
      <c r="L213" s="241"/>
      <c r="M213" s="241"/>
      <c r="N213" s="241"/>
      <c r="O213" s="241"/>
      <c r="P213" s="241"/>
      <c r="Q213" s="241"/>
      <c r="R213" s="241"/>
      <c r="S213" s="241"/>
      <c r="T213" s="241"/>
      <c r="U213" s="241"/>
      <c r="V213" s="241"/>
      <c r="W213" s="241"/>
      <c r="X213" s="241"/>
      <c r="Y213" s="241"/>
      <c r="Z213" s="241"/>
    </row>
    <row r="214" spans="1:26" ht="13.5" customHeight="1" x14ac:dyDescent="0.3">
      <c r="A214" s="241"/>
      <c r="B214" s="241"/>
      <c r="C214" s="241"/>
      <c r="D214" s="241"/>
      <c r="E214" s="241"/>
      <c r="F214" s="241"/>
      <c r="G214" s="241"/>
      <c r="H214" s="241"/>
      <c r="I214" s="241"/>
      <c r="J214" s="241"/>
      <c r="K214" s="241"/>
      <c r="L214" s="241"/>
      <c r="M214" s="241"/>
      <c r="N214" s="241"/>
      <c r="O214" s="241"/>
      <c r="P214" s="241"/>
      <c r="Q214" s="241"/>
      <c r="R214" s="241"/>
      <c r="S214" s="241"/>
      <c r="T214" s="241"/>
      <c r="U214" s="241"/>
      <c r="V214" s="241"/>
      <c r="W214" s="241"/>
      <c r="X214" s="241"/>
      <c r="Y214" s="241"/>
      <c r="Z214" s="241"/>
    </row>
    <row r="215" spans="1:26" ht="13.5" customHeight="1" x14ac:dyDescent="0.3">
      <c r="A215" s="241"/>
      <c r="B215" s="241"/>
      <c r="C215" s="241"/>
      <c r="D215" s="241"/>
      <c r="E215" s="241"/>
      <c r="F215" s="241"/>
      <c r="G215" s="241"/>
      <c r="H215" s="241"/>
      <c r="I215" s="241"/>
      <c r="J215" s="241"/>
      <c r="K215" s="241"/>
      <c r="L215" s="241"/>
      <c r="M215" s="241"/>
      <c r="N215" s="241"/>
      <c r="O215" s="241"/>
      <c r="P215" s="241"/>
      <c r="Q215" s="241"/>
      <c r="R215" s="241"/>
      <c r="S215" s="241"/>
      <c r="T215" s="241"/>
      <c r="U215" s="241"/>
      <c r="V215" s="241"/>
      <c r="W215" s="241"/>
      <c r="X215" s="241"/>
      <c r="Y215" s="241"/>
      <c r="Z215" s="241"/>
    </row>
    <row r="216" spans="1:26" ht="13.5" customHeight="1" x14ac:dyDescent="0.3">
      <c r="A216" s="241"/>
      <c r="B216" s="241"/>
      <c r="C216" s="241"/>
      <c r="D216" s="241"/>
      <c r="E216" s="241"/>
      <c r="F216" s="241"/>
      <c r="G216" s="241"/>
      <c r="H216" s="241"/>
      <c r="I216" s="241"/>
      <c r="J216" s="241"/>
      <c r="K216" s="241"/>
      <c r="L216" s="241"/>
      <c r="M216" s="241"/>
      <c r="N216" s="241"/>
      <c r="O216" s="241"/>
      <c r="P216" s="241"/>
      <c r="Q216" s="241"/>
      <c r="R216" s="241"/>
      <c r="S216" s="241"/>
      <c r="T216" s="241"/>
      <c r="U216" s="241"/>
      <c r="V216" s="241"/>
      <c r="W216" s="241"/>
      <c r="X216" s="241"/>
      <c r="Y216" s="241"/>
      <c r="Z216" s="241"/>
    </row>
    <row r="217" spans="1:26" ht="13.5" customHeight="1" x14ac:dyDescent="0.3">
      <c r="A217" s="241"/>
      <c r="B217" s="241"/>
      <c r="C217" s="241"/>
      <c r="D217" s="241"/>
      <c r="E217" s="241"/>
      <c r="F217" s="241"/>
      <c r="G217" s="241"/>
      <c r="H217" s="241"/>
      <c r="I217" s="241"/>
      <c r="J217" s="241"/>
      <c r="K217" s="241"/>
      <c r="L217" s="241"/>
      <c r="M217" s="241"/>
      <c r="N217" s="241"/>
      <c r="O217" s="241"/>
      <c r="P217" s="241"/>
      <c r="Q217" s="241"/>
      <c r="R217" s="241"/>
      <c r="S217" s="241"/>
      <c r="T217" s="241"/>
      <c r="U217" s="241"/>
      <c r="V217" s="241"/>
      <c r="W217" s="241"/>
      <c r="X217" s="241"/>
      <c r="Y217" s="241"/>
      <c r="Z217" s="241"/>
    </row>
    <row r="218" spans="1:26" ht="13.5" customHeight="1" x14ac:dyDescent="0.3">
      <c r="A218" s="241"/>
      <c r="B218" s="241"/>
      <c r="C218" s="241"/>
      <c r="D218" s="241"/>
      <c r="E218" s="241"/>
      <c r="F218" s="241"/>
      <c r="G218" s="241"/>
      <c r="H218" s="241"/>
      <c r="I218" s="241"/>
      <c r="J218" s="241"/>
      <c r="K218" s="241"/>
      <c r="L218" s="241"/>
      <c r="M218" s="241"/>
      <c r="N218" s="241"/>
      <c r="O218" s="241"/>
      <c r="P218" s="241"/>
      <c r="Q218" s="241"/>
      <c r="R218" s="241"/>
      <c r="S218" s="241"/>
      <c r="T218" s="241"/>
      <c r="U218" s="241"/>
      <c r="V218" s="241"/>
      <c r="W218" s="241"/>
      <c r="X218" s="241"/>
      <c r="Y218" s="241"/>
      <c r="Z218" s="241"/>
    </row>
    <row r="219" spans="1:26" ht="13.5" customHeight="1" x14ac:dyDescent="0.3">
      <c r="A219" s="241"/>
      <c r="B219" s="241"/>
      <c r="C219" s="241"/>
      <c r="D219" s="241"/>
      <c r="E219" s="241"/>
      <c r="F219" s="241"/>
      <c r="G219" s="241"/>
      <c r="H219" s="241"/>
      <c r="I219" s="241"/>
      <c r="J219" s="241"/>
      <c r="K219" s="241"/>
      <c r="L219" s="241"/>
      <c r="M219" s="241"/>
      <c r="N219" s="241"/>
      <c r="O219" s="241"/>
      <c r="P219" s="241"/>
      <c r="Q219" s="241"/>
      <c r="R219" s="241"/>
      <c r="S219" s="241"/>
      <c r="T219" s="241"/>
      <c r="U219" s="241"/>
      <c r="V219" s="241"/>
      <c r="W219" s="241"/>
      <c r="X219" s="241"/>
      <c r="Y219" s="241"/>
      <c r="Z219" s="241"/>
    </row>
    <row r="220" spans="1:26" ht="13.5" customHeight="1" x14ac:dyDescent="0.3">
      <c r="A220" s="241"/>
      <c r="B220" s="241"/>
      <c r="C220" s="241"/>
      <c r="D220" s="241"/>
      <c r="E220" s="241"/>
      <c r="F220" s="241"/>
      <c r="G220" s="241"/>
      <c r="H220" s="241"/>
      <c r="I220" s="241"/>
      <c r="J220" s="241"/>
      <c r="K220" s="241"/>
      <c r="L220" s="241"/>
      <c r="M220" s="241"/>
      <c r="N220" s="241"/>
      <c r="O220" s="241"/>
      <c r="P220" s="241"/>
      <c r="Q220" s="241"/>
      <c r="R220" s="241"/>
      <c r="S220" s="241"/>
      <c r="T220" s="241"/>
      <c r="U220" s="241"/>
      <c r="V220" s="241"/>
      <c r="W220" s="241"/>
      <c r="X220" s="241"/>
      <c r="Y220" s="241"/>
      <c r="Z220" s="241"/>
    </row>
    <row r="221" spans="1:26" ht="13.5" customHeight="1" x14ac:dyDescent="0.3">
      <c r="A221" s="241"/>
      <c r="B221" s="241"/>
      <c r="C221" s="241"/>
      <c r="D221" s="241"/>
      <c r="E221" s="241"/>
      <c r="F221" s="241"/>
      <c r="G221" s="241"/>
      <c r="H221" s="241"/>
      <c r="I221" s="241"/>
      <c r="J221" s="241"/>
      <c r="K221" s="241"/>
      <c r="L221" s="241"/>
      <c r="M221" s="241"/>
      <c r="N221" s="241"/>
      <c r="O221" s="241"/>
      <c r="P221" s="241"/>
      <c r="Q221" s="241"/>
      <c r="R221" s="241"/>
      <c r="S221" s="241"/>
      <c r="T221" s="241"/>
      <c r="U221" s="241"/>
      <c r="V221" s="241"/>
      <c r="W221" s="241"/>
      <c r="X221" s="241"/>
      <c r="Y221" s="241"/>
      <c r="Z221" s="241"/>
    </row>
    <row r="222" spans="1:26" ht="13.5" customHeight="1" x14ac:dyDescent="0.3">
      <c r="A222" s="241"/>
      <c r="B222" s="241"/>
      <c r="C222" s="241"/>
      <c r="D222" s="241"/>
      <c r="E222" s="241"/>
      <c r="F222" s="241"/>
      <c r="G222" s="241"/>
      <c r="H222" s="241"/>
      <c r="I222" s="241"/>
      <c r="J222" s="241"/>
      <c r="K222" s="241"/>
      <c r="L222" s="241"/>
      <c r="M222" s="241"/>
      <c r="N222" s="241"/>
      <c r="O222" s="241"/>
      <c r="P222" s="241"/>
      <c r="Q222" s="241"/>
      <c r="R222" s="241"/>
      <c r="S222" s="241"/>
      <c r="T222" s="241"/>
      <c r="U222" s="241"/>
      <c r="V222" s="241"/>
      <c r="W222" s="241"/>
      <c r="X222" s="241"/>
      <c r="Y222" s="241"/>
      <c r="Z222" s="241"/>
    </row>
    <row r="223" spans="1:26" ht="13.5" customHeight="1" x14ac:dyDescent="0.3">
      <c r="A223" s="241"/>
      <c r="B223" s="241"/>
      <c r="C223" s="241"/>
      <c r="D223" s="241"/>
      <c r="E223" s="241"/>
      <c r="F223" s="241"/>
      <c r="G223" s="241"/>
      <c r="H223" s="241"/>
      <c r="I223" s="241"/>
      <c r="J223" s="241"/>
      <c r="K223" s="241"/>
      <c r="L223" s="241"/>
      <c r="M223" s="241"/>
      <c r="N223" s="241"/>
      <c r="O223" s="241"/>
      <c r="P223" s="241"/>
      <c r="Q223" s="241"/>
      <c r="R223" s="241"/>
      <c r="S223" s="241"/>
      <c r="T223" s="241"/>
      <c r="U223" s="241"/>
      <c r="V223" s="241"/>
      <c r="W223" s="241"/>
      <c r="X223" s="241"/>
      <c r="Y223" s="241"/>
      <c r="Z223" s="241"/>
    </row>
    <row r="224" spans="1:26" ht="13.5" customHeight="1" x14ac:dyDescent="0.3">
      <c r="A224" s="241"/>
      <c r="B224" s="241"/>
      <c r="C224" s="241"/>
      <c r="D224" s="241"/>
      <c r="E224" s="241"/>
      <c r="F224" s="241"/>
      <c r="G224" s="241"/>
      <c r="H224" s="241"/>
      <c r="I224" s="241"/>
      <c r="J224" s="241"/>
      <c r="K224" s="241"/>
      <c r="L224" s="241"/>
      <c r="M224" s="241"/>
      <c r="N224" s="241"/>
      <c r="O224" s="241"/>
      <c r="P224" s="241"/>
      <c r="Q224" s="241"/>
      <c r="R224" s="241"/>
      <c r="S224" s="241"/>
      <c r="T224" s="241"/>
      <c r="U224" s="241"/>
      <c r="V224" s="241"/>
      <c r="W224" s="241"/>
      <c r="X224" s="241"/>
      <c r="Y224" s="241"/>
      <c r="Z224" s="241"/>
    </row>
    <row r="225" spans="1:26" ht="13.5" customHeight="1" x14ac:dyDescent="0.3">
      <c r="A225" s="241"/>
      <c r="B225" s="241"/>
      <c r="C225" s="241"/>
      <c r="D225" s="241"/>
      <c r="E225" s="241"/>
      <c r="F225" s="241"/>
      <c r="G225" s="241"/>
      <c r="H225" s="241"/>
      <c r="I225" s="241"/>
      <c r="J225" s="241"/>
      <c r="K225" s="241"/>
      <c r="L225" s="241"/>
      <c r="M225" s="241"/>
      <c r="N225" s="241"/>
      <c r="O225" s="241"/>
      <c r="P225" s="241"/>
      <c r="Q225" s="241"/>
      <c r="R225" s="241"/>
      <c r="S225" s="241"/>
      <c r="T225" s="241"/>
      <c r="U225" s="241"/>
      <c r="V225" s="241"/>
      <c r="W225" s="241"/>
      <c r="X225" s="241"/>
      <c r="Y225" s="241"/>
      <c r="Z225" s="241"/>
    </row>
    <row r="226" spans="1:26" ht="13.5" customHeight="1" x14ac:dyDescent="0.3">
      <c r="A226" s="241"/>
      <c r="B226" s="241"/>
      <c r="C226" s="241"/>
      <c r="D226" s="241"/>
      <c r="E226" s="241"/>
      <c r="F226" s="241"/>
      <c r="G226" s="241"/>
      <c r="H226" s="241"/>
      <c r="I226" s="241"/>
      <c r="J226" s="241"/>
      <c r="K226" s="241"/>
      <c r="L226" s="241"/>
      <c r="M226" s="241"/>
      <c r="N226" s="241"/>
      <c r="O226" s="241"/>
      <c r="P226" s="241"/>
      <c r="Q226" s="241"/>
      <c r="R226" s="241"/>
      <c r="S226" s="241"/>
      <c r="T226" s="241"/>
      <c r="U226" s="241"/>
      <c r="V226" s="241"/>
      <c r="W226" s="241"/>
      <c r="X226" s="241"/>
      <c r="Y226" s="241"/>
      <c r="Z226" s="241"/>
    </row>
    <row r="227" spans="1:26" ht="13.5" customHeight="1" x14ac:dyDescent="0.3">
      <c r="A227" s="241"/>
      <c r="B227" s="241"/>
      <c r="C227" s="241"/>
      <c r="D227" s="241"/>
      <c r="E227" s="241"/>
      <c r="F227" s="241"/>
      <c r="G227" s="241"/>
      <c r="H227" s="241"/>
      <c r="I227" s="241"/>
      <c r="J227" s="241"/>
      <c r="K227" s="241"/>
      <c r="L227" s="241"/>
      <c r="M227" s="241"/>
      <c r="N227" s="241"/>
      <c r="O227" s="241"/>
      <c r="P227" s="241"/>
      <c r="Q227" s="241"/>
      <c r="R227" s="241"/>
      <c r="S227" s="241"/>
      <c r="T227" s="241"/>
      <c r="U227" s="241"/>
      <c r="V227" s="241"/>
      <c r="W227" s="241"/>
      <c r="X227" s="241"/>
      <c r="Y227" s="241"/>
      <c r="Z227" s="241"/>
    </row>
    <row r="228" spans="1:26" ht="13.5" customHeight="1" x14ac:dyDescent="0.3">
      <c r="A228" s="241"/>
      <c r="B228" s="241"/>
      <c r="C228" s="241"/>
      <c r="D228" s="241"/>
      <c r="E228" s="241"/>
      <c r="F228" s="241"/>
      <c r="G228" s="241"/>
      <c r="H228" s="241"/>
      <c r="I228" s="241"/>
      <c r="J228" s="241"/>
      <c r="K228" s="241"/>
      <c r="L228" s="241"/>
      <c r="M228" s="241"/>
      <c r="N228" s="241"/>
      <c r="O228" s="241"/>
      <c r="P228" s="241"/>
      <c r="Q228" s="241"/>
      <c r="R228" s="241"/>
      <c r="S228" s="241"/>
      <c r="T228" s="241"/>
      <c r="U228" s="241"/>
      <c r="V228" s="241"/>
      <c r="W228" s="241"/>
      <c r="X228" s="241"/>
      <c r="Y228" s="241"/>
      <c r="Z228" s="241"/>
    </row>
    <row r="229" spans="1:26" ht="13.5" customHeight="1" x14ac:dyDescent="0.3">
      <c r="A229" s="241"/>
      <c r="B229" s="241"/>
      <c r="C229" s="241"/>
      <c r="D229" s="241"/>
      <c r="E229" s="241"/>
      <c r="F229" s="241"/>
      <c r="G229" s="241"/>
      <c r="H229" s="241"/>
      <c r="I229" s="241"/>
      <c r="J229" s="241"/>
      <c r="K229" s="241"/>
      <c r="L229" s="241"/>
      <c r="M229" s="241"/>
      <c r="N229" s="241"/>
      <c r="O229" s="241"/>
      <c r="P229" s="241"/>
      <c r="Q229" s="241"/>
      <c r="R229" s="241"/>
      <c r="S229" s="241"/>
      <c r="T229" s="241"/>
      <c r="U229" s="241"/>
      <c r="V229" s="241"/>
      <c r="W229" s="241"/>
      <c r="X229" s="241"/>
      <c r="Y229" s="241"/>
      <c r="Z229" s="241"/>
    </row>
    <row r="230" spans="1:26" ht="13.5" customHeight="1" x14ac:dyDescent="0.3">
      <c r="A230" s="241"/>
      <c r="B230" s="241"/>
      <c r="C230" s="241"/>
      <c r="D230" s="241"/>
      <c r="E230" s="241"/>
      <c r="F230" s="241"/>
      <c r="G230" s="241"/>
      <c r="H230" s="241"/>
      <c r="I230" s="241"/>
      <c r="J230" s="241"/>
      <c r="K230" s="241"/>
      <c r="L230" s="241"/>
      <c r="M230" s="241"/>
      <c r="N230" s="241"/>
      <c r="O230" s="241"/>
      <c r="P230" s="241"/>
      <c r="Q230" s="241"/>
      <c r="R230" s="241"/>
      <c r="S230" s="241"/>
      <c r="T230" s="241"/>
      <c r="U230" s="241"/>
      <c r="V230" s="241"/>
      <c r="W230" s="241"/>
      <c r="X230" s="241"/>
      <c r="Y230" s="241"/>
      <c r="Z230" s="241"/>
    </row>
    <row r="231" spans="1:26" ht="13.5" customHeight="1" x14ac:dyDescent="0.3">
      <c r="A231" s="241"/>
      <c r="B231" s="241"/>
      <c r="C231" s="241"/>
      <c r="D231" s="241"/>
      <c r="E231" s="241"/>
      <c r="F231" s="241"/>
      <c r="G231" s="241"/>
      <c r="H231" s="241"/>
      <c r="I231" s="241"/>
      <c r="J231" s="241"/>
      <c r="K231" s="241"/>
      <c r="L231" s="241"/>
      <c r="M231" s="241"/>
      <c r="N231" s="241"/>
      <c r="O231" s="241"/>
      <c r="P231" s="241"/>
      <c r="Q231" s="241"/>
      <c r="R231" s="241"/>
      <c r="S231" s="241"/>
      <c r="T231" s="241"/>
      <c r="U231" s="241"/>
      <c r="V231" s="241"/>
      <c r="W231" s="241"/>
      <c r="X231" s="241"/>
      <c r="Y231" s="241"/>
      <c r="Z231" s="241"/>
    </row>
    <row r="232" spans="1:26" ht="13.5" customHeight="1" x14ac:dyDescent="0.3">
      <c r="A232" s="241"/>
      <c r="B232" s="241"/>
      <c r="C232" s="241"/>
      <c r="D232" s="241"/>
      <c r="E232" s="241"/>
      <c r="F232" s="241"/>
      <c r="G232" s="241"/>
      <c r="H232" s="241"/>
      <c r="I232" s="241"/>
      <c r="J232" s="241"/>
      <c r="K232" s="241"/>
      <c r="L232" s="241"/>
      <c r="M232" s="241"/>
      <c r="N232" s="241"/>
      <c r="O232" s="241"/>
      <c r="P232" s="241"/>
      <c r="Q232" s="241"/>
      <c r="R232" s="241"/>
      <c r="S232" s="241"/>
      <c r="T232" s="241"/>
      <c r="U232" s="241"/>
      <c r="V232" s="241"/>
      <c r="W232" s="241"/>
      <c r="X232" s="241"/>
      <c r="Y232" s="241"/>
      <c r="Z232" s="241"/>
    </row>
    <row r="233" spans="1:26" ht="13.5" customHeight="1" x14ac:dyDescent="0.3">
      <c r="A233" s="241"/>
      <c r="B233" s="241"/>
      <c r="C233" s="241"/>
      <c r="D233" s="241"/>
      <c r="E233" s="241"/>
      <c r="F233" s="241"/>
      <c r="G233" s="241"/>
      <c r="H233" s="241"/>
      <c r="I233" s="241"/>
      <c r="J233" s="241"/>
      <c r="K233" s="241"/>
      <c r="L233" s="241"/>
      <c r="M233" s="241"/>
      <c r="N233" s="241"/>
      <c r="O233" s="241"/>
      <c r="P233" s="241"/>
      <c r="Q233" s="241"/>
      <c r="R233" s="241"/>
      <c r="S233" s="241"/>
      <c r="T233" s="241"/>
      <c r="U233" s="241"/>
      <c r="V233" s="241"/>
      <c r="W233" s="241"/>
      <c r="X233" s="241"/>
      <c r="Y233" s="241"/>
      <c r="Z233" s="241"/>
    </row>
    <row r="234" spans="1:26" ht="13.5" customHeight="1" x14ac:dyDescent="0.3">
      <c r="A234" s="241"/>
      <c r="B234" s="241"/>
      <c r="C234" s="241"/>
      <c r="D234" s="241"/>
      <c r="E234" s="241"/>
      <c r="F234" s="241"/>
      <c r="G234" s="241"/>
      <c r="H234" s="241"/>
      <c r="I234" s="241"/>
      <c r="J234" s="241"/>
      <c r="K234" s="241"/>
      <c r="L234" s="241"/>
      <c r="M234" s="241"/>
      <c r="N234" s="241"/>
      <c r="O234" s="241"/>
      <c r="P234" s="241"/>
      <c r="Q234" s="241"/>
      <c r="R234" s="241"/>
      <c r="S234" s="241"/>
      <c r="T234" s="241"/>
      <c r="U234" s="241"/>
      <c r="V234" s="241"/>
      <c r="W234" s="241"/>
      <c r="X234" s="241"/>
      <c r="Y234" s="241"/>
      <c r="Z234" s="241"/>
    </row>
    <row r="235" spans="1:26" ht="13.5" customHeight="1" x14ac:dyDescent="0.3">
      <c r="A235" s="241"/>
      <c r="B235" s="241"/>
      <c r="C235" s="241"/>
      <c r="D235" s="241"/>
      <c r="E235" s="241"/>
      <c r="F235" s="241"/>
      <c r="G235" s="241"/>
      <c r="H235" s="241"/>
      <c r="I235" s="241"/>
      <c r="J235" s="241"/>
      <c r="K235" s="241"/>
      <c r="L235" s="241"/>
      <c r="M235" s="241"/>
      <c r="N235" s="241"/>
      <c r="O235" s="241"/>
      <c r="P235" s="241"/>
      <c r="Q235" s="241"/>
      <c r="R235" s="241"/>
      <c r="S235" s="241"/>
      <c r="T235" s="241"/>
      <c r="U235" s="241"/>
      <c r="V235" s="241"/>
      <c r="W235" s="241"/>
      <c r="X235" s="241"/>
      <c r="Y235" s="241"/>
      <c r="Z235" s="241"/>
    </row>
    <row r="236" spans="1:26" ht="13.5" customHeight="1" x14ac:dyDescent="0.3">
      <c r="A236" s="241"/>
      <c r="B236" s="241"/>
      <c r="C236" s="241"/>
      <c r="D236" s="241"/>
      <c r="E236" s="241"/>
      <c r="F236" s="241"/>
      <c r="G236" s="241"/>
      <c r="H236" s="241"/>
      <c r="I236" s="241"/>
      <c r="J236" s="241"/>
      <c r="K236" s="241"/>
      <c r="L236" s="241"/>
      <c r="M236" s="241"/>
      <c r="N236" s="241"/>
      <c r="O236" s="241"/>
      <c r="P236" s="241"/>
      <c r="Q236" s="241"/>
      <c r="R236" s="241"/>
      <c r="S236" s="241"/>
      <c r="T236" s="241"/>
      <c r="U236" s="241"/>
      <c r="V236" s="241"/>
      <c r="W236" s="241"/>
      <c r="X236" s="241"/>
      <c r="Y236" s="241"/>
      <c r="Z236" s="241"/>
    </row>
    <row r="237" spans="1:26" ht="13.5" customHeight="1" x14ac:dyDescent="0.3">
      <c r="A237" s="241"/>
      <c r="B237" s="241"/>
      <c r="C237" s="241"/>
      <c r="D237" s="241"/>
      <c r="E237" s="241"/>
      <c r="F237" s="241"/>
      <c r="G237" s="241"/>
      <c r="H237" s="241"/>
      <c r="I237" s="241"/>
      <c r="J237" s="241"/>
      <c r="K237" s="241"/>
      <c r="L237" s="241"/>
      <c r="M237" s="241"/>
      <c r="N237" s="241"/>
      <c r="O237" s="241"/>
      <c r="P237" s="241"/>
      <c r="Q237" s="241"/>
      <c r="R237" s="241"/>
      <c r="S237" s="241"/>
      <c r="T237" s="241"/>
      <c r="U237" s="241"/>
      <c r="V237" s="241"/>
      <c r="W237" s="241"/>
      <c r="X237" s="241"/>
      <c r="Y237" s="241"/>
      <c r="Z237" s="241"/>
    </row>
    <row r="238" spans="1:26" ht="13.5" customHeight="1" x14ac:dyDescent="0.3">
      <c r="A238" s="241"/>
      <c r="B238" s="241"/>
      <c r="C238" s="241"/>
      <c r="D238" s="241"/>
      <c r="E238" s="241"/>
      <c r="F238" s="241"/>
      <c r="G238" s="241"/>
      <c r="H238" s="241"/>
      <c r="I238" s="241"/>
      <c r="J238" s="241"/>
      <c r="K238" s="241"/>
      <c r="L238" s="241"/>
      <c r="M238" s="241"/>
      <c r="N238" s="241"/>
      <c r="O238" s="241"/>
      <c r="P238" s="241"/>
      <c r="Q238" s="241"/>
      <c r="R238" s="241"/>
      <c r="S238" s="241"/>
      <c r="T238" s="241"/>
      <c r="U238" s="241"/>
      <c r="V238" s="241"/>
      <c r="W238" s="241"/>
      <c r="X238" s="241"/>
      <c r="Y238" s="241"/>
      <c r="Z238" s="241"/>
    </row>
    <row r="239" spans="1:26" ht="13.5" customHeight="1" x14ac:dyDescent="0.3">
      <c r="A239" s="241"/>
      <c r="B239" s="241"/>
      <c r="C239" s="241"/>
      <c r="D239" s="241"/>
      <c r="E239" s="241"/>
      <c r="F239" s="241"/>
      <c r="G239" s="241"/>
      <c r="H239" s="241"/>
      <c r="I239" s="241"/>
      <c r="J239" s="241"/>
      <c r="K239" s="241"/>
      <c r="L239" s="241"/>
      <c r="M239" s="241"/>
      <c r="N239" s="241"/>
      <c r="O239" s="241"/>
      <c r="P239" s="241"/>
      <c r="Q239" s="241"/>
      <c r="R239" s="241"/>
      <c r="S239" s="241"/>
      <c r="T239" s="241"/>
      <c r="U239" s="241"/>
      <c r="V239" s="241"/>
      <c r="W239" s="241"/>
      <c r="X239" s="241"/>
      <c r="Y239" s="241"/>
      <c r="Z239" s="241"/>
    </row>
    <row r="240" spans="1:26" ht="13.5" customHeight="1" x14ac:dyDescent="0.3">
      <c r="A240" s="241"/>
      <c r="B240" s="241"/>
      <c r="C240" s="241"/>
      <c r="D240" s="241"/>
      <c r="E240" s="241"/>
      <c r="F240" s="241"/>
      <c r="G240" s="241"/>
      <c r="H240" s="241"/>
      <c r="I240" s="241"/>
      <c r="J240" s="241"/>
      <c r="K240" s="241"/>
      <c r="L240" s="241"/>
      <c r="M240" s="241"/>
      <c r="N240" s="241"/>
      <c r="O240" s="241"/>
      <c r="P240" s="241"/>
      <c r="Q240" s="241"/>
      <c r="R240" s="241"/>
      <c r="S240" s="241"/>
      <c r="T240" s="241"/>
      <c r="U240" s="241"/>
      <c r="V240" s="241"/>
      <c r="W240" s="241"/>
      <c r="X240" s="241"/>
      <c r="Y240" s="241"/>
      <c r="Z240" s="241"/>
    </row>
    <row r="241" spans="1:26" ht="13.5" customHeight="1" x14ac:dyDescent="0.3">
      <c r="A241" s="241"/>
      <c r="B241" s="241"/>
      <c r="C241" s="241"/>
      <c r="D241" s="241"/>
      <c r="E241" s="241"/>
      <c r="F241" s="241"/>
      <c r="G241" s="241"/>
      <c r="H241" s="241"/>
      <c r="I241" s="241"/>
      <c r="J241" s="241"/>
      <c r="K241" s="241"/>
      <c r="L241" s="241"/>
      <c r="M241" s="241"/>
      <c r="N241" s="241"/>
      <c r="O241" s="241"/>
      <c r="P241" s="241"/>
      <c r="Q241" s="241"/>
      <c r="R241" s="241"/>
      <c r="S241" s="241"/>
      <c r="T241" s="241"/>
      <c r="U241" s="241"/>
      <c r="V241" s="241"/>
      <c r="W241" s="241"/>
      <c r="X241" s="241"/>
      <c r="Y241" s="241"/>
      <c r="Z241" s="241"/>
    </row>
    <row r="242" spans="1:26" ht="13.5" customHeight="1" x14ac:dyDescent="0.3">
      <c r="A242" s="241"/>
      <c r="B242" s="241"/>
      <c r="C242" s="241"/>
      <c r="D242" s="241"/>
      <c r="E242" s="241"/>
      <c r="F242" s="241"/>
      <c r="G242" s="241"/>
      <c r="H242" s="241"/>
      <c r="I242" s="241"/>
      <c r="J242" s="241"/>
      <c r="K242" s="241"/>
      <c r="L242" s="241"/>
      <c r="M242" s="241"/>
      <c r="N242" s="241"/>
      <c r="O242" s="241"/>
      <c r="P242" s="241"/>
      <c r="Q242" s="241"/>
      <c r="R242" s="241"/>
      <c r="S242" s="241"/>
      <c r="T242" s="241"/>
      <c r="U242" s="241"/>
      <c r="V242" s="241"/>
      <c r="W242" s="241"/>
      <c r="X242" s="241"/>
      <c r="Y242" s="241"/>
      <c r="Z242" s="241"/>
    </row>
    <row r="243" spans="1:26" ht="13.5" customHeight="1" x14ac:dyDescent="0.3">
      <c r="A243" s="241"/>
      <c r="B243" s="241"/>
      <c r="C243" s="241"/>
      <c r="D243" s="241"/>
      <c r="E243" s="241"/>
      <c r="F243" s="241"/>
      <c r="G243" s="241"/>
      <c r="H243" s="241"/>
      <c r="I243" s="241"/>
      <c r="J243" s="241"/>
      <c r="K243" s="241"/>
      <c r="L243" s="241"/>
      <c r="M243" s="241"/>
      <c r="N243" s="241"/>
      <c r="O243" s="241"/>
      <c r="P243" s="241"/>
      <c r="Q243" s="241"/>
      <c r="R243" s="241"/>
      <c r="S243" s="241"/>
      <c r="T243" s="241"/>
      <c r="U243" s="241"/>
      <c r="V243" s="241"/>
      <c r="W243" s="241"/>
      <c r="X243" s="241"/>
      <c r="Y243" s="241"/>
      <c r="Z243" s="241"/>
    </row>
    <row r="244" spans="1:26" ht="13.5" customHeight="1" x14ac:dyDescent="0.3">
      <c r="A244" s="241"/>
      <c r="B244" s="241"/>
      <c r="C244" s="241"/>
      <c r="D244" s="241"/>
      <c r="E244" s="241"/>
      <c r="F244" s="241"/>
      <c r="G244" s="241"/>
      <c r="H244" s="241"/>
      <c r="I244" s="241"/>
      <c r="J244" s="241"/>
      <c r="K244" s="241"/>
      <c r="L244" s="241"/>
      <c r="M244" s="241"/>
      <c r="N244" s="241"/>
      <c r="O244" s="241"/>
      <c r="P244" s="241"/>
      <c r="Q244" s="241"/>
      <c r="R244" s="241"/>
      <c r="S244" s="241"/>
      <c r="T244" s="241"/>
      <c r="U244" s="241"/>
      <c r="V244" s="241"/>
      <c r="W244" s="241"/>
      <c r="X244" s="241"/>
      <c r="Y244" s="241"/>
      <c r="Z244" s="241"/>
    </row>
    <row r="245" spans="1:26" ht="13.5" customHeight="1" x14ac:dyDescent="0.3">
      <c r="A245" s="241"/>
      <c r="B245" s="241"/>
      <c r="C245" s="241"/>
      <c r="D245" s="241"/>
      <c r="E245" s="241"/>
      <c r="F245" s="241"/>
      <c r="G245" s="241"/>
      <c r="H245" s="241"/>
      <c r="I245" s="241"/>
      <c r="J245" s="241"/>
      <c r="K245" s="241"/>
      <c r="L245" s="241"/>
      <c r="M245" s="241"/>
      <c r="N245" s="241"/>
      <c r="O245" s="241"/>
      <c r="P245" s="241"/>
      <c r="Q245" s="241"/>
      <c r="R245" s="241"/>
      <c r="S245" s="241"/>
      <c r="T245" s="241"/>
      <c r="U245" s="241"/>
      <c r="V245" s="241"/>
      <c r="W245" s="241"/>
      <c r="X245" s="241"/>
      <c r="Y245" s="241"/>
      <c r="Z245" s="241"/>
    </row>
    <row r="246" spans="1:26" ht="13.5" customHeight="1" x14ac:dyDescent="0.3">
      <c r="A246" s="241"/>
      <c r="B246" s="241"/>
      <c r="C246" s="241"/>
      <c r="D246" s="241"/>
      <c r="E246" s="241"/>
      <c r="F246" s="241"/>
      <c r="G246" s="241"/>
      <c r="H246" s="241"/>
      <c r="I246" s="241"/>
      <c r="J246" s="241"/>
      <c r="K246" s="241"/>
      <c r="L246" s="241"/>
      <c r="M246" s="241"/>
      <c r="N246" s="241"/>
      <c r="O246" s="241"/>
      <c r="P246" s="241"/>
      <c r="Q246" s="241"/>
      <c r="R246" s="241"/>
      <c r="S246" s="241"/>
      <c r="T246" s="241"/>
      <c r="U246" s="241"/>
      <c r="V246" s="241"/>
      <c r="W246" s="241"/>
      <c r="X246" s="241"/>
      <c r="Y246" s="241"/>
      <c r="Z246" s="241"/>
    </row>
    <row r="247" spans="1:26" ht="13.5" customHeight="1" x14ac:dyDescent="0.3">
      <c r="A247" s="241"/>
      <c r="B247" s="241"/>
      <c r="C247" s="241"/>
      <c r="D247" s="241"/>
      <c r="E247" s="241"/>
      <c r="F247" s="241"/>
      <c r="G247" s="241"/>
      <c r="H247" s="241"/>
      <c r="I247" s="241"/>
      <c r="J247" s="241"/>
      <c r="K247" s="241"/>
      <c r="L247" s="241"/>
      <c r="M247" s="241"/>
      <c r="N247" s="241"/>
      <c r="O247" s="241"/>
      <c r="P247" s="241"/>
      <c r="Q247" s="241"/>
      <c r="R247" s="241"/>
      <c r="S247" s="241"/>
      <c r="T247" s="241"/>
      <c r="U247" s="241"/>
      <c r="V247" s="241"/>
      <c r="W247" s="241"/>
      <c r="X247" s="241"/>
      <c r="Y247" s="241"/>
      <c r="Z247" s="241"/>
    </row>
    <row r="248" spans="1:26" ht="13.5" customHeight="1" x14ac:dyDescent="0.3">
      <c r="A248" s="241"/>
      <c r="B248" s="241"/>
      <c r="C248" s="241"/>
      <c r="D248" s="241"/>
      <c r="E248" s="241"/>
      <c r="F248" s="241"/>
      <c r="G248" s="241"/>
      <c r="H248" s="241"/>
      <c r="I248" s="241"/>
      <c r="J248" s="241"/>
      <c r="K248" s="241"/>
      <c r="L248" s="241"/>
      <c r="M248" s="241"/>
      <c r="N248" s="241"/>
      <c r="O248" s="241"/>
      <c r="P248" s="241"/>
      <c r="Q248" s="241"/>
      <c r="R248" s="241"/>
      <c r="S248" s="241"/>
      <c r="T248" s="241"/>
      <c r="U248" s="241"/>
      <c r="V248" s="241"/>
      <c r="W248" s="241"/>
      <c r="X248" s="241"/>
      <c r="Y248" s="241"/>
      <c r="Z248" s="241"/>
    </row>
    <row r="249" spans="1:26" ht="13.5" customHeight="1" x14ac:dyDescent="0.3">
      <c r="A249" s="241"/>
      <c r="B249" s="241"/>
      <c r="C249" s="241"/>
      <c r="D249" s="241"/>
      <c r="E249" s="241"/>
      <c r="F249" s="241"/>
      <c r="G249" s="241"/>
      <c r="H249" s="241"/>
      <c r="I249" s="241"/>
      <c r="J249" s="241"/>
      <c r="K249" s="241"/>
      <c r="L249" s="241"/>
      <c r="M249" s="241"/>
      <c r="N249" s="241"/>
      <c r="O249" s="241"/>
      <c r="P249" s="241"/>
      <c r="Q249" s="241"/>
      <c r="R249" s="241"/>
      <c r="S249" s="241"/>
      <c r="T249" s="241"/>
      <c r="U249" s="241"/>
      <c r="V249" s="241"/>
      <c r="W249" s="241"/>
      <c r="X249" s="241"/>
      <c r="Y249" s="241"/>
      <c r="Z249" s="241"/>
    </row>
    <row r="250" spans="1:26" ht="13.5" customHeight="1" x14ac:dyDescent="0.3">
      <c r="A250" s="241"/>
      <c r="B250" s="241"/>
      <c r="C250" s="241"/>
      <c r="D250" s="241"/>
      <c r="E250" s="241"/>
      <c r="F250" s="241"/>
      <c r="G250" s="241"/>
      <c r="H250" s="241"/>
      <c r="I250" s="241"/>
      <c r="J250" s="241"/>
      <c r="K250" s="241"/>
      <c r="L250" s="241"/>
      <c r="M250" s="241"/>
      <c r="N250" s="241"/>
      <c r="O250" s="241"/>
      <c r="P250" s="241"/>
      <c r="Q250" s="241"/>
      <c r="R250" s="241"/>
      <c r="S250" s="241"/>
      <c r="T250" s="241"/>
      <c r="U250" s="241"/>
      <c r="V250" s="241"/>
      <c r="W250" s="241"/>
      <c r="X250" s="241"/>
      <c r="Y250" s="241"/>
      <c r="Z250" s="241"/>
    </row>
    <row r="251" spans="1:26" ht="13.5" customHeight="1" x14ac:dyDescent="0.3">
      <c r="A251" s="241"/>
      <c r="B251" s="241"/>
      <c r="C251" s="241"/>
      <c r="D251" s="241"/>
      <c r="E251" s="241"/>
      <c r="F251" s="241"/>
      <c r="G251" s="241"/>
      <c r="H251" s="241"/>
      <c r="I251" s="241"/>
      <c r="J251" s="241"/>
      <c r="K251" s="241"/>
      <c r="L251" s="241"/>
      <c r="M251" s="241"/>
      <c r="N251" s="241"/>
      <c r="O251" s="241"/>
      <c r="P251" s="241"/>
      <c r="Q251" s="241"/>
      <c r="R251" s="241"/>
      <c r="S251" s="241"/>
      <c r="T251" s="241"/>
      <c r="U251" s="241"/>
      <c r="V251" s="241"/>
      <c r="W251" s="241"/>
      <c r="X251" s="241"/>
      <c r="Y251" s="241"/>
      <c r="Z251" s="241"/>
    </row>
    <row r="252" spans="1:26" ht="13.5" customHeight="1" x14ac:dyDescent="0.3">
      <c r="A252" s="241"/>
      <c r="B252" s="241"/>
      <c r="C252" s="241"/>
      <c r="D252" s="241"/>
      <c r="E252" s="241"/>
      <c r="F252" s="241"/>
      <c r="G252" s="241"/>
      <c r="H252" s="241"/>
      <c r="I252" s="241"/>
      <c r="J252" s="241"/>
      <c r="K252" s="241"/>
      <c r="L252" s="241"/>
      <c r="M252" s="241"/>
      <c r="N252" s="241"/>
      <c r="O252" s="241"/>
      <c r="P252" s="241"/>
      <c r="Q252" s="241"/>
      <c r="R252" s="241"/>
      <c r="S252" s="241"/>
      <c r="T252" s="241"/>
      <c r="U252" s="241"/>
      <c r="V252" s="241"/>
      <c r="W252" s="241"/>
      <c r="X252" s="241"/>
      <c r="Y252" s="241"/>
      <c r="Z252" s="241"/>
    </row>
    <row r="253" spans="1:26" ht="13.5" customHeight="1" x14ac:dyDescent="0.3">
      <c r="A253" s="241"/>
      <c r="B253" s="241"/>
      <c r="C253" s="241"/>
      <c r="D253" s="241"/>
      <c r="E253" s="241"/>
      <c r="F253" s="241"/>
      <c r="G253" s="241"/>
      <c r="H253" s="241"/>
      <c r="I253" s="241"/>
      <c r="J253" s="241"/>
      <c r="K253" s="241"/>
      <c r="L253" s="241"/>
      <c r="M253" s="241"/>
      <c r="N253" s="241"/>
      <c r="O253" s="241"/>
      <c r="P253" s="241"/>
      <c r="Q253" s="241"/>
      <c r="R253" s="241"/>
      <c r="S253" s="241"/>
      <c r="T253" s="241"/>
      <c r="U253" s="241"/>
      <c r="V253" s="241"/>
      <c r="W253" s="241"/>
      <c r="X253" s="241"/>
      <c r="Y253" s="241"/>
      <c r="Z253" s="241"/>
    </row>
    <row r="254" spans="1:26" ht="13.5" customHeight="1" x14ac:dyDescent="0.3">
      <c r="A254" s="241"/>
      <c r="B254" s="241"/>
      <c r="C254" s="241"/>
      <c r="D254" s="241"/>
      <c r="E254" s="241"/>
      <c r="F254" s="241"/>
      <c r="G254" s="241"/>
      <c r="H254" s="241"/>
      <c r="I254" s="241"/>
      <c r="J254" s="241"/>
      <c r="K254" s="241"/>
      <c r="L254" s="241"/>
      <c r="M254" s="241"/>
      <c r="N254" s="241"/>
      <c r="O254" s="241"/>
      <c r="P254" s="241"/>
      <c r="Q254" s="241"/>
      <c r="R254" s="241"/>
      <c r="S254" s="241"/>
      <c r="T254" s="241"/>
      <c r="U254" s="241"/>
      <c r="V254" s="241"/>
      <c r="W254" s="241"/>
      <c r="X254" s="241"/>
      <c r="Y254" s="241"/>
      <c r="Z254" s="241"/>
    </row>
    <row r="255" spans="1:26" ht="13.5" customHeight="1" x14ac:dyDescent="0.3">
      <c r="A255" s="241"/>
      <c r="B255" s="241"/>
      <c r="C255" s="241"/>
      <c r="D255" s="241"/>
      <c r="E255" s="241"/>
      <c r="F255" s="241"/>
      <c r="G255" s="241"/>
      <c r="H255" s="241"/>
      <c r="I255" s="241"/>
      <c r="J255" s="241"/>
      <c r="K255" s="241"/>
      <c r="L255" s="241"/>
      <c r="M255" s="241"/>
      <c r="N255" s="241"/>
      <c r="O255" s="241"/>
      <c r="P255" s="241"/>
      <c r="Q255" s="241"/>
      <c r="R255" s="241"/>
      <c r="S255" s="241"/>
      <c r="T255" s="241"/>
      <c r="U255" s="241"/>
      <c r="V255" s="241"/>
      <c r="W255" s="241"/>
      <c r="X255" s="241"/>
      <c r="Y255" s="241"/>
      <c r="Z255" s="241"/>
    </row>
    <row r="256" spans="1:26" ht="13.5" customHeight="1" x14ac:dyDescent="0.3">
      <c r="A256" s="241"/>
      <c r="B256" s="241"/>
      <c r="C256" s="241"/>
      <c r="D256" s="241"/>
      <c r="E256" s="241"/>
      <c r="F256" s="241"/>
      <c r="G256" s="241"/>
      <c r="H256" s="241"/>
      <c r="I256" s="241"/>
      <c r="J256" s="241"/>
      <c r="K256" s="241"/>
      <c r="L256" s="241"/>
      <c r="M256" s="241"/>
      <c r="N256" s="241"/>
      <c r="O256" s="241"/>
      <c r="P256" s="241"/>
      <c r="Q256" s="241"/>
      <c r="R256" s="241"/>
      <c r="S256" s="241"/>
      <c r="T256" s="241"/>
      <c r="U256" s="241"/>
      <c r="V256" s="241"/>
      <c r="W256" s="241"/>
      <c r="X256" s="241"/>
      <c r="Y256" s="241"/>
      <c r="Z256" s="241"/>
    </row>
    <row r="257" spans="1:26" ht="13.5" customHeight="1" x14ac:dyDescent="0.3">
      <c r="A257" s="241"/>
      <c r="B257" s="241"/>
      <c r="C257" s="241"/>
      <c r="D257" s="241"/>
      <c r="E257" s="241"/>
      <c r="F257" s="241"/>
      <c r="G257" s="241"/>
      <c r="H257" s="241"/>
      <c r="I257" s="241"/>
      <c r="J257" s="241"/>
      <c r="K257" s="241"/>
      <c r="L257" s="241"/>
      <c r="M257" s="241"/>
      <c r="N257" s="241"/>
      <c r="O257" s="241"/>
      <c r="P257" s="241"/>
      <c r="Q257" s="241"/>
      <c r="R257" s="241"/>
      <c r="S257" s="241"/>
      <c r="T257" s="241"/>
      <c r="U257" s="241"/>
      <c r="V257" s="241"/>
      <c r="W257" s="241"/>
      <c r="X257" s="241"/>
      <c r="Y257" s="241"/>
      <c r="Z257" s="241"/>
    </row>
    <row r="258" spans="1:26" ht="13.5" customHeight="1" x14ac:dyDescent="0.3">
      <c r="A258" s="241"/>
      <c r="B258" s="241"/>
      <c r="C258" s="241"/>
      <c r="D258" s="241"/>
      <c r="E258" s="241"/>
      <c r="F258" s="241"/>
      <c r="G258" s="241"/>
      <c r="H258" s="241"/>
      <c r="I258" s="241"/>
      <c r="J258" s="241"/>
      <c r="K258" s="241"/>
      <c r="L258" s="241"/>
      <c r="M258" s="241"/>
      <c r="N258" s="241"/>
      <c r="O258" s="241"/>
      <c r="P258" s="241"/>
      <c r="Q258" s="241"/>
      <c r="R258" s="241"/>
      <c r="S258" s="241"/>
      <c r="T258" s="241"/>
      <c r="U258" s="241"/>
      <c r="V258" s="241"/>
      <c r="W258" s="241"/>
      <c r="X258" s="241"/>
      <c r="Y258" s="241"/>
      <c r="Z258" s="241"/>
    </row>
    <row r="259" spans="1:26" ht="13.5" customHeight="1" x14ac:dyDescent="0.3">
      <c r="A259" s="241"/>
      <c r="B259" s="241"/>
      <c r="C259" s="241"/>
      <c r="D259" s="241"/>
      <c r="E259" s="241"/>
      <c r="F259" s="241"/>
      <c r="G259" s="241"/>
      <c r="H259" s="241"/>
      <c r="I259" s="241"/>
      <c r="J259" s="241"/>
      <c r="K259" s="241"/>
      <c r="L259" s="241"/>
      <c r="M259" s="241"/>
      <c r="N259" s="241"/>
      <c r="O259" s="241"/>
      <c r="P259" s="241"/>
      <c r="Q259" s="241"/>
      <c r="R259" s="241"/>
      <c r="S259" s="241"/>
      <c r="T259" s="241"/>
      <c r="U259" s="241"/>
      <c r="V259" s="241"/>
      <c r="W259" s="241"/>
      <c r="X259" s="241"/>
      <c r="Y259" s="241"/>
      <c r="Z259" s="241"/>
    </row>
    <row r="260" spans="1:26" ht="13.5" customHeight="1" x14ac:dyDescent="0.3">
      <c r="A260" s="241"/>
      <c r="B260" s="241"/>
      <c r="C260" s="241"/>
      <c r="D260" s="241"/>
      <c r="E260" s="241"/>
      <c r="F260" s="241"/>
      <c r="G260" s="241"/>
      <c r="H260" s="241"/>
      <c r="I260" s="241"/>
      <c r="J260" s="241"/>
      <c r="K260" s="241"/>
      <c r="L260" s="241"/>
      <c r="M260" s="241"/>
      <c r="N260" s="241"/>
      <c r="O260" s="241"/>
      <c r="P260" s="241"/>
      <c r="Q260" s="241"/>
      <c r="R260" s="241"/>
      <c r="S260" s="241"/>
      <c r="T260" s="241"/>
      <c r="U260" s="241"/>
      <c r="V260" s="241"/>
      <c r="W260" s="241"/>
      <c r="X260" s="241"/>
      <c r="Y260" s="241"/>
      <c r="Z260" s="241"/>
    </row>
    <row r="261" spans="1:26" ht="13.5" customHeight="1" x14ac:dyDescent="0.3">
      <c r="A261" s="241"/>
      <c r="B261" s="241"/>
      <c r="C261" s="241"/>
      <c r="D261" s="241"/>
      <c r="E261" s="241"/>
      <c r="F261" s="241"/>
      <c r="G261" s="241"/>
      <c r="H261" s="241"/>
      <c r="I261" s="241"/>
      <c r="J261" s="241"/>
      <c r="K261" s="241"/>
      <c r="L261" s="241"/>
      <c r="M261" s="241"/>
      <c r="N261" s="241"/>
      <c r="O261" s="241"/>
      <c r="P261" s="241"/>
      <c r="Q261" s="241"/>
      <c r="R261" s="241"/>
      <c r="S261" s="241"/>
      <c r="T261" s="241"/>
      <c r="U261" s="241"/>
      <c r="V261" s="241"/>
      <c r="W261" s="241"/>
      <c r="X261" s="241"/>
      <c r="Y261" s="241"/>
      <c r="Z261" s="241"/>
    </row>
    <row r="262" spans="1:26" ht="13.5" customHeight="1" x14ac:dyDescent="0.3">
      <c r="A262" s="241"/>
      <c r="B262" s="241"/>
      <c r="C262" s="241"/>
      <c r="D262" s="241"/>
      <c r="E262" s="241"/>
      <c r="F262" s="241"/>
      <c r="G262" s="241"/>
      <c r="H262" s="241"/>
      <c r="I262" s="241"/>
      <c r="J262" s="241"/>
      <c r="K262" s="241"/>
      <c r="L262" s="241"/>
      <c r="M262" s="241"/>
      <c r="N262" s="241"/>
      <c r="O262" s="241"/>
      <c r="P262" s="241"/>
      <c r="Q262" s="241"/>
      <c r="R262" s="241"/>
      <c r="S262" s="241"/>
      <c r="T262" s="241"/>
      <c r="U262" s="241"/>
      <c r="V262" s="241"/>
      <c r="W262" s="241"/>
      <c r="X262" s="241"/>
      <c r="Y262" s="241"/>
      <c r="Z262" s="241"/>
    </row>
    <row r="263" spans="1:26" ht="13.5" customHeight="1" x14ac:dyDescent="0.3">
      <c r="A263" s="241"/>
      <c r="B263" s="241"/>
      <c r="C263" s="241"/>
      <c r="D263" s="241"/>
      <c r="E263" s="241"/>
      <c r="F263" s="241"/>
      <c r="G263" s="241"/>
      <c r="H263" s="241"/>
      <c r="I263" s="241"/>
      <c r="J263" s="241"/>
      <c r="K263" s="241"/>
      <c r="L263" s="241"/>
      <c r="M263" s="241"/>
      <c r="N263" s="241"/>
      <c r="O263" s="241"/>
      <c r="P263" s="241"/>
      <c r="Q263" s="241"/>
      <c r="R263" s="241"/>
      <c r="S263" s="241"/>
      <c r="T263" s="241"/>
      <c r="U263" s="241"/>
      <c r="V263" s="241"/>
      <c r="W263" s="241"/>
      <c r="X263" s="241"/>
      <c r="Y263" s="241"/>
      <c r="Z263" s="241"/>
    </row>
    <row r="264" spans="1:26" ht="13.5" customHeight="1" x14ac:dyDescent="0.3">
      <c r="A264" s="241"/>
      <c r="B264" s="241"/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</row>
    <row r="265" spans="1:26" ht="13.5" customHeight="1" x14ac:dyDescent="0.3">
      <c r="A265" s="241"/>
      <c r="B265" s="241"/>
      <c r="C265" s="241"/>
      <c r="D265" s="241"/>
      <c r="E265" s="241"/>
      <c r="F265" s="241"/>
      <c r="G265" s="241"/>
      <c r="H265" s="241"/>
      <c r="I265" s="241"/>
      <c r="J265" s="241"/>
      <c r="K265" s="241"/>
      <c r="L265" s="241"/>
      <c r="M265" s="241"/>
      <c r="N265" s="241"/>
      <c r="O265" s="241"/>
      <c r="P265" s="241"/>
      <c r="Q265" s="241"/>
      <c r="R265" s="241"/>
      <c r="S265" s="241"/>
      <c r="T265" s="241"/>
      <c r="U265" s="241"/>
      <c r="V265" s="241"/>
      <c r="W265" s="241"/>
      <c r="X265" s="241"/>
      <c r="Y265" s="241"/>
      <c r="Z265" s="241"/>
    </row>
    <row r="266" spans="1:26" ht="13.5" customHeight="1" x14ac:dyDescent="0.3">
      <c r="A266" s="241"/>
      <c r="B266" s="241"/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</row>
    <row r="267" spans="1:26" ht="13.5" customHeight="1" x14ac:dyDescent="0.3">
      <c r="A267" s="241"/>
      <c r="B267" s="241"/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</row>
    <row r="268" spans="1:26" ht="13.5" customHeight="1" x14ac:dyDescent="0.3">
      <c r="A268" s="241"/>
      <c r="B268" s="241"/>
      <c r="C268" s="241"/>
      <c r="D268" s="241"/>
      <c r="E268" s="241"/>
      <c r="F268" s="241"/>
      <c r="G268" s="241"/>
      <c r="H268" s="241"/>
      <c r="I268" s="241"/>
      <c r="J268" s="241"/>
      <c r="K268" s="241"/>
      <c r="L268" s="241"/>
      <c r="M268" s="241"/>
      <c r="N268" s="241"/>
      <c r="O268" s="241"/>
      <c r="P268" s="241"/>
      <c r="Q268" s="241"/>
      <c r="R268" s="241"/>
      <c r="S268" s="241"/>
      <c r="T268" s="241"/>
      <c r="U268" s="241"/>
      <c r="V268" s="241"/>
      <c r="W268" s="241"/>
      <c r="X268" s="241"/>
      <c r="Y268" s="241"/>
      <c r="Z268" s="241"/>
    </row>
    <row r="269" spans="1:26" ht="13.5" customHeight="1" x14ac:dyDescent="0.3">
      <c r="A269" s="241"/>
      <c r="B269" s="241"/>
      <c r="C269" s="241"/>
      <c r="D269" s="241"/>
      <c r="E269" s="241"/>
      <c r="F269" s="241"/>
      <c r="G269" s="241"/>
      <c r="H269" s="241"/>
      <c r="I269" s="241"/>
      <c r="J269" s="241"/>
      <c r="K269" s="241"/>
      <c r="L269" s="241"/>
      <c r="M269" s="241"/>
      <c r="N269" s="241"/>
      <c r="O269" s="241"/>
      <c r="P269" s="241"/>
      <c r="Q269" s="241"/>
      <c r="R269" s="241"/>
      <c r="S269" s="241"/>
      <c r="T269" s="241"/>
      <c r="U269" s="241"/>
      <c r="V269" s="241"/>
      <c r="W269" s="241"/>
      <c r="X269" s="241"/>
      <c r="Y269" s="241"/>
      <c r="Z269" s="241"/>
    </row>
    <row r="270" spans="1:26" ht="13.5" customHeight="1" x14ac:dyDescent="0.3">
      <c r="A270" s="241"/>
      <c r="B270" s="241"/>
      <c r="C270" s="241"/>
      <c r="D270" s="241"/>
      <c r="E270" s="241"/>
      <c r="F270" s="241"/>
      <c r="G270" s="241"/>
      <c r="H270" s="241"/>
      <c r="I270" s="241"/>
      <c r="J270" s="241"/>
      <c r="K270" s="241"/>
      <c r="L270" s="241"/>
      <c r="M270" s="241"/>
      <c r="N270" s="241"/>
      <c r="O270" s="241"/>
      <c r="P270" s="241"/>
      <c r="Q270" s="241"/>
      <c r="R270" s="241"/>
      <c r="S270" s="241"/>
      <c r="T270" s="241"/>
      <c r="U270" s="241"/>
      <c r="V270" s="241"/>
      <c r="W270" s="241"/>
      <c r="X270" s="241"/>
      <c r="Y270" s="241"/>
      <c r="Z270" s="241"/>
    </row>
    <row r="271" spans="1:26" ht="13.5" customHeight="1" x14ac:dyDescent="0.3">
      <c r="A271" s="241"/>
      <c r="B271" s="241"/>
      <c r="C271" s="241"/>
      <c r="D271" s="241"/>
      <c r="E271" s="241"/>
      <c r="F271" s="241"/>
      <c r="G271" s="241"/>
      <c r="H271" s="241"/>
      <c r="I271" s="241"/>
      <c r="J271" s="241"/>
      <c r="K271" s="241"/>
      <c r="L271" s="241"/>
      <c r="M271" s="241"/>
      <c r="N271" s="241"/>
      <c r="O271" s="241"/>
      <c r="P271" s="241"/>
      <c r="Q271" s="241"/>
      <c r="R271" s="241"/>
      <c r="S271" s="241"/>
      <c r="T271" s="241"/>
      <c r="U271" s="241"/>
      <c r="V271" s="241"/>
      <c r="W271" s="241"/>
      <c r="X271" s="241"/>
      <c r="Y271" s="241"/>
      <c r="Z271" s="241"/>
    </row>
    <row r="272" spans="1:26" ht="13.5" customHeight="1" x14ac:dyDescent="0.3">
      <c r="A272" s="241"/>
      <c r="B272" s="241"/>
      <c r="C272" s="241"/>
      <c r="D272" s="241"/>
      <c r="E272" s="241"/>
      <c r="F272" s="241"/>
      <c r="G272" s="241"/>
      <c r="H272" s="241"/>
      <c r="I272" s="241"/>
      <c r="J272" s="241"/>
      <c r="K272" s="241"/>
      <c r="L272" s="241"/>
      <c r="M272" s="241"/>
      <c r="N272" s="241"/>
      <c r="O272" s="241"/>
      <c r="P272" s="241"/>
      <c r="Q272" s="241"/>
      <c r="R272" s="241"/>
      <c r="S272" s="241"/>
      <c r="T272" s="241"/>
      <c r="U272" s="241"/>
      <c r="V272" s="241"/>
      <c r="W272" s="241"/>
      <c r="X272" s="241"/>
      <c r="Y272" s="241"/>
      <c r="Z272" s="241"/>
    </row>
    <row r="273" spans="1:26" ht="13.5" customHeight="1" x14ac:dyDescent="0.3">
      <c r="A273" s="241"/>
      <c r="B273" s="241"/>
      <c r="C273" s="241"/>
      <c r="D273" s="241"/>
      <c r="E273" s="241"/>
      <c r="F273" s="241"/>
      <c r="G273" s="241"/>
      <c r="H273" s="241"/>
      <c r="I273" s="241"/>
      <c r="J273" s="241"/>
      <c r="K273" s="241"/>
      <c r="L273" s="241"/>
      <c r="M273" s="241"/>
      <c r="N273" s="241"/>
      <c r="O273" s="241"/>
      <c r="P273" s="241"/>
      <c r="Q273" s="241"/>
      <c r="R273" s="241"/>
      <c r="S273" s="241"/>
      <c r="T273" s="241"/>
      <c r="U273" s="241"/>
      <c r="V273" s="241"/>
      <c r="W273" s="241"/>
      <c r="X273" s="241"/>
      <c r="Y273" s="241"/>
      <c r="Z273" s="241"/>
    </row>
    <row r="274" spans="1:26" ht="13.5" customHeight="1" x14ac:dyDescent="0.3">
      <c r="A274" s="241"/>
      <c r="B274" s="241"/>
      <c r="C274" s="241"/>
      <c r="D274" s="241"/>
      <c r="E274" s="241"/>
      <c r="F274" s="241"/>
      <c r="G274" s="241"/>
      <c r="H274" s="241"/>
      <c r="I274" s="241"/>
      <c r="J274" s="241"/>
      <c r="K274" s="241"/>
      <c r="L274" s="241"/>
      <c r="M274" s="241"/>
      <c r="N274" s="241"/>
      <c r="O274" s="241"/>
      <c r="P274" s="241"/>
      <c r="Q274" s="241"/>
      <c r="R274" s="241"/>
      <c r="S274" s="241"/>
      <c r="T274" s="241"/>
      <c r="U274" s="241"/>
      <c r="V274" s="241"/>
      <c r="W274" s="241"/>
      <c r="X274" s="241"/>
      <c r="Y274" s="241"/>
      <c r="Z274" s="241"/>
    </row>
    <row r="275" spans="1:26" ht="13.5" customHeight="1" x14ac:dyDescent="0.3">
      <c r="A275" s="241"/>
      <c r="B275" s="241"/>
      <c r="C275" s="241"/>
      <c r="D275" s="241"/>
      <c r="E275" s="241"/>
      <c r="F275" s="241"/>
      <c r="G275" s="241"/>
      <c r="H275" s="241"/>
      <c r="I275" s="241"/>
      <c r="J275" s="241"/>
      <c r="K275" s="241"/>
      <c r="L275" s="241"/>
      <c r="M275" s="241"/>
      <c r="N275" s="241"/>
      <c r="O275" s="241"/>
      <c r="P275" s="241"/>
      <c r="Q275" s="241"/>
      <c r="R275" s="241"/>
      <c r="S275" s="241"/>
      <c r="T275" s="241"/>
      <c r="U275" s="241"/>
      <c r="V275" s="241"/>
      <c r="W275" s="241"/>
      <c r="X275" s="241"/>
      <c r="Y275" s="241"/>
      <c r="Z275" s="241"/>
    </row>
    <row r="276" spans="1:26" ht="13.5" customHeight="1" x14ac:dyDescent="0.3">
      <c r="A276" s="241"/>
      <c r="B276" s="241"/>
      <c r="C276" s="241"/>
      <c r="D276" s="241"/>
      <c r="E276" s="241"/>
      <c r="F276" s="241"/>
      <c r="G276" s="241"/>
      <c r="H276" s="241"/>
      <c r="I276" s="241"/>
      <c r="J276" s="241"/>
      <c r="K276" s="241"/>
      <c r="L276" s="241"/>
      <c r="M276" s="241"/>
      <c r="N276" s="241"/>
      <c r="O276" s="241"/>
      <c r="P276" s="241"/>
      <c r="Q276" s="241"/>
      <c r="R276" s="241"/>
      <c r="S276" s="241"/>
      <c r="T276" s="241"/>
      <c r="U276" s="241"/>
      <c r="V276" s="241"/>
      <c r="W276" s="241"/>
      <c r="X276" s="241"/>
      <c r="Y276" s="241"/>
      <c r="Z276" s="241"/>
    </row>
    <row r="277" spans="1:26" ht="13.5" customHeight="1" x14ac:dyDescent="0.3">
      <c r="A277" s="241"/>
      <c r="B277" s="241"/>
      <c r="C277" s="241"/>
      <c r="D277" s="241"/>
      <c r="E277" s="241"/>
      <c r="F277" s="241"/>
      <c r="G277" s="241"/>
      <c r="H277" s="241"/>
      <c r="I277" s="241"/>
      <c r="J277" s="241"/>
      <c r="K277" s="241"/>
      <c r="L277" s="241"/>
      <c r="M277" s="241"/>
      <c r="N277" s="241"/>
      <c r="O277" s="241"/>
      <c r="P277" s="241"/>
      <c r="Q277" s="241"/>
      <c r="R277" s="241"/>
      <c r="S277" s="241"/>
      <c r="T277" s="241"/>
      <c r="U277" s="241"/>
      <c r="V277" s="241"/>
      <c r="W277" s="241"/>
      <c r="X277" s="241"/>
      <c r="Y277" s="241"/>
      <c r="Z277" s="241"/>
    </row>
    <row r="278" spans="1:26" ht="13.5" customHeight="1" x14ac:dyDescent="0.3">
      <c r="A278" s="241"/>
      <c r="B278" s="241"/>
      <c r="C278" s="241"/>
      <c r="D278" s="241"/>
      <c r="E278" s="241"/>
      <c r="F278" s="241"/>
      <c r="G278" s="241"/>
      <c r="H278" s="241"/>
      <c r="I278" s="241"/>
      <c r="J278" s="241"/>
      <c r="K278" s="241"/>
      <c r="L278" s="241"/>
      <c r="M278" s="241"/>
      <c r="N278" s="241"/>
      <c r="O278" s="241"/>
      <c r="P278" s="241"/>
      <c r="Q278" s="241"/>
      <c r="R278" s="241"/>
      <c r="S278" s="241"/>
      <c r="T278" s="241"/>
      <c r="U278" s="241"/>
      <c r="V278" s="241"/>
      <c r="W278" s="241"/>
      <c r="X278" s="241"/>
      <c r="Y278" s="241"/>
      <c r="Z278" s="241"/>
    </row>
    <row r="279" spans="1:26" ht="13.5" customHeight="1" x14ac:dyDescent="0.3">
      <c r="A279" s="241"/>
      <c r="B279" s="241"/>
      <c r="C279" s="241"/>
      <c r="D279" s="241"/>
      <c r="E279" s="241"/>
      <c r="F279" s="241"/>
      <c r="G279" s="241"/>
      <c r="H279" s="241"/>
      <c r="I279" s="241"/>
      <c r="J279" s="241"/>
      <c r="K279" s="241"/>
      <c r="L279" s="241"/>
      <c r="M279" s="241"/>
      <c r="N279" s="241"/>
      <c r="O279" s="241"/>
      <c r="P279" s="241"/>
      <c r="Q279" s="241"/>
      <c r="R279" s="241"/>
      <c r="S279" s="241"/>
      <c r="T279" s="241"/>
      <c r="U279" s="241"/>
      <c r="V279" s="241"/>
      <c r="W279" s="241"/>
      <c r="X279" s="241"/>
      <c r="Y279" s="241"/>
      <c r="Z279" s="241"/>
    </row>
    <row r="280" spans="1:26" ht="13.5" customHeight="1" x14ac:dyDescent="0.3">
      <c r="A280" s="241"/>
      <c r="B280" s="241"/>
      <c r="C280" s="241"/>
      <c r="D280" s="241"/>
      <c r="E280" s="241"/>
      <c r="F280" s="241"/>
      <c r="G280" s="241"/>
      <c r="H280" s="241"/>
      <c r="I280" s="241"/>
      <c r="J280" s="241"/>
      <c r="K280" s="241"/>
      <c r="L280" s="241"/>
      <c r="M280" s="241"/>
      <c r="N280" s="241"/>
      <c r="O280" s="241"/>
      <c r="P280" s="241"/>
      <c r="Q280" s="241"/>
      <c r="R280" s="241"/>
      <c r="S280" s="241"/>
      <c r="T280" s="241"/>
      <c r="U280" s="241"/>
      <c r="V280" s="241"/>
      <c r="W280" s="241"/>
      <c r="X280" s="241"/>
      <c r="Y280" s="241"/>
      <c r="Z280" s="241"/>
    </row>
    <row r="281" spans="1:26" ht="13.5" customHeight="1" x14ac:dyDescent="0.3">
      <c r="A281" s="241"/>
      <c r="B281" s="241"/>
      <c r="C281" s="241"/>
      <c r="D281" s="241"/>
      <c r="E281" s="241"/>
      <c r="F281" s="241"/>
      <c r="G281" s="241"/>
      <c r="H281" s="241"/>
      <c r="I281" s="241"/>
      <c r="J281" s="241"/>
      <c r="K281" s="241"/>
      <c r="L281" s="241"/>
      <c r="M281" s="241"/>
      <c r="N281" s="241"/>
      <c r="O281" s="241"/>
      <c r="P281" s="241"/>
      <c r="Q281" s="241"/>
      <c r="R281" s="241"/>
      <c r="S281" s="241"/>
      <c r="T281" s="241"/>
      <c r="U281" s="241"/>
      <c r="V281" s="241"/>
      <c r="W281" s="241"/>
      <c r="X281" s="241"/>
      <c r="Y281" s="241"/>
      <c r="Z281" s="241"/>
    </row>
    <row r="282" spans="1:26" ht="13.5" customHeight="1" x14ac:dyDescent="0.3">
      <c r="A282" s="241"/>
      <c r="B282" s="241"/>
      <c r="C282" s="241"/>
      <c r="D282" s="241"/>
      <c r="E282" s="241"/>
      <c r="F282" s="241"/>
      <c r="G282" s="241"/>
      <c r="H282" s="241"/>
      <c r="I282" s="241"/>
      <c r="J282" s="241"/>
      <c r="K282" s="241"/>
      <c r="L282" s="241"/>
      <c r="M282" s="241"/>
      <c r="N282" s="241"/>
      <c r="O282" s="241"/>
      <c r="P282" s="241"/>
      <c r="Q282" s="241"/>
      <c r="R282" s="241"/>
      <c r="S282" s="241"/>
      <c r="T282" s="241"/>
      <c r="U282" s="241"/>
      <c r="V282" s="241"/>
      <c r="W282" s="241"/>
      <c r="X282" s="241"/>
      <c r="Y282" s="241"/>
      <c r="Z282" s="241"/>
    </row>
    <row r="283" spans="1:26" ht="13.5" customHeight="1" x14ac:dyDescent="0.3">
      <c r="A283" s="241"/>
      <c r="B283" s="241"/>
      <c r="C283" s="241"/>
      <c r="D283" s="241"/>
      <c r="E283" s="241"/>
      <c r="F283" s="241"/>
      <c r="G283" s="241"/>
      <c r="H283" s="241"/>
      <c r="I283" s="241"/>
      <c r="J283" s="241"/>
      <c r="K283" s="241"/>
      <c r="L283" s="241"/>
      <c r="M283" s="241"/>
      <c r="N283" s="241"/>
      <c r="O283" s="241"/>
      <c r="P283" s="241"/>
      <c r="Q283" s="241"/>
      <c r="R283" s="241"/>
      <c r="S283" s="241"/>
      <c r="T283" s="241"/>
      <c r="U283" s="241"/>
      <c r="V283" s="241"/>
      <c r="W283" s="241"/>
      <c r="X283" s="241"/>
      <c r="Y283" s="241"/>
      <c r="Z283" s="241"/>
    </row>
    <row r="284" spans="1:26" ht="13.5" customHeight="1" x14ac:dyDescent="0.3">
      <c r="A284" s="241"/>
      <c r="B284" s="241"/>
      <c r="C284" s="241"/>
      <c r="D284" s="241"/>
      <c r="E284" s="241"/>
      <c r="F284" s="241"/>
      <c r="G284" s="241"/>
      <c r="H284" s="241"/>
      <c r="I284" s="241"/>
      <c r="J284" s="241"/>
      <c r="K284" s="241"/>
      <c r="L284" s="241"/>
      <c r="M284" s="241"/>
      <c r="N284" s="241"/>
      <c r="O284" s="241"/>
      <c r="P284" s="241"/>
      <c r="Q284" s="241"/>
      <c r="R284" s="241"/>
      <c r="S284" s="241"/>
      <c r="T284" s="241"/>
      <c r="U284" s="241"/>
      <c r="V284" s="241"/>
      <c r="W284" s="241"/>
      <c r="X284" s="241"/>
      <c r="Y284" s="241"/>
      <c r="Z284" s="241"/>
    </row>
    <row r="285" spans="1:26" ht="13.5" customHeight="1" x14ac:dyDescent="0.3">
      <c r="A285" s="241"/>
      <c r="B285" s="241"/>
      <c r="C285" s="241"/>
      <c r="D285" s="241"/>
      <c r="E285" s="241"/>
      <c r="F285" s="241"/>
      <c r="G285" s="241"/>
      <c r="H285" s="241"/>
      <c r="I285" s="241"/>
      <c r="J285" s="241"/>
      <c r="K285" s="241"/>
      <c r="L285" s="241"/>
      <c r="M285" s="241"/>
      <c r="N285" s="241"/>
      <c r="O285" s="241"/>
      <c r="P285" s="241"/>
      <c r="Q285" s="241"/>
      <c r="R285" s="241"/>
      <c r="S285" s="241"/>
      <c r="T285" s="241"/>
      <c r="U285" s="241"/>
      <c r="V285" s="241"/>
      <c r="W285" s="241"/>
      <c r="X285" s="241"/>
      <c r="Y285" s="241"/>
      <c r="Z285" s="241"/>
    </row>
    <row r="286" spans="1:26" ht="13.5" customHeight="1" x14ac:dyDescent="0.3">
      <c r="A286" s="241"/>
      <c r="B286" s="241"/>
      <c r="C286" s="241"/>
      <c r="D286" s="241"/>
      <c r="E286" s="241"/>
      <c r="F286" s="241"/>
      <c r="G286" s="241"/>
      <c r="H286" s="241"/>
      <c r="I286" s="241"/>
      <c r="J286" s="241"/>
      <c r="K286" s="241"/>
      <c r="L286" s="241"/>
      <c r="M286" s="241"/>
      <c r="N286" s="241"/>
      <c r="O286" s="241"/>
      <c r="P286" s="241"/>
      <c r="Q286" s="241"/>
      <c r="R286" s="241"/>
      <c r="S286" s="241"/>
      <c r="T286" s="241"/>
      <c r="U286" s="241"/>
      <c r="V286" s="241"/>
      <c r="W286" s="241"/>
      <c r="X286" s="241"/>
      <c r="Y286" s="241"/>
      <c r="Z286" s="241"/>
    </row>
    <row r="287" spans="1:26" ht="13.5" customHeight="1" x14ac:dyDescent="0.3">
      <c r="A287" s="241"/>
      <c r="B287" s="241"/>
      <c r="C287" s="241"/>
      <c r="D287" s="241"/>
      <c r="E287" s="241"/>
      <c r="F287" s="241"/>
      <c r="G287" s="241"/>
      <c r="H287" s="241"/>
      <c r="I287" s="241"/>
      <c r="J287" s="241"/>
      <c r="K287" s="241"/>
      <c r="L287" s="241"/>
      <c r="M287" s="241"/>
      <c r="N287" s="241"/>
      <c r="O287" s="241"/>
      <c r="P287" s="241"/>
      <c r="Q287" s="241"/>
      <c r="R287" s="241"/>
      <c r="S287" s="241"/>
      <c r="T287" s="241"/>
      <c r="U287" s="241"/>
      <c r="V287" s="241"/>
      <c r="W287" s="241"/>
      <c r="X287" s="241"/>
      <c r="Y287" s="241"/>
      <c r="Z287" s="241"/>
    </row>
    <row r="288" spans="1:26" ht="13.5" customHeight="1" x14ac:dyDescent="0.3">
      <c r="A288" s="241"/>
      <c r="B288" s="241"/>
      <c r="C288" s="241"/>
      <c r="D288" s="241"/>
      <c r="E288" s="241"/>
      <c r="F288" s="241"/>
      <c r="G288" s="241"/>
      <c r="H288" s="241"/>
      <c r="I288" s="241"/>
      <c r="J288" s="241"/>
      <c r="K288" s="241"/>
      <c r="L288" s="241"/>
      <c r="M288" s="241"/>
      <c r="N288" s="241"/>
      <c r="O288" s="241"/>
      <c r="P288" s="241"/>
      <c r="Q288" s="241"/>
      <c r="R288" s="241"/>
      <c r="S288" s="241"/>
      <c r="T288" s="241"/>
      <c r="U288" s="241"/>
      <c r="V288" s="241"/>
      <c r="W288" s="241"/>
      <c r="X288" s="241"/>
      <c r="Y288" s="241"/>
      <c r="Z288" s="241"/>
    </row>
    <row r="289" spans="1:26" ht="13.5" customHeight="1" x14ac:dyDescent="0.3">
      <c r="A289" s="241"/>
      <c r="B289" s="241"/>
      <c r="C289" s="241"/>
      <c r="D289" s="241"/>
      <c r="E289" s="241"/>
      <c r="F289" s="241"/>
      <c r="G289" s="241"/>
      <c r="H289" s="241"/>
      <c r="I289" s="241"/>
      <c r="J289" s="241"/>
      <c r="K289" s="241"/>
      <c r="L289" s="241"/>
      <c r="M289" s="241"/>
      <c r="N289" s="241"/>
      <c r="O289" s="241"/>
      <c r="P289" s="241"/>
      <c r="Q289" s="241"/>
      <c r="R289" s="241"/>
      <c r="S289" s="241"/>
      <c r="T289" s="241"/>
      <c r="U289" s="241"/>
      <c r="V289" s="241"/>
      <c r="W289" s="241"/>
      <c r="X289" s="241"/>
      <c r="Y289" s="241"/>
      <c r="Z289" s="241"/>
    </row>
    <row r="290" spans="1:26" ht="13.5" customHeight="1" x14ac:dyDescent="0.3">
      <c r="A290" s="241"/>
      <c r="B290" s="241"/>
      <c r="C290" s="241"/>
      <c r="D290" s="241"/>
      <c r="E290" s="241"/>
      <c r="F290" s="241"/>
      <c r="G290" s="241"/>
      <c r="H290" s="241"/>
      <c r="I290" s="241"/>
      <c r="J290" s="241"/>
      <c r="K290" s="241"/>
      <c r="L290" s="241"/>
      <c r="M290" s="241"/>
      <c r="N290" s="241"/>
      <c r="O290" s="241"/>
      <c r="P290" s="241"/>
      <c r="Q290" s="241"/>
      <c r="R290" s="241"/>
      <c r="S290" s="241"/>
      <c r="T290" s="241"/>
      <c r="U290" s="241"/>
      <c r="V290" s="241"/>
      <c r="W290" s="241"/>
      <c r="X290" s="241"/>
      <c r="Y290" s="241"/>
      <c r="Z290" s="241"/>
    </row>
    <row r="291" spans="1:26" ht="13.5" customHeight="1" x14ac:dyDescent="0.3">
      <c r="A291" s="241"/>
      <c r="B291" s="241"/>
      <c r="C291" s="241"/>
      <c r="D291" s="241"/>
      <c r="E291" s="241"/>
      <c r="F291" s="241"/>
      <c r="G291" s="241"/>
      <c r="H291" s="241"/>
      <c r="I291" s="241"/>
      <c r="J291" s="241"/>
      <c r="K291" s="241"/>
      <c r="L291" s="241"/>
      <c r="M291" s="241"/>
      <c r="N291" s="241"/>
      <c r="O291" s="241"/>
      <c r="P291" s="241"/>
      <c r="Q291" s="241"/>
      <c r="R291" s="241"/>
      <c r="S291" s="241"/>
      <c r="T291" s="241"/>
      <c r="U291" s="241"/>
      <c r="V291" s="241"/>
      <c r="W291" s="241"/>
      <c r="X291" s="241"/>
      <c r="Y291" s="241"/>
      <c r="Z291" s="241"/>
    </row>
    <row r="292" spans="1:26" ht="13.5" customHeight="1" x14ac:dyDescent="0.3">
      <c r="A292" s="241"/>
      <c r="B292" s="241"/>
      <c r="C292" s="241"/>
      <c r="D292" s="241"/>
      <c r="E292" s="241"/>
      <c r="F292" s="241"/>
      <c r="G292" s="241"/>
      <c r="H292" s="241"/>
      <c r="I292" s="241"/>
      <c r="J292" s="241"/>
      <c r="K292" s="241"/>
      <c r="L292" s="241"/>
      <c r="M292" s="241"/>
      <c r="N292" s="241"/>
      <c r="O292" s="241"/>
      <c r="P292" s="241"/>
      <c r="Q292" s="241"/>
      <c r="R292" s="241"/>
      <c r="S292" s="241"/>
      <c r="T292" s="241"/>
      <c r="U292" s="241"/>
      <c r="V292" s="241"/>
      <c r="W292" s="241"/>
      <c r="X292" s="241"/>
      <c r="Y292" s="241"/>
      <c r="Z292" s="241"/>
    </row>
    <row r="293" spans="1:26" ht="13.5" customHeight="1" x14ac:dyDescent="0.3">
      <c r="A293" s="241"/>
      <c r="B293" s="241"/>
      <c r="C293" s="241"/>
      <c r="D293" s="241"/>
      <c r="E293" s="241"/>
      <c r="F293" s="241"/>
      <c r="G293" s="241"/>
      <c r="H293" s="241"/>
      <c r="I293" s="241"/>
      <c r="J293" s="241"/>
      <c r="K293" s="241"/>
      <c r="L293" s="241"/>
      <c r="M293" s="241"/>
      <c r="N293" s="241"/>
      <c r="O293" s="241"/>
      <c r="P293" s="241"/>
      <c r="Q293" s="241"/>
      <c r="R293" s="241"/>
      <c r="S293" s="241"/>
      <c r="T293" s="241"/>
      <c r="U293" s="241"/>
      <c r="V293" s="241"/>
      <c r="W293" s="241"/>
      <c r="X293" s="241"/>
      <c r="Y293" s="241"/>
      <c r="Z293" s="241"/>
    </row>
    <row r="294" spans="1:26" ht="13.5" customHeight="1" x14ac:dyDescent="0.3">
      <c r="A294" s="241"/>
      <c r="B294" s="241"/>
      <c r="C294" s="241"/>
      <c r="D294" s="241"/>
      <c r="E294" s="241"/>
      <c r="F294" s="241"/>
      <c r="G294" s="241"/>
      <c r="H294" s="241"/>
      <c r="I294" s="241"/>
      <c r="J294" s="241"/>
      <c r="K294" s="241"/>
      <c r="L294" s="241"/>
      <c r="M294" s="241"/>
      <c r="N294" s="241"/>
      <c r="O294" s="241"/>
      <c r="P294" s="241"/>
      <c r="Q294" s="241"/>
      <c r="R294" s="241"/>
      <c r="S294" s="241"/>
      <c r="T294" s="241"/>
      <c r="U294" s="241"/>
      <c r="V294" s="241"/>
      <c r="W294" s="241"/>
      <c r="X294" s="241"/>
      <c r="Y294" s="241"/>
      <c r="Z294" s="241"/>
    </row>
    <row r="295" spans="1:26" ht="13.5" customHeight="1" x14ac:dyDescent="0.3">
      <c r="A295" s="241"/>
      <c r="B295" s="241"/>
      <c r="C295" s="241"/>
      <c r="D295" s="241"/>
      <c r="E295" s="241"/>
      <c r="F295" s="241"/>
      <c r="G295" s="241"/>
      <c r="H295" s="241"/>
      <c r="I295" s="241"/>
      <c r="J295" s="241"/>
      <c r="K295" s="241"/>
      <c r="L295" s="241"/>
      <c r="M295" s="241"/>
      <c r="N295" s="241"/>
      <c r="O295" s="241"/>
      <c r="P295" s="241"/>
      <c r="Q295" s="241"/>
      <c r="R295" s="241"/>
      <c r="S295" s="241"/>
      <c r="T295" s="241"/>
      <c r="U295" s="241"/>
      <c r="V295" s="241"/>
      <c r="W295" s="241"/>
      <c r="X295" s="241"/>
      <c r="Y295" s="241"/>
      <c r="Z295" s="241"/>
    </row>
    <row r="296" spans="1:26" ht="13.5" customHeight="1" x14ac:dyDescent="0.3">
      <c r="A296" s="241"/>
      <c r="B296" s="241"/>
      <c r="C296" s="241"/>
      <c r="D296" s="241"/>
      <c r="E296" s="241"/>
      <c r="F296" s="241"/>
      <c r="G296" s="241"/>
      <c r="H296" s="241"/>
      <c r="I296" s="241"/>
      <c r="J296" s="241"/>
      <c r="K296" s="241"/>
      <c r="L296" s="241"/>
      <c r="M296" s="241"/>
      <c r="N296" s="241"/>
      <c r="O296" s="241"/>
      <c r="P296" s="241"/>
      <c r="Q296" s="241"/>
      <c r="R296" s="241"/>
      <c r="S296" s="241"/>
      <c r="T296" s="241"/>
      <c r="U296" s="241"/>
      <c r="V296" s="241"/>
      <c r="W296" s="241"/>
      <c r="X296" s="241"/>
      <c r="Y296" s="241"/>
      <c r="Z296" s="241"/>
    </row>
    <row r="297" spans="1:26" ht="13.5" customHeight="1" x14ac:dyDescent="0.3">
      <c r="A297" s="241"/>
      <c r="B297" s="241"/>
      <c r="C297" s="241"/>
      <c r="D297" s="241"/>
      <c r="E297" s="241"/>
      <c r="F297" s="241"/>
      <c r="G297" s="241"/>
      <c r="H297" s="241"/>
      <c r="I297" s="241"/>
      <c r="J297" s="241"/>
      <c r="K297" s="241"/>
      <c r="L297" s="241"/>
      <c r="M297" s="241"/>
      <c r="N297" s="241"/>
      <c r="O297" s="241"/>
      <c r="P297" s="241"/>
      <c r="Q297" s="241"/>
      <c r="R297" s="241"/>
      <c r="S297" s="241"/>
      <c r="T297" s="241"/>
      <c r="U297" s="241"/>
      <c r="V297" s="241"/>
      <c r="W297" s="241"/>
      <c r="X297" s="241"/>
      <c r="Y297" s="241"/>
      <c r="Z297" s="241"/>
    </row>
    <row r="298" spans="1:26" ht="13.5" customHeight="1" x14ac:dyDescent="0.3">
      <c r="A298" s="241"/>
      <c r="B298" s="241"/>
      <c r="C298" s="241"/>
      <c r="D298" s="241"/>
      <c r="E298" s="241"/>
      <c r="F298" s="241"/>
      <c r="G298" s="241"/>
      <c r="H298" s="241"/>
      <c r="I298" s="241"/>
      <c r="J298" s="241"/>
      <c r="K298" s="241"/>
      <c r="L298" s="241"/>
      <c r="M298" s="241"/>
      <c r="N298" s="241"/>
      <c r="O298" s="241"/>
      <c r="P298" s="241"/>
      <c r="Q298" s="241"/>
      <c r="R298" s="241"/>
      <c r="S298" s="241"/>
      <c r="T298" s="241"/>
      <c r="U298" s="241"/>
      <c r="V298" s="241"/>
      <c r="W298" s="241"/>
      <c r="X298" s="241"/>
      <c r="Y298" s="241"/>
      <c r="Z298" s="241"/>
    </row>
    <row r="299" spans="1:26" ht="13.5" customHeight="1" x14ac:dyDescent="0.3">
      <c r="A299" s="241"/>
      <c r="B299" s="241"/>
      <c r="C299" s="241"/>
      <c r="D299" s="241"/>
      <c r="E299" s="241"/>
      <c r="F299" s="241"/>
      <c r="G299" s="241"/>
      <c r="H299" s="241"/>
      <c r="I299" s="241"/>
      <c r="J299" s="241"/>
      <c r="K299" s="241"/>
      <c r="L299" s="241"/>
      <c r="M299" s="241"/>
      <c r="N299" s="241"/>
      <c r="O299" s="241"/>
      <c r="P299" s="241"/>
      <c r="Q299" s="241"/>
      <c r="R299" s="241"/>
      <c r="S299" s="241"/>
      <c r="T299" s="241"/>
      <c r="U299" s="241"/>
      <c r="V299" s="241"/>
      <c r="W299" s="241"/>
      <c r="X299" s="241"/>
      <c r="Y299" s="241"/>
      <c r="Z299" s="241"/>
    </row>
    <row r="300" spans="1:26" ht="13.5" customHeight="1" x14ac:dyDescent="0.3">
      <c r="A300" s="241"/>
      <c r="B300" s="241"/>
      <c r="C300" s="241"/>
      <c r="D300" s="241"/>
      <c r="E300" s="241"/>
      <c r="F300" s="241"/>
      <c r="G300" s="241"/>
      <c r="H300" s="241"/>
      <c r="I300" s="241"/>
      <c r="J300" s="241"/>
      <c r="K300" s="241"/>
      <c r="L300" s="241"/>
      <c r="M300" s="241"/>
      <c r="N300" s="241"/>
      <c r="O300" s="241"/>
      <c r="P300" s="241"/>
      <c r="Q300" s="241"/>
      <c r="R300" s="241"/>
      <c r="S300" s="241"/>
      <c r="T300" s="241"/>
      <c r="U300" s="241"/>
      <c r="V300" s="241"/>
      <c r="W300" s="241"/>
      <c r="X300" s="241"/>
      <c r="Y300" s="241"/>
      <c r="Z300" s="241"/>
    </row>
    <row r="301" spans="1:26" ht="13.5" customHeight="1" x14ac:dyDescent="0.3">
      <c r="A301" s="241"/>
      <c r="B301" s="241"/>
      <c r="C301" s="241"/>
      <c r="D301" s="241"/>
      <c r="E301" s="241"/>
      <c r="F301" s="241"/>
      <c r="G301" s="241"/>
      <c r="H301" s="241"/>
      <c r="I301" s="241"/>
      <c r="J301" s="241"/>
      <c r="K301" s="241"/>
      <c r="L301" s="241"/>
      <c r="M301" s="241"/>
      <c r="N301" s="241"/>
      <c r="O301" s="241"/>
      <c r="P301" s="241"/>
      <c r="Q301" s="241"/>
      <c r="R301" s="241"/>
      <c r="S301" s="241"/>
      <c r="T301" s="241"/>
      <c r="U301" s="241"/>
      <c r="V301" s="241"/>
      <c r="W301" s="241"/>
      <c r="X301" s="241"/>
      <c r="Y301" s="241"/>
      <c r="Z301" s="241"/>
    </row>
    <row r="302" spans="1:26" ht="13.5" customHeight="1" x14ac:dyDescent="0.3">
      <c r="A302" s="241"/>
      <c r="B302" s="241"/>
      <c r="C302" s="241"/>
      <c r="D302" s="241"/>
      <c r="E302" s="241"/>
      <c r="F302" s="241"/>
      <c r="G302" s="241"/>
      <c r="H302" s="241"/>
      <c r="I302" s="241"/>
      <c r="J302" s="241"/>
      <c r="K302" s="241"/>
      <c r="L302" s="241"/>
      <c r="M302" s="241"/>
      <c r="N302" s="241"/>
      <c r="O302" s="241"/>
      <c r="P302" s="241"/>
      <c r="Q302" s="241"/>
      <c r="R302" s="241"/>
      <c r="S302" s="241"/>
      <c r="T302" s="241"/>
      <c r="U302" s="241"/>
      <c r="V302" s="241"/>
      <c r="W302" s="241"/>
      <c r="X302" s="241"/>
      <c r="Y302" s="241"/>
      <c r="Z302" s="241"/>
    </row>
    <row r="303" spans="1:26" ht="13.5" customHeight="1" x14ac:dyDescent="0.3">
      <c r="A303" s="241"/>
      <c r="B303" s="241"/>
      <c r="C303" s="241"/>
      <c r="D303" s="241"/>
      <c r="E303" s="241"/>
      <c r="F303" s="241"/>
      <c r="G303" s="241"/>
      <c r="H303" s="241"/>
      <c r="I303" s="241"/>
      <c r="J303" s="241"/>
      <c r="K303" s="241"/>
      <c r="L303" s="241"/>
      <c r="M303" s="241"/>
      <c r="N303" s="241"/>
      <c r="O303" s="241"/>
      <c r="P303" s="241"/>
      <c r="Q303" s="241"/>
      <c r="R303" s="241"/>
      <c r="S303" s="241"/>
      <c r="T303" s="241"/>
      <c r="U303" s="241"/>
      <c r="V303" s="241"/>
      <c r="W303" s="241"/>
      <c r="X303" s="241"/>
      <c r="Y303" s="241"/>
      <c r="Z303" s="241"/>
    </row>
    <row r="304" spans="1:26" ht="13.5" customHeight="1" x14ac:dyDescent="0.3">
      <c r="A304" s="241"/>
      <c r="B304" s="241"/>
      <c r="C304" s="241"/>
      <c r="D304" s="241"/>
      <c r="E304" s="241"/>
      <c r="F304" s="241"/>
      <c r="G304" s="241"/>
      <c r="H304" s="241"/>
      <c r="I304" s="241"/>
      <c r="J304" s="241"/>
      <c r="K304" s="241"/>
      <c r="L304" s="241"/>
      <c r="M304" s="241"/>
      <c r="N304" s="241"/>
      <c r="O304" s="241"/>
      <c r="P304" s="241"/>
      <c r="Q304" s="241"/>
      <c r="R304" s="241"/>
      <c r="S304" s="241"/>
      <c r="T304" s="241"/>
      <c r="U304" s="241"/>
      <c r="V304" s="241"/>
      <c r="W304" s="241"/>
      <c r="X304" s="241"/>
      <c r="Y304" s="241"/>
      <c r="Z304" s="241"/>
    </row>
    <row r="305" spans="1:26" ht="13.5" customHeight="1" x14ac:dyDescent="0.3">
      <c r="A305" s="241"/>
      <c r="B305" s="241"/>
      <c r="C305" s="241"/>
      <c r="D305" s="241"/>
      <c r="E305" s="241"/>
      <c r="F305" s="241"/>
      <c r="G305" s="241"/>
      <c r="H305" s="241"/>
      <c r="I305" s="241"/>
      <c r="J305" s="241"/>
      <c r="K305" s="241"/>
      <c r="L305" s="241"/>
      <c r="M305" s="241"/>
      <c r="N305" s="241"/>
      <c r="O305" s="241"/>
      <c r="P305" s="241"/>
      <c r="Q305" s="241"/>
      <c r="R305" s="241"/>
      <c r="S305" s="241"/>
      <c r="T305" s="241"/>
      <c r="U305" s="241"/>
      <c r="V305" s="241"/>
      <c r="W305" s="241"/>
      <c r="X305" s="241"/>
      <c r="Y305" s="241"/>
      <c r="Z305" s="241"/>
    </row>
    <row r="306" spans="1:26" ht="13.5" customHeight="1" x14ac:dyDescent="0.3">
      <c r="A306" s="241"/>
      <c r="B306" s="241"/>
      <c r="C306" s="241"/>
      <c r="D306" s="241"/>
      <c r="E306" s="241"/>
      <c r="F306" s="241"/>
      <c r="G306" s="241"/>
      <c r="H306" s="241"/>
      <c r="I306" s="241"/>
      <c r="J306" s="241"/>
      <c r="K306" s="241"/>
      <c r="L306" s="241"/>
      <c r="M306" s="241"/>
      <c r="N306" s="241"/>
      <c r="O306" s="241"/>
      <c r="P306" s="241"/>
      <c r="Q306" s="241"/>
      <c r="R306" s="241"/>
      <c r="S306" s="241"/>
      <c r="T306" s="241"/>
      <c r="U306" s="241"/>
      <c r="V306" s="241"/>
      <c r="W306" s="241"/>
      <c r="X306" s="241"/>
      <c r="Y306" s="241"/>
      <c r="Z306" s="241"/>
    </row>
    <row r="307" spans="1:26" ht="13.5" customHeight="1" x14ac:dyDescent="0.3">
      <c r="A307" s="241"/>
      <c r="B307" s="241"/>
      <c r="C307" s="241"/>
      <c r="D307" s="241"/>
      <c r="E307" s="241"/>
      <c r="F307" s="241"/>
      <c r="G307" s="241"/>
      <c r="H307" s="241"/>
      <c r="I307" s="241"/>
      <c r="J307" s="241"/>
      <c r="K307" s="241"/>
      <c r="L307" s="241"/>
      <c r="M307" s="241"/>
      <c r="N307" s="241"/>
      <c r="O307" s="241"/>
      <c r="P307" s="241"/>
      <c r="Q307" s="241"/>
      <c r="R307" s="241"/>
      <c r="S307" s="241"/>
      <c r="T307" s="241"/>
      <c r="U307" s="241"/>
      <c r="V307" s="241"/>
      <c r="W307" s="241"/>
      <c r="X307" s="241"/>
      <c r="Y307" s="241"/>
      <c r="Z307" s="241"/>
    </row>
    <row r="308" spans="1:26" ht="13.5" customHeight="1" x14ac:dyDescent="0.3">
      <c r="A308" s="241"/>
      <c r="B308" s="241"/>
      <c r="C308" s="241"/>
      <c r="D308" s="241"/>
      <c r="E308" s="241"/>
      <c r="F308" s="241"/>
      <c r="G308" s="241"/>
      <c r="H308" s="241"/>
      <c r="I308" s="241"/>
      <c r="J308" s="241"/>
      <c r="K308" s="241"/>
      <c r="L308" s="241"/>
      <c r="M308" s="241"/>
      <c r="N308" s="241"/>
      <c r="O308" s="241"/>
      <c r="P308" s="241"/>
      <c r="Q308" s="241"/>
      <c r="R308" s="241"/>
      <c r="S308" s="241"/>
      <c r="T308" s="241"/>
      <c r="U308" s="241"/>
      <c r="V308" s="241"/>
      <c r="W308" s="241"/>
      <c r="X308" s="241"/>
      <c r="Y308" s="241"/>
      <c r="Z308" s="241"/>
    </row>
    <row r="309" spans="1:26" ht="13.5" customHeight="1" x14ac:dyDescent="0.3">
      <c r="A309" s="241"/>
      <c r="B309" s="241"/>
      <c r="C309" s="241"/>
      <c r="D309" s="241"/>
      <c r="E309" s="241"/>
      <c r="F309" s="241"/>
      <c r="G309" s="241"/>
      <c r="H309" s="241"/>
      <c r="I309" s="241"/>
      <c r="J309" s="241"/>
      <c r="K309" s="241"/>
      <c r="L309" s="241"/>
      <c r="M309" s="241"/>
      <c r="N309" s="241"/>
      <c r="O309" s="241"/>
      <c r="P309" s="241"/>
      <c r="Q309" s="241"/>
      <c r="R309" s="241"/>
      <c r="S309" s="241"/>
      <c r="T309" s="241"/>
      <c r="U309" s="241"/>
      <c r="V309" s="241"/>
      <c r="W309" s="241"/>
      <c r="X309" s="241"/>
      <c r="Y309" s="241"/>
      <c r="Z309" s="241"/>
    </row>
    <row r="310" spans="1:26" ht="13.5" customHeight="1" x14ac:dyDescent="0.3">
      <c r="A310" s="241"/>
      <c r="B310" s="241"/>
      <c r="C310" s="241"/>
      <c r="D310" s="241"/>
      <c r="E310" s="241"/>
      <c r="F310" s="241"/>
      <c r="G310" s="241"/>
      <c r="H310" s="241"/>
      <c r="I310" s="241"/>
      <c r="J310" s="241"/>
      <c r="K310" s="241"/>
      <c r="L310" s="241"/>
      <c r="M310" s="241"/>
      <c r="N310" s="241"/>
      <c r="O310" s="241"/>
      <c r="P310" s="241"/>
      <c r="Q310" s="241"/>
      <c r="R310" s="241"/>
      <c r="S310" s="241"/>
      <c r="T310" s="241"/>
      <c r="U310" s="241"/>
      <c r="V310" s="241"/>
      <c r="W310" s="241"/>
      <c r="X310" s="241"/>
      <c r="Y310" s="241"/>
      <c r="Z310" s="241"/>
    </row>
    <row r="311" spans="1:26" ht="13.5" customHeight="1" x14ac:dyDescent="0.3">
      <c r="A311" s="241"/>
      <c r="B311" s="241"/>
      <c r="C311" s="241"/>
      <c r="D311" s="241"/>
      <c r="E311" s="241"/>
      <c r="F311" s="241"/>
      <c r="G311" s="241"/>
      <c r="H311" s="241"/>
      <c r="I311" s="241"/>
      <c r="J311" s="241"/>
      <c r="K311" s="241"/>
      <c r="L311" s="241"/>
      <c r="M311" s="241"/>
      <c r="N311" s="241"/>
      <c r="O311" s="241"/>
      <c r="P311" s="241"/>
      <c r="Q311" s="241"/>
      <c r="R311" s="241"/>
      <c r="S311" s="241"/>
      <c r="T311" s="241"/>
      <c r="U311" s="241"/>
      <c r="V311" s="241"/>
      <c r="W311" s="241"/>
      <c r="X311" s="241"/>
      <c r="Y311" s="241"/>
      <c r="Z311" s="241"/>
    </row>
    <row r="312" spans="1:26" ht="13.5" customHeight="1" x14ac:dyDescent="0.3">
      <c r="A312" s="241"/>
      <c r="B312" s="241"/>
      <c r="C312" s="241"/>
      <c r="D312" s="241"/>
      <c r="E312" s="241"/>
      <c r="F312" s="241"/>
      <c r="G312" s="241"/>
      <c r="H312" s="241"/>
      <c r="I312" s="241"/>
      <c r="J312" s="241"/>
      <c r="K312" s="241"/>
      <c r="L312" s="241"/>
      <c r="M312" s="241"/>
      <c r="N312" s="241"/>
      <c r="O312" s="241"/>
      <c r="P312" s="241"/>
      <c r="Q312" s="241"/>
      <c r="R312" s="241"/>
      <c r="S312" s="241"/>
      <c r="T312" s="241"/>
      <c r="U312" s="241"/>
      <c r="V312" s="241"/>
      <c r="W312" s="241"/>
      <c r="X312" s="241"/>
      <c r="Y312" s="241"/>
      <c r="Z312" s="241"/>
    </row>
    <row r="313" spans="1:26" ht="13.5" customHeight="1" x14ac:dyDescent="0.3">
      <c r="A313" s="241"/>
      <c r="B313" s="241"/>
      <c r="C313" s="241"/>
      <c r="D313" s="241"/>
      <c r="E313" s="241"/>
      <c r="F313" s="241"/>
      <c r="G313" s="241"/>
      <c r="H313" s="241"/>
      <c r="I313" s="241"/>
      <c r="J313" s="241"/>
      <c r="K313" s="241"/>
      <c r="L313" s="241"/>
      <c r="M313" s="241"/>
      <c r="N313" s="241"/>
      <c r="O313" s="241"/>
      <c r="P313" s="241"/>
      <c r="Q313" s="241"/>
      <c r="R313" s="241"/>
      <c r="S313" s="241"/>
      <c r="T313" s="241"/>
      <c r="U313" s="241"/>
      <c r="V313" s="241"/>
      <c r="W313" s="241"/>
      <c r="X313" s="241"/>
      <c r="Y313" s="241"/>
      <c r="Z313" s="241"/>
    </row>
    <row r="314" spans="1:26" ht="13.5" customHeight="1" x14ac:dyDescent="0.3">
      <c r="A314" s="241"/>
      <c r="B314" s="241"/>
      <c r="C314" s="241"/>
      <c r="D314" s="241"/>
      <c r="E314" s="241"/>
      <c r="F314" s="241"/>
      <c r="G314" s="241"/>
      <c r="H314" s="241"/>
      <c r="I314" s="241"/>
      <c r="J314" s="241"/>
      <c r="K314" s="241"/>
      <c r="L314" s="241"/>
      <c r="M314" s="241"/>
      <c r="N314" s="241"/>
      <c r="O314" s="241"/>
      <c r="P314" s="241"/>
      <c r="Q314" s="241"/>
      <c r="R314" s="241"/>
      <c r="S314" s="241"/>
      <c r="T314" s="241"/>
      <c r="U314" s="241"/>
      <c r="V314" s="241"/>
      <c r="W314" s="241"/>
      <c r="X314" s="241"/>
      <c r="Y314" s="241"/>
      <c r="Z314" s="241"/>
    </row>
    <row r="315" spans="1:26" ht="13.5" customHeight="1" x14ac:dyDescent="0.3">
      <c r="A315" s="241"/>
      <c r="B315" s="241"/>
      <c r="C315" s="241"/>
      <c r="D315" s="241"/>
      <c r="E315" s="241"/>
      <c r="F315" s="241"/>
      <c r="G315" s="241"/>
      <c r="H315" s="241"/>
      <c r="I315" s="241"/>
      <c r="J315" s="241"/>
      <c r="K315" s="241"/>
      <c r="L315" s="241"/>
      <c r="M315" s="241"/>
      <c r="N315" s="241"/>
      <c r="O315" s="241"/>
      <c r="P315" s="241"/>
      <c r="Q315" s="241"/>
      <c r="R315" s="241"/>
      <c r="S315" s="241"/>
      <c r="T315" s="241"/>
      <c r="U315" s="241"/>
      <c r="V315" s="241"/>
      <c r="W315" s="241"/>
      <c r="X315" s="241"/>
      <c r="Y315" s="241"/>
      <c r="Z315" s="241"/>
    </row>
    <row r="316" spans="1:26" ht="13.5" customHeight="1" x14ac:dyDescent="0.3">
      <c r="A316" s="241"/>
      <c r="B316" s="241"/>
      <c r="C316" s="241"/>
      <c r="D316" s="241"/>
      <c r="E316" s="241"/>
      <c r="F316" s="241"/>
      <c r="G316" s="241"/>
      <c r="H316" s="241"/>
      <c r="I316" s="241"/>
      <c r="J316" s="241"/>
      <c r="K316" s="241"/>
      <c r="L316" s="241"/>
      <c r="M316" s="241"/>
      <c r="N316" s="241"/>
      <c r="O316" s="241"/>
      <c r="P316" s="241"/>
      <c r="Q316" s="241"/>
      <c r="R316" s="241"/>
      <c r="S316" s="241"/>
      <c r="T316" s="241"/>
      <c r="U316" s="241"/>
      <c r="V316" s="241"/>
      <c r="W316" s="241"/>
      <c r="X316" s="241"/>
      <c r="Y316" s="241"/>
      <c r="Z316" s="241"/>
    </row>
    <row r="317" spans="1:26" ht="13.5" customHeight="1" x14ac:dyDescent="0.3">
      <c r="A317" s="241"/>
      <c r="B317" s="241"/>
      <c r="C317" s="241"/>
      <c r="D317" s="241"/>
      <c r="E317" s="241"/>
      <c r="F317" s="241"/>
      <c r="G317" s="241"/>
      <c r="H317" s="241"/>
      <c r="I317" s="241"/>
      <c r="J317" s="241"/>
      <c r="K317" s="241"/>
      <c r="L317" s="241"/>
      <c r="M317" s="241"/>
      <c r="N317" s="241"/>
      <c r="O317" s="241"/>
      <c r="P317" s="241"/>
      <c r="Q317" s="241"/>
      <c r="R317" s="241"/>
      <c r="S317" s="241"/>
      <c r="T317" s="241"/>
      <c r="U317" s="241"/>
      <c r="V317" s="241"/>
      <c r="W317" s="241"/>
      <c r="X317" s="241"/>
      <c r="Y317" s="241"/>
      <c r="Z317" s="241"/>
    </row>
    <row r="318" spans="1:26" ht="13.5" customHeight="1" x14ac:dyDescent="0.3">
      <c r="A318" s="241"/>
      <c r="B318" s="241"/>
      <c r="C318" s="241"/>
      <c r="D318" s="241"/>
      <c r="E318" s="241"/>
      <c r="F318" s="241"/>
      <c r="G318" s="241"/>
      <c r="H318" s="241"/>
      <c r="I318" s="241"/>
      <c r="J318" s="241"/>
      <c r="K318" s="241"/>
      <c r="L318" s="241"/>
      <c r="M318" s="241"/>
      <c r="N318" s="241"/>
      <c r="O318" s="241"/>
      <c r="P318" s="241"/>
      <c r="Q318" s="241"/>
      <c r="R318" s="241"/>
      <c r="S318" s="241"/>
      <c r="T318" s="241"/>
      <c r="U318" s="241"/>
      <c r="V318" s="241"/>
      <c r="W318" s="241"/>
      <c r="X318" s="241"/>
      <c r="Y318" s="241"/>
      <c r="Z318" s="241"/>
    </row>
    <row r="319" spans="1:26" ht="13.5" customHeight="1" x14ac:dyDescent="0.3">
      <c r="A319" s="241"/>
      <c r="B319" s="241"/>
      <c r="C319" s="241"/>
      <c r="D319" s="241"/>
      <c r="E319" s="241"/>
      <c r="F319" s="241"/>
      <c r="G319" s="241"/>
      <c r="H319" s="241"/>
      <c r="I319" s="241"/>
      <c r="J319" s="241"/>
      <c r="K319" s="241"/>
      <c r="L319" s="241"/>
      <c r="M319" s="241"/>
      <c r="N319" s="241"/>
      <c r="O319" s="241"/>
      <c r="P319" s="241"/>
      <c r="Q319" s="241"/>
      <c r="R319" s="241"/>
      <c r="S319" s="241"/>
      <c r="T319" s="241"/>
      <c r="U319" s="241"/>
      <c r="V319" s="241"/>
      <c r="W319" s="241"/>
      <c r="X319" s="241"/>
      <c r="Y319" s="241"/>
      <c r="Z319" s="241"/>
    </row>
    <row r="320" spans="1:26" ht="13.5" customHeight="1" x14ac:dyDescent="0.3">
      <c r="A320" s="241"/>
      <c r="B320" s="241"/>
      <c r="C320" s="241"/>
      <c r="D320" s="241"/>
      <c r="E320" s="241"/>
      <c r="F320" s="241"/>
      <c r="G320" s="241"/>
      <c r="H320" s="241"/>
      <c r="I320" s="241"/>
      <c r="J320" s="241"/>
      <c r="K320" s="241"/>
      <c r="L320" s="241"/>
      <c r="M320" s="241"/>
      <c r="N320" s="241"/>
      <c r="O320" s="241"/>
      <c r="P320" s="241"/>
      <c r="Q320" s="241"/>
      <c r="R320" s="241"/>
      <c r="S320" s="241"/>
      <c r="T320" s="241"/>
      <c r="U320" s="241"/>
      <c r="V320" s="241"/>
      <c r="W320" s="241"/>
      <c r="X320" s="241"/>
      <c r="Y320" s="241"/>
      <c r="Z320" s="241"/>
    </row>
    <row r="321" spans="1:26" ht="13.5" customHeight="1" x14ac:dyDescent="0.3">
      <c r="A321" s="241"/>
      <c r="B321" s="241"/>
      <c r="C321" s="241"/>
      <c r="D321" s="241"/>
      <c r="E321" s="241"/>
      <c r="F321" s="241"/>
      <c r="G321" s="241"/>
      <c r="H321" s="241"/>
      <c r="I321" s="241"/>
      <c r="J321" s="241"/>
      <c r="K321" s="241"/>
      <c r="L321" s="241"/>
      <c r="M321" s="241"/>
      <c r="N321" s="241"/>
      <c r="O321" s="241"/>
      <c r="P321" s="241"/>
      <c r="Q321" s="241"/>
      <c r="R321" s="241"/>
      <c r="S321" s="241"/>
      <c r="T321" s="241"/>
      <c r="U321" s="241"/>
      <c r="V321" s="241"/>
      <c r="W321" s="241"/>
      <c r="X321" s="241"/>
      <c r="Y321" s="241"/>
      <c r="Z321" s="241"/>
    </row>
    <row r="322" spans="1:26" ht="13.5" customHeight="1" x14ac:dyDescent="0.3">
      <c r="A322" s="241"/>
      <c r="B322" s="241"/>
      <c r="C322" s="241"/>
      <c r="D322" s="241"/>
      <c r="E322" s="241"/>
      <c r="F322" s="241"/>
      <c r="G322" s="241"/>
      <c r="H322" s="241"/>
      <c r="I322" s="241"/>
      <c r="J322" s="241"/>
      <c r="K322" s="241"/>
      <c r="L322" s="241"/>
      <c r="M322" s="241"/>
      <c r="N322" s="241"/>
      <c r="O322" s="241"/>
      <c r="P322" s="241"/>
      <c r="Q322" s="241"/>
      <c r="R322" s="241"/>
      <c r="S322" s="241"/>
      <c r="T322" s="241"/>
      <c r="U322" s="241"/>
      <c r="V322" s="241"/>
      <c r="W322" s="241"/>
      <c r="X322" s="241"/>
      <c r="Y322" s="241"/>
      <c r="Z322" s="241"/>
    </row>
    <row r="323" spans="1:26" ht="13.5" customHeight="1" x14ac:dyDescent="0.3">
      <c r="A323" s="241"/>
      <c r="B323" s="241"/>
      <c r="C323" s="241"/>
      <c r="D323" s="241"/>
      <c r="E323" s="241"/>
      <c r="F323" s="241"/>
      <c r="G323" s="241"/>
      <c r="H323" s="241"/>
      <c r="I323" s="241"/>
      <c r="J323" s="241"/>
      <c r="K323" s="241"/>
      <c r="L323" s="241"/>
      <c r="M323" s="241"/>
      <c r="N323" s="241"/>
      <c r="O323" s="241"/>
      <c r="P323" s="241"/>
      <c r="Q323" s="241"/>
      <c r="R323" s="241"/>
      <c r="S323" s="241"/>
      <c r="T323" s="241"/>
      <c r="U323" s="241"/>
      <c r="V323" s="241"/>
      <c r="W323" s="241"/>
      <c r="X323" s="241"/>
      <c r="Y323" s="241"/>
      <c r="Z323" s="241"/>
    </row>
    <row r="324" spans="1:26" ht="13.5" customHeight="1" x14ac:dyDescent="0.3">
      <c r="A324" s="241"/>
      <c r="B324" s="241"/>
      <c r="C324" s="241"/>
      <c r="D324" s="241"/>
      <c r="E324" s="241"/>
      <c r="F324" s="241"/>
      <c r="G324" s="241"/>
      <c r="H324" s="241"/>
      <c r="I324" s="241"/>
      <c r="J324" s="241"/>
      <c r="K324" s="241"/>
      <c r="L324" s="241"/>
      <c r="M324" s="241"/>
      <c r="N324" s="241"/>
      <c r="O324" s="241"/>
      <c r="P324" s="241"/>
      <c r="Q324" s="241"/>
      <c r="R324" s="241"/>
      <c r="S324" s="241"/>
      <c r="T324" s="241"/>
      <c r="U324" s="241"/>
      <c r="V324" s="241"/>
      <c r="W324" s="241"/>
      <c r="X324" s="241"/>
      <c r="Y324" s="241"/>
      <c r="Z324" s="241"/>
    </row>
    <row r="325" spans="1:26" ht="13.5" customHeight="1" x14ac:dyDescent="0.3">
      <c r="A325" s="241"/>
      <c r="B325" s="241"/>
      <c r="C325" s="241"/>
      <c r="D325" s="241"/>
      <c r="E325" s="241"/>
      <c r="F325" s="241"/>
      <c r="G325" s="241"/>
      <c r="H325" s="241"/>
      <c r="I325" s="241"/>
      <c r="J325" s="241"/>
      <c r="K325" s="241"/>
      <c r="L325" s="241"/>
      <c r="M325" s="241"/>
      <c r="N325" s="241"/>
      <c r="O325" s="241"/>
      <c r="P325" s="241"/>
      <c r="Q325" s="241"/>
      <c r="R325" s="241"/>
      <c r="S325" s="241"/>
      <c r="T325" s="241"/>
      <c r="U325" s="241"/>
      <c r="V325" s="241"/>
      <c r="W325" s="241"/>
      <c r="X325" s="241"/>
      <c r="Y325" s="241"/>
      <c r="Z325" s="241"/>
    </row>
    <row r="326" spans="1:26" ht="13.5" customHeight="1" x14ac:dyDescent="0.3">
      <c r="A326" s="241"/>
      <c r="B326" s="241"/>
      <c r="C326" s="241"/>
      <c r="D326" s="241"/>
      <c r="E326" s="241"/>
      <c r="F326" s="241"/>
      <c r="G326" s="241"/>
      <c r="H326" s="241"/>
      <c r="I326" s="241"/>
      <c r="J326" s="241"/>
      <c r="K326" s="241"/>
      <c r="L326" s="241"/>
      <c r="M326" s="241"/>
      <c r="N326" s="241"/>
      <c r="O326" s="241"/>
      <c r="P326" s="241"/>
      <c r="Q326" s="241"/>
      <c r="R326" s="241"/>
      <c r="S326" s="241"/>
      <c r="T326" s="241"/>
      <c r="U326" s="241"/>
      <c r="V326" s="241"/>
      <c r="W326" s="241"/>
      <c r="X326" s="241"/>
      <c r="Y326" s="241"/>
      <c r="Z326" s="241"/>
    </row>
    <row r="327" spans="1:26" ht="13.5" customHeight="1" x14ac:dyDescent="0.3">
      <c r="A327" s="241"/>
      <c r="B327" s="241"/>
      <c r="C327" s="241"/>
      <c r="D327" s="241"/>
      <c r="E327" s="241"/>
      <c r="F327" s="241"/>
      <c r="G327" s="241"/>
      <c r="H327" s="241"/>
      <c r="I327" s="241"/>
      <c r="J327" s="241"/>
      <c r="K327" s="241"/>
      <c r="L327" s="241"/>
      <c r="M327" s="241"/>
      <c r="N327" s="241"/>
      <c r="O327" s="241"/>
      <c r="P327" s="241"/>
      <c r="Q327" s="241"/>
      <c r="R327" s="241"/>
      <c r="S327" s="241"/>
      <c r="T327" s="241"/>
      <c r="U327" s="241"/>
      <c r="V327" s="241"/>
      <c r="W327" s="241"/>
      <c r="X327" s="241"/>
      <c r="Y327" s="241"/>
      <c r="Z327" s="241"/>
    </row>
    <row r="328" spans="1:26" ht="13.5" customHeight="1" x14ac:dyDescent="0.3">
      <c r="A328" s="241"/>
      <c r="B328" s="241"/>
      <c r="C328" s="241"/>
      <c r="D328" s="241"/>
      <c r="E328" s="241"/>
      <c r="F328" s="241"/>
      <c r="G328" s="241"/>
      <c r="H328" s="241"/>
      <c r="I328" s="241"/>
      <c r="J328" s="241"/>
      <c r="K328" s="241"/>
      <c r="L328" s="241"/>
      <c r="M328" s="241"/>
      <c r="N328" s="241"/>
      <c r="O328" s="241"/>
      <c r="P328" s="241"/>
      <c r="Q328" s="241"/>
      <c r="R328" s="241"/>
      <c r="S328" s="241"/>
      <c r="T328" s="241"/>
      <c r="U328" s="241"/>
      <c r="V328" s="241"/>
      <c r="W328" s="241"/>
      <c r="X328" s="241"/>
      <c r="Y328" s="241"/>
      <c r="Z328" s="241"/>
    </row>
    <row r="329" spans="1:26" ht="13.5" customHeight="1" x14ac:dyDescent="0.3">
      <c r="A329" s="241"/>
      <c r="B329" s="241"/>
      <c r="C329" s="241"/>
      <c r="D329" s="241"/>
      <c r="E329" s="241"/>
      <c r="F329" s="241"/>
      <c r="G329" s="241"/>
      <c r="H329" s="241"/>
      <c r="I329" s="241"/>
      <c r="J329" s="241"/>
      <c r="K329" s="241"/>
      <c r="L329" s="241"/>
      <c r="M329" s="241"/>
      <c r="N329" s="241"/>
      <c r="O329" s="241"/>
      <c r="P329" s="241"/>
      <c r="Q329" s="241"/>
      <c r="R329" s="241"/>
      <c r="S329" s="241"/>
      <c r="T329" s="241"/>
      <c r="U329" s="241"/>
      <c r="V329" s="241"/>
      <c r="W329" s="241"/>
      <c r="X329" s="241"/>
      <c r="Y329" s="241"/>
      <c r="Z329" s="241"/>
    </row>
    <row r="330" spans="1:26" ht="13.5" customHeight="1" x14ac:dyDescent="0.3">
      <c r="A330" s="241"/>
      <c r="B330" s="241"/>
      <c r="C330" s="241"/>
      <c r="D330" s="241"/>
      <c r="E330" s="241"/>
      <c r="F330" s="241"/>
      <c r="G330" s="241"/>
      <c r="H330" s="241"/>
      <c r="I330" s="241"/>
      <c r="J330" s="241"/>
      <c r="K330" s="241"/>
      <c r="L330" s="241"/>
      <c r="M330" s="241"/>
      <c r="N330" s="241"/>
      <c r="O330" s="241"/>
      <c r="P330" s="241"/>
      <c r="Q330" s="241"/>
      <c r="R330" s="241"/>
      <c r="S330" s="241"/>
      <c r="T330" s="241"/>
      <c r="U330" s="241"/>
      <c r="V330" s="241"/>
      <c r="W330" s="241"/>
      <c r="X330" s="241"/>
      <c r="Y330" s="241"/>
      <c r="Z330" s="241"/>
    </row>
    <row r="331" spans="1:26" ht="13.5" customHeight="1" x14ac:dyDescent="0.3">
      <c r="A331" s="241"/>
      <c r="B331" s="241"/>
      <c r="C331" s="241"/>
      <c r="D331" s="241"/>
      <c r="E331" s="241"/>
      <c r="F331" s="241"/>
      <c r="G331" s="241"/>
      <c r="H331" s="241"/>
      <c r="I331" s="241"/>
      <c r="J331" s="241"/>
      <c r="K331" s="241"/>
      <c r="L331" s="241"/>
      <c r="M331" s="241"/>
      <c r="N331" s="241"/>
      <c r="O331" s="241"/>
      <c r="P331" s="241"/>
      <c r="Q331" s="241"/>
      <c r="R331" s="241"/>
      <c r="S331" s="241"/>
      <c r="T331" s="241"/>
      <c r="U331" s="241"/>
      <c r="V331" s="241"/>
      <c r="W331" s="241"/>
      <c r="X331" s="241"/>
      <c r="Y331" s="241"/>
      <c r="Z331" s="241"/>
    </row>
    <row r="332" spans="1:26" ht="13.5" customHeight="1" x14ac:dyDescent="0.3">
      <c r="A332" s="241"/>
      <c r="B332" s="241"/>
      <c r="C332" s="241"/>
      <c r="D332" s="241"/>
      <c r="E332" s="241"/>
      <c r="F332" s="241"/>
      <c r="G332" s="241"/>
      <c r="H332" s="241"/>
      <c r="I332" s="241"/>
      <c r="J332" s="241"/>
      <c r="K332" s="241"/>
      <c r="L332" s="241"/>
      <c r="M332" s="241"/>
      <c r="N332" s="241"/>
      <c r="O332" s="241"/>
      <c r="P332" s="241"/>
      <c r="Q332" s="241"/>
      <c r="R332" s="241"/>
      <c r="S332" s="241"/>
      <c r="T332" s="241"/>
      <c r="U332" s="241"/>
      <c r="V332" s="241"/>
      <c r="W332" s="241"/>
      <c r="X332" s="241"/>
      <c r="Y332" s="241"/>
      <c r="Z332" s="241"/>
    </row>
    <row r="333" spans="1:26" ht="13.5" customHeight="1" x14ac:dyDescent="0.3">
      <c r="A333" s="241"/>
      <c r="B333" s="241"/>
      <c r="C333" s="241"/>
      <c r="D333" s="241"/>
      <c r="E333" s="241"/>
      <c r="F333" s="241"/>
      <c r="G333" s="241"/>
      <c r="H333" s="241"/>
      <c r="I333" s="241"/>
      <c r="J333" s="241"/>
      <c r="K333" s="241"/>
      <c r="L333" s="241"/>
      <c r="M333" s="241"/>
      <c r="N333" s="241"/>
      <c r="O333" s="241"/>
      <c r="P333" s="241"/>
      <c r="Q333" s="241"/>
      <c r="R333" s="241"/>
      <c r="S333" s="241"/>
      <c r="T333" s="241"/>
      <c r="U333" s="241"/>
      <c r="V333" s="241"/>
      <c r="W333" s="241"/>
      <c r="X333" s="241"/>
      <c r="Y333" s="241"/>
      <c r="Z333" s="241"/>
    </row>
    <row r="334" spans="1:26" ht="13.5" customHeight="1" x14ac:dyDescent="0.3">
      <c r="A334" s="241"/>
      <c r="B334" s="241"/>
      <c r="C334" s="241"/>
      <c r="D334" s="241"/>
      <c r="E334" s="241"/>
      <c r="F334" s="241"/>
      <c r="G334" s="241"/>
      <c r="H334" s="241"/>
      <c r="I334" s="241"/>
      <c r="J334" s="241"/>
      <c r="K334" s="241"/>
      <c r="L334" s="241"/>
      <c r="M334" s="241"/>
      <c r="N334" s="241"/>
      <c r="O334" s="241"/>
      <c r="P334" s="241"/>
      <c r="Q334" s="241"/>
      <c r="R334" s="241"/>
      <c r="S334" s="241"/>
      <c r="T334" s="241"/>
      <c r="U334" s="241"/>
      <c r="V334" s="241"/>
      <c r="W334" s="241"/>
      <c r="X334" s="241"/>
      <c r="Y334" s="241"/>
      <c r="Z334" s="241"/>
    </row>
    <row r="335" spans="1:26" ht="13.5" customHeight="1" x14ac:dyDescent="0.3">
      <c r="A335" s="241"/>
      <c r="B335" s="241"/>
      <c r="C335" s="241"/>
      <c r="D335" s="241"/>
      <c r="E335" s="241"/>
      <c r="F335" s="241"/>
      <c r="G335" s="241"/>
      <c r="H335" s="241"/>
      <c r="I335" s="241"/>
      <c r="J335" s="241"/>
      <c r="K335" s="241"/>
      <c r="L335" s="241"/>
      <c r="M335" s="241"/>
      <c r="N335" s="241"/>
      <c r="O335" s="241"/>
      <c r="P335" s="241"/>
      <c r="Q335" s="241"/>
      <c r="R335" s="241"/>
      <c r="S335" s="241"/>
      <c r="T335" s="241"/>
      <c r="U335" s="241"/>
      <c r="V335" s="241"/>
      <c r="W335" s="241"/>
      <c r="X335" s="241"/>
      <c r="Y335" s="241"/>
      <c r="Z335" s="241"/>
    </row>
    <row r="336" spans="1:26" ht="13.5" customHeight="1" x14ac:dyDescent="0.3">
      <c r="A336" s="241"/>
      <c r="B336" s="241"/>
      <c r="C336" s="241"/>
      <c r="D336" s="241"/>
      <c r="E336" s="241"/>
      <c r="F336" s="241"/>
      <c r="G336" s="241"/>
      <c r="H336" s="241"/>
      <c r="I336" s="241"/>
      <c r="J336" s="241"/>
      <c r="K336" s="241"/>
      <c r="L336" s="241"/>
      <c r="M336" s="241"/>
      <c r="N336" s="241"/>
      <c r="O336" s="241"/>
      <c r="P336" s="241"/>
      <c r="Q336" s="241"/>
      <c r="R336" s="241"/>
      <c r="S336" s="241"/>
      <c r="T336" s="241"/>
      <c r="U336" s="241"/>
      <c r="V336" s="241"/>
      <c r="W336" s="241"/>
      <c r="X336" s="241"/>
      <c r="Y336" s="241"/>
      <c r="Z336" s="241"/>
    </row>
    <row r="337" spans="1:26" ht="13.5" customHeight="1" x14ac:dyDescent="0.3">
      <c r="A337" s="241"/>
      <c r="B337" s="241"/>
      <c r="C337" s="241"/>
      <c r="D337" s="241"/>
      <c r="E337" s="241"/>
      <c r="F337" s="241"/>
      <c r="G337" s="241"/>
      <c r="H337" s="241"/>
      <c r="I337" s="241"/>
      <c r="J337" s="241"/>
      <c r="K337" s="241"/>
      <c r="L337" s="241"/>
      <c r="M337" s="241"/>
      <c r="N337" s="241"/>
      <c r="O337" s="241"/>
      <c r="P337" s="241"/>
      <c r="Q337" s="241"/>
      <c r="R337" s="241"/>
      <c r="S337" s="241"/>
      <c r="T337" s="241"/>
      <c r="U337" s="241"/>
      <c r="V337" s="241"/>
      <c r="W337" s="241"/>
      <c r="X337" s="241"/>
      <c r="Y337" s="241"/>
      <c r="Z337" s="241"/>
    </row>
    <row r="338" spans="1:26" ht="13.5" customHeight="1" x14ac:dyDescent="0.3">
      <c r="A338" s="241"/>
      <c r="B338" s="241"/>
      <c r="C338" s="241"/>
      <c r="D338" s="241"/>
      <c r="E338" s="241"/>
      <c r="F338" s="241"/>
      <c r="G338" s="241"/>
      <c r="H338" s="241"/>
      <c r="I338" s="241"/>
      <c r="J338" s="241"/>
      <c r="K338" s="241"/>
      <c r="L338" s="241"/>
      <c r="M338" s="241"/>
      <c r="N338" s="241"/>
      <c r="O338" s="241"/>
      <c r="P338" s="241"/>
      <c r="Q338" s="241"/>
      <c r="R338" s="241"/>
      <c r="S338" s="241"/>
      <c r="T338" s="241"/>
      <c r="U338" s="241"/>
      <c r="V338" s="241"/>
      <c r="W338" s="241"/>
      <c r="X338" s="241"/>
      <c r="Y338" s="241"/>
      <c r="Z338" s="241"/>
    </row>
    <row r="339" spans="1:26" ht="13.5" customHeight="1" x14ac:dyDescent="0.3">
      <c r="A339" s="241"/>
      <c r="B339" s="241"/>
      <c r="C339" s="241"/>
      <c r="D339" s="241"/>
      <c r="E339" s="241"/>
      <c r="F339" s="241"/>
      <c r="G339" s="241"/>
      <c r="H339" s="241"/>
      <c r="I339" s="241"/>
      <c r="J339" s="241"/>
      <c r="K339" s="241"/>
      <c r="L339" s="241"/>
      <c r="M339" s="241"/>
      <c r="N339" s="241"/>
      <c r="O339" s="241"/>
      <c r="P339" s="241"/>
      <c r="Q339" s="241"/>
      <c r="R339" s="241"/>
      <c r="S339" s="241"/>
      <c r="T339" s="241"/>
      <c r="U339" s="241"/>
      <c r="V339" s="241"/>
      <c r="W339" s="241"/>
      <c r="X339" s="241"/>
      <c r="Y339" s="241"/>
      <c r="Z339" s="241"/>
    </row>
    <row r="340" spans="1:26" ht="13.5" customHeight="1" x14ac:dyDescent="0.3">
      <c r="A340" s="241"/>
      <c r="B340" s="241"/>
      <c r="C340" s="241"/>
      <c r="D340" s="241"/>
      <c r="E340" s="241"/>
      <c r="F340" s="241"/>
      <c r="G340" s="241"/>
      <c r="H340" s="241"/>
      <c r="I340" s="241"/>
      <c r="J340" s="241"/>
      <c r="K340" s="241"/>
      <c r="L340" s="241"/>
      <c r="M340" s="241"/>
      <c r="N340" s="241"/>
      <c r="O340" s="241"/>
      <c r="P340" s="241"/>
      <c r="Q340" s="241"/>
      <c r="R340" s="241"/>
      <c r="S340" s="241"/>
      <c r="T340" s="241"/>
      <c r="U340" s="241"/>
      <c r="V340" s="241"/>
      <c r="W340" s="241"/>
      <c r="X340" s="241"/>
      <c r="Y340" s="241"/>
      <c r="Z340" s="241"/>
    </row>
    <row r="341" spans="1:26" ht="13.5" customHeight="1" x14ac:dyDescent="0.3">
      <c r="A341" s="241"/>
      <c r="B341" s="241"/>
      <c r="C341" s="241"/>
      <c r="D341" s="241"/>
      <c r="E341" s="241"/>
      <c r="F341" s="241"/>
      <c r="G341" s="241"/>
      <c r="H341" s="241"/>
      <c r="I341" s="241"/>
      <c r="J341" s="241"/>
      <c r="K341" s="241"/>
      <c r="L341" s="241"/>
      <c r="M341" s="241"/>
      <c r="N341" s="241"/>
      <c r="O341" s="241"/>
      <c r="P341" s="241"/>
      <c r="Q341" s="241"/>
      <c r="R341" s="241"/>
      <c r="S341" s="241"/>
      <c r="T341" s="241"/>
      <c r="U341" s="241"/>
      <c r="V341" s="241"/>
      <c r="W341" s="241"/>
      <c r="X341" s="241"/>
      <c r="Y341" s="241"/>
      <c r="Z341" s="241"/>
    </row>
    <row r="342" spans="1:26" ht="13.5" customHeight="1" x14ac:dyDescent="0.3">
      <c r="A342" s="241"/>
      <c r="B342" s="241"/>
      <c r="C342" s="241"/>
      <c r="D342" s="241"/>
      <c r="E342" s="241"/>
      <c r="F342" s="241"/>
      <c r="G342" s="241"/>
      <c r="H342" s="241"/>
      <c r="I342" s="241"/>
      <c r="J342" s="241"/>
      <c r="K342" s="241"/>
      <c r="L342" s="241"/>
      <c r="M342" s="241"/>
      <c r="N342" s="241"/>
      <c r="O342" s="241"/>
      <c r="P342" s="241"/>
      <c r="Q342" s="241"/>
      <c r="R342" s="241"/>
      <c r="S342" s="241"/>
      <c r="T342" s="241"/>
      <c r="U342" s="241"/>
      <c r="V342" s="241"/>
      <c r="W342" s="241"/>
      <c r="X342" s="241"/>
      <c r="Y342" s="241"/>
      <c r="Z342" s="241"/>
    </row>
    <row r="343" spans="1:26" ht="13.5" customHeight="1" x14ac:dyDescent="0.3">
      <c r="A343" s="241"/>
      <c r="B343" s="241"/>
      <c r="C343" s="241"/>
      <c r="D343" s="241"/>
      <c r="E343" s="241"/>
      <c r="F343" s="241"/>
      <c r="G343" s="241"/>
      <c r="H343" s="241"/>
      <c r="I343" s="241"/>
      <c r="J343" s="241"/>
      <c r="K343" s="241"/>
      <c r="L343" s="241"/>
      <c r="M343" s="241"/>
      <c r="N343" s="241"/>
      <c r="O343" s="241"/>
      <c r="P343" s="241"/>
      <c r="Q343" s="241"/>
      <c r="R343" s="241"/>
      <c r="S343" s="241"/>
      <c r="T343" s="241"/>
      <c r="U343" s="241"/>
      <c r="V343" s="241"/>
      <c r="W343" s="241"/>
      <c r="X343" s="241"/>
      <c r="Y343" s="241"/>
      <c r="Z343" s="241"/>
    </row>
    <row r="344" spans="1:26" ht="13.5" customHeight="1" x14ac:dyDescent="0.3">
      <c r="A344" s="241"/>
      <c r="B344" s="241"/>
      <c r="C344" s="241"/>
      <c r="D344" s="241"/>
      <c r="E344" s="241"/>
      <c r="F344" s="241"/>
      <c r="G344" s="241"/>
      <c r="H344" s="241"/>
      <c r="I344" s="241"/>
      <c r="J344" s="241"/>
      <c r="K344" s="241"/>
      <c r="L344" s="241"/>
      <c r="M344" s="241"/>
      <c r="N344" s="241"/>
      <c r="O344" s="241"/>
      <c r="P344" s="241"/>
      <c r="Q344" s="241"/>
      <c r="R344" s="241"/>
      <c r="S344" s="241"/>
      <c r="T344" s="241"/>
      <c r="U344" s="241"/>
      <c r="V344" s="241"/>
      <c r="W344" s="241"/>
      <c r="X344" s="241"/>
      <c r="Y344" s="241"/>
      <c r="Z344" s="241"/>
    </row>
    <row r="345" spans="1:26" ht="13.5" customHeight="1" x14ac:dyDescent="0.3">
      <c r="A345" s="241"/>
      <c r="B345" s="241"/>
      <c r="C345" s="241"/>
      <c r="D345" s="241"/>
      <c r="E345" s="241"/>
      <c r="F345" s="241"/>
      <c r="G345" s="241"/>
      <c r="H345" s="241"/>
      <c r="I345" s="241"/>
      <c r="J345" s="241"/>
      <c r="K345" s="241"/>
      <c r="L345" s="241"/>
      <c r="M345" s="241"/>
      <c r="N345" s="241"/>
      <c r="O345" s="241"/>
      <c r="P345" s="241"/>
      <c r="Q345" s="241"/>
      <c r="R345" s="241"/>
      <c r="S345" s="241"/>
      <c r="T345" s="241"/>
      <c r="U345" s="241"/>
      <c r="V345" s="241"/>
      <c r="W345" s="241"/>
      <c r="X345" s="241"/>
      <c r="Y345" s="241"/>
      <c r="Z345" s="241"/>
    </row>
    <row r="346" spans="1:26" ht="13.5" customHeight="1" x14ac:dyDescent="0.3">
      <c r="A346" s="241"/>
      <c r="B346" s="241"/>
      <c r="C346" s="241"/>
      <c r="D346" s="241"/>
      <c r="E346" s="241"/>
      <c r="F346" s="241"/>
      <c r="G346" s="241"/>
      <c r="H346" s="241"/>
      <c r="I346" s="241"/>
      <c r="J346" s="241"/>
      <c r="K346" s="241"/>
      <c r="L346" s="241"/>
      <c r="M346" s="241"/>
      <c r="N346" s="241"/>
      <c r="O346" s="241"/>
      <c r="P346" s="241"/>
      <c r="Q346" s="241"/>
      <c r="R346" s="241"/>
      <c r="S346" s="241"/>
      <c r="T346" s="241"/>
      <c r="U346" s="241"/>
      <c r="V346" s="241"/>
      <c r="W346" s="241"/>
      <c r="X346" s="241"/>
      <c r="Y346" s="241"/>
      <c r="Z346" s="241"/>
    </row>
    <row r="347" spans="1:26" ht="13.5" customHeight="1" x14ac:dyDescent="0.3">
      <c r="A347" s="241"/>
      <c r="B347" s="241"/>
      <c r="C347" s="241"/>
      <c r="D347" s="241"/>
      <c r="E347" s="241"/>
      <c r="F347" s="241"/>
      <c r="G347" s="241"/>
      <c r="H347" s="241"/>
      <c r="I347" s="241"/>
      <c r="J347" s="241"/>
      <c r="K347" s="241"/>
      <c r="L347" s="241"/>
      <c r="M347" s="241"/>
      <c r="N347" s="241"/>
      <c r="O347" s="241"/>
      <c r="P347" s="241"/>
      <c r="Q347" s="241"/>
      <c r="R347" s="241"/>
      <c r="S347" s="241"/>
      <c r="T347" s="241"/>
      <c r="U347" s="241"/>
      <c r="V347" s="241"/>
      <c r="W347" s="241"/>
      <c r="X347" s="241"/>
      <c r="Y347" s="241"/>
      <c r="Z347" s="241"/>
    </row>
    <row r="348" spans="1:26" ht="13.5" customHeight="1" x14ac:dyDescent="0.3">
      <c r="A348" s="241"/>
      <c r="B348" s="241"/>
      <c r="C348" s="241"/>
      <c r="D348" s="241"/>
      <c r="E348" s="241"/>
      <c r="F348" s="241"/>
      <c r="G348" s="241"/>
      <c r="H348" s="241"/>
      <c r="I348" s="241"/>
      <c r="J348" s="241"/>
      <c r="K348" s="241"/>
      <c r="L348" s="241"/>
      <c r="M348" s="241"/>
      <c r="N348" s="241"/>
      <c r="O348" s="241"/>
      <c r="P348" s="241"/>
      <c r="Q348" s="241"/>
      <c r="R348" s="241"/>
      <c r="S348" s="241"/>
      <c r="T348" s="241"/>
      <c r="U348" s="241"/>
      <c r="V348" s="241"/>
      <c r="W348" s="241"/>
      <c r="X348" s="241"/>
      <c r="Y348" s="241"/>
      <c r="Z348" s="241"/>
    </row>
    <row r="349" spans="1:26" ht="13.5" customHeight="1" x14ac:dyDescent="0.3">
      <c r="A349" s="241"/>
      <c r="B349" s="241"/>
      <c r="C349" s="241"/>
      <c r="D349" s="241"/>
      <c r="E349" s="241"/>
      <c r="F349" s="241"/>
      <c r="G349" s="241"/>
      <c r="H349" s="241"/>
      <c r="I349" s="241"/>
      <c r="J349" s="241"/>
      <c r="K349" s="241"/>
      <c r="L349" s="241"/>
      <c r="M349" s="241"/>
      <c r="N349" s="241"/>
      <c r="O349" s="241"/>
      <c r="P349" s="241"/>
      <c r="Q349" s="241"/>
      <c r="R349" s="241"/>
      <c r="S349" s="241"/>
      <c r="T349" s="241"/>
      <c r="U349" s="241"/>
      <c r="V349" s="241"/>
      <c r="W349" s="241"/>
      <c r="X349" s="241"/>
      <c r="Y349" s="241"/>
      <c r="Z349" s="241"/>
    </row>
    <row r="350" spans="1:26" ht="13.5" customHeight="1" x14ac:dyDescent="0.3">
      <c r="A350" s="241"/>
      <c r="B350" s="241"/>
      <c r="C350" s="241"/>
      <c r="D350" s="241"/>
      <c r="E350" s="241"/>
      <c r="F350" s="241"/>
      <c r="G350" s="241"/>
      <c r="H350" s="241"/>
      <c r="I350" s="241"/>
      <c r="J350" s="241"/>
      <c r="K350" s="241"/>
      <c r="L350" s="241"/>
      <c r="M350" s="241"/>
      <c r="N350" s="241"/>
      <c r="O350" s="241"/>
      <c r="P350" s="241"/>
      <c r="Q350" s="241"/>
      <c r="R350" s="241"/>
      <c r="S350" s="241"/>
      <c r="T350" s="241"/>
      <c r="U350" s="241"/>
      <c r="V350" s="241"/>
      <c r="W350" s="241"/>
      <c r="X350" s="241"/>
      <c r="Y350" s="241"/>
      <c r="Z350" s="241"/>
    </row>
    <row r="351" spans="1:26" ht="13.5" customHeight="1" x14ac:dyDescent="0.3">
      <c r="A351" s="241"/>
      <c r="B351" s="241"/>
      <c r="C351" s="241"/>
      <c r="D351" s="241"/>
      <c r="E351" s="241"/>
      <c r="F351" s="241"/>
      <c r="G351" s="241"/>
      <c r="H351" s="241"/>
      <c r="I351" s="241"/>
      <c r="J351" s="241"/>
      <c r="K351" s="241"/>
      <c r="L351" s="241"/>
      <c r="M351" s="241"/>
      <c r="N351" s="241"/>
      <c r="O351" s="241"/>
      <c r="P351" s="241"/>
      <c r="Q351" s="241"/>
      <c r="R351" s="241"/>
      <c r="S351" s="241"/>
      <c r="T351" s="241"/>
      <c r="U351" s="241"/>
      <c r="V351" s="241"/>
      <c r="W351" s="241"/>
      <c r="X351" s="241"/>
      <c r="Y351" s="241"/>
      <c r="Z351" s="241"/>
    </row>
    <row r="352" spans="1:26" ht="13.5" customHeight="1" x14ac:dyDescent="0.3">
      <c r="A352" s="241"/>
      <c r="B352" s="241"/>
      <c r="C352" s="241"/>
      <c r="D352" s="241"/>
      <c r="E352" s="241"/>
      <c r="F352" s="241"/>
      <c r="G352" s="241"/>
      <c r="H352" s="241"/>
      <c r="I352" s="241"/>
      <c r="J352" s="241"/>
      <c r="K352" s="241"/>
      <c r="L352" s="241"/>
      <c r="M352" s="241"/>
      <c r="N352" s="241"/>
      <c r="O352" s="241"/>
      <c r="P352" s="241"/>
      <c r="Q352" s="241"/>
      <c r="R352" s="241"/>
      <c r="S352" s="241"/>
      <c r="T352" s="241"/>
      <c r="U352" s="241"/>
      <c r="V352" s="241"/>
      <c r="W352" s="241"/>
      <c r="X352" s="241"/>
      <c r="Y352" s="241"/>
      <c r="Z352" s="241"/>
    </row>
    <row r="353" spans="1:26" ht="13.5" customHeight="1" x14ac:dyDescent="0.3">
      <c r="A353" s="241"/>
      <c r="B353" s="241"/>
      <c r="C353" s="241"/>
      <c r="D353" s="241"/>
      <c r="E353" s="241"/>
      <c r="F353" s="241"/>
      <c r="G353" s="241"/>
      <c r="H353" s="241"/>
      <c r="I353" s="241"/>
      <c r="J353" s="241"/>
      <c r="K353" s="241"/>
      <c r="L353" s="241"/>
      <c r="M353" s="241"/>
      <c r="N353" s="241"/>
      <c r="O353" s="241"/>
      <c r="P353" s="241"/>
      <c r="Q353" s="241"/>
      <c r="R353" s="241"/>
      <c r="S353" s="241"/>
      <c r="T353" s="241"/>
      <c r="U353" s="241"/>
      <c r="V353" s="241"/>
      <c r="W353" s="241"/>
      <c r="X353" s="241"/>
      <c r="Y353" s="241"/>
      <c r="Z353" s="241"/>
    </row>
    <row r="354" spans="1:26" ht="13.5" customHeight="1" x14ac:dyDescent="0.3">
      <c r="A354" s="241"/>
      <c r="B354" s="241"/>
      <c r="C354" s="241"/>
      <c r="D354" s="241"/>
      <c r="E354" s="241"/>
      <c r="F354" s="241"/>
      <c r="G354" s="241"/>
      <c r="H354" s="241"/>
      <c r="I354" s="241"/>
      <c r="J354" s="241"/>
      <c r="K354" s="241"/>
      <c r="L354" s="241"/>
      <c r="M354" s="241"/>
      <c r="N354" s="241"/>
      <c r="O354" s="241"/>
      <c r="P354" s="241"/>
      <c r="Q354" s="241"/>
      <c r="R354" s="241"/>
      <c r="S354" s="241"/>
      <c r="T354" s="241"/>
      <c r="U354" s="241"/>
      <c r="V354" s="241"/>
      <c r="W354" s="241"/>
      <c r="X354" s="241"/>
      <c r="Y354" s="241"/>
      <c r="Z354" s="241"/>
    </row>
    <row r="355" spans="1:26" ht="13.5" customHeight="1" x14ac:dyDescent="0.3">
      <c r="A355" s="241"/>
      <c r="B355" s="241"/>
      <c r="C355" s="241"/>
      <c r="D355" s="241"/>
      <c r="E355" s="241"/>
      <c r="F355" s="241"/>
      <c r="G355" s="241"/>
      <c r="H355" s="241"/>
      <c r="I355" s="241"/>
      <c r="J355" s="241"/>
      <c r="K355" s="241"/>
      <c r="L355" s="241"/>
      <c r="M355" s="241"/>
      <c r="N355" s="241"/>
      <c r="O355" s="241"/>
      <c r="P355" s="241"/>
      <c r="Q355" s="241"/>
      <c r="R355" s="241"/>
      <c r="S355" s="241"/>
      <c r="T355" s="241"/>
      <c r="U355" s="241"/>
      <c r="V355" s="241"/>
      <c r="W355" s="241"/>
      <c r="X355" s="241"/>
      <c r="Y355" s="241"/>
      <c r="Z355" s="241"/>
    </row>
    <row r="356" spans="1:26" ht="13.5" customHeight="1" x14ac:dyDescent="0.3">
      <c r="A356" s="241"/>
      <c r="B356" s="241"/>
      <c r="C356" s="241"/>
      <c r="D356" s="241"/>
      <c r="E356" s="241"/>
      <c r="F356" s="241"/>
      <c r="G356" s="241"/>
      <c r="H356" s="241"/>
      <c r="I356" s="241"/>
      <c r="J356" s="241"/>
      <c r="K356" s="241"/>
      <c r="L356" s="241"/>
      <c r="M356" s="241"/>
      <c r="N356" s="241"/>
      <c r="O356" s="241"/>
      <c r="P356" s="241"/>
      <c r="Q356" s="241"/>
      <c r="R356" s="241"/>
      <c r="S356" s="241"/>
      <c r="T356" s="241"/>
      <c r="U356" s="241"/>
      <c r="V356" s="241"/>
      <c r="W356" s="241"/>
      <c r="X356" s="241"/>
      <c r="Y356" s="241"/>
      <c r="Z356" s="241"/>
    </row>
    <row r="357" spans="1:26" ht="13.5" customHeight="1" x14ac:dyDescent="0.3">
      <c r="A357" s="241"/>
      <c r="B357" s="241"/>
      <c r="C357" s="241"/>
      <c r="D357" s="241"/>
      <c r="E357" s="241"/>
      <c r="F357" s="241"/>
      <c r="G357" s="241"/>
      <c r="H357" s="241"/>
      <c r="I357" s="241"/>
      <c r="J357" s="241"/>
      <c r="K357" s="241"/>
      <c r="L357" s="241"/>
      <c r="M357" s="241"/>
      <c r="N357" s="241"/>
      <c r="O357" s="241"/>
      <c r="P357" s="241"/>
      <c r="Q357" s="241"/>
      <c r="R357" s="241"/>
      <c r="S357" s="241"/>
      <c r="T357" s="241"/>
      <c r="U357" s="241"/>
      <c r="V357" s="241"/>
      <c r="W357" s="241"/>
      <c r="X357" s="241"/>
      <c r="Y357" s="241"/>
      <c r="Z357" s="241"/>
    </row>
    <row r="358" spans="1:26" ht="13.5" customHeight="1" x14ac:dyDescent="0.3">
      <c r="A358" s="241"/>
      <c r="B358" s="241"/>
      <c r="C358" s="241"/>
      <c r="D358" s="241"/>
      <c r="E358" s="241"/>
      <c r="F358" s="241"/>
      <c r="G358" s="241"/>
      <c r="H358" s="241"/>
      <c r="I358" s="241"/>
      <c r="J358" s="241"/>
      <c r="K358" s="241"/>
      <c r="L358" s="241"/>
      <c r="M358" s="241"/>
      <c r="N358" s="241"/>
      <c r="O358" s="241"/>
      <c r="P358" s="241"/>
      <c r="Q358" s="241"/>
      <c r="R358" s="241"/>
      <c r="S358" s="241"/>
      <c r="T358" s="241"/>
      <c r="U358" s="241"/>
      <c r="V358" s="241"/>
      <c r="W358" s="241"/>
      <c r="X358" s="241"/>
      <c r="Y358" s="241"/>
      <c r="Z358" s="241"/>
    </row>
    <row r="359" spans="1:26" ht="13.5" customHeight="1" x14ac:dyDescent="0.3">
      <c r="A359" s="241"/>
      <c r="B359" s="241"/>
      <c r="C359" s="241"/>
      <c r="D359" s="241"/>
      <c r="E359" s="241"/>
      <c r="F359" s="241"/>
      <c r="G359" s="241"/>
      <c r="H359" s="241"/>
      <c r="I359" s="241"/>
      <c r="J359" s="241"/>
      <c r="K359" s="241"/>
      <c r="L359" s="241"/>
      <c r="M359" s="241"/>
      <c r="N359" s="241"/>
      <c r="O359" s="241"/>
      <c r="P359" s="241"/>
      <c r="Q359" s="241"/>
      <c r="R359" s="241"/>
      <c r="S359" s="241"/>
      <c r="T359" s="241"/>
      <c r="U359" s="241"/>
      <c r="V359" s="241"/>
      <c r="W359" s="241"/>
      <c r="X359" s="241"/>
      <c r="Y359" s="241"/>
      <c r="Z359" s="241"/>
    </row>
    <row r="360" spans="1:26" ht="13.5" customHeight="1" x14ac:dyDescent="0.3">
      <c r="A360" s="241"/>
      <c r="B360" s="241"/>
      <c r="C360" s="241"/>
      <c r="D360" s="241"/>
      <c r="E360" s="241"/>
      <c r="F360" s="241"/>
      <c r="G360" s="241"/>
      <c r="H360" s="241"/>
      <c r="I360" s="241"/>
      <c r="J360" s="241"/>
      <c r="K360" s="241"/>
      <c r="L360" s="241"/>
      <c r="M360" s="241"/>
      <c r="N360" s="241"/>
      <c r="O360" s="241"/>
      <c r="P360" s="241"/>
      <c r="Q360" s="241"/>
      <c r="R360" s="241"/>
      <c r="S360" s="241"/>
      <c r="T360" s="241"/>
      <c r="U360" s="241"/>
      <c r="V360" s="241"/>
      <c r="W360" s="241"/>
      <c r="X360" s="241"/>
      <c r="Y360" s="241"/>
      <c r="Z360" s="241"/>
    </row>
    <row r="361" spans="1:26" ht="13.5" customHeight="1" x14ac:dyDescent="0.3">
      <c r="A361" s="241"/>
      <c r="B361" s="241"/>
      <c r="C361" s="241"/>
      <c r="D361" s="241"/>
      <c r="E361" s="241"/>
      <c r="F361" s="241"/>
      <c r="G361" s="241"/>
      <c r="H361" s="241"/>
      <c r="I361" s="241"/>
      <c r="J361" s="241"/>
      <c r="K361" s="241"/>
      <c r="L361" s="241"/>
      <c r="M361" s="241"/>
      <c r="N361" s="241"/>
      <c r="O361" s="241"/>
      <c r="P361" s="241"/>
      <c r="Q361" s="241"/>
      <c r="R361" s="241"/>
      <c r="S361" s="241"/>
      <c r="T361" s="241"/>
      <c r="U361" s="241"/>
      <c r="V361" s="241"/>
      <c r="W361" s="241"/>
      <c r="X361" s="241"/>
      <c r="Y361" s="241"/>
      <c r="Z361" s="241"/>
    </row>
    <row r="362" spans="1:26" ht="13.5" customHeight="1" x14ac:dyDescent="0.3">
      <c r="A362" s="241"/>
      <c r="B362" s="241"/>
      <c r="C362" s="241"/>
      <c r="D362" s="241"/>
      <c r="E362" s="241"/>
      <c r="F362" s="241"/>
      <c r="G362" s="241"/>
      <c r="H362" s="241"/>
      <c r="I362" s="241"/>
      <c r="J362" s="241"/>
      <c r="K362" s="241"/>
      <c r="L362" s="241"/>
      <c r="M362" s="241"/>
      <c r="N362" s="241"/>
      <c r="O362" s="241"/>
      <c r="P362" s="241"/>
      <c r="Q362" s="241"/>
      <c r="R362" s="241"/>
      <c r="S362" s="241"/>
      <c r="T362" s="241"/>
      <c r="U362" s="241"/>
      <c r="V362" s="241"/>
      <c r="W362" s="241"/>
      <c r="X362" s="241"/>
      <c r="Y362" s="241"/>
      <c r="Z362" s="241"/>
    </row>
    <row r="363" spans="1:26" ht="13.5" customHeight="1" x14ac:dyDescent="0.3">
      <c r="A363" s="241"/>
      <c r="B363" s="241"/>
      <c r="C363" s="241"/>
      <c r="D363" s="241"/>
      <c r="E363" s="241"/>
      <c r="F363" s="241"/>
      <c r="G363" s="241"/>
      <c r="H363" s="241"/>
      <c r="I363" s="241"/>
      <c r="J363" s="241"/>
      <c r="K363" s="241"/>
      <c r="L363" s="241"/>
      <c r="M363" s="241"/>
      <c r="N363" s="241"/>
      <c r="O363" s="241"/>
      <c r="P363" s="241"/>
      <c r="Q363" s="241"/>
      <c r="R363" s="241"/>
      <c r="S363" s="241"/>
      <c r="T363" s="241"/>
      <c r="U363" s="241"/>
      <c r="V363" s="241"/>
      <c r="W363" s="241"/>
      <c r="X363" s="241"/>
      <c r="Y363" s="241"/>
      <c r="Z363" s="241"/>
    </row>
    <row r="364" spans="1:26" ht="13.5" customHeight="1" x14ac:dyDescent="0.3">
      <c r="A364" s="241"/>
      <c r="B364" s="241"/>
      <c r="C364" s="241"/>
      <c r="D364" s="241"/>
      <c r="E364" s="241"/>
      <c r="F364" s="241"/>
      <c r="G364" s="241"/>
      <c r="H364" s="241"/>
      <c r="I364" s="241"/>
      <c r="J364" s="241"/>
      <c r="K364" s="241"/>
      <c r="L364" s="241"/>
      <c r="M364" s="241"/>
      <c r="N364" s="241"/>
      <c r="O364" s="241"/>
      <c r="P364" s="241"/>
      <c r="Q364" s="241"/>
      <c r="R364" s="241"/>
      <c r="S364" s="241"/>
      <c r="T364" s="241"/>
      <c r="U364" s="241"/>
      <c r="V364" s="241"/>
      <c r="W364" s="241"/>
      <c r="X364" s="241"/>
      <c r="Y364" s="241"/>
      <c r="Z364" s="241"/>
    </row>
    <row r="365" spans="1:26" ht="13.5" customHeight="1" x14ac:dyDescent="0.3">
      <c r="A365" s="241"/>
      <c r="B365" s="241"/>
      <c r="C365" s="241"/>
      <c r="D365" s="241"/>
      <c r="E365" s="241"/>
      <c r="F365" s="241"/>
      <c r="G365" s="241"/>
      <c r="H365" s="241"/>
      <c r="I365" s="241"/>
      <c r="J365" s="241"/>
      <c r="K365" s="241"/>
      <c r="L365" s="241"/>
      <c r="M365" s="241"/>
      <c r="N365" s="241"/>
      <c r="O365" s="241"/>
      <c r="P365" s="241"/>
      <c r="Q365" s="241"/>
      <c r="R365" s="241"/>
      <c r="S365" s="241"/>
      <c r="T365" s="241"/>
      <c r="U365" s="241"/>
      <c r="V365" s="241"/>
      <c r="W365" s="241"/>
      <c r="X365" s="241"/>
      <c r="Y365" s="241"/>
      <c r="Z365" s="241"/>
    </row>
    <row r="366" spans="1:26" ht="13.5" customHeight="1" x14ac:dyDescent="0.3">
      <c r="A366" s="241"/>
      <c r="B366" s="241"/>
      <c r="C366" s="241"/>
      <c r="D366" s="241"/>
      <c r="E366" s="241"/>
      <c r="F366" s="241"/>
      <c r="G366" s="241"/>
      <c r="H366" s="241"/>
      <c r="I366" s="241"/>
      <c r="J366" s="241"/>
      <c r="K366" s="241"/>
      <c r="L366" s="241"/>
      <c r="M366" s="241"/>
      <c r="N366" s="241"/>
      <c r="O366" s="241"/>
      <c r="P366" s="241"/>
      <c r="Q366" s="241"/>
      <c r="R366" s="241"/>
      <c r="S366" s="241"/>
      <c r="T366" s="241"/>
      <c r="U366" s="241"/>
      <c r="V366" s="241"/>
      <c r="W366" s="241"/>
      <c r="X366" s="241"/>
      <c r="Y366" s="241"/>
      <c r="Z366" s="241"/>
    </row>
    <row r="367" spans="1:26" ht="13.5" customHeight="1" x14ac:dyDescent="0.3">
      <c r="A367" s="241"/>
      <c r="B367" s="241"/>
      <c r="C367" s="241"/>
      <c r="D367" s="241"/>
      <c r="E367" s="241"/>
      <c r="F367" s="241"/>
      <c r="G367" s="241"/>
      <c r="H367" s="241"/>
      <c r="I367" s="241"/>
      <c r="J367" s="241"/>
      <c r="K367" s="241"/>
      <c r="L367" s="241"/>
      <c r="M367" s="241"/>
      <c r="N367" s="241"/>
      <c r="O367" s="241"/>
      <c r="P367" s="241"/>
      <c r="Q367" s="241"/>
      <c r="R367" s="241"/>
      <c r="S367" s="241"/>
      <c r="T367" s="241"/>
      <c r="U367" s="241"/>
      <c r="V367" s="241"/>
      <c r="W367" s="241"/>
      <c r="X367" s="241"/>
      <c r="Y367" s="241"/>
      <c r="Z367" s="241"/>
    </row>
    <row r="368" spans="1:26" ht="13.5" customHeight="1" x14ac:dyDescent="0.3">
      <c r="A368" s="241"/>
      <c r="B368" s="241"/>
      <c r="C368" s="241"/>
      <c r="D368" s="241"/>
      <c r="E368" s="241"/>
      <c r="F368" s="241"/>
      <c r="G368" s="241"/>
      <c r="H368" s="241"/>
      <c r="I368" s="241"/>
      <c r="J368" s="241"/>
      <c r="K368" s="241"/>
      <c r="L368" s="241"/>
      <c r="M368" s="241"/>
      <c r="N368" s="241"/>
      <c r="O368" s="241"/>
      <c r="P368" s="241"/>
      <c r="Q368" s="241"/>
      <c r="R368" s="241"/>
      <c r="S368" s="241"/>
      <c r="T368" s="241"/>
      <c r="U368" s="241"/>
      <c r="V368" s="241"/>
      <c r="W368" s="241"/>
      <c r="X368" s="241"/>
      <c r="Y368" s="241"/>
      <c r="Z368" s="241"/>
    </row>
    <row r="369" spans="1:26" ht="13.5" customHeight="1" x14ac:dyDescent="0.3">
      <c r="A369" s="241"/>
      <c r="B369" s="241"/>
      <c r="C369" s="241"/>
      <c r="D369" s="241"/>
      <c r="E369" s="241"/>
      <c r="F369" s="241"/>
      <c r="G369" s="241"/>
      <c r="H369" s="241"/>
      <c r="I369" s="241"/>
      <c r="J369" s="241"/>
      <c r="K369" s="241"/>
      <c r="L369" s="241"/>
      <c r="M369" s="241"/>
      <c r="N369" s="241"/>
      <c r="O369" s="241"/>
      <c r="P369" s="241"/>
      <c r="Q369" s="241"/>
      <c r="R369" s="241"/>
      <c r="S369" s="241"/>
      <c r="T369" s="241"/>
      <c r="U369" s="241"/>
      <c r="V369" s="241"/>
      <c r="W369" s="241"/>
      <c r="X369" s="241"/>
      <c r="Y369" s="241"/>
      <c r="Z369" s="241"/>
    </row>
    <row r="370" spans="1:26" ht="13.5" customHeight="1" x14ac:dyDescent="0.3">
      <c r="A370" s="241"/>
      <c r="B370" s="241"/>
      <c r="C370" s="241"/>
      <c r="D370" s="241"/>
      <c r="E370" s="241"/>
      <c r="F370" s="241"/>
      <c r="G370" s="241"/>
      <c r="H370" s="241"/>
      <c r="I370" s="241"/>
      <c r="J370" s="241"/>
      <c r="K370" s="241"/>
      <c r="L370" s="241"/>
      <c r="M370" s="241"/>
      <c r="N370" s="241"/>
      <c r="O370" s="241"/>
      <c r="P370" s="241"/>
      <c r="Q370" s="241"/>
      <c r="R370" s="241"/>
      <c r="S370" s="241"/>
      <c r="T370" s="241"/>
      <c r="U370" s="241"/>
      <c r="V370" s="241"/>
      <c r="W370" s="241"/>
      <c r="X370" s="241"/>
      <c r="Y370" s="241"/>
      <c r="Z370" s="241"/>
    </row>
    <row r="371" spans="1:26" ht="13.5" customHeight="1" x14ac:dyDescent="0.3">
      <c r="A371" s="241"/>
      <c r="B371" s="241"/>
      <c r="C371" s="241"/>
      <c r="D371" s="241"/>
      <c r="E371" s="241"/>
      <c r="F371" s="241"/>
      <c r="G371" s="241"/>
      <c r="H371" s="241"/>
      <c r="I371" s="241"/>
      <c r="J371" s="241"/>
      <c r="K371" s="241"/>
      <c r="L371" s="241"/>
      <c r="M371" s="241"/>
      <c r="N371" s="241"/>
      <c r="O371" s="241"/>
      <c r="P371" s="241"/>
      <c r="Q371" s="241"/>
      <c r="R371" s="241"/>
      <c r="S371" s="241"/>
      <c r="T371" s="241"/>
      <c r="U371" s="241"/>
      <c r="V371" s="241"/>
      <c r="W371" s="241"/>
      <c r="X371" s="241"/>
      <c r="Y371" s="241"/>
      <c r="Z371" s="241"/>
    </row>
    <row r="372" spans="1:26" ht="13.5" customHeight="1" x14ac:dyDescent="0.3">
      <c r="A372" s="241"/>
      <c r="B372" s="241"/>
      <c r="C372" s="241"/>
      <c r="D372" s="241"/>
      <c r="E372" s="241"/>
      <c r="F372" s="241"/>
      <c r="G372" s="241"/>
      <c r="H372" s="241"/>
      <c r="I372" s="241"/>
      <c r="J372" s="241"/>
      <c r="K372" s="241"/>
      <c r="L372" s="241"/>
      <c r="M372" s="241"/>
      <c r="N372" s="241"/>
      <c r="O372" s="241"/>
      <c r="P372" s="241"/>
      <c r="Q372" s="241"/>
      <c r="R372" s="241"/>
      <c r="S372" s="241"/>
      <c r="T372" s="241"/>
      <c r="U372" s="241"/>
      <c r="V372" s="241"/>
      <c r="W372" s="241"/>
      <c r="X372" s="241"/>
      <c r="Y372" s="241"/>
      <c r="Z372" s="241"/>
    </row>
    <row r="373" spans="1:26" ht="13.5" customHeight="1" x14ac:dyDescent="0.3">
      <c r="A373" s="241"/>
      <c r="B373" s="241"/>
      <c r="C373" s="241"/>
      <c r="D373" s="241"/>
      <c r="E373" s="241"/>
      <c r="F373" s="241"/>
      <c r="G373" s="241"/>
      <c r="H373" s="241"/>
      <c r="I373" s="241"/>
      <c r="J373" s="241"/>
      <c r="K373" s="241"/>
      <c r="L373" s="241"/>
      <c r="M373" s="241"/>
      <c r="N373" s="241"/>
      <c r="O373" s="241"/>
      <c r="P373" s="241"/>
      <c r="Q373" s="241"/>
      <c r="R373" s="241"/>
      <c r="S373" s="241"/>
      <c r="T373" s="241"/>
      <c r="U373" s="241"/>
      <c r="V373" s="241"/>
      <c r="W373" s="241"/>
      <c r="X373" s="241"/>
      <c r="Y373" s="241"/>
      <c r="Z373" s="241"/>
    </row>
    <row r="374" spans="1:26" ht="13.5" customHeight="1" x14ac:dyDescent="0.3">
      <c r="A374" s="241"/>
      <c r="B374" s="241"/>
      <c r="C374" s="241"/>
      <c r="D374" s="241"/>
      <c r="E374" s="241"/>
      <c r="F374" s="241"/>
      <c r="G374" s="241"/>
      <c r="H374" s="241"/>
      <c r="I374" s="241"/>
      <c r="J374" s="241"/>
      <c r="K374" s="241"/>
      <c r="L374" s="241"/>
      <c r="M374" s="241"/>
      <c r="N374" s="241"/>
      <c r="O374" s="241"/>
      <c r="P374" s="241"/>
      <c r="Q374" s="241"/>
      <c r="R374" s="241"/>
      <c r="S374" s="241"/>
      <c r="T374" s="241"/>
      <c r="U374" s="241"/>
      <c r="V374" s="241"/>
      <c r="W374" s="241"/>
      <c r="X374" s="241"/>
      <c r="Y374" s="241"/>
      <c r="Z374" s="241"/>
    </row>
    <row r="375" spans="1:26" ht="13.5" customHeight="1" x14ac:dyDescent="0.3">
      <c r="A375" s="241"/>
      <c r="B375" s="241"/>
      <c r="C375" s="241"/>
      <c r="D375" s="241"/>
      <c r="E375" s="241"/>
      <c r="F375" s="241"/>
      <c r="G375" s="241"/>
      <c r="H375" s="241"/>
      <c r="I375" s="241"/>
      <c r="J375" s="241"/>
      <c r="K375" s="241"/>
      <c r="L375" s="241"/>
      <c r="M375" s="241"/>
      <c r="N375" s="241"/>
      <c r="O375" s="241"/>
      <c r="P375" s="241"/>
      <c r="Q375" s="241"/>
      <c r="R375" s="241"/>
      <c r="S375" s="241"/>
      <c r="T375" s="241"/>
      <c r="U375" s="241"/>
      <c r="V375" s="241"/>
      <c r="W375" s="241"/>
      <c r="X375" s="241"/>
      <c r="Y375" s="241"/>
      <c r="Z375" s="241"/>
    </row>
    <row r="376" spans="1:26" ht="13.5" customHeight="1" x14ac:dyDescent="0.3">
      <c r="A376" s="241"/>
      <c r="B376" s="241"/>
      <c r="C376" s="241"/>
      <c r="D376" s="241"/>
      <c r="E376" s="241"/>
      <c r="F376" s="241"/>
      <c r="G376" s="241"/>
      <c r="H376" s="241"/>
      <c r="I376" s="241"/>
      <c r="J376" s="241"/>
      <c r="K376" s="241"/>
      <c r="L376" s="241"/>
      <c r="M376" s="241"/>
      <c r="N376" s="241"/>
      <c r="O376" s="241"/>
      <c r="P376" s="241"/>
      <c r="Q376" s="241"/>
      <c r="R376" s="241"/>
      <c r="S376" s="241"/>
      <c r="T376" s="241"/>
      <c r="U376" s="241"/>
      <c r="V376" s="241"/>
      <c r="W376" s="241"/>
      <c r="X376" s="241"/>
      <c r="Y376" s="241"/>
      <c r="Z376" s="241"/>
    </row>
    <row r="377" spans="1:26" ht="13.5" customHeight="1" x14ac:dyDescent="0.3">
      <c r="A377" s="241"/>
      <c r="B377" s="241"/>
      <c r="C377" s="241"/>
      <c r="D377" s="241"/>
      <c r="E377" s="241"/>
      <c r="F377" s="241"/>
      <c r="G377" s="241"/>
      <c r="H377" s="241"/>
      <c r="I377" s="241"/>
      <c r="J377" s="241"/>
      <c r="K377" s="241"/>
      <c r="L377" s="241"/>
      <c r="M377" s="241"/>
      <c r="N377" s="241"/>
      <c r="O377" s="241"/>
      <c r="P377" s="241"/>
      <c r="Q377" s="241"/>
      <c r="R377" s="241"/>
      <c r="S377" s="241"/>
      <c r="T377" s="241"/>
      <c r="U377" s="241"/>
      <c r="V377" s="241"/>
      <c r="W377" s="241"/>
      <c r="X377" s="241"/>
      <c r="Y377" s="241"/>
      <c r="Z377" s="241"/>
    </row>
    <row r="378" spans="1:26" ht="13.5" customHeight="1" x14ac:dyDescent="0.3">
      <c r="A378" s="241"/>
      <c r="B378" s="241"/>
      <c r="C378" s="241"/>
      <c r="D378" s="241"/>
      <c r="E378" s="241"/>
      <c r="F378" s="241"/>
      <c r="G378" s="241"/>
      <c r="H378" s="241"/>
      <c r="I378" s="241"/>
      <c r="J378" s="241"/>
      <c r="K378" s="241"/>
      <c r="L378" s="241"/>
      <c r="M378" s="241"/>
      <c r="N378" s="241"/>
      <c r="O378" s="241"/>
      <c r="P378" s="241"/>
      <c r="Q378" s="241"/>
      <c r="R378" s="241"/>
      <c r="S378" s="241"/>
      <c r="T378" s="241"/>
      <c r="U378" s="241"/>
      <c r="V378" s="241"/>
      <c r="W378" s="241"/>
      <c r="X378" s="241"/>
      <c r="Y378" s="241"/>
      <c r="Z378" s="241"/>
    </row>
    <row r="379" spans="1:26" ht="13.5" customHeight="1" x14ac:dyDescent="0.3">
      <c r="A379" s="241"/>
      <c r="B379" s="241"/>
      <c r="C379" s="241"/>
      <c r="D379" s="241"/>
      <c r="E379" s="241"/>
      <c r="F379" s="241"/>
      <c r="G379" s="241"/>
      <c r="H379" s="241"/>
      <c r="I379" s="241"/>
      <c r="J379" s="241"/>
      <c r="K379" s="241"/>
      <c r="L379" s="241"/>
      <c r="M379" s="241"/>
      <c r="N379" s="241"/>
      <c r="O379" s="241"/>
      <c r="P379" s="241"/>
      <c r="Q379" s="241"/>
      <c r="R379" s="241"/>
      <c r="S379" s="241"/>
      <c r="T379" s="241"/>
      <c r="U379" s="241"/>
      <c r="V379" s="241"/>
      <c r="W379" s="241"/>
      <c r="X379" s="241"/>
      <c r="Y379" s="241"/>
      <c r="Z379" s="241"/>
    </row>
    <row r="380" spans="1:26" ht="13.5" customHeight="1" x14ac:dyDescent="0.3">
      <c r="A380" s="241"/>
      <c r="B380" s="241"/>
      <c r="C380" s="241"/>
      <c r="D380" s="241"/>
      <c r="E380" s="241"/>
      <c r="F380" s="241"/>
      <c r="G380" s="241"/>
      <c r="H380" s="241"/>
      <c r="I380" s="241"/>
      <c r="J380" s="241"/>
      <c r="K380" s="241"/>
      <c r="L380" s="241"/>
      <c r="M380" s="241"/>
      <c r="N380" s="241"/>
      <c r="O380" s="241"/>
      <c r="P380" s="241"/>
      <c r="Q380" s="241"/>
      <c r="R380" s="241"/>
      <c r="S380" s="241"/>
      <c r="T380" s="241"/>
      <c r="U380" s="241"/>
      <c r="V380" s="241"/>
      <c r="W380" s="241"/>
      <c r="X380" s="241"/>
      <c r="Y380" s="241"/>
      <c r="Z380" s="241"/>
    </row>
    <row r="381" spans="1:26" ht="13.5" customHeight="1" x14ac:dyDescent="0.3">
      <c r="A381" s="241"/>
      <c r="B381" s="241"/>
      <c r="C381" s="241"/>
      <c r="D381" s="241"/>
      <c r="E381" s="241"/>
      <c r="F381" s="241"/>
      <c r="G381" s="241"/>
      <c r="H381" s="241"/>
      <c r="I381" s="241"/>
      <c r="J381" s="241"/>
      <c r="K381" s="241"/>
      <c r="L381" s="241"/>
      <c r="M381" s="241"/>
      <c r="N381" s="241"/>
      <c r="O381" s="241"/>
      <c r="P381" s="241"/>
      <c r="Q381" s="241"/>
      <c r="R381" s="241"/>
      <c r="S381" s="241"/>
      <c r="T381" s="241"/>
      <c r="U381" s="241"/>
      <c r="V381" s="241"/>
      <c r="W381" s="241"/>
      <c r="X381" s="241"/>
      <c r="Y381" s="241"/>
      <c r="Z381" s="241"/>
    </row>
    <row r="382" spans="1:26" ht="13.5" customHeight="1" x14ac:dyDescent="0.3">
      <c r="A382" s="241"/>
      <c r="B382" s="241"/>
      <c r="C382" s="241"/>
      <c r="D382" s="241"/>
      <c r="E382" s="241"/>
      <c r="F382" s="241"/>
      <c r="G382" s="241"/>
      <c r="H382" s="241"/>
      <c r="I382" s="241"/>
      <c r="J382" s="241"/>
      <c r="K382" s="241"/>
      <c r="L382" s="241"/>
      <c r="M382" s="241"/>
      <c r="N382" s="241"/>
      <c r="O382" s="241"/>
      <c r="P382" s="241"/>
      <c r="Q382" s="241"/>
      <c r="R382" s="241"/>
      <c r="S382" s="241"/>
      <c r="T382" s="241"/>
      <c r="U382" s="241"/>
      <c r="V382" s="241"/>
      <c r="W382" s="241"/>
      <c r="X382" s="241"/>
      <c r="Y382" s="241"/>
      <c r="Z382" s="241"/>
    </row>
    <row r="383" spans="1:26" ht="13.5" customHeight="1" x14ac:dyDescent="0.3">
      <c r="A383" s="241"/>
      <c r="B383" s="241"/>
      <c r="C383" s="241"/>
      <c r="D383" s="241"/>
      <c r="E383" s="241"/>
      <c r="F383" s="241"/>
      <c r="G383" s="241"/>
      <c r="H383" s="241"/>
      <c r="I383" s="241"/>
      <c r="J383" s="241"/>
      <c r="K383" s="241"/>
      <c r="L383" s="241"/>
      <c r="M383" s="241"/>
      <c r="N383" s="241"/>
      <c r="O383" s="241"/>
      <c r="P383" s="241"/>
      <c r="Q383" s="241"/>
      <c r="R383" s="241"/>
      <c r="S383" s="241"/>
      <c r="T383" s="241"/>
      <c r="U383" s="241"/>
      <c r="V383" s="241"/>
      <c r="W383" s="241"/>
      <c r="X383" s="241"/>
      <c r="Y383" s="241"/>
      <c r="Z383" s="241"/>
    </row>
    <row r="384" spans="1:26" ht="13.5" customHeight="1" x14ac:dyDescent="0.3">
      <c r="A384" s="241"/>
      <c r="B384" s="241"/>
      <c r="C384" s="241"/>
      <c r="D384" s="241"/>
      <c r="E384" s="241"/>
      <c r="F384" s="241"/>
      <c r="G384" s="241"/>
      <c r="H384" s="241"/>
      <c r="I384" s="241"/>
      <c r="J384" s="241"/>
      <c r="K384" s="241"/>
      <c r="L384" s="241"/>
      <c r="M384" s="241"/>
      <c r="N384" s="241"/>
      <c r="O384" s="241"/>
      <c r="P384" s="241"/>
      <c r="Q384" s="241"/>
      <c r="R384" s="241"/>
      <c r="S384" s="241"/>
      <c r="T384" s="241"/>
      <c r="U384" s="241"/>
      <c r="V384" s="241"/>
      <c r="W384" s="241"/>
      <c r="X384" s="241"/>
      <c r="Y384" s="241"/>
      <c r="Z384" s="241"/>
    </row>
    <row r="385" spans="1:26" ht="13.5" customHeight="1" x14ac:dyDescent="0.3">
      <c r="A385" s="241"/>
      <c r="B385" s="241"/>
      <c r="C385" s="241"/>
      <c r="D385" s="241"/>
      <c r="E385" s="241"/>
      <c r="F385" s="241"/>
      <c r="G385" s="241"/>
      <c r="H385" s="241"/>
      <c r="I385" s="241"/>
      <c r="J385" s="241"/>
      <c r="K385" s="241"/>
      <c r="L385" s="241"/>
      <c r="M385" s="241"/>
      <c r="N385" s="241"/>
      <c r="O385" s="241"/>
      <c r="P385" s="241"/>
      <c r="Q385" s="241"/>
      <c r="R385" s="241"/>
      <c r="S385" s="241"/>
      <c r="T385" s="241"/>
      <c r="U385" s="241"/>
      <c r="V385" s="241"/>
      <c r="W385" s="241"/>
      <c r="X385" s="241"/>
      <c r="Y385" s="241"/>
      <c r="Z385" s="241"/>
    </row>
    <row r="386" spans="1:26" ht="13.5" customHeight="1" x14ac:dyDescent="0.3">
      <c r="A386" s="241"/>
      <c r="B386" s="241"/>
      <c r="C386" s="241"/>
      <c r="D386" s="241"/>
      <c r="E386" s="241"/>
      <c r="F386" s="241"/>
      <c r="G386" s="241"/>
      <c r="H386" s="241"/>
      <c r="I386" s="241"/>
      <c r="J386" s="241"/>
      <c r="K386" s="241"/>
      <c r="L386" s="241"/>
      <c r="M386" s="241"/>
      <c r="N386" s="241"/>
      <c r="O386" s="241"/>
      <c r="P386" s="241"/>
      <c r="Q386" s="241"/>
      <c r="R386" s="241"/>
      <c r="S386" s="241"/>
      <c r="T386" s="241"/>
      <c r="U386" s="241"/>
      <c r="V386" s="241"/>
      <c r="W386" s="241"/>
      <c r="X386" s="241"/>
      <c r="Y386" s="241"/>
      <c r="Z386" s="241"/>
    </row>
    <row r="387" spans="1:26" ht="13.5" customHeight="1" x14ac:dyDescent="0.3">
      <c r="A387" s="241"/>
      <c r="B387" s="241"/>
      <c r="C387" s="241"/>
      <c r="D387" s="241"/>
      <c r="E387" s="241"/>
      <c r="F387" s="241"/>
      <c r="G387" s="241"/>
      <c r="H387" s="241"/>
      <c r="I387" s="241"/>
      <c r="J387" s="241"/>
      <c r="K387" s="241"/>
      <c r="L387" s="241"/>
      <c r="M387" s="241"/>
      <c r="N387" s="241"/>
      <c r="O387" s="241"/>
      <c r="P387" s="241"/>
      <c r="Q387" s="241"/>
      <c r="R387" s="241"/>
      <c r="S387" s="241"/>
      <c r="T387" s="241"/>
      <c r="U387" s="241"/>
      <c r="V387" s="241"/>
      <c r="W387" s="241"/>
      <c r="X387" s="241"/>
      <c r="Y387" s="241"/>
      <c r="Z387" s="241"/>
    </row>
    <row r="388" spans="1:26" ht="13.5" customHeight="1" x14ac:dyDescent="0.3">
      <c r="A388" s="241"/>
      <c r="B388" s="241"/>
      <c r="C388" s="241"/>
      <c r="D388" s="241"/>
      <c r="E388" s="241"/>
      <c r="F388" s="241"/>
      <c r="G388" s="241"/>
      <c r="H388" s="241"/>
      <c r="I388" s="241"/>
      <c r="J388" s="241"/>
      <c r="K388" s="241"/>
      <c r="L388" s="241"/>
      <c r="M388" s="241"/>
      <c r="N388" s="241"/>
      <c r="O388" s="241"/>
      <c r="P388" s="241"/>
      <c r="Q388" s="241"/>
      <c r="R388" s="241"/>
      <c r="S388" s="241"/>
      <c r="T388" s="241"/>
      <c r="U388" s="241"/>
      <c r="V388" s="241"/>
      <c r="W388" s="241"/>
      <c r="X388" s="241"/>
      <c r="Y388" s="241"/>
      <c r="Z388" s="241"/>
    </row>
    <row r="389" spans="1:26" ht="13.5" customHeight="1" x14ac:dyDescent="0.3">
      <c r="A389" s="241"/>
      <c r="B389" s="241"/>
      <c r="C389" s="241"/>
      <c r="D389" s="241"/>
      <c r="E389" s="241"/>
      <c r="F389" s="241"/>
      <c r="G389" s="241"/>
      <c r="H389" s="241"/>
      <c r="I389" s="241"/>
      <c r="J389" s="241"/>
      <c r="K389" s="241"/>
      <c r="L389" s="241"/>
      <c r="M389" s="241"/>
      <c r="N389" s="241"/>
      <c r="O389" s="241"/>
      <c r="P389" s="241"/>
      <c r="Q389" s="241"/>
      <c r="R389" s="241"/>
      <c r="S389" s="241"/>
      <c r="T389" s="241"/>
      <c r="U389" s="241"/>
      <c r="V389" s="241"/>
      <c r="W389" s="241"/>
      <c r="X389" s="241"/>
      <c r="Y389" s="241"/>
      <c r="Z389" s="241"/>
    </row>
    <row r="390" spans="1:26" ht="13.5" customHeight="1" x14ac:dyDescent="0.3">
      <c r="A390" s="241"/>
      <c r="B390" s="241"/>
      <c r="C390" s="241"/>
      <c r="D390" s="241"/>
      <c r="E390" s="241"/>
      <c r="F390" s="241"/>
      <c r="G390" s="241"/>
      <c r="H390" s="241"/>
      <c r="I390" s="241"/>
      <c r="J390" s="241"/>
      <c r="K390" s="241"/>
      <c r="L390" s="241"/>
      <c r="M390" s="241"/>
      <c r="N390" s="241"/>
      <c r="O390" s="241"/>
      <c r="P390" s="241"/>
      <c r="Q390" s="241"/>
      <c r="R390" s="241"/>
      <c r="S390" s="241"/>
      <c r="T390" s="241"/>
      <c r="U390" s="241"/>
      <c r="V390" s="241"/>
      <c r="W390" s="241"/>
      <c r="X390" s="241"/>
      <c r="Y390" s="241"/>
      <c r="Z390" s="241"/>
    </row>
    <row r="391" spans="1:26" ht="13.5" customHeight="1" x14ac:dyDescent="0.3">
      <c r="A391" s="241"/>
      <c r="B391" s="241"/>
      <c r="C391" s="241"/>
      <c r="D391" s="241"/>
      <c r="E391" s="241"/>
      <c r="F391" s="241"/>
      <c r="G391" s="241"/>
      <c r="H391" s="241"/>
      <c r="I391" s="241"/>
      <c r="J391" s="241"/>
      <c r="K391" s="241"/>
      <c r="L391" s="241"/>
      <c r="M391" s="241"/>
      <c r="N391" s="241"/>
      <c r="O391" s="241"/>
      <c r="P391" s="241"/>
      <c r="Q391" s="241"/>
      <c r="R391" s="241"/>
      <c r="S391" s="241"/>
      <c r="T391" s="241"/>
      <c r="U391" s="241"/>
      <c r="V391" s="241"/>
      <c r="W391" s="241"/>
      <c r="X391" s="241"/>
      <c r="Y391" s="241"/>
      <c r="Z391" s="241"/>
    </row>
    <row r="392" spans="1:26" ht="13.5" customHeight="1" x14ac:dyDescent="0.3">
      <c r="A392" s="241"/>
      <c r="B392" s="241"/>
      <c r="C392" s="241"/>
      <c r="D392" s="241"/>
      <c r="E392" s="241"/>
      <c r="F392" s="241"/>
      <c r="G392" s="241"/>
      <c r="H392" s="241"/>
      <c r="I392" s="241"/>
      <c r="J392" s="241"/>
      <c r="K392" s="241"/>
      <c r="L392" s="241"/>
      <c r="M392" s="241"/>
      <c r="N392" s="241"/>
      <c r="O392" s="241"/>
      <c r="P392" s="241"/>
      <c r="Q392" s="241"/>
      <c r="R392" s="241"/>
      <c r="S392" s="241"/>
      <c r="T392" s="241"/>
      <c r="U392" s="241"/>
      <c r="V392" s="241"/>
      <c r="W392" s="241"/>
      <c r="X392" s="241"/>
      <c r="Y392" s="241"/>
      <c r="Z392" s="241"/>
    </row>
    <row r="393" spans="1:26" ht="13.5" customHeight="1" x14ac:dyDescent="0.3">
      <c r="A393" s="241"/>
      <c r="B393" s="241"/>
      <c r="C393" s="241"/>
      <c r="D393" s="241"/>
      <c r="E393" s="241"/>
      <c r="F393" s="241"/>
      <c r="G393" s="241"/>
      <c r="H393" s="241"/>
      <c r="I393" s="241"/>
      <c r="J393" s="241"/>
      <c r="K393" s="241"/>
      <c r="L393" s="241"/>
      <c r="M393" s="241"/>
      <c r="N393" s="241"/>
      <c r="O393" s="241"/>
      <c r="P393" s="241"/>
      <c r="Q393" s="241"/>
      <c r="R393" s="241"/>
      <c r="S393" s="241"/>
      <c r="T393" s="241"/>
      <c r="U393" s="241"/>
      <c r="V393" s="241"/>
      <c r="W393" s="241"/>
      <c r="X393" s="241"/>
      <c r="Y393" s="241"/>
      <c r="Z393" s="241"/>
    </row>
    <row r="394" spans="1:26" ht="13.5" customHeight="1" x14ac:dyDescent="0.3">
      <c r="A394" s="241"/>
      <c r="B394" s="241"/>
      <c r="C394" s="241"/>
      <c r="D394" s="241"/>
      <c r="E394" s="241"/>
      <c r="F394" s="241"/>
      <c r="G394" s="241"/>
      <c r="H394" s="241"/>
      <c r="I394" s="241"/>
      <c r="J394" s="241"/>
      <c r="K394" s="241"/>
      <c r="L394" s="241"/>
      <c r="M394" s="241"/>
      <c r="N394" s="241"/>
      <c r="O394" s="241"/>
      <c r="P394" s="241"/>
      <c r="Q394" s="241"/>
      <c r="R394" s="241"/>
      <c r="S394" s="241"/>
      <c r="T394" s="241"/>
      <c r="U394" s="241"/>
      <c r="V394" s="241"/>
      <c r="W394" s="241"/>
      <c r="X394" s="241"/>
      <c r="Y394" s="241"/>
      <c r="Z394" s="241"/>
    </row>
    <row r="395" spans="1:26" ht="13.5" customHeight="1" x14ac:dyDescent="0.3">
      <c r="A395" s="241"/>
      <c r="B395" s="241"/>
      <c r="C395" s="241"/>
      <c r="D395" s="241"/>
      <c r="E395" s="241"/>
      <c r="F395" s="241"/>
      <c r="G395" s="241"/>
      <c r="H395" s="241"/>
      <c r="I395" s="241"/>
      <c r="J395" s="241"/>
      <c r="K395" s="241"/>
      <c r="L395" s="241"/>
      <c r="M395" s="241"/>
      <c r="N395" s="241"/>
      <c r="O395" s="241"/>
      <c r="P395" s="241"/>
      <c r="Q395" s="241"/>
      <c r="R395" s="241"/>
      <c r="S395" s="241"/>
      <c r="T395" s="241"/>
      <c r="U395" s="241"/>
      <c r="V395" s="241"/>
      <c r="W395" s="241"/>
      <c r="X395" s="241"/>
      <c r="Y395" s="241"/>
      <c r="Z395" s="241"/>
    </row>
    <row r="396" spans="1:26" ht="13.5" customHeight="1" x14ac:dyDescent="0.3">
      <c r="A396" s="241"/>
      <c r="B396" s="241"/>
      <c r="C396" s="241"/>
      <c r="D396" s="241"/>
      <c r="E396" s="241"/>
      <c r="F396" s="241"/>
      <c r="G396" s="241"/>
      <c r="H396" s="241"/>
      <c r="I396" s="241"/>
      <c r="J396" s="241"/>
      <c r="K396" s="241"/>
      <c r="L396" s="241"/>
      <c r="M396" s="241"/>
      <c r="N396" s="241"/>
      <c r="O396" s="241"/>
      <c r="P396" s="241"/>
      <c r="Q396" s="241"/>
      <c r="R396" s="241"/>
      <c r="S396" s="241"/>
      <c r="T396" s="241"/>
      <c r="U396" s="241"/>
      <c r="V396" s="241"/>
      <c r="W396" s="241"/>
      <c r="X396" s="241"/>
      <c r="Y396" s="241"/>
      <c r="Z396" s="241"/>
    </row>
    <row r="397" spans="1:26" ht="13.5" customHeight="1" x14ac:dyDescent="0.3">
      <c r="A397" s="241"/>
      <c r="B397" s="241"/>
      <c r="C397" s="241"/>
      <c r="D397" s="241"/>
      <c r="E397" s="241"/>
      <c r="F397" s="241"/>
      <c r="G397" s="241"/>
      <c r="H397" s="241"/>
      <c r="I397" s="241"/>
      <c r="J397" s="241"/>
      <c r="K397" s="241"/>
      <c r="L397" s="241"/>
      <c r="M397" s="241"/>
      <c r="N397" s="241"/>
      <c r="O397" s="241"/>
      <c r="P397" s="241"/>
      <c r="Q397" s="241"/>
      <c r="R397" s="241"/>
      <c r="S397" s="241"/>
      <c r="T397" s="241"/>
      <c r="U397" s="241"/>
      <c r="V397" s="241"/>
      <c r="W397" s="241"/>
      <c r="X397" s="241"/>
      <c r="Y397" s="241"/>
      <c r="Z397" s="241"/>
    </row>
    <row r="398" spans="1:26" ht="13.5" customHeight="1" x14ac:dyDescent="0.3">
      <c r="A398" s="241"/>
      <c r="B398" s="241"/>
      <c r="C398" s="241"/>
      <c r="D398" s="241"/>
      <c r="E398" s="241"/>
      <c r="F398" s="241"/>
      <c r="G398" s="241"/>
      <c r="H398" s="241"/>
      <c r="I398" s="241"/>
      <c r="J398" s="241"/>
      <c r="K398" s="241"/>
      <c r="L398" s="241"/>
      <c r="M398" s="241"/>
      <c r="N398" s="241"/>
      <c r="O398" s="241"/>
      <c r="P398" s="241"/>
      <c r="Q398" s="241"/>
      <c r="R398" s="241"/>
      <c r="S398" s="241"/>
      <c r="T398" s="241"/>
      <c r="U398" s="241"/>
      <c r="V398" s="241"/>
      <c r="W398" s="241"/>
      <c r="X398" s="241"/>
      <c r="Y398" s="241"/>
      <c r="Z398" s="241"/>
    </row>
    <row r="399" spans="1:26" ht="13.5" customHeight="1" x14ac:dyDescent="0.3">
      <c r="A399" s="241"/>
      <c r="B399" s="241"/>
      <c r="C399" s="241"/>
      <c r="D399" s="241"/>
      <c r="E399" s="241"/>
      <c r="F399" s="241"/>
      <c r="G399" s="241"/>
      <c r="H399" s="241"/>
      <c r="I399" s="241"/>
      <c r="J399" s="241"/>
      <c r="K399" s="241"/>
      <c r="L399" s="241"/>
      <c r="M399" s="241"/>
      <c r="N399" s="241"/>
      <c r="O399" s="241"/>
      <c r="P399" s="241"/>
      <c r="Q399" s="241"/>
      <c r="R399" s="241"/>
      <c r="S399" s="241"/>
      <c r="T399" s="241"/>
      <c r="U399" s="241"/>
      <c r="V399" s="241"/>
      <c r="W399" s="241"/>
      <c r="X399" s="241"/>
      <c r="Y399" s="241"/>
      <c r="Z399" s="241"/>
    </row>
    <row r="400" spans="1:26" ht="13.5" customHeight="1" x14ac:dyDescent="0.3">
      <c r="A400" s="241"/>
      <c r="B400" s="241"/>
      <c r="C400" s="241"/>
      <c r="D400" s="241"/>
      <c r="E400" s="241"/>
      <c r="F400" s="241"/>
      <c r="G400" s="241"/>
      <c r="H400" s="241"/>
      <c r="I400" s="241"/>
      <c r="J400" s="241"/>
      <c r="K400" s="241"/>
      <c r="L400" s="241"/>
      <c r="M400" s="241"/>
      <c r="N400" s="241"/>
      <c r="O400" s="241"/>
      <c r="P400" s="241"/>
      <c r="Q400" s="241"/>
      <c r="R400" s="241"/>
      <c r="S400" s="241"/>
      <c r="T400" s="241"/>
      <c r="U400" s="241"/>
      <c r="V400" s="241"/>
      <c r="W400" s="241"/>
      <c r="X400" s="241"/>
      <c r="Y400" s="241"/>
      <c r="Z400" s="241"/>
    </row>
    <row r="401" spans="1:26" ht="13.5" customHeight="1" x14ac:dyDescent="0.3">
      <c r="A401" s="241"/>
      <c r="B401" s="241"/>
      <c r="C401" s="241"/>
      <c r="D401" s="241"/>
      <c r="E401" s="241"/>
      <c r="F401" s="241"/>
      <c r="G401" s="241"/>
      <c r="H401" s="241"/>
      <c r="I401" s="241"/>
      <c r="J401" s="241"/>
      <c r="K401" s="241"/>
      <c r="L401" s="241"/>
      <c r="M401" s="241"/>
      <c r="N401" s="241"/>
      <c r="O401" s="241"/>
      <c r="P401" s="241"/>
      <c r="Q401" s="241"/>
      <c r="R401" s="241"/>
      <c r="S401" s="241"/>
      <c r="T401" s="241"/>
      <c r="U401" s="241"/>
      <c r="V401" s="241"/>
      <c r="W401" s="241"/>
      <c r="X401" s="241"/>
      <c r="Y401" s="241"/>
      <c r="Z401" s="241"/>
    </row>
    <row r="402" spans="1:26" ht="13.5" customHeight="1" x14ac:dyDescent="0.3">
      <c r="A402" s="241"/>
      <c r="B402" s="241"/>
      <c r="C402" s="241"/>
      <c r="D402" s="241"/>
      <c r="E402" s="241"/>
      <c r="F402" s="241"/>
      <c r="G402" s="241"/>
      <c r="H402" s="241"/>
      <c r="I402" s="241"/>
      <c r="J402" s="241"/>
      <c r="K402" s="241"/>
      <c r="L402" s="241"/>
      <c r="M402" s="241"/>
      <c r="N402" s="241"/>
      <c r="O402" s="241"/>
      <c r="P402" s="241"/>
      <c r="Q402" s="241"/>
      <c r="R402" s="241"/>
      <c r="S402" s="241"/>
      <c r="T402" s="241"/>
      <c r="U402" s="241"/>
      <c r="V402" s="241"/>
      <c r="W402" s="241"/>
      <c r="X402" s="241"/>
      <c r="Y402" s="241"/>
      <c r="Z402" s="241"/>
    </row>
    <row r="403" spans="1:26" ht="13.5" customHeight="1" x14ac:dyDescent="0.3">
      <c r="A403" s="241"/>
      <c r="B403" s="241"/>
      <c r="C403" s="241"/>
      <c r="D403" s="241"/>
      <c r="E403" s="241"/>
      <c r="F403" s="241"/>
      <c r="G403" s="241"/>
      <c r="H403" s="241"/>
      <c r="I403" s="241"/>
      <c r="J403" s="241"/>
      <c r="K403" s="241"/>
      <c r="L403" s="241"/>
      <c r="M403" s="241"/>
      <c r="N403" s="241"/>
      <c r="O403" s="241"/>
      <c r="P403" s="241"/>
      <c r="Q403" s="241"/>
      <c r="R403" s="241"/>
      <c r="S403" s="241"/>
      <c r="T403" s="241"/>
      <c r="U403" s="241"/>
      <c r="V403" s="241"/>
      <c r="W403" s="241"/>
      <c r="X403" s="241"/>
      <c r="Y403" s="241"/>
      <c r="Z403" s="241"/>
    </row>
    <row r="404" spans="1:26" ht="13.5" customHeight="1" x14ac:dyDescent="0.3">
      <c r="A404" s="241"/>
      <c r="B404" s="241"/>
      <c r="C404" s="241"/>
      <c r="D404" s="241"/>
      <c r="E404" s="241"/>
      <c r="F404" s="241"/>
      <c r="G404" s="241"/>
      <c r="H404" s="241"/>
      <c r="I404" s="241"/>
      <c r="J404" s="241"/>
      <c r="K404" s="241"/>
      <c r="L404" s="241"/>
      <c r="M404" s="241"/>
      <c r="N404" s="241"/>
      <c r="O404" s="241"/>
      <c r="P404" s="241"/>
      <c r="Q404" s="241"/>
      <c r="R404" s="241"/>
      <c r="S404" s="241"/>
      <c r="T404" s="241"/>
      <c r="U404" s="241"/>
      <c r="V404" s="241"/>
      <c r="W404" s="241"/>
      <c r="X404" s="241"/>
      <c r="Y404" s="241"/>
      <c r="Z404" s="241"/>
    </row>
    <row r="405" spans="1:26" ht="13.5" customHeight="1" x14ac:dyDescent="0.3">
      <c r="A405" s="241"/>
      <c r="B405" s="241"/>
      <c r="C405" s="241"/>
      <c r="D405" s="241"/>
      <c r="E405" s="241"/>
      <c r="F405" s="241"/>
      <c r="G405" s="241"/>
      <c r="H405" s="241"/>
      <c r="I405" s="241"/>
      <c r="J405" s="241"/>
      <c r="K405" s="241"/>
      <c r="L405" s="241"/>
      <c r="M405" s="241"/>
      <c r="N405" s="241"/>
      <c r="O405" s="241"/>
      <c r="P405" s="241"/>
      <c r="Q405" s="241"/>
      <c r="R405" s="241"/>
      <c r="S405" s="241"/>
      <c r="T405" s="241"/>
      <c r="U405" s="241"/>
      <c r="V405" s="241"/>
      <c r="W405" s="241"/>
      <c r="X405" s="241"/>
      <c r="Y405" s="241"/>
      <c r="Z405" s="241"/>
    </row>
    <row r="406" spans="1:26" ht="13.5" customHeight="1" x14ac:dyDescent="0.3">
      <c r="A406" s="241"/>
      <c r="B406" s="241"/>
      <c r="C406" s="241"/>
      <c r="D406" s="241"/>
      <c r="E406" s="241"/>
      <c r="F406" s="241"/>
      <c r="G406" s="241"/>
      <c r="H406" s="241"/>
      <c r="I406" s="241"/>
      <c r="J406" s="241"/>
      <c r="K406" s="241"/>
      <c r="L406" s="241"/>
      <c r="M406" s="241"/>
      <c r="N406" s="241"/>
      <c r="O406" s="241"/>
      <c r="P406" s="241"/>
      <c r="Q406" s="241"/>
      <c r="R406" s="241"/>
      <c r="S406" s="241"/>
      <c r="T406" s="241"/>
      <c r="U406" s="241"/>
      <c r="V406" s="241"/>
      <c r="W406" s="241"/>
      <c r="X406" s="241"/>
      <c r="Y406" s="241"/>
      <c r="Z406" s="241"/>
    </row>
    <row r="407" spans="1:26" ht="13.5" customHeight="1" x14ac:dyDescent="0.3">
      <c r="A407" s="241"/>
      <c r="B407" s="241"/>
      <c r="C407" s="241"/>
      <c r="D407" s="241"/>
      <c r="E407" s="241"/>
      <c r="F407" s="241"/>
      <c r="G407" s="241"/>
      <c r="H407" s="241"/>
      <c r="I407" s="241"/>
      <c r="J407" s="241"/>
      <c r="K407" s="241"/>
      <c r="L407" s="241"/>
      <c r="M407" s="241"/>
      <c r="N407" s="241"/>
      <c r="O407" s="241"/>
      <c r="P407" s="241"/>
      <c r="Q407" s="241"/>
      <c r="R407" s="241"/>
      <c r="S407" s="241"/>
      <c r="T407" s="241"/>
      <c r="U407" s="241"/>
      <c r="V407" s="241"/>
      <c r="W407" s="241"/>
      <c r="X407" s="241"/>
      <c r="Y407" s="241"/>
      <c r="Z407" s="241"/>
    </row>
    <row r="408" spans="1:26" ht="13.5" customHeight="1" x14ac:dyDescent="0.3">
      <c r="A408" s="241"/>
      <c r="B408" s="241"/>
      <c r="C408" s="241"/>
      <c r="D408" s="241"/>
      <c r="E408" s="241"/>
      <c r="F408" s="241"/>
      <c r="G408" s="241"/>
      <c r="H408" s="241"/>
      <c r="I408" s="241"/>
      <c r="J408" s="241"/>
      <c r="K408" s="241"/>
      <c r="L408" s="241"/>
      <c r="M408" s="241"/>
      <c r="N408" s="241"/>
      <c r="O408" s="241"/>
      <c r="P408" s="241"/>
      <c r="Q408" s="241"/>
      <c r="R408" s="241"/>
      <c r="S408" s="241"/>
      <c r="T408" s="241"/>
      <c r="U408" s="241"/>
      <c r="V408" s="241"/>
      <c r="W408" s="241"/>
      <c r="X408" s="241"/>
      <c r="Y408" s="241"/>
      <c r="Z408" s="241"/>
    </row>
    <row r="409" spans="1:26" ht="13.5" customHeight="1" x14ac:dyDescent="0.3">
      <c r="A409" s="241"/>
      <c r="B409" s="241"/>
      <c r="C409" s="241"/>
      <c r="D409" s="241"/>
      <c r="E409" s="241"/>
      <c r="F409" s="241"/>
      <c r="G409" s="241"/>
      <c r="H409" s="241"/>
      <c r="I409" s="241"/>
      <c r="J409" s="241"/>
      <c r="K409" s="241"/>
      <c r="L409" s="241"/>
      <c r="M409" s="241"/>
      <c r="N409" s="241"/>
      <c r="O409" s="241"/>
      <c r="P409" s="241"/>
      <c r="Q409" s="241"/>
      <c r="R409" s="241"/>
      <c r="S409" s="241"/>
      <c r="T409" s="241"/>
      <c r="U409" s="241"/>
      <c r="V409" s="241"/>
      <c r="W409" s="241"/>
      <c r="X409" s="241"/>
      <c r="Y409" s="241"/>
      <c r="Z409" s="241"/>
    </row>
    <row r="410" spans="1:26" ht="13.5" customHeight="1" x14ac:dyDescent="0.3">
      <c r="A410" s="241"/>
      <c r="B410" s="241"/>
      <c r="C410" s="241"/>
      <c r="D410" s="241"/>
      <c r="E410" s="241"/>
      <c r="F410" s="241"/>
      <c r="G410" s="241"/>
      <c r="H410" s="241"/>
      <c r="I410" s="241"/>
      <c r="J410" s="241"/>
      <c r="K410" s="241"/>
      <c r="L410" s="241"/>
      <c r="M410" s="241"/>
      <c r="N410" s="241"/>
      <c r="O410" s="241"/>
      <c r="P410" s="241"/>
      <c r="Q410" s="241"/>
      <c r="R410" s="241"/>
      <c r="S410" s="241"/>
      <c r="T410" s="241"/>
      <c r="U410" s="241"/>
      <c r="V410" s="241"/>
      <c r="W410" s="241"/>
      <c r="X410" s="241"/>
      <c r="Y410" s="241"/>
      <c r="Z410" s="241"/>
    </row>
    <row r="411" spans="1:26" ht="13.5" customHeight="1" x14ac:dyDescent="0.3">
      <c r="A411" s="241"/>
      <c r="B411" s="241"/>
      <c r="C411" s="241"/>
      <c r="D411" s="241"/>
      <c r="E411" s="241"/>
      <c r="F411" s="241"/>
      <c r="G411" s="241"/>
      <c r="H411" s="241"/>
      <c r="I411" s="241"/>
      <c r="J411" s="241"/>
      <c r="K411" s="241"/>
      <c r="L411" s="241"/>
      <c r="M411" s="241"/>
      <c r="N411" s="241"/>
      <c r="O411" s="241"/>
      <c r="P411" s="241"/>
      <c r="Q411" s="241"/>
      <c r="R411" s="241"/>
      <c r="S411" s="241"/>
      <c r="T411" s="241"/>
      <c r="U411" s="241"/>
      <c r="V411" s="241"/>
      <c r="W411" s="241"/>
      <c r="X411" s="241"/>
      <c r="Y411" s="241"/>
      <c r="Z411" s="241"/>
    </row>
    <row r="412" spans="1:26" ht="13.5" customHeight="1" x14ac:dyDescent="0.3">
      <c r="A412" s="241"/>
      <c r="B412" s="241"/>
      <c r="C412" s="241"/>
      <c r="D412" s="241"/>
      <c r="E412" s="241"/>
      <c r="F412" s="241"/>
      <c r="G412" s="241"/>
      <c r="H412" s="241"/>
      <c r="I412" s="241"/>
      <c r="J412" s="241"/>
      <c r="K412" s="241"/>
      <c r="L412" s="241"/>
      <c r="M412" s="241"/>
      <c r="N412" s="241"/>
      <c r="O412" s="241"/>
      <c r="P412" s="241"/>
      <c r="Q412" s="241"/>
      <c r="R412" s="241"/>
      <c r="S412" s="241"/>
      <c r="T412" s="241"/>
      <c r="U412" s="241"/>
      <c r="V412" s="241"/>
      <c r="W412" s="241"/>
      <c r="X412" s="241"/>
      <c r="Y412" s="241"/>
      <c r="Z412" s="241"/>
    </row>
    <row r="413" spans="1:26" ht="13.5" customHeight="1" x14ac:dyDescent="0.3">
      <c r="A413" s="241"/>
      <c r="B413" s="241"/>
      <c r="C413" s="241"/>
      <c r="D413" s="241"/>
      <c r="E413" s="241"/>
      <c r="F413" s="241"/>
      <c r="G413" s="241"/>
      <c r="H413" s="241"/>
      <c r="I413" s="241"/>
      <c r="J413" s="241"/>
      <c r="K413" s="241"/>
      <c r="L413" s="241"/>
      <c r="M413" s="241"/>
      <c r="N413" s="241"/>
      <c r="O413" s="241"/>
      <c r="P413" s="241"/>
      <c r="Q413" s="241"/>
      <c r="R413" s="241"/>
      <c r="S413" s="241"/>
      <c r="T413" s="241"/>
      <c r="U413" s="241"/>
      <c r="V413" s="241"/>
      <c r="W413" s="241"/>
      <c r="X413" s="241"/>
      <c r="Y413" s="241"/>
      <c r="Z413" s="241"/>
    </row>
    <row r="414" spans="1:26" ht="13.5" customHeight="1" x14ac:dyDescent="0.3">
      <c r="A414" s="241"/>
      <c r="B414" s="241"/>
      <c r="C414" s="241"/>
      <c r="D414" s="241"/>
      <c r="E414" s="241"/>
      <c r="F414" s="241"/>
      <c r="G414" s="241"/>
      <c r="H414" s="241"/>
      <c r="I414" s="241"/>
      <c r="J414" s="241"/>
      <c r="K414" s="241"/>
      <c r="L414" s="241"/>
      <c r="M414" s="241"/>
      <c r="N414" s="241"/>
      <c r="O414" s="241"/>
      <c r="P414" s="241"/>
      <c r="Q414" s="241"/>
      <c r="R414" s="241"/>
      <c r="S414" s="241"/>
      <c r="T414" s="241"/>
      <c r="U414" s="241"/>
      <c r="V414" s="241"/>
      <c r="W414" s="241"/>
      <c r="X414" s="241"/>
      <c r="Y414" s="241"/>
      <c r="Z414" s="241"/>
    </row>
    <row r="415" spans="1:26" ht="13.5" customHeight="1" x14ac:dyDescent="0.3">
      <c r="A415" s="241"/>
      <c r="B415" s="241"/>
      <c r="C415" s="241"/>
      <c r="D415" s="241"/>
      <c r="E415" s="241"/>
      <c r="F415" s="241"/>
      <c r="G415" s="241"/>
      <c r="H415" s="241"/>
      <c r="I415" s="241"/>
      <c r="J415" s="241"/>
      <c r="K415" s="241"/>
      <c r="L415" s="241"/>
      <c r="M415" s="241"/>
      <c r="N415" s="241"/>
      <c r="O415" s="241"/>
      <c r="P415" s="241"/>
      <c r="Q415" s="241"/>
      <c r="R415" s="241"/>
      <c r="S415" s="241"/>
      <c r="T415" s="241"/>
      <c r="U415" s="241"/>
      <c r="V415" s="241"/>
      <c r="W415" s="241"/>
      <c r="X415" s="241"/>
      <c r="Y415" s="241"/>
      <c r="Z415" s="241"/>
    </row>
    <row r="416" spans="1:26" ht="13.5" customHeight="1" x14ac:dyDescent="0.3">
      <c r="A416" s="241"/>
      <c r="B416" s="241"/>
      <c r="C416" s="241"/>
      <c r="D416" s="241"/>
      <c r="E416" s="241"/>
      <c r="F416" s="241"/>
      <c r="G416" s="241"/>
      <c r="H416" s="241"/>
      <c r="I416" s="241"/>
      <c r="J416" s="241"/>
      <c r="K416" s="241"/>
      <c r="L416" s="241"/>
      <c r="M416" s="241"/>
      <c r="N416" s="241"/>
      <c r="O416" s="241"/>
      <c r="P416" s="241"/>
      <c r="Q416" s="241"/>
      <c r="R416" s="241"/>
      <c r="S416" s="241"/>
      <c r="T416" s="241"/>
      <c r="U416" s="241"/>
      <c r="V416" s="241"/>
      <c r="W416" s="241"/>
      <c r="X416" s="241"/>
      <c r="Y416" s="241"/>
      <c r="Z416" s="241"/>
    </row>
    <row r="417" spans="1:26" ht="13.5" customHeight="1" x14ac:dyDescent="0.3">
      <c r="A417" s="241"/>
      <c r="B417" s="241"/>
      <c r="C417" s="241"/>
      <c r="D417" s="241"/>
      <c r="E417" s="241"/>
      <c r="F417" s="241"/>
      <c r="G417" s="241"/>
      <c r="H417" s="241"/>
      <c r="I417" s="241"/>
      <c r="J417" s="241"/>
      <c r="K417" s="241"/>
      <c r="L417" s="241"/>
      <c r="M417" s="241"/>
      <c r="N417" s="241"/>
      <c r="O417" s="241"/>
      <c r="P417" s="241"/>
      <c r="Q417" s="241"/>
      <c r="R417" s="241"/>
      <c r="S417" s="241"/>
      <c r="T417" s="241"/>
      <c r="U417" s="241"/>
      <c r="V417" s="241"/>
      <c r="W417" s="241"/>
      <c r="X417" s="241"/>
      <c r="Y417" s="241"/>
      <c r="Z417" s="241"/>
    </row>
    <row r="418" spans="1:26" ht="13.5" customHeight="1" x14ac:dyDescent="0.3">
      <c r="A418" s="241"/>
      <c r="B418" s="241"/>
      <c r="C418" s="241"/>
      <c r="D418" s="241"/>
      <c r="E418" s="241"/>
      <c r="F418" s="241"/>
      <c r="G418" s="241"/>
      <c r="H418" s="241"/>
      <c r="I418" s="241"/>
      <c r="J418" s="241"/>
      <c r="K418" s="241"/>
      <c r="L418" s="241"/>
      <c r="M418" s="241"/>
      <c r="N418" s="241"/>
      <c r="O418" s="241"/>
      <c r="P418" s="241"/>
      <c r="Q418" s="241"/>
      <c r="R418" s="241"/>
      <c r="S418" s="241"/>
      <c r="T418" s="241"/>
      <c r="U418" s="241"/>
      <c r="V418" s="241"/>
      <c r="W418" s="241"/>
      <c r="X418" s="241"/>
      <c r="Y418" s="241"/>
      <c r="Z418" s="241"/>
    </row>
    <row r="419" spans="1:26" ht="13.5" customHeight="1" x14ac:dyDescent="0.3">
      <c r="A419" s="241"/>
      <c r="B419" s="241"/>
      <c r="C419" s="241"/>
      <c r="D419" s="241"/>
      <c r="E419" s="241"/>
      <c r="F419" s="241"/>
      <c r="G419" s="241"/>
      <c r="H419" s="241"/>
      <c r="I419" s="241"/>
      <c r="J419" s="241"/>
      <c r="K419" s="241"/>
      <c r="L419" s="241"/>
      <c r="M419" s="241"/>
      <c r="N419" s="241"/>
      <c r="O419" s="241"/>
      <c r="P419" s="241"/>
      <c r="Q419" s="241"/>
      <c r="R419" s="241"/>
      <c r="S419" s="241"/>
      <c r="T419" s="241"/>
      <c r="U419" s="241"/>
      <c r="V419" s="241"/>
      <c r="W419" s="241"/>
      <c r="X419" s="241"/>
      <c r="Y419" s="241"/>
      <c r="Z419" s="241"/>
    </row>
    <row r="420" spans="1:26" ht="13.5" customHeight="1" x14ac:dyDescent="0.3">
      <c r="A420" s="241"/>
      <c r="B420" s="241"/>
      <c r="C420" s="241"/>
      <c r="D420" s="241"/>
      <c r="E420" s="241"/>
      <c r="F420" s="241"/>
      <c r="G420" s="241"/>
      <c r="H420" s="241"/>
      <c r="I420" s="241"/>
      <c r="J420" s="241"/>
      <c r="K420" s="241"/>
      <c r="L420" s="241"/>
      <c r="M420" s="241"/>
      <c r="N420" s="241"/>
      <c r="O420" s="241"/>
      <c r="P420" s="241"/>
      <c r="Q420" s="241"/>
      <c r="R420" s="241"/>
      <c r="S420" s="241"/>
      <c r="T420" s="241"/>
      <c r="U420" s="241"/>
      <c r="V420" s="241"/>
      <c r="W420" s="241"/>
      <c r="X420" s="241"/>
      <c r="Y420" s="241"/>
      <c r="Z420" s="241"/>
    </row>
    <row r="421" spans="1:26" ht="13.5" customHeight="1" x14ac:dyDescent="0.3">
      <c r="A421" s="241"/>
      <c r="B421" s="241"/>
      <c r="C421" s="241"/>
      <c r="D421" s="241"/>
      <c r="E421" s="241"/>
      <c r="F421" s="241"/>
      <c r="G421" s="241"/>
      <c r="H421" s="241"/>
      <c r="I421" s="241"/>
      <c r="J421" s="241"/>
      <c r="K421" s="241"/>
      <c r="L421" s="241"/>
      <c r="M421" s="241"/>
      <c r="N421" s="241"/>
      <c r="O421" s="241"/>
      <c r="P421" s="241"/>
      <c r="Q421" s="241"/>
      <c r="R421" s="241"/>
      <c r="S421" s="241"/>
      <c r="T421" s="241"/>
      <c r="U421" s="241"/>
      <c r="V421" s="241"/>
      <c r="W421" s="241"/>
      <c r="X421" s="241"/>
      <c r="Y421" s="241"/>
      <c r="Z421" s="241"/>
    </row>
    <row r="422" spans="1:26" ht="13.5" customHeight="1" x14ac:dyDescent="0.3">
      <c r="A422" s="241"/>
      <c r="B422" s="241"/>
      <c r="C422" s="241"/>
      <c r="D422" s="241"/>
      <c r="E422" s="241"/>
      <c r="F422" s="241"/>
      <c r="G422" s="241"/>
      <c r="H422" s="241"/>
      <c r="I422" s="241"/>
      <c r="J422" s="241"/>
      <c r="K422" s="241"/>
      <c r="L422" s="241"/>
      <c r="M422" s="241"/>
      <c r="N422" s="241"/>
      <c r="O422" s="241"/>
      <c r="P422" s="241"/>
      <c r="Q422" s="241"/>
      <c r="R422" s="241"/>
      <c r="S422" s="241"/>
      <c r="T422" s="241"/>
      <c r="U422" s="241"/>
      <c r="V422" s="241"/>
      <c r="W422" s="241"/>
      <c r="X422" s="241"/>
      <c r="Y422" s="241"/>
      <c r="Z422" s="241"/>
    </row>
    <row r="423" spans="1:26" ht="13.5" customHeight="1" x14ac:dyDescent="0.3">
      <c r="A423" s="241"/>
      <c r="B423" s="241"/>
      <c r="C423" s="241"/>
      <c r="D423" s="241"/>
      <c r="E423" s="241"/>
      <c r="F423" s="241"/>
      <c r="G423" s="241"/>
      <c r="H423" s="241"/>
      <c r="I423" s="241"/>
      <c r="J423" s="241"/>
      <c r="K423" s="241"/>
      <c r="L423" s="241"/>
      <c r="M423" s="241"/>
      <c r="N423" s="241"/>
      <c r="O423" s="241"/>
      <c r="P423" s="241"/>
      <c r="Q423" s="241"/>
      <c r="R423" s="241"/>
      <c r="S423" s="241"/>
      <c r="T423" s="241"/>
      <c r="U423" s="241"/>
      <c r="V423" s="241"/>
      <c r="W423" s="241"/>
      <c r="X423" s="241"/>
      <c r="Y423" s="241"/>
      <c r="Z423" s="241"/>
    </row>
    <row r="424" spans="1:26" ht="13.5" customHeight="1" x14ac:dyDescent="0.3">
      <c r="A424" s="241"/>
      <c r="B424" s="241"/>
      <c r="C424" s="241"/>
      <c r="D424" s="241"/>
      <c r="E424" s="241"/>
      <c r="F424" s="241"/>
      <c r="G424" s="241"/>
      <c r="H424" s="241"/>
      <c r="I424" s="241"/>
      <c r="J424" s="241"/>
      <c r="K424" s="241"/>
      <c r="L424" s="241"/>
      <c r="M424" s="241"/>
      <c r="N424" s="241"/>
      <c r="O424" s="241"/>
      <c r="P424" s="241"/>
      <c r="Q424" s="241"/>
      <c r="R424" s="241"/>
      <c r="S424" s="241"/>
      <c r="T424" s="241"/>
      <c r="U424" s="241"/>
      <c r="V424" s="241"/>
      <c r="W424" s="241"/>
      <c r="X424" s="241"/>
      <c r="Y424" s="241"/>
      <c r="Z424" s="241"/>
    </row>
    <row r="425" spans="1:26" ht="13.5" customHeight="1" x14ac:dyDescent="0.3">
      <c r="A425" s="241"/>
      <c r="B425" s="241"/>
      <c r="C425" s="241"/>
      <c r="D425" s="241"/>
      <c r="E425" s="241"/>
      <c r="F425" s="241"/>
      <c r="G425" s="241"/>
      <c r="H425" s="241"/>
      <c r="I425" s="241"/>
      <c r="J425" s="241"/>
      <c r="K425" s="241"/>
      <c r="L425" s="241"/>
      <c r="M425" s="241"/>
      <c r="N425" s="241"/>
      <c r="O425" s="241"/>
      <c r="P425" s="241"/>
      <c r="Q425" s="241"/>
      <c r="R425" s="241"/>
      <c r="S425" s="241"/>
      <c r="T425" s="241"/>
      <c r="U425" s="241"/>
      <c r="V425" s="241"/>
      <c r="W425" s="241"/>
      <c r="X425" s="241"/>
      <c r="Y425" s="241"/>
      <c r="Z425" s="241"/>
    </row>
    <row r="426" spans="1:26" ht="13.5" customHeight="1" x14ac:dyDescent="0.3">
      <c r="A426" s="241"/>
      <c r="B426" s="241"/>
      <c r="C426" s="241"/>
      <c r="D426" s="241"/>
      <c r="E426" s="241"/>
      <c r="F426" s="241"/>
      <c r="G426" s="241"/>
      <c r="H426" s="241"/>
      <c r="I426" s="241"/>
      <c r="J426" s="241"/>
      <c r="K426" s="241"/>
      <c r="L426" s="241"/>
      <c r="M426" s="241"/>
      <c r="N426" s="241"/>
      <c r="O426" s="241"/>
      <c r="P426" s="241"/>
      <c r="Q426" s="241"/>
      <c r="R426" s="241"/>
      <c r="S426" s="241"/>
      <c r="T426" s="241"/>
      <c r="U426" s="241"/>
      <c r="V426" s="241"/>
      <c r="W426" s="241"/>
      <c r="X426" s="241"/>
      <c r="Y426" s="241"/>
      <c r="Z426" s="241"/>
    </row>
    <row r="427" spans="1:26" ht="13.5" customHeight="1" x14ac:dyDescent="0.3">
      <c r="A427" s="241"/>
      <c r="B427" s="241"/>
      <c r="C427" s="241"/>
      <c r="D427" s="241"/>
      <c r="E427" s="241"/>
      <c r="F427" s="241"/>
      <c r="G427" s="241"/>
      <c r="H427" s="241"/>
      <c r="I427" s="241"/>
      <c r="J427" s="241"/>
      <c r="K427" s="241"/>
      <c r="L427" s="241"/>
      <c r="M427" s="241"/>
      <c r="N427" s="241"/>
      <c r="O427" s="241"/>
      <c r="P427" s="241"/>
      <c r="Q427" s="241"/>
      <c r="R427" s="241"/>
      <c r="S427" s="241"/>
      <c r="T427" s="241"/>
      <c r="U427" s="241"/>
      <c r="V427" s="241"/>
      <c r="W427" s="241"/>
      <c r="X427" s="241"/>
      <c r="Y427" s="241"/>
      <c r="Z427" s="241"/>
    </row>
    <row r="428" spans="1:26" ht="13.5" customHeight="1" x14ac:dyDescent="0.3">
      <c r="A428" s="241"/>
      <c r="B428" s="241"/>
      <c r="C428" s="241"/>
      <c r="D428" s="241"/>
      <c r="E428" s="241"/>
      <c r="F428" s="241"/>
      <c r="G428" s="241"/>
      <c r="H428" s="241"/>
      <c r="I428" s="241"/>
      <c r="J428" s="241"/>
      <c r="K428" s="241"/>
      <c r="L428" s="241"/>
      <c r="M428" s="241"/>
      <c r="N428" s="241"/>
      <c r="O428" s="241"/>
      <c r="P428" s="241"/>
      <c r="Q428" s="241"/>
      <c r="R428" s="241"/>
      <c r="S428" s="241"/>
      <c r="T428" s="241"/>
      <c r="U428" s="241"/>
      <c r="V428" s="241"/>
      <c r="W428" s="241"/>
      <c r="X428" s="241"/>
      <c r="Y428" s="241"/>
      <c r="Z428" s="241"/>
    </row>
    <row r="429" spans="1:26" ht="13.5" customHeight="1" x14ac:dyDescent="0.3">
      <c r="A429" s="241"/>
      <c r="B429" s="241"/>
      <c r="C429" s="241"/>
      <c r="D429" s="241"/>
      <c r="E429" s="241"/>
      <c r="F429" s="241"/>
      <c r="G429" s="241"/>
      <c r="H429" s="241"/>
      <c r="I429" s="241"/>
      <c r="J429" s="241"/>
      <c r="K429" s="241"/>
      <c r="L429" s="241"/>
      <c r="M429" s="241"/>
      <c r="N429" s="241"/>
      <c r="O429" s="241"/>
      <c r="P429" s="241"/>
      <c r="Q429" s="241"/>
      <c r="R429" s="241"/>
      <c r="S429" s="241"/>
      <c r="T429" s="241"/>
      <c r="U429" s="241"/>
      <c r="V429" s="241"/>
      <c r="W429" s="241"/>
      <c r="X429" s="241"/>
      <c r="Y429" s="241"/>
      <c r="Z429" s="241"/>
    </row>
    <row r="430" spans="1:26" ht="13.5" customHeight="1" x14ac:dyDescent="0.3">
      <c r="A430" s="241"/>
      <c r="B430" s="241"/>
      <c r="C430" s="241"/>
      <c r="D430" s="241"/>
      <c r="E430" s="241"/>
      <c r="F430" s="241"/>
      <c r="G430" s="241"/>
      <c r="H430" s="241"/>
      <c r="I430" s="241"/>
      <c r="J430" s="241"/>
      <c r="K430" s="241"/>
      <c r="L430" s="241"/>
      <c r="M430" s="241"/>
      <c r="N430" s="241"/>
      <c r="O430" s="241"/>
      <c r="P430" s="241"/>
      <c r="Q430" s="241"/>
      <c r="R430" s="241"/>
      <c r="S430" s="241"/>
      <c r="T430" s="241"/>
      <c r="U430" s="241"/>
      <c r="V430" s="241"/>
      <c r="W430" s="241"/>
      <c r="X430" s="241"/>
      <c r="Y430" s="241"/>
      <c r="Z430" s="241"/>
    </row>
    <row r="431" spans="1:26" ht="13.5" customHeight="1" x14ac:dyDescent="0.3">
      <c r="A431" s="241"/>
      <c r="B431" s="241"/>
      <c r="C431" s="241"/>
      <c r="D431" s="241"/>
      <c r="E431" s="241"/>
      <c r="F431" s="241"/>
      <c r="G431" s="241"/>
      <c r="H431" s="241"/>
      <c r="I431" s="241"/>
      <c r="J431" s="241"/>
      <c r="K431" s="241"/>
      <c r="L431" s="241"/>
      <c r="M431" s="241"/>
      <c r="N431" s="241"/>
      <c r="O431" s="241"/>
      <c r="P431" s="241"/>
      <c r="Q431" s="241"/>
      <c r="R431" s="241"/>
      <c r="S431" s="241"/>
      <c r="T431" s="241"/>
      <c r="U431" s="241"/>
      <c r="V431" s="241"/>
      <c r="W431" s="241"/>
      <c r="X431" s="241"/>
      <c r="Y431" s="241"/>
      <c r="Z431" s="241"/>
    </row>
    <row r="432" spans="1:26" ht="13.5" customHeight="1" x14ac:dyDescent="0.3">
      <c r="A432" s="241"/>
      <c r="B432" s="241"/>
      <c r="C432" s="241"/>
      <c r="D432" s="241"/>
      <c r="E432" s="241"/>
      <c r="F432" s="241"/>
      <c r="G432" s="241"/>
      <c r="H432" s="241"/>
      <c r="I432" s="241"/>
      <c r="J432" s="241"/>
      <c r="K432" s="241"/>
      <c r="L432" s="241"/>
      <c r="M432" s="241"/>
      <c r="N432" s="241"/>
      <c r="O432" s="241"/>
      <c r="P432" s="241"/>
      <c r="Q432" s="241"/>
      <c r="R432" s="241"/>
      <c r="S432" s="241"/>
      <c r="T432" s="241"/>
      <c r="U432" s="241"/>
      <c r="V432" s="241"/>
      <c r="W432" s="241"/>
      <c r="X432" s="241"/>
      <c r="Y432" s="241"/>
      <c r="Z432" s="241"/>
    </row>
    <row r="433" spans="1:26" ht="13.5" customHeight="1" x14ac:dyDescent="0.3">
      <c r="A433" s="241"/>
      <c r="B433" s="241"/>
      <c r="C433" s="241"/>
      <c r="D433" s="241"/>
      <c r="E433" s="241"/>
      <c r="F433" s="241"/>
      <c r="G433" s="241"/>
      <c r="H433" s="241"/>
      <c r="I433" s="241"/>
      <c r="J433" s="241"/>
      <c r="K433" s="241"/>
      <c r="L433" s="241"/>
      <c r="M433" s="241"/>
      <c r="N433" s="241"/>
      <c r="O433" s="241"/>
      <c r="P433" s="241"/>
      <c r="Q433" s="241"/>
      <c r="R433" s="241"/>
      <c r="S433" s="241"/>
      <c r="T433" s="241"/>
      <c r="U433" s="241"/>
      <c r="V433" s="241"/>
      <c r="W433" s="241"/>
      <c r="X433" s="241"/>
      <c r="Y433" s="241"/>
      <c r="Z433" s="241"/>
    </row>
    <row r="434" spans="1:26" ht="13.5" customHeight="1" x14ac:dyDescent="0.3">
      <c r="A434" s="241"/>
      <c r="B434" s="241"/>
      <c r="C434" s="241"/>
      <c r="D434" s="241"/>
      <c r="E434" s="241"/>
      <c r="F434" s="241"/>
      <c r="G434" s="241"/>
      <c r="H434" s="241"/>
      <c r="I434" s="241"/>
      <c r="J434" s="241"/>
      <c r="K434" s="241"/>
      <c r="L434" s="241"/>
      <c r="M434" s="241"/>
      <c r="N434" s="241"/>
      <c r="O434" s="241"/>
      <c r="P434" s="241"/>
      <c r="Q434" s="241"/>
      <c r="R434" s="241"/>
      <c r="S434" s="241"/>
      <c r="T434" s="241"/>
      <c r="U434" s="241"/>
      <c r="V434" s="241"/>
      <c r="W434" s="241"/>
      <c r="X434" s="241"/>
      <c r="Y434" s="241"/>
      <c r="Z434" s="241"/>
    </row>
    <row r="435" spans="1:26" ht="13.5" customHeight="1" x14ac:dyDescent="0.3">
      <c r="A435" s="241"/>
      <c r="B435" s="241"/>
      <c r="C435" s="241"/>
      <c r="D435" s="241"/>
      <c r="E435" s="241"/>
      <c r="F435" s="241"/>
      <c r="G435" s="241"/>
      <c r="H435" s="241"/>
      <c r="I435" s="241"/>
      <c r="J435" s="241"/>
      <c r="K435" s="241"/>
      <c r="L435" s="241"/>
      <c r="M435" s="241"/>
      <c r="N435" s="241"/>
      <c r="O435" s="241"/>
      <c r="P435" s="241"/>
      <c r="Q435" s="241"/>
      <c r="R435" s="241"/>
      <c r="S435" s="241"/>
      <c r="T435" s="241"/>
      <c r="U435" s="241"/>
      <c r="V435" s="241"/>
      <c r="W435" s="241"/>
      <c r="X435" s="241"/>
      <c r="Y435" s="241"/>
      <c r="Z435" s="241"/>
    </row>
    <row r="436" spans="1:26" ht="13.5" customHeight="1" x14ac:dyDescent="0.3">
      <c r="A436" s="241"/>
      <c r="B436" s="241"/>
      <c r="C436" s="241"/>
      <c r="D436" s="241"/>
      <c r="E436" s="241"/>
      <c r="F436" s="241"/>
      <c r="G436" s="241"/>
      <c r="H436" s="241"/>
      <c r="I436" s="241"/>
      <c r="J436" s="241"/>
      <c r="K436" s="241"/>
      <c r="L436" s="241"/>
      <c r="M436" s="241"/>
      <c r="N436" s="241"/>
      <c r="O436" s="241"/>
      <c r="P436" s="241"/>
      <c r="Q436" s="241"/>
      <c r="R436" s="241"/>
      <c r="S436" s="241"/>
      <c r="T436" s="241"/>
      <c r="U436" s="241"/>
      <c r="V436" s="241"/>
      <c r="W436" s="241"/>
      <c r="X436" s="241"/>
      <c r="Y436" s="241"/>
      <c r="Z436" s="241"/>
    </row>
    <row r="437" spans="1:26" ht="13.5" customHeight="1" x14ac:dyDescent="0.3">
      <c r="A437" s="241"/>
      <c r="B437" s="241"/>
      <c r="C437" s="241"/>
      <c r="D437" s="241"/>
      <c r="E437" s="241"/>
      <c r="F437" s="241"/>
      <c r="G437" s="241"/>
      <c r="H437" s="241"/>
      <c r="I437" s="241"/>
      <c r="J437" s="241"/>
      <c r="K437" s="241"/>
      <c r="L437" s="241"/>
      <c r="M437" s="241"/>
      <c r="N437" s="241"/>
      <c r="O437" s="241"/>
      <c r="P437" s="241"/>
      <c r="Q437" s="241"/>
      <c r="R437" s="241"/>
      <c r="S437" s="241"/>
      <c r="T437" s="241"/>
      <c r="U437" s="241"/>
      <c r="V437" s="241"/>
      <c r="W437" s="241"/>
      <c r="X437" s="241"/>
      <c r="Y437" s="241"/>
      <c r="Z437" s="241"/>
    </row>
    <row r="438" spans="1:26" ht="13.5" customHeight="1" x14ac:dyDescent="0.3">
      <c r="A438" s="241"/>
      <c r="B438" s="241"/>
      <c r="C438" s="241"/>
      <c r="D438" s="241"/>
      <c r="E438" s="241"/>
      <c r="F438" s="241"/>
      <c r="G438" s="241"/>
      <c r="H438" s="241"/>
      <c r="I438" s="241"/>
      <c r="J438" s="241"/>
      <c r="K438" s="241"/>
      <c r="L438" s="241"/>
      <c r="M438" s="241"/>
      <c r="N438" s="241"/>
      <c r="O438" s="241"/>
      <c r="P438" s="241"/>
      <c r="Q438" s="241"/>
      <c r="R438" s="241"/>
      <c r="S438" s="241"/>
      <c r="T438" s="241"/>
      <c r="U438" s="241"/>
      <c r="V438" s="241"/>
      <c r="W438" s="241"/>
      <c r="X438" s="241"/>
      <c r="Y438" s="241"/>
      <c r="Z438" s="241"/>
    </row>
    <row r="439" spans="1:26" ht="13.5" customHeight="1" x14ac:dyDescent="0.3">
      <c r="A439" s="241"/>
      <c r="B439" s="241"/>
      <c r="C439" s="241"/>
      <c r="D439" s="241"/>
      <c r="E439" s="241"/>
      <c r="F439" s="241"/>
      <c r="G439" s="241"/>
      <c r="H439" s="241"/>
      <c r="I439" s="241"/>
      <c r="J439" s="241"/>
      <c r="K439" s="241"/>
      <c r="L439" s="241"/>
      <c r="M439" s="241"/>
      <c r="N439" s="241"/>
      <c r="O439" s="241"/>
      <c r="P439" s="241"/>
      <c r="Q439" s="241"/>
      <c r="R439" s="241"/>
      <c r="S439" s="241"/>
      <c r="T439" s="241"/>
      <c r="U439" s="241"/>
      <c r="V439" s="241"/>
      <c r="W439" s="241"/>
      <c r="X439" s="241"/>
      <c r="Y439" s="241"/>
      <c r="Z439" s="241"/>
    </row>
    <row r="440" spans="1:26" ht="13.5" customHeight="1" x14ac:dyDescent="0.3">
      <c r="A440" s="241"/>
      <c r="B440" s="241"/>
      <c r="C440" s="241"/>
      <c r="D440" s="241"/>
      <c r="E440" s="241"/>
      <c r="F440" s="241"/>
      <c r="G440" s="241"/>
      <c r="H440" s="241"/>
      <c r="I440" s="241"/>
      <c r="J440" s="241"/>
      <c r="K440" s="241"/>
      <c r="L440" s="241"/>
      <c r="M440" s="241"/>
      <c r="N440" s="241"/>
      <c r="O440" s="241"/>
      <c r="P440" s="241"/>
      <c r="Q440" s="241"/>
      <c r="R440" s="241"/>
      <c r="S440" s="241"/>
      <c r="T440" s="241"/>
      <c r="U440" s="241"/>
      <c r="V440" s="241"/>
      <c r="W440" s="241"/>
      <c r="X440" s="241"/>
      <c r="Y440" s="241"/>
      <c r="Z440" s="241"/>
    </row>
    <row r="441" spans="1:26" ht="13.5" customHeight="1" x14ac:dyDescent="0.3">
      <c r="A441" s="241"/>
      <c r="B441" s="241"/>
      <c r="C441" s="241"/>
      <c r="D441" s="241"/>
      <c r="E441" s="241"/>
      <c r="F441" s="241"/>
      <c r="G441" s="241"/>
      <c r="H441" s="241"/>
      <c r="I441" s="241"/>
      <c r="J441" s="241"/>
      <c r="K441" s="241"/>
      <c r="L441" s="241"/>
      <c r="M441" s="241"/>
      <c r="N441" s="241"/>
      <c r="O441" s="241"/>
      <c r="P441" s="241"/>
      <c r="Q441" s="241"/>
      <c r="R441" s="241"/>
      <c r="S441" s="241"/>
      <c r="T441" s="241"/>
      <c r="U441" s="241"/>
      <c r="V441" s="241"/>
      <c r="W441" s="241"/>
      <c r="X441" s="241"/>
      <c r="Y441" s="241"/>
      <c r="Z441" s="241"/>
    </row>
    <row r="442" spans="1:26" ht="13.5" customHeight="1" x14ac:dyDescent="0.3">
      <c r="A442" s="241"/>
      <c r="B442" s="241"/>
      <c r="C442" s="241"/>
      <c r="D442" s="241"/>
      <c r="E442" s="241"/>
      <c r="F442" s="241"/>
      <c r="G442" s="241"/>
      <c r="H442" s="241"/>
      <c r="I442" s="241"/>
      <c r="J442" s="241"/>
      <c r="K442" s="241"/>
      <c r="L442" s="241"/>
      <c r="M442" s="241"/>
      <c r="N442" s="241"/>
      <c r="O442" s="241"/>
      <c r="P442" s="241"/>
      <c r="Q442" s="241"/>
      <c r="R442" s="241"/>
      <c r="S442" s="241"/>
      <c r="T442" s="241"/>
      <c r="U442" s="241"/>
      <c r="V442" s="241"/>
      <c r="W442" s="241"/>
      <c r="X442" s="241"/>
      <c r="Y442" s="241"/>
      <c r="Z442" s="241"/>
    </row>
    <row r="443" spans="1:26" ht="13.5" customHeight="1" x14ac:dyDescent="0.3">
      <c r="A443" s="241"/>
      <c r="B443" s="241"/>
      <c r="C443" s="241"/>
      <c r="D443" s="241"/>
      <c r="E443" s="241"/>
      <c r="F443" s="241"/>
      <c r="G443" s="241"/>
      <c r="H443" s="241"/>
      <c r="I443" s="241"/>
      <c r="J443" s="241"/>
      <c r="K443" s="241"/>
      <c r="L443" s="241"/>
      <c r="M443" s="241"/>
      <c r="N443" s="241"/>
      <c r="O443" s="241"/>
      <c r="P443" s="241"/>
      <c r="Q443" s="241"/>
      <c r="R443" s="241"/>
      <c r="S443" s="241"/>
      <c r="T443" s="241"/>
      <c r="U443" s="241"/>
      <c r="V443" s="241"/>
      <c r="W443" s="241"/>
      <c r="X443" s="241"/>
      <c r="Y443" s="241"/>
      <c r="Z443" s="241"/>
    </row>
    <row r="444" spans="1:26" ht="13.5" customHeight="1" x14ac:dyDescent="0.3">
      <c r="A444" s="241"/>
      <c r="B444" s="241"/>
      <c r="C444" s="241"/>
      <c r="D444" s="241"/>
      <c r="E444" s="241"/>
      <c r="F444" s="241"/>
      <c r="G444" s="241"/>
      <c r="H444" s="241"/>
      <c r="I444" s="241"/>
      <c r="J444" s="241"/>
      <c r="K444" s="241"/>
      <c r="L444" s="241"/>
      <c r="M444" s="241"/>
      <c r="N444" s="241"/>
      <c r="O444" s="241"/>
      <c r="P444" s="241"/>
      <c r="Q444" s="241"/>
      <c r="R444" s="241"/>
      <c r="S444" s="241"/>
      <c r="T444" s="241"/>
      <c r="U444" s="241"/>
      <c r="V444" s="241"/>
      <c r="W444" s="241"/>
      <c r="X444" s="241"/>
      <c r="Y444" s="241"/>
      <c r="Z444" s="241"/>
    </row>
    <row r="445" spans="1:26" ht="13.5" customHeight="1" x14ac:dyDescent="0.3">
      <c r="A445" s="241"/>
      <c r="B445" s="241"/>
      <c r="C445" s="241"/>
      <c r="D445" s="241"/>
      <c r="E445" s="241"/>
      <c r="F445" s="241"/>
      <c r="G445" s="241"/>
      <c r="H445" s="241"/>
      <c r="I445" s="241"/>
      <c r="J445" s="241"/>
      <c r="K445" s="241"/>
      <c r="L445" s="241"/>
      <c r="M445" s="241"/>
      <c r="N445" s="241"/>
      <c r="O445" s="241"/>
      <c r="P445" s="241"/>
      <c r="Q445" s="241"/>
      <c r="R445" s="241"/>
      <c r="S445" s="241"/>
      <c r="T445" s="241"/>
      <c r="U445" s="241"/>
      <c r="V445" s="241"/>
      <c r="W445" s="241"/>
      <c r="X445" s="241"/>
      <c r="Y445" s="241"/>
      <c r="Z445" s="241"/>
    </row>
    <row r="446" spans="1:26" ht="13.5" customHeight="1" x14ac:dyDescent="0.3">
      <c r="A446" s="241"/>
      <c r="B446" s="241"/>
      <c r="C446" s="241"/>
      <c r="D446" s="241"/>
      <c r="E446" s="241"/>
      <c r="F446" s="241"/>
      <c r="G446" s="241"/>
      <c r="H446" s="241"/>
      <c r="I446" s="241"/>
      <c r="J446" s="241"/>
      <c r="K446" s="241"/>
      <c r="L446" s="241"/>
      <c r="M446" s="241"/>
      <c r="N446" s="241"/>
      <c r="O446" s="241"/>
      <c r="P446" s="241"/>
      <c r="Q446" s="241"/>
      <c r="R446" s="241"/>
      <c r="S446" s="241"/>
      <c r="T446" s="241"/>
      <c r="U446" s="241"/>
      <c r="V446" s="241"/>
      <c r="W446" s="241"/>
      <c r="X446" s="241"/>
      <c r="Y446" s="241"/>
      <c r="Z446" s="241"/>
    </row>
    <row r="447" spans="1:26" ht="13.5" customHeight="1" x14ac:dyDescent="0.3">
      <c r="A447" s="241"/>
      <c r="B447" s="241"/>
      <c r="C447" s="241"/>
      <c r="D447" s="241"/>
      <c r="E447" s="241"/>
      <c r="F447" s="241"/>
      <c r="G447" s="241"/>
      <c r="H447" s="241"/>
      <c r="I447" s="241"/>
      <c r="J447" s="241"/>
      <c r="K447" s="241"/>
      <c r="L447" s="241"/>
      <c r="M447" s="241"/>
      <c r="N447" s="241"/>
      <c r="O447" s="241"/>
      <c r="P447" s="241"/>
      <c r="Q447" s="241"/>
      <c r="R447" s="241"/>
      <c r="S447" s="241"/>
      <c r="T447" s="241"/>
      <c r="U447" s="241"/>
      <c r="V447" s="241"/>
      <c r="W447" s="241"/>
      <c r="X447" s="241"/>
      <c r="Y447" s="241"/>
      <c r="Z447" s="241"/>
    </row>
    <row r="448" spans="1:26" ht="13.5" customHeight="1" x14ac:dyDescent="0.3">
      <c r="A448" s="241"/>
      <c r="B448" s="241"/>
      <c r="C448" s="241"/>
      <c r="D448" s="241"/>
      <c r="E448" s="241"/>
      <c r="F448" s="241"/>
      <c r="G448" s="241"/>
      <c r="H448" s="241"/>
      <c r="I448" s="241"/>
      <c r="J448" s="241"/>
      <c r="K448" s="241"/>
      <c r="L448" s="241"/>
      <c r="M448" s="241"/>
      <c r="N448" s="241"/>
      <c r="O448" s="241"/>
      <c r="P448" s="241"/>
      <c r="Q448" s="241"/>
      <c r="R448" s="241"/>
      <c r="S448" s="241"/>
      <c r="T448" s="241"/>
      <c r="U448" s="241"/>
      <c r="V448" s="241"/>
      <c r="W448" s="241"/>
      <c r="X448" s="241"/>
      <c r="Y448" s="241"/>
      <c r="Z448" s="241"/>
    </row>
    <row r="449" spans="1:26" ht="13.5" customHeight="1" x14ac:dyDescent="0.3">
      <c r="A449" s="241"/>
      <c r="B449" s="241"/>
      <c r="C449" s="241"/>
      <c r="D449" s="241"/>
      <c r="E449" s="241"/>
      <c r="F449" s="241"/>
      <c r="G449" s="241"/>
      <c r="H449" s="241"/>
      <c r="I449" s="241"/>
      <c r="J449" s="241"/>
      <c r="K449" s="241"/>
      <c r="L449" s="241"/>
      <c r="M449" s="241"/>
      <c r="N449" s="241"/>
      <c r="O449" s="241"/>
      <c r="P449" s="241"/>
      <c r="Q449" s="241"/>
      <c r="R449" s="241"/>
      <c r="S449" s="241"/>
      <c r="T449" s="241"/>
      <c r="U449" s="241"/>
      <c r="V449" s="241"/>
      <c r="W449" s="241"/>
      <c r="X449" s="241"/>
      <c r="Y449" s="241"/>
      <c r="Z449" s="241"/>
    </row>
    <row r="450" spans="1:26" ht="13.5" customHeight="1" x14ac:dyDescent="0.3">
      <c r="A450" s="241"/>
      <c r="B450" s="241"/>
      <c r="C450" s="241"/>
      <c r="D450" s="241"/>
      <c r="E450" s="241"/>
      <c r="F450" s="241"/>
      <c r="G450" s="241"/>
      <c r="H450" s="241"/>
      <c r="I450" s="241"/>
      <c r="J450" s="241"/>
      <c r="K450" s="241"/>
      <c r="L450" s="241"/>
      <c r="M450" s="241"/>
      <c r="N450" s="241"/>
      <c r="O450" s="241"/>
      <c r="P450" s="241"/>
      <c r="Q450" s="241"/>
      <c r="R450" s="241"/>
      <c r="S450" s="241"/>
      <c r="T450" s="241"/>
      <c r="U450" s="241"/>
      <c r="V450" s="241"/>
      <c r="W450" s="241"/>
      <c r="X450" s="241"/>
      <c r="Y450" s="241"/>
      <c r="Z450" s="241"/>
    </row>
    <row r="451" spans="1:26" ht="13.5" customHeight="1" x14ac:dyDescent="0.3">
      <c r="A451" s="241"/>
      <c r="B451" s="241"/>
      <c r="C451" s="241"/>
      <c r="D451" s="241"/>
      <c r="E451" s="241"/>
      <c r="F451" s="241"/>
      <c r="G451" s="241"/>
      <c r="H451" s="241"/>
      <c r="I451" s="241"/>
      <c r="J451" s="241"/>
      <c r="K451" s="241"/>
      <c r="L451" s="241"/>
      <c r="M451" s="241"/>
      <c r="N451" s="241"/>
      <c r="O451" s="241"/>
      <c r="P451" s="241"/>
      <c r="Q451" s="241"/>
      <c r="R451" s="241"/>
      <c r="S451" s="241"/>
      <c r="T451" s="241"/>
      <c r="U451" s="241"/>
      <c r="V451" s="241"/>
      <c r="W451" s="241"/>
      <c r="X451" s="241"/>
      <c r="Y451" s="241"/>
      <c r="Z451" s="241"/>
    </row>
    <row r="452" spans="1:26" ht="13.5" customHeight="1" x14ac:dyDescent="0.3">
      <c r="A452" s="241"/>
      <c r="B452" s="241"/>
      <c r="C452" s="241"/>
      <c r="D452" s="241"/>
      <c r="E452" s="241"/>
      <c r="F452" s="241"/>
      <c r="G452" s="241"/>
      <c r="H452" s="241"/>
      <c r="I452" s="241"/>
      <c r="J452" s="241"/>
      <c r="K452" s="241"/>
      <c r="L452" s="241"/>
      <c r="M452" s="241"/>
      <c r="N452" s="241"/>
      <c r="O452" s="241"/>
      <c r="P452" s="241"/>
      <c r="Q452" s="241"/>
      <c r="R452" s="241"/>
      <c r="S452" s="241"/>
      <c r="T452" s="241"/>
      <c r="U452" s="241"/>
      <c r="V452" s="241"/>
      <c r="W452" s="241"/>
      <c r="X452" s="241"/>
      <c r="Y452" s="241"/>
      <c r="Z452" s="241"/>
    </row>
    <row r="453" spans="1:26" ht="13.5" customHeight="1" x14ac:dyDescent="0.3">
      <c r="A453" s="241"/>
      <c r="B453" s="241"/>
      <c r="C453" s="241"/>
      <c r="D453" s="241"/>
      <c r="E453" s="241"/>
      <c r="F453" s="241"/>
      <c r="G453" s="241"/>
      <c r="H453" s="241"/>
      <c r="I453" s="241"/>
      <c r="J453" s="241"/>
      <c r="K453" s="241"/>
      <c r="L453" s="241"/>
      <c r="M453" s="241"/>
      <c r="N453" s="241"/>
      <c r="O453" s="241"/>
      <c r="P453" s="241"/>
      <c r="Q453" s="241"/>
      <c r="R453" s="241"/>
      <c r="S453" s="241"/>
      <c r="T453" s="241"/>
      <c r="U453" s="241"/>
      <c r="V453" s="241"/>
      <c r="W453" s="241"/>
      <c r="X453" s="241"/>
      <c r="Y453" s="241"/>
      <c r="Z453" s="241"/>
    </row>
    <row r="454" spans="1:26" ht="13.5" customHeight="1" x14ac:dyDescent="0.3">
      <c r="A454" s="241"/>
      <c r="B454" s="241"/>
      <c r="C454" s="241"/>
      <c r="D454" s="241"/>
      <c r="E454" s="241"/>
      <c r="F454" s="241"/>
      <c r="G454" s="241"/>
      <c r="H454" s="241"/>
      <c r="I454" s="241"/>
      <c r="J454" s="241"/>
      <c r="K454" s="241"/>
      <c r="L454" s="241"/>
      <c r="M454" s="241"/>
      <c r="N454" s="241"/>
      <c r="O454" s="241"/>
      <c r="P454" s="241"/>
      <c r="Q454" s="241"/>
      <c r="R454" s="241"/>
      <c r="S454" s="241"/>
      <c r="T454" s="241"/>
      <c r="U454" s="241"/>
      <c r="V454" s="241"/>
      <c r="W454" s="241"/>
      <c r="X454" s="241"/>
      <c r="Y454" s="241"/>
      <c r="Z454" s="241"/>
    </row>
    <row r="455" spans="1:26" ht="13.5" customHeight="1" x14ac:dyDescent="0.3">
      <c r="A455" s="241"/>
      <c r="B455" s="241"/>
      <c r="C455" s="241"/>
      <c r="D455" s="241"/>
      <c r="E455" s="241"/>
      <c r="F455" s="241"/>
      <c r="G455" s="241"/>
      <c r="H455" s="241"/>
      <c r="I455" s="241"/>
      <c r="J455" s="241"/>
      <c r="K455" s="241"/>
      <c r="L455" s="241"/>
      <c r="M455" s="241"/>
      <c r="N455" s="241"/>
      <c r="O455" s="241"/>
      <c r="P455" s="241"/>
      <c r="Q455" s="241"/>
      <c r="R455" s="241"/>
      <c r="S455" s="241"/>
      <c r="T455" s="241"/>
      <c r="U455" s="241"/>
      <c r="V455" s="241"/>
      <c r="W455" s="241"/>
      <c r="X455" s="241"/>
      <c r="Y455" s="241"/>
      <c r="Z455" s="241"/>
    </row>
    <row r="456" spans="1:26" ht="13.5" customHeight="1" x14ac:dyDescent="0.3">
      <c r="A456" s="241"/>
      <c r="B456" s="241"/>
      <c r="C456" s="241"/>
      <c r="D456" s="241"/>
      <c r="E456" s="241"/>
      <c r="F456" s="241"/>
      <c r="G456" s="241"/>
      <c r="H456" s="241"/>
      <c r="I456" s="241"/>
      <c r="J456" s="241"/>
      <c r="K456" s="241"/>
      <c r="L456" s="241"/>
      <c r="M456" s="241"/>
      <c r="N456" s="241"/>
      <c r="O456" s="241"/>
      <c r="P456" s="241"/>
      <c r="Q456" s="241"/>
      <c r="R456" s="241"/>
      <c r="S456" s="241"/>
      <c r="T456" s="241"/>
      <c r="U456" s="241"/>
      <c r="V456" s="241"/>
      <c r="W456" s="241"/>
      <c r="X456" s="241"/>
      <c r="Y456" s="241"/>
      <c r="Z456" s="241"/>
    </row>
    <row r="457" spans="1:26" ht="13.5" customHeight="1" x14ac:dyDescent="0.3">
      <c r="A457" s="241"/>
      <c r="B457" s="241"/>
      <c r="C457" s="241"/>
      <c r="D457" s="241"/>
      <c r="E457" s="241"/>
      <c r="F457" s="241"/>
      <c r="G457" s="241"/>
      <c r="H457" s="241"/>
      <c r="I457" s="241"/>
      <c r="J457" s="241"/>
      <c r="K457" s="241"/>
      <c r="L457" s="241"/>
      <c r="M457" s="241"/>
      <c r="N457" s="241"/>
      <c r="O457" s="241"/>
      <c r="P457" s="241"/>
      <c r="Q457" s="241"/>
      <c r="R457" s="241"/>
      <c r="S457" s="241"/>
      <c r="T457" s="241"/>
      <c r="U457" s="241"/>
      <c r="V457" s="241"/>
      <c r="W457" s="241"/>
      <c r="X457" s="241"/>
      <c r="Y457" s="241"/>
      <c r="Z457" s="241"/>
    </row>
    <row r="458" spans="1:26" ht="13.5" customHeight="1" x14ac:dyDescent="0.3">
      <c r="A458" s="241"/>
      <c r="B458" s="241"/>
      <c r="C458" s="241"/>
      <c r="D458" s="241"/>
      <c r="E458" s="241"/>
      <c r="F458" s="241"/>
      <c r="G458" s="241"/>
      <c r="H458" s="241"/>
      <c r="I458" s="241"/>
      <c r="J458" s="241"/>
      <c r="K458" s="241"/>
      <c r="L458" s="241"/>
      <c r="M458" s="241"/>
      <c r="N458" s="241"/>
      <c r="O458" s="241"/>
      <c r="P458" s="241"/>
      <c r="Q458" s="241"/>
      <c r="R458" s="241"/>
      <c r="S458" s="241"/>
      <c r="T458" s="241"/>
      <c r="U458" s="241"/>
      <c r="V458" s="241"/>
      <c r="W458" s="241"/>
      <c r="X458" s="241"/>
      <c r="Y458" s="241"/>
      <c r="Z458" s="241"/>
    </row>
    <row r="459" spans="1:26" ht="13.5" customHeight="1" x14ac:dyDescent="0.3">
      <c r="A459" s="241"/>
      <c r="B459" s="241"/>
      <c r="C459" s="241"/>
      <c r="D459" s="241"/>
      <c r="E459" s="241"/>
      <c r="F459" s="241"/>
      <c r="G459" s="241"/>
      <c r="H459" s="241"/>
      <c r="I459" s="241"/>
      <c r="J459" s="241"/>
      <c r="K459" s="241"/>
      <c r="L459" s="241"/>
      <c r="M459" s="241"/>
      <c r="N459" s="241"/>
      <c r="O459" s="241"/>
      <c r="P459" s="241"/>
      <c r="Q459" s="241"/>
      <c r="R459" s="241"/>
      <c r="S459" s="241"/>
      <c r="T459" s="241"/>
      <c r="U459" s="241"/>
      <c r="V459" s="241"/>
      <c r="W459" s="241"/>
      <c r="X459" s="241"/>
      <c r="Y459" s="241"/>
      <c r="Z459" s="241"/>
    </row>
    <row r="460" spans="1:26" ht="13.5" customHeight="1" x14ac:dyDescent="0.3">
      <c r="A460" s="241"/>
      <c r="B460" s="241"/>
      <c r="C460" s="241"/>
      <c r="D460" s="241"/>
      <c r="E460" s="241"/>
      <c r="F460" s="241"/>
      <c r="G460" s="241"/>
      <c r="H460" s="241"/>
      <c r="I460" s="241"/>
      <c r="J460" s="241"/>
      <c r="K460" s="241"/>
      <c r="L460" s="241"/>
      <c r="M460" s="241"/>
      <c r="N460" s="241"/>
      <c r="O460" s="241"/>
      <c r="P460" s="241"/>
      <c r="Q460" s="241"/>
      <c r="R460" s="241"/>
      <c r="S460" s="241"/>
      <c r="T460" s="241"/>
      <c r="U460" s="241"/>
      <c r="V460" s="241"/>
      <c r="W460" s="241"/>
      <c r="X460" s="241"/>
      <c r="Y460" s="241"/>
      <c r="Z460" s="241"/>
    </row>
    <row r="461" spans="1:26" ht="13.5" customHeight="1" x14ac:dyDescent="0.3">
      <c r="A461" s="241"/>
      <c r="B461" s="241"/>
      <c r="C461" s="241"/>
      <c r="D461" s="241"/>
      <c r="E461" s="241"/>
      <c r="F461" s="241"/>
      <c r="G461" s="241"/>
      <c r="H461" s="241"/>
      <c r="I461" s="241"/>
      <c r="J461" s="241"/>
      <c r="K461" s="241"/>
      <c r="L461" s="241"/>
      <c r="M461" s="241"/>
      <c r="N461" s="241"/>
      <c r="O461" s="241"/>
      <c r="P461" s="241"/>
      <c r="Q461" s="241"/>
      <c r="R461" s="241"/>
      <c r="S461" s="241"/>
      <c r="T461" s="241"/>
      <c r="U461" s="241"/>
      <c r="V461" s="241"/>
      <c r="W461" s="241"/>
      <c r="X461" s="241"/>
      <c r="Y461" s="241"/>
      <c r="Z461" s="241"/>
    </row>
    <row r="462" spans="1:26" ht="13.5" customHeight="1" x14ac:dyDescent="0.3">
      <c r="A462" s="241"/>
      <c r="B462" s="241"/>
      <c r="C462" s="241"/>
      <c r="D462" s="241"/>
      <c r="E462" s="241"/>
      <c r="F462" s="241"/>
      <c r="G462" s="241"/>
      <c r="H462" s="241"/>
      <c r="I462" s="241"/>
      <c r="J462" s="241"/>
      <c r="K462" s="241"/>
      <c r="L462" s="241"/>
      <c r="M462" s="241"/>
      <c r="N462" s="241"/>
      <c r="O462" s="241"/>
      <c r="P462" s="241"/>
      <c r="Q462" s="241"/>
      <c r="R462" s="241"/>
      <c r="S462" s="241"/>
      <c r="T462" s="241"/>
      <c r="U462" s="241"/>
      <c r="V462" s="241"/>
      <c r="W462" s="241"/>
      <c r="X462" s="241"/>
      <c r="Y462" s="241"/>
      <c r="Z462" s="241"/>
    </row>
    <row r="463" spans="1:26" ht="13.5" customHeight="1" x14ac:dyDescent="0.3">
      <c r="A463" s="241"/>
      <c r="B463" s="241"/>
      <c r="C463" s="241"/>
      <c r="D463" s="241"/>
      <c r="E463" s="241"/>
      <c r="F463" s="241"/>
      <c r="G463" s="241"/>
      <c r="H463" s="241"/>
      <c r="I463" s="241"/>
      <c r="J463" s="241"/>
      <c r="K463" s="241"/>
      <c r="L463" s="241"/>
      <c r="M463" s="241"/>
      <c r="N463" s="241"/>
      <c r="O463" s="241"/>
      <c r="P463" s="241"/>
      <c r="Q463" s="241"/>
      <c r="R463" s="241"/>
      <c r="S463" s="241"/>
      <c r="T463" s="241"/>
      <c r="U463" s="241"/>
      <c r="V463" s="241"/>
      <c r="W463" s="241"/>
      <c r="X463" s="241"/>
      <c r="Y463" s="241"/>
      <c r="Z463" s="241"/>
    </row>
    <row r="464" spans="1:26" ht="13.5" customHeight="1" x14ac:dyDescent="0.3">
      <c r="A464" s="241"/>
      <c r="B464" s="241"/>
      <c r="C464" s="241"/>
      <c r="D464" s="241"/>
      <c r="E464" s="241"/>
      <c r="F464" s="241"/>
      <c r="G464" s="241"/>
      <c r="H464" s="241"/>
      <c r="I464" s="241"/>
      <c r="J464" s="241"/>
      <c r="K464" s="241"/>
      <c r="L464" s="241"/>
      <c r="M464" s="241"/>
      <c r="N464" s="241"/>
      <c r="O464" s="241"/>
      <c r="P464" s="241"/>
      <c r="Q464" s="241"/>
      <c r="R464" s="241"/>
      <c r="S464" s="241"/>
      <c r="T464" s="241"/>
      <c r="U464" s="241"/>
      <c r="V464" s="241"/>
      <c r="W464" s="241"/>
      <c r="X464" s="241"/>
      <c r="Y464" s="241"/>
      <c r="Z464" s="241"/>
    </row>
    <row r="465" spans="1:26" ht="13.5" customHeight="1" x14ac:dyDescent="0.3">
      <c r="A465" s="241"/>
      <c r="B465" s="241"/>
      <c r="C465" s="241"/>
      <c r="D465" s="241"/>
      <c r="E465" s="241"/>
      <c r="F465" s="241"/>
      <c r="G465" s="241"/>
      <c r="H465" s="241"/>
      <c r="I465" s="241"/>
      <c r="J465" s="241"/>
      <c r="K465" s="241"/>
      <c r="L465" s="241"/>
      <c r="M465" s="241"/>
      <c r="N465" s="241"/>
      <c r="O465" s="241"/>
      <c r="P465" s="241"/>
      <c r="Q465" s="241"/>
      <c r="R465" s="241"/>
      <c r="S465" s="241"/>
      <c r="T465" s="241"/>
      <c r="U465" s="241"/>
      <c r="V465" s="241"/>
      <c r="W465" s="241"/>
      <c r="X465" s="241"/>
      <c r="Y465" s="241"/>
      <c r="Z465" s="241"/>
    </row>
    <row r="466" spans="1:26" ht="13.5" customHeight="1" x14ac:dyDescent="0.3">
      <c r="A466" s="241"/>
      <c r="B466" s="241"/>
      <c r="C466" s="241"/>
      <c r="D466" s="241"/>
      <c r="E466" s="241"/>
      <c r="F466" s="241"/>
      <c r="G466" s="241"/>
      <c r="H466" s="241"/>
      <c r="I466" s="241"/>
      <c r="J466" s="241"/>
      <c r="K466" s="241"/>
      <c r="L466" s="241"/>
      <c r="M466" s="241"/>
      <c r="N466" s="241"/>
      <c r="O466" s="241"/>
      <c r="P466" s="241"/>
      <c r="Q466" s="241"/>
      <c r="R466" s="241"/>
      <c r="S466" s="241"/>
      <c r="T466" s="241"/>
      <c r="U466" s="241"/>
      <c r="V466" s="241"/>
      <c r="W466" s="241"/>
      <c r="X466" s="241"/>
      <c r="Y466" s="241"/>
      <c r="Z466" s="241"/>
    </row>
    <row r="467" spans="1:26" ht="13.5" customHeight="1" x14ac:dyDescent="0.3">
      <c r="A467" s="241"/>
      <c r="B467" s="241"/>
      <c r="C467" s="241"/>
      <c r="D467" s="241"/>
      <c r="E467" s="241"/>
      <c r="F467" s="241"/>
      <c r="G467" s="241"/>
      <c r="H467" s="241"/>
      <c r="I467" s="241"/>
      <c r="J467" s="241"/>
      <c r="K467" s="241"/>
      <c r="L467" s="241"/>
      <c r="M467" s="241"/>
      <c r="N467" s="241"/>
      <c r="O467" s="241"/>
      <c r="P467" s="241"/>
      <c r="Q467" s="241"/>
      <c r="R467" s="241"/>
      <c r="S467" s="241"/>
      <c r="T467" s="241"/>
      <c r="U467" s="241"/>
      <c r="V467" s="241"/>
      <c r="W467" s="241"/>
      <c r="X467" s="241"/>
      <c r="Y467" s="241"/>
      <c r="Z467" s="241"/>
    </row>
    <row r="468" spans="1:26" ht="13.5" customHeight="1" x14ac:dyDescent="0.3">
      <c r="A468" s="241"/>
      <c r="B468" s="241"/>
      <c r="C468" s="241"/>
      <c r="D468" s="241"/>
      <c r="E468" s="241"/>
      <c r="F468" s="241"/>
      <c r="G468" s="241"/>
      <c r="H468" s="241"/>
      <c r="I468" s="241"/>
      <c r="J468" s="241"/>
      <c r="K468" s="241"/>
      <c r="L468" s="241"/>
      <c r="M468" s="241"/>
      <c r="N468" s="241"/>
      <c r="O468" s="241"/>
      <c r="P468" s="241"/>
      <c r="Q468" s="241"/>
      <c r="R468" s="241"/>
      <c r="S468" s="241"/>
      <c r="T468" s="241"/>
      <c r="U468" s="241"/>
      <c r="V468" s="241"/>
      <c r="W468" s="241"/>
      <c r="X468" s="241"/>
      <c r="Y468" s="241"/>
      <c r="Z468" s="241"/>
    </row>
    <row r="469" spans="1:26" ht="13.5" customHeight="1" x14ac:dyDescent="0.3">
      <c r="A469" s="241"/>
      <c r="B469" s="241"/>
      <c r="C469" s="241"/>
      <c r="D469" s="241"/>
      <c r="E469" s="241"/>
      <c r="F469" s="241"/>
      <c r="G469" s="241"/>
      <c r="H469" s="241"/>
      <c r="I469" s="241"/>
      <c r="J469" s="241"/>
      <c r="K469" s="241"/>
      <c r="L469" s="241"/>
      <c r="M469" s="241"/>
      <c r="N469" s="241"/>
      <c r="O469" s="241"/>
      <c r="P469" s="241"/>
      <c r="Q469" s="241"/>
      <c r="R469" s="241"/>
      <c r="S469" s="241"/>
      <c r="T469" s="241"/>
      <c r="U469" s="241"/>
      <c r="V469" s="241"/>
      <c r="W469" s="241"/>
      <c r="X469" s="241"/>
      <c r="Y469" s="241"/>
      <c r="Z469" s="241"/>
    </row>
    <row r="470" spans="1:26" ht="13.5" customHeight="1" x14ac:dyDescent="0.3">
      <c r="A470" s="241"/>
      <c r="B470" s="241"/>
      <c r="C470" s="241"/>
      <c r="D470" s="241"/>
      <c r="E470" s="241"/>
      <c r="F470" s="241"/>
      <c r="G470" s="241"/>
      <c r="H470" s="241"/>
      <c r="I470" s="241"/>
      <c r="J470" s="241"/>
      <c r="K470" s="241"/>
      <c r="L470" s="241"/>
      <c r="M470" s="241"/>
      <c r="N470" s="241"/>
      <c r="O470" s="241"/>
      <c r="P470" s="241"/>
      <c r="Q470" s="241"/>
      <c r="R470" s="241"/>
      <c r="S470" s="241"/>
      <c r="T470" s="241"/>
      <c r="U470" s="241"/>
      <c r="V470" s="241"/>
      <c r="W470" s="241"/>
      <c r="X470" s="241"/>
      <c r="Y470" s="241"/>
      <c r="Z470" s="241"/>
    </row>
    <row r="471" spans="1:26" ht="13.5" customHeight="1" x14ac:dyDescent="0.3">
      <c r="A471" s="241"/>
      <c r="B471" s="241"/>
      <c r="C471" s="241"/>
      <c r="D471" s="241"/>
      <c r="E471" s="241"/>
      <c r="F471" s="241"/>
      <c r="G471" s="241"/>
      <c r="H471" s="241"/>
      <c r="I471" s="241"/>
      <c r="J471" s="241"/>
      <c r="K471" s="241"/>
      <c r="L471" s="241"/>
      <c r="M471" s="241"/>
      <c r="N471" s="241"/>
      <c r="O471" s="241"/>
      <c r="P471" s="241"/>
      <c r="Q471" s="241"/>
      <c r="R471" s="241"/>
      <c r="S471" s="241"/>
      <c r="T471" s="241"/>
      <c r="U471" s="241"/>
      <c r="V471" s="241"/>
      <c r="W471" s="241"/>
      <c r="X471" s="241"/>
      <c r="Y471" s="241"/>
      <c r="Z471" s="241"/>
    </row>
    <row r="472" spans="1:26" ht="13.5" customHeight="1" x14ac:dyDescent="0.3">
      <c r="A472" s="241"/>
      <c r="B472" s="241"/>
      <c r="C472" s="241"/>
      <c r="D472" s="241"/>
      <c r="E472" s="241"/>
      <c r="F472" s="241"/>
      <c r="G472" s="241"/>
      <c r="H472" s="241"/>
      <c r="I472" s="241"/>
      <c r="J472" s="241"/>
      <c r="K472" s="241"/>
      <c r="L472" s="241"/>
      <c r="M472" s="241"/>
      <c r="N472" s="241"/>
      <c r="O472" s="241"/>
      <c r="P472" s="241"/>
      <c r="Q472" s="241"/>
      <c r="R472" s="241"/>
      <c r="S472" s="241"/>
      <c r="T472" s="241"/>
      <c r="U472" s="241"/>
      <c r="V472" s="241"/>
      <c r="W472" s="241"/>
      <c r="X472" s="241"/>
      <c r="Y472" s="241"/>
      <c r="Z472" s="241"/>
    </row>
    <row r="473" spans="1:26" ht="13.5" customHeight="1" x14ac:dyDescent="0.3">
      <c r="A473" s="241"/>
      <c r="B473" s="241"/>
      <c r="C473" s="241"/>
      <c r="D473" s="241"/>
      <c r="E473" s="241"/>
      <c r="F473" s="241"/>
      <c r="G473" s="241"/>
      <c r="H473" s="241"/>
      <c r="I473" s="241"/>
      <c r="J473" s="241"/>
      <c r="K473" s="241"/>
      <c r="L473" s="241"/>
      <c r="M473" s="241"/>
      <c r="N473" s="241"/>
      <c r="O473" s="241"/>
      <c r="P473" s="241"/>
      <c r="Q473" s="241"/>
      <c r="R473" s="241"/>
      <c r="S473" s="241"/>
      <c r="T473" s="241"/>
      <c r="U473" s="241"/>
      <c r="V473" s="241"/>
      <c r="W473" s="241"/>
      <c r="X473" s="241"/>
      <c r="Y473" s="241"/>
      <c r="Z473" s="241"/>
    </row>
    <row r="474" spans="1:26" ht="13.5" customHeight="1" x14ac:dyDescent="0.3">
      <c r="A474" s="241"/>
      <c r="B474" s="241"/>
      <c r="C474" s="241"/>
      <c r="D474" s="241"/>
      <c r="E474" s="241"/>
      <c r="F474" s="241"/>
      <c r="G474" s="241"/>
      <c r="H474" s="241"/>
      <c r="I474" s="241"/>
      <c r="J474" s="241"/>
      <c r="K474" s="241"/>
      <c r="L474" s="241"/>
      <c r="M474" s="241"/>
      <c r="N474" s="241"/>
      <c r="O474" s="241"/>
      <c r="P474" s="241"/>
      <c r="Q474" s="241"/>
      <c r="R474" s="241"/>
      <c r="S474" s="241"/>
      <c r="T474" s="241"/>
      <c r="U474" s="241"/>
      <c r="V474" s="241"/>
      <c r="W474" s="241"/>
      <c r="X474" s="241"/>
      <c r="Y474" s="241"/>
      <c r="Z474" s="241"/>
    </row>
    <row r="475" spans="1:26" ht="13.5" customHeight="1" x14ac:dyDescent="0.3">
      <c r="A475" s="241"/>
      <c r="B475" s="241"/>
      <c r="C475" s="241"/>
      <c r="D475" s="241"/>
      <c r="E475" s="241"/>
      <c r="F475" s="241"/>
      <c r="G475" s="241"/>
      <c r="H475" s="241"/>
      <c r="I475" s="241"/>
      <c r="J475" s="241"/>
      <c r="K475" s="241"/>
      <c r="L475" s="241"/>
      <c r="M475" s="241"/>
      <c r="N475" s="241"/>
      <c r="O475" s="241"/>
      <c r="P475" s="241"/>
      <c r="Q475" s="241"/>
      <c r="R475" s="241"/>
      <c r="S475" s="241"/>
      <c r="T475" s="241"/>
      <c r="U475" s="241"/>
      <c r="V475" s="241"/>
      <c r="W475" s="241"/>
      <c r="X475" s="241"/>
      <c r="Y475" s="241"/>
      <c r="Z475" s="241"/>
    </row>
    <row r="476" spans="1:26" ht="13.5" customHeight="1" x14ac:dyDescent="0.3">
      <c r="A476" s="241"/>
      <c r="B476" s="241"/>
      <c r="C476" s="241"/>
      <c r="D476" s="241"/>
      <c r="E476" s="241"/>
      <c r="F476" s="241"/>
      <c r="G476" s="241"/>
      <c r="H476" s="241"/>
      <c r="I476" s="241"/>
      <c r="J476" s="241"/>
      <c r="K476" s="241"/>
      <c r="L476" s="241"/>
      <c r="M476" s="241"/>
      <c r="N476" s="241"/>
      <c r="O476" s="241"/>
      <c r="P476" s="241"/>
      <c r="Q476" s="241"/>
      <c r="R476" s="241"/>
      <c r="S476" s="241"/>
      <c r="T476" s="241"/>
      <c r="U476" s="241"/>
      <c r="V476" s="241"/>
      <c r="W476" s="241"/>
      <c r="X476" s="241"/>
      <c r="Y476" s="241"/>
      <c r="Z476" s="241"/>
    </row>
    <row r="477" spans="1:26" ht="13.5" customHeight="1" x14ac:dyDescent="0.3">
      <c r="A477" s="241"/>
      <c r="B477" s="241"/>
      <c r="C477" s="241"/>
      <c r="D477" s="241"/>
      <c r="E477" s="241"/>
      <c r="F477" s="241"/>
      <c r="G477" s="241"/>
      <c r="H477" s="241"/>
      <c r="I477" s="241"/>
      <c r="J477" s="241"/>
      <c r="K477" s="241"/>
      <c r="L477" s="241"/>
      <c r="M477" s="241"/>
      <c r="N477" s="241"/>
      <c r="O477" s="241"/>
      <c r="P477" s="241"/>
      <c r="Q477" s="241"/>
      <c r="R477" s="241"/>
      <c r="S477" s="241"/>
      <c r="T477" s="241"/>
      <c r="U477" s="241"/>
      <c r="V477" s="241"/>
      <c r="W477" s="241"/>
      <c r="X477" s="241"/>
      <c r="Y477" s="241"/>
      <c r="Z477" s="241"/>
    </row>
    <row r="478" spans="1:26" ht="13.5" customHeight="1" x14ac:dyDescent="0.3">
      <c r="A478" s="241"/>
      <c r="B478" s="241"/>
      <c r="C478" s="241"/>
      <c r="D478" s="241"/>
      <c r="E478" s="241"/>
      <c r="F478" s="241"/>
      <c r="G478" s="241"/>
      <c r="H478" s="241"/>
      <c r="I478" s="241"/>
      <c r="J478" s="241"/>
      <c r="K478" s="241"/>
      <c r="L478" s="241"/>
      <c r="M478" s="241"/>
      <c r="N478" s="241"/>
      <c r="O478" s="241"/>
      <c r="P478" s="241"/>
      <c r="Q478" s="241"/>
      <c r="R478" s="241"/>
      <c r="S478" s="241"/>
      <c r="T478" s="241"/>
      <c r="U478" s="241"/>
      <c r="V478" s="241"/>
      <c r="W478" s="241"/>
      <c r="X478" s="241"/>
      <c r="Y478" s="241"/>
      <c r="Z478" s="241"/>
    </row>
    <row r="479" spans="1:26" ht="13.5" customHeight="1" x14ac:dyDescent="0.3">
      <c r="A479" s="241"/>
      <c r="B479" s="241"/>
      <c r="C479" s="241"/>
      <c r="D479" s="241"/>
      <c r="E479" s="241"/>
      <c r="F479" s="241"/>
      <c r="G479" s="241"/>
      <c r="H479" s="241"/>
      <c r="I479" s="241"/>
      <c r="J479" s="241"/>
      <c r="K479" s="241"/>
      <c r="L479" s="241"/>
      <c r="M479" s="241"/>
      <c r="N479" s="241"/>
      <c r="O479" s="241"/>
      <c r="P479" s="241"/>
      <c r="Q479" s="241"/>
      <c r="R479" s="241"/>
      <c r="S479" s="241"/>
      <c r="T479" s="241"/>
      <c r="U479" s="241"/>
      <c r="V479" s="241"/>
      <c r="W479" s="241"/>
      <c r="X479" s="241"/>
      <c r="Y479" s="241"/>
      <c r="Z479" s="241"/>
    </row>
    <row r="480" spans="1:26" ht="13.5" customHeight="1" x14ac:dyDescent="0.3">
      <c r="A480" s="241"/>
      <c r="B480" s="241"/>
      <c r="C480" s="241"/>
      <c r="D480" s="241"/>
      <c r="E480" s="241"/>
      <c r="F480" s="241"/>
      <c r="G480" s="241"/>
      <c r="H480" s="241"/>
      <c r="I480" s="241"/>
      <c r="J480" s="241"/>
      <c r="K480" s="241"/>
      <c r="L480" s="241"/>
      <c r="M480" s="241"/>
      <c r="N480" s="241"/>
      <c r="O480" s="241"/>
      <c r="P480" s="241"/>
      <c r="Q480" s="241"/>
      <c r="R480" s="241"/>
      <c r="S480" s="241"/>
      <c r="T480" s="241"/>
      <c r="U480" s="241"/>
      <c r="V480" s="241"/>
      <c r="W480" s="241"/>
      <c r="X480" s="241"/>
      <c r="Y480" s="241"/>
      <c r="Z480" s="241"/>
    </row>
    <row r="481" spans="1:26" ht="13.5" customHeight="1" x14ac:dyDescent="0.3">
      <c r="A481" s="241"/>
      <c r="B481" s="241"/>
      <c r="C481" s="241"/>
      <c r="D481" s="241"/>
      <c r="E481" s="241"/>
      <c r="F481" s="241"/>
      <c r="G481" s="241"/>
      <c r="H481" s="241"/>
      <c r="I481" s="241"/>
      <c r="J481" s="241"/>
      <c r="K481" s="241"/>
      <c r="L481" s="241"/>
      <c r="M481" s="241"/>
      <c r="N481" s="241"/>
      <c r="O481" s="241"/>
      <c r="P481" s="241"/>
      <c r="Q481" s="241"/>
      <c r="R481" s="241"/>
      <c r="S481" s="241"/>
      <c r="T481" s="241"/>
      <c r="U481" s="241"/>
      <c r="V481" s="241"/>
      <c r="W481" s="241"/>
      <c r="X481" s="241"/>
      <c r="Y481" s="241"/>
      <c r="Z481" s="241"/>
    </row>
    <row r="482" spans="1:26" ht="13.5" customHeight="1" x14ac:dyDescent="0.3">
      <c r="A482" s="241"/>
      <c r="B482" s="241"/>
      <c r="C482" s="241"/>
      <c r="D482" s="241"/>
      <c r="E482" s="241"/>
      <c r="F482" s="241"/>
      <c r="G482" s="241"/>
      <c r="H482" s="241"/>
      <c r="I482" s="241"/>
      <c r="J482" s="241"/>
      <c r="K482" s="241"/>
      <c r="L482" s="241"/>
      <c r="M482" s="241"/>
      <c r="N482" s="241"/>
      <c r="O482" s="241"/>
      <c r="P482" s="241"/>
      <c r="Q482" s="241"/>
      <c r="R482" s="241"/>
      <c r="S482" s="241"/>
      <c r="T482" s="241"/>
      <c r="U482" s="241"/>
      <c r="V482" s="241"/>
      <c r="W482" s="241"/>
      <c r="X482" s="241"/>
      <c r="Y482" s="241"/>
      <c r="Z482" s="241"/>
    </row>
    <row r="483" spans="1:26" ht="13.5" customHeight="1" x14ac:dyDescent="0.3">
      <c r="A483" s="241"/>
      <c r="B483" s="241"/>
      <c r="C483" s="241"/>
      <c r="D483" s="241"/>
      <c r="E483" s="241"/>
      <c r="F483" s="241"/>
      <c r="G483" s="241"/>
      <c r="H483" s="241"/>
      <c r="I483" s="241"/>
      <c r="J483" s="241"/>
      <c r="K483" s="241"/>
      <c r="L483" s="241"/>
      <c r="M483" s="241"/>
      <c r="N483" s="241"/>
      <c r="O483" s="241"/>
      <c r="P483" s="241"/>
      <c r="Q483" s="241"/>
      <c r="R483" s="241"/>
      <c r="S483" s="241"/>
      <c r="T483" s="241"/>
      <c r="U483" s="241"/>
      <c r="V483" s="241"/>
      <c r="W483" s="241"/>
      <c r="X483" s="241"/>
      <c r="Y483" s="241"/>
      <c r="Z483" s="241"/>
    </row>
    <row r="484" spans="1:26" ht="13.5" customHeight="1" x14ac:dyDescent="0.3">
      <c r="A484" s="241"/>
      <c r="B484" s="241"/>
      <c r="C484" s="241"/>
      <c r="D484" s="241"/>
      <c r="E484" s="241"/>
      <c r="F484" s="241"/>
      <c r="G484" s="241"/>
      <c r="H484" s="241"/>
      <c r="I484" s="241"/>
      <c r="J484" s="241"/>
      <c r="K484" s="241"/>
      <c r="L484" s="241"/>
      <c r="M484" s="241"/>
      <c r="N484" s="241"/>
      <c r="O484" s="241"/>
      <c r="P484" s="241"/>
      <c r="Q484" s="241"/>
      <c r="R484" s="241"/>
      <c r="S484" s="241"/>
      <c r="T484" s="241"/>
      <c r="U484" s="241"/>
      <c r="V484" s="241"/>
      <c r="W484" s="241"/>
      <c r="X484" s="241"/>
      <c r="Y484" s="241"/>
      <c r="Z484" s="241"/>
    </row>
    <row r="485" spans="1:26" ht="13.5" customHeight="1" x14ac:dyDescent="0.3">
      <c r="A485" s="241"/>
      <c r="B485" s="241"/>
      <c r="C485" s="241"/>
      <c r="D485" s="241"/>
      <c r="E485" s="241"/>
      <c r="F485" s="241"/>
      <c r="G485" s="241"/>
      <c r="H485" s="241"/>
      <c r="I485" s="241"/>
      <c r="J485" s="241"/>
      <c r="K485" s="241"/>
      <c r="L485" s="241"/>
      <c r="M485" s="241"/>
      <c r="N485" s="241"/>
      <c r="O485" s="241"/>
      <c r="P485" s="241"/>
      <c r="Q485" s="241"/>
      <c r="R485" s="241"/>
      <c r="S485" s="241"/>
      <c r="T485" s="241"/>
      <c r="U485" s="241"/>
      <c r="V485" s="241"/>
      <c r="W485" s="241"/>
      <c r="X485" s="241"/>
      <c r="Y485" s="241"/>
      <c r="Z485" s="241"/>
    </row>
    <row r="486" spans="1:26" ht="13.5" customHeight="1" x14ac:dyDescent="0.3">
      <c r="A486" s="241"/>
      <c r="B486" s="241"/>
      <c r="C486" s="241"/>
      <c r="D486" s="241"/>
      <c r="E486" s="241"/>
      <c r="F486" s="241"/>
      <c r="G486" s="241"/>
      <c r="H486" s="241"/>
      <c r="I486" s="241"/>
      <c r="J486" s="241"/>
      <c r="K486" s="241"/>
      <c r="L486" s="241"/>
      <c r="M486" s="241"/>
      <c r="N486" s="241"/>
      <c r="O486" s="241"/>
      <c r="P486" s="241"/>
      <c r="Q486" s="241"/>
      <c r="R486" s="241"/>
      <c r="S486" s="241"/>
      <c r="T486" s="241"/>
      <c r="U486" s="241"/>
      <c r="V486" s="241"/>
      <c r="W486" s="241"/>
      <c r="X486" s="241"/>
      <c r="Y486" s="241"/>
      <c r="Z486" s="241"/>
    </row>
    <row r="487" spans="1:26" ht="13.5" customHeight="1" x14ac:dyDescent="0.3">
      <c r="A487" s="241"/>
      <c r="B487" s="241"/>
      <c r="C487" s="241"/>
      <c r="D487" s="241"/>
      <c r="E487" s="241"/>
      <c r="F487" s="241"/>
      <c r="G487" s="241"/>
      <c r="H487" s="241"/>
      <c r="I487" s="241"/>
      <c r="J487" s="241"/>
      <c r="K487" s="241"/>
      <c r="L487" s="241"/>
      <c r="M487" s="241"/>
      <c r="N487" s="241"/>
      <c r="O487" s="241"/>
      <c r="P487" s="241"/>
      <c r="Q487" s="241"/>
      <c r="R487" s="241"/>
      <c r="S487" s="241"/>
      <c r="T487" s="241"/>
      <c r="U487" s="241"/>
      <c r="V487" s="241"/>
      <c r="W487" s="241"/>
      <c r="X487" s="241"/>
      <c r="Y487" s="241"/>
      <c r="Z487" s="241"/>
    </row>
    <row r="488" spans="1:26" ht="13.5" customHeight="1" x14ac:dyDescent="0.3">
      <c r="A488" s="241"/>
      <c r="B488" s="241"/>
      <c r="C488" s="241"/>
      <c r="D488" s="241"/>
      <c r="E488" s="241"/>
      <c r="F488" s="241"/>
      <c r="G488" s="241"/>
      <c r="H488" s="241"/>
      <c r="I488" s="241"/>
      <c r="J488" s="241"/>
      <c r="K488" s="241"/>
      <c r="L488" s="241"/>
      <c r="M488" s="241"/>
      <c r="N488" s="241"/>
      <c r="O488" s="241"/>
      <c r="P488" s="241"/>
      <c r="Q488" s="241"/>
      <c r="R488" s="241"/>
      <c r="S488" s="241"/>
      <c r="T488" s="241"/>
      <c r="U488" s="241"/>
      <c r="V488" s="241"/>
      <c r="W488" s="241"/>
      <c r="X488" s="241"/>
      <c r="Y488" s="241"/>
      <c r="Z488" s="241"/>
    </row>
    <row r="489" spans="1:26" ht="13.5" customHeight="1" x14ac:dyDescent="0.3">
      <c r="A489" s="241"/>
      <c r="B489" s="241"/>
      <c r="C489" s="241"/>
      <c r="D489" s="241"/>
      <c r="E489" s="241"/>
      <c r="F489" s="241"/>
      <c r="G489" s="241"/>
      <c r="H489" s="241"/>
      <c r="I489" s="241"/>
      <c r="J489" s="241"/>
      <c r="K489" s="241"/>
      <c r="L489" s="241"/>
      <c r="M489" s="241"/>
      <c r="N489" s="241"/>
      <c r="O489" s="241"/>
      <c r="P489" s="241"/>
      <c r="Q489" s="241"/>
      <c r="R489" s="241"/>
      <c r="S489" s="241"/>
      <c r="T489" s="241"/>
      <c r="U489" s="241"/>
      <c r="V489" s="241"/>
      <c r="W489" s="241"/>
      <c r="X489" s="241"/>
      <c r="Y489" s="241"/>
      <c r="Z489" s="241"/>
    </row>
    <row r="490" spans="1:26" ht="13.5" customHeight="1" x14ac:dyDescent="0.3">
      <c r="A490" s="241"/>
      <c r="B490" s="241"/>
      <c r="C490" s="241"/>
      <c r="D490" s="241"/>
      <c r="E490" s="241"/>
      <c r="F490" s="241"/>
      <c r="G490" s="241"/>
      <c r="H490" s="241"/>
      <c r="I490" s="241"/>
      <c r="J490" s="241"/>
      <c r="K490" s="241"/>
      <c r="L490" s="241"/>
      <c r="M490" s="241"/>
      <c r="N490" s="241"/>
      <c r="O490" s="241"/>
      <c r="P490" s="241"/>
      <c r="Q490" s="241"/>
      <c r="R490" s="241"/>
      <c r="S490" s="241"/>
      <c r="T490" s="241"/>
      <c r="U490" s="241"/>
      <c r="V490" s="241"/>
      <c r="W490" s="241"/>
      <c r="X490" s="241"/>
      <c r="Y490" s="241"/>
      <c r="Z490" s="241"/>
    </row>
    <row r="491" spans="1:26" ht="13.5" customHeight="1" x14ac:dyDescent="0.3">
      <c r="A491" s="241"/>
      <c r="B491" s="241"/>
      <c r="C491" s="241"/>
      <c r="D491" s="241"/>
      <c r="E491" s="241"/>
      <c r="F491" s="241"/>
      <c r="G491" s="241"/>
      <c r="H491" s="241"/>
      <c r="I491" s="241"/>
      <c r="J491" s="241"/>
      <c r="K491" s="241"/>
      <c r="L491" s="241"/>
      <c r="M491" s="241"/>
      <c r="N491" s="241"/>
      <c r="O491" s="241"/>
      <c r="P491" s="241"/>
      <c r="Q491" s="241"/>
      <c r="R491" s="241"/>
      <c r="S491" s="241"/>
      <c r="T491" s="241"/>
      <c r="U491" s="241"/>
      <c r="V491" s="241"/>
      <c r="W491" s="241"/>
      <c r="X491" s="241"/>
      <c r="Y491" s="241"/>
      <c r="Z491" s="241"/>
    </row>
    <row r="492" spans="1:26" ht="13.5" customHeight="1" x14ac:dyDescent="0.3">
      <c r="A492" s="241"/>
      <c r="B492" s="241"/>
      <c r="C492" s="241"/>
      <c r="D492" s="241"/>
      <c r="E492" s="241"/>
      <c r="F492" s="241"/>
      <c r="G492" s="241"/>
      <c r="H492" s="241"/>
      <c r="I492" s="241"/>
      <c r="J492" s="241"/>
      <c r="K492" s="241"/>
      <c r="L492" s="241"/>
      <c r="M492" s="241"/>
      <c r="N492" s="241"/>
      <c r="O492" s="241"/>
      <c r="P492" s="241"/>
      <c r="Q492" s="241"/>
      <c r="R492" s="241"/>
      <c r="S492" s="241"/>
      <c r="T492" s="241"/>
      <c r="U492" s="241"/>
      <c r="V492" s="241"/>
      <c r="W492" s="241"/>
      <c r="X492" s="241"/>
      <c r="Y492" s="241"/>
      <c r="Z492" s="241"/>
    </row>
    <row r="493" spans="1:26" ht="13.5" customHeight="1" x14ac:dyDescent="0.3">
      <c r="A493" s="241"/>
      <c r="B493" s="241"/>
      <c r="C493" s="241"/>
      <c r="D493" s="241"/>
      <c r="E493" s="241"/>
      <c r="F493" s="241"/>
      <c r="G493" s="241"/>
      <c r="H493" s="241"/>
      <c r="I493" s="241"/>
      <c r="J493" s="241"/>
      <c r="K493" s="241"/>
      <c r="L493" s="241"/>
      <c r="M493" s="241"/>
      <c r="N493" s="241"/>
      <c r="O493" s="241"/>
      <c r="P493" s="241"/>
      <c r="Q493" s="241"/>
      <c r="R493" s="241"/>
      <c r="S493" s="241"/>
      <c r="T493" s="241"/>
      <c r="U493" s="241"/>
      <c r="V493" s="241"/>
      <c r="W493" s="241"/>
      <c r="X493" s="241"/>
      <c r="Y493" s="241"/>
      <c r="Z493" s="241"/>
    </row>
    <row r="494" spans="1:26" ht="13.5" customHeight="1" x14ac:dyDescent="0.3">
      <c r="A494" s="241"/>
      <c r="B494" s="241"/>
      <c r="C494" s="241"/>
      <c r="D494" s="241"/>
      <c r="E494" s="241"/>
      <c r="F494" s="241"/>
      <c r="G494" s="241"/>
      <c r="H494" s="241"/>
      <c r="I494" s="241"/>
      <c r="J494" s="241"/>
      <c r="K494" s="241"/>
      <c r="L494" s="241"/>
      <c r="M494" s="241"/>
      <c r="N494" s="241"/>
      <c r="O494" s="241"/>
      <c r="P494" s="241"/>
      <c r="Q494" s="241"/>
      <c r="R494" s="241"/>
      <c r="S494" s="241"/>
      <c r="T494" s="241"/>
      <c r="U494" s="241"/>
      <c r="V494" s="241"/>
      <c r="W494" s="241"/>
      <c r="X494" s="241"/>
      <c r="Y494" s="241"/>
      <c r="Z494" s="241"/>
    </row>
    <row r="495" spans="1:26" ht="13.5" customHeight="1" x14ac:dyDescent="0.3">
      <c r="A495" s="241"/>
      <c r="B495" s="241"/>
      <c r="C495" s="241"/>
      <c r="D495" s="241"/>
      <c r="E495" s="241"/>
      <c r="F495" s="241"/>
      <c r="G495" s="241"/>
      <c r="H495" s="241"/>
      <c r="I495" s="241"/>
      <c r="J495" s="241"/>
      <c r="K495" s="241"/>
      <c r="L495" s="241"/>
      <c r="M495" s="241"/>
      <c r="N495" s="241"/>
      <c r="O495" s="241"/>
      <c r="P495" s="241"/>
      <c r="Q495" s="241"/>
      <c r="R495" s="241"/>
      <c r="S495" s="241"/>
      <c r="T495" s="241"/>
      <c r="U495" s="241"/>
      <c r="V495" s="241"/>
      <c r="W495" s="241"/>
      <c r="X495" s="241"/>
      <c r="Y495" s="241"/>
      <c r="Z495" s="241"/>
    </row>
    <row r="496" spans="1:26" ht="13.5" customHeight="1" x14ac:dyDescent="0.3">
      <c r="A496" s="241"/>
      <c r="B496" s="241"/>
      <c r="C496" s="241"/>
      <c r="D496" s="241"/>
      <c r="E496" s="241"/>
      <c r="F496" s="241"/>
      <c r="G496" s="241"/>
      <c r="H496" s="241"/>
      <c r="I496" s="241"/>
      <c r="J496" s="241"/>
      <c r="K496" s="241"/>
      <c r="L496" s="241"/>
      <c r="M496" s="241"/>
      <c r="N496" s="241"/>
      <c r="O496" s="241"/>
      <c r="P496" s="241"/>
      <c r="Q496" s="241"/>
      <c r="R496" s="241"/>
      <c r="S496" s="241"/>
      <c r="T496" s="241"/>
      <c r="U496" s="241"/>
      <c r="V496" s="241"/>
      <c r="W496" s="241"/>
      <c r="X496" s="241"/>
      <c r="Y496" s="241"/>
      <c r="Z496" s="241"/>
    </row>
    <row r="497" spans="1:26" ht="13.5" customHeight="1" x14ac:dyDescent="0.3">
      <c r="A497" s="241"/>
      <c r="B497" s="241"/>
      <c r="C497" s="241"/>
      <c r="D497" s="241"/>
      <c r="E497" s="241"/>
      <c r="F497" s="241"/>
      <c r="G497" s="241"/>
      <c r="H497" s="241"/>
      <c r="I497" s="241"/>
      <c r="J497" s="241"/>
      <c r="K497" s="241"/>
      <c r="L497" s="241"/>
      <c r="M497" s="241"/>
      <c r="N497" s="241"/>
      <c r="O497" s="241"/>
      <c r="P497" s="241"/>
      <c r="Q497" s="241"/>
      <c r="R497" s="241"/>
      <c r="S497" s="241"/>
      <c r="T497" s="241"/>
      <c r="U497" s="241"/>
      <c r="V497" s="241"/>
      <c r="W497" s="241"/>
      <c r="X497" s="241"/>
      <c r="Y497" s="241"/>
      <c r="Z497" s="241"/>
    </row>
    <row r="498" spans="1:26" ht="13.5" customHeight="1" x14ac:dyDescent="0.3">
      <c r="A498" s="241"/>
      <c r="B498" s="241"/>
      <c r="C498" s="241"/>
      <c r="D498" s="241"/>
      <c r="E498" s="241"/>
      <c r="F498" s="241"/>
      <c r="G498" s="241"/>
      <c r="H498" s="241"/>
      <c r="I498" s="241"/>
      <c r="J498" s="241"/>
      <c r="K498" s="241"/>
      <c r="L498" s="241"/>
      <c r="M498" s="241"/>
      <c r="N498" s="241"/>
      <c r="O498" s="241"/>
      <c r="P498" s="241"/>
      <c r="Q498" s="241"/>
      <c r="R498" s="241"/>
      <c r="S498" s="241"/>
      <c r="T498" s="241"/>
      <c r="U498" s="241"/>
      <c r="V498" s="241"/>
      <c r="W498" s="241"/>
      <c r="X498" s="241"/>
      <c r="Y498" s="241"/>
      <c r="Z498" s="241"/>
    </row>
    <row r="499" spans="1:26" ht="13.5" customHeight="1" x14ac:dyDescent="0.3">
      <c r="A499" s="241"/>
      <c r="B499" s="241"/>
      <c r="C499" s="241"/>
      <c r="D499" s="241"/>
      <c r="E499" s="241"/>
      <c r="F499" s="241"/>
      <c r="G499" s="241"/>
      <c r="H499" s="241"/>
      <c r="I499" s="241"/>
      <c r="J499" s="241"/>
      <c r="K499" s="241"/>
      <c r="L499" s="241"/>
      <c r="M499" s="241"/>
      <c r="N499" s="241"/>
      <c r="O499" s="241"/>
      <c r="P499" s="241"/>
      <c r="Q499" s="241"/>
      <c r="R499" s="241"/>
      <c r="S499" s="241"/>
      <c r="T499" s="241"/>
      <c r="U499" s="241"/>
      <c r="V499" s="241"/>
      <c r="W499" s="241"/>
      <c r="X499" s="241"/>
      <c r="Y499" s="241"/>
      <c r="Z499" s="241"/>
    </row>
    <row r="500" spans="1:26" ht="13.5" customHeight="1" x14ac:dyDescent="0.3">
      <c r="A500" s="241"/>
      <c r="B500" s="241"/>
      <c r="C500" s="241"/>
      <c r="D500" s="241"/>
      <c r="E500" s="241"/>
      <c r="F500" s="241"/>
      <c r="G500" s="241"/>
      <c r="H500" s="241"/>
      <c r="I500" s="241"/>
      <c r="J500" s="241"/>
      <c r="K500" s="241"/>
      <c r="L500" s="241"/>
      <c r="M500" s="241"/>
      <c r="N500" s="241"/>
      <c r="O500" s="241"/>
      <c r="P500" s="241"/>
      <c r="Q500" s="241"/>
      <c r="R500" s="241"/>
      <c r="S500" s="241"/>
      <c r="T500" s="241"/>
      <c r="U500" s="241"/>
      <c r="V500" s="241"/>
      <c r="W500" s="241"/>
      <c r="X500" s="241"/>
      <c r="Y500" s="241"/>
      <c r="Z500" s="241"/>
    </row>
    <row r="501" spans="1:26" ht="13.5" customHeight="1" x14ac:dyDescent="0.3">
      <c r="A501" s="241"/>
      <c r="B501" s="241"/>
      <c r="C501" s="241"/>
      <c r="D501" s="241"/>
      <c r="E501" s="241"/>
      <c r="F501" s="241"/>
      <c r="G501" s="241"/>
      <c r="H501" s="241"/>
      <c r="I501" s="241"/>
      <c r="J501" s="241"/>
      <c r="K501" s="241"/>
      <c r="L501" s="241"/>
      <c r="M501" s="241"/>
      <c r="N501" s="241"/>
      <c r="O501" s="241"/>
      <c r="P501" s="241"/>
      <c r="Q501" s="241"/>
      <c r="R501" s="241"/>
      <c r="S501" s="241"/>
      <c r="T501" s="241"/>
      <c r="U501" s="241"/>
      <c r="V501" s="241"/>
      <c r="W501" s="241"/>
      <c r="X501" s="241"/>
      <c r="Y501" s="241"/>
      <c r="Z501" s="241"/>
    </row>
    <row r="502" spans="1:26" ht="13.5" customHeight="1" x14ac:dyDescent="0.3">
      <c r="A502" s="241"/>
      <c r="B502" s="241"/>
      <c r="C502" s="241"/>
      <c r="D502" s="241"/>
      <c r="E502" s="241"/>
      <c r="F502" s="241"/>
      <c r="G502" s="241"/>
      <c r="H502" s="241"/>
      <c r="I502" s="241"/>
      <c r="J502" s="241"/>
      <c r="K502" s="241"/>
      <c r="L502" s="241"/>
      <c r="M502" s="241"/>
      <c r="N502" s="241"/>
      <c r="O502" s="241"/>
      <c r="P502" s="241"/>
      <c r="Q502" s="241"/>
      <c r="R502" s="241"/>
      <c r="S502" s="241"/>
      <c r="T502" s="241"/>
      <c r="U502" s="241"/>
      <c r="V502" s="241"/>
      <c r="W502" s="241"/>
      <c r="X502" s="241"/>
      <c r="Y502" s="241"/>
      <c r="Z502" s="241"/>
    </row>
    <row r="503" spans="1:26" ht="13.5" customHeight="1" x14ac:dyDescent="0.3">
      <c r="A503" s="241"/>
      <c r="B503" s="241"/>
      <c r="C503" s="241"/>
      <c r="D503" s="241"/>
      <c r="E503" s="241"/>
      <c r="F503" s="241"/>
      <c r="G503" s="241"/>
      <c r="H503" s="241"/>
      <c r="I503" s="241"/>
      <c r="J503" s="241"/>
      <c r="K503" s="241"/>
      <c r="L503" s="241"/>
      <c r="M503" s="241"/>
      <c r="N503" s="241"/>
      <c r="O503" s="241"/>
      <c r="P503" s="241"/>
      <c r="Q503" s="241"/>
      <c r="R503" s="241"/>
      <c r="S503" s="241"/>
      <c r="T503" s="241"/>
      <c r="U503" s="241"/>
      <c r="V503" s="241"/>
      <c r="W503" s="241"/>
      <c r="X503" s="241"/>
      <c r="Y503" s="241"/>
      <c r="Z503" s="241"/>
    </row>
    <row r="504" spans="1:26" ht="13.5" customHeight="1" x14ac:dyDescent="0.3">
      <c r="A504" s="241"/>
      <c r="B504" s="241"/>
      <c r="C504" s="241"/>
      <c r="D504" s="241"/>
      <c r="E504" s="241"/>
      <c r="F504" s="241"/>
      <c r="G504" s="241"/>
      <c r="H504" s="241"/>
      <c r="I504" s="241"/>
      <c r="J504" s="241"/>
      <c r="K504" s="241"/>
      <c r="L504" s="241"/>
      <c r="M504" s="241"/>
      <c r="N504" s="241"/>
      <c r="O504" s="241"/>
      <c r="P504" s="241"/>
      <c r="Q504" s="241"/>
      <c r="R504" s="241"/>
      <c r="S504" s="241"/>
      <c r="T504" s="241"/>
      <c r="U504" s="241"/>
      <c r="V504" s="241"/>
      <c r="W504" s="241"/>
      <c r="X504" s="241"/>
      <c r="Y504" s="241"/>
      <c r="Z504" s="241"/>
    </row>
    <row r="505" spans="1:26" ht="13.5" customHeight="1" x14ac:dyDescent="0.3">
      <c r="A505" s="241"/>
      <c r="B505" s="241"/>
      <c r="C505" s="241"/>
      <c r="D505" s="241"/>
      <c r="E505" s="241"/>
      <c r="F505" s="241"/>
      <c r="G505" s="241"/>
      <c r="H505" s="241"/>
      <c r="I505" s="241"/>
      <c r="J505" s="241"/>
      <c r="K505" s="241"/>
      <c r="L505" s="241"/>
      <c r="M505" s="241"/>
      <c r="N505" s="241"/>
      <c r="O505" s="241"/>
      <c r="P505" s="241"/>
      <c r="Q505" s="241"/>
      <c r="R505" s="241"/>
      <c r="S505" s="241"/>
      <c r="T505" s="241"/>
      <c r="U505" s="241"/>
      <c r="V505" s="241"/>
      <c r="W505" s="241"/>
      <c r="X505" s="241"/>
      <c r="Y505" s="241"/>
      <c r="Z505" s="241"/>
    </row>
    <row r="506" spans="1:26" ht="13.5" customHeight="1" x14ac:dyDescent="0.3">
      <c r="A506" s="241"/>
      <c r="B506" s="241"/>
      <c r="C506" s="241"/>
      <c r="D506" s="241"/>
      <c r="E506" s="241"/>
      <c r="F506" s="241"/>
      <c r="G506" s="241"/>
      <c r="H506" s="241"/>
      <c r="I506" s="241"/>
      <c r="J506" s="241"/>
      <c r="K506" s="241"/>
      <c r="L506" s="241"/>
      <c r="M506" s="241"/>
      <c r="N506" s="241"/>
      <c r="O506" s="241"/>
      <c r="P506" s="241"/>
      <c r="Q506" s="241"/>
      <c r="R506" s="241"/>
      <c r="S506" s="241"/>
      <c r="T506" s="241"/>
      <c r="U506" s="241"/>
      <c r="V506" s="241"/>
      <c r="W506" s="241"/>
      <c r="X506" s="241"/>
      <c r="Y506" s="241"/>
      <c r="Z506" s="241"/>
    </row>
    <row r="507" spans="1:26" ht="13.5" customHeight="1" x14ac:dyDescent="0.3">
      <c r="A507" s="241"/>
      <c r="B507" s="241"/>
      <c r="C507" s="241"/>
      <c r="D507" s="241"/>
      <c r="E507" s="241"/>
      <c r="F507" s="241"/>
      <c r="G507" s="241"/>
      <c r="H507" s="241"/>
      <c r="I507" s="241"/>
      <c r="J507" s="241"/>
      <c r="K507" s="241"/>
      <c r="L507" s="241"/>
      <c r="M507" s="241"/>
      <c r="N507" s="241"/>
      <c r="O507" s="241"/>
      <c r="P507" s="241"/>
      <c r="Q507" s="241"/>
      <c r="R507" s="241"/>
      <c r="S507" s="241"/>
      <c r="T507" s="241"/>
      <c r="U507" s="241"/>
      <c r="V507" s="241"/>
      <c r="W507" s="241"/>
      <c r="X507" s="241"/>
      <c r="Y507" s="241"/>
      <c r="Z507" s="241"/>
    </row>
    <row r="508" spans="1:26" ht="13.5" customHeight="1" x14ac:dyDescent="0.3">
      <c r="A508" s="241"/>
      <c r="B508" s="241"/>
      <c r="C508" s="241"/>
      <c r="D508" s="241"/>
      <c r="E508" s="241"/>
      <c r="F508" s="241"/>
      <c r="G508" s="241"/>
      <c r="H508" s="241"/>
      <c r="I508" s="241"/>
      <c r="J508" s="241"/>
      <c r="K508" s="241"/>
      <c r="L508" s="241"/>
      <c r="M508" s="241"/>
      <c r="N508" s="241"/>
      <c r="O508" s="241"/>
      <c r="P508" s="241"/>
      <c r="Q508" s="241"/>
      <c r="R508" s="241"/>
      <c r="S508" s="241"/>
      <c r="T508" s="241"/>
      <c r="U508" s="241"/>
      <c r="V508" s="241"/>
      <c r="W508" s="241"/>
      <c r="X508" s="241"/>
      <c r="Y508" s="241"/>
      <c r="Z508" s="241"/>
    </row>
    <row r="509" spans="1:26" ht="13.5" customHeight="1" x14ac:dyDescent="0.3">
      <c r="A509" s="241"/>
      <c r="B509" s="241"/>
      <c r="C509" s="241"/>
      <c r="D509" s="241"/>
      <c r="E509" s="241"/>
      <c r="F509" s="241"/>
      <c r="G509" s="241"/>
      <c r="H509" s="241"/>
      <c r="I509" s="241"/>
      <c r="J509" s="241"/>
      <c r="K509" s="241"/>
      <c r="L509" s="241"/>
      <c r="M509" s="241"/>
      <c r="N509" s="241"/>
      <c r="O509" s="241"/>
      <c r="P509" s="241"/>
      <c r="Q509" s="241"/>
      <c r="R509" s="241"/>
      <c r="S509" s="241"/>
      <c r="T509" s="241"/>
      <c r="U509" s="241"/>
      <c r="V509" s="241"/>
      <c r="W509" s="241"/>
      <c r="X509" s="241"/>
      <c r="Y509" s="241"/>
      <c r="Z509" s="241"/>
    </row>
    <row r="510" spans="1:26" ht="13.5" customHeight="1" x14ac:dyDescent="0.3">
      <c r="A510" s="241"/>
      <c r="B510" s="241"/>
      <c r="C510" s="241"/>
      <c r="D510" s="241"/>
      <c r="E510" s="241"/>
      <c r="F510" s="241"/>
      <c r="G510" s="241"/>
      <c r="H510" s="241"/>
      <c r="I510" s="241"/>
      <c r="J510" s="241"/>
      <c r="K510" s="241"/>
      <c r="L510" s="241"/>
      <c r="M510" s="241"/>
      <c r="N510" s="241"/>
      <c r="O510" s="241"/>
      <c r="P510" s="241"/>
      <c r="Q510" s="241"/>
      <c r="R510" s="241"/>
      <c r="S510" s="241"/>
      <c r="T510" s="241"/>
      <c r="U510" s="241"/>
      <c r="V510" s="241"/>
      <c r="W510" s="241"/>
      <c r="X510" s="241"/>
      <c r="Y510" s="241"/>
      <c r="Z510" s="241"/>
    </row>
    <row r="511" spans="1:26" ht="13.5" customHeight="1" x14ac:dyDescent="0.3">
      <c r="A511" s="241"/>
      <c r="B511" s="241"/>
      <c r="C511" s="241"/>
      <c r="D511" s="241"/>
      <c r="E511" s="241"/>
      <c r="F511" s="241"/>
      <c r="G511" s="241"/>
      <c r="H511" s="241"/>
      <c r="I511" s="241"/>
      <c r="J511" s="241"/>
      <c r="K511" s="241"/>
      <c r="L511" s="241"/>
      <c r="M511" s="241"/>
      <c r="N511" s="241"/>
      <c r="O511" s="241"/>
      <c r="P511" s="241"/>
      <c r="Q511" s="241"/>
      <c r="R511" s="241"/>
      <c r="S511" s="241"/>
      <c r="T511" s="241"/>
      <c r="U511" s="241"/>
      <c r="V511" s="241"/>
      <c r="W511" s="241"/>
      <c r="X511" s="241"/>
      <c r="Y511" s="241"/>
      <c r="Z511" s="241"/>
    </row>
    <row r="512" spans="1:26" ht="13.5" customHeight="1" x14ac:dyDescent="0.3">
      <c r="A512" s="241"/>
      <c r="B512" s="241"/>
      <c r="C512" s="241"/>
      <c r="D512" s="241"/>
      <c r="E512" s="241"/>
      <c r="F512" s="241"/>
      <c r="G512" s="241"/>
      <c r="H512" s="241"/>
      <c r="I512" s="241"/>
      <c r="J512" s="241"/>
      <c r="K512" s="241"/>
      <c r="L512" s="241"/>
      <c r="M512" s="241"/>
      <c r="N512" s="241"/>
      <c r="O512" s="241"/>
      <c r="P512" s="241"/>
      <c r="Q512" s="241"/>
      <c r="R512" s="241"/>
      <c r="S512" s="241"/>
      <c r="T512" s="241"/>
      <c r="U512" s="241"/>
      <c r="V512" s="241"/>
      <c r="W512" s="241"/>
      <c r="X512" s="241"/>
      <c r="Y512" s="241"/>
      <c r="Z512" s="241"/>
    </row>
    <row r="513" spans="1:26" ht="13.5" customHeight="1" x14ac:dyDescent="0.3">
      <c r="A513" s="241"/>
      <c r="B513" s="241"/>
      <c r="C513" s="241"/>
      <c r="D513" s="241"/>
      <c r="E513" s="241"/>
      <c r="F513" s="241"/>
      <c r="G513" s="241"/>
      <c r="H513" s="241"/>
      <c r="I513" s="241"/>
      <c r="J513" s="241"/>
      <c r="K513" s="241"/>
      <c r="L513" s="241"/>
      <c r="M513" s="241"/>
      <c r="N513" s="241"/>
      <c r="O513" s="241"/>
      <c r="P513" s="241"/>
      <c r="Q513" s="241"/>
      <c r="R513" s="241"/>
      <c r="S513" s="241"/>
      <c r="T513" s="241"/>
      <c r="U513" s="241"/>
      <c r="V513" s="241"/>
      <c r="W513" s="241"/>
      <c r="X513" s="241"/>
      <c r="Y513" s="241"/>
      <c r="Z513" s="241"/>
    </row>
    <row r="514" spans="1:26" ht="13.5" customHeight="1" x14ac:dyDescent="0.3">
      <c r="A514" s="241"/>
      <c r="B514" s="241"/>
      <c r="C514" s="241"/>
      <c r="D514" s="241"/>
      <c r="E514" s="241"/>
      <c r="F514" s="241"/>
      <c r="G514" s="241"/>
      <c r="H514" s="241"/>
      <c r="I514" s="241"/>
      <c r="J514" s="241"/>
      <c r="K514" s="241"/>
      <c r="L514" s="241"/>
      <c r="M514" s="241"/>
      <c r="N514" s="241"/>
      <c r="O514" s="241"/>
      <c r="P514" s="241"/>
      <c r="Q514" s="241"/>
      <c r="R514" s="241"/>
      <c r="S514" s="241"/>
      <c r="T514" s="241"/>
      <c r="U514" s="241"/>
      <c r="V514" s="241"/>
      <c r="W514" s="241"/>
      <c r="X514" s="241"/>
      <c r="Y514" s="241"/>
      <c r="Z514" s="241"/>
    </row>
    <row r="515" spans="1:26" ht="13.5" customHeight="1" x14ac:dyDescent="0.3">
      <c r="A515" s="241"/>
      <c r="B515" s="241"/>
      <c r="C515" s="241"/>
      <c r="D515" s="241"/>
      <c r="E515" s="241"/>
      <c r="F515" s="241"/>
      <c r="G515" s="241"/>
      <c r="H515" s="241"/>
      <c r="I515" s="241"/>
      <c r="J515" s="241"/>
      <c r="K515" s="241"/>
      <c r="L515" s="241"/>
      <c r="M515" s="241"/>
      <c r="N515" s="241"/>
      <c r="O515" s="241"/>
      <c r="P515" s="241"/>
      <c r="Q515" s="241"/>
      <c r="R515" s="241"/>
      <c r="S515" s="241"/>
      <c r="T515" s="241"/>
      <c r="U515" s="241"/>
      <c r="V515" s="241"/>
      <c r="W515" s="241"/>
      <c r="X515" s="241"/>
      <c r="Y515" s="241"/>
      <c r="Z515" s="241"/>
    </row>
    <row r="516" spans="1:26" ht="13.5" customHeight="1" x14ac:dyDescent="0.3">
      <c r="A516" s="241"/>
      <c r="B516" s="241"/>
      <c r="C516" s="241"/>
      <c r="D516" s="241"/>
      <c r="E516" s="241"/>
      <c r="F516" s="241"/>
      <c r="G516" s="241"/>
      <c r="H516" s="241"/>
      <c r="I516" s="241"/>
      <c r="J516" s="241"/>
      <c r="K516" s="241"/>
      <c r="L516" s="241"/>
      <c r="M516" s="241"/>
      <c r="N516" s="241"/>
      <c r="O516" s="241"/>
      <c r="P516" s="241"/>
      <c r="Q516" s="241"/>
      <c r="R516" s="241"/>
      <c r="S516" s="241"/>
      <c r="T516" s="241"/>
      <c r="U516" s="241"/>
      <c r="V516" s="241"/>
      <c r="W516" s="241"/>
      <c r="X516" s="241"/>
      <c r="Y516" s="241"/>
      <c r="Z516" s="241"/>
    </row>
    <row r="517" spans="1:26" ht="13.5" customHeight="1" x14ac:dyDescent="0.3">
      <c r="A517" s="241"/>
      <c r="B517" s="241"/>
      <c r="C517" s="241"/>
      <c r="D517" s="241"/>
      <c r="E517" s="241"/>
      <c r="F517" s="241"/>
      <c r="G517" s="241"/>
      <c r="H517" s="241"/>
      <c r="I517" s="241"/>
      <c r="J517" s="241"/>
      <c r="K517" s="241"/>
      <c r="L517" s="241"/>
      <c r="M517" s="241"/>
      <c r="N517" s="241"/>
      <c r="O517" s="241"/>
      <c r="P517" s="241"/>
      <c r="Q517" s="241"/>
      <c r="R517" s="241"/>
      <c r="S517" s="241"/>
      <c r="T517" s="241"/>
      <c r="U517" s="241"/>
      <c r="V517" s="241"/>
      <c r="W517" s="241"/>
      <c r="X517" s="241"/>
      <c r="Y517" s="241"/>
      <c r="Z517" s="241"/>
    </row>
    <row r="518" spans="1:26" ht="13.5" customHeight="1" x14ac:dyDescent="0.3">
      <c r="A518" s="241"/>
      <c r="B518" s="241"/>
      <c r="C518" s="241"/>
      <c r="D518" s="241"/>
      <c r="E518" s="241"/>
      <c r="F518" s="241"/>
      <c r="G518" s="241"/>
      <c r="H518" s="241"/>
      <c r="I518" s="241"/>
      <c r="J518" s="241"/>
      <c r="K518" s="241"/>
      <c r="L518" s="241"/>
      <c r="M518" s="241"/>
      <c r="N518" s="241"/>
      <c r="O518" s="241"/>
      <c r="P518" s="241"/>
      <c r="Q518" s="241"/>
      <c r="R518" s="241"/>
      <c r="S518" s="241"/>
      <c r="T518" s="241"/>
      <c r="U518" s="241"/>
      <c r="V518" s="241"/>
      <c r="W518" s="241"/>
      <c r="X518" s="241"/>
      <c r="Y518" s="241"/>
      <c r="Z518" s="241"/>
    </row>
    <row r="519" spans="1:26" ht="13.5" customHeight="1" x14ac:dyDescent="0.3">
      <c r="A519" s="241"/>
      <c r="B519" s="241"/>
      <c r="C519" s="241"/>
      <c r="D519" s="241"/>
      <c r="E519" s="241"/>
      <c r="F519" s="241"/>
      <c r="G519" s="241"/>
      <c r="H519" s="241"/>
      <c r="I519" s="241"/>
      <c r="J519" s="241"/>
      <c r="K519" s="241"/>
      <c r="L519" s="241"/>
      <c r="M519" s="241"/>
      <c r="N519" s="241"/>
      <c r="O519" s="241"/>
      <c r="P519" s="241"/>
      <c r="Q519" s="241"/>
      <c r="R519" s="241"/>
      <c r="S519" s="241"/>
      <c r="T519" s="241"/>
      <c r="U519" s="241"/>
      <c r="V519" s="241"/>
      <c r="W519" s="241"/>
      <c r="X519" s="241"/>
      <c r="Y519" s="241"/>
      <c r="Z519" s="241"/>
    </row>
    <row r="520" spans="1:26" ht="13.5" customHeight="1" x14ac:dyDescent="0.3">
      <c r="A520" s="241"/>
      <c r="B520" s="241"/>
      <c r="C520" s="241"/>
      <c r="D520" s="241"/>
      <c r="E520" s="241"/>
      <c r="F520" s="241"/>
      <c r="G520" s="241"/>
      <c r="H520" s="241"/>
      <c r="I520" s="241"/>
      <c r="J520" s="241"/>
      <c r="K520" s="241"/>
      <c r="L520" s="241"/>
      <c r="M520" s="241"/>
      <c r="N520" s="241"/>
      <c r="O520" s="241"/>
      <c r="P520" s="241"/>
      <c r="Q520" s="241"/>
      <c r="R520" s="241"/>
      <c r="S520" s="241"/>
      <c r="T520" s="241"/>
      <c r="U520" s="241"/>
      <c r="V520" s="241"/>
      <c r="W520" s="241"/>
      <c r="X520" s="241"/>
      <c r="Y520" s="241"/>
      <c r="Z520" s="241"/>
    </row>
    <row r="521" spans="1:26" ht="13.5" customHeight="1" x14ac:dyDescent="0.3">
      <c r="A521" s="241"/>
      <c r="B521" s="241"/>
      <c r="C521" s="241"/>
      <c r="D521" s="241"/>
      <c r="E521" s="241"/>
      <c r="F521" s="241"/>
      <c r="G521" s="241"/>
      <c r="H521" s="241"/>
      <c r="I521" s="241"/>
      <c r="J521" s="241"/>
      <c r="K521" s="241"/>
      <c r="L521" s="241"/>
      <c r="M521" s="241"/>
      <c r="N521" s="241"/>
      <c r="O521" s="241"/>
      <c r="P521" s="241"/>
      <c r="Q521" s="241"/>
      <c r="R521" s="241"/>
      <c r="S521" s="241"/>
      <c r="T521" s="241"/>
      <c r="U521" s="241"/>
      <c r="V521" s="241"/>
      <c r="W521" s="241"/>
      <c r="X521" s="241"/>
      <c r="Y521" s="241"/>
      <c r="Z521" s="241"/>
    </row>
    <row r="522" spans="1:26" ht="13.5" customHeight="1" x14ac:dyDescent="0.3">
      <c r="A522" s="241"/>
      <c r="B522" s="241"/>
      <c r="C522" s="241"/>
      <c r="D522" s="241"/>
      <c r="E522" s="241"/>
      <c r="F522" s="241"/>
      <c r="G522" s="241"/>
      <c r="H522" s="241"/>
      <c r="I522" s="241"/>
      <c r="J522" s="241"/>
      <c r="K522" s="241"/>
      <c r="L522" s="241"/>
      <c r="M522" s="241"/>
      <c r="N522" s="241"/>
      <c r="O522" s="241"/>
      <c r="P522" s="241"/>
      <c r="Q522" s="241"/>
      <c r="R522" s="241"/>
      <c r="S522" s="241"/>
      <c r="T522" s="241"/>
      <c r="U522" s="241"/>
      <c r="V522" s="241"/>
      <c r="W522" s="241"/>
      <c r="X522" s="241"/>
      <c r="Y522" s="241"/>
      <c r="Z522" s="241"/>
    </row>
    <row r="523" spans="1:26" ht="13.5" customHeight="1" x14ac:dyDescent="0.3">
      <c r="A523" s="241"/>
      <c r="B523" s="241"/>
      <c r="C523" s="241"/>
      <c r="D523" s="241"/>
      <c r="E523" s="241"/>
      <c r="F523" s="241"/>
      <c r="G523" s="241"/>
      <c r="H523" s="241"/>
      <c r="I523" s="241"/>
      <c r="J523" s="241"/>
      <c r="K523" s="241"/>
      <c r="L523" s="241"/>
      <c r="M523" s="241"/>
      <c r="N523" s="241"/>
      <c r="O523" s="241"/>
      <c r="P523" s="241"/>
      <c r="Q523" s="241"/>
      <c r="R523" s="241"/>
      <c r="S523" s="241"/>
      <c r="T523" s="241"/>
      <c r="U523" s="241"/>
      <c r="V523" s="241"/>
      <c r="W523" s="241"/>
      <c r="X523" s="241"/>
      <c r="Y523" s="241"/>
      <c r="Z523" s="241"/>
    </row>
    <row r="524" spans="1:26" ht="13.5" customHeight="1" x14ac:dyDescent="0.3">
      <c r="A524" s="241"/>
      <c r="B524" s="241"/>
      <c r="C524" s="241"/>
      <c r="D524" s="241"/>
      <c r="E524" s="241"/>
      <c r="F524" s="241"/>
      <c r="G524" s="241"/>
      <c r="H524" s="241"/>
      <c r="I524" s="241"/>
      <c r="J524" s="241"/>
      <c r="K524" s="241"/>
      <c r="L524" s="241"/>
      <c r="M524" s="241"/>
      <c r="N524" s="241"/>
      <c r="O524" s="241"/>
      <c r="P524" s="241"/>
      <c r="Q524" s="241"/>
      <c r="R524" s="241"/>
      <c r="S524" s="241"/>
      <c r="T524" s="241"/>
      <c r="U524" s="241"/>
      <c r="V524" s="241"/>
      <c r="W524" s="241"/>
      <c r="X524" s="241"/>
      <c r="Y524" s="241"/>
      <c r="Z524" s="241"/>
    </row>
    <row r="525" spans="1:26" ht="13.5" customHeight="1" x14ac:dyDescent="0.3">
      <c r="A525" s="241"/>
      <c r="B525" s="241"/>
      <c r="C525" s="241"/>
      <c r="D525" s="241"/>
      <c r="E525" s="241"/>
      <c r="F525" s="241"/>
      <c r="G525" s="241"/>
      <c r="H525" s="241"/>
      <c r="I525" s="241"/>
      <c r="J525" s="241"/>
      <c r="K525" s="241"/>
      <c r="L525" s="241"/>
      <c r="M525" s="241"/>
      <c r="N525" s="241"/>
      <c r="O525" s="241"/>
      <c r="P525" s="241"/>
      <c r="Q525" s="241"/>
      <c r="R525" s="241"/>
      <c r="S525" s="241"/>
      <c r="T525" s="241"/>
      <c r="U525" s="241"/>
      <c r="V525" s="241"/>
      <c r="W525" s="241"/>
      <c r="X525" s="241"/>
      <c r="Y525" s="241"/>
      <c r="Z525" s="241"/>
    </row>
    <row r="526" spans="1:26" ht="13.5" customHeight="1" x14ac:dyDescent="0.3">
      <c r="A526" s="241"/>
      <c r="B526" s="241"/>
      <c r="C526" s="241"/>
      <c r="D526" s="241"/>
      <c r="E526" s="241"/>
      <c r="F526" s="241"/>
      <c r="G526" s="241"/>
      <c r="H526" s="241"/>
      <c r="I526" s="241"/>
      <c r="J526" s="241"/>
      <c r="K526" s="241"/>
      <c r="L526" s="241"/>
      <c r="M526" s="241"/>
      <c r="N526" s="241"/>
      <c r="O526" s="241"/>
      <c r="P526" s="241"/>
      <c r="Q526" s="241"/>
      <c r="R526" s="241"/>
      <c r="S526" s="241"/>
      <c r="T526" s="241"/>
      <c r="U526" s="241"/>
      <c r="V526" s="241"/>
      <c r="W526" s="241"/>
      <c r="X526" s="241"/>
      <c r="Y526" s="241"/>
      <c r="Z526" s="241"/>
    </row>
    <row r="527" spans="1:26" ht="13.5" customHeight="1" x14ac:dyDescent="0.3">
      <c r="A527" s="241"/>
      <c r="B527" s="241"/>
      <c r="C527" s="241"/>
      <c r="D527" s="241"/>
      <c r="E527" s="241"/>
      <c r="F527" s="241"/>
      <c r="G527" s="241"/>
      <c r="H527" s="241"/>
      <c r="I527" s="241"/>
      <c r="J527" s="241"/>
      <c r="K527" s="241"/>
      <c r="L527" s="241"/>
      <c r="M527" s="241"/>
      <c r="N527" s="241"/>
      <c r="O527" s="241"/>
      <c r="P527" s="241"/>
      <c r="Q527" s="241"/>
      <c r="R527" s="241"/>
      <c r="S527" s="241"/>
      <c r="T527" s="241"/>
      <c r="U527" s="241"/>
      <c r="V527" s="241"/>
      <c r="W527" s="241"/>
      <c r="X527" s="241"/>
      <c r="Y527" s="241"/>
      <c r="Z527" s="241"/>
    </row>
    <row r="528" spans="1:26" ht="13.5" customHeight="1" x14ac:dyDescent="0.3">
      <c r="A528" s="241"/>
      <c r="B528" s="241"/>
      <c r="C528" s="241"/>
      <c r="D528" s="241"/>
      <c r="E528" s="241"/>
      <c r="F528" s="241"/>
      <c r="G528" s="241"/>
      <c r="H528" s="241"/>
      <c r="I528" s="241"/>
      <c r="J528" s="241"/>
      <c r="K528" s="241"/>
      <c r="L528" s="241"/>
      <c r="M528" s="241"/>
      <c r="N528" s="241"/>
      <c r="O528" s="241"/>
      <c r="P528" s="241"/>
      <c r="Q528" s="241"/>
      <c r="R528" s="241"/>
      <c r="S528" s="241"/>
      <c r="T528" s="241"/>
      <c r="U528" s="241"/>
      <c r="V528" s="241"/>
      <c r="W528" s="241"/>
      <c r="X528" s="241"/>
      <c r="Y528" s="241"/>
      <c r="Z528" s="241"/>
    </row>
    <row r="529" spans="1:26" ht="13.5" customHeight="1" x14ac:dyDescent="0.3">
      <c r="A529" s="241"/>
      <c r="B529" s="241"/>
      <c r="C529" s="241"/>
      <c r="D529" s="241"/>
      <c r="E529" s="241"/>
      <c r="F529" s="241"/>
      <c r="G529" s="241"/>
      <c r="H529" s="241"/>
      <c r="I529" s="241"/>
      <c r="J529" s="241"/>
      <c r="K529" s="241"/>
      <c r="L529" s="241"/>
      <c r="M529" s="241"/>
      <c r="N529" s="241"/>
      <c r="O529" s="241"/>
      <c r="P529" s="241"/>
      <c r="Q529" s="241"/>
      <c r="R529" s="241"/>
      <c r="S529" s="241"/>
      <c r="T529" s="241"/>
      <c r="U529" s="241"/>
      <c r="V529" s="241"/>
      <c r="W529" s="241"/>
      <c r="X529" s="241"/>
      <c r="Y529" s="241"/>
      <c r="Z529" s="241"/>
    </row>
    <row r="530" spans="1:26" ht="13.5" customHeight="1" x14ac:dyDescent="0.3">
      <c r="A530" s="241"/>
      <c r="B530" s="241"/>
      <c r="C530" s="241"/>
      <c r="D530" s="241"/>
      <c r="E530" s="241"/>
      <c r="F530" s="241"/>
      <c r="G530" s="241"/>
      <c r="H530" s="241"/>
      <c r="I530" s="241"/>
      <c r="J530" s="241"/>
      <c r="K530" s="241"/>
      <c r="L530" s="241"/>
      <c r="M530" s="241"/>
      <c r="N530" s="241"/>
      <c r="O530" s="241"/>
      <c r="P530" s="241"/>
      <c r="Q530" s="241"/>
      <c r="R530" s="241"/>
      <c r="S530" s="241"/>
      <c r="T530" s="241"/>
      <c r="U530" s="241"/>
      <c r="V530" s="241"/>
      <c r="W530" s="241"/>
      <c r="X530" s="241"/>
      <c r="Y530" s="241"/>
      <c r="Z530" s="241"/>
    </row>
    <row r="531" spans="1:26" ht="13.5" customHeight="1" x14ac:dyDescent="0.3">
      <c r="A531" s="241"/>
      <c r="B531" s="241"/>
      <c r="C531" s="241"/>
      <c r="D531" s="241"/>
      <c r="E531" s="241"/>
      <c r="F531" s="241"/>
      <c r="G531" s="241"/>
      <c r="H531" s="241"/>
      <c r="I531" s="241"/>
      <c r="J531" s="241"/>
      <c r="K531" s="241"/>
      <c r="L531" s="241"/>
      <c r="M531" s="241"/>
      <c r="N531" s="241"/>
      <c r="O531" s="241"/>
      <c r="P531" s="241"/>
      <c r="Q531" s="241"/>
      <c r="R531" s="241"/>
      <c r="S531" s="241"/>
      <c r="T531" s="241"/>
      <c r="U531" s="241"/>
      <c r="V531" s="241"/>
      <c r="W531" s="241"/>
      <c r="X531" s="241"/>
      <c r="Y531" s="241"/>
      <c r="Z531" s="241"/>
    </row>
    <row r="532" spans="1:26" ht="13.5" customHeight="1" x14ac:dyDescent="0.3">
      <c r="A532" s="241"/>
      <c r="B532" s="241"/>
      <c r="C532" s="241"/>
      <c r="D532" s="241"/>
      <c r="E532" s="241"/>
      <c r="F532" s="241"/>
      <c r="G532" s="241"/>
      <c r="H532" s="241"/>
      <c r="I532" s="241"/>
      <c r="J532" s="241"/>
      <c r="K532" s="241"/>
      <c r="L532" s="241"/>
      <c r="M532" s="241"/>
      <c r="N532" s="241"/>
      <c r="O532" s="241"/>
      <c r="P532" s="241"/>
      <c r="Q532" s="241"/>
      <c r="R532" s="241"/>
      <c r="S532" s="241"/>
      <c r="T532" s="241"/>
      <c r="U532" s="241"/>
      <c r="V532" s="241"/>
      <c r="W532" s="241"/>
      <c r="X532" s="241"/>
      <c r="Y532" s="241"/>
      <c r="Z532" s="241"/>
    </row>
    <row r="533" spans="1:26" ht="13.5" customHeight="1" x14ac:dyDescent="0.3">
      <c r="A533" s="241"/>
      <c r="B533" s="241"/>
      <c r="C533" s="241"/>
      <c r="D533" s="241"/>
      <c r="E533" s="241"/>
      <c r="F533" s="241"/>
      <c r="G533" s="241"/>
      <c r="H533" s="241"/>
      <c r="I533" s="241"/>
      <c r="J533" s="241"/>
      <c r="K533" s="241"/>
      <c r="L533" s="241"/>
      <c r="M533" s="241"/>
      <c r="N533" s="241"/>
      <c r="O533" s="241"/>
      <c r="P533" s="241"/>
      <c r="Q533" s="241"/>
      <c r="R533" s="241"/>
      <c r="S533" s="241"/>
      <c r="T533" s="241"/>
      <c r="U533" s="241"/>
      <c r="V533" s="241"/>
      <c r="W533" s="241"/>
      <c r="X533" s="241"/>
      <c r="Y533" s="241"/>
      <c r="Z533" s="241"/>
    </row>
    <row r="534" spans="1:26" ht="13.5" customHeight="1" x14ac:dyDescent="0.3">
      <c r="A534" s="241"/>
      <c r="B534" s="241"/>
      <c r="C534" s="241"/>
      <c r="D534" s="241"/>
      <c r="E534" s="241"/>
      <c r="F534" s="241"/>
      <c r="G534" s="241"/>
      <c r="H534" s="241"/>
      <c r="I534" s="241"/>
      <c r="J534" s="241"/>
      <c r="K534" s="241"/>
      <c r="L534" s="241"/>
      <c r="M534" s="241"/>
      <c r="N534" s="241"/>
      <c r="O534" s="241"/>
      <c r="P534" s="241"/>
      <c r="Q534" s="241"/>
      <c r="R534" s="241"/>
      <c r="S534" s="241"/>
      <c r="T534" s="241"/>
      <c r="U534" s="241"/>
      <c r="V534" s="241"/>
      <c r="W534" s="241"/>
      <c r="X534" s="241"/>
      <c r="Y534" s="241"/>
      <c r="Z534" s="241"/>
    </row>
    <row r="535" spans="1:26" ht="13.5" customHeight="1" x14ac:dyDescent="0.3">
      <c r="A535" s="241"/>
      <c r="B535" s="241"/>
      <c r="C535" s="241"/>
      <c r="D535" s="241"/>
      <c r="E535" s="241"/>
      <c r="F535" s="241"/>
      <c r="G535" s="241"/>
      <c r="H535" s="241"/>
      <c r="I535" s="241"/>
      <c r="J535" s="241"/>
      <c r="K535" s="241"/>
      <c r="L535" s="241"/>
      <c r="M535" s="241"/>
      <c r="N535" s="241"/>
      <c r="O535" s="241"/>
      <c r="P535" s="241"/>
      <c r="Q535" s="241"/>
      <c r="R535" s="241"/>
      <c r="S535" s="241"/>
      <c r="T535" s="241"/>
      <c r="U535" s="241"/>
      <c r="V535" s="241"/>
      <c r="W535" s="241"/>
      <c r="X535" s="241"/>
      <c r="Y535" s="241"/>
      <c r="Z535" s="241"/>
    </row>
    <row r="536" spans="1:26" ht="13.5" customHeight="1" x14ac:dyDescent="0.3">
      <c r="A536" s="241"/>
      <c r="B536" s="241"/>
      <c r="C536" s="241"/>
      <c r="D536" s="241"/>
      <c r="E536" s="241"/>
      <c r="F536" s="241"/>
      <c r="G536" s="241"/>
      <c r="H536" s="241"/>
      <c r="I536" s="241"/>
      <c r="J536" s="241"/>
      <c r="K536" s="241"/>
      <c r="L536" s="241"/>
      <c r="M536" s="241"/>
      <c r="N536" s="241"/>
      <c r="O536" s="241"/>
      <c r="P536" s="241"/>
      <c r="Q536" s="241"/>
      <c r="R536" s="241"/>
      <c r="S536" s="241"/>
      <c r="T536" s="241"/>
      <c r="U536" s="241"/>
      <c r="V536" s="241"/>
      <c r="W536" s="241"/>
      <c r="X536" s="241"/>
      <c r="Y536" s="241"/>
      <c r="Z536" s="241"/>
    </row>
    <row r="537" spans="1:26" ht="13.5" customHeight="1" x14ac:dyDescent="0.3">
      <c r="A537" s="241"/>
      <c r="B537" s="241"/>
      <c r="C537" s="241"/>
      <c r="D537" s="241"/>
      <c r="E537" s="241"/>
      <c r="F537" s="241"/>
      <c r="G537" s="241"/>
      <c r="H537" s="241"/>
      <c r="I537" s="241"/>
      <c r="J537" s="241"/>
      <c r="K537" s="241"/>
      <c r="L537" s="241"/>
      <c r="M537" s="241"/>
      <c r="N537" s="241"/>
      <c r="O537" s="241"/>
      <c r="P537" s="241"/>
      <c r="Q537" s="241"/>
      <c r="R537" s="241"/>
      <c r="S537" s="241"/>
      <c r="T537" s="241"/>
      <c r="U537" s="241"/>
      <c r="V537" s="241"/>
      <c r="W537" s="241"/>
      <c r="X537" s="241"/>
      <c r="Y537" s="241"/>
      <c r="Z537" s="241"/>
    </row>
    <row r="538" spans="1:26" ht="13.5" customHeight="1" x14ac:dyDescent="0.3">
      <c r="A538" s="241"/>
      <c r="B538" s="241"/>
      <c r="C538" s="241"/>
      <c r="D538" s="241"/>
      <c r="E538" s="241"/>
      <c r="F538" s="241"/>
      <c r="G538" s="241"/>
      <c r="H538" s="241"/>
      <c r="I538" s="241"/>
      <c r="J538" s="241"/>
      <c r="K538" s="241"/>
      <c r="L538" s="241"/>
      <c r="M538" s="241"/>
      <c r="N538" s="241"/>
      <c r="O538" s="241"/>
      <c r="P538" s="241"/>
      <c r="Q538" s="241"/>
      <c r="R538" s="241"/>
      <c r="S538" s="241"/>
      <c r="T538" s="241"/>
      <c r="U538" s="241"/>
      <c r="V538" s="241"/>
      <c r="W538" s="241"/>
      <c r="X538" s="241"/>
      <c r="Y538" s="241"/>
      <c r="Z538" s="241"/>
    </row>
    <row r="539" spans="1:26" ht="13.5" customHeight="1" x14ac:dyDescent="0.3">
      <c r="A539" s="241"/>
      <c r="B539" s="241"/>
      <c r="C539" s="241"/>
      <c r="D539" s="241"/>
      <c r="E539" s="241"/>
      <c r="F539" s="241"/>
      <c r="G539" s="241"/>
      <c r="H539" s="241"/>
      <c r="I539" s="241"/>
      <c r="J539" s="241"/>
      <c r="K539" s="241"/>
      <c r="L539" s="241"/>
      <c r="M539" s="241"/>
      <c r="N539" s="241"/>
      <c r="O539" s="241"/>
      <c r="P539" s="241"/>
      <c r="Q539" s="241"/>
      <c r="R539" s="241"/>
      <c r="S539" s="241"/>
      <c r="T539" s="241"/>
      <c r="U539" s="241"/>
      <c r="V539" s="241"/>
      <c r="W539" s="241"/>
      <c r="X539" s="241"/>
      <c r="Y539" s="241"/>
      <c r="Z539" s="241"/>
    </row>
    <row r="540" spans="1:26" ht="13.5" customHeight="1" x14ac:dyDescent="0.3">
      <c r="A540" s="241"/>
      <c r="B540" s="241"/>
      <c r="C540" s="241"/>
      <c r="D540" s="241"/>
      <c r="E540" s="241"/>
      <c r="F540" s="241"/>
      <c r="G540" s="241"/>
      <c r="H540" s="241"/>
      <c r="I540" s="241"/>
      <c r="J540" s="241"/>
      <c r="K540" s="241"/>
      <c r="L540" s="241"/>
      <c r="M540" s="241"/>
      <c r="N540" s="241"/>
      <c r="O540" s="241"/>
      <c r="P540" s="241"/>
      <c r="Q540" s="241"/>
      <c r="R540" s="241"/>
      <c r="S540" s="241"/>
      <c r="T540" s="241"/>
      <c r="U540" s="241"/>
      <c r="V540" s="241"/>
      <c r="W540" s="241"/>
      <c r="X540" s="241"/>
      <c r="Y540" s="241"/>
      <c r="Z540" s="241"/>
    </row>
    <row r="541" spans="1:26" ht="13.5" customHeight="1" x14ac:dyDescent="0.3">
      <c r="A541" s="241"/>
      <c r="B541" s="241"/>
      <c r="C541" s="241"/>
      <c r="D541" s="241"/>
      <c r="E541" s="241"/>
      <c r="F541" s="241"/>
      <c r="G541" s="241"/>
      <c r="H541" s="241"/>
      <c r="I541" s="241"/>
      <c r="J541" s="241"/>
      <c r="K541" s="241"/>
      <c r="L541" s="241"/>
      <c r="M541" s="241"/>
      <c r="N541" s="241"/>
      <c r="O541" s="241"/>
      <c r="P541" s="241"/>
      <c r="Q541" s="241"/>
      <c r="R541" s="241"/>
      <c r="S541" s="241"/>
      <c r="T541" s="241"/>
      <c r="U541" s="241"/>
      <c r="V541" s="241"/>
      <c r="W541" s="241"/>
      <c r="X541" s="241"/>
      <c r="Y541" s="241"/>
      <c r="Z541" s="241"/>
    </row>
    <row r="542" spans="1:26" ht="13.5" customHeight="1" x14ac:dyDescent="0.3">
      <c r="A542" s="241"/>
      <c r="B542" s="241"/>
      <c r="C542" s="241"/>
      <c r="D542" s="241"/>
      <c r="E542" s="241"/>
      <c r="F542" s="241"/>
      <c r="G542" s="241"/>
      <c r="H542" s="241"/>
      <c r="I542" s="241"/>
      <c r="J542" s="241"/>
      <c r="K542" s="241"/>
      <c r="L542" s="241"/>
      <c r="M542" s="241"/>
      <c r="N542" s="241"/>
      <c r="O542" s="241"/>
      <c r="P542" s="241"/>
      <c r="Q542" s="241"/>
      <c r="R542" s="241"/>
      <c r="S542" s="241"/>
      <c r="T542" s="241"/>
      <c r="U542" s="241"/>
      <c r="V542" s="241"/>
      <c r="W542" s="241"/>
      <c r="X542" s="241"/>
      <c r="Y542" s="241"/>
      <c r="Z542" s="241"/>
    </row>
    <row r="543" spans="1:26" ht="13.5" customHeight="1" x14ac:dyDescent="0.3">
      <c r="A543" s="241"/>
      <c r="B543" s="241"/>
      <c r="C543" s="241"/>
      <c r="D543" s="241"/>
      <c r="E543" s="241"/>
      <c r="F543" s="241"/>
      <c r="G543" s="241"/>
      <c r="H543" s="241"/>
      <c r="I543" s="241"/>
      <c r="J543" s="241"/>
      <c r="K543" s="241"/>
      <c r="L543" s="241"/>
      <c r="M543" s="241"/>
      <c r="N543" s="241"/>
      <c r="O543" s="241"/>
      <c r="P543" s="241"/>
      <c r="Q543" s="241"/>
      <c r="R543" s="241"/>
      <c r="S543" s="241"/>
      <c r="T543" s="241"/>
      <c r="U543" s="241"/>
      <c r="V543" s="241"/>
      <c r="W543" s="241"/>
      <c r="X543" s="241"/>
      <c r="Y543" s="241"/>
      <c r="Z543" s="241"/>
    </row>
    <row r="544" spans="1:26" ht="13.5" customHeight="1" x14ac:dyDescent="0.3">
      <c r="A544" s="241"/>
      <c r="B544" s="241"/>
      <c r="C544" s="241"/>
      <c r="D544" s="241"/>
      <c r="E544" s="241"/>
      <c r="F544" s="241"/>
      <c r="G544" s="241"/>
      <c r="H544" s="241"/>
      <c r="I544" s="241"/>
      <c r="J544" s="241"/>
      <c r="K544" s="241"/>
      <c r="L544" s="241"/>
      <c r="M544" s="241"/>
      <c r="N544" s="241"/>
      <c r="O544" s="241"/>
      <c r="P544" s="241"/>
      <c r="Q544" s="241"/>
      <c r="R544" s="241"/>
      <c r="S544" s="241"/>
      <c r="T544" s="241"/>
      <c r="U544" s="241"/>
      <c r="V544" s="241"/>
      <c r="W544" s="241"/>
      <c r="X544" s="241"/>
      <c r="Y544" s="241"/>
      <c r="Z544" s="241"/>
    </row>
    <row r="545" spans="1:26" ht="13.5" customHeight="1" x14ac:dyDescent="0.3">
      <c r="A545" s="241"/>
      <c r="B545" s="241"/>
      <c r="C545" s="241"/>
      <c r="D545" s="241"/>
      <c r="E545" s="241"/>
      <c r="F545" s="241"/>
      <c r="G545" s="241"/>
      <c r="H545" s="241"/>
      <c r="I545" s="241"/>
      <c r="J545" s="241"/>
      <c r="K545" s="241"/>
      <c r="L545" s="241"/>
      <c r="M545" s="241"/>
      <c r="N545" s="241"/>
      <c r="O545" s="241"/>
      <c r="P545" s="241"/>
      <c r="Q545" s="241"/>
      <c r="R545" s="241"/>
      <c r="S545" s="241"/>
      <c r="T545" s="241"/>
      <c r="U545" s="241"/>
      <c r="V545" s="241"/>
      <c r="W545" s="241"/>
      <c r="X545" s="241"/>
      <c r="Y545" s="241"/>
      <c r="Z545" s="241"/>
    </row>
    <row r="546" spans="1:26" ht="13.5" customHeight="1" x14ac:dyDescent="0.3">
      <c r="A546" s="241"/>
      <c r="B546" s="241"/>
      <c r="C546" s="241"/>
      <c r="D546" s="241"/>
      <c r="E546" s="241"/>
      <c r="F546" s="241"/>
      <c r="G546" s="241"/>
      <c r="H546" s="241"/>
      <c r="I546" s="241"/>
      <c r="J546" s="241"/>
      <c r="K546" s="241"/>
      <c r="L546" s="241"/>
      <c r="M546" s="241"/>
      <c r="N546" s="241"/>
      <c r="O546" s="241"/>
      <c r="P546" s="241"/>
      <c r="Q546" s="241"/>
      <c r="R546" s="241"/>
      <c r="S546" s="241"/>
      <c r="T546" s="241"/>
      <c r="U546" s="241"/>
      <c r="V546" s="241"/>
      <c r="W546" s="241"/>
      <c r="X546" s="241"/>
      <c r="Y546" s="241"/>
      <c r="Z546" s="241"/>
    </row>
    <row r="547" spans="1:26" ht="13.5" customHeight="1" x14ac:dyDescent="0.3">
      <c r="A547" s="241"/>
      <c r="B547" s="241"/>
      <c r="C547" s="241"/>
      <c r="D547" s="241"/>
      <c r="E547" s="241"/>
      <c r="F547" s="241"/>
      <c r="G547" s="241"/>
      <c r="H547" s="241"/>
      <c r="I547" s="241"/>
      <c r="J547" s="241"/>
      <c r="K547" s="241"/>
      <c r="L547" s="241"/>
      <c r="M547" s="241"/>
      <c r="N547" s="241"/>
      <c r="O547" s="241"/>
      <c r="P547" s="241"/>
      <c r="Q547" s="241"/>
      <c r="R547" s="241"/>
      <c r="S547" s="241"/>
      <c r="T547" s="241"/>
      <c r="U547" s="241"/>
      <c r="V547" s="241"/>
      <c r="W547" s="241"/>
      <c r="X547" s="241"/>
      <c r="Y547" s="241"/>
      <c r="Z547" s="241"/>
    </row>
    <row r="548" spans="1:26" ht="13.5" customHeight="1" x14ac:dyDescent="0.3">
      <c r="A548" s="241"/>
      <c r="B548" s="241"/>
      <c r="C548" s="241"/>
      <c r="D548" s="241"/>
      <c r="E548" s="241"/>
      <c r="F548" s="241"/>
      <c r="G548" s="241"/>
      <c r="H548" s="241"/>
      <c r="I548" s="241"/>
      <c r="J548" s="241"/>
      <c r="K548" s="241"/>
      <c r="L548" s="241"/>
      <c r="M548" s="241"/>
      <c r="N548" s="241"/>
      <c r="O548" s="241"/>
      <c r="P548" s="241"/>
      <c r="Q548" s="241"/>
      <c r="R548" s="241"/>
      <c r="S548" s="241"/>
      <c r="T548" s="241"/>
      <c r="U548" s="241"/>
      <c r="V548" s="241"/>
      <c r="W548" s="241"/>
      <c r="X548" s="241"/>
      <c r="Y548" s="241"/>
      <c r="Z548" s="241"/>
    </row>
    <row r="549" spans="1:26" ht="13.5" customHeight="1" x14ac:dyDescent="0.3">
      <c r="A549" s="241"/>
      <c r="B549" s="241"/>
      <c r="C549" s="241"/>
      <c r="D549" s="241"/>
      <c r="E549" s="241"/>
      <c r="F549" s="241"/>
      <c r="G549" s="241"/>
      <c r="H549" s="241"/>
      <c r="I549" s="241"/>
      <c r="J549" s="241"/>
      <c r="K549" s="241"/>
      <c r="L549" s="241"/>
      <c r="M549" s="241"/>
      <c r="N549" s="241"/>
      <c r="O549" s="241"/>
      <c r="P549" s="241"/>
      <c r="Q549" s="241"/>
      <c r="R549" s="241"/>
      <c r="S549" s="241"/>
      <c r="T549" s="241"/>
      <c r="U549" s="241"/>
      <c r="V549" s="241"/>
      <c r="W549" s="241"/>
      <c r="X549" s="241"/>
      <c r="Y549" s="241"/>
      <c r="Z549" s="241"/>
    </row>
    <row r="550" spans="1:26" ht="13.5" customHeight="1" x14ac:dyDescent="0.3">
      <c r="A550" s="241"/>
      <c r="B550" s="241"/>
      <c r="C550" s="241"/>
      <c r="D550" s="241"/>
      <c r="E550" s="241"/>
      <c r="F550" s="241"/>
      <c r="G550" s="241"/>
      <c r="H550" s="241"/>
      <c r="I550" s="241"/>
      <c r="J550" s="241"/>
      <c r="K550" s="241"/>
      <c r="L550" s="241"/>
      <c r="M550" s="241"/>
      <c r="N550" s="241"/>
      <c r="O550" s="241"/>
      <c r="P550" s="241"/>
      <c r="Q550" s="241"/>
      <c r="R550" s="241"/>
      <c r="S550" s="241"/>
      <c r="T550" s="241"/>
      <c r="U550" s="241"/>
      <c r="V550" s="241"/>
      <c r="W550" s="241"/>
      <c r="X550" s="241"/>
      <c r="Y550" s="241"/>
      <c r="Z550" s="241"/>
    </row>
    <row r="551" spans="1:26" ht="13.5" customHeight="1" x14ac:dyDescent="0.3">
      <c r="A551" s="241"/>
      <c r="B551" s="241"/>
      <c r="C551" s="241"/>
      <c r="D551" s="241"/>
      <c r="E551" s="241"/>
      <c r="F551" s="241"/>
      <c r="G551" s="241"/>
      <c r="H551" s="241"/>
      <c r="I551" s="241"/>
      <c r="J551" s="241"/>
      <c r="K551" s="241"/>
      <c r="L551" s="241"/>
      <c r="M551" s="241"/>
      <c r="N551" s="241"/>
      <c r="O551" s="241"/>
      <c r="P551" s="241"/>
      <c r="Q551" s="241"/>
      <c r="R551" s="241"/>
      <c r="S551" s="241"/>
      <c r="T551" s="241"/>
      <c r="U551" s="241"/>
      <c r="V551" s="241"/>
      <c r="W551" s="241"/>
      <c r="X551" s="241"/>
      <c r="Y551" s="241"/>
      <c r="Z551" s="241"/>
    </row>
    <row r="552" spans="1:26" ht="13.5" customHeight="1" x14ac:dyDescent="0.3">
      <c r="A552" s="241"/>
      <c r="B552" s="241"/>
      <c r="C552" s="241"/>
      <c r="D552" s="241"/>
      <c r="E552" s="241"/>
      <c r="F552" s="241"/>
      <c r="G552" s="241"/>
      <c r="H552" s="241"/>
      <c r="I552" s="241"/>
      <c r="J552" s="241"/>
      <c r="K552" s="241"/>
      <c r="L552" s="241"/>
      <c r="M552" s="241"/>
      <c r="N552" s="241"/>
      <c r="O552" s="241"/>
      <c r="P552" s="241"/>
      <c r="Q552" s="241"/>
      <c r="R552" s="241"/>
      <c r="S552" s="241"/>
      <c r="T552" s="241"/>
      <c r="U552" s="241"/>
      <c r="V552" s="241"/>
      <c r="W552" s="241"/>
      <c r="X552" s="241"/>
      <c r="Y552" s="241"/>
      <c r="Z552" s="241"/>
    </row>
    <row r="553" spans="1:26" ht="13.5" customHeight="1" x14ac:dyDescent="0.3">
      <c r="A553" s="241"/>
      <c r="B553" s="241"/>
      <c r="C553" s="241"/>
      <c r="D553" s="241"/>
      <c r="E553" s="241"/>
      <c r="F553" s="241"/>
      <c r="G553" s="241"/>
      <c r="H553" s="241"/>
      <c r="I553" s="241"/>
      <c r="J553" s="241"/>
      <c r="K553" s="241"/>
      <c r="L553" s="241"/>
      <c r="M553" s="241"/>
      <c r="N553" s="241"/>
      <c r="O553" s="241"/>
      <c r="P553" s="241"/>
      <c r="Q553" s="241"/>
      <c r="R553" s="241"/>
      <c r="S553" s="241"/>
      <c r="T553" s="241"/>
      <c r="U553" s="241"/>
      <c r="V553" s="241"/>
      <c r="W553" s="241"/>
      <c r="X553" s="241"/>
      <c r="Y553" s="241"/>
      <c r="Z553" s="241"/>
    </row>
    <row r="554" spans="1:26" ht="13.5" customHeight="1" x14ac:dyDescent="0.3">
      <c r="A554" s="241"/>
      <c r="B554" s="241"/>
      <c r="C554" s="241"/>
      <c r="D554" s="241"/>
      <c r="E554" s="241"/>
      <c r="F554" s="241"/>
      <c r="G554" s="241"/>
      <c r="H554" s="241"/>
      <c r="I554" s="241"/>
      <c r="J554" s="241"/>
      <c r="K554" s="241"/>
      <c r="L554" s="241"/>
      <c r="M554" s="241"/>
      <c r="N554" s="241"/>
      <c r="O554" s="241"/>
      <c r="P554" s="241"/>
      <c r="Q554" s="241"/>
      <c r="R554" s="241"/>
      <c r="S554" s="241"/>
      <c r="T554" s="241"/>
      <c r="U554" s="241"/>
      <c r="V554" s="241"/>
      <c r="W554" s="241"/>
      <c r="X554" s="241"/>
      <c r="Y554" s="241"/>
      <c r="Z554" s="241"/>
    </row>
    <row r="555" spans="1:26" ht="13.5" customHeight="1" x14ac:dyDescent="0.3">
      <c r="A555" s="241"/>
      <c r="B555" s="241"/>
      <c r="C555" s="241"/>
      <c r="D555" s="241"/>
      <c r="E555" s="241"/>
      <c r="F555" s="241"/>
      <c r="G555" s="241"/>
      <c r="H555" s="241"/>
      <c r="I555" s="241"/>
      <c r="J555" s="241"/>
      <c r="K555" s="241"/>
      <c r="L555" s="241"/>
      <c r="M555" s="241"/>
      <c r="N555" s="241"/>
      <c r="O555" s="241"/>
      <c r="P555" s="241"/>
      <c r="Q555" s="241"/>
      <c r="R555" s="241"/>
      <c r="S555" s="241"/>
      <c r="T555" s="241"/>
      <c r="U555" s="241"/>
      <c r="V555" s="241"/>
      <c r="W555" s="241"/>
      <c r="X555" s="241"/>
      <c r="Y555" s="241"/>
      <c r="Z555" s="241"/>
    </row>
    <row r="556" spans="1:26" ht="13.5" customHeight="1" x14ac:dyDescent="0.3">
      <c r="A556" s="241"/>
      <c r="B556" s="241"/>
      <c r="C556" s="241"/>
      <c r="D556" s="241"/>
      <c r="E556" s="241"/>
      <c r="F556" s="241"/>
      <c r="G556" s="241"/>
      <c r="H556" s="241"/>
      <c r="I556" s="241"/>
      <c r="J556" s="241"/>
      <c r="K556" s="241"/>
      <c r="L556" s="241"/>
      <c r="M556" s="241"/>
      <c r="N556" s="241"/>
      <c r="O556" s="241"/>
      <c r="P556" s="241"/>
      <c r="Q556" s="241"/>
      <c r="R556" s="241"/>
      <c r="S556" s="241"/>
      <c r="T556" s="241"/>
      <c r="U556" s="241"/>
      <c r="V556" s="241"/>
      <c r="W556" s="241"/>
      <c r="X556" s="241"/>
      <c r="Y556" s="241"/>
      <c r="Z556" s="241"/>
    </row>
    <row r="557" spans="1:26" ht="13.5" customHeight="1" x14ac:dyDescent="0.3">
      <c r="A557" s="241"/>
      <c r="B557" s="241"/>
      <c r="C557" s="241"/>
      <c r="D557" s="241"/>
      <c r="E557" s="241"/>
      <c r="F557" s="241"/>
      <c r="G557" s="241"/>
      <c r="H557" s="241"/>
      <c r="I557" s="241"/>
      <c r="J557" s="241"/>
      <c r="K557" s="241"/>
      <c r="L557" s="241"/>
      <c r="M557" s="241"/>
      <c r="N557" s="241"/>
      <c r="O557" s="241"/>
      <c r="P557" s="241"/>
      <c r="Q557" s="241"/>
      <c r="R557" s="241"/>
      <c r="S557" s="241"/>
      <c r="T557" s="241"/>
      <c r="U557" s="241"/>
      <c r="V557" s="241"/>
      <c r="W557" s="241"/>
      <c r="X557" s="241"/>
      <c r="Y557" s="241"/>
      <c r="Z557" s="241"/>
    </row>
    <row r="558" spans="1:26" ht="13.5" customHeight="1" x14ac:dyDescent="0.3">
      <c r="A558" s="241"/>
      <c r="B558" s="241"/>
      <c r="C558" s="241"/>
      <c r="D558" s="241"/>
      <c r="E558" s="241"/>
      <c r="F558" s="241"/>
      <c r="G558" s="241"/>
      <c r="H558" s="241"/>
      <c r="I558" s="241"/>
      <c r="J558" s="241"/>
      <c r="K558" s="241"/>
      <c r="L558" s="241"/>
      <c r="M558" s="241"/>
      <c r="N558" s="241"/>
      <c r="O558" s="241"/>
      <c r="P558" s="241"/>
      <c r="Q558" s="241"/>
      <c r="R558" s="241"/>
      <c r="S558" s="241"/>
      <c r="T558" s="241"/>
      <c r="U558" s="241"/>
      <c r="V558" s="241"/>
      <c r="W558" s="241"/>
      <c r="X558" s="241"/>
      <c r="Y558" s="241"/>
      <c r="Z558" s="241"/>
    </row>
    <row r="559" spans="1:26" ht="13.5" customHeight="1" x14ac:dyDescent="0.3">
      <c r="A559" s="241"/>
      <c r="B559" s="241"/>
      <c r="C559" s="241"/>
      <c r="D559" s="241"/>
      <c r="E559" s="241"/>
      <c r="F559" s="241"/>
      <c r="G559" s="241"/>
      <c r="H559" s="241"/>
      <c r="I559" s="241"/>
      <c r="J559" s="241"/>
      <c r="K559" s="241"/>
      <c r="L559" s="241"/>
      <c r="M559" s="241"/>
      <c r="N559" s="241"/>
      <c r="O559" s="241"/>
      <c r="P559" s="241"/>
      <c r="Q559" s="241"/>
      <c r="R559" s="241"/>
      <c r="S559" s="241"/>
      <c r="T559" s="241"/>
      <c r="U559" s="241"/>
      <c r="V559" s="241"/>
      <c r="W559" s="241"/>
      <c r="X559" s="241"/>
      <c r="Y559" s="241"/>
      <c r="Z559" s="241"/>
    </row>
    <row r="560" spans="1:26" ht="13.5" customHeight="1" x14ac:dyDescent="0.3">
      <c r="A560" s="241"/>
      <c r="B560" s="241"/>
      <c r="C560" s="241"/>
      <c r="D560" s="241"/>
      <c r="E560" s="241"/>
      <c r="F560" s="241"/>
      <c r="G560" s="241"/>
      <c r="H560" s="241"/>
      <c r="I560" s="241"/>
      <c r="J560" s="241"/>
      <c r="K560" s="241"/>
      <c r="L560" s="241"/>
      <c r="M560" s="241"/>
      <c r="N560" s="241"/>
      <c r="O560" s="241"/>
      <c r="P560" s="241"/>
      <c r="Q560" s="241"/>
      <c r="R560" s="241"/>
      <c r="S560" s="241"/>
      <c r="T560" s="241"/>
      <c r="U560" s="241"/>
      <c r="V560" s="241"/>
      <c r="W560" s="241"/>
      <c r="X560" s="241"/>
      <c r="Y560" s="241"/>
      <c r="Z560" s="241"/>
    </row>
    <row r="561" spans="1:26" ht="13.5" customHeight="1" x14ac:dyDescent="0.3">
      <c r="A561" s="241"/>
      <c r="B561" s="241"/>
      <c r="C561" s="241"/>
      <c r="D561" s="241"/>
      <c r="E561" s="241"/>
      <c r="F561" s="241"/>
      <c r="G561" s="241"/>
      <c r="H561" s="241"/>
      <c r="I561" s="241"/>
      <c r="J561" s="241"/>
      <c r="K561" s="241"/>
      <c r="L561" s="241"/>
      <c r="M561" s="241"/>
      <c r="N561" s="241"/>
      <c r="O561" s="241"/>
      <c r="P561" s="241"/>
      <c r="Q561" s="241"/>
      <c r="R561" s="241"/>
      <c r="S561" s="241"/>
      <c r="T561" s="241"/>
      <c r="U561" s="241"/>
      <c r="V561" s="241"/>
      <c r="W561" s="241"/>
      <c r="X561" s="241"/>
      <c r="Y561" s="241"/>
      <c r="Z561" s="241"/>
    </row>
    <row r="562" spans="1:26" ht="13.5" customHeight="1" x14ac:dyDescent="0.3">
      <c r="A562" s="241"/>
      <c r="B562" s="241"/>
      <c r="C562" s="241"/>
      <c r="D562" s="241"/>
      <c r="E562" s="241"/>
      <c r="F562" s="241"/>
      <c r="G562" s="241"/>
      <c r="H562" s="241"/>
      <c r="I562" s="241"/>
      <c r="J562" s="241"/>
      <c r="K562" s="241"/>
      <c r="L562" s="241"/>
      <c r="M562" s="241"/>
      <c r="N562" s="241"/>
      <c r="O562" s="241"/>
      <c r="P562" s="241"/>
      <c r="Q562" s="241"/>
      <c r="R562" s="241"/>
      <c r="S562" s="241"/>
      <c r="T562" s="241"/>
      <c r="U562" s="241"/>
      <c r="V562" s="241"/>
      <c r="W562" s="241"/>
      <c r="X562" s="241"/>
      <c r="Y562" s="241"/>
      <c r="Z562" s="241"/>
    </row>
    <row r="563" spans="1:26" ht="13.5" customHeight="1" x14ac:dyDescent="0.3">
      <c r="A563" s="241"/>
      <c r="B563" s="241"/>
      <c r="C563" s="241"/>
      <c r="D563" s="241"/>
      <c r="E563" s="241"/>
      <c r="F563" s="241"/>
      <c r="G563" s="241"/>
      <c r="H563" s="241"/>
      <c r="I563" s="241"/>
      <c r="J563" s="241"/>
      <c r="K563" s="241"/>
      <c r="L563" s="241"/>
      <c r="M563" s="241"/>
      <c r="N563" s="241"/>
      <c r="O563" s="241"/>
      <c r="P563" s="241"/>
      <c r="Q563" s="241"/>
      <c r="R563" s="241"/>
      <c r="S563" s="241"/>
      <c r="T563" s="241"/>
      <c r="U563" s="241"/>
      <c r="V563" s="241"/>
      <c r="W563" s="241"/>
      <c r="X563" s="241"/>
      <c r="Y563" s="241"/>
      <c r="Z563" s="241"/>
    </row>
    <row r="564" spans="1:26" ht="13.5" customHeight="1" x14ac:dyDescent="0.3">
      <c r="A564" s="241"/>
      <c r="B564" s="241"/>
      <c r="C564" s="241"/>
      <c r="D564" s="241"/>
      <c r="E564" s="241"/>
      <c r="F564" s="241"/>
      <c r="G564" s="241"/>
      <c r="H564" s="241"/>
      <c r="I564" s="241"/>
      <c r="J564" s="241"/>
      <c r="K564" s="241"/>
      <c r="L564" s="241"/>
      <c r="M564" s="241"/>
      <c r="N564" s="241"/>
      <c r="O564" s="241"/>
      <c r="P564" s="241"/>
      <c r="Q564" s="241"/>
      <c r="R564" s="241"/>
      <c r="S564" s="241"/>
      <c r="T564" s="241"/>
      <c r="U564" s="241"/>
      <c r="V564" s="241"/>
      <c r="W564" s="241"/>
      <c r="X564" s="241"/>
      <c r="Y564" s="241"/>
      <c r="Z564" s="241"/>
    </row>
    <row r="565" spans="1:26" ht="13.5" customHeight="1" x14ac:dyDescent="0.3">
      <c r="A565" s="241"/>
      <c r="B565" s="241"/>
      <c r="C565" s="241"/>
      <c r="D565" s="241"/>
      <c r="E565" s="241"/>
      <c r="F565" s="241"/>
      <c r="G565" s="241"/>
      <c r="H565" s="241"/>
      <c r="I565" s="241"/>
      <c r="J565" s="241"/>
      <c r="K565" s="241"/>
      <c r="L565" s="241"/>
      <c r="M565" s="241"/>
      <c r="N565" s="241"/>
      <c r="O565" s="241"/>
      <c r="P565" s="241"/>
      <c r="Q565" s="241"/>
      <c r="R565" s="241"/>
      <c r="S565" s="241"/>
      <c r="T565" s="241"/>
      <c r="U565" s="241"/>
      <c r="V565" s="241"/>
      <c r="W565" s="241"/>
      <c r="X565" s="241"/>
      <c r="Y565" s="241"/>
      <c r="Z565" s="241"/>
    </row>
    <row r="566" spans="1:26" ht="13.5" customHeight="1" x14ac:dyDescent="0.3">
      <c r="A566" s="241"/>
      <c r="B566" s="241"/>
      <c r="C566" s="241"/>
      <c r="D566" s="241"/>
      <c r="E566" s="241"/>
      <c r="F566" s="241"/>
      <c r="G566" s="241"/>
      <c r="H566" s="241"/>
      <c r="I566" s="241"/>
      <c r="J566" s="241"/>
      <c r="K566" s="241"/>
      <c r="L566" s="241"/>
      <c r="M566" s="241"/>
      <c r="N566" s="241"/>
      <c r="O566" s="241"/>
      <c r="P566" s="241"/>
      <c r="Q566" s="241"/>
      <c r="R566" s="241"/>
      <c r="S566" s="241"/>
      <c r="T566" s="241"/>
      <c r="U566" s="241"/>
      <c r="V566" s="241"/>
      <c r="W566" s="241"/>
      <c r="X566" s="241"/>
      <c r="Y566" s="241"/>
      <c r="Z566" s="241"/>
    </row>
    <row r="567" spans="1:26" ht="13.5" customHeight="1" x14ac:dyDescent="0.3">
      <c r="A567" s="241"/>
      <c r="B567" s="241"/>
      <c r="C567" s="241"/>
      <c r="D567" s="241"/>
      <c r="E567" s="241"/>
      <c r="F567" s="241"/>
      <c r="G567" s="241"/>
      <c r="H567" s="241"/>
      <c r="I567" s="241"/>
      <c r="J567" s="241"/>
      <c r="K567" s="241"/>
      <c r="L567" s="241"/>
      <c r="M567" s="241"/>
      <c r="N567" s="241"/>
      <c r="O567" s="241"/>
      <c r="P567" s="241"/>
      <c r="Q567" s="241"/>
      <c r="R567" s="241"/>
      <c r="S567" s="241"/>
      <c r="T567" s="241"/>
      <c r="U567" s="241"/>
      <c r="V567" s="241"/>
      <c r="W567" s="241"/>
      <c r="X567" s="241"/>
      <c r="Y567" s="241"/>
      <c r="Z567" s="241"/>
    </row>
    <row r="568" spans="1:26" ht="13.5" customHeight="1" x14ac:dyDescent="0.3">
      <c r="A568" s="241"/>
      <c r="B568" s="241"/>
      <c r="C568" s="241"/>
      <c r="D568" s="241"/>
      <c r="E568" s="241"/>
      <c r="F568" s="241"/>
      <c r="G568" s="241"/>
      <c r="H568" s="241"/>
      <c r="I568" s="241"/>
      <c r="J568" s="241"/>
      <c r="K568" s="241"/>
      <c r="L568" s="241"/>
      <c r="M568" s="241"/>
      <c r="N568" s="241"/>
      <c r="O568" s="241"/>
      <c r="P568" s="241"/>
      <c r="Q568" s="241"/>
      <c r="R568" s="241"/>
      <c r="S568" s="241"/>
      <c r="T568" s="241"/>
      <c r="U568" s="241"/>
      <c r="V568" s="241"/>
      <c r="W568" s="241"/>
      <c r="X568" s="241"/>
      <c r="Y568" s="241"/>
      <c r="Z568" s="241"/>
    </row>
    <row r="569" spans="1:26" ht="13.5" customHeight="1" x14ac:dyDescent="0.3">
      <c r="A569" s="241"/>
      <c r="B569" s="241"/>
      <c r="C569" s="241"/>
      <c r="D569" s="241"/>
      <c r="E569" s="241"/>
      <c r="F569" s="241"/>
      <c r="G569" s="241"/>
      <c r="H569" s="241"/>
      <c r="I569" s="241"/>
      <c r="J569" s="241"/>
      <c r="K569" s="241"/>
      <c r="L569" s="241"/>
      <c r="M569" s="241"/>
      <c r="N569" s="241"/>
      <c r="O569" s="241"/>
      <c r="P569" s="241"/>
      <c r="Q569" s="241"/>
      <c r="R569" s="241"/>
      <c r="S569" s="241"/>
      <c r="T569" s="241"/>
      <c r="U569" s="241"/>
      <c r="V569" s="241"/>
      <c r="W569" s="241"/>
      <c r="X569" s="241"/>
      <c r="Y569" s="241"/>
      <c r="Z569" s="241"/>
    </row>
    <row r="570" spans="1:26" ht="13.5" customHeight="1" x14ac:dyDescent="0.3">
      <c r="A570" s="241"/>
      <c r="B570" s="241"/>
      <c r="C570" s="241"/>
      <c r="D570" s="241"/>
      <c r="E570" s="241"/>
      <c r="F570" s="241"/>
      <c r="G570" s="241"/>
      <c r="H570" s="241"/>
      <c r="I570" s="241"/>
      <c r="J570" s="241"/>
      <c r="K570" s="241"/>
      <c r="L570" s="241"/>
      <c r="M570" s="241"/>
      <c r="N570" s="241"/>
      <c r="O570" s="241"/>
      <c r="P570" s="241"/>
      <c r="Q570" s="241"/>
      <c r="R570" s="241"/>
      <c r="S570" s="241"/>
      <c r="T570" s="241"/>
      <c r="U570" s="241"/>
      <c r="V570" s="241"/>
      <c r="W570" s="241"/>
      <c r="X570" s="241"/>
      <c r="Y570" s="241"/>
      <c r="Z570" s="241"/>
    </row>
    <row r="571" spans="1:26" ht="13.5" customHeight="1" x14ac:dyDescent="0.3">
      <c r="A571" s="241"/>
      <c r="B571" s="241"/>
      <c r="C571" s="241"/>
      <c r="D571" s="241"/>
      <c r="E571" s="241"/>
      <c r="F571" s="241"/>
      <c r="G571" s="241"/>
      <c r="H571" s="241"/>
      <c r="I571" s="241"/>
      <c r="J571" s="241"/>
      <c r="K571" s="241"/>
      <c r="L571" s="241"/>
      <c r="M571" s="241"/>
      <c r="N571" s="241"/>
      <c r="O571" s="241"/>
      <c r="P571" s="241"/>
      <c r="Q571" s="241"/>
      <c r="R571" s="241"/>
      <c r="S571" s="241"/>
      <c r="T571" s="241"/>
      <c r="U571" s="241"/>
      <c r="V571" s="241"/>
      <c r="W571" s="241"/>
      <c r="X571" s="241"/>
      <c r="Y571" s="241"/>
      <c r="Z571" s="241"/>
    </row>
    <row r="572" spans="1:26" ht="13.5" customHeight="1" x14ac:dyDescent="0.3">
      <c r="A572" s="241"/>
      <c r="B572" s="241"/>
      <c r="C572" s="241"/>
      <c r="D572" s="241"/>
      <c r="E572" s="241"/>
      <c r="F572" s="241"/>
      <c r="G572" s="241"/>
      <c r="H572" s="241"/>
      <c r="I572" s="241"/>
      <c r="J572" s="241"/>
      <c r="K572" s="241"/>
      <c r="L572" s="241"/>
      <c r="M572" s="241"/>
      <c r="N572" s="241"/>
      <c r="O572" s="241"/>
      <c r="P572" s="241"/>
      <c r="Q572" s="241"/>
      <c r="R572" s="241"/>
      <c r="S572" s="241"/>
      <c r="T572" s="241"/>
      <c r="U572" s="241"/>
      <c r="V572" s="241"/>
      <c r="W572" s="241"/>
      <c r="X572" s="241"/>
      <c r="Y572" s="241"/>
      <c r="Z572" s="241"/>
    </row>
    <row r="573" spans="1:26" ht="13.5" customHeight="1" x14ac:dyDescent="0.3">
      <c r="A573" s="241"/>
      <c r="B573" s="241"/>
      <c r="C573" s="241"/>
      <c r="D573" s="241"/>
      <c r="E573" s="241"/>
      <c r="F573" s="241"/>
      <c r="G573" s="241"/>
      <c r="H573" s="241"/>
      <c r="I573" s="241"/>
      <c r="J573" s="241"/>
      <c r="K573" s="241"/>
      <c r="L573" s="241"/>
      <c r="M573" s="241"/>
      <c r="N573" s="241"/>
      <c r="O573" s="241"/>
      <c r="P573" s="241"/>
      <c r="Q573" s="241"/>
      <c r="R573" s="241"/>
      <c r="S573" s="241"/>
      <c r="T573" s="241"/>
      <c r="U573" s="241"/>
      <c r="V573" s="241"/>
      <c r="W573" s="241"/>
      <c r="X573" s="241"/>
      <c r="Y573" s="241"/>
      <c r="Z573" s="241"/>
    </row>
    <row r="574" spans="1:26" ht="13.5" customHeight="1" x14ac:dyDescent="0.3">
      <c r="A574" s="241"/>
      <c r="B574" s="241"/>
      <c r="C574" s="241"/>
      <c r="D574" s="241"/>
      <c r="E574" s="241"/>
      <c r="F574" s="241"/>
      <c r="G574" s="241"/>
      <c r="H574" s="241"/>
      <c r="I574" s="241"/>
      <c r="J574" s="241"/>
      <c r="K574" s="241"/>
      <c r="L574" s="241"/>
      <c r="M574" s="241"/>
      <c r="N574" s="241"/>
      <c r="O574" s="241"/>
      <c r="P574" s="241"/>
      <c r="Q574" s="241"/>
      <c r="R574" s="241"/>
      <c r="S574" s="241"/>
      <c r="T574" s="241"/>
      <c r="U574" s="241"/>
      <c r="V574" s="241"/>
      <c r="W574" s="241"/>
      <c r="X574" s="241"/>
      <c r="Y574" s="241"/>
      <c r="Z574" s="241"/>
    </row>
    <row r="575" spans="1:26" ht="13.5" customHeight="1" x14ac:dyDescent="0.3">
      <c r="A575" s="241"/>
      <c r="B575" s="241"/>
      <c r="C575" s="241"/>
      <c r="D575" s="241"/>
      <c r="E575" s="241"/>
      <c r="F575" s="241"/>
      <c r="G575" s="241"/>
      <c r="H575" s="241"/>
      <c r="I575" s="241"/>
      <c r="J575" s="241"/>
      <c r="K575" s="241"/>
      <c r="L575" s="241"/>
      <c r="M575" s="241"/>
      <c r="N575" s="241"/>
      <c r="O575" s="241"/>
      <c r="P575" s="241"/>
      <c r="Q575" s="241"/>
      <c r="R575" s="241"/>
      <c r="S575" s="241"/>
      <c r="T575" s="241"/>
      <c r="U575" s="241"/>
      <c r="V575" s="241"/>
      <c r="W575" s="241"/>
      <c r="X575" s="241"/>
      <c r="Y575" s="241"/>
      <c r="Z575" s="241"/>
    </row>
    <row r="576" spans="1:26" ht="13.5" customHeight="1" x14ac:dyDescent="0.3">
      <c r="A576" s="241"/>
      <c r="B576" s="241"/>
      <c r="C576" s="241"/>
      <c r="D576" s="241"/>
      <c r="E576" s="241"/>
      <c r="F576" s="241"/>
      <c r="G576" s="241"/>
      <c r="H576" s="241"/>
      <c r="I576" s="241"/>
      <c r="J576" s="241"/>
      <c r="K576" s="241"/>
      <c r="L576" s="241"/>
      <c r="M576" s="241"/>
      <c r="N576" s="241"/>
      <c r="O576" s="241"/>
      <c r="P576" s="241"/>
      <c r="Q576" s="241"/>
      <c r="R576" s="241"/>
      <c r="S576" s="241"/>
      <c r="T576" s="241"/>
      <c r="U576" s="241"/>
      <c r="V576" s="241"/>
      <c r="W576" s="241"/>
      <c r="X576" s="241"/>
      <c r="Y576" s="241"/>
      <c r="Z576" s="241"/>
    </row>
    <row r="577" spans="1:26" ht="13.5" customHeight="1" x14ac:dyDescent="0.3">
      <c r="A577" s="241"/>
      <c r="B577" s="241"/>
      <c r="C577" s="241"/>
      <c r="D577" s="241"/>
      <c r="E577" s="241"/>
      <c r="F577" s="241"/>
      <c r="G577" s="241"/>
      <c r="H577" s="241"/>
      <c r="I577" s="241"/>
      <c r="J577" s="241"/>
      <c r="K577" s="241"/>
      <c r="L577" s="241"/>
      <c r="M577" s="241"/>
      <c r="N577" s="241"/>
      <c r="O577" s="241"/>
      <c r="P577" s="241"/>
      <c r="Q577" s="241"/>
      <c r="R577" s="241"/>
      <c r="S577" s="241"/>
      <c r="T577" s="241"/>
      <c r="U577" s="241"/>
      <c r="V577" s="241"/>
      <c r="W577" s="241"/>
      <c r="X577" s="241"/>
      <c r="Y577" s="241"/>
      <c r="Z577" s="241"/>
    </row>
    <row r="578" spans="1:26" ht="13.5" customHeight="1" x14ac:dyDescent="0.3">
      <c r="A578" s="241"/>
      <c r="B578" s="241"/>
      <c r="C578" s="241"/>
      <c r="D578" s="241"/>
      <c r="E578" s="241"/>
      <c r="F578" s="241"/>
      <c r="G578" s="241"/>
      <c r="H578" s="241"/>
      <c r="I578" s="241"/>
      <c r="J578" s="241"/>
      <c r="K578" s="241"/>
      <c r="L578" s="241"/>
      <c r="M578" s="241"/>
      <c r="N578" s="241"/>
      <c r="O578" s="241"/>
      <c r="P578" s="241"/>
      <c r="Q578" s="241"/>
      <c r="R578" s="241"/>
      <c r="S578" s="241"/>
      <c r="T578" s="241"/>
      <c r="U578" s="241"/>
      <c r="V578" s="241"/>
      <c r="W578" s="241"/>
      <c r="X578" s="241"/>
      <c r="Y578" s="241"/>
      <c r="Z578" s="241"/>
    </row>
    <row r="579" spans="1:26" ht="13.5" customHeight="1" x14ac:dyDescent="0.3">
      <c r="A579" s="241"/>
      <c r="B579" s="241"/>
      <c r="C579" s="241"/>
      <c r="D579" s="241"/>
      <c r="E579" s="241"/>
      <c r="F579" s="241"/>
      <c r="G579" s="241"/>
      <c r="H579" s="241"/>
      <c r="I579" s="241"/>
      <c r="J579" s="241"/>
      <c r="K579" s="241"/>
      <c r="L579" s="241"/>
      <c r="M579" s="241"/>
      <c r="N579" s="241"/>
      <c r="O579" s="241"/>
      <c r="P579" s="241"/>
      <c r="Q579" s="241"/>
      <c r="R579" s="241"/>
      <c r="S579" s="241"/>
      <c r="T579" s="241"/>
      <c r="U579" s="241"/>
      <c r="V579" s="241"/>
      <c r="W579" s="241"/>
      <c r="X579" s="241"/>
      <c r="Y579" s="241"/>
      <c r="Z579" s="241"/>
    </row>
    <row r="580" spans="1:26" ht="13.5" customHeight="1" x14ac:dyDescent="0.3">
      <c r="A580" s="241"/>
      <c r="B580" s="241"/>
      <c r="C580" s="241"/>
      <c r="D580" s="241"/>
      <c r="E580" s="241"/>
      <c r="F580" s="241"/>
      <c r="G580" s="241"/>
      <c r="H580" s="241"/>
      <c r="I580" s="241"/>
      <c r="J580" s="241"/>
      <c r="K580" s="241"/>
      <c r="L580" s="241"/>
      <c r="M580" s="241"/>
      <c r="N580" s="241"/>
      <c r="O580" s="241"/>
      <c r="P580" s="241"/>
      <c r="Q580" s="241"/>
      <c r="R580" s="241"/>
      <c r="S580" s="241"/>
      <c r="T580" s="241"/>
      <c r="U580" s="241"/>
      <c r="V580" s="241"/>
      <c r="W580" s="241"/>
      <c r="X580" s="241"/>
      <c r="Y580" s="241"/>
      <c r="Z580" s="241"/>
    </row>
    <row r="581" spans="1:26" ht="13.5" customHeight="1" x14ac:dyDescent="0.3">
      <c r="A581" s="241"/>
      <c r="B581" s="241"/>
      <c r="C581" s="241"/>
      <c r="D581" s="241"/>
      <c r="E581" s="241"/>
      <c r="F581" s="241"/>
      <c r="G581" s="241"/>
      <c r="H581" s="241"/>
      <c r="I581" s="241"/>
      <c r="J581" s="241"/>
      <c r="K581" s="241"/>
      <c r="L581" s="241"/>
      <c r="M581" s="241"/>
      <c r="N581" s="241"/>
      <c r="O581" s="241"/>
      <c r="P581" s="241"/>
      <c r="Q581" s="241"/>
      <c r="R581" s="241"/>
      <c r="S581" s="241"/>
      <c r="T581" s="241"/>
      <c r="U581" s="241"/>
      <c r="V581" s="241"/>
      <c r="W581" s="241"/>
      <c r="X581" s="241"/>
      <c r="Y581" s="241"/>
      <c r="Z581" s="241"/>
    </row>
    <row r="582" spans="1:26" ht="13.5" customHeight="1" x14ac:dyDescent="0.3">
      <c r="A582" s="241"/>
      <c r="B582" s="241"/>
      <c r="C582" s="241"/>
      <c r="D582" s="241"/>
      <c r="E582" s="241"/>
      <c r="F582" s="241"/>
      <c r="G582" s="241"/>
      <c r="H582" s="241"/>
      <c r="I582" s="241"/>
      <c r="J582" s="241"/>
      <c r="K582" s="241"/>
      <c r="L582" s="241"/>
      <c r="M582" s="241"/>
      <c r="N582" s="241"/>
      <c r="O582" s="241"/>
      <c r="P582" s="241"/>
      <c r="Q582" s="241"/>
      <c r="R582" s="241"/>
      <c r="S582" s="241"/>
      <c r="T582" s="241"/>
      <c r="U582" s="241"/>
      <c r="V582" s="241"/>
      <c r="W582" s="241"/>
      <c r="X582" s="241"/>
      <c r="Y582" s="241"/>
      <c r="Z582" s="241"/>
    </row>
    <row r="583" spans="1:26" ht="13.5" customHeight="1" x14ac:dyDescent="0.3">
      <c r="A583" s="241"/>
      <c r="B583" s="241"/>
      <c r="C583" s="241"/>
      <c r="D583" s="241"/>
      <c r="E583" s="241"/>
      <c r="F583" s="241"/>
      <c r="G583" s="241"/>
      <c r="H583" s="241"/>
      <c r="I583" s="241"/>
      <c r="J583" s="241"/>
      <c r="K583" s="241"/>
      <c r="L583" s="241"/>
      <c r="M583" s="241"/>
      <c r="N583" s="241"/>
      <c r="O583" s="241"/>
      <c r="P583" s="241"/>
      <c r="Q583" s="241"/>
      <c r="R583" s="241"/>
      <c r="S583" s="241"/>
      <c r="T583" s="241"/>
      <c r="U583" s="241"/>
      <c r="V583" s="241"/>
      <c r="W583" s="241"/>
      <c r="X583" s="241"/>
      <c r="Y583" s="241"/>
      <c r="Z583" s="241"/>
    </row>
    <row r="584" spans="1:26" ht="13.5" customHeight="1" x14ac:dyDescent="0.3">
      <c r="A584" s="241"/>
      <c r="B584" s="241"/>
      <c r="C584" s="241"/>
      <c r="D584" s="241"/>
      <c r="E584" s="241"/>
      <c r="F584" s="241"/>
      <c r="G584" s="241"/>
      <c r="H584" s="241"/>
      <c r="I584" s="241"/>
      <c r="J584" s="241"/>
      <c r="K584" s="241"/>
      <c r="L584" s="241"/>
      <c r="M584" s="241"/>
      <c r="N584" s="241"/>
      <c r="O584" s="241"/>
      <c r="P584" s="241"/>
      <c r="Q584" s="241"/>
      <c r="R584" s="241"/>
      <c r="S584" s="241"/>
      <c r="T584" s="241"/>
      <c r="U584" s="241"/>
      <c r="V584" s="241"/>
      <c r="W584" s="241"/>
      <c r="X584" s="241"/>
      <c r="Y584" s="241"/>
      <c r="Z584" s="241"/>
    </row>
    <row r="585" spans="1:26" ht="13.5" customHeight="1" x14ac:dyDescent="0.3">
      <c r="A585" s="241"/>
      <c r="B585" s="241"/>
      <c r="C585" s="241"/>
      <c r="D585" s="241"/>
      <c r="E585" s="241"/>
      <c r="F585" s="241"/>
      <c r="G585" s="241"/>
      <c r="H585" s="241"/>
      <c r="I585" s="241"/>
      <c r="J585" s="241"/>
      <c r="K585" s="241"/>
      <c r="L585" s="241"/>
      <c r="M585" s="241"/>
      <c r="N585" s="241"/>
      <c r="O585" s="241"/>
      <c r="P585" s="241"/>
      <c r="Q585" s="241"/>
      <c r="R585" s="241"/>
      <c r="S585" s="241"/>
      <c r="T585" s="241"/>
      <c r="U585" s="241"/>
      <c r="V585" s="241"/>
      <c r="W585" s="241"/>
      <c r="X585" s="241"/>
      <c r="Y585" s="241"/>
      <c r="Z585" s="241"/>
    </row>
    <row r="586" spans="1:26" ht="13.5" customHeight="1" x14ac:dyDescent="0.3">
      <c r="A586" s="241"/>
      <c r="B586" s="241"/>
      <c r="C586" s="241"/>
      <c r="D586" s="241"/>
      <c r="E586" s="241"/>
      <c r="F586" s="241"/>
      <c r="G586" s="241"/>
      <c r="H586" s="241"/>
      <c r="I586" s="241"/>
      <c r="J586" s="241"/>
      <c r="K586" s="241"/>
      <c r="L586" s="241"/>
      <c r="M586" s="241"/>
      <c r="N586" s="241"/>
      <c r="O586" s="241"/>
      <c r="P586" s="241"/>
      <c r="Q586" s="241"/>
      <c r="R586" s="241"/>
      <c r="S586" s="241"/>
      <c r="T586" s="241"/>
      <c r="U586" s="241"/>
      <c r="V586" s="241"/>
      <c r="W586" s="241"/>
      <c r="X586" s="241"/>
      <c r="Y586" s="241"/>
      <c r="Z586" s="241"/>
    </row>
    <row r="587" spans="1:26" ht="13.5" customHeight="1" x14ac:dyDescent="0.3">
      <c r="A587" s="241"/>
      <c r="B587" s="241"/>
      <c r="C587" s="241"/>
      <c r="D587" s="241"/>
      <c r="E587" s="241"/>
      <c r="F587" s="241"/>
      <c r="G587" s="241"/>
      <c r="H587" s="241"/>
      <c r="I587" s="241"/>
      <c r="J587" s="241"/>
      <c r="K587" s="241"/>
      <c r="L587" s="241"/>
      <c r="M587" s="241"/>
      <c r="N587" s="241"/>
      <c r="O587" s="241"/>
      <c r="P587" s="241"/>
      <c r="Q587" s="241"/>
      <c r="R587" s="241"/>
      <c r="S587" s="241"/>
      <c r="T587" s="241"/>
      <c r="U587" s="241"/>
      <c r="V587" s="241"/>
      <c r="W587" s="241"/>
      <c r="X587" s="241"/>
      <c r="Y587" s="241"/>
      <c r="Z587" s="241"/>
    </row>
    <row r="588" spans="1:26" ht="13.5" customHeight="1" x14ac:dyDescent="0.3">
      <c r="A588" s="241"/>
      <c r="B588" s="241"/>
      <c r="C588" s="241"/>
      <c r="D588" s="241"/>
      <c r="E588" s="241"/>
      <c r="F588" s="241"/>
      <c r="G588" s="241"/>
      <c r="H588" s="241"/>
      <c r="I588" s="241"/>
      <c r="J588" s="241"/>
      <c r="K588" s="241"/>
      <c r="L588" s="241"/>
      <c r="M588" s="241"/>
      <c r="N588" s="241"/>
      <c r="O588" s="241"/>
      <c r="P588" s="241"/>
      <c r="Q588" s="241"/>
      <c r="R588" s="241"/>
      <c r="S588" s="241"/>
      <c r="T588" s="241"/>
      <c r="U588" s="241"/>
      <c r="V588" s="241"/>
      <c r="W588" s="241"/>
      <c r="X588" s="241"/>
      <c r="Y588" s="241"/>
      <c r="Z588" s="241"/>
    </row>
    <row r="589" spans="1:26" ht="13.5" customHeight="1" x14ac:dyDescent="0.3">
      <c r="A589" s="241"/>
      <c r="B589" s="241"/>
      <c r="C589" s="241"/>
      <c r="D589" s="241"/>
      <c r="E589" s="241"/>
      <c r="F589" s="241"/>
      <c r="G589" s="241"/>
      <c r="H589" s="241"/>
      <c r="I589" s="241"/>
      <c r="J589" s="241"/>
      <c r="K589" s="241"/>
      <c r="L589" s="241"/>
      <c r="M589" s="241"/>
      <c r="N589" s="241"/>
      <c r="O589" s="241"/>
      <c r="P589" s="241"/>
      <c r="Q589" s="241"/>
      <c r="R589" s="241"/>
      <c r="S589" s="241"/>
      <c r="T589" s="241"/>
      <c r="U589" s="241"/>
      <c r="V589" s="241"/>
      <c r="W589" s="241"/>
      <c r="X589" s="241"/>
      <c r="Y589" s="241"/>
      <c r="Z589" s="241"/>
    </row>
    <row r="590" spans="1:26" ht="13.5" customHeight="1" x14ac:dyDescent="0.3">
      <c r="A590" s="241"/>
      <c r="B590" s="241"/>
      <c r="C590" s="241"/>
      <c r="D590" s="241"/>
      <c r="E590" s="241"/>
      <c r="F590" s="241"/>
      <c r="G590" s="241"/>
      <c r="H590" s="241"/>
      <c r="I590" s="241"/>
      <c r="J590" s="241"/>
      <c r="K590" s="241"/>
      <c r="L590" s="241"/>
      <c r="M590" s="241"/>
      <c r="N590" s="241"/>
      <c r="O590" s="241"/>
      <c r="P590" s="241"/>
      <c r="Q590" s="241"/>
      <c r="R590" s="241"/>
      <c r="S590" s="241"/>
      <c r="T590" s="241"/>
      <c r="U590" s="241"/>
      <c r="V590" s="241"/>
      <c r="W590" s="241"/>
      <c r="X590" s="241"/>
      <c r="Y590" s="241"/>
      <c r="Z590" s="241"/>
    </row>
    <row r="591" spans="1:26" ht="13.5" customHeight="1" x14ac:dyDescent="0.3">
      <c r="A591" s="241"/>
      <c r="B591" s="241"/>
      <c r="C591" s="241"/>
      <c r="D591" s="241"/>
      <c r="E591" s="241"/>
      <c r="F591" s="241"/>
      <c r="G591" s="241"/>
      <c r="H591" s="241"/>
      <c r="I591" s="241"/>
      <c r="J591" s="241"/>
      <c r="K591" s="241"/>
      <c r="L591" s="241"/>
      <c r="M591" s="241"/>
      <c r="N591" s="241"/>
      <c r="O591" s="241"/>
      <c r="P591" s="241"/>
      <c r="Q591" s="241"/>
      <c r="R591" s="241"/>
      <c r="S591" s="241"/>
      <c r="T591" s="241"/>
      <c r="U591" s="241"/>
      <c r="V591" s="241"/>
      <c r="W591" s="241"/>
      <c r="X591" s="241"/>
      <c r="Y591" s="241"/>
      <c r="Z591" s="241"/>
    </row>
    <row r="592" spans="1:26" ht="13.5" customHeight="1" x14ac:dyDescent="0.3">
      <c r="A592" s="241"/>
      <c r="B592" s="241"/>
      <c r="C592" s="241"/>
      <c r="D592" s="241"/>
      <c r="E592" s="241"/>
      <c r="F592" s="241"/>
      <c r="G592" s="241"/>
      <c r="H592" s="241"/>
      <c r="I592" s="241"/>
      <c r="J592" s="241"/>
      <c r="K592" s="241"/>
      <c r="L592" s="241"/>
      <c r="M592" s="241"/>
      <c r="N592" s="241"/>
      <c r="O592" s="241"/>
      <c r="P592" s="241"/>
      <c r="Q592" s="241"/>
      <c r="R592" s="241"/>
      <c r="S592" s="241"/>
      <c r="T592" s="241"/>
      <c r="U592" s="241"/>
      <c r="V592" s="241"/>
      <c r="W592" s="241"/>
      <c r="X592" s="241"/>
      <c r="Y592" s="241"/>
      <c r="Z592" s="241"/>
    </row>
    <row r="593" spans="1:26" ht="13.5" customHeight="1" x14ac:dyDescent="0.3">
      <c r="A593" s="241"/>
      <c r="B593" s="241"/>
      <c r="C593" s="241"/>
      <c r="D593" s="241"/>
      <c r="E593" s="241"/>
      <c r="F593" s="241"/>
      <c r="G593" s="241"/>
      <c r="H593" s="241"/>
      <c r="I593" s="241"/>
      <c r="J593" s="241"/>
      <c r="K593" s="241"/>
      <c r="L593" s="241"/>
      <c r="M593" s="241"/>
      <c r="N593" s="241"/>
      <c r="O593" s="241"/>
      <c r="P593" s="241"/>
      <c r="Q593" s="241"/>
      <c r="R593" s="241"/>
      <c r="S593" s="241"/>
      <c r="T593" s="241"/>
      <c r="U593" s="241"/>
      <c r="V593" s="241"/>
      <c r="W593" s="241"/>
      <c r="X593" s="241"/>
      <c r="Y593" s="241"/>
      <c r="Z593" s="241"/>
    </row>
    <row r="594" spans="1:26" ht="13.5" customHeight="1" x14ac:dyDescent="0.3">
      <c r="A594" s="241"/>
      <c r="B594" s="241"/>
      <c r="C594" s="241"/>
      <c r="D594" s="241"/>
      <c r="E594" s="241"/>
      <c r="F594" s="241"/>
      <c r="G594" s="241"/>
      <c r="H594" s="241"/>
      <c r="I594" s="241"/>
      <c r="J594" s="241"/>
      <c r="K594" s="241"/>
      <c r="L594" s="241"/>
      <c r="M594" s="241"/>
      <c r="N594" s="241"/>
      <c r="O594" s="241"/>
      <c r="P594" s="241"/>
      <c r="Q594" s="241"/>
      <c r="R594" s="241"/>
      <c r="S594" s="241"/>
      <c r="T594" s="241"/>
      <c r="U594" s="241"/>
      <c r="V594" s="241"/>
      <c r="W594" s="241"/>
      <c r="X594" s="241"/>
      <c r="Y594" s="241"/>
      <c r="Z594" s="241"/>
    </row>
    <row r="595" spans="1:26" ht="13.5" customHeight="1" x14ac:dyDescent="0.3">
      <c r="A595" s="241"/>
      <c r="B595" s="241"/>
      <c r="C595" s="241"/>
      <c r="D595" s="241"/>
      <c r="E595" s="241"/>
      <c r="F595" s="241"/>
      <c r="G595" s="241"/>
      <c r="H595" s="241"/>
      <c r="I595" s="241"/>
      <c r="J595" s="241"/>
      <c r="K595" s="241"/>
      <c r="L595" s="241"/>
      <c r="M595" s="241"/>
      <c r="N595" s="241"/>
      <c r="O595" s="241"/>
      <c r="P595" s="241"/>
      <c r="Q595" s="241"/>
      <c r="R595" s="241"/>
      <c r="S595" s="241"/>
      <c r="T595" s="241"/>
      <c r="U595" s="241"/>
      <c r="V595" s="241"/>
      <c r="W595" s="241"/>
      <c r="X595" s="241"/>
      <c r="Y595" s="241"/>
      <c r="Z595" s="241"/>
    </row>
    <row r="596" spans="1:26" ht="13.5" customHeight="1" x14ac:dyDescent="0.3">
      <c r="A596" s="241"/>
      <c r="B596" s="241"/>
      <c r="C596" s="241"/>
      <c r="D596" s="241"/>
      <c r="E596" s="241"/>
      <c r="F596" s="241"/>
      <c r="G596" s="241"/>
      <c r="H596" s="241"/>
      <c r="I596" s="241"/>
      <c r="J596" s="241"/>
      <c r="K596" s="241"/>
      <c r="L596" s="241"/>
      <c r="M596" s="241"/>
      <c r="N596" s="241"/>
      <c r="O596" s="241"/>
      <c r="P596" s="241"/>
      <c r="Q596" s="241"/>
      <c r="R596" s="241"/>
      <c r="S596" s="241"/>
      <c r="T596" s="241"/>
      <c r="U596" s="241"/>
      <c r="V596" s="241"/>
      <c r="W596" s="241"/>
      <c r="X596" s="241"/>
      <c r="Y596" s="241"/>
      <c r="Z596" s="241"/>
    </row>
    <row r="597" spans="1:26" ht="13.5" customHeight="1" x14ac:dyDescent="0.3">
      <c r="A597" s="241"/>
      <c r="B597" s="241"/>
      <c r="C597" s="241"/>
      <c r="D597" s="241"/>
      <c r="E597" s="241"/>
      <c r="F597" s="241"/>
      <c r="G597" s="241"/>
      <c r="H597" s="241"/>
      <c r="I597" s="241"/>
      <c r="J597" s="241"/>
      <c r="K597" s="241"/>
      <c r="L597" s="241"/>
      <c r="M597" s="241"/>
      <c r="N597" s="241"/>
      <c r="O597" s="241"/>
      <c r="P597" s="241"/>
      <c r="Q597" s="241"/>
      <c r="R597" s="241"/>
      <c r="S597" s="241"/>
      <c r="T597" s="241"/>
      <c r="U597" s="241"/>
      <c r="V597" s="241"/>
      <c r="W597" s="241"/>
      <c r="X597" s="241"/>
      <c r="Y597" s="241"/>
      <c r="Z597" s="241"/>
    </row>
    <row r="598" spans="1:26" ht="13.5" customHeight="1" x14ac:dyDescent="0.3">
      <c r="A598" s="241"/>
      <c r="B598" s="241"/>
      <c r="C598" s="241"/>
      <c r="D598" s="241"/>
      <c r="E598" s="241"/>
      <c r="F598" s="241"/>
      <c r="G598" s="241"/>
      <c r="H598" s="241"/>
      <c r="I598" s="241"/>
      <c r="J598" s="241"/>
      <c r="K598" s="241"/>
      <c r="L598" s="241"/>
      <c r="M598" s="241"/>
      <c r="N598" s="241"/>
      <c r="O598" s="241"/>
      <c r="P598" s="241"/>
      <c r="Q598" s="241"/>
      <c r="R598" s="241"/>
      <c r="S598" s="241"/>
      <c r="T598" s="241"/>
      <c r="U598" s="241"/>
      <c r="V598" s="241"/>
      <c r="W598" s="241"/>
      <c r="X598" s="241"/>
      <c r="Y598" s="241"/>
      <c r="Z598" s="241"/>
    </row>
    <row r="599" spans="1:26" ht="13.5" customHeight="1" x14ac:dyDescent="0.3">
      <c r="A599" s="241"/>
      <c r="B599" s="241"/>
      <c r="C599" s="241"/>
      <c r="D599" s="241"/>
      <c r="E599" s="241"/>
      <c r="F599" s="241"/>
      <c r="G599" s="241"/>
      <c r="H599" s="241"/>
      <c r="I599" s="241"/>
      <c r="J599" s="241"/>
      <c r="K599" s="241"/>
      <c r="L599" s="241"/>
      <c r="M599" s="241"/>
      <c r="N599" s="241"/>
      <c r="O599" s="241"/>
      <c r="P599" s="241"/>
      <c r="Q599" s="241"/>
      <c r="R599" s="241"/>
      <c r="S599" s="241"/>
      <c r="T599" s="241"/>
      <c r="U599" s="241"/>
      <c r="V599" s="241"/>
      <c r="W599" s="241"/>
      <c r="X599" s="241"/>
      <c r="Y599" s="241"/>
      <c r="Z599" s="241"/>
    </row>
    <row r="600" spans="1:26" ht="13.5" customHeight="1" x14ac:dyDescent="0.3">
      <c r="A600" s="241"/>
      <c r="B600" s="241"/>
      <c r="C600" s="241"/>
      <c r="D600" s="241"/>
      <c r="E600" s="241"/>
      <c r="F600" s="241"/>
      <c r="G600" s="241"/>
      <c r="H600" s="241"/>
      <c r="I600" s="241"/>
      <c r="J600" s="241"/>
      <c r="K600" s="241"/>
      <c r="L600" s="241"/>
      <c r="M600" s="241"/>
      <c r="N600" s="241"/>
      <c r="O600" s="241"/>
      <c r="P600" s="241"/>
      <c r="Q600" s="241"/>
      <c r="R600" s="241"/>
      <c r="S600" s="241"/>
      <c r="T600" s="241"/>
      <c r="U600" s="241"/>
      <c r="V600" s="241"/>
      <c r="W600" s="241"/>
      <c r="X600" s="241"/>
      <c r="Y600" s="241"/>
      <c r="Z600" s="241"/>
    </row>
    <row r="601" spans="1:26" ht="13.5" customHeight="1" x14ac:dyDescent="0.3">
      <c r="A601" s="241"/>
      <c r="B601" s="241"/>
      <c r="C601" s="241"/>
      <c r="D601" s="241"/>
      <c r="E601" s="241"/>
      <c r="F601" s="241"/>
      <c r="G601" s="241"/>
      <c r="H601" s="241"/>
      <c r="I601" s="241"/>
      <c r="J601" s="241"/>
      <c r="K601" s="241"/>
      <c r="L601" s="241"/>
      <c r="M601" s="241"/>
      <c r="N601" s="241"/>
      <c r="O601" s="241"/>
      <c r="P601" s="241"/>
      <c r="Q601" s="241"/>
      <c r="R601" s="241"/>
      <c r="S601" s="241"/>
      <c r="T601" s="241"/>
      <c r="U601" s="241"/>
      <c r="V601" s="241"/>
      <c r="W601" s="241"/>
      <c r="X601" s="241"/>
      <c r="Y601" s="241"/>
      <c r="Z601" s="241"/>
    </row>
    <row r="602" spans="1:26" ht="13.5" customHeight="1" x14ac:dyDescent="0.3">
      <c r="A602" s="241"/>
      <c r="B602" s="241"/>
      <c r="C602" s="241"/>
      <c r="D602" s="241"/>
      <c r="E602" s="241"/>
      <c r="F602" s="241"/>
      <c r="G602" s="241"/>
      <c r="H602" s="241"/>
      <c r="I602" s="241"/>
      <c r="J602" s="241"/>
      <c r="K602" s="241"/>
      <c r="L602" s="241"/>
      <c r="M602" s="241"/>
      <c r="N602" s="241"/>
      <c r="O602" s="241"/>
      <c r="P602" s="241"/>
      <c r="Q602" s="241"/>
      <c r="R602" s="241"/>
      <c r="S602" s="241"/>
      <c r="T602" s="241"/>
      <c r="U602" s="241"/>
      <c r="V602" s="241"/>
      <c r="W602" s="241"/>
      <c r="X602" s="241"/>
      <c r="Y602" s="241"/>
      <c r="Z602" s="241"/>
    </row>
    <row r="603" spans="1:26" ht="13.5" customHeight="1" x14ac:dyDescent="0.3">
      <c r="A603" s="241"/>
      <c r="B603" s="241"/>
      <c r="C603" s="241"/>
      <c r="D603" s="241"/>
      <c r="E603" s="241"/>
      <c r="F603" s="241"/>
      <c r="G603" s="241"/>
      <c r="H603" s="241"/>
      <c r="I603" s="241"/>
      <c r="J603" s="241"/>
      <c r="K603" s="241"/>
      <c r="L603" s="241"/>
      <c r="M603" s="241"/>
      <c r="N603" s="241"/>
      <c r="O603" s="241"/>
      <c r="P603" s="241"/>
      <c r="Q603" s="241"/>
      <c r="R603" s="241"/>
      <c r="S603" s="241"/>
      <c r="T603" s="241"/>
      <c r="U603" s="241"/>
      <c r="V603" s="241"/>
      <c r="W603" s="241"/>
      <c r="X603" s="241"/>
      <c r="Y603" s="241"/>
      <c r="Z603" s="241"/>
    </row>
    <row r="604" spans="1:26" ht="13.5" customHeight="1" x14ac:dyDescent="0.3">
      <c r="A604" s="241"/>
      <c r="B604" s="241"/>
      <c r="C604" s="241"/>
      <c r="D604" s="241"/>
      <c r="E604" s="241"/>
      <c r="F604" s="241"/>
      <c r="G604" s="241"/>
      <c r="H604" s="241"/>
      <c r="I604" s="241"/>
      <c r="J604" s="241"/>
      <c r="K604" s="241"/>
      <c r="L604" s="241"/>
      <c r="M604" s="241"/>
      <c r="N604" s="241"/>
      <c r="O604" s="241"/>
      <c r="P604" s="241"/>
      <c r="Q604" s="241"/>
      <c r="R604" s="241"/>
      <c r="S604" s="241"/>
      <c r="T604" s="241"/>
      <c r="U604" s="241"/>
      <c r="V604" s="241"/>
      <c r="W604" s="241"/>
      <c r="X604" s="241"/>
      <c r="Y604" s="241"/>
      <c r="Z604" s="241"/>
    </row>
    <row r="605" spans="1:26" ht="13.5" customHeight="1" x14ac:dyDescent="0.3">
      <c r="A605" s="241"/>
      <c r="B605" s="241"/>
      <c r="C605" s="241"/>
      <c r="D605" s="241"/>
      <c r="E605" s="241"/>
      <c r="F605" s="241"/>
      <c r="G605" s="241"/>
      <c r="H605" s="241"/>
      <c r="I605" s="241"/>
      <c r="J605" s="241"/>
      <c r="K605" s="241"/>
      <c r="L605" s="241"/>
      <c r="M605" s="241"/>
      <c r="N605" s="241"/>
      <c r="O605" s="241"/>
      <c r="P605" s="241"/>
      <c r="Q605" s="241"/>
      <c r="R605" s="241"/>
      <c r="S605" s="241"/>
      <c r="T605" s="241"/>
      <c r="U605" s="241"/>
      <c r="V605" s="241"/>
      <c r="W605" s="241"/>
      <c r="X605" s="241"/>
      <c r="Y605" s="241"/>
      <c r="Z605" s="241"/>
    </row>
    <row r="606" spans="1:26" ht="13.5" customHeight="1" x14ac:dyDescent="0.3">
      <c r="A606" s="241"/>
      <c r="B606" s="241"/>
      <c r="C606" s="241"/>
      <c r="D606" s="241"/>
      <c r="E606" s="241"/>
      <c r="F606" s="241"/>
      <c r="G606" s="241"/>
      <c r="H606" s="241"/>
      <c r="I606" s="241"/>
      <c r="J606" s="241"/>
      <c r="K606" s="241"/>
      <c r="L606" s="241"/>
      <c r="M606" s="241"/>
      <c r="N606" s="241"/>
      <c r="O606" s="241"/>
      <c r="P606" s="241"/>
      <c r="Q606" s="241"/>
      <c r="R606" s="241"/>
      <c r="S606" s="241"/>
      <c r="T606" s="241"/>
      <c r="U606" s="241"/>
      <c r="V606" s="241"/>
      <c r="W606" s="241"/>
      <c r="X606" s="241"/>
      <c r="Y606" s="241"/>
      <c r="Z606" s="241"/>
    </row>
    <row r="607" spans="1:26" ht="13.5" customHeight="1" x14ac:dyDescent="0.3">
      <c r="A607" s="241"/>
      <c r="B607" s="241"/>
      <c r="C607" s="241"/>
      <c r="D607" s="241"/>
      <c r="E607" s="241"/>
      <c r="F607" s="241"/>
      <c r="G607" s="241"/>
      <c r="H607" s="241"/>
      <c r="I607" s="241"/>
      <c r="J607" s="241"/>
      <c r="K607" s="241"/>
      <c r="L607" s="241"/>
      <c r="M607" s="241"/>
      <c r="N607" s="241"/>
      <c r="O607" s="241"/>
      <c r="P607" s="241"/>
      <c r="Q607" s="241"/>
      <c r="R607" s="241"/>
      <c r="S607" s="241"/>
      <c r="T607" s="241"/>
      <c r="U607" s="241"/>
      <c r="V607" s="241"/>
      <c r="W607" s="241"/>
      <c r="X607" s="241"/>
      <c r="Y607" s="241"/>
      <c r="Z607" s="241"/>
    </row>
    <row r="608" spans="1:26" ht="13.5" customHeight="1" x14ac:dyDescent="0.3">
      <c r="A608" s="241"/>
      <c r="B608" s="241"/>
      <c r="C608" s="241"/>
      <c r="D608" s="241"/>
      <c r="E608" s="241"/>
      <c r="F608" s="241"/>
      <c r="G608" s="241"/>
      <c r="H608" s="241"/>
      <c r="I608" s="241"/>
      <c r="J608" s="241"/>
      <c r="K608" s="241"/>
      <c r="L608" s="241"/>
      <c r="M608" s="241"/>
      <c r="N608" s="241"/>
      <c r="O608" s="241"/>
      <c r="P608" s="241"/>
      <c r="Q608" s="241"/>
      <c r="R608" s="241"/>
      <c r="S608" s="241"/>
      <c r="T608" s="241"/>
      <c r="U608" s="241"/>
      <c r="V608" s="241"/>
      <c r="W608" s="241"/>
      <c r="X608" s="241"/>
      <c r="Y608" s="241"/>
      <c r="Z608" s="241"/>
    </row>
    <row r="609" spans="1:26" ht="13.5" customHeight="1" x14ac:dyDescent="0.3">
      <c r="A609" s="241"/>
      <c r="B609" s="241"/>
      <c r="C609" s="241"/>
      <c r="D609" s="241"/>
      <c r="E609" s="241"/>
      <c r="F609" s="241"/>
      <c r="G609" s="241"/>
      <c r="H609" s="241"/>
      <c r="I609" s="241"/>
      <c r="J609" s="241"/>
      <c r="K609" s="241"/>
      <c r="L609" s="241"/>
      <c r="M609" s="241"/>
      <c r="N609" s="241"/>
      <c r="O609" s="241"/>
      <c r="P609" s="241"/>
      <c r="Q609" s="241"/>
      <c r="R609" s="241"/>
      <c r="S609" s="241"/>
      <c r="T609" s="241"/>
      <c r="U609" s="241"/>
      <c r="V609" s="241"/>
      <c r="W609" s="241"/>
      <c r="X609" s="241"/>
      <c r="Y609" s="241"/>
      <c r="Z609" s="241"/>
    </row>
    <row r="610" spans="1:26" ht="13.5" customHeight="1" x14ac:dyDescent="0.3">
      <c r="A610" s="241"/>
      <c r="B610" s="241"/>
      <c r="C610" s="241"/>
      <c r="D610" s="241"/>
      <c r="E610" s="241"/>
      <c r="F610" s="241"/>
      <c r="G610" s="241"/>
      <c r="H610" s="241"/>
      <c r="I610" s="241"/>
      <c r="J610" s="241"/>
      <c r="K610" s="241"/>
      <c r="L610" s="241"/>
      <c r="M610" s="241"/>
      <c r="N610" s="241"/>
      <c r="O610" s="241"/>
      <c r="P610" s="241"/>
      <c r="Q610" s="241"/>
      <c r="R610" s="241"/>
      <c r="S610" s="241"/>
      <c r="T610" s="241"/>
      <c r="U610" s="241"/>
      <c r="V610" s="241"/>
      <c r="W610" s="241"/>
      <c r="X610" s="241"/>
      <c r="Y610" s="241"/>
      <c r="Z610" s="241"/>
    </row>
    <row r="611" spans="1:26" ht="13.5" customHeight="1" x14ac:dyDescent="0.3">
      <c r="A611" s="241"/>
      <c r="B611" s="241"/>
      <c r="C611" s="241"/>
      <c r="D611" s="241"/>
      <c r="E611" s="241"/>
      <c r="F611" s="241"/>
      <c r="G611" s="241"/>
      <c r="H611" s="241"/>
      <c r="I611" s="241"/>
      <c r="J611" s="241"/>
      <c r="K611" s="241"/>
      <c r="L611" s="241"/>
      <c r="M611" s="241"/>
      <c r="N611" s="241"/>
      <c r="O611" s="241"/>
      <c r="P611" s="241"/>
      <c r="Q611" s="241"/>
      <c r="R611" s="241"/>
      <c r="S611" s="241"/>
      <c r="T611" s="241"/>
      <c r="U611" s="241"/>
      <c r="V611" s="241"/>
      <c r="W611" s="241"/>
      <c r="X611" s="241"/>
      <c r="Y611" s="241"/>
      <c r="Z611" s="241"/>
    </row>
    <row r="612" spans="1:26" ht="13.5" customHeight="1" x14ac:dyDescent="0.3">
      <c r="A612" s="241"/>
      <c r="B612" s="241"/>
      <c r="C612" s="241"/>
      <c r="D612" s="241"/>
      <c r="E612" s="241"/>
      <c r="F612" s="241"/>
      <c r="G612" s="241"/>
      <c r="H612" s="241"/>
      <c r="I612" s="241"/>
      <c r="J612" s="241"/>
      <c r="K612" s="241"/>
      <c r="L612" s="241"/>
      <c r="M612" s="241"/>
      <c r="N612" s="241"/>
      <c r="O612" s="241"/>
      <c r="P612" s="241"/>
      <c r="Q612" s="241"/>
      <c r="R612" s="241"/>
      <c r="S612" s="241"/>
      <c r="T612" s="241"/>
      <c r="U612" s="241"/>
      <c r="V612" s="241"/>
      <c r="W612" s="241"/>
      <c r="X612" s="241"/>
      <c r="Y612" s="241"/>
      <c r="Z612" s="241"/>
    </row>
    <row r="613" spans="1:26" ht="13.5" customHeight="1" x14ac:dyDescent="0.3">
      <c r="A613" s="241"/>
      <c r="B613" s="241"/>
      <c r="C613" s="241"/>
      <c r="D613" s="241"/>
      <c r="E613" s="241"/>
      <c r="F613" s="241"/>
      <c r="G613" s="241"/>
      <c r="H613" s="241"/>
      <c r="I613" s="241"/>
      <c r="J613" s="241"/>
      <c r="K613" s="241"/>
      <c r="L613" s="241"/>
      <c r="M613" s="241"/>
      <c r="N613" s="241"/>
      <c r="O613" s="241"/>
      <c r="P613" s="241"/>
      <c r="Q613" s="241"/>
      <c r="R613" s="241"/>
      <c r="S613" s="241"/>
      <c r="T613" s="241"/>
      <c r="U613" s="241"/>
      <c r="V613" s="241"/>
      <c r="W613" s="241"/>
      <c r="X613" s="241"/>
      <c r="Y613" s="241"/>
      <c r="Z613" s="241"/>
    </row>
    <row r="614" spans="1:26" ht="13.5" customHeight="1" x14ac:dyDescent="0.3">
      <c r="A614" s="241"/>
      <c r="B614" s="241"/>
      <c r="C614" s="241"/>
      <c r="D614" s="241"/>
      <c r="E614" s="241"/>
      <c r="F614" s="241"/>
      <c r="G614" s="241"/>
      <c r="H614" s="241"/>
      <c r="I614" s="241"/>
      <c r="J614" s="241"/>
      <c r="K614" s="241"/>
      <c r="L614" s="241"/>
      <c r="M614" s="241"/>
      <c r="N614" s="241"/>
      <c r="O614" s="241"/>
      <c r="P614" s="241"/>
      <c r="Q614" s="241"/>
      <c r="R614" s="241"/>
      <c r="S614" s="241"/>
      <c r="T614" s="241"/>
      <c r="U614" s="241"/>
      <c r="V614" s="241"/>
      <c r="W614" s="241"/>
      <c r="X614" s="241"/>
      <c r="Y614" s="241"/>
      <c r="Z614" s="241"/>
    </row>
    <row r="615" spans="1:26" ht="13.5" customHeight="1" x14ac:dyDescent="0.3">
      <c r="A615" s="241"/>
      <c r="B615" s="241"/>
      <c r="C615" s="241"/>
      <c r="D615" s="241"/>
      <c r="E615" s="241"/>
      <c r="F615" s="241"/>
      <c r="G615" s="241"/>
      <c r="H615" s="241"/>
      <c r="I615" s="241"/>
      <c r="J615" s="241"/>
      <c r="K615" s="241"/>
      <c r="L615" s="241"/>
      <c r="M615" s="241"/>
      <c r="N615" s="241"/>
      <c r="O615" s="241"/>
      <c r="P615" s="241"/>
      <c r="Q615" s="241"/>
      <c r="R615" s="241"/>
      <c r="S615" s="241"/>
      <c r="T615" s="241"/>
      <c r="U615" s="241"/>
      <c r="V615" s="241"/>
      <c r="W615" s="241"/>
      <c r="X615" s="241"/>
      <c r="Y615" s="241"/>
      <c r="Z615" s="241"/>
    </row>
    <row r="616" spans="1:26" ht="13.5" customHeight="1" x14ac:dyDescent="0.3">
      <c r="A616" s="241"/>
      <c r="B616" s="241"/>
      <c r="C616" s="241"/>
      <c r="D616" s="241"/>
      <c r="E616" s="241"/>
      <c r="F616" s="241"/>
      <c r="G616" s="241"/>
      <c r="H616" s="241"/>
      <c r="I616" s="241"/>
      <c r="J616" s="241"/>
      <c r="K616" s="241"/>
      <c r="L616" s="241"/>
      <c r="M616" s="241"/>
      <c r="N616" s="241"/>
      <c r="O616" s="241"/>
      <c r="P616" s="241"/>
      <c r="Q616" s="241"/>
      <c r="R616" s="241"/>
      <c r="S616" s="241"/>
      <c r="T616" s="241"/>
      <c r="U616" s="241"/>
      <c r="V616" s="241"/>
      <c r="W616" s="241"/>
      <c r="X616" s="241"/>
      <c r="Y616" s="241"/>
      <c r="Z616" s="241"/>
    </row>
    <row r="617" spans="1:26" ht="13.5" customHeight="1" x14ac:dyDescent="0.3">
      <c r="A617" s="241"/>
      <c r="B617" s="241"/>
      <c r="C617" s="241"/>
      <c r="D617" s="241"/>
      <c r="E617" s="241"/>
      <c r="F617" s="241"/>
      <c r="G617" s="241"/>
      <c r="H617" s="241"/>
      <c r="I617" s="241"/>
      <c r="J617" s="241"/>
      <c r="K617" s="241"/>
      <c r="L617" s="241"/>
      <c r="M617" s="241"/>
      <c r="N617" s="241"/>
      <c r="O617" s="241"/>
      <c r="P617" s="241"/>
      <c r="Q617" s="241"/>
      <c r="R617" s="241"/>
      <c r="S617" s="241"/>
      <c r="T617" s="241"/>
      <c r="U617" s="241"/>
      <c r="V617" s="241"/>
      <c r="W617" s="241"/>
      <c r="X617" s="241"/>
      <c r="Y617" s="241"/>
      <c r="Z617" s="241"/>
    </row>
    <row r="618" spans="1:26" ht="13.5" customHeight="1" x14ac:dyDescent="0.3">
      <c r="A618" s="241"/>
      <c r="B618" s="241"/>
      <c r="C618" s="241"/>
      <c r="D618" s="241"/>
      <c r="E618" s="241"/>
      <c r="F618" s="241"/>
      <c r="G618" s="241"/>
      <c r="H618" s="241"/>
      <c r="I618" s="241"/>
      <c r="J618" s="241"/>
      <c r="K618" s="241"/>
      <c r="L618" s="241"/>
      <c r="M618" s="241"/>
      <c r="N618" s="241"/>
      <c r="O618" s="241"/>
      <c r="P618" s="241"/>
      <c r="Q618" s="241"/>
      <c r="R618" s="241"/>
      <c r="S618" s="241"/>
      <c r="T618" s="241"/>
      <c r="U618" s="241"/>
      <c r="V618" s="241"/>
      <c r="W618" s="241"/>
      <c r="X618" s="241"/>
      <c r="Y618" s="241"/>
      <c r="Z618" s="241"/>
    </row>
    <row r="619" spans="1:26" ht="13.5" customHeight="1" x14ac:dyDescent="0.3">
      <c r="A619" s="241"/>
      <c r="B619" s="241"/>
      <c r="C619" s="241"/>
      <c r="D619" s="241"/>
      <c r="E619" s="241"/>
      <c r="F619" s="241"/>
      <c r="G619" s="241"/>
      <c r="H619" s="241"/>
      <c r="I619" s="241"/>
      <c r="J619" s="241"/>
      <c r="K619" s="241"/>
      <c r="L619" s="241"/>
      <c r="M619" s="241"/>
      <c r="N619" s="241"/>
      <c r="O619" s="241"/>
      <c r="P619" s="241"/>
      <c r="Q619" s="241"/>
      <c r="R619" s="241"/>
      <c r="S619" s="241"/>
      <c r="T619" s="241"/>
      <c r="U619" s="241"/>
      <c r="V619" s="241"/>
      <c r="W619" s="241"/>
      <c r="X619" s="241"/>
      <c r="Y619" s="241"/>
      <c r="Z619" s="241"/>
    </row>
    <row r="620" spans="1:26" ht="13.5" customHeight="1" x14ac:dyDescent="0.3">
      <c r="A620" s="241"/>
      <c r="B620" s="241"/>
      <c r="C620" s="241"/>
      <c r="D620" s="241"/>
      <c r="E620" s="241"/>
      <c r="F620" s="241"/>
      <c r="G620" s="241"/>
      <c r="H620" s="241"/>
      <c r="I620" s="241"/>
      <c r="J620" s="241"/>
      <c r="K620" s="241"/>
      <c r="L620" s="241"/>
      <c r="M620" s="241"/>
      <c r="N620" s="241"/>
      <c r="O620" s="241"/>
      <c r="P620" s="241"/>
      <c r="Q620" s="241"/>
      <c r="R620" s="241"/>
      <c r="S620" s="241"/>
      <c r="T620" s="241"/>
      <c r="U620" s="241"/>
      <c r="V620" s="241"/>
      <c r="W620" s="241"/>
      <c r="X620" s="241"/>
      <c r="Y620" s="241"/>
      <c r="Z620" s="241"/>
    </row>
    <row r="621" spans="1:26" ht="13.5" customHeight="1" x14ac:dyDescent="0.3">
      <c r="A621" s="241"/>
      <c r="B621" s="241"/>
      <c r="C621" s="241"/>
      <c r="D621" s="241"/>
      <c r="E621" s="241"/>
      <c r="F621" s="241"/>
      <c r="G621" s="241"/>
      <c r="H621" s="241"/>
      <c r="I621" s="241"/>
      <c r="J621" s="241"/>
      <c r="K621" s="241"/>
      <c r="L621" s="241"/>
      <c r="M621" s="241"/>
      <c r="N621" s="241"/>
      <c r="O621" s="241"/>
      <c r="P621" s="241"/>
      <c r="Q621" s="241"/>
      <c r="R621" s="241"/>
      <c r="S621" s="241"/>
      <c r="T621" s="241"/>
      <c r="U621" s="241"/>
      <c r="V621" s="241"/>
      <c r="W621" s="241"/>
      <c r="X621" s="241"/>
      <c r="Y621" s="241"/>
      <c r="Z621" s="241"/>
    </row>
    <row r="622" spans="1:26" ht="13.5" customHeight="1" x14ac:dyDescent="0.3">
      <c r="A622" s="241"/>
      <c r="B622" s="241"/>
      <c r="C622" s="241"/>
      <c r="D622" s="241"/>
      <c r="E622" s="241"/>
      <c r="F622" s="241"/>
      <c r="G622" s="241"/>
      <c r="H622" s="241"/>
      <c r="I622" s="241"/>
      <c r="J622" s="241"/>
      <c r="K622" s="241"/>
      <c r="L622" s="241"/>
      <c r="M622" s="241"/>
      <c r="N622" s="241"/>
      <c r="O622" s="241"/>
      <c r="P622" s="241"/>
      <c r="Q622" s="241"/>
      <c r="R622" s="241"/>
      <c r="S622" s="241"/>
      <c r="T622" s="241"/>
      <c r="U622" s="241"/>
      <c r="V622" s="241"/>
      <c r="W622" s="241"/>
      <c r="X622" s="241"/>
      <c r="Y622" s="241"/>
      <c r="Z622" s="241"/>
    </row>
    <row r="623" spans="1:26" ht="13.5" customHeight="1" x14ac:dyDescent="0.3">
      <c r="A623" s="241"/>
      <c r="B623" s="241"/>
      <c r="C623" s="241"/>
      <c r="D623" s="241"/>
      <c r="E623" s="241"/>
      <c r="F623" s="241"/>
      <c r="G623" s="241"/>
      <c r="H623" s="241"/>
      <c r="I623" s="241"/>
      <c r="J623" s="241"/>
      <c r="K623" s="241"/>
      <c r="L623" s="241"/>
      <c r="M623" s="241"/>
      <c r="N623" s="241"/>
      <c r="O623" s="241"/>
      <c r="P623" s="241"/>
      <c r="Q623" s="241"/>
      <c r="R623" s="241"/>
      <c r="S623" s="241"/>
      <c r="T623" s="241"/>
      <c r="U623" s="241"/>
      <c r="V623" s="241"/>
      <c r="W623" s="241"/>
      <c r="X623" s="241"/>
      <c r="Y623" s="241"/>
      <c r="Z623" s="241"/>
    </row>
    <row r="624" spans="1:26" ht="13.5" customHeight="1" x14ac:dyDescent="0.3">
      <c r="A624" s="241"/>
      <c r="B624" s="241"/>
      <c r="C624" s="241"/>
      <c r="D624" s="241"/>
      <c r="E624" s="241"/>
      <c r="F624" s="241"/>
      <c r="G624" s="241"/>
      <c r="H624" s="241"/>
      <c r="I624" s="241"/>
      <c r="J624" s="241"/>
      <c r="K624" s="241"/>
      <c r="L624" s="241"/>
      <c r="M624" s="241"/>
      <c r="N624" s="241"/>
      <c r="O624" s="241"/>
      <c r="P624" s="241"/>
      <c r="Q624" s="241"/>
      <c r="R624" s="241"/>
      <c r="S624" s="241"/>
      <c r="T624" s="241"/>
      <c r="U624" s="241"/>
      <c r="V624" s="241"/>
      <c r="W624" s="241"/>
      <c r="X624" s="241"/>
      <c r="Y624" s="241"/>
      <c r="Z624" s="241"/>
    </row>
    <row r="625" spans="1:26" ht="13.5" customHeight="1" x14ac:dyDescent="0.3">
      <c r="A625" s="241"/>
      <c r="B625" s="241"/>
      <c r="C625" s="241"/>
      <c r="D625" s="241"/>
      <c r="E625" s="241"/>
      <c r="F625" s="241"/>
      <c r="G625" s="241"/>
      <c r="H625" s="241"/>
      <c r="I625" s="241"/>
      <c r="J625" s="241"/>
      <c r="K625" s="241"/>
      <c r="L625" s="241"/>
      <c r="M625" s="241"/>
      <c r="N625" s="241"/>
      <c r="O625" s="241"/>
      <c r="P625" s="241"/>
      <c r="Q625" s="241"/>
      <c r="R625" s="241"/>
      <c r="S625" s="241"/>
      <c r="T625" s="241"/>
      <c r="U625" s="241"/>
      <c r="V625" s="241"/>
      <c r="W625" s="241"/>
      <c r="X625" s="241"/>
      <c r="Y625" s="241"/>
      <c r="Z625" s="241"/>
    </row>
    <row r="626" spans="1:26" ht="13.5" customHeight="1" x14ac:dyDescent="0.3">
      <c r="A626" s="241"/>
      <c r="B626" s="241"/>
      <c r="C626" s="241"/>
      <c r="D626" s="241"/>
      <c r="E626" s="241"/>
      <c r="F626" s="241"/>
      <c r="G626" s="241"/>
      <c r="H626" s="241"/>
      <c r="I626" s="241"/>
      <c r="J626" s="241"/>
      <c r="K626" s="241"/>
      <c r="L626" s="241"/>
      <c r="M626" s="241"/>
      <c r="N626" s="241"/>
      <c r="O626" s="241"/>
      <c r="P626" s="241"/>
      <c r="Q626" s="241"/>
      <c r="R626" s="241"/>
      <c r="S626" s="241"/>
      <c r="T626" s="241"/>
      <c r="U626" s="241"/>
      <c r="V626" s="241"/>
      <c r="W626" s="241"/>
      <c r="X626" s="241"/>
      <c r="Y626" s="241"/>
      <c r="Z626" s="241"/>
    </row>
    <row r="627" spans="1:26" ht="13.5" customHeight="1" x14ac:dyDescent="0.3">
      <c r="A627" s="241"/>
      <c r="B627" s="241"/>
      <c r="C627" s="241"/>
      <c r="D627" s="241"/>
      <c r="E627" s="241"/>
      <c r="F627" s="241"/>
      <c r="G627" s="241"/>
      <c r="H627" s="241"/>
      <c r="I627" s="241"/>
      <c r="J627" s="241"/>
      <c r="K627" s="241"/>
      <c r="L627" s="241"/>
      <c r="M627" s="241"/>
      <c r="N627" s="241"/>
      <c r="O627" s="241"/>
      <c r="P627" s="241"/>
      <c r="Q627" s="241"/>
      <c r="R627" s="241"/>
      <c r="S627" s="241"/>
      <c r="T627" s="241"/>
      <c r="U627" s="241"/>
      <c r="V627" s="241"/>
      <c r="W627" s="241"/>
      <c r="X627" s="241"/>
      <c r="Y627" s="241"/>
      <c r="Z627" s="241"/>
    </row>
    <row r="628" spans="1:26" ht="13.5" customHeight="1" x14ac:dyDescent="0.3">
      <c r="A628" s="241"/>
      <c r="B628" s="241"/>
      <c r="C628" s="241"/>
      <c r="D628" s="241"/>
      <c r="E628" s="241"/>
      <c r="F628" s="241"/>
      <c r="G628" s="241"/>
      <c r="H628" s="241"/>
      <c r="I628" s="241"/>
      <c r="J628" s="241"/>
      <c r="K628" s="241"/>
      <c r="L628" s="241"/>
      <c r="M628" s="241"/>
      <c r="N628" s="241"/>
      <c r="O628" s="241"/>
      <c r="P628" s="241"/>
      <c r="Q628" s="241"/>
      <c r="R628" s="241"/>
      <c r="S628" s="241"/>
      <c r="T628" s="241"/>
      <c r="U628" s="241"/>
      <c r="V628" s="241"/>
      <c r="W628" s="241"/>
      <c r="X628" s="241"/>
      <c r="Y628" s="241"/>
      <c r="Z628" s="241"/>
    </row>
    <row r="629" spans="1:26" ht="13.5" customHeight="1" x14ac:dyDescent="0.3">
      <c r="A629" s="241"/>
      <c r="B629" s="241"/>
      <c r="C629" s="241"/>
      <c r="D629" s="241"/>
      <c r="E629" s="241"/>
      <c r="F629" s="241"/>
      <c r="G629" s="241"/>
      <c r="H629" s="241"/>
      <c r="I629" s="241"/>
      <c r="J629" s="241"/>
      <c r="K629" s="241"/>
      <c r="L629" s="241"/>
      <c r="M629" s="241"/>
      <c r="N629" s="241"/>
      <c r="O629" s="241"/>
      <c r="P629" s="241"/>
      <c r="Q629" s="241"/>
      <c r="R629" s="241"/>
      <c r="S629" s="241"/>
      <c r="T629" s="241"/>
      <c r="U629" s="241"/>
      <c r="V629" s="241"/>
      <c r="W629" s="241"/>
      <c r="X629" s="241"/>
      <c r="Y629" s="241"/>
      <c r="Z629" s="241"/>
    </row>
    <row r="630" spans="1:26" ht="13.5" customHeight="1" x14ac:dyDescent="0.3">
      <c r="A630" s="241"/>
      <c r="B630" s="241"/>
      <c r="C630" s="241"/>
      <c r="D630" s="241"/>
      <c r="E630" s="241"/>
      <c r="F630" s="241"/>
      <c r="G630" s="241"/>
      <c r="H630" s="241"/>
      <c r="I630" s="241"/>
      <c r="J630" s="241"/>
      <c r="K630" s="241"/>
      <c r="L630" s="241"/>
      <c r="M630" s="241"/>
      <c r="N630" s="241"/>
      <c r="O630" s="241"/>
      <c r="P630" s="241"/>
      <c r="Q630" s="241"/>
      <c r="R630" s="241"/>
      <c r="S630" s="241"/>
      <c r="T630" s="241"/>
      <c r="U630" s="241"/>
      <c r="V630" s="241"/>
      <c r="W630" s="241"/>
      <c r="X630" s="241"/>
      <c r="Y630" s="241"/>
      <c r="Z630" s="241"/>
    </row>
    <row r="631" spans="1:26" ht="13.5" customHeight="1" x14ac:dyDescent="0.3">
      <c r="A631" s="241"/>
      <c r="B631" s="241"/>
      <c r="C631" s="241"/>
      <c r="D631" s="241"/>
      <c r="E631" s="241"/>
      <c r="F631" s="241"/>
      <c r="G631" s="241"/>
      <c r="H631" s="241"/>
      <c r="I631" s="241"/>
      <c r="J631" s="241"/>
      <c r="K631" s="241"/>
      <c r="L631" s="241"/>
      <c r="M631" s="241"/>
      <c r="N631" s="241"/>
      <c r="O631" s="241"/>
      <c r="P631" s="241"/>
      <c r="Q631" s="241"/>
      <c r="R631" s="241"/>
      <c r="S631" s="241"/>
      <c r="T631" s="241"/>
      <c r="U631" s="241"/>
      <c r="V631" s="241"/>
      <c r="W631" s="241"/>
      <c r="X631" s="241"/>
      <c r="Y631" s="241"/>
      <c r="Z631" s="241"/>
    </row>
    <row r="632" spans="1:26" ht="13.5" customHeight="1" x14ac:dyDescent="0.3">
      <c r="A632" s="241"/>
      <c r="B632" s="241"/>
      <c r="C632" s="241"/>
      <c r="D632" s="241"/>
      <c r="E632" s="241"/>
      <c r="F632" s="241"/>
      <c r="G632" s="241"/>
      <c r="H632" s="241"/>
      <c r="I632" s="241"/>
      <c r="J632" s="241"/>
      <c r="K632" s="241"/>
      <c r="L632" s="241"/>
      <c r="M632" s="241"/>
      <c r="N632" s="241"/>
      <c r="O632" s="241"/>
      <c r="P632" s="241"/>
      <c r="Q632" s="241"/>
      <c r="R632" s="241"/>
      <c r="S632" s="241"/>
      <c r="T632" s="241"/>
      <c r="U632" s="241"/>
      <c r="V632" s="241"/>
      <c r="W632" s="241"/>
      <c r="X632" s="241"/>
      <c r="Y632" s="241"/>
      <c r="Z632" s="241"/>
    </row>
    <row r="633" spans="1:26" ht="13.5" customHeight="1" x14ac:dyDescent="0.3">
      <c r="A633" s="241"/>
      <c r="B633" s="241"/>
      <c r="C633" s="241"/>
      <c r="D633" s="241"/>
      <c r="E633" s="241"/>
      <c r="F633" s="241"/>
      <c r="G633" s="241"/>
      <c r="H633" s="241"/>
      <c r="I633" s="241"/>
      <c r="J633" s="241"/>
      <c r="K633" s="241"/>
      <c r="L633" s="241"/>
      <c r="M633" s="241"/>
      <c r="N633" s="241"/>
      <c r="O633" s="241"/>
      <c r="P633" s="241"/>
      <c r="Q633" s="241"/>
      <c r="R633" s="241"/>
      <c r="S633" s="241"/>
      <c r="T633" s="241"/>
      <c r="U633" s="241"/>
      <c r="V633" s="241"/>
      <c r="W633" s="241"/>
      <c r="X633" s="241"/>
      <c r="Y633" s="241"/>
      <c r="Z633" s="241"/>
    </row>
    <row r="634" spans="1:26" ht="13.5" customHeight="1" x14ac:dyDescent="0.3">
      <c r="A634" s="241"/>
      <c r="B634" s="241"/>
      <c r="C634" s="241"/>
      <c r="D634" s="241"/>
      <c r="E634" s="241"/>
      <c r="F634" s="241"/>
      <c r="G634" s="241"/>
      <c r="H634" s="241"/>
      <c r="I634" s="241"/>
      <c r="J634" s="241"/>
      <c r="K634" s="241"/>
      <c r="L634" s="241"/>
      <c r="M634" s="241"/>
      <c r="N634" s="241"/>
      <c r="O634" s="241"/>
      <c r="P634" s="241"/>
      <c r="Q634" s="241"/>
      <c r="R634" s="241"/>
      <c r="S634" s="241"/>
      <c r="T634" s="241"/>
      <c r="U634" s="241"/>
      <c r="V634" s="241"/>
      <c r="W634" s="241"/>
      <c r="X634" s="241"/>
      <c r="Y634" s="241"/>
      <c r="Z634" s="241"/>
    </row>
    <row r="635" spans="1:26" ht="13.5" customHeight="1" x14ac:dyDescent="0.3">
      <c r="A635" s="241"/>
      <c r="B635" s="241"/>
      <c r="C635" s="241"/>
      <c r="D635" s="241"/>
      <c r="E635" s="241"/>
      <c r="F635" s="241"/>
      <c r="G635" s="241"/>
      <c r="H635" s="241"/>
      <c r="I635" s="241"/>
      <c r="J635" s="241"/>
      <c r="K635" s="241"/>
      <c r="L635" s="241"/>
      <c r="M635" s="241"/>
      <c r="N635" s="241"/>
      <c r="O635" s="241"/>
      <c r="P635" s="241"/>
      <c r="Q635" s="241"/>
      <c r="R635" s="241"/>
      <c r="S635" s="241"/>
      <c r="T635" s="241"/>
      <c r="U635" s="241"/>
      <c r="V635" s="241"/>
      <c r="W635" s="241"/>
      <c r="X635" s="241"/>
      <c r="Y635" s="241"/>
      <c r="Z635" s="241"/>
    </row>
    <row r="636" spans="1:26" ht="13.5" customHeight="1" x14ac:dyDescent="0.3">
      <c r="A636" s="241"/>
      <c r="B636" s="241"/>
      <c r="C636" s="241"/>
      <c r="D636" s="241"/>
      <c r="E636" s="241"/>
      <c r="F636" s="241"/>
      <c r="G636" s="241"/>
      <c r="H636" s="241"/>
      <c r="I636" s="241"/>
      <c r="J636" s="241"/>
      <c r="K636" s="241"/>
      <c r="L636" s="241"/>
      <c r="M636" s="241"/>
      <c r="N636" s="241"/>
      <c r="O636" s="241"/>
      <c r="P636" s="241"/>
      <c r="Q636" s="241"/>
      <c r="R636" s="241"/>
      <c r="S636" s="241"/>
      <c r="T636" s="241"/>
      <c r="U636" s="241"/>
      <c r="V636" s="241"/>
      <c r="W636" s="241"/>
      <c r="X636" s="241"/>
      <c r="Y636" s="241"/>
      <c r="Z636" s="241"/>
    </row>
    <row r="637" spans="1:26" ht="13.5" customHeight="1" x14ac:dyDescent="0.3">
      <c r="A637" s="241"/>
      <c r="B637" s="241"/>
      <c r="C637" s="241"/>
      <c r="D637" s="241"/>
      <c r="E637" s="241"/>
      <c r="F637" s="241"/>
      <c r="G637" s="241"/>
      <c r="H637" s="241"/>
      <c r="I637" s="241"/>
      <c r="J637" s="241"/>
      <c r="K637" s="241"/>
      <c r="L637" s="241"/>
      <c r="M637" s="241"/>
      <c r="N637" s="241"/>
      <c r="O637" s="241"/>
      <c r="P637" s="241"/>
      <c r="Q637" s="241"/>
      <c r="R637" s="241"/>
      <c r="S637" s="241"/>
      <c r="T637" s="241"/>
      <c r="U637" s="241"/>
      <c r="V637" s="241"/>
      <c r="W637" s="241"/>
      <c r="X637" s="241"/>
      <c r="Y637" s="241"/>
      <c r="Z637" s="241"/>
    </row>
    <row r="638" spans="1:26" ht="13.5" customHeight="1" x14ac:dyDescent="0.3">
      <c r="A638" s="241"/>
      <c r="B638" s="241"/>
      <c r="C638" s="241"/>
      <c r="D638" s="241"/>
      <c r="E638" s="241"/>
      <c r="F638" s="241"/>
      <c r="G638" s="241"/>
      <c r="H638" s="241"/>
      <c r="I638" s="241"/>
      <c r="J638" s="241"/>
      <c r="K638" s="241"/>
      <c r="L638" s="241"/>
      <c r="M638" s="241"/>
      <c r="N638" s="241"/>
      <c r="O638" s="241"/>
      <c r="P638" s="241"/>
      <c r="Q638" s="241"/>
      <c r="R638" s="241"/>
      <c r="S638" s="241"/>
      <c r="T638" s="241"/>
      <c r="U638" s="241"/>
      <c r="V638" s="241"/>
      <c r="W638" s="241"/>
      <c r="X638" s="241"/>
      <c r="Y638" s="241"/>
      <c r="Z638" s="241"/>
    </row>
    <row r="639" spans="1:26" ht="13.5" customHeight="1" x14ac:dyDescent="0.3">
      <c r="A639" s="241"/>
      <c r="B639" s="241"/>
      <c r="C639" s="241"/>
      <c r="D639" s="241"/>
      <c r="E639" s="241"/>
      <c r="F639" s="241"/>
      <c r="G639" s="241"/>
      <c r="H639" s="241"/>
      <c r="I639" s="241"/>
      <c r="J639" s="241"/>
      <c r="K639" s="241"/>
      <c r="L639" s="241"/>
      <c r="M639" s="241"/>
      <c r="N639" s="241"/>
      <c r="O639" s="241"/>
      <c r="P639" s="241"/>
      <c r="Q639" s="241"/>
      <c r="R639" s="241"/>
      <c r="S639" s="241"/>
      <c r="T639" s="241"/>
      <c r="U639" s="241"/>
      <c r="V639" s="241"/>
      <c r="W639" s="241"/>
      <c r="X639" s="241"/>
      <c r="Y639" s="241"/>
      <c r="Z639" s="241"/>
    </row>
    <row r="640" spans="1:26" ht="13.5" customHeight="1" x14ac:dyDescent="0.3">
      <c r="A640" s="241"/>
      <c r="B640" s="241"/>
      <c r="C640" s="241"/>
      <c r="D640" s="241"/>
      <c r="E640" s="241"/>
      <c r="F640" s="241"/>
      <c r="G640" s="241"/>
      <c r="H640" s="241"/>
      <c r="I640" s="241"/>
      <c r="J640" s="241"/>
      <c r="K640" s="241"/>
      <c r="L640" s="241"/>
      <c r="M640" s="241"/>
      <c r="N640" s="241"/>
      <c r="O640" s="241"/>
      <c r="P640" s="241"/>
      <c r="Q640" s="241"/>
      <c r="R640" s="241"/>
      <c r="S640" s="241"/>
      <c r="T640" s="241"/>
      <c r="U640" s="241"/>
      <c r="V640" s="241"/>
      <c r="W640" s="241"/>
      <c r="X640" s="241"/>
      <c r="Y640" s="241"/>
      <c r="Z640" s="241"/>
    </row>
    <row r="641" spans="1:26" ht="13.5" customHeight="1" x14ac:dyDescent="0.3">
      <c r="A641" s="241"/>
      <c r="B641" s="241"/>
      <c r="C641" s="241"/>
      <c r="D641" s="241"/>
      <c r="E641" s="241"/>
      <c r="F641" s="241"/>
      <c r="G641" s="241"/>
      <c r="H641" s="241"/>
      <c r="I641" s="241"/>
      <c r="J641" s="241"/>
      <c r="K641" s="241"/>
      <c r="L641" s="241"/>
      <c r="M641" s="241"/>
      <c r="N641" s="241"/>
      <c r="O641" s="241"/>
      <c r="P641" s="241"/>
      <c r="Q641" s="241"/>
      <c r="R641" s="241"/>
      <c r="S641" s="241"/>
      <c r="T641" s="241"/>
      <c r="U641" s="241"/>
      <c r="V641" s="241"/>
      <c r="W641" s="241"/>
      <c r="X641" s="241"/>
      <c r="Y641" s="241"/>
      <c r="Z641" s="241"/>
    </row>
    <row r="642" spans="1:26" ht="13.5" customHeight="1" x14ac:dyDescent="0.3">
      <c r="A642" s="241"/>
      <c r="B642" s="241"/>
      <c r="C642" s="241"/>
      <c r="D642" s="241"/>
      <c r="E642" s="241"/>
      <c r="F642" s="241"/>
      <c r="G642" s="241"/>
      <c r="H642" s="241"/>
      <c r="I642" s="241"/>
      <c r="J642" s="241"/>
      <c r="K642" s="241"/>
      <c r="L642" s="241"/>
      <c r="M642" s="241"/>
      <c r="N642" s="241"/>
      <c r="O642" s="241"/>
      <c r="P642" s="241"/>
      <c r="Q642" s="241"/>
      <c r="R642" s="241"/>
      <c r="S642" s="241"/>
      <c r="T642" s="241"/>
      <c r="U642" s="241"/>
      <c r="V642" s="241"/>
      <c r="W642" s="241"/>
      <c r="X642" s="241"/>
      <c r="Y642" s="241"/>
      <c r="Z642" s="241"/>
    </row>
    <row r="643" spans="1:26" ht="13.5" customHeight="1" x14ac:dyDescent="0.3">
      <c r="A643" s="241"/>
      <c r="B643" s="241"/>
      <c r="C643" s="241"/>
      <c r="D643" s="241"/>
      <c r="E643" s="241"/>
      <c r="F643" s="241"/>
      <c r="G643" s="241"/>
      <c r="H643" s="241"/>
      <c r="I643" s="241"/>
      <c r="J643" s="241"/>
      <c r="K643" s="241"/>
      <c r="L643" s="241"/>
      <c r="M643" s="241"/>
      <c r="N643" s="241"/>
      <c r="O643" s="241"/>
      <c r="P643" s="241"/>
      <c r="Q643" s="241"/>
      <c r="R643" s="241"/>
      <c r="S643" s="241"/>
      <c r="T643" s="241"/>
      <c r="U643" s="241"/>
      <c r="V643" s="241"/>
      <c r="W643" s="241"/>
      <c r="X643" s="241"/>
      <c r="Y643" s="241"/>
      <c r="Z643" s="241"/>
    </row>
    <row r="644" spans="1:26" ht="13.5" customHeight="1" x14ac:dyDescent="0.3">
      <c r="A644" s="241"/>
      <c r="B644" s="241"/>
      <c r="C644" s="241"/>
      <c r="D644" s="241"/>
      <c r="E644" s="241"/>
      <c r="F644" s="241"/>
      <c r="G644" s="241"/>
      <c r="H644" s="241"/>
      <c r="I644" s="241"/>
      <c r="J644" s="241"/>
      <c r="K644" s="241"/>
      <c r="L644" s="241"/>
      <c r="M644" s="241"/>
      <c r="N644" s="241"/>
      <c r="O644" s="241"/>
      <c r="P644" s="241"/>
      <c r="Q644" s="241"/>
      <c r="R644" s="241"/>
      <c r="S644" s="241"/>
      <c r="T644" s="241"/>
      <c r="U644" s="241"/>
      <c r="V644" s="241"/>
      <c r="W644" s="241"/>
      <c r="X644" s="241"/>
      <c r="Y644" s="241"/>
      <c r="Z644" s="241"/>
    </row>
    <row r="645" spans="1:26" ht="13.5" customHeight="1" x14ac:dyDescent="0.3">
      <c r="A645" s="241"/>
      <c r="B645" s="241"/>
      <c r="C645" s="241"/>
      <c r="D645" s="241"/>
      <c r="E645" s="241"/>
      <c r="F645" s="241"/>
      <c r="G645" s="241"/>
      <c r="H645" s="241"/>
      <c r="I645" s="241"/>
      <c r="J645" s="241"/>
      <c r="K645" s="241"/>
      <c r="L645" s="241"/>
      <c r="M645" s="241"/>
      <c r="N645" s="241"/>
      <c r="O645" s="241"/>
      <c r="P645" s="241"/>
      <c r="Q645" s="241"/>
      <c r="R645" s="241"/>
      <c r="S645" s="241"/>
      <c r="T645" s="241"/>
      <c r="U645" s="241"/>
      <c r="V645" s="241"/>
      <c r="W645" s="241"/>
      <c r="X645" s="241"/>
      <c r="Y645" s="241"/>
      <c r="Z645" s="241"/>
    </row>
    <row r="646" spans="1:26" ht="13.5" customHeight="1" x14ac:dyDescent="0.3">
      <c r="A646" s="241"/>
      <c r="B646" s="241"/>
      <c r="C646" s="241"/>
      <c r="D646" s="241"/>
      <c r="E646" s="241"/>
      <c r="F646" s="241"/>
      <c r="G646" s="241"/>
      <c r="H646" s="241"/>
      <c r="I646" s="241"/>
      <c r="J646" s="241"/>
      <c r="K646" s="241"/>
      <c r="L646" s="241"/>
      <c r="M646" s="241"/>
      <c r="N646" s="241"/>
      <c r="O646" s="241"/>
      <c r="P646" s="241"/>
      <c r="Q646" s="241"/>
      <c r="R646" s="241"/>
      <c r="S646" s="241"/>
      <c r="T646" s="241"/>
      <c r="U646" s="241"/>
      <c r="V646" s="241"/>
      <c r="W646" s="241"/>
      <c r="X646" s="241"/>
      <c r="Y646" s="241"/>
      <c r="Z646" s="241"/>
    </row>
    <row r="647" spans="1:26" ht="13.5" customHeight="1" x14ac:dyDescent="0.3">
      <c r="A647" s="241"/>
      <c r="B647" s="241"/>
      <c r="C647" s="241"/>
      <c r="D647" s="241"/>
      <c r="E647" s="241"/>
      <c r="F647" s="241"/>
      <c r="G647" s="241"/>
      <c r="H647" s="241"/>
      <c r="I647" s="241"/>
      <c r="J647" s="241"/>
      <c r="K647" s="241"/>
      <c r="L647" s="241"/>
      <c r="M647" s="241"/>
      <c r="N647" s="241"/>
      <c r="O647" s="241"/>
      <c r="P647" s="241"/>
      <c r="Q647" s="241"/>
      <c r="R647" s="241"/>
      <c r="S647" s="241"/>
      <c r="T647" s="241"/>
      <c r="U647" s="241"/>
      <c r="V647" s="241"/>
      <c r="W647" s="241"/>
      <c r="X647" s="241"/>
      <c r="Y647" s="241"/>
      <c r="Z647" s="241"/>
    </row>
    <row r="648" spans="1:26" ht="13.5" customHeight="1" x14ac:dyDescent="0.3">
      <c r="A648" s="241"/>
      <c r="B648" s="241"/>
      <c r="C648" s="241"/>
      <c r="D648" s="241"/>
      <c r="E648" s="241"/>
      <c r="F648" s="241"/>
      <c r="G648" s="241"/>
      <c r="H648" s="241"/>
      <c r="I648" s="241"/>
      <c r="J648" s="241"/>
      <c r="K648" s="241"/>
      <c r="L648" s="241"/>
      <c r="M648" s="241"/>
      <c r="N648" s="241"/>
      <c r="O648" s="241"/>
      <c r="P648" s="241"/>
      <c r="Q648" s="241"/>
      <c r="R648" s="241"/>
      <c r="S648" s="241"/>
      <c r="T648" s="241"/>
      <c r="U648" s="241"/>
      <c r="V648" s="241"/>
      <c r="W648" s="241"/>
      <c r="X648" s="241"/>
      <c r="Y648" s="241"/>
      <c r="Z648" s="241"/>
    </row>
    <row r="649" spans="1:26" ht="13.5" customHeight="1" x14ac:dyDescent="0.3">
      <c r="A649" s="241"/>
      <c r="B649" s="241"/>
      <c r="C649" s="241"/>
      <c r="D649" s="241"/>
      <c r="E649" s="241"/>
      <c r="F649" s="241"/>
      <c r="G649" s="241"/>
      <c r="H649" s="241"/>
      <c r="I649" s="241"/>
      <c r="J649" s="241"/>
      <c r="K649" s="241"/>
      <c r="L649" s="241"/>
      <c r="M649" s="241"/>
      <c r="N649" s="241"/>
      <c r="O649" s="241"/>
      <c r="P649" s="241"/>
      <c r="Q649" s="241"/>
      <c r="R649" s="241"/>
      <c r="S649" s="241"/>
      <c r="T649" s="241"/>
      <c r="U649" s="241"/>
      <c r="V649" s="241"/>
      <c r="W649" s="241"/>
      <c r="X649" s="241"/>
      <c r="Y649" s="241"/>
      <c r="Z649" s="241"/>
    </row>
    <row r="650" spans="1:26" ht="13.5" customHeight="1" x14ac:dyDescent="0.3">
      <c r="A650" s="241"/>
      <c r="B650" s="241"/>
      <c r="C650" s="241"/>
      <c r="D650" s="241"/>
      <c r="E650" s="241"/>
      <c r="F650" s="241"/>
      <c r="G650" s="241"/>
      <c r="H650" s="241"/>
      <c r="I650" s="241"/>
      <c r="J650" s="241"/>
      <c r="K650" s="241"/>
      <c r="L650" s="241"/>
      <c r="M650" s="241"/>
      <c r="N650" s="241"/>
      <c r="O650" s="241"/>
      <c r="P650" s="241"/>
      <c r="Q650" s="241"/>
      <c r="R650" s="241"/>
      <c r="S650" s="241"/>
      <c r="T650" s="241"/>
      <c r="U650" s="241"/>
      <c r="V650" s="241"/>
      <c r="W650" s="241"/>
      <c r="X650" s="241"/>
      <c r="Y650" s="241"/>
      <c r="Z650" s="241"/>
    </row>
    <row r="651" spans="1:26" ht="13.5" customHeight="1" x14ac:dyDescent="0.3">
      <c r="A651" s="241"/>
      <c r="B651" s="241"/>
      <c r="C651" s="241"/>
      <c r="D651" s="241"/>
      <c r="E651" s="241"/>
      <c r="F651" s="241"/>
      <c r="G651" s="241"/>
      <c r="H651" s="241"/>
      <c r="I651" s="241"/>
      <c r="J651" s="241"/>
      <c r="K651" s="241"/>
      <c r="L651" s="241"/>
      <c r="M651" s="241"/>
      <c r="N651" s="241"/>
      <c r="O651" s="241"/>
      <c r="P651" s="241"/>
      <c r="Q651" s="241"/>
      <c r="R651" s="241"/>
      <c r="S651" s="241"/>
      <c r="T651" s="241"/>
      <c r="U651" s="241"/>
      <c r="V651" s="241"/>
      <c r="W651" s="241"/>
      <c r="X651" s="241"/>
      <c r="Y651" s="241"/>
      <c r="Z651" s="241"/>
    </row>
    <row r="652" spans="1:26" ht="13.5" customHeight="1" x14ac:dyDescent="0.3">
      <c r="A652" s="241"/>
      <c r="B652" s="241"/>
      <c r="C652" s="241"/>
      <c r="D652" s="241"/>
      <c r="E652" s="241"/>
      <c r="F652" s="241"/>
      <c r="G652" s="241"/>
      <c r="H652" s="241"/>
      <c r="I652" s="241"/>
      <c r="J652" s="241"/>
      <c r="K652" s="241"/>
      <c r="L652" s="241"/>
      <c r="M652" s="241"/>
      <c r="N652" s="241"/>
      <c r="O652" s="241"/>
      <c r="P652" s="241"/>
      <c r="Q652" s="241"/>
      <c r="R652" s="241"/>
      <c r="S652" s="241"/>
      <c r="T652" s="241"/>
      <c r="U652" s="241"/>
      <c r="V652" s="241"/>
      <c r="W652" s="241"/>
      <c r="X652" s="241"/>
      <c r="Y652" s="241"/>
      <c r="Z652" s="241"/>
    </row>
    <row r="653" spans="1:26" ht="13.5" customHeight="1" x14ac:dyDescent="0.3">
      <c r="A653" s="241"/>
      <c r="B653" s="241"/>
      <c r="C653" s="241"/>
      <c r="D653" s="241"/>
      <c r="E653" s="241"/>
      <c r="F653" s="241"/>
      <c r="G653" s="241"/>
      <c r="H653" s="241"/>
      <c r="I653" s="241"/>
      <c r="J653" s="241"/>
      <c r="K653" s="241"/>
      <c r="L653" s="241"/>
      <c r="M653" s="241"/>
      <c r="N653" s="241"/>
      <c r="O653" s="241"/>
      <c r="P653" s="241"/>
      <c r="Q653" s="241"/>
      <c r="R653" s="241"/>
      <c r="S653" s="241"/>
      <c r="T653" s="241"/>
      <c r="U653" s="241"/>
      <c r="V653" s="241"/>
      <c r="W653" s="241"/>
      <c r="X653" s="241"/>
      <c r="Y653" s="241"/>
      <c r="Z653" s="241"/>
    </row>
    <row r="654" spans="1:26" ht="13.5" customHeight="1" x14ac:dyDescent="0.3">
      <c r="A654" s="241"/>
      <c r="B654" s="241"/>
      <c r="C654" s="241"/>
      <c r="D654" s="241"/>
      <c r="E654" s="241"/>
      <c r="F654" s="241"/>
      <c r="G654" s="241"/>
      <c r="H654" s="241"/>
      <c r="I654" s="241"/>
      <c r="J654" s="241"/>
      <c r="K654" s="241"/>
      <c r="L654" s="241"/>
      <c r="M654" s="241"/>
      <c r="N654" s="241"/>
      <c r="O654" s="241"/>
      <c r="P654" s="241"/>
      <c r="Q654" s="241"/>
      <c r="R654" s="241"/>
      <c r="S654" s="241"/>
      <c r="T654" s="241"/>
      <c r="U654" s="241"/>
      <c r="V654" s="241"/>
      <c r="W654" s="241"/>
      <c r="X654" s="241"/>
      <c r="Y654" s="241"/>
      <c r="Z654" s="241"/>
    </row>
    <row r="655" spans="1:26" ht="13.5" customHeight="1" x14ac:dyDescent="0.3">
      <c r="A655" s="241"/>
      <c r="B655" s="241"/>
      <c r="C655" s="241"/>
      <c r="D655" s="241"/>
      <c r="E655" s="241"/>
      <c r="F655" s="241"/>
      <c r="G655" s="241"/>
      <c r="H655" s="241"/>
      <c r="I655" s="241"/>
      <c r="J655" s="241"/>
      <c r="K655" s="241"/>
      <c r="L655" s="241"/>
      <c r="M655" s="241"/>
      <c r="N655" s="241"/>
      <c r="O655" s="241"/>
      <c r="P655" s="241"/>
      <c r="Q655" s="241"/>
      <c r="R655" s="241"/>
      <c r="S655" s="241"/>
      <c r="T655" s="241"/>
      <c r="U655" s="241"/>
      <c r="V655" s="241"/>
      <c r="W655" s="241"/>
      <c r="X655" s="241"/>
      <c r="Y655" s="241"/>
      <c r="Z655" s="241"/>
    </row>
    <row r="656" spans="1:26" ht="13.5" customHeight="1" x14ac:dyDescent="0.3">
      <c r="A656" s="241"/>
      <c r="B656" s="241"/>
      <c r="C656" s="241"/>
      <c r="D656" s="241"/>
      <c r="E656" s="241"/>
      <c r="F656" s="241"/>
      <c r="G656" s="241"/>
      <c r="H656" s="241"/>
      <c r="I656" s="241"/>
      <c r="J656" s="241"/>
      <c r="K656" s="241"/>
      <c r="L656" s="241"/>
      <c r="M656" s="241"/>
      <c r="N656" s="241"/>
      <c r="O656" s="241"/>
      <c r="P656" s="241"/>
      <c r="Q656" s="241"/>
      <c r="R656" s="241"/>
      <c r="S656" s="241"/>
      <c r="T656" s="241"/>
      <c r="U656" s="241"/>
      <c r="V656" s="241"/>
      <c r="W656" s="241"/>
      <c r="X656" s="241"/>
      <c r="Y656" s="241"/>
      <c r="Z656" s="241"/>
    </row>
    <row r="657" spans="1:26" ht="13.5" customHeight="1" x14ac:dyDescent="0.3">
      <c r="A657" s="241"/>
      <c r="B657" s="241"/>
      <c r="C657" s="241"/>
      <c r="D657" s="241"/>
      <c r="E657" s="241"/>
      <c r="F657" s="241"/>
      <c r="G657" s="241"/>
      <c r="H657" s="241"/>
      <c r="I657" s="241"/>
      <c r="J657" s="241"/>
      <c r="K657" s="241"/>
      <c r="L657" s="241"/>
      <c r="M657" s="241"/>
      <c r="N657" s="241"/>
      <c r="O657" s="241"/>
      <c r="P657" s="241"/>
      <c r="Q657" s="241"/>
      <c r="R657" s="241"/>
      <c r="S657" s="241"/>
      <c r="T657" s="241"/>
      <c r="U657" s="241"/>
      <c r="V657" s="241"/>
      <c r="W657" s="241"/>
      <c r="X657" s="241"/>
      <c r="Y657" s="241"/>
      <c r="Z657" s="241"/>
    </row>
    <row r="658" spans="1:26" ht="13.5" customHeight="1" x14ac:dyDescent="0.3">
      <c r="A658" s="241"/>
      <c r="B658" s="241"/>
      <c r="C658" s="241"/>
      <c r="D658" s="241"/>
      <c r="E658" s="241"/>
      <c r="F658" s="241"/>
      <c r="G658" s="241"/>
      <c r="H658" s="241"/>
      <c r="I658" s="241"/>
      <c r="J658" s="241"/>
      <c r="K658" s="241"/>
      <c r="L658" s="241"/>
      <c r="M658" s="241"/>
      <c r="N658" s="241"/>
      <c r="O658" s="241"/>
      <c r="P658" s="241"/>
      <c r="Q658" s="241"/>
      <c r="R658" s="241"/>
      <c r="S658" s="241"/>
      <c r="T658" s="241"/>
      <c r="U658" s="241"/>
      <c r="V658" s="241"/>
      <c r="W658" s="241"/>
      <c r="X658" s="241"/>
      <c r="Y658" s="241"/>
      <c r="Z658" s="241"/>
    </row>
    <row r="659" spans="1:26" ht="13.5" customHeight="1" x14ac:dyDescent="0.3">
      <c r="A659" s="241"/>
      <c r="B659" s="241"/>
      <c r="C659" s="241"/>
      <c r="D659" s="241"/>
      <c r="E659" s="241"/>
      <c r="F659" s="241"/>
      <c r="G659" s="241"/>
      <c r="H659" s="241"/>
      <c r="I659" s="241"/>
      <c r="J659" s="241"/>
      <c r="K659" s="241"/>
      <c r="L659" s="241"/>
      <c r="M659" s="241"/>
      <c r="N659" s="241"/>
      <c r="O659" s="241"/>
      <c r="P659" s="241"/>
      <c r="Q659" s="241"/>
      <c r="R659" s="241"/>
      <c r="S659" s="241"/>
      <c r="T659" s="241"/>
      <c r="U659" s="241"/>
      <c r="V659" s="241"/>
      <c r="W659" s="241"/>
      <c r="X659" s="241"/>
      <c r="Y659" s="241"/>
      <c r="Z659" s="241"/>
    </row>
    <row r="660" spans="1:26" ht="13.5" customHeight="1" x14ac:dyDescent="0.3">
      <c r="A660" s="241"/>
      <c r="B660" s="241"/>
      <c r="C660" s="241"/>
      <c r="D660" s="241"/>
      <c r="E660" s="241"/>
      <c r="F660" s="241"/>
      <c r="G660" s="241"/>
      <c r="H660" s="241"/>
      <c r="I660" s="241"/>
      <c r="J660" s="241"/>
      <c r="K660" s="241"/>
      <c r="L660" s="241"/>
      <c r="M660" s="241"/>
      <c r="N660" s="241"/>
      <c r="O660" s="241"/>
      <c r="P660" s="241"/>
      <c r="Q660" s="241"/>
      <c r="R660" s="241"/>
      <c r="S660" s="241"/>
      <c r="T660" s="241"/>
      <c r="U660" s="241"/>
      <c r="V660" s="241"/>
      <c r="W660" s="241"/>
      <c r="X660" s="241"/>
      <c r="Y660" s="241"/>
      <c r="Z660" s="241"/>
    </row>
    <row r="661" spans="1:26" ht="13.5" customHeight="1" x14ac:dyDescent="0.3">
      <c r="A661" s="241"/>
      <c r="B661" s="241"/>
      <c r="C661" s="241"/>
      <c r="D661" s="241"/>
      <c r="E661" s="241"/>
      <c r="F661" s="241"/>
      <c r="G661" s="241"/>
      <c r="H661" s="241"/>
      <c r="I661" s="241"/>
      <c r="J661" s="241"/>
      <c r="K661" s="241"/>
      <c r="L661" s="241"/>
      <c r="M661" s="241"/>
      <c r="N661" s="241"/>
      <c r="O661" s="241"/>
      <c r="P661" s="241"/>
      <c r="Q661" s="241"/>
      <c r="R661" s="241"/>
      <c r="S661" s="241"/>
      <c r="T661" s="241"/>
      <c r="U661" s="241"/>
      <c r="V661" s="241"/>
      <c r="W661" s="241"/>
      <c r="X661" s="241"/>
      <c r="Y661" s="241"/>
      <c r="Z661" s="241"/>
    </row>
    <row r="662" spans="1:26" ht="13.5" customHeight="1" x14ac:dyDescent="0.3">
      <c r="A662" s="241"/>
      <c r="B662" s="241"/>
      <c r="C662" s="241"/>
      <c r="D662" s="241"/>
      <c r="E662" s="241"/>
      <c r="F662" s="241"/>
      <c r="G662" s="241"/>
      <c r="H662" s="241"/>
      <c r="I662" s="241"/>
      <c r="J662" s="241"/>
      <c r="K662" s="241"/>
      <c r="L662" s="241"/>
      <c r="M662" s="241"/>
      <c r="N662" s="241"/>
      <c r="O662" s="241"/>
      <c r="P662" s="241"/>
      <c r="Q662" s="241"/>
      <c r="R662" s="241"/>
      <c r="S662" s="241"/>
      <c r="T662" s="241"/>
      <c r="U662" s="241"/>
      <c r="V662" s="241"/>
      <c r="W662" s="241"/>
      <c r="X662" s="241"/>
      <c r="Y662" s="241"/>
      <c r="Z662" s="241"/>
    </row>
    <row r="663" spans="1:26" ht="13.5" customHeight="1" x14ac:dyDescent="0.3">
      <c r="A663" s="241"/>
      <c r="B663" s="241"/>
      <c r="C663" s="241"/>
      <c r="D663" s="241"/>
      <c r="E663" s="241"/>
      <c r="F663" s="241"/>
      <c r="G663" s="241"/>
      <c r="H663" s="241"/>
      <c r="I663" s="241"/>
      <c r="J663" s="241"/>
      <c r="K663" s="241"/>
      <c r="L663" s="241"/>
      <c r="M663" s="241"/>
      <c r="N663" s="241"/>
      <c r="O663" s="241"/>
      <c r="P663" s="241"/>
      <c r="Q663" s="241"/>
      <c r="R663" s="241"/>
      <c r="S663" s="241"/>
      <c r="T663" s="241"/>
      <c r="U663" s="241"/>
      <c r="V663" s="241"/>
      <c r="W663" s="241"/>
      <c r="X663" s="241"/>
      <c r="Y663" s="241"/>
      <c r="Z663" s="241"/>
    </row>
    <row r="664" spans="1:26" ht="13.5" customHeight="1" x14ac:dyDescent="0.3">
      <c r="A664" s="241"/>
      <c r="B664" s="241"/>
      <c r="C664" s="241"/>
      <c r="D664" s="241"/>
      <c r="E664" s="241"/>
      <c r="F664" s="241"/>
      <c r="G664" s="241"/>
      <c r="H664" s="241"/>
      <c r="I664" s="241"/>
      <c r="J664" s="241"/>
      <c r="K664" s="241"/>
      <c r="L664" s="241"/>
      <c r="M664" s="241"/>
      <c r="N664" s="241"/>
      <c r="O664" s="241"/>
      <c r="P664" s="241"/>
      <c r="Q664" s="241"/>
      <c r="R664" s="241"/>
      <c r="S664" s="241"/>
      <c r="T664" s="241"/>
      <c r="U664" s="241"/>
      <c r="V664" s="241"/>
      <c r="W664" s="241"/>
      <c r="X664" s="241"/>
      <c r="Y664" s="241"/>
      <c r="Z664" s="241"/>
    </row>
    <row r="665" spans="1:26" ht="13.5" customHeight="1" x14ac:dyDescent="0.3">
      <c r="A665" s="241"/>
      <c r="B665" s="241"/>
      <c r="C665" s="241"/>
      <c r="D665" s="241"/>
      <c r="E665" s="241"/>
      <c r="F665" s="241"/>
      <c r="G665" s="241"/>
      <c r="H665" s="241"/>
      <c r="I665" s="241"/>
      <c r="J665" s="241"/>
      <c r="K665" s="241"/>
      <c r="L665" s="241"/>
      <c r="M665" s="241"/>
      <c r="N665" s="241"/>
      <c r="O665" s="241"/>
      <c r="P665" s="241"/>
      <c r="Q665" s="241"/>
      <c r="R665" s="241"/>
      <c r="S665" s="241"/>
      <c r="T665" s="241"/>
      <c r="U665" s="241"/>
      <c r="V665" s="241"/>
      <c r="W665" s="241"/>
      <c r="X665" s="241"/>
      <c r="Y665" s="241"/>
      <c r="Z665" s="241"/>
    </row>
    <row r="666" spans="1:26" ht="13.5" customHeight="1" x14ac:dyDescent="0.3">
      <c r="A666" s="241"/>
      <c r="B666" s="241"/>
      <c r="C666" s="241"/>
      <c r="D666" s="241"/>
      <c r="E666" s="241"/>
      <c r="F666" s="241"/>
      <c r="G666" s="241"/>
      <c r="H666" s="241"/>
      <c r="I666" s="241"/>
      <c r="J666" s="241"/>
      <c r="K666" s="241"/>
      <c r="L666" s="241"/>
      <c r="M666" s="241"/>
      <c r="N666" s="241"/>
      <c r="O666" s="241"/>
      <c r="P666" s="241"/>
      <c r="Q666" s="241"/>
      <c r="R666" s="241"/>
      <c r="S666" s="241"/>
      <c r="T666" s="241"/>
      <c r="U666" s="241"/>
      <c r="V666" s="241"/>
      <c r="W666" s="241"/>
      <c r="X666" s="241"/>
      <c r="Y666" s="241"/>
      <c r="Z666" s="241"/>
    </row>
    <row r="667" spans="1:26" ht="13.5" customHeight="1" x14ac:dyDescent="0.3">
      <c r="A667" s="241"/>
      <c r="B667" s="241"/>
      <c r="C667" s="241"/>
      <c r="D667" s="241"/>
      <c r="E667" s="241"/>
      <c r="F667" s="241"/>
      <c r="G667" s="241"/>
      <c r="H667" s="241"/>
      <c r="I667" s="241"/>
      <c r="J667" s="241"/>
      <c r="K667" s="241"/>
      <c r="L667" s="241"/>
      <c r="M667" s="241"/>
      <c r="N667" s="241"/>
      <c r="O667" s="241"/>
      <c r="P667" s="241"/>
      <c r="Q667" s="241"/>
      <c r="R667" s="241"/>
      <c r="S667" s="241"/>
      <c r="T667" s="241"/>
      <c r="U667" s="241"/>
      <c r="V667" s="241"/>
      <c r="W667" s="241"/>
      <c r="X667" s="241"/>
      <c r="Y667" s="241"/>
      <c r="Z667" s="241"/>
    </row>
    <row r="668" spans="1:26" ht="13.5" customHeight="1" x14ac:dyDescent="0.3">
      <c r="A668" s="241"/>
      <c r="B668" s="241"/>
      <c r="C668" s="241"/>
      <c r="D668" s="241"/>
      <c r="E668" s="241"/>
      <c r="F668" s="241"/>
      <c r="G668" s="241"/>
      <c r="H668" s="241"/>
      <c r="I668" s="241"/>
      <c r="J668" s="241"/>
      <c r="K668" s="241"/>
      <c r="L668" s="241"/>
      <c r="M668" s="241"/>
      <c r="N668" s="241"/>
      <c r="O668" s="241"/>
      <c r="P668" s="241"/>
      <c r="Q668" s="241"/>
      <c r="R668" s="241"/>
      <c r="S668" s="241"/>
      <c r="T668" s="241"/>
      <c r="U668" s="241"/>
      <c r="V668" s="241"/>
      <c r="W668" s="241"/>
      <c r="X668" s="241"/>
      <c r="Y668" s="241"/>
      <c r="Z668" s="241"/>
    </row>
    <row r="669" spans="1:26" ht="13.5" customHeight="1" x14ac:dyDescent="0.3">
      <c r="A669" s="241"/>
      <c r="B669" s="241"/>
      <c r="C669" s="241"/>
      <c r="D669" s="241"/>
      <c r="E669" s="241"/>
      <c r="F669" s="241"/>
      <c r="G669" s="241"/>
      <c r="H669" s="241"/>
      <c r="I669" s="241"/>
      <c r="J669" s="241"/>
      <c r="K669" s="241"/>
      <c r="L669" s="241"/>
      <c r="M669" s="241"/>
      <c r="N669" s="241"/>
      <c r="O669" s="241"/>
      <c r="P669" s="241"/>
      <c r="Q669" s="241"/>
      <c r="R669" s="241"/>
      <c r="S669" s="241"/>
      <c r="T669" s="241"/>
      <c r="U669" s="241"/>
      <c r="V669" s="241"/>
      <c r="W669" s="241"/>
      <c r="X669" s="241"/>
      <c r="Y669" s="241"/>
      <c r="Z669" s="241"/>
    </row>
    <row r="670" spans="1:26" ht="13.5" customHeight="1" x14ac:dyDescent="0.3">
      <c r="A670" s="241"/>
      <c r="B670" s="241"/>
      <c r="C670" s="241"/>
      <c r="D670" s="241"/>
      <c r="E670" s="241"/>
      <c r="F670" s="241"/>
      <c r="G670" s="241"/>
      <c r="H670" s="241"/>
      <c r="I670" s="241"/>
      <c r="J670" s="241"/>
      <c r="K670" s="241"/>
      <c r="L670" s="241"/>
      <c r="M670" s="241"/>
      <c r="N670" s="241"/>
      <c r="O670" s="241"/>
      <c r="P670" s="241"/>
      <c r="Q670" s="241"/>
      <c r="R670" s="241"/>
      <c r="S670" s="241"/>
      <c r="T670" s="241"/>
      <c r="U670" s="241"/>
      <c r="V670" s="241"/>
      <c r="W670" s="241"/>
      <c r="X670" s="241"/>
      <c r="Y670" s="241"/>
      <c r="Z670" s="241"/>
    </row>
    <row r="671" spans="1:26" ht="13.5" customHeight="1" x14ac:dyDescent="0.3">
      <c r="A671" s="241"/>
      <c r="B671" s="241"/>
      <c r="C671" s="241"/>
      <c r="D671" s="241"/>
      <c r="E671" s="241"/>
      <c r="F671" s="241"/>
      <c r="G671" s="241"/>
      <c r="H671" s="241"/>
      <c r="I671" s="241"/>
      <c r="J671" s="241"/>
      <c r="K671" s="241"/>
      <c r="L671" s="241"/>
      <c r="M671" s="241"/>
      <c r="N671" s="241"/>
      <c r="O671" s="241"/>
      <c r="P671" s="241"/>
      <c r="Q671" s="241"/>
      <c r="R671" s="241"/>
      <c r="S671" s="241"/>
      <c r="T671" s="241"/>
      <c r="U671" s="241"/>
      <c r="V671" s="241"/>
      <c r="W671" s="241"/>
      <c r="X671" s="241"/>
      <c r="Y671" s="241"/>
      <c r="Z671" s="241"/>
    </row>
    <row r="672" spans="1:26" ht="13.5" customHeight="1" x14ac:dyDescent="0.3">
      <c r="A672" s="241"/>
      <c r="B672" s="241"/>
      <c r="C672" s="241"/>
      <c r="D672" s="241"/>
      <c r="E672" s="241"/>
      <c r="F672" s="241"/>
      <c r="G672" s="241"/>
      <c r="H672" s="241"/>
      <c r="I672" s="241"/>
      <c r="J672" s="241"/>
      <c r="K672" s="241"/>
      <c r="L672" s="241"/>
      <c r="M672" s="241"/>
      <c r="N672" s="241"/>
      <c r="O672" s="241"/>
      <c r="P672" s="241"/>
      <c r="Q672" s="241"/>
      <c r="R672" s="241"/>
      <c r="S672" s="241"/>
      <c r="T672" s="241"/>
      <c r="U672" s="241"/>
      <c r="V672" s="241"/>
      <c r="W672" s="241"/>
      <c r="X672" s="241"/>
      <c r="Y672" s="241"/>
      <c r="Z672" s="241"/>
    </row>
    <row r="673" spans="1:26" ht="13.5" customHeight="1" x14ac:dyDescent="0.3">
      <c r="A673" s="241"/>
      <c r="B673" s="241"/>
      <c r="C673" s="241"/>
      <c r="D673" s="241"/>
      <c r="E673" s="241"/>
      <c r="F673" s="241"/>
      <c r="G673" s="241"/>
      <c r="H673" s="241"/>
      <c r="I673" s="241"/>
      <c r="J673" s="241"/>
      <c r="K673" s="241"/>
      <c r="L673" s="241"/>
      <c r="M673" s="241"/>
      <c r="N673" s="241"/>
      <c r="O673" s="241"/>
      <c r="P673" s="241"/>
      <c r="Q673" s="241"/>
      <c r="R673" s="241"/>
      <c r="S673" s="241"/>
      <c r="T673" s="241"/>
      <c r="U673" s="241"/>
      <c r="V673" s="241"/>
      <c r="W673" s="241"/>
      <c r="X673" s="241"/>
      <c r="Y673" s="241"/>
      <c r="Z673" s="241"/>
    </row>
    <row r="674" spans="1:26" ht="13.5" customHeight="1" x14ac:dyDescent="0.3">
      <c r="A674" s="241"/>
      <c r="B674" s="241"/>
      <c r="C674" s="241"/>
      <c r="D674" s="241"/>
      <c r="E674" s="241"/>
      <c r="F674" s="241"/>
      <c r="G674" s="241"/>
      <c r="H674" s="241"/>
      <c r="I674" s="241"/>
      <c r="J674" s="241"/>
      <c r="K674" s="241"/>
      <c r="L674" s="241"/>
      <c r="M674" s="241"/>
      <c r="N674" s="241"/>
      <c r="O674" s="241"/>
      <c r="P674" s="241"/>
      <c r="Q674" s="241"/>
      <c r="R674" s="241"/>
      <c r="S674" s="241"/>
      <c r="T674" s="241"/>
      <c r="U674" s="241"/>
      <c r="V674" s="241"/>
      <c r="W674" s="241"/>
      <c r="X674" s="241"/>
      <c r="Y674" s="241"/>
      <c r="Z674" s="241"/>
    </row>
    <row r="675" spans="1:26" ht="13.5" customHeight="1" x14ac:dyDescent="0.3">
      <c r="A675" s="241"/>
      <c r="B675" s="241"/>
      <c r="C675" s="241"/>
      <c r="D675" s="241"/>
      <c r="E675" s="241"/>
      <c r="F675" s="241"/>
      <c r="G675" s="241"/>
      <c r="H675" s="241"/>
      <c r="I675" s="241"/>
      <c r="J675" s="241"/>
      <c r="K675" s="241"/>
      <c r="L675" s="241"/>
      <c r="M675" s="241"/>
      <c r="N675" s="241"/>
      <c r="O675" s="241"/>
      <c r="P675" s="241"/>
      <c r="Q675" s="241"/>
      <c r="R675" s="241"/>
      <c r="S675" s="241"/>
      <c r="T675" s="241"/>
      <c r="U675" s="241"/>
      <c r="V675" s="241"/>
      <c r="W675" s="241"/>
      <c r="X675" s="241"/>
      <c r="Y675" s="241"/>
      <c r="Z675" s="241"/>
    </row>
    <row r="676" spans="1:26" ht="13.5" customHeight="1" x14ac:dyDescent="0.3">
      <c r="A676" s="241"/>
      <c r="B676" s="241"/>
      <c r="C676" s="241"/>
      <c r="D676" s="241"/>
      <c r="E676" s="241"/>
      <c r="F676" s="241"/>
      <c r="G676" s="241"/>
      <c r="H676" s="241"/>
      <c r="I676" s="241"/>
      <c r="J676" s="241"/>
      <c r="K676" s="241"/>
      <c r="L676" s="241"/>
      <c r="M676" s="241"/>
      <c r="N676" s="241"/>
      <c r="O676" s="241"/>
      <c r="P676" s="241"/>
      <c r="Q676" s="241"/>
      <c r="R676" s="241"/>
      <c r="S676" s="241"/>
      <c r="T676" s="241"/>
      <c r="U676" s="241"/>
      <c r="V676" s="241"/>
      <c r="W676" s="241"/>
      <c r="X676" s="241"/>
      <c r="Y676" s="241"/>
      <c r="Z676" s="241"/>
    </row>
    <row r="677" spans="1:26" ht="13.5" customHeight="1" x14ac:dyDescent="0.3">
      <c r="A677" s="241"/>
      <c r="B677" s="241"/>
      <c r="C677" s="241"/>
      <c r="D677" s="241"/>
      <c r="E677" s="241"/>
      <c r="F677" s="241"/>
      <c r="G677" s="241"/>
      <c r="H677" s="241"/>
      <c r="I677" s="241"/>
      <c r="J677" s="241"/>
      <c r="K677" s="241"/>
      <c r="L677" s="241"/>
      <c r="M677" s="241"/>
      <c r="N677" s="241"/>
      <c r="O677" s="241"/>
      <c r="P677" s="241"/>
      <c r="Q677" s="241"/>
      <c r="R677" s="241"/>
      <c r="S677" s="241"/>
      <c r="T677" s="241"/>
      <c r="U677" s="241"/>
      <c r="V677" s="241"/>
      <c r="W677" s="241"/>
      <c r="X677" s="241"/>
      <c r="Y677" s="241"/>
      <c r="Z677" s="241"/>
    </row>
    <row r="678" spans="1:26" ht="13.5" customHeight="1" x14ac:dyDescent="0.3">
      <c r="A678" s="241"/>
      <c r="B678" s="241"/>
      <c r="C678" s="241"/>
      <c r="D678" s="241"/>
      <c r="E678" s="241"/>
      <c r="F678" s="241"/>
      <c r="G678" s="241"/>
      <c r="H678" s="241"/>
      <c r="I678" s="241"/>
      <c r="J678" s="241"/>
      <c r="K678" s="241"/>
      <c r="L678" s="241"/>
      <c r="M678" s="241"/>
      <c r="N678" s="241"/>
      <c r="O678" s="241"/>
      <c r="P678" s="241"/>
      <c r="Q678" s="241"/>
      <c r="R678" s="241"/>
      <c r="S678" s="241"/>
      <c r="T678" s="241"/>
      <c r="U678" s="241"/>
      <c r="V678" s="241"/>
      <c r="W678" s="241"/>
      <c r="X678" s="241"/>
      <c r="Y678" s="241"/>
      <c r="Z678" s="241"/>
    </row>
    <row r="679" spans="1:26" ht="13.5" customHeight="1" x14ac:dyDescent="0.3">
      <c r="A679" s="241"/>
      <c r="B679" s="241"/>
      <c r="C679" s="241"/>
      <c r="D679" s="241"/>
      <c r="E679" s="241"/>
      <c r="F679" s="241"/>
      <c r="G679" s="241"/>
      <c r="H679" s="241"/>
      <c r="I679" s="241"/>
      <c r="J679" s="241"/>
      <c r="K679" s="241"/>
      <c r="L679" s="241"/>
      <c r="M679" s="241"/>
      <c r="N679" s="241"/>
      <c r="O679" s="241"/>
      <c r="P679" s="241"/>
      <c r="Q679" s="241"/>
      <c r="R679" s="241"/>
      <c r="S679" s="241"/>
      <c r="T679" s="241"/>
      <c r="U679" s="241"/>
      <c r="V679" s="241"/>
      <c r="W679" s="241"/>
      <c r="X679" s="241"/>
      <c r="Y679" s="241"/>
      <c r="Z679" s="241"/>
    </row>
    <row r="680" spans="1:26" ht="13.5" customHeight="1" x14ac:dyDescent="0.3">
      <c r="A680" s="241"/>
      <c r="B680" s="241"/>
      <c r="C680" s="241"/>
      <c r="D680" s="241"/>
      <c r="E680" s="241"/>
      <c r="F680" s="241"/>
      <c r="G680" s="241"/>
      <c r="H680" s="241"/>
      <c r="I680" s="241"/>
      <c r="J680" s="241"/>
      <c r="K680" s="241"/>
      <c r="L680" s="241"/>
      <c r="M680" s="241"/>
      <c r="N680" s="241"/>
      <c r="O680" s="241"/>
      <c r="P680" s="241"/>
      <c r="Q680" s="241"/>
      <c r="R680" s="241"/>
      <c r="S680" s="241"/>
      <c r="T680" s="241"/>
      <c r="U680" s="241"/>
      <c r="V680" s="241"/>
      <c r="W680" s="241"/>
      <c r="X680" s="241"/>
      <c r="Y680" s="241"/>
      <c r="Z680" s="241"/>
    </row>
    <row r="681" spans="1:26" ht="13.5" customHeight="1" x14ac:dyDescent="0.3">
      <c r="A681" s="241"/>
      <c r="B681" s="241"/>
      <c r="C681" s="241"/>
      <c r="D681" s="241"/>
      <c r="E681" s="241"/>
      <c r="F681" s="241"/>
      <c r="G681" s="241"/>
      <c r="H681" s="241"/>
      <c r="I681" s="241"/>
      <c r="J681" s="241"/>
      <c r="K681" s="241"/>
      <c r="L681" s="241"/>
      <c r="M681" s="241"/>
      <c r="N681" s="241"/>
      <c r="O681" s="241"/>
      <c r="P681" s="241"/>
      <c r="Q681" s="241"/>
      <c r="R681" s="241"/>
      <c r="S681" s="241"/>
      <c r="T681" s="241"/>
      <c r="U681" s="241"/>
      <c r="V681" s="241"/>
      <c r="W681" s="241"/>
      <c r="X681" s="241"/>
      <c r="Y681" s="241"/>
      <c r="Z681" s="241"/>
    </row>
    <row r="682" spans="1:26" ht="13.5" customHeight="1" x14ac:dyDescent="0.3">
      <c r="A682" s="241"/>
      <c r="B682" s="241"/>
      <c r="C682" s="241"/>
      <c r="D682" s="241"/>
      <c r="E682" s="241"/>
      <c r="F682" s="241"/>
      <c r="G682" s="241"/>
      <c r="H682" s="241"/>
      <c r="I682" s="241"/>
      <c r="J682" s="241"/>
      <c r="K682" s="241"/>
      <c r="L682" s="241"/>
      <c r="M682" s="241"/>
      <c r="N682" s="241"/>
      <c r="O682" s="241"/>
      <c r="P682" s="241"/>
      <c r="Q682" s="241"/>
      <c r="R682" s="241"/>
      <c r="S682" s="241"/>
      <c r="T682" s="241"/>
      <c r="U682" s="241"/>
      <c r="V682" s="241"/>
      <c r="W682" s="241"/>
      <c r="X682" s="241"/>
      <c r="Y682" s="241"/>
      <c r="Z682" s="241"/>
    </row>
    <row r="683" spans="1:26" ht="13.5" customHeight="1" x14ac:dyDescent="0.3">
      <c r="A683" s="241"/>
      <c r="B683" s="241"/>
      <c r="C683" s="241"/>
      <c r="D683" s="241"/>
      <c r="E683" s="241"/>
      <c r="F683" s="241"/>
      <c r="G683" s="241"/>
      <c r="H683" s="241"/>
      <c r="I683" s="241"/>
      <c r="J683" s="241"/>
      <c r="K683" s="241"/>
      <c r="L683" s="241"/>
      <c r="M683" s="241"/>
      <c r="N683" s="241"/>
      <c r="O683" s="241"/>
      <c r="P683" s="241"/>
      <c r="Q683" s="241"/>
      <c r="R683" s="241"/>
      <c r="S683" s="241"/>
      <c r="T683" s="241"/>
      <c r="U683" s="241"/>
      <c r="V683" s="241"/>
      <c r="W683" s="241"/>
      <c r="X683" s="241"/>
      <c r="Y683" s="241"/>
      <c r="Z683" s="241"/>
    </row>
    <row r="684" spans="1:26" ht="13.5" customHeight="1" x14ac:dyDescent="0.3">
      <c r="A684" s="241"/>
      <c r="B684" s="241"/>
      <c r="C684" s="241"/>
      <c r="D684" s="241"/>
      <c r="E684" s="241"/>
      <c r="F684" s="241"/>
      <c r="G684" s="241"/>
      <c r="H684" s="241"/>
      <c r="I684" s="241"/>
      <c r="J684" s="241"/>
      <c r="K684" s="241"/>
      <c r="L684" s="241"/>
      <c r="M684" s="241"/>
      <c r="N684" s="241"/>
      <c r="O684" s="241"/>
      <c r="P684" s="241"/>
      <c r="Q684" s="241"/>
      <c r="R684" s="241"/>
      <c r="S684" s="241"/>
      <c r="T684" s="241"/>
      <c r="U684" s="241"/>
      <c r="V684" s="241"/>
      <c r="W684" s="241"/>
      <c r="X684" s="241"/>
      <c r="Y684" s="241"/>
      <c r="Z684" s="241"/>
    </row>
    <row r="685" spans="1:26" ht="13.5" customHeight="1" x14ac:dyDescent="0.3">
      <c r="A685" s="241"/>
      <c r="B685" s="241"/>
      <c r="C685" s="241"/>
      <c r="D685" s="241"/>
      <c r="E685" s="241"/>
      <c r="F685" s="241"/>
      <c r="G685" s="241"/>
      <c r="H685" s="241"/>
      <c r="I685" s="241"/>
      <c r="J685" s="241"/>
      <c r="K685" s="241"/>
      <c r="L685" s="241"/>
      <c r="M685" s="241"/>
      <c r="N685" s="241"/>
      <c r="O685" s="241"/>
      <c r="P685" s="241"/>
      <c r="Q685" s="241"/>
      <c r="R685" s="241"/>
      <c r="S685" s="241"/>
      <c r="T685" s="241"/>
      <c r="U685" s="241"/>
      <c r="V685" s="241"/>
      <c r="W685" s="241"/>
      <c r="X685" s="241"/>
      <c r="Y685" s="241"/>
      <c r="Z685" s="241"/>
    </row>
    <row r="686" spans="1:26" ht="13.5" customHeight="1" x14ac:dyDescent="0.3">
      <c r="A686" s="241"/>
      <c r="B686" s="241"/>
      <c r="C686" s="241"/>
      <c r="D686" s="241"/>
      <c r="E686" s="241"/>
      <c r="F686" s="241"/>
      <c r="G686" s="241"/>
      <c r="H686" s="241"/>
      <c r="I686" s="241"/>
      <c r="J686" s="241"/>
      <c r="K686" s="241"/>
      <c r="L686" s="241"/>
      <c r="M686" s="241"/>
      <c r="N686" s="241"/>
      <c r="O686" s="241"/>
      <c r="P686" s="241"/>
      <c r="Q686" s="241"/>
      <c r="R686" s="241"/>
      <c r="S686" s="241"/>
      <c r="T686" s="241"/>
      <c r="U686" s="241"/>
      <c r="V686" s="241"/>
      <c r="W686" s="241"/>
      <c r="X686" s="241"/>
      <c r="Y686" s="241"/>
      <c r="Z686" s="241"/>
    </row>
    <row r="687" spans="1:26" ht="13.5" customHeight="1" x14ac:dyDescent="0.3">
      <c r="A687" s="241"/>
      <c r="B687" s="241"/>
      <c r="C687" s="241"/>
      <c r="D687" s="241"/>
      <c r="E687" s="241"/>
      <c r="F687" s="241"/>
      <c r="G687" s="241"/>
      <c r="H687" s="241"/>
      <c r="I687" s="241"/>
      <c r="J687" s="241"/>
      <c r="K687" s="241"/>
      <c r="L687" s="241"/>
      <c r="M687" s="241"/>
      <c r="N687" s="241"/>
      <c r="O687" s="241"/>
      <c r="P687" s="241"/>
      <c r="Q687" s="241"/>
      <c r="R687" s="241"/>
      <c r="S687" s="241"/>
      <c r="T687" s="241"/>
      <c r="U687" s="241"/>
      <c r="V687" s="241"/>
      <c r="W687" s="241"/>
      <c r="X687" s="241"/>
      <c r="Y687" s="241"/>
      <c r="Z687" s="241"/>
    </row>
    <row r="688" spans="1:26" ht="13.5" customHeight="1" x14ac:dyDescent="0.3">
      <c r="A688" s="241"/>
      <c r="B688" s="241"/>
      <c r="C688" s="241"/>
      <c r="D688" s="241"/>
      <c r="E688" s="241"/>
      <c r="F688" s="241"/>
      <c r="G688" s="241"/>
      <c r="H688" s="241"/>
      <c r="I688" s="241"/>
      <c r="J688" s="241"/>
      <c r="K688" s="241"/>
      <c r="L688" s="241"/>
      <c r="M688" s="241"/>
      <c r="N688" s="241"/>
      <c r="O688" s="241"/>
      <c r="P688" s="241"/>
      <c r="Q688" s="241"/>
      <c r="R688" s="241"/>
      <c r="S688" s="241"/>
      <c r="T688" s="241"/>
      <c r="U688" s="241"/>
      <c r="V688" s="241"/>
      <c r="W688" s="241"/>
      <c r="X688" s="241"/>
      <c r="Y688" s="241"/>
      <c r="Z688" s="241"/>
    </row>
    <row r="689" spans="1:26" ht="13.5" customHeight="1" x14ac:dyDescent="0.3">
      <c r="A689" s="241"/>
      <c r="B689" s="241"/>
      <c r="C689" s="241"/>
      <c r="D689" s="241"/>
      <c r="E689" s="241"/>
      <c r="F689" s="241"/>
      <c r="G689" s="241"/>
      <c r="H689" s="241"/>
      <c r="I689" s="241"/>
      <c r="J689" s="241"/>
      <c r="K689" s="241"/>
      <c r="L689" s="241"/>
      <c r="M689" s="241"/>
      <c r="N689" s="241"/>
      <c r="O689" s="241"/>
      <c r="P689" s="241"/>
      <c r="Q689" s="241"/>
      <c r="R689" s="241"/>
      <c r="S689" s="241"/>
      <c r="T689" s="241"/>
      <c r="U689" s="241"/>
      <c r="V689" s="241"/>
      <c r="W689" s="241"/>
      <c r="X689" s="241"/>
      <c r="Y689" s="241"/>
      <c r="Z689" s="241"/>
    </row>
    <row r="690" spans="1:26" ht="13.5" customHeight="1" x14ac:dyDescent="0.3">
      <c r="A690" s="241"/>
      <c r="B690" s="241"/>
      <c r="C690" s="241"/>
      <c r="D690" s="241"/>
      <c r="E690" s="241"/>
      <c r="F690" s="241"/>
      <c r="G690" s="241"/>
      <c r="H690" s="241"/>
      <c r="I690" s="241"/>
      <c r="J690" s="241"/>
      <c r="K690" s="241"/>
      <c r="L690" s="241"/>
      <c r="M690" s="241"/>
      <c r="N690" s="241"/>
      <c r="O690" s="241"/>
      <c r="P690" s="241"/>
      <c r="Q690" s="241"/>
      <c r="R690" s="241"/>
      <c r="S690" s="241"/>
      <c r="T690" s="241"/>
      <c r="U690" s="241"/>
      <c r="V690" s="241"/>
      <c r="W690" s="241"/>
      <c r="X690" s="241"/>
      <c r="Y690" s="241"/>
      <c r="Z690" s="241"/>
    </row>
    <row r="691" spans="1:26" ht="13.5" customHeight="1" x14ac:dyDescent="0.3">
      <c r="A691" s="241"/>
      <c r="B691" s="241"/>
      <c r="C691" s="241"/>
      <c r="D691" s="241"/>
      <c r="E691" s="241"/>
      <c r="F691" s="241"/>
      <c r="G691" s="241"/>
      <c r="H691" s="241"/>
      <c r="I691" s="241"/>
      <c r="J691" s="241"/>
      <c r="K691" s="241"/>
      <c r="L691" s="241"/>
      <c r="M691" s="241"/>
      <c r="N691" s="241"/>
      <c r="O691" s="241"/>
      <c r="P691" s="241"/>
      <c r="Q691" s="241"/>
      <c r="R691" s="241"/>
      <c r="S691" s="241"/>
      <c r="T691" s="241"/>
      <c r="U691" s="241"/>
      <c r="V691" s="241"/>
      <c r="W691" s="241"/>
      <c r="X691" s="241"/>
      <c r="Y691" s="241"/>
      <c r="Z691" s="241"/>
    </row>
    <row r="692" spans="1:26" ht="13.5" customHeight="1" x14ac:dyDescent="0.3">
      <c r="A692" s="241"/>
      <c r="B692" s="241"/>
      <c r="C692" s="241"/>
      <c r="D692" s="241"/>
      <c r="E692" s="241"/>
      <c r="F692" s="241"/>
      <c r="G692" s="241"/>
      <c r="H692" s="241"/>
      <c r="I692" s="241"/>
      <c r="J692" s="241"/>
      <c r="K692" s="241"/>
      <c r="L692" s="241"/>
      <c r="M692" s="241"/>
      <c r="N692" s="241"/>
      <c r="O692" s="241"/>
      <c r="P692" s="241"/>
      <c r="Q692" s="241"/>
      <c r="R692" s="241"/>
      <c r="S692" s="241"/>
      <c r="T692" s="241"/>
      <c r="U692" s="241"/>
      <c r="V692" s="241"/>
      <c r="W692" s="241"/>
      <c r="X692" s="241"/>
      <c r="Y692" s="241"/>
      <c r="Z692" s="241"/>
    </row>
    <row r="693" spans="1:26" ht="13.5" customHeight="1" x14ac:dyDescent="0.3">
      <c r="A693" s="241"/>
      <c r="B693" s="241"/>
      <c r="C693" s="241"/>
      <c r="D693" s="241"/>
      <c r="E693" s="241"/>
      <c r="F693" s="241"/>
      <c r="G693" s="241"/>
      <c r="H693" s="241"/>
      <c r="I693" s="241"/>
      <c r="J693" s="241"/>
      <c r="K693" s="241"/>
      <c r="L693" s="241"/>
      <c r="M693" s="241"/>
      <c r="N693" s="241"/>
      <c r="O693" s="241"/>
      <c r="P693" s="241"/>
      <c r="Q693" s="241"/>
      <c r="R693" s="241"/>
      <c r="S693" s="241"/>
      <c r="T693" s="241"/>
      <c r="U693" s="241"/>
      <c r="V693" s="241"/>
      <c r="W693" s="241"/>
      <c r="X693" s="241"/>
      <c r="Y693" s="241"/>
      <c r="Z693" s="241"/>
    </row>
    <row r="694" spans="1:26" ht="13.5" customHeight="1" x14ac:dyDescent="0.3">
      <c r="A694" s="241"/>
      <c r="B694" s="241"/>
      <c r="C694" s="241"/>
      <c r="D694" s="241"/>
      <c r="E694" s="241"/>
      <c r="F694" s="241"/>
      <c r="G694" s="241"/>
      <c r="H694" s="241"/>
      <c r="I694" s="241"/>
      <c r="J694" s="241"/>
      <c r="K694" s="241"/>
      <c r="L694" s="241"/>
      <c r="M694" s="241"/>
      <c r="N694" s="241"/>
      <c r="O694" s="241"/>
      <c r="P694" s="241"/>
      <c r="Q694" s="241"/>
      <c r="R694" s="241"/>
      <c r="S694" s="241"/>
      <c r="T694" s="241"/>
      <c r="U694" s="241"/>
      <c r="V694" s="241"/>
      <c r="W694" s="241"/>
      <c r="X694" s="241"/>
      <c r="Y694" s="241"/>
      <c r="Z694" s="241"/>
    </row>
    <row r="695" spans="1:26" ht="13.5" customHeight="1" x14ac:dyDescent="0.3">
      <c r="A695" s="241"/>
      <c r="B695" s="241"/>
      <c r="C695" s="241"/>
      <c r="D695" s="241"/>
      <c r="E695" s="241"/>
      <c r="F695" s="241"/>
      <c r="G695" s="241"/>
      <c r="H695" s="241"/>
      <c r="I695" s="241"/>
      <c r="J695" s="241"/>
      <c r="K695" s="241"/>
      <c r="L695" s="241"/>
      <c r="M695" s="241"/>
      <c r="N695" s="241"/>
      <c r="O695" s="241"/>
      <c r="P695" s="241"/>
      <c r="Q695" s="241"/>
      <c r="R695" s="241"/>
      <c r="S695" s="241"/>
      <c r="T695" s="241"/>
      <c r="U695" s="241"/>
      <c r="V695" s="241"/>
      <c r="W695" s="241"/>
      <c r="X695" s="241"/>
      <c r="Y695" s="241"/>
      <c r="Z695" s="241"/>
    </row>
    <row r="696" spans="1:26" ht="13.5" customHeight="1" x14ac:dyDescent="0.3">
      <c r="A696" s="241"/>
      <c r="B696" s="241"/>
      <c r="C696" s="241"/>
      <c r="D696" s="241"/>
      <c r="E696" s="241"/>
      <c r="F696" s="241"/>
      <c r="G696" s="241"/>
      <c r="H696" s="241"/>
      <c r="I696" s="241"/>
      <c r="J696" s="241"/>
      <c r="K696" s="241"/>
      <c r="L696" s="241"/>
      <c r="M696" s="241"/>
      <c r="N696" s="241"/>
      <c r="O696" s="241"/>
      <c r="P696" s="241"/>
      <c r="Q696" s="241"/>
      <c r="R696" s="241"/>
      <c r="S696" s="241"/>
      <c r="T696" s="241"/>
      <c r="U696" s="241"/>
      <c r="V696" s="241"/>
      <c r="W696" s="241"/>
      <c r="X696" s="241"/>
      <c r="Y696" s="241"/>
      <c r="Z696" s="241"/>
    </row>
    <row r="697" spans="1:26" ht="13.5" customHeight="1" x14ac:dyDescent="0.3">
      <c r="A697" s="241"/>
      <c r="B697" s="241"/>
      <c r="C697" s="241"/>
      <c r="D697" s="241"/>
      <c r="E697" s="241"/>
      <c r="F697" s="241"/>
      <c r="G697" s="241"/>
      <c r="H697" s="241"/>
      <c r="I697" s="241"/>
      <c r="J697" s="241"/>
      <c r="K697" s="241"/>
      <c r="L697" s="241"/>
      <c r="M697" s="241"/>
      <c r="N697" s="241"/>
      <c r="O697" s="241"/>
      <c r="P697" s="241"/>
      <c r="Q697" s="241"/>
      <c r="R697" s="241"/>
      <c r="S697" s="241"/>
      <c r="T697" s="241"/>
      <c r="U697" s="241"/>
      <c r="V697" s="241"/>
      <c r="W697" s="241"/>
      <c r="X697" s="241"/>
      <c r="Y697" s="241"/>
      <c r="Z697" s="241"/>
    </row>
    <row r="698" spans="1:26" ht="13.5" customHeight="1" x14ac:dyDescent="0.3">
      <c r="A698" s="241"/>
      <c r="B698" s="241"/>
      <c r="C698" s="241"/>
      <c r="D698" s="241"/>
      <c r="E698" s="241"/>
      <c r="F698" s="241"/>
      <c r="G698" s="241"/>
      <c r="H698" s="241"/>
      <c r="I698" s="241"/>
      <c r="J698" s="241"/>
      <c r="K698" s="241"/>
      <c r="L698" s="241"/>
      <c r="M698" s="241"/>
      <c r="N698" s="241"/>
      <c r="O698" s="241"/>
      <c r="P698" s="241"/>
      <c r="Q698" s="241"/>
      <c r="R698" s="241"/>
      <c r="S698" s="241"/>
      <c r="T698" s="241"/>
      <c r="U698" s="241"/>
      <c r="V698" s="241"/>
      <c r="W698" s="241"/>
      <c r="X698" s="241"/>
      <c r="Y698" s="241"/>
      <c r="Z698" s="241"/>
    </row>
    <row r="699" spans="1:26" ht="13.5" customHeight="1" x14ac:dyDescent="0.3">
      <c r="A699" s="241"/>
      <c r="B699" s="241"/>
      <c r="C699" s="241"/>
      <c r="D699" s="241"/>
      <c r="E699" s="241"/>
      <c r="F699" s="241"/>
      <c r="G699" s="241"/>
      <c r="H699" s="241"/>
      <c r="I699" s="241"/>
      <c r="J699" s="241"/>
      <c r="K699" s="241"/>
      <c r="L699" s="241"/>
      <c r="M699" s="241"/>
      <c r="N699" s="241"/>
      <c r="O699" s="241"/>
      <c r="P699" s="241"/>
      <c r="Q699" s="241"/>
      <c r="R699" s="241"/>
      <c r="S699" s="241"/>
      <c r="T699" s="241"/>
      <c r="U699" s="241"/>
      <c r="V699" s="241"/>
      <c r="W699" s="241"/>
      <c r="X699" s="241"/>
      <c r="Y699" s="241"/>
      <c r="Z699" s="241"/>
    </row>
    <row r="700" spans="1:26" ht="13.5" customHeight="1" x14ac:dyDescent="0.3">
      <c r="A700" s="241"/>
      <c r="B700" s="241"/>
      <c r="C700" s="241"/>
      <c r="D700" s="241"/>
      <c r="E700" s="241"/>
      <c r="F700" s="241"/>
      <c r="G700" s="241"/>
      <c r="H700" s="241"/>
      <c r="I700" s="241"/>
      <c r="J700" s="241"/>
      <c r="K700" s="241"/>
      <c r="L700" s="241"/>
      <c r="M700" s="241"/>
      <c r="N700" s="241"/>
      <c r="O700" s="241"/>
      <c r="P700" s="241"/>
      <c r="Q700" s="241"/>
      <c r="R700" s="241"/>
      <c r="S700" s="241"/>
      <c r="T700" s="241"/>
      <c r="U700" s="241"/>
      <c r="V700" s="241"/>
      <c r="W700" s="241"/>
      <c r="X700" s="241"/>
      <c r="Y700" s="241"/>
      <c r="Z700" s="241"/>
    </row>
    <row r="701" spans="1:26" ht="13.5" customHeight="1" x14ac:dyDescent="0.3">
      <c r="A701" s="241"/>
      <c r="B701" s="241"/>
      <c r="C701" s="241"/>
      <c r="D701" s="241"/>
      <c r="E701" s="241"/>
      <c r="F701" s="241"/>
      <c r="G701" s="241"/>
      <c r="H701" s="241"/>
      <c r="I701" s="241"/>
      <c r="J701" s="241"/>
      <c r="K701" s="241"/>
      <c r="L701" s="241"/>
      <c r="M701" s="241"/>
      <c r="N701" s="241"/>
      <c r="O701" s="241"/>
      <c r="P701" s="241"/>
      <c r="Q701" s="241"/>
      <c r="R701" s="241"/>
      <c r="S701" s="241"/>
      <c r="T701" s="241"/>
      <c r="U701" s="241"/>
      <c r="V701" s="241"/>
      <c r="W701" s="241"/>
      <c r="X701" s="241"/>
      <c r="Y701" s="241"/>
      <c r="Z701" s="241"/>
    </row>
    <row r="702" spans="1:26" ht="13.5" customHeight="1" x14ac:dyDescent="0.3">
      <c r="A702" s="241"/>
      <c r="B702" s="241"/>
      <c r="C702" s="241"/>
      <c r="D702" s="241"/>
      <c r="E702" s="241"/>
      <c r="F702" s="241"/>
      <c r="G702" s="241"/>
      <c r="H702" s="241"/>
      <c r="I702" s="241"/>
      <c r="J702" s="241"/>
      <c r="K702" s="241"/>
      <c r="L702" s="241"/>
      <c r="M702" s="241"/>
      <c r="N702" s="241"/>
      <c r="O702" s="241"/>
      <c r="P702" s="241"/>
      <c r="Q702" s="241"/>
      <c r="R702" s="241"/>
      <c r="S702" s="241"/>
      <c r="T702" s="241"/>
      <c r="U702" s="241"/>
      <c r="V702" s="241"/>
      <c r="W702" s="241"/>
      <c r="X702" s="241"/>
      <c r="Y702" s="241"/>
      <c r="Z702" s="241"/>
    </row>
    <row r="703" spans="1:26" ht="13.5" customHeight="1" x14ac:dyDescent="0.3">
      <c r="A703" s="241"/>
      <c r="B703" s="241"/>
      <c r="C703" s="241"/>
      <c r="D703" s="241"/>
      <c r="E703" s="241"/>
      <c r="F703" s="241"/>
      <c r="G703" s="241"/>
      <c r="H703" s="241"/>
      <c r="I703" s="241"/>
      <c r="J703" s="241"/>
      <c r="K703" s="241"/>
      <c r="L703" s="241"/>
      <c r="M703" s="241"/>
      <c r="N703" s="241"/>
      <c r="O703" s="241"/>
      <c r="P703" s="241"/>
      <c r="Q703" s="241"/>
      <c r="R703" s="241"/>
      <c r="S703" s="241"/>
      <c r="T703" s="241"/>
      <c r="U703" s="241"/>
      <c r="V703" s="241"/>
      <c r="W703" s="241"/>
      <c r="X703" s="241"/>
      <c r="Y703" s="241"/>
      <c r="Z703" s="241"/>
    </row>
    <row r="704" spans="1:26" ht="13.5" customHeight="1" x14ac:dyDescent="0.3">
      <c r="A704" s="241"/>
      <c r="B704" s="241"/>
      <c r="C704" s="241"/>
      <c r="D704" s="241"/>
      <c r="E704" s="241"/>
      <c r="F704" s="241"/>
      <c r="G704" s="241"/>
      <c r="H704" s="241"/>
      <c r="I704" s="241"/>
      <c r="J704" s="241"/>
      <c r="K704" s="241"/>
      <c r="L704" s="241"/>
      <c r="M704" s="241"/>
      <c r="N704" s="241"/>
      <c r="O704" s="241"/>
      <c r="P704" s="241"/>
      <c r="Q704" s="241"/>
      <c r="R704" s="241"/>
      <c r="S704" s="241"/>
      <c r="T704" s="241"/>
      <c r="U704" s="241"/>
      <c r="V704" s="241"/>
      <c r="W704" s="241"/>
      <c r="X704" s="241"/>
      <c r="Y704" s="241"/>
      <c r="Z704" s="241"/>
    </row>
    <row r="705" spans="1:26" ht="13.5" customHeight="1" x14ac:dyDescent="0.3">
      <c r="A705" s="241"/>
      <c r="B705" s="241"/>
      <c r="C705" s="241"/>
      <c r="D705" s="241"/>
      <c r="E705" s="241"/>
      <c r="F705" s="241"/>
      <c r="G705" s="241"/>
      <c r="H705" s="241"/>
      <c r="I705" s="241"/>
      <c r="J705" s="241"/>
      <c r="K705" s="241"/>
      <c r="L705" s="241"/>
      <c r="M705" s="241"/>
      <c r="N705" s="241"/>
      <c r="O705" s="241"/>
      <c r="P705" s="241"/>
      <c r="Q705" s="241"/>
      <c r="R705" s="241"/>
      <c r="S705" s="241"/>
      <c r="T705" s="241"/>
      <c r="U705" s="241"/>
      <c r="V705" s="241"/>
      <c r="W705" s="241"/>
      <c r="X705" s="241"/>
      <c r="Y705" s="241"/>
      <c r="Z705" s="241"/>
    </row>
    <row r="706" spans="1:26" ht="13.5" customHeight="1" x14ac:dyDescent="0.3">
      <c r="A706" s="241"/>
      <c r="B706" s="241"/>
      <c r="C706" s="241"/>
      <c r="D706" s="241"/>
      <c r="E706" s="241"/>
      <c r="F706" s="241"/>
      <c r="G706" s="241"/>
      <c r="H706" s="241"/>
      <c r="I706" s="241"/>
      <c r="J706" s="241"/>
      <c r="K706" s="241"/>
      <c r="L706" s="241"/>
      <c r="M706" s="241"/>
      <c r="N706" s="241"/>
      <c r="O706" s="241"/>
      <c r="P706" s="241"/>
      <c r="Q706" s="241"/>
      <c r="R706" s="241"/>
      <c r="S706" s="241"/>
      <c r="T706" s="241"/>
      <c r="U706" s="241"/>
      <c r="V706" s="241"/>
      <c r="W706" s="241"/>
      <c r="X706" s="241"/>
      <c r="Y706" s="241"/>
      <c r="Z706" s="241"/>
    </row>
    <row r="707" spans="1:26" ht="13.5" customHeight="1" x14ac:dyDescent="0.3">
      <c r="A707" s="241"/>
      <c r="B707" s="241"/>
      <c r="C707" s="241"/>
      <c r="D707" s="241"/>
      <c r="E707" s="241"/>
      <c r="F707" s="241"/>
      <c r="G707" s="241"/>
      <c r="H707" s="241"/>
      <c r="I707" s="241"/>
      <c r="J707" s="241"/>
      <c r="K707" s="241"/>
      <c r="L707" s="241"/>
      <c r="M707" s="241"/>
      <c r="N707" s="241"/>
      <c r="O707" s="241"/>
      <c r="P707" s="241"/>
      <c r="Q707" s="241"/>
      <c r="R707" s="241"/>
      <c r="S707" s="241"/>
      <c r="T707" s="241"/>
      <c r="U707" s="241"/>
      <c r="V707" s="241"/>
      <c r="W707" s="241"/>
      <c r="X707" s="241"/>
      <c r="Y707" s="241"/>
      <c r="Z707" s="241"/>
    </row>
    <row r="708" spans="1:26" ht="13.5" customHeight="1" x14ac:dyDescent="0.3">
      <c r="A708" s="241"/>
      <c r="B708" s="241"/>
      <c r="C708" s="241"/>
      <c r="D708" s="241"/>
      <c r="E708" s="241"/>
      <c r="F708" s="241"/>
      <c r="G708" s="241"/>
      <c r="H708" s="241"/>
      <c r="I708" s="241"/>
      <c r="J708" s="241"/>
      <c r="K708" s="241"/>
      <c r="L708" s="241"/>
      <c r="M708" s="241"/>
      <c r="N708" s="241"/>
      <c r="O708" s="241"/>
      <c r="P708" s="241"/>
      <c r="Q708" s="241"/>
      <c r="R708" s="241"/>
      <c r="S708" s="241"/>
      <c r="T708" s="241"/>
      <c r="U708" s="241"/>
      <c r="V708" s="241"/>
      <c r="W708" s="241"/>
      <c r="X708" s="241"/>
      <c r="Y708" s="241"/>
      <c r="Z708" s="241"/>
    </row>
    <row r="709" spans="1:26" ht="13.5" customHeight="1" x14ac:dyDescent="0.3">
      <c r="A709" s="241"/>
      <c r="B709" s="241"/>
      <c r="C709" s="241"/>
      <c r="D709" s="241"/>
      <c r="E709" s="241"/>
      <c r="F709" s="241"/>
      <c r="G709" s="241"/>
      <c r="H709" s="241"/>
      <c r="I709" s="241"/>
      <c r="J709" s="241"/>
      <c r="K709" s="241"/>
      <c r="L709" s="241"/>
      <c r="M709" s="241"/>
      <c r="N709" s="241"/>
      <c r="O709" s="241"/>
      <c r="P709" s="241"/>
      <c r="Q709" s="241"/>
      <c r="R709" s="241"/>
      <c r="S709" s="241"/>
      <c r="T709" s="241"/>
      <c r="U709" s="241"/>
      <c r="V709" s="241"/>
      <c r="W709" s="241"/>
      <c r="X709" s="241"/>
      <c r="Y709" s="241"/>
      <c r="Z709" s="241"/>
    </row>
    <row r="710" spans="1:26" ht="13.5" customHeight="1" x14ac:dyDescent="0.3">
      <c r="A710" s="241"/>
      <c r="B710" s="241"/>
      <c r="C710" s="241"/>
      <c r="D710" s="241"/>
      <c r="E710" s="241"/>
      <c r="F710" s="241"/>
      <c r="G710" s="241"/>
      <c r="H710" s="241"/>
      <c r="I710" s="241"/>
      <c r="J710" s="241"/>
      <c r="K710" s="241"/>
      <c r="L710" s="241"/>
      <c r="M710" s="241"/>
      <c r="N710" s="241"/>
      <c r="O710" s="241"/>
      <c r="P710" s="241"/>
      <c r="Q710" s="241"/>
      <c r="R710" s="241"/>
      <c r="S710" s="241"/>
      <c r="T710" s="241"/>
      <c r="U710" s="241"/>
      <c r="V710" s="241"/>
      <c r="W710" s="241"/>
      <c r="X710" s="241"/>
      <c r="Y710" s="241"/>
      <c r="Z710" s="241"/>
    </row>
    <row r="711" spans="1:26" ht="13.5" customHeight="1" x14ac:dyDescent="0.3">
      <c r="A711" s="241"/>
      <c r="B711" s="241"/>
      <c r="C711" s="241"/>
      <c r="D711" s="241"/>
      <c r="E711" s="241"/>
      <c r="F711" s="241"/>
      <c r="G711" s="241"/>
      <c r="H711" s="241"/>
      <c r="I711" s="241"/>
      <c r="J711" s="241"/>
      <c r="K711" s="241"/>
      <c r="L711" s="241"/>
      <c r="M711" s="241"/>
      <c r="N711" s="241"/>
      <c r="O711" s="241"/>
      <c r="P711" s="241"/>
      <c r="Q711" s="241"/>
      <c r="R711" s="241"/>
      <c r="S711" s="241"/>
      <c r="T711" s="241"/>
      <c r="U711" s="241"/>
      <c r="V711" s="241"/>
      <c r="W711" s="241"/>
      <c r="X711" s="241"/>
      <c r="Y711" s="241"/>
      <c r="Z711" s="241"/>
    </row>
    <row r="712" spans="1:26" ht="13.5" customHeight="1" x14ac:dyDescent="0.3">
      <c r="A712" s="241"/>
      <c r="B712" s="241"/>
      <c r="C712" s="241"/>
      <c r="D712" s="241"/>
      <c r="E712" s="241"/>
      <c r="F712" s="241"/>
      <c r="G712" s="241"/>
      <c r="H712" s="241"/>
      <c r="I712" s="241"/>
      <c r="J712" s="241"/>
      <c r="K712" s="241"/>
      <c r="L712" s="241"/>
      <c r="M712" s="241"/>
      <c r="N712" s="241"/>
      <c r="O712" s="241"/>
      <c r="P712" s="241"/>
      <c r="Q712" s="241"/>
      <c r="R712" s="241"/>
      <c r="S712" s="241"/>
      <c r="T712" s="241"/>
      <c r="U712" s="241"/>
      <c r="V712" s="241"/>
      <c r="W712" s="241"/>
      <c r="X712" s="241"/>
      <c r="Y712" s="241"/>
      <c r="Z712" s="241"/>
    </row>
    <row r="713" spans="1:26" ht="13.5" customHeight="1" x14ac:dyDescent="0.3">
      <c r="A713" s="241"/>
      <c r="B713" s="241"/>
      <c r="C713" s="241"/>
      <c r="D713" s="241"/>
      <c r="E713" s="241"/>
      <c r="F713" s="241"/>
      <c r="G713" s="241"/>
      <c r="H713" s="241"/>
      <c r="I713" s="241"/>
      <c r="J713" s="241"/>
      <c r="K713" s="241"/>
      <c r="L713" s="241"/>
      <c r="M713" s="241"/>
      <c r="N713" s="241"/>
      <c r="O713" s="241"/>
      <c r="P713" s="241"/>
      <c r="Q713" s="241"/>
      <c r="R713" s="241"/>
      <c r="S713" s="241"/>
      <c r="T713" s="241"/>
      <c r="U713" s="241"/>
      <c r="V713" s="241"/>
      <c r="W713" s="241"/>
      <c r="X713" s="241"/>
      <c r="Y713" s="241"/>
      <c r="Z713" s="241"/>
    </row>
    <row r="714" spans="1:26" ht="13.5" customHeight="1" x14ac:dyDescent="0.3">
      <c r="A714" s="241"/>
      <c r="B714" s="241"/>
      <c r="C714" s="241"/>
      <c r="D714" s="241"/>
      <c r="E714" s="241"/>
      <c r="F714" s="241"/>
      <c r="G714" s="241"/>
      <c r="H714" s="241"/>
      <c r="I714" s="241"/>
      <c r="J714" s="241"/>
      <c r="K714" s="241"/>
      <c r="L714" s="241"/>
      <c r="M714" s="241"/>
      <c r="N714" s="241"/>
      <c r="O714" s="241"/>
      <c r="P714" s="241"/>
      <c r="Q714" s="241"/>
      <c r="R714" s="241"/>
      <c r="S714" s="241"/>
      <c r="T714" s="241"/>
      <c r="U714" s="241"/>
      <c r="V714" s="241"/>
      <c r="W714" s="241"/>
      <c r="X714" s="241"/>
      <c r="Y714" s="241"/>
      <c r="Z714" s="241"/>
    </row>
    <row r="715" spans="1:26" ht="13.5" customHeight="1" x14ac:dyDescent="0.3">
      <c r="A715" s="241"/>
      <c r="B715" s="241"/>
      <c r="C715" s="241"/>
      <c r="D715" s="241"/>
      <c r="E715" s="241"/>
      <c r="F715" s="241"/>
      <c r="G715" s="241"/>
      <c r="H715" s="241"/>
      <c r="I715" s="241"/>
      <c r="J715" s="241"/>
      <c r="K715" s="241"/>
      <c r="L715" s="241"/>
      <c r="M715" s="241"/>
      <c r="N715" s="241"/>
      <c r="O715" s="241"/>
      <c r="P715" s="241"/>
      <c r="Q715" s="241"/>
      <c r="R715" s="241"/>
      <c r="S715" s="241"/>
      <c r="T715" s="241"/>
      <c r="U715" s="241"/>
      <c r="V715" s="241"/>
      <c r="W715" s="241"/>
      <c r="X715" s="241"/>
      <c r="Y715" s="241"/>
      <c r="Z715" s="241"/>
    </row>
    <row r="716" spans="1:26" ht="13.5" customHeight="1" x14ac:dyDescent="0.3">
      <c r="A716" s="241"/>
      <c r="B716" s="241"/>
      <c r="C716" s="241"/>
      <c r="D716" s="241"/>
      <c r="E716" s="241"/>
      <c r="F716" s="241"/>
      <c r="G716" s="241"/>
      <c r="H716" s="241"/>
      <c r="I716" s="241"/>
      <c r="J716" s="241"/>
      <c r="K716" s="241"/>
      <c r="L716" s="241"/>
      <c r="M716" s="241"/>
      <c r="N716" s="241"/>
      <c r="O716" s="241"/>
      <c r="P716" s="241"/>
      <c r="Q716" s="241"/>
      <c r="R716" s="241"/>
      <c r="S716" s="241"/>
      <c r="T716" s="241"/>
      <c r="U716" s="241"/>
      <c r="V716" s="241"/>
      <c r="W716" s="241"/>
      <c r="X716" s="241"/>
      <c r="Y716" s="241"/>
      <c r="Z716" s="241"/>
    </row>
    <row r="717" spans="1:26" ht="13.5" customHeight="1" x14ac:dyDescent="0.3">
      <c r="A717" s="241"/>
      <c r="B717" s="241"/>
      <c r="C717" s="241"/>
      <c r="D717" s="241"/>
      <c r="E717" s="241"/>
      <c r="F717" s="241"/>
      <c r="G717" s="241"/>
      <c r="H717" s="241"/>
      <c r="I717" s="241"/>
      <c r="J717" s="241"/>
      <c r="K717" s="241"/>
      <c r="L717" s="241"/>
      <c r="M717" s="241"/>
      <c r="N717" s="241"/>
      <c r="O717" s="241"/>
      <c r="P717" s="241"/>
      <c r="Q717" s="241"/>
      <c r="R717" s="241"/>
      <c r="S717" s="241"/>
      <c r="T717" s="241"/>
      <c r="U717" s="241"/>
      <c r="V717" s="241"/>
      <c r="W717" s="241"/>
      <c r="X717" s="241"/>
      <c r="Y717" s="241"/>
      <c r="Z717" s="241"/>
    </row>
    <row r="718" spans="1:26" ht="13.5" customHeight="1" x14ac:dyDescent="0.3">
      <c r="A718" s="241"/>
      <c r="B718" s="241"/>
      <c r="C718" s="241"/>
      <c r="D718" s="241"/>
      <c r="E718" s="241"/>
      <c r="F718" s="241"/>
      <c r="G718" s="241"/>
      <c r="H718" s="241"/>
      <c r="I718" s="241"/>
      <c r="J718" s="241"/>
      <c r="K718" s="241"/>
      <c r="L718" s="241"/>
      <c r="M718" s="241"/>
      <c r="N718" s="241"/>
      <c r="O718" s="241"/>
      <c r="P718" s="241"/>
      <c r="Q718" s="241"/>
      <c r="R718" s="241"/>
      <c r="S718" s="241"/>
      <c r="T718" s="241"/>
      <c r="U718" s="241"/>
      <c r="V718" s="241"/>
      <c r="W718" s="241"/>
      <c r="X718" s="241"/>
      <c r="Y718" s="241"/>
      <c r="Z718" s="241"/>
    </row>
    <row r="719" spans="1:26" ht="13.5" customHeight="1" x14ac:dyDescent="0.3">
      <c r="A719" s="241"/>
      <c r="B719" s="241"/>
      <c r="C719" s="241"/>
      <c r="D719" s="241"/>
      <c r="E719" s="241"/>
      <c r="F719" s="241"/>
      <c r="G719" s="241"/>
      <c r="H719" s="241"/>
      <c r="I719" s="241"/>
      <c r="J719" s="241"/>
      <c r="K719" s="241"/>
      <c r="L719" s="241"/>
      <c r="M719" s="241"/>
      <c r="N719" s="241"/>
      <c r="O719" s="241"/>
      <c r="P719" s="241"/>
      <c r="Q719" s="241"/>
      <c r="R719" s="241"/>
      <c r="S719" s="241"/>
      <c r="T719" s="241"/>
      <c r="U719" s="241"/>
      <c r="V719" s="241"/>
      <c r="W719" s="241"/>
      <c r="X719" s="241"/>
      <c r="Y719" s="241"/>
      <c r="Z719" s="241"/>
    </row>
    <row r="720" spans="1:26" ht="13.5" customHeight="1" x14ac:dyDescent="0.3">
      <c r="A720" s="241"/>
      <c r="B720" s="241"/>
      <c r="C720" s="241"/>
      <c r="D720" s="241"/>
      <c r="E720" s="241"/>
      <c r="F720" s="241"/>
      <c r="G720" s="241"/>
      <c r="H720" s="241"/>
      <c r="I720" s="241"/>
      <c r="J720" s="241"/>
      <c r="K720" s="241"/>
      <c r="L720" s="241"/>
      <c r="M720" s="241"/>
      <c r="N720" s="241"/>
      <c r="O720" s="241"/>
      <c r="P720" s="241"/>
      <c r="Q720" s="241"/>
      <c r="R720" s="241"/>
      <c r="S720" s="241"/>
      <c r="T720" s="241"/>
      <c r="U720" s="241"/>
      <c r="V720" s="241"/>
      <c r="W720" s="241"/>
      <c r="X720" s="241"/>
      <c r="Y720" s="241"/>
      <c r="Z720" s="241"/>
    </row>
    <row r="721" spans="1:26" ht="13.5" customHeight="1" x14ac:dyDescent="0.3">
      <c r="A721" s="241"/>
      <c r="B721" s="241"/>
      <c r="C721" s="241"/>
      <c r="D721" s="241"/>
      <c r="E721" s="241"/>
      <c r="F721" s="241"/>
      <c r="G721" s="241"/>
      <c r="H721" s="241"/>
      <c r="I721" s="241"/>
      <c r="J721" s="241"/>
      <c r="K721" s="241"/>
      <c r="L721" s="241"/>
      <c r="M721" s="241"/>
      <c r="N721" s="241"/>
      <c r="O721" s="241"/>
      <c r="P721" s="241"/>
      <c r="Q721" s="241"/>
      <c r="R721" s="241"/>
      <c r="S721" s="241"/>
      <c r="T721" s="241"/>
      <c r="U721" s="241"/>
      <c r="V721" s="241"/>
      <c r="W721" s="241"/>
      <c r="X721" s="241"/>
      <c r="Y721" s="241"/>
      <c r="Z721" s="241"/>
    </row>
    <row r="722" spans="1:26" ht="13.5" customHeight="1" x14ac:dyDescent="0.3">
      <c r="A722" s="241"/>
      <c r="B722" s="241"/>
      <c r="C722" s="241"/>
      <c r="D722" s="241"/>
      <c r="E722" s="241"/>
      <c r="F722" s="241"/>
      <c r="G722" s="241"/>
      <c r="H722" s="241"/>
      <c r="I722" s="241"/>
      <c r="J722" s="241"/>
      <c r="K722" s="241"/>
      <c r="L722" s="241"/>
      <c r="M722" s="241"/>
      <c r="N722" s="241"/>
      <c r="O722" s="241"/>
      <c r="P722" s="241"/>
      <c r="Q722" s="241"/>
      <c r="R722" s="241"/>
      <c r="S722" s="241"/>
      <c r="T722" s="241"/>
      <c r="U722" s="241"/>
      <c r="V722" s="241"/>
      <c r="W722" s="241"/>
      <c r="X722" s="241"/>
      <c r="Y722" s="241"/>
      <c r="Z722" s="241"/>
    </row>
    <row r="723" spans="1:26" ht="13.5" customHeight="1" x14ac:dyDescent="0.3">
      <c r="A723" s="241"/>
      <c r="B723" s="241"/>
      <c r="C723" s="241"/>
      <c r="D723" s="241"/>
      <c r="E723" s="241"/>
      <c r="F723" s="241"/>
      <c r="G723" s="241"/>
      <c r="H723" s="241"/>
      <c r="I723" s="241"/>
      <c r="J723" s="241"/>
      <c r="K723" s="241"/>
      <c r="L723" s="241"/>
      <c r="M723" s="241"/>
      <c r="N723" s="241"/>
      <c r="O723" s="241"/>
      <c r="P723" s="241"/>
      <c r="Q723" s="241"/>
      <c r="R723" s="241"/>
      <c r="S723" s="241"/>
      <c r="T723" s="241"/>
      <c r="U723" s="241"/>
      <c r="V723" s="241"/>
      <c r="W723" s="241"/>
      <c r="X723" s="241"/>
      <c r="Y723" s="241"/>
      <c r="Z723" s="241"/>
    </row>
    <row r="724" spans="1:26" ht="13.5" customHeight="1" x14ac:dyDescent="0.3">
      <c r="A724" s="241"/>
      <c r="B724" s="241"/>
      <c r="C724" s="241"/>
      <c r="D724" s="241"/>
      <c r="E724" s="241"/>
      <c r="F724" s="241"/>
      <c r="G724" s="241"/>
      <c r="H724" s="241"/>
      <c r="I724" s="241"/>
      <c r="J724" s="241"/>
      <c r="K724" s="241"/>
      <c r="L724" s="241"/>
      <c r="M724" s="241"/>
      <c r="N724" s="241"/>
      <c r="O724" s="241"/>
      <c r="P724" s="241"/>
      <c r="Q724" s="241"/>
      <c r="R724" s="241"/>
      <c r="S724" s="241"/>
      <c r="T724" s="241"/>
      <c r="U724" s="241"/>
      <c r="V724" s="241"/>
      <c r="W724" s="241"/>
      <c r="X724" s="241"/>
      <c r="Y724" s="241"/>
      <c r="Z724" s="241"/>
    </row>
    <row r="725" spans="1:26" ht="13.5" customHeight="1" x14ac:dyDescent="0.3">
      <c r="A725" s="241"/>
      <c r="B725" s="241"/>
      <c r="C725" s="241"/>
      <c r="D725" s="241"/>
      <c r="E725" s="241"/>
      <c r="F725" s="241"/>
      <c r="G725" s="241"/>
      <c r="H725" s="241"/>
      <c r="I725" s="241"/>
      <c r="J725" s="241"/>
      <c r="K725" s="241"/>
      <c r="L725" s="241"/>
      <c r="M725" s="241"/>
      <c r="N725" s="241"/>
      <c r="O725" s="241"/>
      <c r="P725" s="241"/>
      <c r="Q725" s="241"/>
      <c r="R725" s="241"/>
      <c r="S725" s="241"/>
      <c r="T725" s="241"/>
      <c r="U725" s="241"/>
      <c r="V725" s="241"/>
      <c r="W725" s="241"/>
      <c r="X725" s="241"/>
      <c r="Y725" s="241"/>
      <c r="Z725" s="241"/>
    </row>
    <row r="726" spans="1:26" ht="13.5" customHeight="1" x14ac:dyDescent="0.3">
      <c r="A726" s="241"/>
      <c r="B726" s="241"/>
      <c r="C726" s="241"/>
      <c r="D726" s="241"/>
      <c r="E726" s="241"/>
      <c r="F726" s="241"/>
      <c r="G726" s="241"/>
      <c r="H726" s="241"/>
      <c r="I726" s="241"/>
      <c r="J726" s="241"/>
      <c r="K726" s="241"/>
      <c r="L726" s="241"/>
      <c r="M726" s="241"/>
      <c r="N726" s="241"/>
      <c r="O726" s="241"/>
      <c r="P726" s="241"/>
      <c r="Q726" s="241"/>
      <c r="R726" s="241"/>
      <c r="S726" s="241"/>
      <c r="T726" s="241"/>
      <c r="U726" s="241"/>
      <c r="V726" s="241"/>
      <c r="W726" s="241"/>
      <c r="X726" s="241"/>
      <c r="Y726" s="241"/>
      <c r="Z726" s="241"/>
    </row>
    <row r="727" spans="1:26" ht="13.5" customHeight="1" x14ac:dyDescent="0.3">
      <c r="A727" s="241"/>
      <c r="B727" s="241"/>
      <c r="C727" s="241"/>
      <c r="D727" s="241"/>
      <c r="E727" s="241"/>
      <c r="F727" s="241"/>
      <c r="G727" s="241"/>
      <c r="H727" s="241"/>
      <c r="I727" s="241"/>
      <c r="J727" s="241"/>
      <c r="K727" s="241"/>
      <c r="L727" s="241"/>
      <c r="M727" s="241"/>
      <c r="N727" s="241"/>
      <c r="O727" s="241"/>
      <c r="P727" s="241"/>
      <c r="Q727" s="241"/>
      <c r="R727" s="241"/>
      <c r="S727" s="241"/>
      <c r="T727" s="241"/>
      <c r="U727" s="241"/>
      <c r="V727" s="241"/>
      <c r="W727" s="241"/>
      <c r="X727" s="241"/>
      <c r="Y727" s="241"/>
      <c r="Z727" s="241"/>
    </row>
    <row r="728" spans="1:26" ht="13.5" customHeight="1" x14ac:dyDescent="0.3">
      <c r="A728" s="241"/>
      <c r="B728" s="241"/>
      <c r="C728" s="241"/>
      <c r="D728" s="241"/>
      <c r="E728" s="241"/>
      <c r="F728" s="241"/>
      <c r="G728" s="241"/>
      <c r="H728" s="241"/>
      <c r="I728" s="241"/>
      <c r="J728" s="241"/>
      <c r="K728" s="241"/>
      <c r="L728" s="241"/>
      <c r="M728" s="241"/>
      <c r="N728" s="241"/>
      <c r="O728" s="241"/>
      <c r="P728" s="241"/>
      <c r="Q728" s="241"/>
      <c r="R728" s="241"/>
      <c r="S728" s="241"/>
      <c r="T728" s="241"/>
      <c r="U728" s="241"/>
      <c r="V728" s="241"/>
      <c r="W728" s="241"/>
      <c r="X728" s="241"/>
      <c r="Y728" s="241"/>
      <c r="Z728" s="241"/>
    </row>
    <row r="729" spans="1:26" ht="13.5" customHeight="1" x14ac:dyDescent="0.3">
      <c r="A729" s="241"/>
      <c r="B729" s="241"/>
      <c r="C729" s="241"/>
      <c r="D729" s="241"/>
      <c r="E729" s="241"/>
      <c r="F729" s="241"/>
      <c r="G729" s="241"/>
      <c r="H729" s="241"/>
      <c r="I729" s="241"/>
      <c r="J729" s="241"/>
      <c r="K729" s="241"/>
      <c r="L729" s="241"/>
      <c r="M729" s="241"/>
      <c r="N729" s="241"/>
      <c r="O729" s="241"/>
      <c r="P729" s="241"/>
      <c r="Q729" s="241"/>
      <c r="R729" s="241"/>
      <c r="S729" s="241"/>
      <c r="T729" s="241"/>
      <c r="U729" s="241"/>
      <c r="V729" s="241"/>
      <c r="W729" s="241"/>
      <c r="X729" s="241"/>
      <c r="Y729" s="241"/>
      <c r="Z729" s="241"/>
    </row>
    <row r="730" spans="1:26" ht="13.5" customHeight="1" x14ac:dyDescent="0.3">
      <c r="A730" s="241"/>
      <c r="B730" s="241"/>
      <c r="C730" s="241"/>
      <c r="D730" s="241"/>
      <c r="E730" s="241"/>
      <c r="F730" s="241"/>
      <c r="G730" s="241"/>
      <c r="H730" s="241"/>
      <c r="I730" s="241"/>
      <c r="J730" s="241"/>
      <c r="K730" s="241"/>
      <c r="L730" s="241"/>
      <c r="M730" s="241"/>
      <c r="N730" s="241"/>
      <c r="O730" s="241"/>
      <c r="P730" s="241"/>
      <c r="Q730" s="241"/>
      <c r="R730" s="241"/>
      <c r="S730" s="241"/>
      <c r="T730" s="241"/>
      <c r="U730" s="241"/>
      <c r="V730" s="241"/>
      <c r="W730" s="241"/>
      <c r="X730" s="241"/>
      <c r="Y730" s="241"/>
      <c r="Z730" s="241"/>
    </row>
    <row r="731" spans="1:26" ht="13.5" customHeight="1" x14ac:dyDescent="0.3">
      <c r="A731" s="241"/>
      <c r="B731" s="241"/>
      <c r="C731" s="241"/>
      <c r="D731" s="241"/>
      <c r="E731" s="241"/>
      <c r="F731" s="241"/>
      <c r="G731" s="241"/>
      <c r="H731" s="241"/>
      <c r="I731" s="241"/>
      <c r="J731" s="241"/>
      <c r="K731" s="241"/>
      <c r="L731" s="241"/>
      <c r="M731" s="241"/>
      <c r="N731" s="241"/>
      <c r="O731" s="241"/>
      <c r="P731" s="241"/>
      <c r="Q731" s="241"/>
      <c r="R731" s="241"/>
      <c r="S731" s="241"/>
      <c r="T731" s="241"/>
      <c r="U731" s="241"/>
      <c r="V731" s="241"/>
      <c r="W731" s="241"/>
      <c r="X731" s="241"/>
      <c r="Y731" s="241"/>
      <c r="Z731" s="241"/>
    </row>
    <row r="732" spans="1:26" ht="13.5" customHeight="1" x14ac:dyDescent="0.3">
      <c r="A732" s="241"/>
      <c r="B732" s="241"/>
      <c r="C732" s="241"/>
      <c r="D732" s="241"/>
      <c r="E732" s="241"/>
      <c r="F732" s="241"/>
      <c r="G732" s="241"/>
      <c r="H732" s="241"/>
      <c r="I732" s="241"/>
      <c r="J732" s="241"/>
      <c r="K732" s="241"/>
      <c r="L732" s="241"/>
      <c r="M732" s="241"/>
      <c r="N732" s="241"/>
      <c r="O732" s="241"/>
      <c r="P732" s="241"/>
      <c r="Q732" s="241"/>
      <c r="R732" s="241"/>
      <c r="S732" s="241"/>
      <c r="T732" s="241"/>
      <c r="U732" s="241"/>
      <c r="V732" s="241"/>
      <c r="W732" s="241"/>
      <c r="X732" s="241"/>
      <c r="Y732" s="241"/>
      <c r="Z732" s="241"/>
    </row>
    <row r="733" spans="1:26" ht="13.5" customHeight="1" x14ac:dyDescent="0.3">
      <c r="A733" s="241"/>
      <c r="B733" s="241"/>
      <c r="C733" s="241"/>
      <c r="D733" s="241"/>
      <c r="E733" s="241"/>
      <c r="F733" s="241"/>
      <c r="G733" s="241"/>
      <c r="H733" s="241"/>
      <c r="I733" s="241"/>
      <c r="J733" s="241"/>
      <c r="K733" s="241"/>
      <c r="L733" s="241"/>
      <c r="M733" s="241"/>
      <c r="N733" s="241"/>
      <c r="O733" s="241"/>
      <c r="P733" s="241"/>
      <c r="Q733" s="241"/>
      <c r="R733" s="241"/>
      <c r="S733" s="241"/>
      <c r="T733" s="241"/>
      <c r="U733" s="241"/>
      <c r="V733" s="241"/>
      <c r="W733" s="241"/>
      <c r="X733" s="241"/>
      <c r="Y733" s="241"/>
      <c r="Z733" s="241"/>
    </row>
    <row r="734" spans="1:26" ht="13.5" customHeight="1" x14ac:dyDescent="0.3">
      <c r="A734" s="241"/>
      <c r="B734" s="241"/>
      <c r="C734" s="241"/>
      <c r="D734" s="241"/>
      <c r="E734" s="241"/>
      <c r="F734" s="241"/>
      <c r="G734" s="241"/>
      <c r="H734" s="241"/>
      <c r="I734" s="241"/>
      <c r="J734" s="241"/>
      <c r="K734" s="241"/>
      <c r="L734" s="241"/>
      <c r="M734" s="241"/>
      <c r="N734" s="241"/>
      <c r="O734" s="241"/>
      <c r="P734" s="241"/>
      <c r="Q734" s="241"/>
      <c r="R734" s="241"/>
      <c r="S734" s="241"/>
      <c r="T734" s="241"/>
      <c r="U734" s="241"/>
      <c r="V734" s="241"/>
      <c r="W734" s="241"/>
      <c r="X734" s="241"/>
      <c r="Y734" s="241"/>
      <c r="Z734" s="241"/>
    </row>
    <row r="735" spans="1:26" ht="13.5" customHeight="1" x14ac:dyDescent="0.3">
      <c r="A735" s="241"/>
      <c r="B735" s="241"/>
      <c r="C735" s="241"/>
      <c r="D735" s="241"/>
      <c r="E735" s="241"/>
      <c r="F735" s="241"/>
      <c r="G735" s="241"/>
      <c r="H735" s="241"/>
      <c r="I735" s="241"/>
      <c r="J735" s="241"/>
      <c r="K735" s="241"/>
      <c r="L735" s="241"/>
      <c r="M735" s="241"/>
      <c r="N735" s="241"/>
      <c r="O735" s="241"/>
      <c r="P735" s="241"/>
      <c r="Q735" s="241"/>
      <c r="R735" s="241"/>
      <c r="S735" s="241"/>
      <c r="T735" s="241"/>
      <c r="U735" s="241"/>
      <c r="V735" s="241"/>
      <c r="W735" s="241"/>
      <c r="X735" s="241"/>
      <c r="Y735" s="241"/>
      <c r="Z735" s="241"/>
    </row>
    <row r="736" spans="1:26" ht="13.5" customHeight="1" x14ac:dyDescent="0.3">
      <c r="A736" s="241"/>
      <c r="B736" s="241"/>
      <c r="C736" s="241"/>
      <c r="D736" s="241"/>
      <c r="E736" s="241"/>
      <c r="F736" s="241"/>
      <c r="G736" s="241"/>
      <c r="H736" s="241"/>
      <c r="I736" s="241"/>
      <c r="J736" s="241"/>
      <c r="K736" s="241"/>
      <c r="L736" s="241"/>
      <c r="M736" s="241"/>
      <c r="N736" s="241"/>
      <c r="O736" s="241"/>
      <c r="P736" s="241"/>
      <c r="Q736" s="241"/>
      <c r="R736" s="241"/>
      <c r="S736" s="241"/>
      <c r="T736" s="241"/>
      <c r="U736" s="241"/>
      <c r="V736" s="241"/>
      <c r="W736" s="241"/>
      <c r="X736" s="241"/>
      <c r="Y736" s="241"/>
      <c r="Z736" s="241"/>
    </row>
    <row r="737" spans="1:26" ht="13.5" customHeight="1" x14ac:dyDescent="0.3">
      <c r="A737" s="241"/>
      <c r="B737" s="241"/>
      <c r="C737" s="241"/>
      <c r="D737" s="241"/>
      <c r="E737" s="241"/>
      <c r="F737" s="241"/>
      <c r="G737" s="241"/>
      <c r="H737" s="241"/>
      <c r="I737" s="241"/>
      <c r="J737" s="241"/>
      <c r="K737" s="241"/>
      <c r="L737" s="241"/>
      <c r="M737" s="241"/>
      <c r="N737" s="241"/>
      <c r="O737" s="241"/>
      <c r="P737" s="241"/>
      <c r="Q737" s="241"/>
      <c r="R737" s="241"/>
      <c r="S737" s="241"/>
      <c r="T737" s="241"/>
      <c r="U737" s="241"/>
      <c r="V737" s="241"/>
      <c r="W737" s="241"/>
      <c r="X737" s="241"/>
      <c r="Y737" s="241"/>
      <c r="Z737" s="241"/>
    </row>
    <row r="738" spans="1:26" ht="13.5" customHeight="1" x14ac:dyDescent="0.3">
      <c r="A738" s="241"/>
      <c r="B738" s="241"/>
      <c r="C738" s="241"/>
      <c r="D738" s="241"/>
      <c r="E738" s="241"/>
      <c r="F738" s="241"/>
      <c r="G738" s="241"/>
      <c r="H738" s="241"/>
      <c r="I738" s="241"/>
      <c r="J738" s="241"/>
      <c r="K738" s="241"/>
      <c r="L738" s="241"/>
      <c r="M738" s="241"/>
      <c r="N738" s="241"/>
      <c r="O738" s="241"/>
      <c r="P738" s="241"/>
      <c r="Q738" s="241"/>
      <c r="R738" s="241"/>
      <c r="S738" s="241"/>
      <c r="T738" s="241"/>
      <c r="U738" s="241"/>
      <c r="V738" s="241"/>
      <c r="W738" s="241"/>
      <c r="X738" s="241"/>
      <c r="Y738" s="241"/>
      <c r="Z738" s="241"/>
    </row>
    <row r="739" spans="1:26" ht="13.5" customHeight="1" x14ac:dyDescent="0.3">
      <c r="A739" s="241"/>
      <c r="B739" s="241"/>
      <c r="C739" s="241"/>
      <c r="D739" s="241"/>
      <c r="E739" s="241"/>
      <c r="F739" s="241"/>
      <c r="G739" s="241"/>
      <c r="H739" s="241"/>
      <c r="I739" s="241"/>
      <c r="J739" s="241"/>
      <c r="K739" s="241"/>
      <c r="L739" s="241"/>
      <c r="M739" s="241"/>
      <c r="N739" s="241"/>
      <c r="O739" s="241"/>
      <c r="P739" s="241"/>
      <c r="Q739" s="241"/>
      <c r="R739" s="241"/>
      <c r="S739" s="241"/>
      <c r="T739" s="241"/>
      <c r="U739" s="241"/>
      <c r="V739" s="241"/>
      <c r="W739" s="241"/>
      <c r="X739" s="241"/>
      <c r="Y739" s="241"/>
      <c r="Z739" s="241"/>
    </row>
    <row r="740" spans="1:26" ht="13.5" customHeight="1" x14ac:dyDescent="0.3">
      <c r="A740" s="241"/>
      <c r="B740" s="241"/>
      <c r="C740" s="241"/>
      <c r="D740" s="241"/>
      <c r="E740" s="241"/>
      <c r="F740" s="241"/>
      <c r="G740" s="241"/>
      <c r="H740" s="241"/>
      <c r="I740" s="241"/>
      <c r="J740" s="241"/>
      <c r="K740" s="241"/>
      <c r="L740" s="241"/>
      <c r="M740" s="241"/>
      <c r="N740" s="241"/>
      <c r="O740" s="241"/>
      <c r="P740" s="241"/>
      <c r="Q740" s="241"/>
      <c r="R740" s="241"/>
      <c r="S740" s="241"/>
      <c r="T740" s="241"/>
      <c r="U740" s="241"/>
      <c r="V740" s="241"/>
      <c r="W740" s="241"/>
      <c r="X740" s="241"/>
      <c r="Y740" s="241"/>
      <c r="Z740" s="241"/>
    </row>
    <row r="741" spans="1:26" ht="13.5" customHeight="1" x14ac:dyDescent="0.3">
      <c r="A741" s="241"/>
      <c r="B741" s="241"/>
      <c r="C741" s="241"/>
      <c r="D741" s="241"/>
      <c r="E741" s="241"/>
      <c r="F741" s="241"/>
      <c r="G741" s="241"/>
      <c r="H741" s="241"/>
      <c r="I741" s="241"/>
      <c r="J741" s="241"/>
      <c r="K741" s="241"/>
      <c r="L741" s="241"/>
      <c r="M741" s="241"/>
      <c r="N741" s="241"/>
      <c r="O741" s="241"/>
      <c r="P741" s="241"/>
      <c r="Q741" s="241"/>
      <c r="R741" s="241"/>
      <c r="S741" s="241"/>
      <c r="T741" s="241"/>
      <c r="U741" s="241"/>
      <c r="V741" s="241"/>
      <c r="W741" s="241"/>
      <c r="X741" s="241"/>
      <c r="Y741" s="241"/>
      <c r="Z741" s="241"/>
    </row>
    <row r="742" spans="1:26" ht="13.5" customHeight="1" x14ac:dyDescent="0.3">
      <c r="A742" s="241"/>
      <c r="B742" s="241"/>
      <c r="C742" s="241"/>
      <c r="D742" s="241"/>
      <c r="E742" s="241"/>
      <c r="F742" s="241"/>
      <c r="G742" s="241"/>
      <c r="H742" s="241"/>
      <c r="I742" s="241"/>
      <c r="J742" s="241"/>
      <c r="K742" s="241"/>
      <c r="L742" s="241"/>
      <c r="M742" s="241"/>
      <c r="N742" s="241"/>
      <c r="O742" s="241"/>
      <c r="P742" s="241"/>
      <c r="Q742" s="241"/>
      <c r="R742" s="241"/>
      <c r="S742" s="241"/>
      <c r="T742" s="241"/>
      <c r="U742" s="241"/>
      <c r="V742" s="241"/>
      <c r="W742" s="241"/>
      <c r="X742" s="241"/>
      <c r="Y742" s="241"/>
      <c r="Z742" s="241"/>
    </row>
    <row r="743" spans="1:26" ht="13.5" customHeight="1" x14ac:dyDescent="0.3">
      <c r="A743" s="241"/>
      <c r="B743" s="241"/>
      <c r="C743" s="241"/>
      <c r="D743" s="241"/>
      <c r="E743" s="241"/>
      <c r="F743" s="241"/>
      <c r="G743" s="241"/>
      <c r="H743" s="241"/>
      <c r="I743" s="241"/>
      <c r="J743" s="241"/>
      <c r="K743" s="241"/>
      <c r="L743" s="241"/>
      <c r="M743" s="241"/>
      <c r="N743" s="241"/>
      <c r="O743" s="241"/>
      <c r="P743" s="241"/>
      <c r="Q743" s="241"/>
      <c r="R743" s="241"/>
      <c r="S743" s="241"/>
      <c r="T743" s="241"/>
      <c r="U743" s="241"/>
      <c r="V743" s="241"/>
      <c r="W743" s="241"/>
      <c r="X743" s="241"/>
      <c r="Y743" s="241"/>
      <c r="Z743" s="241"/>
    </row>
    <row r="744" spans="1:26" ht="13.5" customHeight="1" x14ac:dyDescent="0.3">
      <c r="A744" s="241"/>
      <c r="B744" s="241"/>
      <c r="C744" s="241"/>
      <c r="D744" s="241"/>
      <c r="E744" s="241"/>
      <c r="F744" s="241"/>
      <c r="G744" s="241"/>
      <c r="H744" s="241"/>
      <c r="I744" s="241"/>
      <c r="J744" s="241"/>
      <c r="K744" s="241"/>
      <c r="L744" s="241"/>
      <c r="M744" s="241"/>
      <c r="N744" s="241"/>
      <c r="O744" s="241"/>
      <c r="P744" s="241"/>
      <c r="Q744" s="241"/>
      <c r="R744" s="241"/>
      <c r="S744" s="241"/>
      <c r="T744" s="241"/>
      <c r="U744" s="241"/>
      <c r="V744" s="241"/>
      <c r="W744" s="241"/>
      <c r="X744" s="241"/>
      <c r="Y744" s="241"/>
      <c r="Z744" s="241"/>
    </row>
    <row r="745" spans="1:26" ht="13.5" customHeight="1" x14ac:dyDescent="0.3">
      <c r="A745" s="241"/>
      <c r="B745" s="241"/>
      <c r="C745" s="241"/>
      <c r="D745" s="241"/>
      <c r="E745" s="241"/>
      <c r="F745" s="241"/>
      <c r="G745" s="241"/>
      <c r="H745" s="241"/>
      <c r="I745" s="241"/>
      <c r="J745" s="241"/>
      <c r="K745" s="241"/>
      <c r="L745" s="241"/>
      <c r="M745" s="241"/>
      <c r="N745" s="241"/>
      <c r="O745" s="241"/>
      <c r="P745" s="241"/>
      <c r="Q745" s="241"/>
      <c r="R745" s="241"/>
      <c r="S745" s="241"/>
      <c r="T745" s="241"/>
      <c r="U745" s="241"/>
      <c r="V745" s="241"/>
      <c r="W745" s="241"/>
      <c r="X745" s="241"/>
      <c r="Y745" s="241"/>
      <c r="Z745" s="241"/>
    </row>
    <row r="746" spans="1:26" ht="13.5" customHeight="1" x14ac:dyDescent="0.3">
      <c r="A746" s="241"/>
      <c r="B746" s="241"/>
      <c r="C746" s="241"/>
      <c r="D746" s="241"/>
      <c r="E746" s="241"/>
      <c r="F746" s="241"/>
      <c r="G746" s="241"/>
      <c r="H746" s="241"/>
      <c r="I746" s="241"/>
      <c r="J746" s="241"/>
      <c r="K746" s="241"/>
      <c r="L746" s="241"/>
      <c r="M746" s="241"/>
      <c r="N746" s="241"/>
      <c r="O746" s="241"/>
      <c r="P746" s="241"/>
      <c r="Q746" s="241"/>
      <c r="R746" s="241"/>
      <c r="S746" s="241"/>
      <c r="T746" s="241"/>
      <c r="U746" s="241"/>
      <c r="V746" s="241"/>
      <c r="W746" s="241"/>
      <c r="X746" s="241"/>
      <c r="Y746" s="241"/>
      <c r="Z746" s="241"/>
    </row>
    <row r="747" spans="1:26" ht="13.5" customHeight="1" x14ac:dyDescent="0.3">
      <c r="A747" s="241"/>
      <c r="B747" s="241"/>
      <c r="C747" s="241"/>
      <c r="D747" s="241"/>
      <c r="E747" s="241"/>
      <c r="F747" s="241"/>
      <c r="G747" s="241"/>
      <c r="H747" s="241"/>
      <c r="I747" s="241"/>
      <c r="J747" s="241"/>
      <c r="K747" s="241"/>
      <c r="L747" s="241"/>
      <c r="M747" s="241"/>
      <c r="N747" s="241"/>
      <c r="O747" s="241"/>
      <c r="P747" s="241"/>
      <c r="Q747" s="241"/>
      <c r="R747" s="241"/>
      <c r="S747" s="241"/>
      <c r="T747" s="241"/>
      <c r="U747" s="241"/>
      <c r="V747" s="241"/>
      <c r="W747" s="241"/>
      <c r="X747" s="241"/>
      <c r="Y747" s="241"/>
      <c r="Z747" s="241"/>
    </row>
    <row r="748" spans="1:26" ht="13.5" customHeight="1" x14ac:dyDescent="0.3">
      <c r="A748" s="241"/>
      <c r="B748" s="241"/>
      <c r="C748" s="241"/>
      <c r="D748" s="241"/>
      <c r="E748" s="241"/>
      <c r="F748" s="241"/>
      <c r="G748" s="241"/>
      <c r="H748" s="241"/>
      <c r="I748" s="241"/>
      <c r="J748" s="241"/>
      <c r="K748" s="241"/>
      <c r="L748" s="241"/>
      <c r="M748" s="241"/>
      <c r="N748" s="241"/>
      <c r="O748" s="241"/>
      <c r="P748" s="241"/>
      <c r="Q748" s="241"/>
      <c r="R748" s="241"/>
      <c r="S748" s="241"/>
      <c r="T748" s="241"/>
      <c r="U748" s="241"/>
      <c r="V748" s="241"/>
      <c r="W748" s="241"/>
      <c r="X748" s="241"/>
      <c r="Y748" s="241"/>
      <c r="Z748" s="241"/>
    </row>
    <row r="749" spans="1:26" ht="13.5" customHeight="1" x14ac:dyDescent="0.3">
      <c r="A749" s="241"/>
      <c r="B749" s="241"/>
      <c r="C749" s="241"/>
      <c r="D749" s="241"/>
      <c r="E749" s="241"/>
      <c r="F749" s="241"/>
      <c r="G749" s="241"/>
      <c r="H749" s="241"/>
      <c r="I749" s="241"/>
      <c r="J749" s="241"/>
      <c r="K749" s="241"/>
      <c r="L749" s="241"/>
      <c r="M749" s="241"/>
      <c r="N749" s="241"/>
      <c r="O749" s="241"/>
      <c r="P749" s="241"/>
      <c r="Q749" s="241"/>
      <c r="R749" s="241"/>
      <c r="S749" s="241"/>
      <c r="T749" s="241"/>
      <c r="U749" s="241"/>
      <c r="V749" s="241"/>
      <c r="W749" s="241"/>
      <c r="X749" s="241"/>
      <c r="Y749" s="241"/>
      <c r="Z749" s="241"/>
    </row>
    <row r="750" spans="1:26" ht="13.5" customHeight="1" x14ac:dyDescent="0.3">
      <c r="A750" s="241"/>
      <c r="B750" s="241"/>
      <c r="C750" s="241"/>
      <c r="D750" s="241"/>
      <c r="E750" s="241"/>
      <c r="F750" s="241"/>
      <c r="G750" s="241"/>
      <c r="H750" s="241"/>
      <c r="I750" s="241"/>
      <c r="J750" s="241"/>
      <c r="K750" s="241"/>
      <c r="L750" s="241"/>
      <c r="M750" s="241"/>
      <c r="N750" s="241"/>
      <c r="O750" s="241"/>
      <c r="P750" s="241"/>
      <c r="Q750" s="241"/>
      <c r="R750" s="241"/>
      <c r="S750" s="241"/>
      <c r="T750" s="241"/>
      <c r="U750" s="241"/>
      <c r="V750" s="241"/>
      <c r="W750" s="241"/>
      <c r="X750" s="241"/>
      <c r="Y750" s="241"/>
      <c r="Z750" s="241"/>
    </row>
    <row r="751" spans="1:26" ht="13.5" customHeight="1" x14ac:dyDescent="0.3">
      <c r="A751" s="241"/>
      <c r="B751" s="241"/>
      <c r="C751" s="241"/>
      <c r="D751" s="241"/>
      <c r="E751" s="241"/>
      <c r="F751" s="241"/>
      <c r="G751" s="241"/>
      <c r="H751" s="241"/>
      <c r="I751" s="241"/>
      <c r="J751" s="241"/>
      <c r="K751" s="241"/>
      <c r="L751" s="241"/>
      <c r="M751" s="241"/>
      <c r="N751" s="241"/>
      <c r="O751" s="241"/>
      <c r="P751" s="241"/>
      <c r="Q751" s="241"/>
      <c r="R751" s="241"/>
      <c r="S751" s="241"/>
      <c r="T751" s="241"/>
      <c r="U751" s="241"/>
      <c r="V751" s="241"/>
      <c r="W751" s="241"/>
      <c r="X751" s="241"/>
      <c r="Y751" s="241"/>
      <c r="Z751" s="241"/>
    </row>
    <row r="752" spans="1:26" ht="13.5" customHeight="1" x14ac:dyDescent="0.3">
      <c r="A752" s="241"/>
      <c r="B752" s="241"/>
      <c r="C752" s="241"/>
      <c r="D752" s="241"/>
      <c r="E752" s="241"/>
      <c r="F752" s="241"/>
      <c r="G752" s="241"/>
      <c r="H752" s="241"/>
      <c r="I752" s="241"/>
      <c r="J752" s="241"/>
      <c r="K752" s="241"/>
      <c r="L752" s="241"/>
      <c r="M752" s="241"/>
      <c r="N752" s="241"/>
      <c r="O752" s="241"/>
      <c r="P752" s="241"/>
      <c r="Q752" s="241"/>
      <c r="R752" s="241"/>
      <c r="S752" s="241"/>
      <c r="T752" s="241"/>
      <c r="U752" s="241"/>
      <c r="V752" s="241"/>
      <c r="W752" s="241"/>
      <c r="X752" s="241"/>
      <c r="Y752" s="241"/>
      <c r="Z752" s="241"/>
    </row>
    <row r="753" spans="1:26" ht="13.5" customHeight="1" x14ac:dyDescent="0.3">
      <c r="A753" s="241"/>
      <c r="B753" s="241"/>
      <c r="C753" s="241"/>
      <c r="D753" s="241"/>
      <c r="E753" s="241"/>
      <c r="F753" s="241"/>
      <c r="G753" s="241"/>
      <c r="H753" s="241"/>
      <c r="I753" s="241"/>
      <c r="J753" s="241"/>
      <c r="K753" s="241"/>
      <c r="L753" s="241"/>
      <c r="M753" s="241"/>
      <c r="N753" s="241"/>
      <c r="O753" s="241"/>
      <c r="P753" s="241"/>
      <c r="Q753" s="241"/>
      <c r="R753" s="241"/>
      <c r="S753" s="241"/>
      <c r="T753" s="241"/>
      <c r="U753" s="241"/>
      <c r="V753" s="241"/>
      <c r="W753" s="241"/>
      <c r="X753" s="241"/>
      <c r="Y753" s="241"/>
      <c r="Z753" s="241"/>
    </row>
    <row r="754" spans="1:26" ht="13.5" customHeight="1" x14ac:dyDescent="0.3">
      <c r="A754" s="241"/>
      <c r="B754" s="241"/>
      <c r="C754" s="241"/>
      <c r="D754" s="241"/>
      <c r="E754" s="241"/>
      <c r="F754" s="241"/>
      <c r="G754" s="241"/>
      <c r="H754" s="241"/>
      <c r="I754" s="241"/>
      <c r="J754" s="241"/>
      <c r="K754" s="241"/>
      <c r="L754" s="241"/>
      <c r="M754" s="241"/>
      <c r="N754" s="241"/>
      <c r="O754" s="241"/>
      <c r="P754" s="241"/>
      <c r="Q754" s="241"/>
      <c r="R754" s="241"/>
      <c r="S754" s="241"/>
      <c r="T754" s="241"/>
      <c r="U754" s="241"/>
      <c r="V754" s="241"/>
      <c r="W754" s="241"/>
      <c r="X754" s="241"/>
      <c r="Y754" s="241"/>
      <c r="Z754" s="241"/>
    </row>
    <row r="755" spans="1:26" ht="13.5" customHeight="1" x14ac:dyDescent="0.3">
      <c r="A755" s="241"/>
      <c r="B755" s="241"/>
      <c r="C755" s="241"/>
      <c r="D755" s="241"/>
      <c r="E755" s="241"/>
      <c r="F755" s="241"/>
      <c r="G755" s="241"/>
      <c r="H755" s="241"/>
      <c r="I755" s="241"/>
      <c r="J755" s="241"/>
      <c r="K755" s="241"/>
      <c r="L755" s="241"/>
      <c r="M755" s="241"/>
      <c r="N755" s="241"/>
      <c r="O755" s="241"/>
      <c r="P755" s="241"/>
      <c r="Q755" s="241"/>
      <c r="R755" s="241"/>
      <c r="S755" s="241"/>
      <c r="T755" s="241"/>
      <c r="U755" s="241"/>
      <c r="V755" s="241"/>
      <c r="W755" s="241"/>
      <c r="X755" s="241"/>
      <c r="Y755" s="241"/>
      <c r="Z755" s="241"/>
    </row>
    <row r="756" spans="1:26" ht="13.5" customHeight="1" x14ac:dyDescent="0.3">
      <c r="A756" s="241"/>
      <c r="B756" s="241"/>
      <c r="C756" s="241"/>
      <c r="D756" s="241"/>
      <c r="E756" s="241"/>
      <c r="F756" s="241"/>
      <c r="G756" s="241"/>
      <c r="H756" s="241"/>
      <c r="I756" s="241"/>
      <c r="J756" s="241"/>
      <c r="K756" s="241"/>
      <c r="L756" s="241"/>
      <c r="M756" s="241"/>
      <c r="N756" s="241"/>
      <c r="O756" s="241"/>
      <c r="P756" s="241"/>
      <c r="Q756" s="241"/>
      <c r="R756" s="241"/>
      <c r="S756" s="241"/>
      <c r="T756" s="241"/>
      <c r="U756" s="241"/>
      <c r="V756" s="241"/>
      <c r="W756" s="241"/>
      <c r="X756" s="241"/>
      <c r="Y756" s="241"/>
      <c r="Z756" s="241"/>
    </row>
    <row r="757" spans="1:26" ht="13.5" customHeight="1" x14ac:dyDescent="0.3">
      <c r="A757" s="241"/>
      <c r="B757" s="241"/>
      <c r="C757" s="241"/>
      <c r="D757" s="241"/>
      <c r="E757" s="241"/>
      <c r="F757" s="241"/>
      <c r="G757" s="241"/>
      <c r="H757" s="241"/>
      <c r="I757" s="241"/>
      <c r="J757" s="241"/>
      <c r="K757" s="241"/>
      <c r="L757" s="241"/>
      <c r="M757" s="241"/>
      <c r="N757" s="241"/>
      <c r="O757" s="241"/>
      <c r="P757" s="241"/>
      <c r="Q757" s="241"/>
      <c r="R757" s="241"/>
      <c r="S757" s="241"/>
      <c r="T757" s="241"/>
      <c r="U757" s="241"/>
      <c r="V757" s="241"/>
      <c r="W757" s="241"/>
      <c r="X757" s="241"/>
      <c r="Y757" s="241"/>
      <c r="Z757" s="241"/>
    </row>
    <row r="758" spans="1:26" ht="13.5" customHeight="1" x14ac:dyDescent="0.3">
      <c r="A758" s="241"/>
      <c r="B758" s="241"/>
      <c r="C758" s="241"/>
      <c r="D758" s="241"/>
      <c r="E758" s="241"/>
      <c r="F758" s="241"/>
      <c r="G758" s="241"/>
      <c r="H758" s="241"/>
      <c r="I758" s="241"/>
      <c r="J758" s="241"/>
      <c r="K758" s="241"/>
      <c r="L758" s="241"/>
      <c r="M758" s="241"/>
      <c r="N758" s="241"/>
      <c r="O758" s="241"/>
      <c r="P758" s="241"/>
      <c r="Q758" s="241"/>
      <c r="R758" s="241"/>
      <c r="S758" s="241"/>
      <c r="T758" s="241"/>
      <c r="U758" s="241"/>
      <c r="V758" s="241"/>
      <c r="W758" s="241"/>
      <c r="X758" s="241"/>
      <c r="Y758" s="241"/>
      <c r="Z758" s="241"/>
    </row>
    <row r="759" spans="1:26" ht="13.5" customHeight="1" x14ac:dyDescent="0.3">
      <c r="A759" s="241"/>
      <c r="B759" s="241"/>
      <c r="C759" s="241"/>
      <c r="D759" s="241"/>
      <c r="E759" s="241"/>
      <c r="F759" s="241"/>
      <c r="G759" s="241"/>
      <c r="H759" s="241"/>
      <c r="I759" s="241"/>
      <c r="J759" s="241"/>
      <c r="K759" s="241"/>
      <c r="L759" s="241"/>
      <c r="M759" s="241"/>
      <c r="N759" s="241"/>
      <c r="O759" s="241"/>
      <c r="P759" s="241"/>
      <c r="Q759" s="241"/>
      <c r="R759" s="241"/>
      <c r="S759" s="241"/>
      <c r="T759" s="241"/>
      <c r="U759" s="241"/>
      <c r="V759" s="241"/>
      <c r="W759" s="241"/>
      <c r="X759" s="241"/>
      <c r="Y759" s="241"/>
      <c r="Z759" s="241"/>
    </row>
    <row r="760" spans="1:26" ht="13.5" customHeight="1" x14ac:dyDescent="0.3">
      <c r="A760" s="241"/>
      <c r="B760" s="241"/>
      <c r="C760" s="241"/>
      <c r="D760" s="241"/>
      <c r="E760" s="241"/>
      <c r="F760" s="241"/>
      <c r="G760" s="241"/>
      <c r="H760" s="241"/>
      <c r="I760" s="241"/>
      <c r="J760" s="241"/>
      <c r="K760" s="241"/>
      <c r="L760" s="241"/>
      <c r="M760" s="241"/>
      <c r="N760" s="241"/>
      <c r="O760" s="241"/>
      <c r="P760" s="241"/>
      <c r="Q760" s="241"/>
      <c r="R760" s="241"/>
      <c r="S760" s="241"/>
      <c r="T760" s="241"/>
      <c r="U760" s="241"/>
      <c r="V760" s="241"/>
      <c r="W760" s="241"/>
      <c r="X760" s="241"/>
      <c r="Y760" s="241"/>
      <c r="Z760" s="241"/>
    </row>
    <row r="761" spans="1:26" ht="13.5" customHeight="1" x14ac:dyDescent="0.3">
      <c r="A761" s="241"/>
      <c r="B761" s="241"/>
      <c r="C761" s="241"/>
      <c r="D761" s="241"/>
      <c r="E761" s="241"/>
      <c r="F761" s="241"/>
      <c r="G761" s="241"/>
      <c r="H761" s="241"/>
      <c r="I761" s="241"/>
      <c r="J761" s="241"/>
      <c r="K761" s="241"/>
      <c r="L761" s="241"/>
      <c r="M761" s="241"/>
      <c r="N761" s="241"/>
      <c r="O761" s="241"/>
      <c r="P761" s="241"/>
      <c r="Q761" s="241"/>
      <c r="R761" s="241"/>
      <c r="S761" s="241"/>
      <c r="T761" s="241"/>
      <c r="U761" s="241"/>
      <c r="V761" s="241"/>
      <c r="W761" s="241"/>
      <c r="X761" s="241"/>
      <c r="Y761" s="241"/>
      <c r="Z761" s="241"/>
    </row>
    <row r="762" spans="1:26" ht="13.5" customHeight="1" x14ac:dyDescent="0.3">
      <c r="A762" s="241"/>
      <c r="B762" s="241"/>
      <c r="C762" s="241"/>
      <c r="D762" s="241"/>
      <c r="E762" s="241"/>
      <c r="F762" s="241"/>
      <c r="G762" s="241"/>
      <c r="H762" s="241"/>
      <c r="I762" s="241"/>
      <c r="J762" s="241"/>
      <c r="K762" s="241"/>
      <c r="L762" s="241"/>
      <c r="M762" s="241"/>
      <c r="N762" s="241"/>
      <c r="O762" s="241"/>
      <c r="P762" s="241"/>
      <c r="Q762" s="241"/>
      <c r="R762" s="241"/>
      <c r="S762" s="241"/>
      <c r="T762" s="241"/>
      <c r="U762" s="241"/>
      <c r="V762" s="241"/>
      <c r="W762" s="241"/>
      <c r="X762" s="241"/>
      <c r="Y762" s="241"/>
      <c r="Z762" s="241"/>
    </row>
    <row r="763" spans="1:26" ht="13.5" customHeight="1" x14ac:dyDescent="0.3">
      <c r="A763" s="241"/>
      <c r="B763" s="241"/>
      <c r="C763" s="241"/>
      <c r="D763" s="241"/>
      <c r="E763" s="241"/>
      <c r="F763" s="241"/>
      <c r="G763" s="241"/>
      <c r="H763" s="241"/>
      <c r="I763" s="241"/>
      <c r="J763" s="241"/>
      <c r="K763" s="241"/>
      <c r="L763" s="241"/>
      <c r="M763" s="241"/>
      <c r="N763" s="241"/>
      <c r="O763" s="241"/>
      <c r="P763" s="241"/>
      <c r="Q763" s="241"/>
      <c r="R763" s="241"/>
      <c r="S763" s="241"/>
      <c r="T763" s="241"/>
      <c r="U763" s="241"/>
      <c r="V763" s="241"/>
      <c r="W763" s="241"/>
      <c r="X763" s="241"/>
      <c r="Y763" s="241"/>
      <c r="Z763" s="241"/>
    </row>
    <row r="764" spans="1:26" ht="13.5" customHeight="1" x14ac:dyDescent="0.3">
      <c r="A764" s="241"/>
      <c r="B764" s="241"/>
      <c r="C764" s="241"/>
      <c r="D764" s="241"/>
      <c r="E764" s="241"/>
      <c r="F764" s="241"/>
      <c r="G764" s="241"/>
      <c r="H764" s="241"/>
      <c r="I764" s="241"/>
      <c r="J764" s="241"/>
      <c r="K764" s="241"/>
      <c r="L764" s="241"/>
      <c r="M764" s="241"/>
      <c r="N764" s="241"/>
      <c r="O764" s="241"/>
      <c r="P764" s="241"/>
      <c r="Q764" s="241"/>
      <c r="R764" s="241"/>
      <c r="S764" s="241"/>
      <c r="T764" s="241"/>
      <c r="U764" s="241"/>
      <c r="V764" s="241"/>
      <c r="W764" s="241"/>
      <c r="X764" s="241"/>
      <c r="Y764" s="241"/>
      <c r="Z764" s="241"/>
    </row>
    <row r="765" spans="1:26" ht="13.5" customHeight="1" x14ac:dyDescent="0.3">
      <c r="A765" s="241"/>
      <c r="B765" s="241"/>
      <c r="C765" s="241"/>
      <c r="D765" s="241"/>
      <c r="E765" s="241"/>
      <c r="F765" s="241"/>
      <c r="G765" s="241"/>
      <c r="H765" s="241"/>
      <c r="I765" s="241"/>
      <c r="J765" s="241"/>
      <c r="K765" s="241"/>
      <c r="L765" s="241"/>
      <c r="M765" s="241"/>
      <c r="N765" s="241"/>
      <c r="O765" s="241"/>
      <c r="P765" s="241"/>
      <c r="Q765" s="241"/>
      <c r="R765" s="241"/>
      <c r="S765" s="241"/>
      <c r="T765" s="241"/>
      <c r="U765" s="241"/>
      <c r="V765" s="241"/>
      <c r="W765" s="241"/>
      <c r="X765" s="241"/>
      <c r="Y765" s="241"/>
      <c r="Z765" s="241"/>
    </row>
    <row r="766" spans="1:26" ht="13.5" customHeight="1" x14ac:dyDescent="0.3">
      <c r="A766" s="241"/>
      <c r="B766" s="241"/>
      <c r="C766" s="241"/>
      <c r="D766" s="241"/>
      <c r="E766" s="241"/>
      <c r="F766" s="241"/>
      <c r="G766" s="241"/>
      <c r="H766" s="241"/>
      <c r="I766" s="241"/>
      <c r="J766" s="241"/>
      <c r="K766" s="241"/>
      <c r="L766" s="241"/>
      <c r="M766" s="241"/>
      <c r="N766" s="241"/>
      <c r="O766" s="241"/>
      <c r="P766" s="241"/>
      <c r="Q766" s="241"/>
      <c r="R766" s="241"/>
      <c r="S766" s="241"/>
      <c r="T766" s="241"/>
      <c r="U766" s="241"/>
      <c r="V766" s="241"/>
      <c r="W766" s="241"/>
      <c r="X766" s="241"/>
      <c r="Y766" s="241"/>
      <c r="Z766" s="241"/>
    </row>
    <row r="767" spans="1:26" ht="13.5" customHeight="1" x14ac:dyDescent="0.3">
      <c r="A767" s="241"/>
      <c r="B767" s="241"/>
      <c r="C767" s="241"/>
      <c r="D767" s="241"/>
      <c r="E767" s="241"/>
      <c r="F767" s="241"/>
      <c r="G767" s="241"/>
      <c r="H767" s="241"/>
      <c r="I767" s="241"/>
      <c r="J767" s="241"/>
      <c r="K767" s="241"/>
      <c r="L767" s="241"/>
      <c r="M767" s="241"/>
      <c r="N767" s="241"/>
      <c r="O767" s="241"/>
      <c r="P767" s="241"/>
      <c r="Q767" s="241"/>
      <c r="R767" s="241"/>
      <c r="S767" s="241"/>
      <c r="T767" s="241"/>
      <c r="U767" s="241"/>
      <c r="V767" s="241"/>
      <c r="W767" s="241"/>
      <c r="X767" s="241"/>
      <c r="Y767" s="241"/>
      <c r="Z767" s="241"/>
    </row>
    <row r="768" spans="1:26" ht="13.5" customHeight="1" x14ac:dyDescent="0.3">
      <c r="A768" s="241"/>
      <c r="B768" s="241"/>
      <c r="C768" s="241"/>
      <c r="D768" s="241"/>
      <c r="E768" s="241"/>
      <c r="F768" s="241"/>
      <c r="G768" s="241"/>
      <c r="H768" s="241"/>
      <c r="I768" s="241"/>
      <c r="J768" s="241"/>
      <c r="K768" s="241"/>
      <c r="L768" s="241"/>
      <c r="M768" s="241"/>
      <c r="N768" s="241"/>
      <c r="O768" s="241"/>
      <c r="P768" s="241"/>
      <c r="Q768" s="241"/>
      <c r="R768" s="241"/>
      <c r="S768" s="241"/>
      <c r="T768" s="241"/>
      <c r="U768" s="241"/>
      <c r="V768" s="241"/>
      <c r="W768" s="241"/>
      <c r="X768" s="241"/>
      <c r="Y768" s="241"/>
      <c r="Z768" s="241"/>
    </row>
    <row r="769" spans="1:26" ht="13.5" customHeight="1" x14ac:dyDescent="0.3">
      <c r="A769" s="241"/>
      <c r="B769" s="241"/>
      <c r="C769" s="241"/>
      <c r="D769" s="241"/>
      <c r="E769" s="241"/>
      <c r="F769" s="241"/>
      <c r="G769" s="241"/>
      <c r="H769" s="241"/>
      <c r="I769" s="241"/>
      <c r="J769" s="241"/>
      <c r="K769" s="241"/>
      <c r="L769" s="241"/>
      <c r="M769" s="241"/>
      <c r="N769" s="241"/>
      <c r="O769" s="241"/>
      <c r="P769" s="241"/>
      <c r="Q769" s="241"/>
      <c r="R769" s="241"/>
      <c r="S769" s="241"/>
      <c r="T769" s="241"/>
      <c r="U769" s="241"/>
      <c r="V769" s="241"/>
      <c r="W769" s="241"/>
      <c r="X769" s="241"/>
      <c r="Y769" s="241"/>
      <c r="Z769" s="241"/>
    </row>
    <row r="770" spans="1:26" ht="13.5" customHeight="1" x14ac:dyDescent="0.3">
      <c r="A770" s="241"/>
      <c r="B770" s="241"/>
      <c r="C770" s="241"/>
      <c r="D770" s="241"/>
      <c r="E770" s="241"/>
      <c r="F770" s="241"/>
      <c r="G770" s="241"/>
      <c r="H770" s="241"/>
      <c r="I770" s="241"/>
      <c r="J770" s="241"/>
      <c r="K770" s="241"/>
      <c r="L770" s="241"/>
      <c r="M770" s="241"/>
      <c r="N770" s="241"/>
      <c r="O770" s="241"/>
      <c r="P770" s="241"/>
      <c r="Q770" s="241"/>
      <c r="R770" s="241"/>
      <c r="S770" s="241"/>
      <c r="T770" s="241"/>
      <c r="U770" s="241"/>
      <c r="V770" s="241"/>
      <c r="W770" s="241"/>
      <c r="X770" s="241"/>
      <c r="Y770" s="241"/>
      <c r="Z770" s="241"/>
    </row>
    <row r="771" spans="1:26" ht="13.5" customHeight="1" x14ac:dyDescent="0.3">
      <c r="A771" s="241"/>
      <c r="B771" s="241"/>
      <c r="C771" s="241"/>
      <c r="D771" s="241"/>
      <c r="E771" s="241"/>
      <c r="F771" s="241"/>
      <c r="G771" s="241"/>
      <c r="H771" s="241"/>
      <c r="I771" s="241"/>
      <c r="J771" s="241"/>
      <c r="K771" s="241"/>
      <c r="L771" s="241"/>
      <c r="M771" s="241"/>
      <c r="N771" s="241"/>
      <c r="O771" s="241"/>
      <c r="P771" s="241"/>
      <c r="Q771" s="241"/>
      <c r="R771" s="241"/>
      <c r="S771" s="241"/>
      <c r="T771" s="241"/>
      <c r="U771" s="241"/>
      <c r="V771" s="241"/>
      <c r="W771" s="241"/>
      <c r="X771" s="241"/>
      <c r="Y771" s="241"/>
      <c r="Z771" s="241"/>
    </row>
    <row r="772" spans="1:26" ht="13.5" customHeight="1" x14ac:dyDescent="0.3">
      <c r="A772" s="241"/>
      <c r="B772" s="241"/>
      <c r="C772" s="241"/>
      <c r="D772" s="241"/>
      <c r="E772" s="241"/>
      <c r="F772" s="241"/>
      <c r="G772" s="241"/>
      <c r="H772" s="241"/>
      <c r="I772" s="241"/>
      <c r="J772" s="241"/>
      <c r="K772" s="241"/>
      <c r="L772" s="241"/>
      <c r="M772" s="241"/>
      <c r="N772" s="241"/>
      <c r="O772" s="241"/>
      <c r="P772" s="241"/>
      <c r="Q772" s="241"/>
      <c r="R772" s="241"/>
      <c r="S772" s="241"/>
      <c r="T772" s="241"/>
      <c r="U772" s="241"/>
      <c r="V772" s="241"/>
      <c r="W772" s="241"/>
      <c r="X772" s="241"/>
      <c r="Y772" s="241"/>
      <c r="Z772" s="241"/>
    </row>
    <row r="773" spans="1:26" ht="13.5" customHeight="1" x14ac:dyDescent="0.3">
      <c r="A773" s="241"/>
      <c r="B773" s="241"/>
      <c r="C773" s="241"/>
      <c r="D773" s="241"/>
      <c r="E773" s="241"/>
      <c r="F773" s="241"/>
      <c r="G773" s="241"/>
      <c r="H773" s="241"/>
      <c r="I773" s="241"/>
      <c r="J773" s="241"/>
      <c r="K773" s="241"/>
      <c r="L773" s="241"/>
      <c r="M773" s="241"/>
      <c r="N773" s="241"/>
      <c r="O773" s="241"/>
      <c r="P773" s="241"/>
      <c r="Q773" s="241"/>
      <c r="R773" s="241"/>
      <c r="S773" s="241"/>
      <c r="T773" s="241"/>
      <c r="U773" s="241"/>
      <c r="V773" s="241"/>
      <c r="W773" s="241"/>
      <c r="X773" s="241"/>
      <c r="Y773" s="241"/>
      <c r="Z773" s="241"/>
    </row>
    <row r="774" spans="1:26" ht="13.5" customHeight="1" x14ac:dyDescent="0.3">
      <c r="A774" s="241"/>
      <c r="B774" s="241"/>
      <c r="C774" s="241"/>
      <c r="D774" s="241"/>
      <c r="E774" s="241"/>
      <c r="F774" s="241"/>
      <c r="G774" s="241"/>
      <c r="H774" s="241"/>
      <c r="I774" s="241"/>
      <c r="J774" s="241"/>
      <c r="K774" s="241"/>
      <c r="L774" s="241"/>
      <c r="M774" s="241"/>
      <c r="N774" s="241"/>
      <c r="O774" s="241"/>
      <c r="P774" s="241"/>
      <c r="Q774" s="241"/>
      <c r="R774" s="241"/>
      <c r="S774" s="241"/>
      <c r="T774" s="241"/>
      <c r="U774" s="241"/>
      <c r="V774" s="241"/>
      <c r="W774" s="241"/>
      <c r="X774" s="241"/>
      <c r="Y774" s="241"/>
      <c r="Z774" s="241"/>
    </row>
    <row r="775" spans="1:26" ht="13.5" customHeight="1" x14ac:dyDescent="0.3">
      <c r="A775" s="241"/>
      <c r="B775" s="241"/>
      <c r="C775" s="241"/>
      <c r="D775" s="241"/>
      <c r="E775" s="241"/>
      <c r="F775" s="241"/>
      <c r="G775" s="241"/>
      <c r="H775" s="241"/>
      <c r="I775" s="241"/>
      <c r="J775" s="241"/>
      <c r="K775" s="241"/>
      <c r="L775" s="241"/>
      <c r="M775" s="241"/>
      <c r="N775" s="241"/>
      <c r="O775" s="241"/>
      <c r="P775" s="241"/>
      <c r="Q775" s="241"/>
      <c r="R775" s="241"/>
      <c r="S775" s="241"/>
      <c r="T775" s="241"/>
      <c r="U775" s="241"/>
      <c r="V775" s="241"/>
      <c r="W775" s="241"/>
      <c r="X775" s="241"/>
      <c r="Y775" s="241"/>
      <c r="Z775" s="241"/>
    </row>
    <row r="776" spans="1:26" ht="13.5" customHeight="1" x14ac:dyDescent="0.3">
      <c r="A776" s="241"/>
      <c r="B776" s="241"/>
      <c r="C776" s="241"/>
      <c r="D776" s="241"/>
      <c r="E776" s="241"/>
      <c r="F776" s="241"/>
      <c r="G776" s="241"/>
      <c r="H776" s="241"/>
      <c r="I776" s="241"/>
      <c r="J776" s="241"/>
      <c r="K776" s="241"/>
      <c r="L776" s="241"/>
      <c r="M776" s="241"/>
      <c r="N776" s="241"/>
      <c r="O776" s="241"/>
      <c r="P776" s="241"/>
      <c r="Q776" s="241"/>
      <c r="R776" s="241"/>
      <c r="S776" s="241"/>
      <c r="T776" s="241"/>
      <c r="U776" s="241"/>
      <c r="V776" s="241"/>
      <c r="W776" s="241"/>
      <c r="X776" s="241"/>
      <c r="Y776" s="241"/>
      <c r="Z776" s="241"/>
    </row>
    <row r="777" spans="1:26" ht="13.5" customHeight="1" x14ac:dyDescent="0.3">
      <c r="A777" s="241"/>
      <c r="B777" s="241"/>
      <c r="C777" s="241"/>
      <c r="D777" s="241"/>
      <c r="E777" s="241"/>
      <c r="F777" s="241"/>
      <c r="G777" s="241"/>
      <c r="H777" s="241"/>
      <c r="I777" s="241"/>
      <c r="J777" s="241"/>
      <c r="K777" s="241"/>
      <c r="L777" s="241"/>
      <c r="M777" s="241"/>
      <c r="N777" s="241"/>
      <c r="O777" s="241"/>
      <c r="P777" s="241"/>
      <c r="Q777" s="241"/>
      <c r="R777" s="241"/>
      <c r="S777" s="241"/>
      <c r="T777" s="241"/>
      <c r="U777" s="241"/>
      <c r="V777" s="241"/>
      <c r="W777" s="241"/>
      <c r="X777" s="241"/>
      <c r="Y777" s="241"/>
      <c r="Z777" s="241"/>
    </row>
    <row r="778" spans="1:26" ht="13.5" customHeight="1" x14ac:dyDescent="0.3">
      <c r="A778" s="241"/>
      <c r="B778" s="241"/>
      <c r="C778" s="241"/>
      <c r="D778" s="241"/>
      <c r="E778" s="241"/>
      <c r="F778" s="241"/>
      <c r="G778" s="241"/>
      <c r="H778" s="241"/>
      <c r="I778" s="241"/>
      <c r="J778" s="241"/>
      <c r="K778" s="241"/>
      <c r="L778" s="241"/>
      <c r="M778" s="241"/>
      <c r="N778" s="241"/>
      <c r="O778" s="241"/>
      <c r="P778" s="241"/>
      <c r="Q778" s="241"/>
      <c r="R778" s="241"/>
      <c r="S778" s="241"/>
      <c r="T778" s="241"/>
      <c r="U778" s="241"/>
      <c r="V778" s="241"/>
      <c r="W778" s="241"/>
      <c r="X778" s="241"/>
      <c r="Y778" s="241"/>
      <c r="Z778" s="241"/>
    </row>
    <row r="779" spans="1:26" ht="13.5" customHeight="1" x14ac:dyDescent="0.3">
      <c r="A779" s="241"/>
      <c r="B779" s="241"/>
      <c r="C779" s="241"/>
      <c r="D779" s="241"/>
      <c r="E779" s="241"/>
      <c r="F779" s="241"/>
      <c r="G779" s="241"/>
      <c r="H779" s="241"/>
      <c r="I779" s="241"/>
      <c r="J779" s="241"/>
      <c r="K779" s="241"/>
      <c r="L779" s="241"/>
      <c r="M779" s="241"/>
      <c r="N779" s="241"/>
      <c r="O779" s="241"/>
      <c r="P779" s="241"/>
      <c r="Q779" s="241"/>
      <c r="R779" s="241"/>
      <c r="S779" s="241"/>
      <c r="T779" s="241"/>
      <c r="U779" s="241"/>
      <c r="V779" s="241"/>
      <c r="W779" s="241"/>
      <c r="X779" s="241"/>
      <c r="Y779" s="241"/>
      <c r="Z779" s="241"/>
    </row>
    <row r="780" spans="1:26" ht="13.5" customHeight="1" x14ac:dyDescent="0.3">
      <c r="A780" s="241"/>
      <c r="B780" s="241"/>
      <c r="C780" s="241"/>
      <c r="D780" s="241"/>
      <c r="E780" s="241"/>
      <c r="F780" s="241"/>
      <c r="G780" s="241"/>
      <c r="H780" s="241"/>
      <c r="I780" s="241"/>
      <c r="J780" s="241"/>
      <c r="K780" s="241"/>
      <c r="L780" s="241"/>
      <c r="M780" s="241"/>
      <c r="N780" s="241"/>
      <c r="O780" s="241"/>
      <c r="P780" s="241"/>
      <c r="Q780" s="241"/>
      <c r="R780" s="241"/>
      <c r="S780" s="241"/>
      <c r="T780" s="241"/>
      <c r="U780" s="241"/>
      <c r="V780" s="241"/>
      <c r="W780" s="241"/>
      <c r="X780" s="241"/>
      <c r="Y780" s="241"/>
      <c r="Z780" s="241"/>
    </row>
    <row r="781" spans="1:26" ht="13.5" customHeight="1" x14ac:dyDescent="0.3">
      <c r="A781" s="241"/>
      <c r="B781" s="241"/>
      <c r="C781" s="241"/>
      <c r="D781" s="241"/>
      <c r="E781" s="241"/>
      <c r="F781" s="241"/>
      <c r="G781" s="241"/>
      <c r="H781" s="241"/>
      <c r="I781" s="241"/>
      <c r="J781" s="241"/>
      <c r="K781" s="241"/>
      <c r="L781" s="241"/>
      <c r="M781" s="241"/>
      <c r="N781" s="241"/>
      <c r="O781" s="241"/>
      <c r="P781" s="241"/>
      <c r="Q781" s="241"/>
      <c r="R781" s="241"/>
      <c r="S781" s="241"/>
      <c r="T781" s="241"/>
      <c r="U781" s="241"/>
      <c r="V781" s="241"/>
      <c r="W781" s="241"/>
      <c r="X781" s="241"/>
      <c r="Y781" s="241"/>
      <c r="Z781" s="241"/>
    </row>
    <row r="782" spans="1:26" ht="13.5" customHeight="1" x14ac:dyDescent="0.3">
      <c r="A782" s="241"/>
      <c r="B782" s="241"/>
      <c r="C782" s="241"/>
      <c r="D782" s="241"/>
      <c r="E782" s="241"/>
      <c r="F782" s="241"/>
      <c r="G782" s="241"/>
      <c r="H782" s="241"/>
      <c r="I782" s="241"/>
      <c r="J782" s="241"/>
      <c r="K782" s="241"/>
      <c r="L782" s="241"/>
      <c r="M782" s="241"/>
      <c r="N782" s="241"/>
      <c r="O782" s="241"/>
      <c r="P782" s="241"/>
      <c r="Q782" s="241"/>
      <c r="R782" s="241"/>
      <c r="S782" s="241"/>
      <c r="T782" s="241"/>
      <c r="U782" s="241"/>
      <c r="V782" s="241"/>
      <c r="W782" s="241"/>
      <c r="X782" s="241"/>
      <c r="Y782" s="241"/>
      <c r="Z782" s="241"/>
    </row>
    <row r="783" spans="1:26" ht="13.5" customHeight="1" x14ac:dyDescent="0.3">
      <c r="A783" s="241"/>
      <c r="B783" s="241"/>
      <c r="C783" s="241"/>
      <c r="D783" s="241"/>
      <c r="E783" s="241"/>
      <c r="F783" s="241"/>
      <c r="G783" s="241"/>
      <c r="H783" s="241"/>
      <c r="I783" s="241"/>
      <c r="J783" s="241"/>
      <c r="K783" s="241"/>
      <c r="L783" s="241"/>
      <c r="M783" s="241"/>
      <c r="N783" s="241"/>
      <c r="O783" s="241"/>
      <c r="P783" s="241"/>
      <c r="Q783" s="241"/>
      <c r="R783" s="241"/>
      <c r="S783" s="241"/>
      <c r="T783" s="241"/>
      <c r="U783" s="241"/>
      <c r="V783" s="241"/>
      <c r="W783" s="241"/>
      <c r="X783" s="241"/>
      <c r="Y783" s="241"/>
      <c r="Z783" s="241"/>
    </row>
    <row r="784" spans="1:26" ht="13.5" customHeight="1" x14ac:dyDescent="0.3">
      <c r="A784" s="241"/>
      <c r="B784" s="241"/>
      <c r="C784" s="241"/>
      <c r="D784" s="241"/>
      <c r="E784" s="241"/>
      <c r="F784" s="241"/>
      <c r="G784" s="241"/>
      <c r="H784" s="241"/>
      <c r="I784" s="241"/>
      <c r="J784" s="241"/>
      <c r="K784" s="241"/>
      <c r="L784" s="241"/>
      <c r="M784" s="241"/>
      <c r="N784" s="241"/>
      <c r="O784" s="241"/>
      <c r="P784" s="241"/>
      <c r="Q784" s="241"/>
      <c r="R784" s="241"/>
      <c r="S784" s="241"/>
      <c r="T784" s="241"/>
      <c r="U784" s="241"/>
      <c r="V784" s="241"/>
      <c r="W784" s="241"/>
      <c r="X784" s="241"/>
      <c r="Y784" s="241"/>
      <c r="Z784" s="241"/>
    </row>
    <row r="785" spans="1:26" ht="13.5" customHeight="1" x14ac:dyDescent="0.3">
      <c r="A785" s="241"/>
      <c r="B785" s="241"/>
      <c r="C785" s="241"/>
      <c r="D785" s="241"/>
      <c r="E785" s="241"/>
      <c r="F785" s="241"/>
      <c r="G785" s="241"/>
      <c r="H785" s="241"/>
      <c r="I785" s="241"/>
      <c r="J785" s="241"/>
      <c r="K785" s="241"/>
      <c r="L785" s="241"/>
      <c r="M785" s="241"/>
      <c r="N785" s="241"/>
      <c r="O785" s="241"/>
      <c r="P785" s="241"/>
      <c r="Q785" s="241"/>
      <c r="R785" s="241"/>
      <c r="S785" s="241"/>
      <c r="T785" s="241"/>
      <c r="U785" s="241"/>
      <c r="V785" s="241"/>
      <c r="W785" s="241"/>
      <c r="X785" s="241"/>
      <c r="Y785" s="241"/>
      <c r="Z785" s="241"/>
    </row>
    <row r="786" spans="1:26" ht="13.5" customHeight="1" x14ac:dyDescent="0.3">
      <c r="A786" s="241"/>
      <c r="B786" s="241"/>
      <c r="C786" s="241"/>
      <c r="D786" s="241"/>
      <c r="E786" s="241"/>
      <c r="F786" s="241"/>
      <c r="G786" s="241"/>
      <c r="H786" s="241"/>
      <c r="I786" s="241"/>
      <c r="J786" s="241"/>
      <c r="K786" s="241"/>
      <c r="L786" s="241"/>
      <c r="M786" s="241"/>
      <c r="N786" s="241"/>
      <c r="O786" s="241"/>
      <c r="P786" s="241"/>
      <c r="Q786" s="241"/>
      <c r="R786" s="241"/>
      <c r="S786" s="241"/>
      <c r="T786" s="241"/>
      <c r="U786" s="241"/>
      <c r="V786" s="241"/>
      <c r="W786" s="241"/>
      <c r="X786" s="241"/>
      <c r="Y786" s="241"/>
      <c r="Z786" s="241"/>
    </row>
    <row r="787" spans="1:26" ht="13.5" customHeight="1" x14ac:dyDescent="0.3">
      <c r="A787" s="241"/>
      <c r="B787" s="241"/>
      <c r="C787" s="241"/>
      <c r="D787" s="241"/>
      <c r="E787" s="241"/>
      <c r="F787" s="241"/>
      <c r="G787" s="241"/>
      <c r="H787" s="241"/>
      <c r="I787" s="241"/>
      <c r="J787" s="241"/>
      <c r="K787" s="241"/>
      <c r="L787" s="241"/>
      <c r="M787" s="241"/>
      <c r="N787" s="241"/>
      <c r="O787" s="241"/>
      <c r="P787" s="241"/>
      <c r="Q787" s="241"/>
      <c r="R787" s="241"/>
      <c r="S787" s="241"/>
      <c r="T787" s="241"/>
      <c r="U787" s="241"/>
      <c r="V787" s="241"/>
      <c r="W787" s="241"/>
      <c r="X787" s="241"/>
      <c r="Y787" s="241"/>
      <c r="Z787" s="241"/>
    </row>
    <row r="788" spans="1:26" ht="13.5" customHeight="1" x14ac:dyDescent="0.3">
      <c r="A788" s="241"/>
      <c r="B788" s="241"/>
      <c r="C788" s="241"/>
      <c r="D788" s="241"/>
      <c r="E788" s="241"/>
      <c r="F788" s="241"/>
      <c r="G788" s="241"/>
      <c r="H788" s="241"/>
      <c r="I788" s="241"/>
      <c r="J788" s="241"/>
      <c r="K788" s="241"/>
      <c r="L788" s="241"/>
      <c r="M788" s="241"/>
      <c r="N788" s="241"/>
      <c r="O788" s="241"/>
      <c r="P788" s="241"/>
      <c r="Q788" s="241"/>
      <c r="R788" s="241"/>
      <c r="S788" s="241"/>
      <c r="T788" s="241"/>
      <c r="U788" s="241"/>
      <c r="V788" s="241"/>
      <c r="W788" s="241"/>
      <c r="X788" s="241"/>
      <c r="Y788" s="241"/>
      <c r="Z788" s="241"/>
    </row>
    <row r="789" spans="1:26" ht="13.5" customHeight="1" x14ac:dyDescent="0.3">
      <c r="A789" s="241"/>
      <c r="B789" s="241"/>
      <c r="C789" s="241"/>
      <c r="D789" s="241"/>
      <c r="E789" s="241"/>
      <c r="F789" s="241"/>
      <c r="G789" s="241"/>
      <c r="H789" s="241"/>
      <c r="I789" s="241"/>
      <c r="J789" s="241"/>
      <c r="K789" s="241"/>
      <c r="L789" s="241"/>
      <c r="M789" s="241"/>
      <c r="N789" s="241"/>
      <c r="O789" s="241"/>
      <c r="P789" s="241"/>
      <c r="Q789" s="241"/>
      <c r="R789" s="241"/>
      <c r="S789" s="241"/>
      <c r="T789" s="241"/>
      <c r="U789" s="241"/>
      <c r="V789" s="241"/>
      <c r="W789" s="241"/>
      <c r="X789" s="241"/>
      <c r="Y789" s="241"/>
      <c r="Z789" s="241"/>
    </row>
    <row r="790" spans="1:26" ht="13.5" customHeight="1" x14ac:dyDescent="0.3">
      <c r="A790" s="241"/>
      <c r="B790" s="241"/>
      <c r="C790" s="241"/>
      <c r="D790" s="241"/>
      <c r="E790" s="241"/>
      <c r="F790" s="241"/>
      <c r="G790" s="241"/>
      <c r="H790" s="241"/>
      <c r="I790" s="241"/>
      <c r="J790" s="241"/>
      <c r="K790" s="241"/>
      <c r="L790" s="241"/>
      <c r="M790" s="241"/>
      <c r="N790" s="241"/>
      <c r="O790" s="241"/>
      <c r="P790" s="241"/>
      <c r="Q790" s="241"/>
      <c r="R790" s="241"/>
      <c r="S790" s="241"/>
      <c r="T790" s="241"/>
      <c r="U790" s="241"/>
      <c r="V790" s="241"/>
      <c r="W790" s="241"/>
      <c r="X790" s="241"/>
      <c r="Y790" s="241"/>
      <c r="Z790" s="241"/>
    </row>
    <row r="791" spans="1:26" ht="13.5" customHeight="1" x14ac:dyDescent="0.3">
      <c r="A791" s="241"/>
      <c r="B791" s="241"/>
      <c r="C791" s="241"/>
      <c r="D791" s="241"/>
      <c r="E791" s="241"/>
      <c r="F791" s="241"/>
      <c r="G791" s="241"/>
      <c r="H791" s="241"/>
      <c r="I791" s="241"/>
      <c r="J791" s="241"/>
      <c r="K791" s="241"/>
      <c r="L791" s="241"/>
      <c r="M791" s="241"/>
      <c r="N791" s="241"/>
      <c r="O791" s="241"/>
      <c r="P791" s="241"/>
      <c r="Q791" s="241"/>
      <c r="R791" s="241"/>
      <c r="S791" s="241"/>
      <c r="T791" s="241"/>
      <c r="U791" s="241"/>
      <c r="V791" s="241"/>
      <c r="W791" s="241"/>
      <c r="X791" s="241"/>
      <c r="Y791" s="241"/>
      <c r="Z791" s="241"/>
    </row>
    <row r="792" spans="1:26" ht="13.5" customHeight="1" x14ac:dyDescent="0.3">
      <c r="A792" s="241"/>
      <c r="B792" s="241"/>
      <c r="C792" s="241"/>
      <c r="D792" s="241"/>
      <c r="E792" s="241"/>
      <c r="F792" s="241"/>
      <c r="G792" s="241"/>
      <c r="H792" s="241"/>
      <c r="I792" s="241"/>
      <c r="J792" s="241"/>
      <c r="K792" s="241"/>
      <c r="L792" s="241"/>
      <c r="M792" s="241"/>
      <c r="N792" s="241"/>
      <c r="O792" s="241"/>
      <c r="P792" s="241"/>
      <c r="Q792" s="241"/>
      <c r="R792" s="241"/>
      <c r="S792" s="241"/>
      <c r="T792" s="241"/>
      <c r="U792" s="241"/>
      <c r="V792" s="241"/>
      <c r="W792" s="241"/>
      <c r="X792" s="241"/>
      <c r="Y792" s="241"/>
      <c r="Z792" s="241"/>
    </row>
    <row r="793" spans="1:26" ht="13.5" customHeight="1" x14ac:dyDescent="0.3">
      <c r="A793" s="241"/>
      <c r="B793" s="241"/>
      <c r="C793" s="241"/>
      <c r="D793" s="241"/>
      <c r="E793" s="241"/>
      <c r="F793" s="241"/>
      <c r="G793" s="241"/>
      <c r="H793" s="241"/>
      <c r="I793" s="241"/>
      <c r="J793" s="241"/>
      <c r="K793" s="241"/>
      <c r="L793" s="241"/>
      <c r="M793" s="241"/>
      <c r="N793" s="241"/>
      <c r="O793" s="241"/>
      <c r="P793" s="241"/>
      <c r="Q793" s="241"/>
      <c r="R793" s="241"/>
      <c r="S793" s="241"/>
      <c r="T793" s="241"/>
      <c r="U793" s="241"/>
      <c r="V793" s="241"/>
      <c r="W793" s="241"/>
      <c r="X793" s="241"/>
      <c r="Y793" s="241"/>
      <c r="Z793" s="241"/>
    </row>
    <row r="794" spans="1:26" ht="13.5" customHeight="1" x14ac:dyDescent="0.3">
      <c r="A794" s="241"/>
      <c r="B794" s="241"/>
      <c r="C794" s="241"/>
      <c r="D794" s="241"/>
      <c r="E794" s="241"/>
      <c r="F794" s="241"/>
      <c r="G794" s="241"/>
      <c r="H794" s="241"/>
      <c r="I794" s="241"/>
      <c r="J794" s="241"/>
      <c r="K794" s="241"/>
      <c r="L794" s="241"/>
      <c r="M794" s="241"/>
      <c r="N794" s="241"/>
      <c r="O794" s="241"/>
      <c r="P794" s="241"/>
      <c r="Q794" s="241"/>
      <c r="R794" s="241"/>
      <c r="S794" s="241"/>
      <c r="T794" s="241"/>
      <c r="U794" s="241"/>
      <c r="V794" s="241"/>
      <c r="W794" s="241"/>
      <c r="X794" s="241"/>
      <c r="Y794" s="241"/>
      <c r="Z794" s="241"/>
    </row>
    <row r="795" spans="1:26" ht="13.5" customHeight="1" x14ac:dyDescent="0.3">
      <c r="A795" s="241"/>
      <c r="B795" s="241"/>
      <c r="C795" s="241"/>
      <c r="D795" s="241"/>
      <c r="E795" s="241"/>
      <c r="F795" s="241"/>
      <c r="G795" s="241"/>
      <c r="H795" s="241"/>
      <c r="I795" s="241"/>
      <c r="J795" s="241"/>
      <c r="K795" s="241"/>
      <c r="L795" s="241"/>
      <c r="M795" s="241"/>
      <c r="N795" s="241"/>
      <c r="O795" s="241"/>
      <c r="P795" s="241"/>
      <c r="Q795" s="241"/>
      <c r="R795" s="241"/>
      <c r="S795" s="241"/>
      <c r="T795" s="241"/>
      <c r="U795" s="241"/>
      <c r="V795" s="241"/>
      <c r="W795" s="241"/>
      <c r="X795" s="241"/>
      <c r="Y795" s="241"/>
      <c r="Z795" s="241"/>
    </row>
    <row r="796" spans="1:26" ht="13.5" customHeight="1" x14ac:dyDescent="0.3">
      <c r="A796" s="241"/>
      <c r="B796" s="241"/>
      <c r="C796" s="241"/>
      <c r="D796" s="241"/>
      <c r="E796" s="241"/>
      <c r="F796" s="241"/>
      <c r="G796" s="241"/>
      <c r="H796" s="241"/>
      <c r="I796" s="241"/>
      <c r="J796" s="241"/>
      <c r="K796" s="241"/>
      <c r="L796" s="241"/>
      <c r="M796" s="241"/>
      <c r="N796" s="241"/>
      <c r="O796" s="241"/>
      <c r="P796" s="241"/>
      <c r="Q796" s="241"/>
      <c r="R796" s="241"/>
      <c r="S796" s="241"/>
      <c r="T796" s="241"/>
      <c r="U796" s="241"/>
      <c r="V796" s="241"/>
      <c r="W796" s="241"/>
      <c r="X796" s="241"/>
      <c r="Y796" s="241"/>
      <c r="Z796" s="241"/>
    </row>
    <row r="797" spans="1:26" ht="13.5" customHeight="1" x14ac:dyDescent="0.3">
      <c r="A797" s="241"/>
      <c r="B797" s="241"/>
      <c r="C797" s="241"/>
      <c r="D797" s="241"/>
      <c r="E797" s="241"/>
      <c r="F797" s="241"/>
      <c r="G797" s="241"/>
      <c r="H797" s="241"/>
      <c r="I797" s="241"/>
      <c r="J797" s="241"/>
      <c r="K797" s="241"/>
      <c r="L797" s="241"/>
      <c r="M797" s="241"/>
      <c r="N797" s="241"/>
      <c r="O797" s="241"/>
      <c r="P797" s="241"/>
      <c r="Q797" s="241"/>
      <c r="R797" s="241"/>
      <c r="S797" s="241"/>
      <c r="T797" s="241"/>
      <c r="U797" s="241"/>
      <c r="V797" s="241"/>
      <c r="W797" s="241"/>
      <c r="X797" s="241"/>
      <c r="Y797" s="241"/>
      <c r="Z797" s="241"/>
    </row>
    <row r="798" spans="1:26" ht="13.5" customHeight="1" x14ac:dyDescent="0.3">
      <c r="A798" s="241"/>
      <c r="B798" s="241"/>
      <c r="C798" s="241"/>
      <c r="D798" s="241"/>
      <c r="E798" s="241"/>
      <c r="F798" s="241"/>
      <c r="G798" s="241"/>
      <c r="H798" s="241"/>
      <c r="I798" s="241"/>
      <c r="J798" s="241"/>
      <c r="K798" s="241"/>
      <c r="L798" s="241"/>
      <c r="M798" s="241"/>
      <c r="N798" s="241"/>
      <c r="O798" s="241"/>
      <c r="P798" s="241"/>
      <c r="Q798" s="241"/>
      <c r="R798" s="241"/>
      <c r="S798" s="241"/>
      <c r="T798" s="241"/>
      <c r="U798" s="241"/>
      <c r="V798" s="241"/>
      <c r="W798" s="241"/>
      <c r="X798" s="241"/>
      <c r="Y798" s="241"/>
      <c r="Z798" s="241"/>
    </row>
    <row r="799" spans="1:26" ht="13.5" customHeight="1" x14ac:dyDescent="0.3">
      <c r="A799" s="241"/>
      <c r="B799" s="241"/>
      <c r="C799" s="241"/>
      <c r="D799" s="241"/>
      <c r="E799" s="241"/>
      <c r="F799" s="241"/>
      <c r="G799" s="241"/>
      <c r="H799" s="241"/>
      <c r="I799" s="241"/>
      <c r="J799" s="241"/>
      <c r="K799" s="241"/>
      <c r="L799" s="241"/>
      <c r="M799" s="241"/>
      <c r="N799" s="241"/>
      <c r="O799" s="241"/>
      <c r="P799" s="241"/>
      <c r="Q799" s="241"/>
      <c r="R799" s="241"/>
      <c r="S799" s="241"/>
      <c r="T799" s="241"/>
      <c r="U799" s="241"/>
      <c r="V799" s="241"/>
      <c r="W799" s="241"/>
      <c r="X799" s="241"/>
      <c r="Y799" s="241"/>
      <c r="Z799" s="241"/>
    </row>
    <row r="800" spans="1:26" ht="13.5" customHeight="1" x14ac:dyDescent="0.3">
      <c r="A800" s="241"/>
      <c r="B800" s="241"/>
      <c r="C800" s="241"/>
      <c r="D800" s="241"/>
      <c r="E800" s="241"/>
      <c r="F800" s="241"/>
      <c r="G800" s="241"/>
      <c r="H800" s="241"/>
      <c r="I800" s="241"/>
      <c r="J800" s="241"/>
      <c r="K800" s="241"/>
      <c r="L800" s="241"/>
      <c r="M800" s="241"/>
      <c r="N800" s="241"/>
      <c r="O800" s="241"/>
      <c r="P800" s="241"/>
      <c r="Q800" s="241"/>
      <c r="R800" s="241"/>
      <c r="S800" s="241"/>
      <c r="T800" s="241"/>
      <c r="U800" s="241"/>
      <c r="V800" s="241"/>
      <c r="W800" s="241"/>
      <c r="X800" s="241"/>
      <c r="Y800" s="241"/>
      <c r="Z800" s="241"/>
    </row>
    <row r="801" spans="1:26" ht="13.5" customHeight="1" x14ac:dyDescent="0.3">
      <c r="A801" s="241"/>
      <c r="B801" s="241"/>
      <c r="C801" s="241"/>
      <c r="D801" s="241"/>
      <c r="E801" s="241"/>
      <c r="F801" s="241"/>
      <c r="G801" s="241"/>
      <c r="H801" s="241"/>
      <c r="I801" s="241"/>
      <c r="J801" s="241"/>
      <c r="K801" s="241"/>
      <c r="L801" s="241"/>
      <c r="M801" s="241"/>
      <c r="N801" s="241"/>
      <c r="O801" s="241"/>
      <c r="P801" s="241"/>
      <c r="Q801" s="241"/>
      <c r="R801" s="241"/>
      <c r="S801" s="241"/>
      <c r="T801" s="241"/>
      <c r="U801" s="241"/>
      <c r="V801" s="241"/>
      <c r="W801" s="241"/>
      <c r="X801" s="241"/>
      <c r="Y801" s="241"/>
      <c r="Z801" s="241"/>
    </row>
    <row r="802" spans="1:26" ht="13.5" customHeight="1" x14ac:dyDescent="0.3">
      <c r="A802" s="241"/>
      <c r="B802" s="241"/>
      <c r="C802" s="241"/>
      <c r="D802" s="241"/>
      <c r="E802" s="241"/>
      <c r="F802" s="241"/>
      <c r="G802" s="241"/>
      <c r="H802" s="241"/>
      <c r="I802" s="241"/>
      <c r="J802" s="241"/>
      <c r="K802" s="241"/>
      <c r="L802" s="241"/>
      <c r="M802" s="241"/>
      <c r="N802" s="241"/>
      <c r="O802" s="241"/>
      <c r="P802" s="241"/>
      <c r="Q802" s="241"/>
      <c r="R802" s="241"/>
      <c r="S802" s="241"/>
      <c r="T802" s="241"/>
      <c r="U802" s="241"/>
      <c r="V802" s="241"/>
      <c r="W802" s="241"/>
      <c r="X802" s="241"/>
      <c r="Y802" s="241"/>
      <c r="Z802" s="241"/>
    </row>
    <row r="803" spans="1:26" ht="13.5" customHeight="1" x14ac:dyDescent="0.3">
      <c r="A803" s="241"/>
      <c r="B803" s="241"/>
      <c r="C803" s="241"/>
      <c r="D803" s="241"/>
      <c r="E803" s="241"/>
      <c r="F803" s="241"/>
      <c r="G803" s="241"/>
      <c r="H803" s="241"/>
      <c r="I803" s="241"/>
      <c r="J803" s="241"/>
      <c r="K803" s="241"/>
      <c r="L803" s="241"/>
      <c r="M803" s="241"/>
      <c r="N803" s="241"/>
      <c r="O803" s="241"/>
      <c r="P803" s="241"/>
      <c r="Q803" s="241"/>
      <c r="R803" s="241"/>
      <c r="S803" s="241"/>
      <c r="T803" s="241"/>
      <c r="U803" s="241"/>
      <c r="V803" s="241"/>
      <c r="W803" s="241"/>
      <c r="X803" s="241"/>
      <c r="Y803" s="241"/>
      <c r="Z803" s="241"/>
    </row>
    <row r="804" spans="1:26" ht="13.5" customHeight="1" x14ac:dyDescent="0.3">
      <c r="A804" s="241"/>
      <c r="B804" s="241"/>
      <c r="C804" s="241"/>
      <c r="D804" s="241"/>
      <c r="E804" s="241"/>
      <c r="F804" s="241"/>
      <c r="G804" s="241"/>
      <c r="H804" s="241"/>
      <c r="I804" s="241"/>
      <c r="J804" s="241"/>
      <c r="K804" s="241"/>
      <c r="L804" s="241"/>
      <c r="M804" s="241"/>
      <c r="N804" s="241"/>
      <c r="O804" s="241"/>
      <c r="P804" s="241"/>
      <c r="Q804" s="241"/>
      <c r="R804" s="241"/>
      <c r="S804" s="241"/>
      <c r="T804" s="241"/>
      <c r="U804" s="241"/>
      <c r="V804" s="241"/>
      <c r="W804" s="241"/>
      <c r="X804" s="241"/>
      <c r="Y804" s="241"/>
      <c r="Z804" s="241"/>
    </row>
    <row r="805" spans="1:26" ht="13.5" customHeight="1" x14ac:dyDescent="0.3">
      <c r="A805" s="241"/>
      <c r="B805" s="241"/>
      <c r="C805" s="241"/>
      <c r="D805" s="241"/>
      <c r="E805" s="241"/>
      <c r="F805" s="241"/>
      <c r="G805" s="241"/>
      <c r="H805" s="241"/>
      <c r="I805" s="241"/>
      <c r="J805" s="241"/>
      <c r="K805" s="241"/>
      <c r="L805" s="241"/>
      <c r="M805" s="241"/>
      <c r="N805" s="241"/>
      <c r="O805" s="241"/>
      <c r="P805" s="241"/>
      <c r="Q805" s="241"/>
      <c r="R805" s="241"/>
      <c r="S805" s="241"/>
      <c r="T805" s="241"/>
      <c r="U805" s="241"/>
      <c r="V805" s="241"/>
      <c r="W805" s="241"/>
      <c r="X805" s="241"/>
      <c r="Y805" s="241"/>
      <c r="Z805" s="241"/>
    </row>
    <row r="806" spans="1:26" ht="13.5" customHeight="1" x14ac:dyDescent="0.3">
      <c r="A806" s="241"/>
      <c r="B806" s="241"/>
      <c r="C806" s="241"/>
      <c r="D806" s="241"/>
      <c r="E806" s="241"/>
      <c r="F806" s="241"/>
      <c r="G806" s="241"/>
      <c r="H806" s="241"/>
      <c r="I806" s="241"/>
      <c r="J806" s="241"/>
      <c r="K806" s="241"/>
      <c r="L806" s="241"/>
      <c r="M806" s="241"/>
      <c r="N806" s="241"/>
      <c r="O806" s="241"/>
      <c r="P806" s="241"/>
      <c r="Q806" s="241"/>
      <c r="R806" s="241"/>
      <c r="S806" s="241"/>
      <c r="T806" s="241"/>
      <c r="U806" s="241"/>
      <c r="V806" s="241"/>
      <c r="W806" s="241"/>
      <c r="X806" s="241"/>
      <c r="Y806" s="241"/>
      <c r="Z806" s="241"/>
    </row>
    <row r="807" spans="1:26" ht="13.5" customHeight="1" x14ac:dyDescent="0.3">
      <c r="A807" s="241"/>
      <c r="B807" s="241"/>
      <c r="C807" s="241"/>
      <c r="D807" s="241"/>
      <c r="E807" s="241"/>
      <c r="F807" s="241"/>
      <c r="G807" s="241"/>
      <c r="H807" s="241"/>
      <c r="I807" s="241"/>
      <c r="J807" s="241"/>
      <c r="K807" s="241"/>
      <c r="L807" s="241"/>
      <c r="M807" s="241"/>
      <c r="N807" s="241"/>
      <c r="O807" s="241"/>
      <c r="P807" s="241"/>
      <c r="Q807" s="241"/>
      <c r="R807" s="241"/>
      <c r="S807" s="241"/>
      <c r="T807" s="241"/>
      <c r="U807" s="241"/>
      <c r="V807" s="241"/>
      <c r="W807" s="241"/>
      <c r="X807" s="241"/>
      <c r="Y807" s="241"/>
      <c r="Z807" s="241"/>
    </row>
    <row r="808" spans="1:26" ht="13.5" customHeight="1" x14ac:dyDescent="0.3">
      <c r="A808" s="241"/>
      <c r="B808" s="241"/>
      <c r="C808" s="241"/>
      <c r="D808" s="241"/>
      <c r="E808" s="241"/>
      <c r="F808" s="241"/>
      <c r="G808" s="241"/>
      <c r="H808" s="241"/>
      <c r="I808" s="241"/>
      <c r="J808" s="241"/>
      <c r="K808" s="241"/>
      <c r="L808" s="241"/>
      <c r="M808" s="241"/>
      <c r="N808" s="241"/>
      <c r="O808" s="241"/>
      <c r="P808" s="241"/>
      <c r="Q808" s="241"/>
      <c r="R808" s="241"/>
      <c r="S808" s="241"/>
      <c r="T808" s="241"/>
      <c r="U808" s="241"/>
      <c r="V808" s="241"/>
      <c r="W808" s="241"/>
      <c r="X808" s="241"/>
      <c r="Y808" s="241"/>
      <c r="Z808" s="241"/>
    </row>
    <row r="809" spans="1:26" ht="13.5" customHeight="1" x14ac:dyDescent="0.3">
      <c r="A809" s="241"/>
      <c r="B809" s="241"/>
      <c r="C809" s="241"/>
      <c r="D809" s="241"/>
      <c r="E809" s="241"/>
      <c r="F809" s="241"/>
      <c r="G809" s="241"/>
      <c r="H809" s="241"/>
      <c r="I809" s="241"/>
      <c r="J809" s="241"/>
      <c r="K809" s="241"/>
      <c r="L809" s="241"/>
      <c r="M809" s="241"/>
      <c r="N809" s="241"/>
      <c r="O809" s="241"/>
      <c r="P809" s="241"/>
      <c r="Q809" s="241"/>
      <c r="R809" s="241"/>
      <c r="S809" s="241"/>
      <c r="T809" s="241"/>
      <c r="U809" s="241"/>
      <c r="V809" s="241"/>
      <c r="W809" s="241"/>
      <c r="X809" s="241"/>
      <c r="Y809" s="241"/>
      <c r="Z809" s="241"/>
    </row>
    <row r="810" spans="1:26" ht="13.5" customHeight="1" x14ac:dyDescent="0.3">
      <c r="A810" s="241"/>
      <c r="B810" s="241"/>
      <c r="C810" s="241"/>
      <c r="D810" s="241"/>
      <c r="E810" s="241"/>
      <c r="F810" s="241"/>
      <c r="G810" s="241"/>
      <c r="H810" s="241"/>
      <c r="I810" s="241"/>
      <c r="J810" s="241"/>
      <c r="K810" s="241"/>
      <c r="L810" s="241"/>
      <c r="M810" s="241"/>
      <c r="N810" s="241"/>
      <c r="O810" s="241"/>
      <c r="P810" s="241"/>
      <c r="Q810" s="241"/>
      <c r="R810" s="241"/>
      <c r="S810" s="241"/>
      <c r="T810" s="241"/>
      <c r="U810" s="241"/>
      <c r="V810" s="241"/>
      <c r="W810" s="241"/>
      <c r="X810" s="241"/>
      <c r="Y810" s="241"/>
      <c r="Z810" s="241"/>
    </row>
    <row r="811" spans="1:26" ht="13.5" customHeight="1" x14ac:dyDescent="0.3">
      <c r="A811" s="241"/>
      <c r="B811" s="241"/>
      <c r="C811" s="241"/>
      <c r="D811" s="241"/>
      <c r="E811" s="241"/>
      <c r="F811" s="241"/>
      <c r="G811" s="241"/>
      <c r="H811" s="241"/>
      <c r="I811" s="241"/>
      <c r="J811" s="241"/>
      <c r="K811" s="241"/>
      <c r="L811" s="241"/>
      <c r="M811" s="241"/>
      <c r="N811" s="241"/>
      <c r="O811" s="241"/>
      <c r="P811" s="241"/>
      <c r="Q811" s="241"/>
      <c r="R811" s="241"/>
      <c r="S811" s="241"/>
      <c r="T811" s="241"/>
      <c r="U811" s="241"/>
      <c r="V811" s="241"/>
      <c r="W811" s="241"/>
      <c r="X811" s="241"/>
      <c r="Y811" s="241"/>
      <c r="Z811" s="241"/>
    </row>
    <row r="812" spans="1:26" ht="13.5" customHeight="1" x14ac:dyDescent="0.3">
      <c r="A812" s="241"/>
      <c r="B812" s="241"/>
      <c r="C812" s="241"/>
      <c r="D812" s="241"/>
      <c r="E812" s="241"/>
      <c r="F812" s="241"/>
      <c r="G812" s="241"/>
      <c r="H812" s="241"/>
      <c r="I812" s="241"/>
      <c r="J812" s="241"/>
      <c r="K812" s="241"/>
      <c r="L812" s="241"/>
      <c r="M812" s="241"/>
      <c r="N812" s="241"/>
      <c r="O812" s="241"/>
      <c r="P812" s="241"/>
      <c r="Q812" s="241"/>
      <c r="R812" s="241"/>
      <c r="S812" s="241"/>
      <c r="T812" s="241"/>
      <c r="U812" s="241"/>
      <c r="V812" s="241"/>
      <c r="W812" s="241"/>
      <c r="X812" s="241"/>
      <c r="Y812" s="241"/>
      <c r="Z812" s="241"/>
    </row>
    <row r="813" spans="1:26" ht="13.5" customHeight="1" x14ac:dyDescent="0.3">
      <c r="A813" s="241"/>
      <c r="B813" s="241"/>
      <c r="C813" s="241"/>
      <c r="D813" s="241"/>
      <c r="E813" s="241"/>
      <c r="F813" s="241"/>
      <c r="G813" s="241"/>
      <c r="H813" s="241"/>
      <c r="I813" s="241"/>
      <c r="J813" s="241"/>
      <c r="K813" s="241"/>
      <c r="L813" s="241"/>
      <c r="M813" s="241"/>
      <c r="N813" s="241"/>
      <c r="O813" s="241"/>
      <c r="P813" s="241"/>
      <c r="Q813" s="241"/>
      <c r="R813" s="241"/>
      <c r="S813" s="241"/>
      <c r="T813" s="241"/>
      <c r="U813" s="241"/>
      <c r="V813" s="241"/>
      <c r="W813" s="241"/>
      <c r="X813" s="241"/>
      <c r="Y813" s="241"/>
      <c r="Z813" s="241"/>
    </row>
    <row r="814" spans="1:26" ht="13.5" customHeight="1" x14ac:dyDescent="0.3">
      <c r="A814" s="241"/>
      <c r="B814" s="241"/>
      <c r="C814" s="241"/>
      <c r="D814" s="241"/>
      <c r="E814" s="241"/>
      <c r="F814" s="241"/>
      <c r="G814" s="241"/>
      <c r="H814" s="241"/>
      <c r="I814" s="241"/>
      <c r="J814" s="241"/>
      <c r="K814" s="241"/>
      <c r="L814" s="241"/>
      <c r="M814" s="241"/>
      <c r="N814" s="241"/>
      <c r="O814" s="241"/>
      <c r="P814" s="241"/>
      <c r="Q814" s="241"/>
      <c r="R814" s="241"/>
      <c r="S814" s="241"/>
      <c r="T814" s="241"/>
      <c r="U814" s="241"/>
      <c r="V814" s="241"/>
      <c r="W814" s="241"/>
      <c r="X814" s="241"/>
      <c r="Y814" s="241"/>
      <c r="Z814" s="241"/>
    </row>
    <row r="815" spans="1:26" ht="13.5" customHeight="1" x14ac:dyDescent="0.3">
      <c r="A815" s="241"/>
      <c r="B815" s="241"/>
      <c r="C815" s="241"/>
      <c r="D815" s="241"/>
      <c r="E815" s="241"/>
      <c r="F815" s="241"/>
      <c r="G815" s="241"/>
      <c r="H815" s="241"/>
      <c r="I815" s="241"/>
      <c r="J815" s="241"/>
      <c r="K815" s="241"/>
      <c r="L815" s="241"/>
      <c r="M815" s="241"/>
      <c r="N815" s="241"/>
      <c r="O815" s="241"/>
      <c r="P815" s="241"/>
      <c r="Q815" s="241"/>
      <c r="R815" s="241"/>
      <c r="S815" s="241"/>
      <c r="T815" s="241"/>
      <c r="U815" s="241"/>
      <c r="V815" s="241"/>
      <c r="W815" s="241"/>
      <c r="X815" s="241"/>
      <c r="Y815" s="241"/>
      <c r="Z815" s="241"/>
    </row>
    <row r="816" spans="1:26" ht="13.5" customHeight="1" x14ac:dyDescent="0.3">
      <c r="A816" s="241"/>
      <c r="B816" s="241"/>
      <c r="C816" s="241"/>
      <c r="D816" s="241"/>
      <c r="E816" s="241"/>
      <c r="F816" s="241"/>
      <c r="G816" s="241"/>
      <c r="H816" s="241"/>
      <c r="I816" s="241"/>
      <c r="J816" s="241"/>
      <c r="K816" s="241"/>
      <c r="L816" s="241"/>
      <c r="M816" s="241"/>
      <c r="N816" s="241"/>
      <c r="O816" s="241"/>
      <c r="P816" s="241"/>
      <c r="Q816" s="241"/>
      <c r="R816" s="241"/>
      <c r="S816" s="241"/>
      <c r="T816" s="241"/>
      <c r="U816" s="241"/>
      <c r="V816" s="241"/>
      <c r="W816" s="241"/>
      <c r="X816" s="241"/>
      <c r="Y816" s="241"/>
      <c r="Z816" s="241"/>
    </row>
    <row r="817" spans="1:26" ht="13.5" customHeight="1" x14ac:dyDescent="0.3">
      <c r="A817" s="241"/>
      <c r="B817" s="241"/>
      <c r="C817" s="241"/>
      <c r="D817" s="241"/>
      <c r="E817" s="241"/>
      <c r="F817" s="241"/>
      <c r="G817" s="241"/>
      <c r="H817" s="241"/>
      <c r="I817" s="241"/>
      <c r="J817" s="241"/>
      <c r="K817" s="241"/>
      <c r="L817" s="241"/>
      <c r="M817" s="241"/>
      <c r="N817" s="241"/>
      <c r="O817" s="241"/>
      <c r="P817" s="241"/>
      <c r="Q817" s="241"/>
      <c r="R817" s="241"/>
      <c r="S817" s="241"/>
      <c r="T817" s="241"/>
      <c r="U817" s="241"/>
      <c r="V817" s="241"/>
      <c r="W817" s="241"/>
      <c r="X817" s="241"/>
      <c r="Y817" s="241"/>
      <c r="Z817" s="241"/>
    </row>
    <row r="818" spans="1:26" ht="13.5" customHeight="1" x14ac:dyDescent="0.3">
      <c r="A818" s="241"/>
      <c r="B818" s="241"/>
      <c r="C818" s="241"/>
      <c r="D818" s="241"/>
      <c r="E818" s="241"/>
      <c r="F818" s="241"/>
      <c r="G818" s="241"/>
      <c r="H818" s="241"/>
      <c r="I818" s="241"/>
      <c r="J818" s="241"/>
      <c r="K818" s="241"/>
      <c r="L818" s="241"/>
      <c r="M818" s="241"/>
      <c r="N818" s="241"/>
      <c r="O818" s="241"/>
      <c r="P818" s="241"/>
      <c r="Q818" s="241"/>
      <c r="R818" s="241"/>
      <c r="S818" s="241"/>
      <c r="T818" s="241"/>
      <c r="U818" s="241"/>
      <c r="V818" s="241"/>
      <c r="W818" s="241"/>
      <c r="X818" s="241"/>
      <c r="Y818" s="241"/>
      <c r="Z818" s="241"/>
    </row>
    <row r="819" spans="1:26" ht="13.5" customHeight="1" x14ac:dyDescent="0.3">
      <c r="A819" s="241"/>
      <c r="B819" s="241"/>
      <c r="C819" s="241"/>
      <c r="D819" s="241"/>
      <c r="E819" s="241"/>
      <c r="F819" s="241"/>
      <c r="G819" s="241"/>
      <c r="H819" s="241"/>
      <c r="I819" s="241"/>
      <c r="J819" s="241"/>
      <c r="K819" s="241"/>
      <c r="L819" s="241"/>
      <c r="M819" s="241"/>
      <c r="N819" s="241"/>
      <c r="O819" s="241"/>
      <c r="P819" s="241"/>
      <c r="Q819" s="241"/>
      <c r="R819" s="241"/>
      <c r="S819" s="241"/>
      <c r="T819" s="241"/>
      <c r="U819" s="241"/>
      <c r="V819" s="241"/>
      <c r="W819" s="241"/>
      <c r="X819" s="241"/>
      <c r="Y819" s="241"/>
      <c r="Z819" s="241"/>
    </row>
    <row r="820" spans="1:26" ht="13.5" customHeight="1" x14ac:dyDescent="0.3">
      <c r="A820" s="241"/>
      <c r="B820" s="241"/>
      <c r="C820" s="241"/>
      <c r="D820" s="241"/>
      <c r="E820" s="241"/>
      <c r="F820" s="241"/>
      <c r="G820" s="241"/>
      <c r="H820" s="241"/>
      <c r="I820" s="241"/>
      <c r="J820" s="241"/>
      <c r="K820" s="241"/>
      <c r="L820" s="241"/>
      <c r="M820" s="241"/>
      <c r="N820" s="241"/>
      <c r="O820" s="241"/>
      <c r="P820" s="241"/>
      <c r="Q820" s="241"/>
      <c r="R820" s="241"/>
      <c r="S820" s="241"/>
      <c r="T820" s="241"/>
      <c r="U820" s="241"/>
      <c r="V820" s="241"/>
      <c r="W820" s="241"/>
      <c r="X820" s="241"/>
      <c r="Y820" s="241"/>
      <c r="Z820" s="241"/>
    </row>
    <row r="821" spans="1:26" ht="13.5" customHeight="1" x14ac:dyDescent="0.3">
      <c r="A821" s="241"/>
      <c r="B821" s="241"/>
      <c r="C821" s="241"/>
      <c r="D821" s="241"/>
      <c r="E821" s="241"/>
      <c r="F821" s="241"/>
      <c r="G821" s="241"/>
      <c r="H821" s="241"/>
      <c r="I821" s="241"/>
      <c r="J821" s="241"/>
      <c r="K821" s="241"/>
      <c r="L821" s="241"/>
      <c r="M821" s="241"/>
      <c r="N821" s="241"/>
      <c r="O821" s="241"/>
      <c r="P821" s="241"/>
      <c r="Q821" s="241"/>
      <c r="R821" s="241"/>
      <c r="S821" s="241"/>
      <c r="T821" s="241"/>
      <c r="U821" s="241"/>
      <c r="V821" s="241"/>
      <c r="W821" s="241"/>
      <c r="X821" s="241"/>
      <c r="Y821" s="241"/>
      <c r="Z821" s="241"/>
    </row>
    <row r="822" spans="1:26" ht="13.5" customHeight="1" x14ac:dyDescent="0.3">
      <c r="A822" s="241"/>
      <c r="B822" s="241"/>
      <c r="C822" s="241"/>
      <c r="D822" s="241"/>
      <c r="E822" s="241"/>
      <c r="F822" s="241"/>
      <c r="G822" s="241"/>
      <c r="H822" s="241"/>
      <c r="I822" s="241"/>
      <c r="J822" s="241"/>
      <c r="K822" s="241"/>
      <c r="L822" s="241"/>
      <c r="M822" s="241"/>
      <c r="N822" s="241"/>
      <c r="O822" s="241"/>
      <c r="P822" s="241"/>
      <c r="Q822" s="241"/>
      <c r="R822" s="241"/>
      <c r="S822" s="241"/>
      <c r="T822" s="241"/>
      <c r="U822" s="241"/>
      <c r="V822" s="241"/>
      <c r="W822" s="241"/>
      <c r="X822" s="241"/>
      <c r="Y822" s="241"/>
      <c r="Z822" s="241"/>
    </row>
    <row r="823" spans="1:26" ht="13.5" customHeight="1" x14ac:dyDescent="0.3">
      <c r="A823" s="241"/>
      <c r="B823" s="241"/>
      <c r="C823" s="241"/>
      <c r="D823" s="241"/>
      <c r="E823" s="241"/>
      <c r="F823" s="241"/>
      <c r="G823" s="241"/>
      <c r="H823" s="241"/>
      <c r="I823" s="241"/>
      <c r="J823" s="241"/>
      <c r="K823" s="241"/>
      <c r="L823" s="241"/>
      <c r="M823" s="241"/>
      <c r="N823" s="241"/>
      <c r="O823" s="241"/>
      <c r="P823" s="241"/>
      <c r="Q823" s="241"/>
      <c r="R823" s="241"/>
      <c r="S823" s="241"/>
      <c r="T823" s="241"/>
      <c r="U823" s="241"/>
      <c r="V823" s="241"/>
      <c r="W823" s="241"/>
      <c r="X823" s="241"/>
      <c r="Y823" s="241"/>
      <c r="Z823" s="241"/>
    </row>
    <row r="824" spans="1:26" ht="13.5" customHeight="1" x14ac:dyDescent="0.3">
      <c r="A824" s="241"/>
      <c r="B824" s="241"/>
      <c r="C824" s="241"/>
      <c r="D824" s="241"/>
      <c r="E824" s="241"/>
      <c r="F824" s="241"/>
      <c r="G824" s="241"/>
      <c r="H824" s="241"/>
      <c r="I824" s="241"/>
      <c r="J824" s="241"/>
      <c r="K824" s="241"/>
      <c r="L824" s="241"/>
      <c r="M824" s="241"/>
      <c r="N824" s="241"/>
      <c r="O824" s="241"/>
      <c r="P824" s="241"/>
      <c r="Q824" s="241"/>
      <c r="R824" s="241"/>
      <c r="S824" s="241"/>
      <c r="T824" s="241"/>
      <c r="U824" s="241"/>
      <c r="V824" s="241"/>
      <c r="W824" s="241"/>
      <c r="X824" s="241"/>
      <c r="Y824" s="241"/>
      <c r="Z824" s="241"/>
    </row>
    <row r="825" spans="1:26" ht="13.5" customHeight="1" x14ac:dyDescent="0.3">
      <c r="A825" s="241"/>
      <c r="B825" s="241"/>
      <c r="C825" s="241"/>
      <c r="D825" s="241"/>
      <c r="E825" s="241"/>
      <c r="F825" s="241"/>
      <c r="G825" s="241"/>
      <c r="H825" s="241"/>
      <c r="I825" s="241"/>
      <c r="J825" s="241"/>
      <c r="K825" s="241"/>
      <c r="L825" s="241"/>
      <c r="M825" s="241"/>
      <c r="N825" s="241"/>
      <c r="O825" s="241"/>
      <c r="P825" s="241"/>
      <c r="Q825" s="241"/>
      <c r="R825" s="241"/>
      <c r="S825" s="241"/>
      <c r="T825" s="241"/>
      <c r="U825" s="241"/>
      <c r="V825" s="241"/>
      <c r="W825" s="241"/>
      <c r="X825" s="241"/>
      <c r="Y825" s="241"/>
      <c r="Z825" s="241"/>
    </row>
    <row r="826" spans="1:26" ht="13.5" customHeight="1" x14ac:dyDescent="0.3">
      <c r="A826" s="241"/>
      <c r="B826" s="241"/>
      <c r="C826" s="241"/>
      <c r="D826" s="241"/>
      <c r="E826" s="241"/>
      <c r="F826" s="241"/>
      <c r="G826" s="241"/>
      <c r="H826" s="241"/>
      <c r="I826" s="241"/>
      <c r="J826" s="241"/>
      <c r="K826" s="241"/>
      <c r="L826" s="241"/>
      <c r="M826" s="241"/>
      <c r="N826" s="241"/>
      <c r="O826" s="241"/>
      <c r="P826" s="241"/>
      <c r="Q826" s="241"/>
      <c r="R826" s="241"/>
      <c r="S826" s="241"/>
      <c r="T826" s="241"/>
      <c r="U826" s="241"/>
      <c r="V826" s="241"/>
      <c r="W826" s="241"/>
      <c r="X826" s="241"/>
      <c r="Y826" s="241"/>
      <c r="Z826" s="241"/>
    </row>
    <row r="827" spans="1:26" ht="13.5" customHeight="1" x14ac:dyDescent="0.3">
      <c r="A827" s="241"/>
      <c r="B827" s="241"/>
      <c r="C827" s="241"/>
      <c r="D827" s="241"/>
      <c r="E827" s="241"/>
      <c r="F827" s="241"/>
      <c r="G827" s="241"/>
      <c r="H827" s="241"/>
      <c r="I827" s="241"/>
      <c r="J827" s="241"/>
      <c r="K827" s="241"/>
      <c r="L827" s="241"/>
      <c r="M827" s="241"/>
      <c r="N827" s="241"/>
      <c r="O827" s="241"/>
      <c r="P827" s="241"/>
      <c r="Q827" s="241"/>
      <c r="R827" s="241"/>
      <c r="S827" s="241"/>
      <c r="T827" s="241"/>
      <c r="U827" s="241"/>
      <c r="V827" s="241"/>
      <c r="W827" s="241"/>
      <c r="X827" s="241"/>
      <c r="Y827" s="241"/>
      <c r="Z827" s="241"/>
    </row>
    <row r="828" spans="1:26" ht="13.5" customHeight="1" x14ac:dyDescent="0.3">
      <c r="A828" s="241"/>
      <c r="B828" s="241"/>
      <c r="C828" s="241"/>
      <c r="D828" s="241"/>
      <c r="E828" s="241"/>
      <c r="F828" s="241"/>
      <c r="G828" s="241"/>
      <c r="H828" s="241"/>
      <c r="I828" s="241"/>
      <c r="J828" s="241"/>
      <c r="K828" s="241"/>
      <c r="L828" s="241"/>
      <c r="M828" s="241"/>
      <c r="N828" s="241"/>
      <c r="O828" s="241"/>
      <c r="P828" s="241"/>
      <c r="Q828" s="241"/>
      <c r="R828" s="241"/>
      <c r="S828" s="241"/>
      <c r="T828" s="241"/>
      <c r="U828" s="241"/>
      <c r="V828" s="241"/>
      <c r="W828" s="241"/>
      <c r="X828" s="241"/>
      <c r="Y828" s="241"/>
      <c r="Z828" s="241"/>
    </row>
    <row r="829" spans="1:26" ht="13.5" customHeight="1" x14ac:dyDescent="0.3">
      <c r="A829" s="241"/>
      <c r="B829" s="241"/>
      <c r="C829" s="241"/>
      <c r="D829" s="241"/>
      <c r="E829" s="241"/>
      <c r="F829" s="241"/>
      <c r="G829" s="241"/>
      <c r="H829" s="241"/>
      <c r="I829" s="241"/>
      <c r="J829" s="241"/>
      <c r="K829" s="241"/>
      <c r="L829" s="241"/>
      <c r="M829" s="241"/>
      <c r="N829" s="241"/>
      <c r="O829" s="241"/>
      <c r="P829" s="241"/>
      <c r="Q829" s="241"/>
      <c r="R829" s="241"/>
      <c r="S829" s="241"/>
      <c r="T829" s="241"/>
      <c r="U829" s="241"/>
      <c r="V829" s="241"/>
      <c r="W829" s="241"/>
      <c r="X829" s="241"/>
      <c r="Y829" s="241"/>
      <c r="Z829" s="241"/>
    </row>
    <row r="830" spans="1:26" ht="13.5" customHeight="1" x14ac:dyDescent="0.3">
      <c r="A830" s="241"/>
      <c r="B830" s="241"/>
      <c r="C830" s="241"/>
      <c r="D830" s="241"/>
      <c r="E830" s="241"/>
      <c r="F830" s="241"/>
      <c r="G830" s="241"/>
      <c r="H830" s="241"/>
      <c r="I830" s="241"/>
      <c r="J830" s="241"/>
      <c r="K830" s="241"/>
      <c r="L830" s="241"/>
      <c r="M830" s="241"/>
      <c r="N830" s="241"/>
      <c r="O830" s="241"/>
      <c r="P830" s="241"/>
      <c r="Q830" s="241"/>
      <c r="R830" s="241"/>
      <c r="S830" s="241"/>
      <c r="T830" s="241"/>
      <c r="U830" s="241"/>
      <c r="V830" s="241"/>
      <c r="W830" s="241"/>
      <c r="X830" s="241"/>
      <c r="Y830" s="241"/>
      <c r="Z830" s="241"/>
    </row>
    <row r="831" spans="1:26" ht="13.5" customHeight="1" x14ac:dyDescent="0.3">
      <c r="A831" s="241"/>
      <c r="B831" s="241"/>
      <c r="C831" s="241"/>
      <c r="D831" s="241"/>
      <c r="E831" s="241"/>
      <c r="F831" s="241"/>
      <c r="G831" s="241"/>
      <c r="H831" s="241"/>
      <c r="I831" s="241"/>
      <c r="J831" s="241"/>
      <c r="K831" s="241"/>
      <c r="L831" s="241"/>
      <c r="M831" s="241"/>
      <c r="N831" s="241"/>
      <c r="O831" s="241"/>
      <c r="P831" s="241"/>
      <c r="Q831" s="241"/>
      <c r="R831" s="241"/>
      <c r="S831" s="241"/>
      <c r="T831" s="241"/>
      <c r="U831" s="241"/>
      <c r="V831" s="241"/>
      <c r="W831" s="241"/>
      <c r="X831" s="241"/>
      <c r="Y831" s="241"/>
      <c r="Z831" s="241"/>
    </row>
    <row r="832" spans="1:26" ht="13.5" customHeight="1" x14ac:dyDescent="0.3">
      <c r="A832" s="241"/>
      <c r="B832" s="241"/>
      <c r="C832" s="241"/>
      <c r="D832" s="241"/>
      <c r="E832" s="241"/>
      <c r="F832" s="241"/>
      <c r="G832" s="241"/>
      <c r="H832" s="241"/>
      <c r="I832" s="241"/>
      <c r="J832" s="241"/>
      <c r="K832" s="241"/>
      <c r="L832" s="241"/>
      <c r="M832" s="241"/>
      <c r="N832" s="241"/>
      <c r="O832" s="241"/>
      <c r="P832" s="241"/>
      <c r="Q832" s="241"/>
      <c r="R832" s="241"/>
      <c r="S832" s="241"/>
      <c r="T832" s="241"/>
      <c r="U832" s="241"/>
      <c r="V832" s="241"/>
      <c r="W832" s="241"/>
      <c r="X832" s="241"/>
      <c r="Y832" s="241"/>
      <c r="Z832" s="241"/>
    </row>
    <row r="833" spans="1:26" ht="13.5" customHeight="1" x14ac:dyDescent="0.3">
      <c r="A833" s="241"/>
      <c r="B833" s="241"/>
      <c r="C833" s="241"/>
      <c r="D833" s="241"/>
      <c r="E833" s="241"/>
      <c r="F833" s="241"/>
      <c r="G833" s="241"/>
      <c r="H833" s="241"/>
      <c r="I833" s="241"/>
      <c r="J833" s="241"/>
      <c r="K833" s="241"/>
      <c r="L833" s="241"/>
      <c r="M833" s="241"/>
      <c r="N833" s="241"/>
      <c r="O833" s="241"/>
      <c r="P833" s="241"/>
      <c r="Q833" s="241"/>
      <c r="R833" s="241"/>
      <c r="S833" s="241"/>
      <c r="T833" s="241"/>
      <c r="U833" s="241"/>
      <c r="V833" s="241"/>
      <c r="W833" s="241"/>
      <c r="X833" s="241"/>
      <c r="Y833" s="241"/>
      <c r="Z833" s="241"/>
    </row>
    <row r="834" spans="1:26" ht="13.5" customHeight="1" x14ac:dyDescent="0.3">
      <c r="A834" s="241"/>
      <c r="B834" s="241"/>
      <c r="C834" s="241"/>
      <c r="D834" s="241"/>
      <c r="E834" s="241"/>
      <c r="F834" s="241"/>
      <c r="G834" s="241"/>
      <c r="H834" s="241"/>
      <c r="I834" s="241"/>
      <c r="J834" s="241"/>
      <c r="K834" s="241"/>
      <c r="L834" s="241"/>
      <c r="M834" s="241"/>
      <c r="N834" s="241"/>
      <c r="O834" s="241"/>
      <c r="P834" s="241"/>
      <c r="Q834" s="241"/>
      <c r="R834" s="241"/>
      <c r="S834" s="241"/>
      <c r="T834" s="241"/>
      <c r="U834" s="241"/>
      <c r="V834" s="241"/>
      <c r="W834" s="241"/>
      <c r="X834" s="241"/>
      <c r="Y834" s="241"/>
      <c r="Z834" s="241"/>
    </row>
    <row r="835" spans="1:26" ht="13.5" customHeight="1" x14ac:dyDescent="0.3">
      <c r="A835" s="241"/>
      <c r="B835" s="241"/>
      <c r="C835" s="241"/>
      <c r="D835" s="241"/>
      <c r="E835" s="241"/>
      <c r="F835" s="241"/>
      <c r="G835" s="241"/>
      <c r="H835" s="241"/>
      <c r="I835" s="241"/>
      <c r="J835" s="241"/>
      <c r="K835" s="241"/>
      <c r="L835" s="241"/>
      <c r="M835" s="241"/>
      <c r="N835" s="241"/>
      <c r="O835" s="241"/>
      <c r="P835" s="241"/>
      <c r="Q835" s="241"/>
      <c r="R835" s="241"/>
      <c r="S835" s="241"/>
      <c r="T835" s="241"/>
      <c r="U835" s="241"/>
      <c r="V835" s="241"/>
      <c r="W835" s="241"/>
      <c r="X835" s="241"/>
      <c r="Y835" s="241"/>
      <c r="Z835" s="241"/>
    </row>
    <row r="836" spans="1:26" ht="13.5" customHeight="1" x14ac:dyDescent="0.3">
      <c r="A836" s="241"/>
      <c r="B836" s="241"/>
      <c r="C836" s="241"/>
      <c r="D836" s="241"/>
      <c r="E836" s="241"/>
      <c r="F836" s="241"/>
      <c r="G836" s="241"/>
      <c r="H836" s="241"/>
      <c r="I836" s="241"/>
      <c r="J836" s="241"/>
      <c r="K836" s="241"/>
      <c r="L836" s="241"/>
      <c r="M836" s="241"/>
      <c r="N836" s="241"/>
      <c r="O836" s="241"/>
      <c r="P836" s="241"/>
      <c r="Q836" s="241"/>
      <c r="R836" s="241"/>
      <c r="S836" s="241"/>
      <c r="T836" s="241"/>
      <c r="U836" s="241"/>
      <c r="V836" s="241"/>
      <c r="W836" s="241"/>
      <c r="X836" s="241"/>
      <c r="Y836" s="241"/>
      <c r="Z836" s="241"/>
    </row>
    <row r="837" spans="1:26" ht="13.5" customHeight="1" x14ac:dyDescent="0.3">
      <c r="A837" s="241"/>
      <c r="B837" s="241"/>
      <c r="C837" s="241"/>
      <c r="D837" s="241"/>
      <c r="E837" s="241"/>
      <c r="F837" s="241"/>
      <c r="G837" s="241"/>
      <c r="H837" s="241"/>
      <c r="I837" s="241"/>
      <c r="J837" s="241"/>
      <c r="K837" s="241"/>
      <c r="L837" s="241"/>
      <c r="M837" s="241"/>
      <c r="N837" s="241"/>
      <c r="O837" s="241"/>
      <c r="P837" s="241"/>
      <c r="Q837" s="241"/>
      <c r="R837" s="241"/>
      <c r="S837" s="241"/>
      <c r="T837" s="241"/>
      <c r="U837" s="241"/>
      <c r="V837" s="241"/>
      <c r="W837" s="241"/>
      <c r="X837" s="241"/>
      <c r="Y837" s="241"/>
      <c r="Z837" s="241"/>
    </row>
    <row r="838" spans="1:26" ht="13.5" customHeight="1" x14ac:dyDescent="0.3">
      <c r="A838" s="241"/>
      <c r="B838" s="241"/>
      <c r="C838" s="241"/>
      <c r="D838" s="241"/>
      <c r="E838" s="241"/>
      <c r="F838" s="241"/>
      <c r="G838" s="241"/>
      <c r="H838" s="241"/>
      <c r="I838" s="241"/>
      <c r="J838" s="241"/>
      <c r="K838" s="241"/>
      <c r="L838" s="241"/>
      <c r="M838" s="241"/>
      <c r="N838" s="241"/>
      <c r="O838" s="241"/>
      <c r="P838" s="241"/>
      <c r="Q838" s="241"/>
      <c r="R838" s="241"/>
      <c r="S838" s="241"/>
      <c r="T838" s="241"/>
      <c r="U838" s="241"/>
      <c r="V838" s="241"/>
      <c r="W838" s="241"/>
      <c r="X838" s="241"/>
      <c r="Y838" s="241"/>
      <c r="Z838" s="241"/>
    </row>
    <row r="839" spans="1:26" ht="13.5" customHeight="1" x14ac:dyDescent="0.3">
      <c r="A839" s="241"/>
      <c r="B839" s="241"/>
      <c r="C839" s="241"/>
      <c r="D839" s="241"/>
      <c r="E839" s="241"/>
      <c r="F839" s="241"/>
      <c r="G839" s="241"/>
      <c r="H839" s="241"/>
      <c r="I839" s="241"/>
      <c r="J839" s="241"/>
      <c r="K839" s="241"/>
      <c r="L839" s="241"/>
      <c r="M839" s="241"/>
      <c r="N839" s="241"/>
      <c r="O839" s="241"/>
      <c r="P839" s="241"/>
      <c r="Q839" s="241"/>
      <c r="R839" s="241"/>
      <c r="S839" s="241"/>
      <c r="T839" s="241"/>
      <c r="U839" s="241"/>
      <c r="V839" s="241"/>
      <c r="W839" s="241"/>
      <c r="X839" s="241"/>
      <c r="Y839" s="241"/>
      <c r="Z839" s="241"/>
    </row>
    <row r="840" spans="1:26" ht="13.5" customHeight="1" x14ac:dyDescent="0.3">
      <c r="A840" s="241"/>
      <c r="B840" s="241"/>
      <c r="C840" s="241"/>
      <c r="D840" s="241"/>
      <c r="E840" s="241"/>
      <c r="F840" s="241"/>
      <c r="G840" s="241"/>
      <c r="H840" s="241"/>
      <c r="I840" s="241"/>
      <c r="J840" s="241"/>
      <c r="K840" s="241"/>
      <c r="L840" s="241"/>
      <c r="M840" s="241"/>
      <c r="N840" s="241"/>
      <c r="O840" s="241"/>
      <c r="P840" s="241"/>
      <c r="Q840" s="241"/>
      <c r="R840" s="241"/>
      <c r="S840" s="241"/>
      <c r="T840" s="241"/>
      <c r="U840" s="241"/>
      <c r="V840" s="241"/>
      <c r="W840" s="241"/>
      <c r="X840" s="241"/>
      <c r="Y840" s="241"/>
      <c r="Z840" s="241"/>
    </row>
    <row r="841" spans="1:26" ht="13.5" customHeight="1" x14ac:dyDescent="0.3">
      <c r="A841" s="241"/>
      <c r="B841" s="241"/>
      <c r="C841" s="241"/>
      <c r="D841" s="241"/>
      <c r="E841" s="241"/>
      <c r="F841" s="241"/>
      <c r="G841" s="241"/>
      <c r="H841" s="241"/>
      <c r="I841" s="241"/>
      <c r="J841" s="241"/>
      <c r="K841" s="241"/>
      <c r="L841" s="241"/>
      <c r="M841" s="241"/>
      <c r="N841" s="241"/>
      <c r="O841" s="241"/>
      <c r="P841" s="241"/>
      <c r="Q841" s="241"/>
      <c r="R841" s="241"/>
      <c r="S841" s="241"/>
      <c r="T841" s="241"/>
      <c r="U841" s="241"/>
      <c r="V841" s="241"/>
      <c r="W841" s="241"/>
      <c r="X841" s="241"/>
      <c r="Y841" s="241"/>
      <c r="Z841" s="241"/>
    </row>
    <row r="842" spans="1:26" ht="13.5" customHeight="1" x14ac:dyDescent="0.3">
      <c r="A842" s="241"/>
      <c r="B842" s="241"/>
      <c r="C842" s="241"/>
      <c r="D842" s="241"/>
      <c r="E842" s="241"/>
      <c r="F842" s="241"/>
      <c r="G842" s="241"/>
      <c r="H842" s="241"/>
      <c r="I842" s="241"/>
      <c r="J842" s="241"/>
      <c r="K842" s="241"/>
      <c r="L842" s="241"/>
      <c r="M842" s="241"/>
      <c r="N842" s="241"/>
      <c r="O842" s="241"/>
      <c r="P842" s="241"/>
      <c r="Q842" s="241"/>
      <c r="R842" s="241"/>
      <c r="S842" s="241"/>
      <c r="T842" s="241"/>
      <c r="U842" s="241"/>
      <c r="V842" s="241"/>
      <c r="W842" s="241"/>
      <c r="X842" s="241"/>
      <c r="Y842" s="241"/>
      <c r="Z842" s="241"/>
    </row>
    <row r="843" spans="1:26" ht="13.5" customHeight="1" x14ac:dyDescent="0.3">
      <c r="A843" s="241"/>
      <c r="B843" s="241"/>
      <c r="C843" s="241"/>
      <c r="D843" s="241"/>
      <c r="E843" s="241"/>
      <c r="F843" s="241"/>
      <c r="G843" s="241"/>
      <c r="H843" s="241"/>
      <c r="I843" s="241"/>
      <c r="J843" s="241"/>
      <c r="K843" s="241"/>
      <c r="L843" s="241"/>
      <c r="M843" s="241"/>
      <c r="N843" s="241"/>
      <c r="O843" s="241"/>
      <c r="P843" s="241"/>
      <c r="Q843" s="241"/>
      <c r="R843" s="241"/>
      <c r="S843" s="241"/>
      <c r="T843" s="241"/>
      <c r="U843" s="241"/>
      <c r="V843" s="241"/>
      <c r="W843" s="241"/>
      <c r="X843" s="241"/>
      <c r="Y843" s="241"/>
      <c r="Z843" s="241"/>
    </row>
    <row r="844" spans="1:26" ht="13.5" customHeight="1" x14ac:dyDescent="0.3">
      <c r="A844" s="241"/>
      <c r="B844" s="241"/>
      <c r="C844" s="241"/>
      <c r="D844" s="241"/>
      <c r="E844" s="241"/>
      <c r="F844" s="241"/>
      <c r="G844" s="241"/>
      <c r="H844" s="241"/>
      <c r="I844" s="241"/>
      <c r="J844" s="241"/>
      <c r="K844" s="241"/>
      <c r="L844" s="241"/>
      <c r="M844" s="241"/>
      <c r="N844" s="241"/>
      <c r="O844" s="241"/>
      <c r="P844" s="241"/>
      <c r="Q844" s="241"/>
      <c r="R844" s="241"/>
      <c r="S844" s="241"/>
      <c r="T844" s="241"/>
      <c r="U844" s="241"/>
      <c r="V844" s="241"/>
      <c r="W844" s="241"/>
      <c r="X844" s="241"/>
      <c r="Y844" s="241"/>
      <c r="Z844" s="241"/>
    </row>
    <row r="845" spans="1:26" ht="13.5" customHeight="1" x14ac:dyDescent="0.3">
      <c r="A845" s="241"/>
      <c r="B845" s="241"/>
      <c r="C845" s="241"/>
      <c r="D845" s="241"/>
      <c r="E845" s="241"/>
      <c r="F845" s="241"/>
      <c r="G845" s="241"/>
      <c r="H845" s="241"/>
      <c r="I845" s="241"/>
      <c r="J845" s="241"/>
      <c r="K845" s="241"/>
      <c r="L845" s="241"/>
      <c r="M845" s="241"/>
      <c r="N845" s="241"/>
      <c r="O845" s="241"/>
      <c r="P845" s="241"/>
      <c r="Q845" s="241"/>
      <c r="R845" s="241"/>
      <c r="S845" s="241"/>
      <c r="T845" s="241"/>
      <c r="U845" s="241"/>
      <c r="V845" s="241"/>
      <c r="W845" s="241"/>
      <c r="X845" s="241"/>
      <c r="Y845" s="241"/>
      <c r="Z845" s="241"/>
    </row>
    <row r="846" spans="1:26" ht="13.5" customHeight="1" x14ac:dyDescent="0.3">
      <c r="A846" s="241"/>
      <c r="B846" s="241"/>
      <c r="C846" s="241"/>
      <c r="D846" s="241"/>
      <c r="E846" s="241"/>
      <c r="F846" s="241"/>
      <c r="G846" s="241"/>
      <c r="H846" s="241"/>
      <c r="I846" s="241"/>
      <c r="J846" s="241"/>
      <c r="K846" s="241"/>
      <c r="L846" s="241"/>
      <c r="M846" s="241"/>
      <c r="N846" s="241"/>
      <c r="O846" s="241"/>
      <c r="P846" s="241"/>
      <c r="Q846" s="241"/>
      <c r="R846" s="241"/>
      <c r="S846" s="241"/>
      <c r="T846" s="241"/>
      <c r="U846" s="241"/>
      <c r="V846" s="241"/>
      <c r="W846" s="241"/>
      <c r="X846" s="241"/>
      <c r="Y846" s="241"/>
      <c r="Z846" s="241"/>
    </row>
    <row r="847" spans="1:26" ht="13.5" customHeight="1" x14ac:dyDescent="0.3">
      <c r="A847" s="241"/>
      <c r="B847" s="241"/>
      <c r="C847" s="241"/>
      <c r="D847" s="241"/>
      <c r="E847" s="241"/>
      <c r="F847" s="241"/>
      <c r="G847" s="241"/>
      <c r="H847" s="241"/>
      <c r="I847" s="241"/>
      <c r="J847" s="241"/>
      <c r="K847" s="241"/>
      <c r="L847" s="241"/>
      <c r="M847" s="241"/>
      <c r="N847" s="241"/>
      <c r="O847" s="241"/>
      <c r="P847" s="241"/>
      <c r="Q847" s="241"/>
      <c r="R847" s="241"/>
      <c r="S847" s="241"/>
      <c r="T847" s="241"/>
      <c r="U847" s="241"/>
      <c r="V847" s="241"/>
      <c r="W847" s="241"/>
      <c r="X847" s="241"/>
      <c r="Y847" s="241"/>
      <c r="Z847" s="241"/>
    </row>
    <row r="848" spans="1:26" ht="13.5" customHeight="1" x14ac:dyDescent="0.3">
      <c r="A848" s="241"/>
      <c r="B848" s="241"/>
      <c r="C848" s="241"/>
      <c r="D848" s="241"/>
      <c r="E848" s="241"/>
      <c r="F848" s="241"/>
      <c r="G848" s="241"/>
      <c r="H848" s="241"/>
      <c r="I848" s="241"/>
      <c r="J848" s="241"/>
      <c r="K848" s="241"/>
      <c r="L848" s="241"/>
      <c r="M848" s="241"/>
      <c r="N848" s="241"/>
      <c r="O848" s="241"/>
      <c r="P848" s="241"/>
      <c r="Q848" s="241"/>
      <c r="R848" s="241"/>
      <c r="S848" s="241"/>
      <c r="T848" s="241"/>
      <c r="U848" s="241"/>
      <c r="V848" s="241"/>
      <c r="W848" s="241"/>
      <c r="X848" s="241"/>
      <c r="Y848" s="241"/>
      <c r="Z848" s="241"/>
    </row>
    <row r="849" spans="1:26" ht="13.5" customHeight="1" x14ac:dyDescent="0.3">
      <c r="A849" s="241"/>
      <c r="B849" s="241"/>
      <c r="C849" s="241"/>
      <c r="D849" s="241"/>
      <c r="E849" s="241"/>
      <c r="F849" s="241"/>
      <c r="G849" s="241"/>
      <c r="H849" s="241"/>
      <c r="I849" s="241"/>
      <c r="J849" s="241"/>
      <c r="K849" s="241"/>
      <c r="L849" s="241"/>
      <c r="M849" s="241"/>
      <c r="N849" s="241"/>
      <c r="O849" s="241"/>
      <c r="P849" s="241"/>
      <c r="Q849" s="241"/>
      <c r="R849" s="241"/>
      <c r="S849" s="241"/>
      <c r="T849" s="241"/>
      <c r="U849" s="241"/>
      <c r="V849" s="241"/>
      <c r="W849" s="241"/>
      <c r="X849" s="241"/>
      <c r="Y849" s="241"/>
      <c r="Z849" s="241"/>
    </row>
    <row r="850" spans="1:26" ht="13.5" customHeight="1" x14ac:dyDescent="0.3">
      <c r="A850" s="241"/>
      <c r="B850" s="241"/>
      <c r="C850" s="241"/>
      <c r="D850" s="241"/>
      <c r="E850" s="241"/>
      <c r="F850" s="241"/>
      <c r="G850" s="241"/>
      <c r="H850" s="241"/>
      <c r="I850" s="241"/>
      <c r="J850" s="241"/>
      <c r="K850" s="241"/>
      <c r="L850" s="241"/>
      <c r="M850" s="241"/>
      <c r="N850" s="241"/>
      <c r="O850" s="241"/>
      <c r="P850" s="241"/>
      <c r="Q850" s="241"/>
      <c r="R850" s="241"/>
      <c r="S850" s="241"/>
      <c r="T850" s="241"/>
      <c r="U850" s="241"/>
      <c r="V850" s="241"/>
      <c r="W850" s="241"/>
      <c r="X850" s="241"/>
      <c r="Y850" s="241"/>
      <c r="Z850" s="241"/>
    </row>
    <row r="851" spans="1:26" ht="13.5" customHeight="1" x14ac:dyDescent="0.3">
      <c r="A851" s="241"/>
      <c r="B851" s="241"/>
      <c r="C851" s="241"/>
      <c r="D851" s="241"/>
      <c r="E851" s="241"/>
      <c r="F851" s="241"/>
      <c r="G851" s="241"/>
      <c r="H851" s="241"/>
      <c r="I851" s="241"/>
      <c r="J851" s="241"/>
      <c r="K851" s="241"/>
      <c r="L851" s="241"/>
      <c r="M851" s="241"/>
      <c r="N851" s="241"/>
      <c r="O851" s="241"/>
      <c r="P851" s="241"/>
      <c r="Q851" s="241"/>
      <c r="R851" s="241"/>
      <c r="S851" s="241"/>
      <c r="T851" s="241"/>
      <c r="U851" s="241"/>
      <c r="V851" s="241"/>
      <c r="W851" s="241"/>
      <c r="X851" s="241"/>
      <c r="Y851" s="241"/>
      <c r="Z851" s="241"/>
    </row>
    <row r="852" spans="1:26" ht="13.5" customHeight="1" x14ac:dyDescent="0.3">
      <c r="A852" s="241"/>
      <c r="B852" s="241"/>
      <c r="C852" s="241"/>
      <c r="D852" s="241"/>
      <c r="E852" s="241"/>
      <c r="F852" s="241"/>
      <c r="G852" s="241"/>
      <c r="H852" s="241"/>
      <c r="I852" s="241"/>
      <c r="J852" s="241"/>
      <c r="K852" s="241"/>
      <c r="L852" s="241"/>
      <c r="M852" s="241"/>
      <c r="N852" s="241"/>
      <c r="O852" s="241"/>
      <c r="P852" s="241"/>
      <c r="Q852" s="241"/>
      <c r="R852" s="241"/>
      <c r="S852" s="241"/>
      <c r="T852" s="241"/>
      <c r="U852" s="241"/>
      <c r="V852" s="241"/>
      <c r="W852" s="241"/>
      <c r="X852" s="241"/>
      <c r="Y852" s="241"/>
      <c r="Z852" s="241"/>
    </row>
    <row r="853" spans="1:26" ht="13.5" customHeight="1" x14ac:dyDescent="0.3">
      <c r="A853" s="241"/>
      <c r="B853" s="241"/>
      <c r="C853" s="241"/>
      <c r="D853" s="241"/>
      <c r="E853" s="241"/>
      <c r="F853" s="241"/>
      <c r="G853" s="241"/>
      <c r="H853" s="241"/>
      <c r="I853" s="241"/>
      <c r="J853" s="241"/>
      <c r="K853" s="241"/>
      <c r="L853" s="241"/>
      <c r="M853" s="241"/>
      <c r="N853" s="241"/>
      <c r="O853" s="241"/>
      <c r="P853" s="241"/>
      <c r="Q853" s="241"/>
      <c r="R853" s="241"/>
      <c r="S853" s="241"/>
      <c r="T853" s="241"/>
      <c r="U853" s="241"/>
      <c r="V853" s="241"/>
      <c r="W853" s="241"/>
      <c r="X853" s="241"/>
      <c r="Y853" s="241"/>
      <c r="Z853" s="241"/>
    </row>
    <row r="854" spans="1:26" ht="13.5" customHeight="1" x14ac:dyDescent="0.3">
      <c r="A854" s="241"/>
      <c r="B854" s="241"/>
      <c r="C854" s="241"/>
      <c r="D854" s="241"/>
      <c r="E854" s="241"/>
      <c r="F854" s="241"/>
      <c r="G854" s="241"/>
      <c r="H854" s="241"/>
      <c r="I854" s="241"/>
      <c r="J854" s="241"/>
      <c r="K854" s="241"/>
      <c r="L854" s="241"/>
      <c r="M854" s="241"/>
      <c r="N854" s="241"/>
      <c r="O854" s="241"/>
      <c r="P854" s="241"/>
      <c r="Q854" s="241"/>
      <c r="R854" s="241"/>
      <c r="S854" s="241"/>
      <c r="T854" s="241"/>
      <c r="U854" s="241"/>
      <c r="V854" s="241"/>
      <c r="W854" s="241"/>
      <c r="X854" s="241"/>
      <c r="Y854" s="241"/>
      <c r="Z854" s="241"/>
    </row>
    <row r="855" spans="1:26" ht="13.5" customHeight="1" x14ac:dyDescent="0.3">
      <c r="A855" s="241"/>
      <c r="B855" s="241"/>
      <c r="C855" s="241"/>
      <c r="D855" s="241"/>
      <c r="E855" s="241"/>
      <c r="F855" s="241"/>
      <c r="G855" s="241"/>
      <c r="H855" s="241"/>
      <c r="I855" s="241"/>
      <c r="J855" s="241"/>
      <c r="K855" s="241"/>
      <c r="L855" s="241"/>
      <c r="M855" s="241"/>
      <c r="N855" s="241"/>
      <c r="O855" s="241"/>
      <c r="P855" s="241"/>
      <c r="Q855" s="241"/>
      <c r="R855" s="241"/>
      <c r="S855" s="241"/>
      <c r="T855" s="241"/>
      <c r="U855" s="241"/>
      <c r="V855" s="241"/>
      <c r="W855" s="241"/>
      <c r="X855" s="241"/>
      <c r="Y855" s="241"/>
      <c r="Z855" s="241"/>
    </row>
    <row r="856" spans="1:26" ht="13.5" customHeight="1" x14ac:dyDescent="0.3">
      <c r="A856" s="241"/>
      <c r="B856" s="241"/>
      <c r="C856" s="241"/>
      <c r="D856" s="241"/>
      <c r="E856" s="241"/>
      <c r="F856" s="241"/>
      <c r="G856" s="241"/>
      <c r="H856" s="241"/>
      <c r="I856" s="241"/>
      <c r="J856" s="241"/>
      <c r="K856" s="241"/>
      <c r="L856" s="241"/>
      <c r="M856" s="241"/>
      <c r="N856" s="241"/>
      <c r="O856" s="241"/>
      <c r="P856" s="241"/>
      <c r="Q856" s="241"/>
      <c r="R856" s="241"/>
      <c r="S856" s="241"/>
      <c r="T856" s="241"/>
      <c r="U856" s="241"/>
      <c r="V856" s="241"/>
      <c r="W856" s="241"/>
      <c r="X856" s="241"/>
      <c r="Y856" s="241"/>
      <c r="Z856" s="241"/>
    </row>
    <row r="857" spans="1:26" ht="13.5" customHeight="1" x14ac:dyDescent="0.3">
      <c r="A857" s="241"/>
      <c r="B857" s="241"/>
      <c r="C857" s="241"/>
      <c r="D857" s="241"/>
      <c r="E857" s="241"/>
      <c r="F857" s="241"/>
      <c r="G857" s="241"/>
      <c r="H857" s="241"/>
      <c r="I857" s="241"/>
      <c r="J857" s="241"/>
      <c r="K857" s="241"/>
      <c r="L857" s="241"/>
      <c r="M857" s="241"/>
      <c r="N857" s="241"/>
      <c r="O857" s="241"/>
      <c r="P857" s="241"/>
      <c r="Q857" s="241"/>
      <c r="R857" s="241"/>
      <c r="S857" s="241"/>
      <c r="T857" s="241"/>
      <c r="U857" s="241"/>
      <c r="V857" s="241"/>
      <c r="W857" s="241"/>
      <c r="X857" s="241"/>
      <c r="Y857" s="241"/>
      <c r="Z857" s="241"/>
    </row>
    <row r="858" spans="1:26" ht="13.5" customHeight="1" x14ac:dyDescent="0.3">
      <c r="A858" s="241"/>
      <c r="B858" s="241"/>
      <c r="C858" s="241"/>
      <c r="D858" s="241"/>
      <c r="E858" s="241"/>
      <c r="F858" s="241"/>
      <c r="G858" s="241"/>
      <c r="H858" s="241"/>
      <c r="I858" s="241"/>
      <c r="J858" s="241"/>
      <c r="K858" s="241"/>
      <c r="L858" s="241"/>
      <c r="M858" s="241"/>
      <c r="N858" s="241"/>
      <c r="O858" s="241"/>
      <c r="P858" s="241"/>
      <c r="Q858" s="241"/>
      <c r="R858" s="241"/>
      <c r="S858" s="241"/>
      <c r="T858" s="241"/>
      <c r="U858" s="241"/>
      <c r="V858" s="241"/>
      <c r="W858" s="241"/>
      <c r="X858" s="241"/>
      <c r="Y858" s="241"/>
      <c r="Z858" s="241"/>
    </row>
    <row r="859" spans="1:26" ht="13.5" customHeight="1" x14ac:dyDescent="0.3">
      <c r="A859" s="241"/>
      <c r="B859" s="241"/>
      <c r="C859" s="241"/>
      <c r="D859" s="241"/>
      <c r="E859" s="241"/>
      <c r="F859" s="241"/>
      <c r="G859" s="241"/>
      <c r="H859" s="241"/>
      <c r="I859" s="241"/>
      <c r="J859" s="241"/>
      <c r="K859" s="241"/>
      <c r="L859" s="241"/>
      <c r="M859" s="241"/>
      <c r="N859" s="241"/>
      <c r="O859" s="241"/>
      <c r="P859" s="241"/>
      <c r="Q859" s="241"/>
      <c r="R859" s="241"/>
      <c r="S859" s="241"/>
      <c r="T859" s="241"/>
      <c r="U859" s="241"/>
      <c r="V859" s="241"/>
      <c r="W859" s="241"/>
      <c r="X859" s="241"/>
      <c r="Y859" s="241"/>
      <c r="Z859" s="241"/>
    </row>
    <row r="860" spans="1:26" ht="13.5" customHeight="1" x14ac:dyDescent="0.3">
      <c r="A860" s="241"/>
      <c r="B860" s="241"/>
      <c r="C860" s="241"/>
      <c r="D860" s="241"/>
      <c r="E860" s="241"/>
      <c r="F860" s="241"/>
      <c r="G860" s="241"/>
      <c r="H860" s="241"/>
      <c r="I860" s="241"/>
      <c r="J860" s="241"/>
      <c r="K860" s="241"/>
      <c r="L860" s="241"/>
      <c r="M860" s="241"/>
      <c r="N860" s="241"/>
      <c r="O860" s="241"/>
      <c r="P860" s="241"/>
      <c r="Q860" s="241"/>
      <c r="R860" s="241"/>
      <c r="S860" s="241"/>
      <c r="T860" s="241"/>
      <c r="U860" s="241"/>
      <c r="V860" s="241"/>
      <c r="W860" s="241"/>
      <c r="X860" s="241"/>
      <c r="Y860" s="241"/>
      <c r="Z860" s="241"/>
    </row>
    <row r="861" spans="1:26" ht="13.5" customHeight="1" x14ac:dyDescent="0.3">
      <c r="A861" s="241"/>
      <c r="B861" s="241"/>
      <c r="C861" s="241"/>
      <c r="D861" s="241"/>
      <c r="E861" s="241"/>
      <c r="F861" s="241"/>
      <c r="G861" s="241"/>
      <c r="H861" s="241"/>
      <c r="I861" s="241"/>
      <c r="J861" s="241"/>
      <c r="K861" s="241"/>
      <c r="L861" s="241"/>
      <c r="M861" s="241"/>
      <c r="N861" s="241"/>
      <c r="O861" s="241"/>
      <c r="P861" s="241"/>
      <c r="Q861" s="241"/>
      <c r="R861" s="241"/>
      <c r="S861" s="241"/>
      <c r="T861" s="241"/>
      <c r="U861" s="241"/>
      <c r="V861" s="241"/>
      <c r="W861" s="241"/>
      <c r="X861" s="241"/>
      <c r="Y861" s="241"/>
      <c r="Z861" s="241"/>
    </row>
    <row r="862" spans="1:26" ht="13.5" customHeight="1" x14ac:dyDescent="0.3">
      <c r="A862" s="241"/>
      <c r="B862" s="241"/>
      <c r="C862" s="241"/>
      <c r="D862" s="241"/>
      <c r="E862" s="241"/>
      <c r="F862" s="241"/>
      <c r="G862" s="241"/>
      <c r="H862" s="241"/>
      <c r="I862" s="241"/>
      <c r="J862" s="241"/>
      <c r="K862" s="241"/>
      <c r="L862" s="241"/>
      <c r="M862" s="241"/>
      <c r="N862" s="241"/>
      <c r="O862" s="241"/>
      <c r="P862" s="241"/>
      <c r="Q862" s="241"/>
      <c r="R862" s="241"/>
      <c r="S862" s="241"/>
      <c r="T862" s="241"/>
      <c r="U862" s="241"/>
      <c r="V862" s="241"/>
      <c r="W862" s="241"/>
      <c r="X862" s="241"/>
      <c r="Y862" s="241"/>
      <c r="Z862" s="241"/>
    </row>
    <row r="863" spans="1:26" ht="13.5" customHeight="1" x14ac:dyDescent="0.3">
      <c r="A863" s="241"/>
      <c r="B863" s="241"/>
      <c r="C863" s="241"/>
      <c r="D863" s="241"/>
      <c r="E863" s="241"/>
      <c r="F863" s="241"/>
      <c r="G863" s="241"/>
      <c r="H863" s="241"/>
      <c r="I863" s="241"/>
      <c r="J863" s="241"/>
      <c r="K863" s="241"/>
      <c r="L863" s="241"/>
      <c r="M863" s="241"/>
      <c r="N863" s="241"/>
      <c r="O863" s="241"/>
      <c r="P863" s="241"/>
      <c r="Q863" s="241"/>
      <c r="R863" s="241"/>
      <c r="S863" s="241"/>
      <c r="T863" s="241"/>
      <c r="U863" s="241"/>
      <c r="V863" s="241"/>
      <c r="W863" s="241"/>
      <c r="X863" s="241"/>
      <c r="Y863" s="241"/>
      <c r="Z863" s="241"/>
    </row>
    <row r="864" spans="1:26" ht="13.5" customHeight="1" x14ac:dyDescent="0.3">
      <c r="A864" s="241"/>
      <c r="B864" s="241"/>
      <c r="C864" s="241"/>
      <c r="D864" s="241"/>
      <c r="E864" s="241"/>
      <c r="F864" s="241"/>
      <c r="G864" s="241"/>
      <c r="H864" s="241"/>
      <c r="I864" s="241"/>
      <c r="J864" s="241"/>
      <c r="K864" s="241"/>
      <c r="L864" s="241"/>
      <c r="M864" s="241"/>
      <c r="N864" s="241"/>
      <c r="O864" s="241"/>
      <c r="P864" s="241"/>
      <c r="Q864" s="241"/>
      <c r="R864" s="241"/>
      <c r="S864" s="241"/>
      <c r="T864" s="241"/>
      <c r="U864" s="241"/>
      <c r="V864" s="241"/>
      <c r="W864" s="241"/>
      <c r="X864" s="241"/>
      <c r="Y864" s="241"/>
      <c r="Z864" s="241"/>
    </row>
    <row r="865" spans="1:26" ht="13.5" customHeight="1" x14ac:dyDescent="0.3">
      <c r="A865" s="241"/>
      <c r="B865" s="241"/>
      <c r="C865" s="241"/>
      <c r="D865" s="241"/>
      <c r="E865" s="241"/>
      <c r="F865" s="241"/>
      <c r="G865" s="241"/>
      <c r="H865" s="241"/>
      <c r="I865" s="241"/>
      <c r="J865" s="241"/>
      <c r="K865" s="241"/>
      <c r="L865" s="241"/>
      <c r="M865" s="241"/>
      <c r="N865" s="241"/>
      <c r="O865" s="241"/>
      <c r="P865" s="241"/>
      <c r="Q865" s="241"/>
      <c r="R865" s="241"/>
      <c r="S865" s="241"/>
      <c r="T865" s="241"/>
      <c r="U865" s="241"/>
      <c r="V865" s="241"/>
      <c r="W865" s="241"/>
      <c r="X865" s="241"/>
      <c r="Y865" s="241"/>
      <c r="Z865" s="241"/>
    </row>
    <row r="866" spans="1:26" ht="13.5" customHeight="1" x14ac:dyDescent="0.3">
      <c r="A866" s="241"/>
      <c r="B866" s="241"/>
      <c r="C866" s="241"/>
      <c r="D866" s="241"/>
      <c r="E866" s="241"/>
      <c r="F866" s="241"/>
      <c r="G866" s="241"/>
      <c r="H866" s="241"/>
      <c r="I866" s="241"/>
      <c r="J866" s="241"/>
      <c r="K866" s="241"/>
      <c r="L866" s="241"/>
      <c r="M866" s="241"/>
      <c r="N866" s="241"/>
      <c r="O866" s="241"/>
      <c r="P866" s="241"/>
      <c r="Q866" s="241"/>
      <c r="R866" s="241"/>
      <c r="S866" s="241"/>
      <c r="T866" s="241"/>
      <c r="U866" s="241"/>
      <c r="V866" s="241"/>
      <c r="W866" s="241"/>
      <c r="X866" s="241"/>
      <c r="Y866" s="241"/>
      <c r="Z866" s="241"/>
    </row>
    <row r="867" spans="1:26" ht="13.5" customHeight="1" x14ac:dyDescent="0.3">
      <c r="A867" s="241"/>
      <c r="B867" s="241"/>
      <c r="C867" s="241"/>
      <c r="D867" s="241"/>
      <c r="E867" s="241"/>
      <c r="F867" s="241"/>
      <c r="G867" s="241"/>
      <c r="H867" s="241"/>
      <c r="I867" s="241"/>
      <c r="J867" s="241"/>
      <c r="K867" s="241"/>
      <c r="L867" s="241"/>
      <c r="M867" s="241"/>
      <c r="N867" s="241"/>
      <c r="O867" s="241"/>
      <c r="P867" s="241"/>
      <c r="Q867" s="241"/>
      <c r="R867" s="241"/>
      <c r="S867" s="241"/>
      <c r="T867" s="241"/>
      <c r="U867" s="241"/>
      <c r="V867" s="241"/>
      <c r="W867" s="241"/>
      <c r="X867" s="241"/>
      <c r="Y867" s="241"/>
      <c r="Z867" s="241"/>
    </row>
    <row r="868" spans="1:26" ht="13.5" customHeight="1" x14ac:dyDescent="0.3">
      <c r="A868" s="241"/>
      <c r="B868" s="241"/>
      <c r="C868" s="241"/>
      <c r="D868" s="241"/>
      <c r="E868" s="241"/>
      <c r="F868" s="241"/>
      <c r="G868" s="241"/>
      <c r="H868" s="241"/>
      <c r="I868" s="241"/>
      <c r="J868" s="241"/>
      <c r="K868" s="241"/>
      <c r="L868" s="241"/>
      <c r="M868" s="241"/>
      <c r="N868" s="241"/>
      <c r="O868" s="241"/>
      <c r="P868" s="241"/>
      <c r="Q868" s="241"/>
      <c r="R868" s="241"/>
      <c r="S868" s="241"/>
      <c r="T868" s="241"/>
      <c r="U868" s="241"/>
      <c r="V868" s="241"/>
      <c r="W868" s="241"/>
      <c r="X868" s="241"/>
      <c r="Y868" s="241"/>
      <c r="Z868" s="241"/>
    </row>
    <row r="869" spans="1:26" ht="13.5" customHeight="1" x14ac:dyDescent="0.3">
      <c r="A869" s="241"/>
      <c r="B869" s="241"/>
      <c r="C869" s="241"/>
      <c r="D869" s="241"/>
      <c r="E869" s="241"/>
      <c r="F869" s="241"/>
      <c r="G869" s="241"/>
      <c r="H869" s="241"/>
      <c r="I869" s="241"/>
      <c r="J869" s="241"/>
      <c r="K869" s="241"/>
      <c r="L869" s="241"/>
      <c r="M869" s="241"/>
      <c r="N869" s="241"/>
      <c r="O869" s="241"/>
      <c r="P869" s="241"/>
      <c r="Q869" s="241"/>
      <c r="R869" s="241"/>
      <c r="S869" s="241"/>
      <c r="T869" s="241"/>
      <c r="U869" s="241"/>
      <c r="V869" s="241"/>
      <c r="W869" s="241"/>
      <c r="X869" s="241"/>
      <c r="Y869" s="241"/>
      <c r="Z869" s="241"/>
    </row>
    <row r="870" spans="1:26" ht="13.5" customHeight="1" x14ac:dyDescent="0.3">
      <c r="A870" s="241"/>
      <c r="B870" s="241"/>
      <c r="C870" s="241"/>
      <c r="D870" s="241"/>
      <c r="E870" s="241"/>
      <c r="F870" s="241"/>
      <c r="G870" s="241"/>
      <c r="H870" s="241"/>
      <c r="I870" s="241"/>
      <c r="J870" s="241"/>
      <c r="K870" s="241"/>
      <c r="L870" s="241"/>
      <c r="M870" s="241"/>
      <c r="N870" s="241"/>
      <c r="O870" s="241"/>
      <c r="P870" s="241"/>
      <c r="Q870" s="241"/>
      <c r="R870" s="241"/>
      <c r="S870" s="241"/>
      <c r="T870" s="241"/>
      <c r="U870" s="241"/>
      <c r="V870" s="241"/>
      <c r="W870" s="241"/>
      <c r="X870" s="241"/>
      <c r="Y870" s="241"/>
      <c r="Z870" s="241"/>
    </row>
    <row r="871" spans="1:26" ht="13.5" customHeight="1" x14ac:dyDescent="0.3">
      <c r="A871" s="241"/>
      <c r="B871" s="241"/>
      <c r="C871" s="241"/>
      <c r="D871" s="241"/>
      <c r="E871" s="241"/>
      <c r="F871" s="241"/>
      <c r="G871" s="241"/>
      <c r="H871" s="241"/>
      <c r="I871" s="241"/>
      <c r="J871" s="241"/>
      <c r="K871" s="241"/>
      <c r="L871" s="241"/>
      <c r="M871" s="241"/>
      <c r="N871" s="241"/>
      <c r="O871" s="241"/>
      <c r="P871" s="241"/>
      <c r="Q871" s="241"/>
      <c r="R871" s="241"/>
      <c r="S871" s="241"/>
      <c r="T871" s="241"/>
      <c r="U871" s="241"/>
      <c r="V871" s="241"/>
      <c r="W871" s="241"/>
      <c r="X871" s="241"/>
      <c r="Y871" s="241"/>
      <c r="Z871" s="241"/>
    </row>
    <row r="872" spans="1:26" ht="13.5" customHeight="1" x14ac:dyDescent="0.3">
      <c r="A872" s="241"/>
      <c r="B872" s="241"/>
      <c r="C872" s="241"/>
      <c r="D872" s="241"/>
      <c r="E872" s="241"/>
      <c r="F872" s="241"/>
      <c r="G872" s="241"/>
      <c r="H872" s="241"/>
      <c r="I872" s="241"/>
      <c r="J872" s="241"/>
      <c r="K872" s="241"/>
      <c r="L872" s="241"/>
      <c r="M872" s="241"/>
      <c r="N872" s="241"/>
      <c r="O872" s="241"/>
      <c r="P872" s="241"/>
      <c r="Q872" s="241"/>
      <c r="R872" s="241"/>
      <c r="S872" s="241"/>
      <c r="T872" s="241"/>
      <c r="U872" s="241"/>
      <c r="V872" s="241"/>
      <c r="W872" s="241"/>
      <c r="X872" s="241"/>
      <c r="Y872" s="241"/>
      <c r="Z872" s="241"/>
    </row>
    <row r="873" spans="1:26" ht="13.5" customHeight="1" x14ac:dyDescent="0.3">
      <c r="A873" s="241"/>
      <c r="B873" s="241"/>
      <c r="C873" s="241"/>
      <c r="D873" s="241"/>
      <c r="E873" s="241"/>
      <c r="F873" s="241"/>
      <c r="G873" s="241"/>
      <c r="H873" s="241"/>
      <c r="I873" s="241"/>
      <c r="J873" s="241"/>
      <c r="K873" s="241"/>
      <c r="L873" s="241"/>
      <c r="M873" s="241"/>
      <c r="N873" s="241"/>
      <c r="O873" s="241"/>
      <c r="P873" s="241"/>
      <c r="Q873" s="241"/>
      <c r="R873" s="241"/>
      <c r="S873" s="241"/>
      <c r="T873" s="241"/>
      <c r="U873" s="241"/>
      <c r="V873" s="241"/>
      <c r="W873" s="241"/>
      <c r="X873" s="241"/>
      <c r="Y873" s="241"/>
      <c r="Z873" s="241"/>
    </row>
    <row r="874" spans="1:26" ht="13.5" customHeight="1" x14ac:dyDescent="0.3">
      <c r="A874" s="241"/>
      <c r="B874" s="241"/>
      <c r="C874" s="241"/>
      <c r="D874" s="241"/>
      <c r="E874" s="241"/>
      <c r="F874" s="241"/>
      <c r="G874" s="241"/>
      <c r="H874" s="241"/>
      <c r="I874" s="241"/>
      <c r="J874" s="241"/>
      <c r="K874" s="241"/>
      <c r="L874" s="241"/>
      <c r="M874" s="241"/>
      <c r="N874" s="241"/>
      <c r="O874" s="241"/>
      <c r="P874" s="241"/>
      <c r="Q874" s="241"/>
      <c r="R874" s="241"/>
      <c r="S874" s="241"/>
      <c r="T874" s="241"/>
      <c r="U874" s="241"/>
      <c r="V874" s="241"/>
      <c r="W874" s="241"/>
      <c r="X874" s="241"/>
      <c r="Y874" s="241"/>
      <c r="Z874" s="241"/>
    </row>
    <row r="875" spans="1:26" ht="13.5" customHeight="1" x14ac:dyDescent="0.3">
      <c r="A875" s="241"/>
      <c r="B875" s="241"/>
      <c r="C875" s="241"/>
      <c r="D875" s="241"/>
      <c r="E875" s="241"/>
      <c r="F875" s="241"/>
      <c r="G875" s="241"/>
      <c r="H875" s="241"/>
      <c r="I875" s="241"/>
      <c r="J875" s="241"/>
      <c r="K875" s="241"/>
      <c r="L875" s="241"/>
      <c r="M875" s="241"/>
      <c r="N875" s="241"/>
      <c r="O875" s="241"/>
      <c r="P875" s="241"/>
      <c r="Q875" s="241"/>
      <c r="R875" s="241"/>
      <c r="S875" s="241"/>
      <c r="T875" s="241"/>
      <c r="U875" s="241"/>
      <c r="V875" s="241"/>
      <c r="W875" s="241"/>
      <c r="X875" s="241"/>
      <c r="Y875" s="241"/>
      <c r="Z875" s="241"/>
    </row>
    <row r="876" spans="1:26" ht="13.5" customHeight="1" x14ac:dyDescent="0.3">
      <c r="A876" s="241"/>
      <c r="B876" s="241"/>
      <c r="C876" s="241"/>
      <c r="D876" s="241"/>
      <c r="E876" s="241"/>
      <c r="F876" s="241"/>
      <c r="G876" s="241"/>
      <c r="H876" s="241"/>
      <c r="I876" s="241"/>
      <c r="J876" s="241"/>
      <c r="K876" s="241"/>
      <c r="L876" s="241"/>
      <c r="M876" s="241"/>
      <c r="N876" s="241"/>
      <c r="O876" s="241"/>
      <c r="P876" s="241"/>
      <c r="Q876" s="241"/>
      <c r="R876" s="241"/>
      <c r="S876" s="241"/>
      <c r="T876" s="241"/>
      <c r="U876" s="241"/>
      <c r="V876" s="241"/>
      <c r="W876" s="241"/>
      <c r="X876" s="241"/>
      <c r="Y876" s="241"/>
      <c r="Z876" s="241"/>
    </row>
    <row r="877" spans="1:26" ht="13.5" customHeight="1" x14ac:dyDescent="0.3">
      <c r="A877" s="241"/>
      <c r="B877" s="241"/>
      <c r="C877" s="241"/>
      <c r="D877" s="241"/>
      <c r="E877" s="241"/>
      <c r="F877" s="241"/>
      <c r="G877" s="241"/>
      <c r="H877" s="241"/>
      <c r="I877" s="241"/>
      <c r="J877" s="241"/>
      <c r="K877" s="241"/>
      <c r="L877" s="241"/>
      <c r="M877" s="241"/>
      <c r="N877" s="241"/>
      <c r="O877" s="241"/>
      <c r="P877" s="241"/>
      <c r="Q877" s="241"/>
      <c r="R877" s="241"/>
      <c r="S877" s="241"/>
      <c r="T877" s="241"/>
      <c r="U877" s="241"/>
      <c r="V877" s="241"/>
      <c r="W877" s="241"/>
      <c r="X877" s="241"/>
      <c r="Y877" s="241"/>
      <c r="Z877" s="241"/>
    </row>
    <row r="878" spans="1:26" ht="13.5" customHeight="1" x14ac:dyDescent="0.3">
      <c r="A878" s="241"/>
      <c r="B878" s="241"/>
      <c r="C878" s="241"/>
      <c r="D878" s="241"/>
      <c r="E878" s="241"/>
      <c r="F878" s="241"/>
      <c r="G878" s="241"/>
      <c r="H878" s="241"/>
      <c r="I878" s="241"/>
      <c r="J878" s="241"/>
      <c r="K878" s="241"/>
      <c r="L878" s="241"/>
      <c r="M878" s="241"/>
      <c r="N878" s="241"/>
      <c r="O878" s="241"/>
      <c r="P878" s="241"/>
      <c r="Q878" s="241"/>
      <c r="R878" s="241"/>
      <c r="S878" s="241"/>
      <c r="T878" s="241"/>
      <c r="U878" s="241"/>
      <c r="V878" s="241"/>
      <c r="W878" s="241"/>
      <c r="X878" s="241"/>
      <c r="Y878" s="241"/>
      <c r="Z878" s="241"/>
    </row>
    <row r="879" spans="1:26" ht="13.5" customHeight="1" x14ac:dyDescent="0.3">
      <c r="A879" s="241"/>
      <c r="B879" s="241"/>
      <c r="C879" s="241"/>
      <c r="D879" s="241"/>
      <c r="E879" s="241"/>
      <c r="F879" s="241"/>
      <c r="G879" s="241"/>
      <c r="H879" s="241"/>
      <c r="I879" s="241"/>
      <c r="J879" s="241"/>
      <c r="K879" s="241"/>
      <c r="L879" s="241"/>
      <c r="M879" s="241"/>
      <c r="N879" s="241"/>
      <c r="O879" s="241"/>
      <c r="P879" s="241"/>
      <c r="Q879" s="241"/>
      <c r="R879" s="241"/>
      <c r="S879" s="241"/>
      <c r="T879" s="241"/>
      <c r="U879" s="241"/>
      <c r="V879" s="241"/>
      <c r="W879" s="241"/>
      <c r="X879" s="241"/>
      <c r="Y879" s="241"/>
      <c r="Z879" s="241"/>
    </row>
    <row r="880" spans="1:26" ht="13.5" customHeight="1" x14ac:dyDescent="0.3">
      <c r="A880" s="241"/>
      <c r="B880" s="241"/>
      <c r="C880" s="241"/>
      <c r="D880" s="241"/>
      <c r="E880" s="241"/>
      <c r="F880" s="241"/>
      <c r="G880" s="241"/>
      <c r="H880" s="241"/>
      <c r="I880" s="241"/>
      <c r="J880" s="241"/>
      <c r="K880" s="241"/>
      <c r="L880" s="241"/>
      <c r="M880" s="241"/>
      <c r="N880" s="241"/>
      <c r="O880" s="241"/>
      <c r="P880" s="241"/>
      <c r="Q880" s="241"/>
      <c r="R880" s="241"/>
      <c r="S880" s="241"/>
      <c r="T880" s="241"/>
      <c r="U880" s="241"/>
      <c r="V880" s="241"/>
      <c r="W880" s="241"/>
      <c r="X880" s="241"/>
      <c r="Y880" s="241"/>
      <c r="Z880" s="241"/>
    </row>
    <row r="881" spans="1:26" ht="13.5" customHeight="1" x14ac:dyDescent="0.3">
      <c r="A881" s="241"/>
      <c r="B881" s="241"/>
      <c r="C881" s="241"/>
      <c r="D881" s="241"/>
      <c r="E881" s="241"/>
      <c r="F881" s="241"/>
      <c r="G881" s="241"/>
      <c r="H881" s="241"/>
      <c r="I881" s="241"/>
      <c r="J881" s="241"/>
      <c r="K881" s="241"/>
      <c r="L881" s="241"/>
      <c r="M881" s="241"/>
      <c r="N881" s="241"/>
      <c r="O881" s="241"/>
      <c r="P881" s="241"/>
      <c r="Q881" s="241"/>
      <c r="R881" s="241"/>
      <c r="S881" s="241"/>
      <c r="T881" s="241"/>
      <c r="U881" s="241"/>
      <c r="V881" s="241"/>
      <c r="W881" s="241"/>
      <c r="X881" s="241"/>
      <c r="Y881" s="241"/>
      <c r="Z881" s="241"/>
    </row>
    <row r="882" spans="1:26" ht="13.5" customHeight="1" x14ac:dyDescent="0.3">
      <c r="A882" s="241"/>
      <c r="B882" s="241"/>
      <c r="C882" s="241"/>
      <c r="D882" s="241"/>
      <c r="E882" s="241"/>
      <c r="F882" s="241"/>
      <c r="G882" s="241"/>
      <c r="H882" s="241"/>
      <c r="I882" s="241"/>
      <c r="J882" s="241"/>
      <c r="K882" s="241"/>
      <c r="L882" s="241"/>
      <c r="M882" s="241"/>
      <c r="N882" s="241"/>
      <c r="O882" s="241"/>
      <c r="P882" s="241"/>
      <c r="Q882" s="241"/>
      <c r="R882" s="241"/>
      <c r="S882" s="241"/>
      <c r="T882" s="241"/>
      <c r="U882" s="241"/>
      <c r="V882" s="241"/>
      <c r="W882" s="241"/>
      <c r="X882" s="241"/>
      <c r="Y882" s="241"/>
      <c r="Z882" s="241"/>
    </row>
    <row r="883" spans="1:26" ht="13.5" customHeight="1" x14ac:dyDescent="0.3">
      <c r="A883" s="241"/>
      <c r="B883" s="241"/>
      <c r="C883" s="241"/>
      <c r="D883" s="241"/>
      <c r="E883" s="241"/>
      <c r="F883" s="241"/>
      <c r="G883" s="241"/>
      <c r="H883" s="241"/>
      <c r="I883" s="241"/>
      <c r="J883" s="241"/>
      <c r="K883" s="241"/>
      <c r="L883" s="241"/>
      <c r="M883" s="241"/>
      <c r="N883" s="241"/>
      <c r="O883" s="241"/>
      <c r="P883" s="241"/>
      <c r="Q883" s="241"/>
      <c r="R883" s="241"/>
      <c r="S883" s="241"/>
      <c r="T883" s="241"/>
      <c r="U883" s="241"/>
      <c r="V883" s="241"/>
      <c r="W883" s="241"/>
      <c r="X883" s="241"/>
      <c r="Y883" s="241"/>
      <c r="Z883" s="241"/>
    </row>
    <row r="884" spans="1:26" ht="13.5" customHeight="1" x14ac:dyDescent="0.3">
      <c r="A884" s="241"/>
      <c r="B884" s="241"/>
      <c r="C884" s="241"/>
      <c r="D884" s="241"/>
      <c r="E884" s="241"/>
      <c r="F884" s="241"/>
      <c r="G884" s="241"/>
      <c r="H884" s="241"/>
      <c r="I884" s="241"/>
      <c r="J884" s="241"/>
      <c r="K884" s="241"/>
      <c r="L884" s="241"/>
      <c r="M884" s="241"/>
      <c r="N884" s="241"/>
      <c r="O884" s="241"/>
      <c r="P884" s="241"/>
      <c r="Q884" s="241"/>
      <c r="R884" s="241"/>
      <c r="S884" s="241"/>
      <c r="T884" s="241"/>
      <c r="U884" s="241"/>
      <c r="V884" s="241"/>
      <c r="W884" s="241"/>
      <c r="X884" s="241"/>
      <c r="Y884" s="241"/>
      <c r="Z884" s="241"/>
    </row>
    <row r="885" spans="1:26" ht="13.5" customHeight="1" x14ac:dyDescent="0.3">
      <c r="A885" s="241"/>
      <c r="B885" s="241"/>
      <c r="C885" s="241"/>
      <c r="D885" s="241"/>
      <c r="E885" s="241"/>
      <c r="F885" s="241"/>
      <c r="G885" s="241"/>
      <c r="H885" s="241"/>
      <c r="I885" s="241"/>
      <c r="J885" s="241"/>
      <c r="K885" s="241"/>
      <c r="L885" s="241"/>
      <c r="M885" s="241"/>
      <c r="N885" s="241"/>
      <c r="O885" s="241"/>
      <c r="P885" s="241"/>
      <c r="Q885" s="241"/>
      <c r="R885" s="241"/>
      <c r="S885" s="241"/>
      <c r="T885" s="241"/>
      <c r="U885" s="241"/>
      <c r="V885" s="241"/>
      <c r="W885" s="241"/>
      <c r="X885" s="241"/>
      <c r="Y885" s="241"/>
      <c r="Z885" s="241"/>
    </row>
    <row r="886" spans="1:26" ht="13.5" customHeight="1" x14ac:dyDescent="0.3">
      <c r="A886" s="241"/>
      <c r="B886" s="241"/>
      <c r="C886" s="241"/>
      <c r="D886" s="241"/>
      <c r="E886" s="241"/>
      <c r="F886" s="241"/>
      <c r="G886" s="241"/>
      <c r="H886" s="241"/>
      <c r="I886" s="241"/>
      <c r="J886" s="241"/>
      <c r="K886" s="241"/>
      <c r="L886" s="241"/>
      <c r="M886" s="241"/>
      <c r="N886" s="241"/>
      <c r="O886" s="241"/>
      <c r="P886" s="241"/>
      <c r="Q886" s="241"/>
      <c r="R886" s="241"/>
      <c r="S886" s="241"/>
      <c r="T886" s="241"/>
      <c r="U886" s="241"/>
      <c r="V886" s="241"/>
      <c r="W886" s="241"/>
      <c r="X886" s="241"/>
      <c r="Y886" s="241"/>
      <c r="Z886" s="241"/>
    </row>
    <row r="887" spans="1:26" ht="13.5" customHeight="1" x14ac:dyDescent="0.3">
      <c r="A887" s="241"/>
      <c r="B887" s="241"/>
      <c r="C887" s="241"/>
      <c r="D887" s="241"/>
      <c r="E887" s="241"/>
      <c r="F887" s="241"/>
      <c r="G887" s="241"/>
      <c r="H887" s="241"/>
      <c r="I887" s="241"/>
      <c r="J887" s="241"/>
      <c r="K887" s="241"/>
      <c r="L887" s="241"/>
      <c r="M887" s="241"/>
      <c r="N887" s="241"/>
      <c r="O887" s="241"/>
      <c r="P887" s="241"/>
      <c r="Q887" s="241"/>
      <c r="R887" s="241"/>
      <c r="S887" s="241"/>
      <c r="T887" s="241"/>
      <c r="U887" s="241"/>
      <c r="V887" s="241"/>
      <c r="W887" s="241"/>
      <c r="X887" s="241"/>
      <c r="Y887" s="241"/>
      <c r="Z887" s="241"/>
    </row>
    <row r="888" spans="1:26" ht="13.5" customHeight="1" x14ac:dyDescent="0.3">
      <c r="A888" s="241"/>
      <c r="B888" s="241"/>
      <c r="C888" s="241"/>
      <c r="D888" s="241"/>
      <c r="E888" s="241"/>
      <c r="F888" s="241"/>
      <c r="G888" s="241"/>
      <c r="H888" s="241"/>
      <c r="I888" s="241"/>
      <c r="J888" s="241"/>
      <c r="K888" s="241"/>
      <c r="L888" s="241"/>
      <c r="M888" s="241"/>
      <c r="N888" s="241"/>
      <c r="O888" s="241"/>
      <c r="P888" s="241"/>
      <c r="Q888" s="241"/>
      <c r="R888" s="241"/>
      <c r="S888" s="241"/>
      <c r="T888" s="241"/>
      <c r="U888" s="241"/>
      <c r="V888" s="241"/>
      <c r="W888" s="241"/>
      <c r="X888" s="241"/>
      <c r="Y888" s="241"/>
      <c r="Z888" s="241"/>
    </row>
    <row r="889" spans="1:26" ht="13.5" customHeight="1" x14ac:dyDescent="0.3">
      <c r="A889" s="241"/>
      <c r="B889" s="241"/>
      <c r="C889" s="241"/>
      <c r="D889" s="241"/>
      <c r="E889" s="241"/>
      <c r="F889" s="241"/>
      <c r="G889" s="241"/>
      <c r="H889" s="241"/>
      <c r="I889" s="241"/>
      <c r="J889" s="241"/>
      <c r="K889" s="241"/>
      <c r="L889" s="241"/>
      <c r="M889" s="241"/>
      <c r="N889" s="241"/>
      <c r="O889" s="241"/>
      <c r="P889" s="241"/>
      <c r="Q889" s="241"/>
      <c r="R889" s="241"/>
      <c r="S889" s="241"/>
      <c r="T889" s="241"/>
      <c r="U889" s="241"/>
      <c r="V889" s="241"/>
      <c r="W889" s="241"/>
      <c r="X889" s="241"/>
      <c r="Y889" s="241"/>
      <c r="Z889" s="241"/>
    </row>
    <row r="890" spans="1:26" ht="13.5" customHeight="1" x14ac:dyDescent="0.3">
      <c r="A890" s="241"/>
      <c r="B890" s="241"/>
      <c r="C890" s="241"/>
      <c r="D890" s="241"/>
      <c r="E890" s="241"/>
      <c r="F890" s="241"/>
      <c r="G890" s="241"/>
      <c r="H890" s="241"/>
      <c r="I890" s="241"/>
      <c r="J890" s="241"/>
      <c r="K890" s="241"/>
      <c r="L890" s="241"/>
      <c r="M890" s="241"/>
      <c r="N890" s="241"/>
      <c r="O890" s="241"/>
      <c r="P890" s="241"/>
      <c r="Q890" s="241"/>
      <c r="R890" s="241"/>
      <c r="S890" s="241"/>
      <c r="T890" s="241"/>
      <c r="U890" s="241"/>
      <c r="V890" s="241"/>
      <c r="W890" s="241"/>
      <c r="X890" s="241"/>
      <c r="Y890" s="241"/>
      <c r="Z890" s="241"/>
    </row>
    <row r="891" spans="1:26" ht="13.5" customHeight="1" x14ac:dyDescent="0.3">
      <c r="A891" s="241"/>
      <c r="B891" s="241"/>
      <c r="C891" s="241"/>
      <c r="D891" s="241"/>
      <c r="E891" s="241"/>
      <c r="F891" s="241"/>
      <c r="G891" s="241"/>
      <c r="H891" s="241"/>
      <c r="I891" s="241"/>
      <c r="J891" s="241"/>
      <c r="K891" s="241"/>
      <c r="L891" s="241"/>
      <c r="M891" s="241"/>
      <c r="N891" s="241"/>
      <c r="O891" s="241"/>
      <c r="P891" s="241"/>
      <c r="Q891" s="241"/>
      <c r="R891" s="241"/>
      <c r="S891" s="241"/>
      <c r="T891" s="241"/>
      <c r="U891" s="241"/>
      <c r="V891" s="241"/>
      <c r="W891" s="241"/>
      <c r="X891" s="241"/>
      <c r="Y891" s="241"/>
      <c r="Z891" s="241"/>
    </row>
    <row r="892" spans="1:26" ht="13.5" customHeight="1" x14ac:dyDescent="0.3">
      <c r="A892" s="241"/>
      <c r="B892" s="241"/>
      <c r="C892" s="241"/>
      <c r="D892" s="241"/>
      <c r="E892" s="241"/>
      <c r="F892" s="241"/>
      <c r="G892" s="241"/>
      <c r="H892" s="241"/>
      <c r="I892" s="241"/>
      <c r="J892" s="241"/>
      <c r="K892" s="241"/>
      <c r="L892" s="241"/>
      <c r="M892" s="241"/>
      <c r="N892" s="241"/>
      <c r="O892" s="241"/>
      <c r="P892" s="241"/>
      <c r="Q892" s="241"/>
      <c r="R892" s="241"/>
      <c r="S892" s="241"/>
      <c r="T892" s="241"/>
      <c r="U892" s="241"/>
      <c r="V892" s="241"/>
      <c r="W892" s="241"/>
      <c r="X892" s="241"/>
      <c r="Y892" s="241"/>
      <c r="Z892" s="241"/>
    </row>
    <row r="893" spans="1:26" ht="13.5" customHeight="1" x14ac:dyDescent="0.3">
      <c r="A893" s="241"/>
      <c r="B893" s="241"/>
      <c r="C893" s="241"/>
      <c r="D893" s="241"/>
      <c r="E893" s="241"/>
      <c r="F893" s="241"/>
      <c r="G893" s="241"/>
      <c r="H893" s="241"/>
      <c r="I893" s="241"/>
      <c r="J893" s="241"/>
      <c r="K893" s="241"/>
      <c r="L893" s="241"/>
      <c r="M893" s="241"/>
      <c r="N893" s="241"/>
      <c r="O893" s="241"/>
      <c r="P893" s="241"/>
      <c r="Q893" s="241"/>
      <c r="R893" s="241"/>
      <c r="S893" s="241"/>
      <c r="T893" s="241"/>
      <c r="U893" s="241"/>
      <c r="V893" s="241"/>
      <c r="W893" s="241"/>
      <c r="X893" s="241"/>
      <c r="Y893" s="241"/>
      <c r="Z893" s="241"/>
    </row>
    <row r="894" spans="1:26" ht="13.5" customHeight="1" x14ac:dyDescent="0.3">
      <c r="A894" s="241"/>
      <c r="B894" s="241"/>
      <c r="C894" s="241"/>
      <c r="D894" s="241"/>
      <c r="E894" s="241"/>
      <c r="F894" s="241"/>
      <c r="G894" s="241"/>
      <c r="H894" s="241"/>
      <c r="I894" s="241"/>
      <c r="J894" s="241"/>
      <c r="K894" s="241"/>
      <c r="L894" s="241"/>
      <c r="M894" s="241"/>
      <c r="N894" s="241"/>
      <c r="O894" s="241"/>
      <c r="P894" s="241"/>
      <c r="Q894" s="241"/>
      <c r="R894" s="241"/>
      <c r="S894" s="241"/>
      <c r="T894" s="241"/>
      <c r="U894" s="241"/>
      <c r="V894" s="241"/>
      <c r="W894" s="241"/>
      <c r="X894" s="241"/>
      <c r="Y894" s="241"/>
      <c r="Z894" s="241"/>
    </row>
    <row r="895" spans="1:26" ht="13.5" customHeight="1" x14ac:dyDescent="0.3">
      <c r="A895" s="241"/>
      <c r="B895" s="241"/>
      <c r="C895" s="241"/>
      <c r="D895" s="241"/>
      <c r="E895" s="241"/>
      <c r="F895" s="241"/>
      <c r="G895" s="241"/>
      <c r="H895" s="241"/>
      <c r="I895" s="241"/>
      <c r="J895" s="241"/>
      <c r="K895" s="241"/>
      <c r="L895" s="241"/>
      <c r="M895" s="241"/>
      <c r="N895" s="241"/>
      <c r="O895" s="241"/>
      <c r="P895" s="241"/>
      <c r="Q895" s="241"/>
      <c r="R895" s="241"/>
      <c r="S895" s="241"/>
      <c r="T895" s="241"/>
      <c r="U895" s="241"/>
      <c r="V895" s="241"/>
      <c r="W895" s="241"/>
      <c r="X895" s="241"/>
      <c r="Y895" s="241"/>
      <c r="Z895" s="241"/>
    </row>
    <row r="896" spans="1:26" ht="13.5" customHeight="1" x14ac:dyDescent="0.3">
      <c r="A896" s="241"/>
      <c r="B896" s="241"/>
      <c r="C896" s="241"/>
      <c r="D896" s="241"/>
      <c r="E896" s="241"/>
      <c r="F896" s="241"/>
      <c r="G896" s="241"/>
      <c r="H896" s="241"/>
      <c r="I896" s="241"/>
      <c r="J896" s="241"/>
      <c r="K896" s="241"/>
      <c r="L896" s="241"/>
      <c r="M896" s="241"/>
      <c r="N896" s="241"/>
      <c r="O896" s="241"/>
      <c r="P896" s="241"/>
      <c r="Q896" s="241"/>
      <c r="R896" s="241"/>
      <c r="S896" s="241"/>
      <c r="T896" s="241"/>
      <c r="U896" s="241"/>
      <c r="V896" s="241"/>
      <c r="W896" s="241"/>
      <c r="X896" s="241"/>
      <c r="Y896" s="241"/>
      <c r="Z896" s="241"/>
    </row>
    <row r="897" spans="1:26" ht="13.5" customHeight="1" x14ac:dyDescent="0.3">
      <c r="A897" s="241"/>
      <c r="B897" s="241"/>
      <c r="C897" s="241"/>
      <c r="D897" s="241"/>
      <c r="E897" s="241"/>
      <c r="F897" s="241"/>
      <c r="G897" s="241"/>
      <c r="H897" s="241"/>
      <c r="I897" s="241"/>
      <c r="J897" s="241"/>
      <c r="K897" s="241"/>
      <c r="L897" s="241"/>
      <c r="M897" s="241"/>
      <c r="N897" s="241"/>
      <c r="O897" s="241"/>
      <c r="P897" s="241"/>
      <c r="Q897" s="241"/>
      <c r="R897" s="241"/>
      <c r="S897" s="241"/>
      <c r="T897" s="241"/>
      <c r="U897" s="241"/>
      <c r="V897" s="241"/>
      <c r="W897" s="241"/>
      <c r="X897" s="241"/>
      <c r="Y897" s="241"/>
      <c r="Z897" s="241"/>
    </row>
    <row r="898" spans="1:26" ht="13.5" customHeight="1" x14ac:dyDescent="0.3">
      <c r="A898" s="241"/>
      <c r="B898" s="241"/>
      <c r="C898" s="241"/>
      <c r="D898" s="241"/>
      <c r="E898" s="241"/>
      <c r="F898" s="241"/>
      <c r="G898" s="241"/>
      <c r="H898" s="241"/>
      <c r="I898" s="241"/>
      <c r="J898" s="241"/>
      <c r="K898" s="241"/>
      <c r="L898" s="241"/>
      <c r="M898" s="241"/>
      <c r="N898" s="241"/>
      <c r="O898" s="241"/>
      <c r="P898" s="241"/>
      <c r="Q898" s="241"/>
      <c r="R898" s="241"/>
      <c r="S898" s="241"/>
      <c r="T898" s="241"/>
      <c r="U898" s="241"/>
      <c r="V898" s="241"/>
      <c r="W898" s="241"/>
      <c r="X898" s="241"/>
      <c r="Y898" s="241"/>
      <c r="Z898" s="241"/>
    </row>
    <row r="899" spans="1:26" ht="13.5" customHeight="1" x14ac:dyDescent="0.3">
      <c r="A899" s="241"/>
      <c r="B899" s="241"/>
      <c r="C899" s="241"/>
      <c r="D899" s="241"/>
      <c r="E899" s="241"/>
      <c r="F899" s="241"/>
      <c r="G899" s="241"/>
      <c r="H899" s="241"/>
      <c r="I899" s="241"/>
      <c r="J899" s="241"/>
      <c r="K899" s="241"/>
      <c r="L899" s="241"/>
      <c r="M899" s="241"/>
      <c r="N899" s="241"/>
      <c r="O899" s="241"/>
      <c r="P899" s="241"/>
      <c r="Q899" s="241"/>
      <c r="R899" s="241"/>
      <c r="S899" s="241"/>
      <c r="T899" s="241"/>
      <c r="U899" s="241"/>
      <c r="V899" s="241"/>
      <c r="W899" s="241"/>
      <c r="X899" s="241"/>
      <c r="Y899" s="241"/>
      <c r="Z899" s="241"/>
    </row>
    <row r="900" spans="1:26" ht="13.5" customHeight="1" x14ac:dyDescent="0.3">
      <c r="A900" s="241"/>
      <c r="B900" s="241"/>
      <c r="C900" s="241"/>
      <c r="D900" s="241"/>
      <c r="E900" s="241"/>
      <c r="F900" s="241"/>
      <c r="G900" s="241"/>
      <c r="H900" s="241"/>
      <c r="I900" s="241"/>
      <c r="J900" s="241"/>
      <c r="K900" s="241"/>
      <c r="L900" s="241"/>
      <c r="M900" s="241"/>
      <c r="N900" s="241"/>
      <c r="O900" s="241"/>
      <c r="P900" s="241"/>
      <c r="Q900" s="241"/>
      <c r="R900" s="241"/>
      <c r="S900" s="241"/>
      <c r="T900" s="241"/>
      <c r="U900" s="241"/>
      <c r="V900" s="241"/>
      <c r="W900" s="241"/>
      <c r="X900" s="241"/>
      <c r="Y900" s="241"/>
      <c r="Z900" s="241"/>
    </row>
    <row r="901" spans="1:26" ht="13.5" customHeight="1" x14ac:dyDescent="0.3">
      <c r="A901" s="241"/>
      <c r="B901" s="241"/>
      <c r="C901" s="241"/>
      <c r="D901" s="241"/>
      <c r="E901" s="241"/>
      <c r="F901" s="241"/>
      <c r="G901" s="241"/>
      <c r="H901" s="241"/>
      <c r="I901" s="241"/>
      <c r="J901" s="241"/>
      <c r="K901" s="241"/>
      <c r="L901" s="241"/>
      <c r="M901" s="241"/>
      <c r="N901" s="241"/>
      <c r="O901" s="241"/>
      <c r="P901" s="241"/>
      <c r="Q901" s="241"/>
      <c r="R901" s="241"/>
      <c r="S901" s="241"/>
      <c r="T901" s="241"/>
      <c r="U901" s="241"/>
      <c r="V901" s="241"/>
      <c r="W901" s="241"/>
      <c r="X901" s="241"/>
      <c r="Y901" s="241"/>
      <c r="Z901" s="241"/>
    </row>
    <row r="902" spans="1:26" ht="13.5" customHeight="1" x14ac:dyDescent="0.3">
      <c r="A902" s="241"/>
      <c r="B902" s="241"/>
      <c r="C902" s="241"/>
      <c r="D902" s="241"/>
      <c r="E902" s="241"/>
      <c r="F902" s="241"/>
      <c r="G902" s="241"/>
      <c r="H902" s="241"/>
      <c r="I902" s="241"/>
      <c r="J902" s="241"/>
      <c r="K902" s="241"/>
      <c r="L902" s="241"/>
      <c r="M902" s="241"/>
      <c r="N902" s="241"/>
      <c r="O902" s="241"/>
      <c r="P902" s="241"/>
      <c r="Q902" s="241"/>
      <c r="R902" s="241"/>
      <c r="S902" s="241"/>
      <c r="T902" s="241"/>
      <c r="U902" s="241"/>
      <c r="V902" s="241"/>
      <c r="W902" s="241"/>
      <c r="X902" s="241"/>
      <c r="Y902" s="241"/>
      <c r="Z902" s="241"/>
    </row>
    <row r="903" spans="1:26" ht="13.5" customHeight="1" x14ac:dyDescent="0.3">
      <c r="A903" s="241"/>
      <c r="B903" s="241"/>
      <c r="C903" s="241"/>
      <c r="D903" s="241"/>
      <c r="E903" s="241"/>
      <c r="F903" s="241"/>
      <c r="G903" s="241"/>
      <c r="H903" s="241"/>
      <c r="I903" s="241"/>
      <c r="J903" s="241"/>
      <c r="K903" s="241"/>
      <c r="L903" s="241"/>
      <c r="M903" s="241"/>
      <c r="N903" s="241"/>
      <c r="O903" s="241"/>
      <c r="P903" s="241"/>
      <c r="Q903" s="241"/>
      <c r="R903" s="241"/>
      <c r="S903" s="241"/>
      <c r="T903" s="241"/>
      <c r="U903" s="241"/>
      <c r="V903" s="241"/>
      <c r="W903" s="241"/>
      <c r="X903" s="241"/>
      <c r="Y903" s="241"/>
      <c r="Z903" s="241"/>
    </row>
    <row r="904" spans="1:26" ht="13.5" customHeight="1" x14ac:dyDescent="0.3">
      <c r="A904" s="241"/>
      <c r="B904" s="241"/>
      <c r="C904" s="241"/>
      <c r="D904" s="241"/>
      <c r="E904" s="241"/>
      <c r="F904" s="241"/>
      <c r="G904" s="241"/>
      <c r="H904" s="241"/>
      <c r="I904" s="241"/>
      <c r="J904" s="241"/>
      <c r="K904" s="241"/>
      <c r="L904" s="241"/>
      <c r="M904" s="241"/>
      <c r="N904" s="241"/>
      <c r="O904" s="241"/>
      <c r="P904" s="241"/>
      <c r="Q904" s="241"/>
      <c r="R904" s="241"/>
      <c r="S904" s="241"/>
      <c r="T904" s="241"/>
      <c r="U904" s="241"/>
      <c r="V904" s="241"/>
      <c r="W904" s="241"/>
      <c r="X904" s="241"/>
      <c r="Y904" s="241"/>
      <c r="Z904" s="241"/>
    </row>
    <row r="905" spans="1:26" ht="13.5" customHeight="1" x14ac:dyDescent="0.3">
      <c r="A905" s="241"/>
      <c r="B905" s="241"/>
      <c r="C905" s="241"/>
      <c r="D905" s="241"/>
      <c r="E905" s="241"/>
      <c r="F905" s="241"/>
      <c r="G905" s="241"/>
      <c r="H905" s="241"/>
      <c r="I905" s="241"/>
      <c r="J905" s="241"/>
      <c r="K905" s="241"/>
      <c r="L905" s="241"/>
      <c r="M905" s="241"/>
      <c r="N905" s="241"/>
      <c r="O905" s="241"/>
      <c r="P905" s="241"/>
      <c r="Q905" s="241"/>
      <c r="R905" s="241"/>
      <c r="S905" s="241"/>
      <c r="T905" s="241"/>
      <c r="U905" s="241"/>
      <c r="V905" s="241"/>
      <c r="W905" s="241"/>
      <c r="X905" s="241"/>
      <c r="Y905" s="241"/>
      <c r="Z905" s="241"/>
    </row>
    <row r="906" spans="1:26" ht="13.5" customHeight="1" x14ac:dyDescent="0.3">
      <c r="A906" s="241"/>
      <c r="B906" s="241"/>
      <c r="C906" s="241"/>
      <c r="D906" s="241"/>
      <c r="E906" s="241"/>
      <c r="F906" s="241"/>
      <c r="G906" s="241"/>
      <c r="H906" s="241"/>
      <c r="I906" s="241"/>
      <c r="J906" s="241"/>
      <c r="K906" s="241"/>
      <c r="L906" s="241"/>
      <c r="M906" s="241"/>
      <c r="N906" s="241"/>
      <c r="O906" s="241"/>
      <c r="P906" s="241"/>
      <c r="Q906" s="241"/>
      <c r="R906" s="241"/>
      <c r="S906" s="241"/>
      <c r="T906" s="241"/>
      <c r="U906" s="241"/>
      <c r="V906" s="241"/>
      <c r="W906" s="241"/>
      <c r="X906" s="241"/>
      <c r="Y906" s="241"/>
      <c r="Z906" s="241"/>
    </row>
    <row r="907" spans="1:26" ht="13.5" customHeight="1" x14ac:dyDescent="0.3">
      <c r="A907" s="241"/>
      <c r="B907" s="241"/>
      <c r="C907" s="241"/>
      <c r="D907" s="241"/>
      <c r="E907" s="241"/>
      <c r="F907" s="241"/>
      <c r="G907" s="241"/>
      <c r="H907" s="241"/>
      <c r="I907" s="241"/>
      <c r="J907" s="241"/>
      <c r="K907" s="241"/>
      <c r="L907" s="241"/>
      <c r="M907" s="241"/>
      <c r="N907" s="241"/>
      <c r="O907" s="241"/>
      <c r="P907" s="241"/>
      <c r="Q907" s="241"/>
      <c r="R907" s="241"/>
      <c r="S907" s="241"/>
      <c r="T907" s="241"/>
      <c r="U907" s="241"/>
      <c r="V907" s="241"/>
      <c r="W907" s="241"/>
      <c r="X907" s="241"/>
      <c r="Y907" s="241"/>
      <c r="Z907" s="241"/>
    </row>
    <row r="908" spans="1:26" ht="13.5" customHeight="1" x14ac:dyDescent="0.3">
      <c r="A908" s="241"/>
      <c r="B908" s="241"/>
      <c r="C908" s="241"/>
      <c r="D908" s="241"/>
      <c r="E908" s="241"/>
      <c r="F908" s="241"/>
      <c r="G908" s="241"/>
      <c r="H908" s="241"/>
      <c r="I908" s="241"/>
      <c r="J908" s="241"/>
      <c r="K908" s="241"/>
      <c r="L908" s="241"/>
      <c r="M908" s="241"/>
      <c r="N908" s="241"/>
      <c r="O908" s="241"/>
      <c r="P908" s="241"/>
      <c r="Q908" s="241"/>
      <c r="R908" s="241"/>
      <c r="S908" s="241"/>
      <c r="T908" s="241"/>
      <c r="U908" s="241"/>
      <c r="V908" s="241"/>
      <c r="W908" s="241"/>
      <c r="X908" s="241"/>
      <c r="Y908" s="241"/>
      <c r="Z908" s="241"/>
    </row>
    <row r="909" spans="1:26" ht="13.5" customHeight="1" x14ac:dyDescent="0.3">
      <c r="A909" s="241"/>
      <c r="B909" s="241"/>
      <c r="C909" s="241"/>
      <c r="D909" s="241"/>
      <c r="E909" s="241"/>
      <c r="F909" s="241"/>
      <c r="G909" s="241"/>
      <c r="H909" s="241"/>
      <c r="I909" s="241"/>
      <c r="J909" s="241"/>
      <c r="K909" s="241"/>
      <c r="L909" s="241"/>
      <c r="M909" s="241"/>
      <c r="N909" s="241"/>
      <c r="O909" s="241"/>
      <c r="P909" s="241"/>
      <c r="Q909" s="241"/>
      <c r="R909" s="241"/>
      <c r="S909" s="241"/>
      <c r="T909" s="241"/>
      <c r="U909" s="241"/>
      <c r="V909" s="241"/>
      <c r="W909" s="241"/>
      <c r="X909" s="241"/>
      <c r="Y909" s="241"/>
      <c r="Z909" s="241"/>
    </row>
    <row r="910" spans="1:26" ht="13.5" customHeight="1" x14ac:dyDescent="0.3">
      <c r="A910" s="241"/>
      <c r="B910" s="241"/>
      <c r="C910" s="241"/>
      <c r="D910" s="241"/>
      <c r="E910" s="241"/>
      <c r="F910" s="241"/>
      <c r="G910" s="241"/>
      <c r="H910" s="241"/>
      <c r="I910" s="241"/>
      <c r="J910" s="241"/>
      <c r="K910" s="241"/>
      <c r="L910" s="241"/>
      <c r="M910" s="241"/>
      <c r="N910" s="241"/>
      <c r="O910" s="241"/>
      <c r="P910" s="241"/>
      <c r="Q910" s="241"/>
      <c r="R910" s="241"/>
      <c r="S910" s="241"/>
      <c r="T910" s="241"/>
      <c r="U910" s="241"/>
      <c r="V910" s="241"/>
      <c r="W910" s="241"/>
      <c r="X910" s="241"/>
      <c r="Y910" s="241"/>
      <c r="Z910" s="241"/>
    </row>
    <row r="911" spans="1:26" ht="13.5" customHeight="1" x14ac:dyDescent="0.3">
      <c r="A911" s="241"/>
      <c r="B911" s="241"/>
      <c r="C911" s="241"/>
      <c r="D911" s="241"/>
      <c r="E911" s="241"/>
      <c r="F911" s="241"/>
      <c r="G911" s="241"/>
      <c r="H911" s="241"/>
      <c r="I911" s="241"/>
      <c r="J911" s="241"/>
      <c r="K911" s="241"/>
      <c r="L911" s="241"/>
      <c r="M911" s="241"/>
      <c r="N911" s="241"/>
      <c r="O911" s="241"/>
      <c r="P911" s="241"/>
      <c r="Q911" s="241"/>
      <c r="R911" s="241"/>
      <c r="S911" s="241"/>
      <c r="T911" s="241"/>
      <c r="U911" s="241"/>
      <c r="V911" s="241"/>
      <c r="W911" s="241"/>
      <c r="X911" s="241"/>
      <c r="Y911" s="241"/>
      <c r="Z911" s="241"/>
    </row>
    <row r="912" spans="1:26" ht="13.5" customHeight="1" x14ac:dyDescent="0.3">
      <c r="A912" s="241"/>
      <c r="B912" s="241"/>
      <c r="C912" s="241"/>
      <c r="D912" s="241"/>
      <c r="E912" s="241"/>
      <c r="F912" s="241"/>
      <c r="G912" s="241"/>
      <c r="H912" s="241"/>
      <c r="I912" s="241"/>
      <c r="J912" s="241"/>
      <c r="K912" s="241"/>
      <c r="L912" s="241"/>
      <c r="M912" s="241"/>
      <c r="N912" s="241"/>
      <c r="O912" s="241"/>
      <c r="P912" s="241"/>
      <c r="Q912" s="241"/>
      <c r="R912" s="241"/>
      <c r="S912" s="241"/>
      <c r="T912" s="241"/>
      <c r="U912" s="241"/>
      <c r="V912" s="241"/>
      <c r="W912" s="241"/>
      <c r="X912" s="241"/>
      <c r="Y912" s="241"/>
      <c r="Z912" s="241"/>
    </row>
    <row r="913" spans="1:26" ht="13.5" customHeight="1" x14ac:dyDescent="0.3">
      <c r="A913" s="241"/>
      <c r="B913" s="241"/>
      <c r="C913" s="241"/>
      <c r="D913" s="241"/>
      <c r="E913" s="241"/>
      <c r="F913" s="241"/>
      <c r="G913" s="241"/>
      <c r="H913" s="241"/>
      <c r="I913" s="241"/>
      <c r="J913" s="241"/>
      <c r="K913" s="241"/>
      <c r="L913" s="241"/>
      <c r="M913" s="241"/>
      <c r="N913" s="241"/>
      <c r="O913" s="241"/>
      <c r="P913" s="241"/>
      <c r="Q913" s="241"/>
      <c r="R913" s="241"/>
      <c r="S913" s="241"/>
      <c r="T913" s="241"/>
      <c r="U913" s="241"/>
      <c r="V913" s="241"/>
      <c r="W913" s="241"/>
      <c r="X913" s="241"/>
      <c r="Y913" s="241"/>
      <c r="Z913" s="241"/>
    </row>
    <row r="914" spans="1:26" ht="13.5" customHeight="1" x14ac:dyDescent="0.3">
      <c r="A914" s="241"/>
      <c r="B914" s="241"/>
      <c r="C914" s="241"/>
      <c r="D914" s="241"/>
      <c r="E914" s="241"/>
      <c r="F914" s="241"/>
      <c r="G914" s="241"/>
      <c r="H914" s="241"/>
      <c r="I914" s="241"/>
      <c r="J914" s="241"/>
      <c r="K914" s="241"/>
      <c r="L914" s="241"/>
      <c r="M914" s="241"/>
      <c r="N914" s="241"/>
      <c r="O914" s="241"/>
      <c r="P914" s="241"/>
      <c r="Q914" s="241"/>
      <c r="R914" s="241"/>
      <c r="S914" s="241"/>
      <c r="T914" s="241"/>
      <c r="U914" s="241"/>
      <c r="V914" s="241"/>
      <c r="W914" s="241"/>
      <c r="X914" s="241"/>
      <c r="Y914" s="241"/>
      <c r="Z914" s="241"/>
    </row>
    <row r="915" spans="1:26" ht="13.5" customHeight="1" x14ac:dyDescent="0.3">
      <c r="A915" s="241"/>
      <c r="B915" s="241"/>
      <c r="C915" s="241"/>
      <c r="D915" s="241"/>
      <c r="E915" s="241"/>
      <c r="F915" s="241"/>
      <c r="G915" s="241"/>
      <c r="H915" s="241"/>
      <c r="I915" s="241"/>
      <c r="J915" s="241"/>
      <c r="K915" s="241"/>
      <c r="L915" s="241"/>
      <c r="M915" s="241"/>
      <c r="N915" s="241"/>
      <c r="O915" s="241"/>
      <c r="P915" s="241"/>
      <c r="Q915" s="241"/>
      <c r="R915" s="241"/>
      <c r="S915" s="241"/>
      <c r="T915" s="241"/>
      <c r="U915" s="241"/>
      <c r="V915" s="241"/>
      <c r="W915" s="241"/>
      <c r="X915" s="241"/>
      <c r="Y915" s="241"/>
      <c r="Z915" s="241"/>
    </row>
    <row r="916" spans="1:26" ht="13.5" customHeight="1" x14ac:dyDescent="0.3">
      <c r="A916" s="241"/>
      <c r="B916" s="241"/>
      <c r="C916" s="241"/>
      <c r="D916" s="241"/>
      <c r="E916" s="241"/>
      <c r="F916" s="241"/>
      <c r="G916" s="241"/>
      <c r="H916" s="241"/>
      <c r="I916" s="241"/>
      <c r="J916" s="241"/>
      <c r="K916" s="241"/>
      <c r="L916" s="241"/>
      <c r="M916" s="241"/>
      <c r="N916" s="241"/>
      <c r="O916" s="241"/>
      <c r="P916" s="241"/>
      <c r="Q916" s="241"/>
      <c r="R916" s="241"/>
      <c r="S916" s="241"/>
      <c r="T916" s="241"/>
      <c r="U916" s="241"/>
      <c r="V916" s="241"/>
      <c r="W916" s="241"/>
      <c r="X916" s="241"/>
      <c r="Y916" s="241"/>
      <c r="Z916" s="241"/>
    </row>
    <row r="917" spans="1:26" ht="13.5" customHeight="1" x14ac:dyDescent="0.3">
      <c r="A917" s="241"/>
      <c r="B917" s="241"/>
      <c r="C917" s="241"/>
      <c r="D917" s="241"/>
      <c r="E917" s="241"/>
      <c r="F917" s="241"/>
      <c r="G917" s="241"/>
      <c r="H917" s="241"/>
      <c r="I917" s="241"/>
      <c r="J917" s="241"/>
      <c r="K917" s="241"/>
      <c r="L917" s="241"/>
      <c r="M917" s="241"/>
      <c r="N917" s="241"/>
      <c r="O917" s="241"/>
      <c r="P917" s="241"/>
      <c r="Q917" s="241"/>
      <c r="R917" s="241"/>
      <c r="S917" s="241"/>
      <c r="T917" s="241"/>
      <c r="U917" s="241"/>
      <c r="V917" s="241"/>
      <c r="W917" s="241"/>
      <c r="X917" s="241"/>
      <c r="Y917" s="241"/>
      <c r="Z917" s="241"/>
    </row>
    <row r="918" spans="1:26" ht="13.5" customHeight="1" x14ac:dyDescent="0.3">
      <c r="A918" s="241"/>
      <c r="B918" s="241"/>
      <c r="C918" s="241"/>
      <c r="D918" s="241"/>
      <c r="E918" s="241"/>
      <c r="F918" s="241"/>
      <c r="G918" s="241"/>
      <c r="H918" s="241"/>
      <c r="I918" s="241"/>
      <c r="J918" s="241"/>
      <c r="K918" s="241"/>
      <c r="L918" s="241"/>
      <c r="M918" s="241"/>
      <c r="N918" s="241"/>
      <c r="O918" s="241"/>
      <c r="P918" s="241"/>
      <c r="Q918" s="241"/>
      <c r="R918" s="241"/>
      <c r="S918" s="241"/>
      <c r="T918" s="241"/>
      <c r="U918" s="241"/>
      <c r="V918" s="241"/>
      <c r="W918" s="241"/>
      <c r="X918" s="241"/>
      <c r="Y918" s="241"/>
      <c r="Z918" s="241"/>
    </row>
    <row r="919" spans="1:26" ht="13.5" customHeight="1" x14ac:dyDescent="0.3">
      <c r="A919" s="241"/>
      <c r="B919" s="241"/>
      <c r="C919" s="241"/>
      <c r="D919" s="241"/>
      <c r="E919" s="241"/>
      <c r="F919" s="241"/>
      <c r="G919" s="241"/>
      <c r="H919" s="241"/>
      <c r="I919" s="241"/>
      <c r="J919" s="241"/>
      <c r="K919" s="241"/>
      <c r="L919" s="241"/>
      <c r="M919" s="241"/>
      <c r="N919" s="241"/>
      <c r="O919" s="241"/>
      <c r="P919" s="241"/>
      <c r="Q919" s="241"/>
      <c r="R919" s="241"/>
      <c r="S919" s="241"/>
      <c r="T919" s="241"/>
      <c r="U919" s="241"/>
      <c r="V919" s="241"/>
      <c r="W919" s="241"/>
      <c r="X919" s="241"/>
      <c r="Y919" s="241"/>
      <c r="Z919" s="241"/>
    </row>
    <row r="920" spans="1:26" ht="13.5" customHeight="1" x14ac:dyDescent="0.3">
      <c r="A920" s="241"/>
      <c r="B920" s="241"/>
      <c r="C920" s="241"/>
      <c r="D920" s="241"/>
      <c r="E920" s="241"/>
      <c r="F920" s="241"/>
      <c r="G920" s="241"/>
      <c r="H920" s="241"/>
      <c r="I920" s="241"/>
      <c r="J920" s="241"/>
      <c r="K920" s="241"/>
      <c r="L920" s="241"/>
      <c r="M920" s="241"/>
      <c r="N920" s="241"/>
      <c r="O920" s="241"/>
      <c r="P920" s="241"/>
      <c r="Q920" s="241"/>
      <c r="R920" s="241"/>
      <c r="S920" s="241"/>
      <c r="T920" s="241"/>
      <c r="U920" s="241"/>
      <c r="V920" s="241"/>
      <c r="W920" s="241"/>
      <c r="X920" s="241"/>
      <c r="Y920" s="241"/>
      <c r="Z920" s="241"/>
    </row>
    <row r="921" spans="1:26" ht="13.5" customHeight="1" x14ac:dyDescent="0.3">
      <c r="A921" s="241"/>
      <c r="B921" s="241"/>
      <c r="C921" s="241"/>
      <c r="D921" s="241"/>
      <c r="E921" s="241"/>
      <c r="F921" s="241"/>
      <c r="G921" s="241"/>
      <c r="H921" s="241"/>
      <c r="I921" s="241"/>
      <c r="J921" s="241"/>
      <c r="K921" s="241"/>
      <c r="L921" s="241"/>
      <c r="M921" s="241"/>
      <c r="N921" s="241"/>
      <c r="O921" s="241"/>
      <c r="P921" s="241"/>
      <c r="Q921" s="241"/>
      <c r="R921" s="241"/>
      <c r="S921" s="241"/>
      <c r="T921" s="241"/>
      <c r="U921" s="241"/>
      <c r="V921" s="241"/>
      <c r="W921" s="241"/>
      <c r="X921" s="241"/>
      <c r="Y921" s="241"/>
      <c r="Z921" s="241"/>
    </row>
    <row r="922" spans="1:26" ht="13.5" customHeight="1" x14ac:dyDescent="0.3">
      <c r="A922" s="241"/>
      <c r="B922" s="241"/>
      <c r="C922" s="241"/>
      <c r="D922" s="241"/>
      <c r="E922" s="241"/>
      <c r="F922" s="241"/>
      <c r="G922" s="241"/>
      <c r="H922" s="241"/>
      <c r="I922" s="241"/>
      <c r="J922" s="241"/>
      <c r="K922" s="241"/>
      <c r="L922" s="241"/>
      <c r="M922" s="241"/>
      <c r="N922" s="241"/>
      <c r="O922" s="241"/>
      <c r="P922" s="241"/>
      <c r="Q922" s="241"/>
      <c r="R922" s="241"/>
      <c r="S922" s="241"/>
      <c r="T922" s="241"/>
      <c r="U922" s="241"/>
      <c r="V922" s="241"/>
      <c r="W922" s="241"/>
      <c r="X922" s="241"/>
      <c r="Y922" s="241"/>
      <c r="Z922" s="241"/>
    </row>
    <row r="923" spans="1:26" ht="13.5" customHeight="1" x14ac:dyDescent="0.3">
      <c r="A923" s="241"/>
      <c r="B923" s="241"/>
      <c r="C923" s="241"/>
      <c r="D923" s="241"/>
      <c r="E923" s="241"/>
      <c r="F923" s="241"/>
      <c r="G923" s="241"/>
      <c r="H923" s="241"/>
      <c r="I923" s="241"/>
      <c r="J923" s="241"/>
      <c r="K923" s="241"/>
      <c r="L923" s="241"/>
      <c r="M923" s="241"/>
      <c r="N923" s="241"/>
      <c r="O923" s="241"/>
      <c r="P923" s="241"/>
      <c r="Q923" s="241"/>
      <c r="R923" s="241"/>
      <c r="S923" s="241"/>
      <c r="T923" s="241"/>
      <c r="U923" s="241"/>
      <c r="V923" s="241"/>
      <c r="W923" s="241"/>
      <c r="X923" s="241"/>
      <c r="Y923" s="241"/>
      <c r="Z923" s="241"/>
    </row>
    <row r="924" spans="1:26" ht="13.5" customHeight="1" x14ac:dyDescent="0.3">
      <c r="A924" s="241"/>
      <c r="B924" s="241"/>
      <c r="C924" s="241"/>
      <c r="D924" s="241"/>
      <c r="E924" s="241"/>
      <c r="F924" s="241"/>
      <c r="G924" s="241"/>
      <c r="H924" s="241"/>
      <c r="I924" s="241"/>
      <c r="J924" s="241"/>
      <c r="K924" s="241"/>
      <c r="L924" s="241"/>
      <c r="M924" s="241"/>
      <c r="N924" s="241"/>
      <c r="O924" s="241"/>
      <c r="P924" s="241"/>
      <c r="Q924" s="241"/>
      <c r="R924" s="241"/>
      <c r="S924" s="241"/>
      <c r="T924" s="241"/>
      <c r="U924" s="241"/>
      <c r="V924" s="241"/>
      <c r="W924" s="241"/>
      <c r="X924" s="241"/>
      <c r="Y924" s="241"/>
      <c r="Z924" s="241"/>
    </row>
    <row r="925" spans="1:26" ht="13.5" customHeight="1" x14ac:dyDescent="0.3">
      <c r="A925" s="241"/>
      <c r="B925" s="241"/>
      <c r="C925" s="241"/>
      <c r="D925" s="241"/>
      <c r="E925" s="241"/>
      <c r="F925" s="241"/>
      <c r="G925" s="241"/>
      <c r="H925" s="241"/>
      <c r="I925" s="241"/>
      <c r="J925" s="241"/>
      <c r="K925" s="241"/>
      <c r="L925" s="241"/>
      <c r="M925" s="241"/>
      <c r="N925" s="241"/>
      <c r="O925" s="241"/>
      <c r="P925" s="241"/>
      <c r="Q925" s="241"/>
      <c r="R925" s="241"/>
      <c r="S925" s="241"/>
      <c r="T925" s="241"/>
      <c r="U925" s="241"/>
      <c r="V925" s="241"/>
      <c r="W925" s="241"/>
      <c r="X925" s="241"/>
      <c r="Y925" s="241"/>
      <c r="Z925" s="241"/>
    </row>
    <row r="926" spans="1:26" ht="13.5" customHeight="1" x14ac:dyDescent="0.3">
      <c r="A926" s="241"/>
      <c r="B926" s="241"/>
      <c r="C926" s="241"/>
      <c r="D926" s="241"/>
      <c r="E926" s="241"/>
      <c r="F926" s="241"/>
      <c r="G926" s="241"/>
      <c r="H926" s="241"/>
      <c r="I926" s="241"/>
      <c r="J926" s="241"/>
      <c r="K926" s="241"/>
      <c r="L926" s="241"/>
      <c r="M926" s="241"/>
      <c r="N926" s="241"/>
      <c r="O926" s="241"/>
      <c r="P926" s="241"/>
      <c r="Q926" s="241"/>
      <c r="R926" s="241"/>
      <c r="S926" s="241"/>
      <c r="T926" s="241"/>
      <c r="U926" s="241"/>
      <c r="V926" s="241"/>
      <c r="W926" s="241"/>
      <c r="X926" s="241"/>
      <c r="Y926" s="241"/>
      <c r="Z926" s="241"/>
    </row>
    <row r="927" spans="1:26" ht="13.5" customHeight="1" x14ac:dyDescent="0.3">
      <c r="A927" s="241"/>
      <c r="B927" s="241"/>
      <c r="C927" s="241"/>
      <c r="D927" s="241"/>
      <c r="E927" s="241"/>
      <c r="F927" s="241"/>
      <c r="G927" s="241"/>
      <c r="H927" s="241"/>
      <c r="I927" s="241"/>
      <c r="J927" s="241"/>
      <c r="K927" s="241"/>
      <c r="L927" s="241"/>
      <c r="M927" s="241"/>
      <c r="N927" s="241"/>
      <c r="O927" s="241"/>
      <c r="P927" s="241"/>
      <c r="Q927" s="241"/>
      <c r="R927" s="241"/>
      <c r="S927" s="241"/>
      <c r="T927" s="241"/>
      <c r="U927" s="241"/>
      <c r="V927" s="241"/>
      <c r="W927" s="241"/>
      <c r="X927" s="241"/>
      <c r="Y927" s="241"/>
      <c r="Z927" s="241"/>
    </row>
    <row r="928" spans="1:26" ht="13.5" customHeight="1" x14ac:dyDescent="0.3">
      <c r="A928" s="241"/>
      <c r="B928" s="241"/>
      <c r="C928" s="241"/>
      <c r="D928" s="241"/>
      <c r="E928" s="241"/>
      <c r="F928" s="241"/>
      <c r="G928" s="241"/>
      <c r="H928" s="241"/>
      <c r="I928" s="241"/>
      <c r="J928" s="241"/>
      <c r="K928" s="241"/>
      <c r="L928" s="241"/>
      <c r="M928" s="241"/>
      <c r="N928" s="241"/>
      <c r="O928" s="241"/>
      <c r="P928" s="241"/>
      <c r="Q928" s="241"/>
      <c r="R928" s="241"/>
      <c r="S928" s="241"/>
      <c r="T928" s="241"/>
      <c r="U928" s="241"/>
      <c r="V928" s="241"/>
      <c r="W928" s="241"/>
      <c r="X928" s="241"/>
      <c r="Y928" s="241"/>
      <c r="Z928" s="241"/>
    </row>
    <row r="929" spans="1:26" ht="13.5" customHeight="1" x14ac:dyDescent="0.3">
      <c r="A929" s="241"/>
      <c r="B929" s="241"/>
      <c r="C929" s="241"/>
      <c r="D929" s="241"/>
      <c r="E929" s="241"/>
      <c r="F929" s="241"/>
      <c r="G929" s="241"/>
      <c r="H929" s="241"/>
      <c r="I929" s="241"/>
      <c r="J929" s="241"/>
      <c r="K929" s="241"/>
      <c r="L929" s="241"/>
      <c r="M929" s="241"/>
      <c r="N929" s="241"/>
      <c r="O929" s="241"/>
      <c r="P929" s="241"/>
      <c r="Q929" s="241"/>
      <c r="R929" s="241"/>
      <c r="S929" s="241"/>
      <c r="T929" s="241"/>
      <c r="U929" s="241"/>
      <c r="V929" s="241"/>
      <c r="W929" s="241"/>
      <c r="X929" s="241"/>
      <c r="Y929" s="241"/>
      <c r="Z929" s="241"/>
    </row>
    <row r="930" spans="1:26" ht="13.5" customHeight="1" x14ac:dyDescent="0.3">
      <c r="A930" s="241"/>
      <c r="B930" s="241"/>
      <c r="C930" s="241"/>
      <c r="D930" s="241"/>
      <c r="E930" s="241"/>
      <c r="F930" s="241"/>
      <c r="G930" s="241"/>
      <c r="H930" s="241"/>
      <c r="I930" s="241"/>
      <c r="J930" s="241"/>
      <c r="K930" s="241"/>
      <c r="L930" s="241"/>
      <c r="M930" s="241"/>
      <c r="N930" s="241"/>
      <c r="O930" s="241"/>
      <c r="P930" s="241"/>
      <c r="Q930" s="241"/>
      <c r="R930" s="241"/>
      <c r="S930" s="241"/>
      <c r="T930" s="241"/>
      <c r="U930" s="241"/>
      <c r="V930" s="241"/>
      <c r="W930" s="241"/>
      <c r="X930" s="241"/>
      <c r="Y930" s="241"/>
      <c r="Z930" s="241"/>
    </row>
    <row r="931" spans="1:26" ht="13.5" customHeight="1" x14ac:dyDescent="0.3">
      <c r="A931" s="241"/>
      <c r="B931" s="241"/>
      <c r="C931" s="241"/>
      <c r="D931" s="241"/>
      <c r="E931" s="241"/>
      <c r="F931" s="241"/>
      <c r="G931" s="241"/>
      <c r="H931" s="241"/>
      <c r="I931" s="241"/>
      <c r="J931" s="241"/>
      <c r="K931" s="241"/>
      <c r="L931" s="241"/>
      <c r="M931" s="241"/>
      <c r="N931" s="241"/>
      <c r="O931" s="241"/>
      <c r="P931" s="241"/>
      <c r="Q931" s="241"/>
      <c r="R931" s="241"/>
      <c r="S931" s="241"/>
      <c r="T931" s="241"/>
      <c r="U931" s="241"/>
      <c r="V931" s="241"/>
      <c r="W931" s="241"/>
      <c r="X931" s="241"/>
      <c r="Y931" s="241"/>
      <c r="Z931" s="241"/>
    </row>
    <row r="932" spans="1:26" ht="13.5" customHeight="1" x14ac:dyDescent="0.3">
      <c r="A932" s="241"/>
      <c r="B932" s="241"/>
      <c r="C932" s="241"/>
      <c r="D932" s="241"/>
      <c r="E932" s="241"/>
      <c r="F932" s="241"/>
      <c r="G932" s="241"/>
      <c r="H932" s="241"/>
      <c r="I932" s="241"/>
      <c r="J932" s="241"/>
      <c r="K932" s="241"/>
      <c r="L932" s="241"/>
      <c r="M932" s="241"/>
      <c r="N932" s="241"/>
      <c r="O932" s="241"/>
      <c r="P932" s="241"/>
      <c r="Q932" s="241"/>
      <c r="R932" s="241"/>
      <c r="S932" s="241"/>
      <c r="T932" s="241"/>
      <c r="U932" s="241"/>
      <c r="V932" s="241"/>
      <c r="W932" s="241"/>
      <c r="X932" s="241"/>
      <c r="Y932" s="241"/>
      <c r="Z932" s="241"/>
    </row>
    <row r="933" spans="1:26" ht="13.5" customHeight="1" x14ac:dyDescent="0.3">
      <c r="A933" s="241"/>
      <c r="B933" s="241"/>
      <c r="C933" s="241"/>
      <c r="D933" s="241"/>
      <c r="E933" s="241"/>
      <c r="F933" s="241"/>
      <c r="G933" s="241"/>
      <c r="H933" s="241"/>
      <c r="I933" s="241"/>
      <c r="J933" s="241"/>
      <c r="K933" s="241"/>
      <c r="L933" s="241"/>
      <c r="M933" s="241"/>
      <c r="N933" s="241"/>
      <c r="O933" s="241"/>
      <c r="P933" s="241"/>
      <c r="Q933" s="241"/>
      <c r="R933" s="241"/>
      <c r="S933" s="241"/>
      <c r="T933" s="241"/>
      <c r="U933" s="241"/>
      <c r="V933" s="241"/>
      <c r="W933" s="241"/>
      <c r="X933" s="241"/>
      <c r="Y933" s="241"/>
      <c r="Z933" s="241"/>
    </row>
    <row r="934" spans="1:26" ht="13.5" customHeight="1" x14ac:dyDescent="0.3">
      <c r="A934" s="241"/>
      <c r="B934" s="241"/>
      <c r="C934" s="241"/>
      <c r="D934" s="241"/>
      <c r="E934" s="241"/>
      <c r="F934" s="241"/>
      <c r="G934" s="241"/>
      <c r="H934" s="241"/>
      <c r="I934" s="241"/>
      <c r="J934" s="241"/>
      <c r="K934" s="241"/>
      <c r="L934" s="241"/>
      <c r="M934" s="241"/>
      <c r="N934" s="241"/>
      <c r="O934" s="241"/>
      <c r="P934" s="241"/>
      <c r="Q934" s="241"/>
      <c r="R934" s="241"/>
      <c r="S934" s="241"/>
      <c r="T934" s="241"/>
      <c r="U934" s="241"/>
      <c r="V934" s="241"/>
      <c r="W934" s="241"/>
      <c r="X934" s="241"/>
      <c r="Y934" s="241"/>
      <c r="Z934" s="241"/>
    </row>
    <row r="935" spans="1:26" ht="13.5" customHeight="1" x14ac:dyDescent="0.3">
      <c r="A935" s="241"/>
      <c r="B935" s="241"/>
      <c r="C935" s="241"/>
      <c r="D935" s="241"/>
      <c r="E935" s="241"/>
      <c r="F935" s="241"/>
      <c r="G935" s="241"/>
      <c r="H935" s="241"/>
      <c r="I935" s="241"/>
      <c r="J935" s="241"/>
      <c r="K935" s="241"/>
      <c r="L935" s="241"/>
      <c r="M935" s="241"/>
      <c r="N935" s="241"/>
      <c r="O935" s="241"/>
      <c r="P935" s="241"/>
      <c r="Q935" s="241"/>
      <c r="R935" s="241"/>
      <c r="S935" s="241"/>
      <c r="T935" s="241"/>
      <c r="U935" s="241"/>
      <c r="V935" s="241"/>
      <c r="W935" s="241"/>
      <c r="X935" s="241"/>
      <c r="Y935" s="241"/>
      <c r="Z935" s="241"/>
    </row>
    <row r="936" spans="1:26" ht="13.5" customHeight="1" x14ac:dyDescent="0.3">
      <c r="A936" s="241"/>
      <c r="B936" s="241"/>
      <c r="C936" s="241"/>
      <c r="D936" s="241"/>
      <c r="E936" s="241"/>
      <c r="F936" s="241"/>
      <c r="G936" s="241"/>
      <c r="H936" s="241"/>
      <c r="I936" s="241"/>
      <c r="J936" s="241"/>
      <c r="K936" s="241"/>
      <c r="L936" s="241"/>
      <c r="M936" s="241"/>
      <c r="N936" s="241"/>
      <c r="O936" s="241"/>
      <c r="P936" s="241"/>
      <c r="Q936" s="241"/>
      <c r="R936" s="241"/>
      <c r="S936" s="241"/>
      <c r="T936" s="241"/>
      <c r="U936" s="241"/>
      <c r="V936" s="241"/>
      <c r="W936" s="241"/>
      <c r="X936" s="241"/>
      <c r="Y936" s="241"/>
      <c r="Z936" s="241"/>
    </row>
    <row r="937" spans="1:26" ht="13.5" customHeight="1" x14ac:dyDescent="0.3">
      <c r="A937" s="241"/>
      <c r="B937" s="241"/>
      <c r="C937" s="241"/>
      <c r="D937" s="241"/>
      <c r="E937" s="241"/>
      <c r="F937" s="241"/>
      <c r="G937" s="241"/>
      <c r="H937" s="241"/>
      <c r="I937" s="241"/>
      <c r="J937" s="241"/>
      <c r="K937" s="241"/>
      <c r="L937" s="241"/>
      <c r="M937" s="241"/>
      <c r="N937" s="241"/>
      <c r="O937" s="241"/>
      <c r="P937" s="241"/>
      <c r="Q937" s="241"/>
      <c r="R937" s="241"/>
      <c r="S937" s="241"/>
      <c r="T937" s="241"/>
      <c r="U937" s="241"/>
      <c r="V937" s="241"/>
      <c r="W937" s="241"/>
      <c r="X937" s="241"/>
      <c r="Y937" s="241"/>
      <c r="Z937" s="241"/>
    </row>
    <row r="938" spans="1:26" ht="13.5" customHeight="1" x14ac:dyDescent="0.3">
      <c r="A938" s="241"/>
      <c r="B938" s="241"/>
      <c r="C938" s="241"/>
      <c r="D938" s="241"/>
      <c r="E938" s="241"/>
      <c r="F938" s="241"/>
      <c r="G938" s="241"/>
      <c r="H938" s="241"/>
      <c r="I938" s="241"/>
      <c r="J938" s="241"/>
      <c r="K938" s="241"/>
      <c r="L938" s="241"/>
      <c r="M938" s="241"/>
      <c r="N938" s="241"/>
      <c r="O938" s="241"/>
      <c r="P938" s="241"/>
      <c r="Q938" s="241"/>
      <c r="R938" s="241"/>
      <c r="S938" s="241"/>
      <c r="T938" s="241"/>
      <c r="U938" s="241"/>
      <c r="V938" s="241"/>
      <c r="W938" s="241"/>
      <c r="X938" s="241"/>
      <c r="Y938" s="241"/>
      <c r="Z938" s="241"/>
    </row>
    <row r="939" spans="1:26" ht="13.5" customHeight="1" x14ac:dyDescent="0.3">
      <c r="A939" s="241"/>
      <c r="B939" s="241"/>
      <c r="C939" s="241"/>
      <c r="D939" s="241"/>
      <c r="E939" s="241"/>
      <c r="F939" s="241"/>
      <c r="G939" s="241"/>
      <c r="H939" s="241"/>
      <c r="I939" s="241"/>
      <c r="J939" s="241"/>
      <c r="K939" s="241"/>
      <c r="L939" s="241"/>
      <c r="M939" s="241"/>
      <c r="N939" s="241"/>
      <c r="O939" s="241"/>
      <c r="P939" s="241"/>
      <c r="Q939" s="241"/>
      <c r="R939" s="241"/>
      <c r="S939" s="241"/>
      <c r="T939" s="241"/>
      <c r="U939" s="241"/>
      <c r="V939" s="241"/>
      <c r="W939" s="241"/>
      <c r="X939" s="241"/>
      <c r="Y939" s="241"/>
      <c r="Z939" s="241"/>
    </row>
    <row r="940" spans="1:26" ht="13.5" customHeight="1" x14ac:dyDescent="0.3">
      <c r="A940" s="241"/>
      <c r="B940" s="241"/>
      <c r="C940" s="241"/>
      <c r="D940" s="241"/>
      <c r="E940" s="241"/>
      <c r="F940" s="241"/>
      <c r="G940" s="241"/>
      <c r="H940" s="241"/>
      <c r="I940" s="241"/>
      <c r="J940" s="241"/>
      <c r="K940" s="241"/>
      <c r="L940" s="241"/>
      <c r="M940" s="241"/>
      <c r="N940" s="241"/>
      <c r="O940" s="241"/>
      <c r="P940" s="241"/>
      <c r="Q940" s="241"/>
      <c r="R940" s="241"/>
      <c r="S940" s="241"/>
      <c r="T940" s="241"/>
      <c r="U940" s="241"/>
      <c r="V940" s="241"/>
      <c r="W940" s="241"/>
      <c r="X940" s="241"/>
      <c r="Y940" s="241"/>
      <c r="Z940" s="241"/>
    </row>
    <row r="941" spans="1:26" ht="13.5" customHeight="1" x14ac:dyDescent="0.3">
      <c r="A941" s="241"/>
      <c r="B941" s="241"/>
      <c r="C941" s="241"/>
      <c r="D941" s="241"/>
      <c r="E941" s="241"/>
      <c r="F941" s="241"/>
      <c r="G941" s="241"/>
      <c r="H941" s="241"/>
      <c r="I941" s="241"/>
      <c r="J941" s="241"/>
      <c r="K941" s="241"/>
      <c r="L941" s="241"/>
      <c r="M941" s="241"/>
      <c r="N941" s="241"/>
      <c r="O941" s="241"/>
      <c r="P941" s="241"/>
      <c r="Q941" s="241"/>
      <c r="R941" s="241"/>
      <c r="S941" s="241"/>
      <c r="T941" s="241"/>
      <c r="U941" s="241"/>
      <c r="V941" s="241"/>
      <c r="W941" s="241"/>
      <c r="X941" s="241"/>
      <c r="Y941" s="241"/>
      <c r="Z941" s="241"/>
    </row>
    <row r="942" spans="1:26" ht="13.5" customHeight="1" x14ac:dyDescent="0.3">
      <c r="A942" s="241"/>
      <c r="B942" s="241"/>
      <c r="C942" s="241"/>
      <c r="D942" s="241"/>
      <c r="E942" s="241"/>
      <c r="F942" s="241"/>
      <c r="G942" s="241"/>
      <c r="H942" s="241"/>
      <c r="I942" s="241"/>
      <c r="J942" s="241"/>
      <c r="K942" s="241"/>
      <c r="L942" s="241"/>
      <c r="M942" s="241"/>
      <c r="N942" s="241"/>
      <c r="O942" s="241"/>
      <c r="P942" s="241"/>
      <c r="Q942" s="241"/>
      <c r="R942" s="241"/>
      <c r="S942" s="241"/>
      <c r="T942" s="241"/>
      <c r="U942" s="241"/>
      <c r="V942" s="241"/>
      <c r="W942" s="241"/>
      <c r="X942" s="241"/>
      <c r="Y942" s="241"/>
      <c r="Z942" s="241"/>
    </row>
    <row r="943" spans="1:26" ht="13.5" customHeight="1" x14ac:dyDescent="0.3">
      <c r="A943" s="241"/>
      <c r="B943" s="241"/>
      <c r="C943" s="241"/>
      <c r="D943" s="241"/>
      <c r="E943" s="241"/>
      <c r="F943" s="241"/>
      <c r="G943" s="241"/>
      <c r="H943" s="241"/>
      <c r="I943" s="241"/>
      <c r="J943" s="241"/>
      <c r="K943" s="241"/>
      <c r="L943" s="241"/>
      <c r="M943" s="241"/>
      <c r="N943" s="241"/>
      <c r="O943" s="241"/>
      <c r="P943" s="241"/>
      <c r="Q943" s="241"/>
      <c r="R943" s="241"/>
      <c r="S943" s="241"/>
      <c r="T943" s="241"/>
      <c r="U943" s="241"/>
      <c r="V943" s="241"/>
      <c r="W943" s="241"/>
      <c r="X943" s="241"/>
      <c r="Y943" s="241"/>
      <c r="Z943" s="241"/>
    </row>
    <row r="944" spans="1:26" ht="13.5" customHeight="1" x14ac:dyDescent="0.3">
      <c r="A944" s="241"/>
      <c r="B944" s="241"/>
      <c r="C944" s="241"/>
      <c r="D944" s="241"/>
      <c r="E944" s="241"/>
      <c r="F944" s="241"/>
      <c r="G944" s="241"/>
      <c r="H944" s="241"/>
      <c r="I944" s="241"/>
      <c r="J944" s="241"/>
      <c r="K944" s="241"/>
      <c r="L944" s="241"/>
      <c r="M944" s="241"/>
      <c r="N944" s="241"/>
      <c r="O944" s="241"/>
      <c r="P944" s="241"/>
      <c r="Q944" s="241"/>
      <c r="R944" s="241"/>
      <c r="S944" s="241"/>
      <c r="T944" s="241"/>
      <c r="U944" s="241"/>
      <c r="V944" s="241"/>
      <c r="W944" s="241"/>
      <c r="X944" s="241"/>
      <c r="Y944" s="241"/>
      <c r="Z944" s="241"/>
    </row>
    <row r="945" spans="1:26" ht="13.5" customHeight="1" x14ac:dyDescent="0.3">
      <c r="A945" s="241"/>
      <c r="B945" s="241"/>
      <c r="C945" s="241"/>
      <c r="D945" s="241"/>
      <c r="E945" s="241"/>
      <c r="F945" s="241"/>
      <c r="G945" s="241"/>
      <c r="H945" s="241"/>
      <c r="I945" s="241"/>
      <c r="J945" s="241"/>
      <c r="K945" s="241"/>
      <c r="L945" s="241"/>
      <c r="M945" s="241"/>
      <c r="N945" s="241"/>
      <c r="O945" s="241"/>
      <c r="P945" s="241"/>
      <c r="Q945" s="241"/>
      <c r="R945" s="241"/>
      <c r="S945" s="241"/>
      <c r="T945" s="241"/>
      <c r="U945" s="241"/>
      <c r="V945" s="241"/>
      <c r="W945" s="241"/>
      <c r="X945" s="241"/>
      <c r="Y945" s="241"/>
      <c r="Z945" s="241"/>
    </row>
    <row r="946" spans="1:26" ht="13.5" customHeight="1" x14ac:dyDescent="0.3">
      <c r="A946" s="241"/>
      <c r="B946" s="241"/>
      <c r="C946" s="241"/>
      <c r="D946" s="241"/>
      <c r="E946" s="241"/>
      <c r="F946" s="241"/>
      <c r="G946" s="241"/>
      <c r="H946" s="241"/>
      <c r="I946" s="241"/>
      <c r="J946" s="241"/>
      <c r="K946" s="241"/>
      <c r="L946" s="241"/>
      <c r="M946" s="241"/>
      <c r="N946" s="241"/>
      <c r="O946" s="241"/>
      <c r="P946" s="241"/>
      <c r="Q946" s="241"/>
      <c r="R946" s="241"/>
      <c r="S946" s="241"/>
      <c r="T946" s="241"/>
      <c r="U946" s="241"/>
      <c r="V946" s="241"/>
      <c r="W946" s="241"/>
      <c r="X946" s="241"/>
      <c r="Y946" s="241"/>
      <c r="Z946" s="241"/>
    </row>
    <row r="947" spans="1:26" ht="13.5" customHeight="1" x14ac:dyDescent="0.3">
      <c r="A947" s="241"/>
      <c r="B947" s="241"/>
      <c r="C947" s="241"/>
      <c r="D947" s="241"/>
      <c r="E947" s="241"/>
      <c r="F947" s="241"/>
      <c r="G947" s="241"/>
      <c r="H947" s="241"/>
      <c r="I947" s="241"/>
      <c r="J947" s="241"/>
      <c r="K947" s="241"/>
      <c r="L947" s="241"/>
      <c r="M947" s="241"/>
      <c r="N947" s="241"/>
      <c r="O947" s="241"/>
      <c r="P947" s="241"/>
      <c r="Q947" s="241"/>
      <c r="R947" s="241"/>
      <c r="S947" s="241"/>
      <c r="T947" s="241"/>
      <c r="U947" s="241"/>
      <c r="V947" s="241"/>
      <c r="W947" s="241"/>
      <c r="X947" s="241"/>
      <c r="Y947" s="241"/>
      <c r="Z947" s="241"/>
    </row>
    <row r="948" spans="1:26" ht="13.5" customHeight="1" x14ac:dyDescent="0.3">
      <c r="A948" s="241"/>
      <c r="B948" s="241"/>
      <c r="C948" s="241"/>
      <c r="D948" s="241"/>
      <c r="E948" s="241"/>
      <c r="F948" s="241"/>
      <c r="G948" s="241"/>
      <c r="H948" s="241"/>
      <c r="I948" s="241"/>
      <c r="J948" s="241"/>
      <c r="K948" s="241"/>
      <c r="L948" s="241"/>
      <c r="M948" s="241"/>
      <c r="N948" s="241"/>
      <c r="O948" s="241"/>
      <c r="P948" s="241"/>
      <c r="Q948" s="241"/>
      <c r="R948" s="241"/>
      <c r="S948" s="241"/>
      <c r="T948" s="241"/>
      <c r="U948" s="241"/>
      <c r="V948" s="241"/>
      <c r="W948" s="241"/>
      <c r="X948" s="241"/>
      <c r="Y948" s="241"/>
      <c r="Z948" s="241"/>
    </row>
    <row r="949" spans="1:26" ht="13.5" customHeight="1" x14ac:dyDescent="0.3">
      <c r="A949" s="241"/>
      <c r="B949" s="241"/>
      <c r="C949" s="241"/>
      <c r="D949" s="241"/>
      <c r="E949" s="241"/>
      <c r="F949" s="241"/>
      <c r="G949" s="241"/>
      <c r="H949" s="241"/>
      <c r="I949" s="241"/>
      <c r="J949" s="241"/>
      <c r="K949" s="241"/>
      <c r="L949" s="241"/>
      <c r="M949" s="241"/>
      <c r="N949" s="241"/>
      <c r="O949" s="241"/>
      <c r="P949" s="241"/>
      <c r="Q949" s="241"/>
      <c r="R949" s="241"/>
      <c r="S949" s="241"/>
      <c r="T949" s="241"/>
      <c r="U949" s="241"/>
      <c r="V949" s="241"/>
      <c r="W949" s="241"/>
      <c r="X949" s="241"/>
      <c r="Y949" s="241"/>
      <c r="Z949" s="241"/>
    </row>
    <row r="950" spans="1:26" ht="13.5" customHeight="1" x14ac:dyDescent="0.3">
      <c r="A950" s="241"/>
      <c r="B950" s="241"/>
      <c r="C950" s="241"/>
      <c r="D950" s="241"/>
      <c r="E950" s="241"/>
      <c r="F950" s="241"/>
      <c r="G950" s="241"/>
      <c r="H950" s="241"/>
      <c r="I950" s="241"/>
      <c r="J950" s="241"/>
      <c r="K950" s="241"/>
      <c r="L950" s="241"/>
      <c r="M950" s="241"/>
      <c r="N950" s="241"/>
      <c r="O950" s="241"/>
      <c r="P950" s="241"/>
      <c r="Q950" s="241"/>
      <c r="R950" s="241"/>
      <c r="S950" s="241"/>
      <c r="T950" s="241"/>
      <c r="U950" s="241"/>
      <c r="V950" s="241"/>
      <c r="W950" s="241"/>
      <c r="X950" s="241"/>
      <c r="Y950" s="241"/>
      <c r="Z950" s="241"/>
    </row>
    <row r="951" spans="1:26" ht="13.5" customHeight="1" x14ac:dyDescent="0.3">
      <c r="A951" s="241"/>
      <c r="B951" s="241"/>
      <c r="C951" s="241"/>
      <c r="D951" s="241"/>
      <c r="E951" s="241"/>
      <c r="F951" s="241"/>
      <c r="G951" s="241"/>
      <c r="H951" s="241"/>
      <c r="I951" s="241"/>
      <c r="J951" s="241"/>
      <c r="K951" s="241"/>
      <c r="L951" s="241"/>
      <c r="M951" s="241"/>
      <c r="N951" s="241"/>
      <c r="O951" s="241"/>
      <c r="P951" s="241"/>
      <c r="Q951" s="241"/>
      <c r="R951" s="241"/>
      <c r="S951" s="241"/>
      <c r="T951" s="241"/>
      <c r="U951" s="241"/>
      <c r="V951" s="241"/>
      <c r="W951" s="241"/>
      <c r="X951" s="241"/>
      <c r="Y951" s="241"/>
      <c r="Z951" s="241"/>
    </row>
    <row r="952" spans="1:26" ht="13.5" customHeight="1" x14ac:dyDescent="0.3">
      <c r="A952" s="241"/>
      <c r="B952" s="241"/>
      <c r="C952" s="241"/>
      <c r="D952" s="241"/>
      <c r="E952" s="241"/>
      <c r="F952" s="241"/>
      <c r="G952" s="241"/>
      <c r="H952" s="241"/>
      <c r="I952" s="241"/>
      <c r="J952" s="241"/>
      <c r="K952" s="241"/>
      <c r="L952" s="241"/>
      <c r="M952" s="241"/>
      <c r="N952" s="241"/>
      <c r="O952" s="241"/>
      <c r="P952" s="241"/>
      <c r="Q952" s="241"/>
      <c r="R952" s="241"/>
      <c r="S952" s="241"/>
      <c r="T952" s="241"/>
      <c r="U952" s="241"/>
      <c r="V952" s="241"/>
      <c r="W952" s="241"/>
      <c r="X952" s="241"/>
      <c r="Y952" s="241"/>
      <c r="Z952" s="241"/>
    </row>
    <row r="953" spans="1:26" ht="13.5" customHeight="1" x14ac:dyDescent="0.3">
      <c r="A953" s="241"/>
      <c r="B953" s="241"/>
      <c r="C953" s="241"/>
      <c r="D953" s="241"/>
      <c r="E953" s="241"/>
      <c r="F953" s="241"/>
      <c r="G953" s="241"/>
      <c r="H953" s="241"/>
      <c r="I953" s="241"/>
      <c r="J953" s="241"/>
      <c r="K953" s="241"/>
      <c r="L953" s="241"/>
      <c r="M953" s="241"/>
      <c r="N953" s="241"/>
      <c r="O953" s="241"/>
      <c r="P953" s="241"/>
      <c r="Q953" s="241"/>
      <c r="R953" s="241"/>
      <c r="S953" s="241"/>
      <c r="T953" s="241"/>
      <c r="U953" s="241"/>
      <c r="V953" s="241"/>
      <c r="W953" s="241"/>
      <c r="X953" s="241"/>
      <c r="Y953" s="241"/>
      <c r="Z953" s="241"/>
    </row>
    <row r="954" spans="1:26" ht="13.5" customHeight="1" x14ac:dyDescent="0.3">
      <c r="A954" s="241"/>
      <c r="B954" s="241"/>
      <c r="C954" s="241"/>
      <c r="D954" s="241"/>
      <c r="E954" s="241"/>
      <c r="F954" s="241"/>
      <c r="G954" s="241"/>
      <c r="H954" s="241"/>
      <c r="I954" s="241"/>
      <c r="J954" s="241"/>
      <c r="K954" s="241"/>
      <c r="L954" s="241"/>
      <c r="M954" s="241"/>
      <c r="N954" s="241"/>
      <c r="O954" s="241"/>
      <c r="P954" s="241"/>
      <c r="Q954" s="241"/>
      <c r="R954" s="241"/>
      <c r="S954" s="241"/>
      <c r="T954" s="241"/>
      <c r="U954" s="241"/>
      <c r="V954" s="241"/>
      <c r="W954" s="241"/>
      <c r="X954" s="241"/>
      <c r="Y954" s="241"/>
      <c r="Z954" s="241"/>
    </row>
    <row r="955" spans="1:26" ht="13.5" customHeight="1" x14ac:dyDescent="0.3">
      <c r="A955" s="241"/>
      <c r="B955" s="241"/>
      <c r="C955" s="241"/>
      <c r="D955" s="241"/>
      <c r="E955" s="241"/>
      <c r="F955" s="241"/>
      <c r="G955" s="241"/>
      <c r="H955" s="241"/>
      <c r="I955" s="241"/>
      <c r="J955" s="241"/>
      <c r="K955" s="241"/>
      <c r="L955" s="241"/>
      <c r="M955" s="241"/>
      <c r="N955" s="241"/>
      <c r="O955" s="241"/>
      <c r="P955" s="241"/>
      <c r="Q955" s="241"/>
      <c r="R955" s="241"/>
      <c r="S955" s="241"/>
      <c r="T955" s="241"/>
      <c r="U955" s="241"/>
      <c r="V955" s="241"/>
      <c r="W955" s="241"/>
      <c r="X955" s="241"/>
      <c r="Y955" s="241"/>
      <c r="Z955" s="241"/>
    </row>
    <row r="956" spans="1:26" ht="13.5" customHeight="1" x14ac:dyDescent="0.3">
      <c r="A956" s="241"/>
      <c r="B956" s="241"/>
      <c r="C956" s="241"/>
      <c r="D956" s="241"/>
      <c r="E956" s="241"/>
      <c r="F956" s="241"/>
      <c r="G956" s="241"/>
      <c r="H956" s="241"/>
      <c r="I956" s="241"/>
      <c r="J956" s="241"/>
      <c r="K956" s="241"/>
      <c r="L956" s="241"/>
      <c r="M956" s="241"/>
      <c r="N956" s="241"/>
      <c r="O956" s="241"/>
      <c r="P956" s="241"/>
      <c r="Q956" s="241"/>
      <c r="R956" s="241"/>
      <c r="S956" s="241"/>
      <c r="T956" s="241"/>
      <c r="U956" s="241"/>
      <c r="V956" s="241"/>
      <c r="W956" s="241"/>
      <c r="X956" s="241"/>
      <c r="Y956" s="241"/>
      <c r="Z956" s="241"/>
    </row>
    <row r="957" spans="1:26" ht="13.5" customHeight="1" x14ac:dyDescent="0.3">
      <c r="A957" s="241"/>
      <c r="B957" s="241"/>
      <c r="C957" s="241"/>
      <c r="D957" s="241"/>
      <c r="E957" s="241"/>
      <c r="F957" s="241"/>
      <c r="G957" s="241"/>
      <c r="H957" s="241"/>
      <c r="I957" s="241"/>
      <c r="J957" s="241"/>
      <c r="K957" s="241"/>
      <c r="L957" s="241"/>
      <c r="M957" s="241"/>
      <c r="N957" s="241"/>
      <c r="O957" s="241"/>
      <c r="P957" s="241"/>
      <c r="Q957" s="241"/>
      <c r="R957" s="241"/>
      <c r="S957" s="241"/>
      <c r="T957" s="241"/>
      <c r="U957" s="241"/>
      <c r="V957" s="241"/>
      <c r="W957" s="241"/>
      <c r="X957" s="241"/>
      <c r="Y957" s="241"/>
      <c r="Z957" s="241"/>
    </row>
    <row r="958" spans="1:26" ht="13.5" customHeight="1" x14ac:dyDescent="0.3">
      <c r="A958" s="241"/>
      <c r="B958" s="241"/>
      <c r="C958" s="241"/>
      <c r="D958" s="241"/>
      <c r="E958" s="241"/>
      <c r="F958" s="241"/>
      <c r="G958" s="241"/>
      <c r="H958" s="241"/>
      <c r="I958" s="241"/>
      <c r="J958" s="241"/>
      <c r="K958" s="241"/>
      <c r="L958" s="241"/>
      <c r="M958" s="241"/>
      <c r="N958" s="241"/>
      <c r="O958" s="241"/>
      <c r="P958" s="241"/>
      <c r="Q958" s="241"/>
      <c r="R958" s="241"/>
      <c r="S958" s="241"/>
      <c r="T958" s="241"/>
      <c r="U958" s="241"/>
      <c r="V958" s="241"/>
      <c r="W958" s="241"/>
      <c r="X958" s="241"/>
      <c r="Y958" s="241"/>
      <c r="Z958" s="241"/>
    </row>
    <row r="959" spans="1:26" ht="13.5" customHeight="1" x14ac:dyDescent="0.3">
      <c r="A959" s="241"/>
      <c r="B959" s="241"/>
      <c r="C959" s="241"/>
      <c r="D959" s="241"/>
      <c r="E959" s="241"/>
      <c r="F959" s="241"/>
      <c r="G959" s="241"/>
      <c r="H959" s="241"/>
      <c r="I959" s="241"/>
      <c r="J959" s="241"/>
      <c r="K959" s="241"/>
      <c r="L959" s="241"/>
      <c r="M959" s="241"/>
      <c r="N959" s="241"/>
      <c r="O959" s="241"/>
      <c r="P959" s="241"/>
      <c r="Q959" s="241"/>
      <c r="R959" s="241"/>
      <c r="S959" s="241"/>
      <c r="T959" s="241"/>
      <c r="U959" s="241"/>
      <c r="V959" s="241"/>
      <c r="W959" s="241"/>
      <c r="X959" s="241"/>
      <c r="Y959" s="241"/>
      <c r="Z959" s="241"/>
    </row>
    <row r="960" spans="1:26" ht="13.5" customHeight="1" x14ac:dyDescent="0.3">
      <c r="A960" s="241"/>
      <c r="B960" s="241"/>
      <c r="C960" s="241"/>
      <c r="D960" s="241"/>
      <c r="E960" s="241"/>
      <c r="F960" s="241"/>
      <c r="G960" s="241"/>
      <c r="H960" s="241"/>
      <c r="I960" s="241"/>
      <c r="J960" s="241"/>
      <c r="K960" s="241"/>
      <c r="L960" s="241"/>
      <c r="M960" s="241"/>
      <c r="N960" s="241"/>
      <c r="O960" s="241"/>
      <c r="P960" s="241"/>
      <c r="Q960" s="241"/>
      <c r="R960" s="241"/>
      <c r="S960" s="241"/>
      <c r="T960" s="241"/>
      <c r="U960" s="241"/>
      <c r="V960" s="241"/>
      <c r="W960" s="241"/>
      <c r="X960" s="241"/>
      <c r="Y960" s="241"/>
      <c r="Z960" s="241"/>
    </row>
    <row r="961" spans="1:26" ht="13.5" customHeight="1" x14ac:dyDescent="0.3">
      <c r="A961" s="241"/>
      <c r="B961" s="241"/>
      <c r="C961" s="241"/>
      <c r="D961" s="241"/>
      <c r="E961" s="241"/>
      <c r="F961" s="241"/>
      <c r="G961" s="241"/>
      <c r="H961" s="241"/>
      <c r="I961" s="241"/>
      <c r="J961" s="241"/>
      <c r="K961" s="241"/>
      <c r="L961" s="241"/>
      <c r="M961" s="241"/>
      <c r="N961" s="241"/>
      <c r="O961" s="241"/>
      <c r="P961" s="241"/>
      <c r="Q961" s="241"/>
      <c r="R961" s="241"/>
      <c r="S961" s="241"/>
      <c r="T961" s="241"/>
      <c r="U961" s="241"/>
      <c r="V961" s="241"/>
      <c r="W961" s="241"/>
      <c r="X961" s="241"/>
      <c r="Y961" s="241"/>
      <c r="Z961" s="241"/>
    </row>
    <row r="962" spans="1:26" ht="13.5" customHeight="1" x14ac:dyDescent="0.3">
      <c r="A962" s="241"/>
      <c r="B962" s="241"/>
      <c r="C962" s="241"/>
      <c r="D962" s="241"/>
      <c r="E962" s="241"/>
      <c r="F962" s="241"/>
      <c r="G962" s="241"/>
      <c r="H962" s="241"/>
      <c r="I962" s="241"/>
      <c r="J962" s="241"/>
      <c r="K962" s="241"/>
      <c r="L962" s="241"/>
      <c r="M962" s="241"/>
      <c r="N962" s="241"/>
      <c r="O962" s="241"/>
      <c r="P962" s="241"/>
      <c r="Q962" s="241"/>
      <c r="R962" s="241"/>
      <c r="S962" s="241"/>
      <c r="T962" s="241"/>
      <c r="U962" s="241"/>
      <c r="V962" s="241"/>
      <c r="W962" s="241"/>
      <c r="X962" s="241"/>
      <c r="Y962" s="241"/>
      <c r="Z962" s="241"/>
    </row>
    <row r="963" spans="1:26" ht="13.5" customHeight="1" x14ac:dyDescent="0.3">
      <c r="A963" s="241"/>
      <c r="B963" s="241"/>
      <c r="C963" s="241"/>
      <c r="D963" s="241"/>
      <c r="E963" s="241"/>
      <c r="F963" s="241"/>
      <c r="G963" s="241"/>
      <c r="H963" s="241"/>
      <c r="I963" s="241"/>
      <c r="J963" s="241"/>
      <c r="K963" s="241"/>
      <c r="L963" s="241"/>
      <c r="M963" s="241"/>
      <c r="N963" s="241"/>
      <c r="O963" s="241"/>
      <c r="P963" s="241"/>
      <c r="Q963" s="241"/>
      <c r="R963" s="241"/>
      <c r="S963" s="241"/>
      <c r="T963" s="241"/>
      <c r="U963" s="241"/>
      <c r="V963" s="241"/>
      <c r="W963" s="241"/>
      <c r="X963" s="241"/>
      <c r="Y963" s="241"/>
      <c r="Z963" s="241"/>
    </row>
    <row r="964" spans="1:26" ht="13.5" customHeight="1" x14ac:dyDescent="0.3">
      <c r="A964" s="241"/>
      <c r="B964" s="241"/>
      <c r="C964" s="241"/>
      <c r="D964" s="241"/>
      <c r="E964" s="241"/>
      <c r="F964" s="241"/>
      <c r="G964" s="241"/>
      <c r="H964" s="241"/>
      <c r="I964" s="241"/>
      <c r="J964" s="241"/>
      <c r="K964" s="241"/>
      <c r="L964" s="241"/>
      <c r="M964" s="241"/>
      <c r="N964" s="241"/>
      <c r="O964" s="241"/>
      <c r="P964" s="241"/>
      <c r="Q964" s="241"/>
      <c r="R964" s="241"/>
      <c r="S964" s="241"/>
      <c r="T964" s="241"/>
      <c r="U964" s="241"/>
      <c r="V964" s="241"/>
      <c r="W964" s="241"/>
      <c r="X964" s="241"/>
      <c r="Y964" s="241"/>
      <c r="Z964" s="241"/>
    </row>
    <row r="965" spans="1:26" ht="13.5" customHeight="1" x14ac:dyDescent="0.3">
      <c r="A965" s="241"/>
      <c r="B965" s="241"/>
      <c r="C965" s="241"/>
      <c r="D965" s="241"/>
      <c r="E965" s="241"/>
      <c r="F965" s="241"/>
      <c r="G965" s="241"/>
      <c r="H965" s="241"/>
      <c r="I965" s="241"/>
      <c r="J965" s="241"/>
      <c r="K965" s="241"/>
      <c r="L965" s="241"/>
      <c r="M965" s="241"/>
      <c r="N965" s="241"/>
      <c r="O965" s="241"/>
      <c r="P965" s="241"/>
      <c r="Q965" s="241"/>
      <c r="R965" s="241"/>
      <c r="S965" s="241"/>
      <c r="T965" s="241"/>
      <c r="U965" s="241"/>
      <c r="V965" s="241"/>
      <c r="W965" s="241"/>
      <c r="X965" s="241"/>
      <c r="Y965" s="241"/>
      <c r="Z965" s="241"/>
    </row>
    <row r="966" spans="1:26" ht="13.5" customHeight="1" x14ac:dyDescent="0.3">
      <c r="A966" s="241"/>
      <c r="B966" s="241"/>
      <c r="C966" s="241"/>
      <c r="D966" s="241"/>
      <c r="E966" s="241"/>
      <c r="F966" s="241"/>
      <c r="G966" s="241"/>
      <c r="H966" s="241"/>
      <c r="I966" s="241"/>
      <c r="J966" s="241"/>
      <c r="K966" s="241"/>
      <c r="L966" s="241"/>
      <c r="M966" s="241"/>
      <c r="N966" s="241"/>
      <c r="O966" s="241"/>
      <c r="P966" s="241"/>
      <c r="Q966" s="241"/>
      <c r="R966" s="241"/>
      <c r="S966" s="241"/>
      <c r="T966" s="241"/>
      <c r="U966" s="241"/>
      <c r="V966" s="241"/>
      <c r="W966" s="241"/>
      <c r="X966" s="241"/>
      <c r="Y966" s="241"/>
      <c r="Z966" s="241"/>
    </row>
    <row r="967" spans="1:26" ht="13.5" customHeight="1" x14ac:dyDescent="0.3">
      <c r="A967" s="241"/>
      <c r="B967" s="241"/>
      <c r="C967" s="241"/>
      <c r="D967" s="241"/>
      <c r="E967" s="241"/>
      <c r="F967" s="241"/>
      <c r="G967" s="241"/>
      <c r="H967" s="241"/>
      <c r="I967" s="241"/>
      <c r="J967" s="241"/>
      <c r="K967" s="241"/>
      <c r="L967" s="241"/>
      <c r="M967" s="241"/>
      <c r="N967" s="241"/>
      <c r="O967" s="241"/>
      <c r="P967" s="241"/>
      <c r="Q967" s="241"/>
      <c r="R967" s="241"/>
      <c r="S967" s="241"/>
      <c r="T967" s="241"/>
      <c r="U967" s="241"/>
      <c r="V967" s="241"/>
      <c r="W967" s="241"/>
      <c r="X967" s="241"/>
      <c r="Y967" s="241"/>
      <c r="Z967" s="241"/>
    </row>
    <row r="968" spans="1:26" ht="13.5" customHeight="1" x14ac:dyDescent="0.3">
      <c r="A968" s="241"/>
      <c r="B968" s="241"/>
      <c r="C968" s="241"/>
      <c r="D968" s="241"/>
      <c r="E968" s="241"/>
      <c r="F968" s="241"/>
      <c r="G968" s="241"/>
      <c r="H968" s="241"/>
      <c r="I968" s="241"/>
      <c r="J968" s="241"/>
      <c r="K968" s="241"/>
      <c r="L968" s="241"/>
      <c r="M968" s="241"/>
      <c r="N968" s="241"/>
      <c r="O968" s="241"/>
      <c r="P968" s="241"/>
      <c r="Q968" s="241"/>
      <c r="R968" s="241"/>
      <c r="S968" s="241"/>
      <c r="T968" s="241"/>
      <c r="U968" s="241"/>
      <c r="V968" s="241"/>
      <c r="W968" s="241"/>
      <c r="X968" s="241"/>
      <c r="Y968" s="241"/>
      <c r="Z968" s="241"/>
    </row>
    <row r="969" spans="1:26" ht="13.5" customHeight="1" x14ac:dyDescent="0.3">
      <c r="A969" s="241"/>
      <c r="B969" s="241"/>
      <c r="C969" s="241"/>
      <c r="D969" s="241"/>
      <c r="E969" s="241"/>
      <c r="F969" s="241"/>
      <c r="G969" s="241"/>
      <c r="H969" s="241"/>
      <c r="I969" s="241"/>
      <c r="J969" s="241"/>
      <c r="K969" s="241"/>
      <c r="L969" s="241"/>
      <c r="M969" s="241"/>
      <c r="N969" s="241"/>
      <c r="O969" s="241"/>
      <c r="P969" s="241"/>
      <c r="Q969" s="241"/>
      <c r="R969" s="241"/>
      <c r="S969" s="241"/>
      <c r="T969" s="241"/>
      <c r="U969" s="241"/>
      <c r="V969" s="241"/>
      <c r="W969" s="241"/>
      <c r="X969" s="241"/>
      <c r="Y969" s="241"/>
      <c r="Z969" s="241"/>
    </row>
    <row r="970" spans="1:26" ht="13.5" customHeight="1" x14ac:dyDescent="0.3">
      <c r="A970" s="241"/>
      <c r="B970" s="241"/>
      <c r="C970" s="241"/>
      <c r="D970" s="241"/>
      <c r="E970" s="241"/>
      <c r="F970" s="241"/>
      <c r="G970" s="241"/>
      <c r="H970" s="241"/>
      <c r="I970" s="241"/>
      <c r="J970" s="241"/>
      <c r="K970" s="241"/>
      <c r="L970" s="241"/>
      <c r="M970" s="241"/>
      <c r="N970" s="241"/>
      <c r="O970" s="241"/>
      <c r="P970" s="241"/>
      <c r="Q970" s="241"/>
      <c r="R970" s="241"/>
      <c r="S970" s="241"/>
      <c r="T970" s="241"/>
      <c r="U970" s="241"/>
      <c r="V970" s="241"/>
      <c r="W970" s="241"/>
      <c r="X970" s="241"/>
      <c r="Y970" s="241"/>
      <c r="Z970" s="241"/>
    </row>
    <row r="971" spans="1:26" ht="13.5" customHeight="1" x14ac:dyDescent="0.3">
      <c r="A971" s="241"/>
      <c r="B971" s="241"/>
      <c r="C971" s="241"/>
      <c r="D971" s="241"/>
      <c r="E971" s="241"/>
      <c r="F971" s="241"/>
      <c r="G971" s="241"/>
      <c r="H971" s="241"/>
      <c r="I971" s="241"/>
      <c r="J971" s="241"/>
      <c r="K971" s="241"/>
      <c r="L971" s="241"/>
      <c r="M971" s="241"/>
      <c r="N971" s="241"/>
      <c r="O971" s="241"/>
      <c r="P971" s="241"/>
      <c r="Q971" s="241"/>
      <c r="R971" s="241"/>
      <c r="S971" s="241"/>
      <c r="T971" s="241"/>
      <c r="U971" s="241"/>
      <c r="V971" s="241"/>
      <c r="W971" s="241"/>
      <c r="X971" s="241"/>
      <c r="Y971" s="241"/>
      <c r="Z971" s="241"/>
    </row>
    <row r="972" spans="1:26" ht="13.5" customHeight="1" x14ac:dyDescent="0.3">
      <c r="A972" s="241"/>
      <c r="B972" s="241"/>
      <c r="C972" s="241"/>
      <c r="D972" s="241"/>
      <c r="E972" s="241"/>
      <c r="F972" s="241"/>
      <c r="G972" s="241"/>
      <c r="H972" s="241"/>
      <c r="I972" s="241"/>
      <c r="J972" s="241"/>
      <c r="K972" s="241"/>
      <c r="L972" s="241"/>
      <c r="M972" s="241"/>
      <c r="N972" s="241"/>
      <c r="O972" s="241"/>
      <c r="P972" s="241"/>
      <c r="Q972" s="241"/>
      <c r="R972" s="241"/>
      <c r="S972" s="241"/>
      <c r="T972" s="241"/>
      <c r="U972" s="241"/>
      <c r="V972" s="241"/>
      <c r="W972" s="241"/>
      <c r="X972" s="241"/>
      <c r="Y972" s="241"/>
      <c r="Z972" s="241"/>
    </row>
    <row r="973" spans="1:26" ht="13.5" customHeight="1" x14ac:dyDescent="0.3">
      <c r="A973" s="241"/>
      <c r="B973" s="241"/>
      <c r="C973" s="241"/>
      <c r="D973" s="241"/>
      <c r="E973" s="241"/>
      <c r="F973" s="241"/>
      <c r="G973" s="241"/>
      <c r="H973" s="241"/>
      <c r="I973" s="241"/>
      <c r="J973" s="241"/>
      <c r="K973" s="241"/>
      <c r="L973" s="241"/>
      <c r="M973" s="241"/>
      <c r="N973" s="241"/>
      <c r="O973" s="241"/>
      <c r="P973" s="241"/>
      <c r="Q973" s="241"/>
      <c r="R973" s="241"/>
      <c r="S973" s="241"/>
      <c r="T973" s="241"/>
      <c r="U973" s="241"/>
      <c r="V973" s="241"/>
      <c r="W973" s="241"/>
      <c r="X973" s="241"/>
      <c r="Y973" s="241"/>
      <c r="Z973" s="241"/>
    </row>
    <row r="974" spans="1:26" ht="13.5" customHeight="1" x14ac:dyDescent="0.3">
      <c r="A974" s="241"/>
      <c r="B974" s="241"/>
      <c r="C974" s="241"/>
      <c r="D974" s="241"/>
      <c r="E974" s="241"/>
      <c r="F974" s="241"/>
      <c r="G974" s="241"/>
      <c r="H974" s="241"/>
      <c r="I974" s="241"/>
      <c r="J974" s="241"/>
      <c r="K974" s="241"/>
      <c r="L974" s="241"/>
      <c r="M974" s="241"/>
      <c r="N974" s="241"/>
      <c r="O974" s="241"/>
      <c r="P974" s="241"/>
      <c r="Q974" s="241"/>
      <c r="R974" s="241"/>
      <c r="S974" s="241"/>
      <c r="T974" s="241"/>
      <c r="U974" s="241"/>
      <c r="V974" s="241"/>
      <c r="W974" s="241"/>
      <c r="X974" s="241"/>
      <c r="Y974" s="241"/>
      <c r="Z974" s="241"/>
    </row>
    <row r="975" spans="1:26" ht="13.5" customHeight="1" x14ac:dyDescent="0.3">
      <c r="A975" s="241"/>
      <c r="B975" s="241"/>
      <c r="C975" s="241"/>
      <c r="D975" s="241"/>
      <c r="E975" s="241"/>
      <c r="F975" s="241"/>
      <c r="G975" s="241"/>
      <c r="H975" s="241"/>
      <c r="I975" s="241"/>
      <c r="J975" s="241"/>
      <c r="K975" s="241"/>
      <c r="L975" s="241"/>
      <c r="M975" s="241"/>
      <c r="N975" s="241"/>
      <c r="O975" s="241"/>
      <c r="P975" s="241"/>
      <c r="Q975" s="241"/>
      <c r="R975" s="241"/>
      <c r="S975" s="241"/>
      <c r="T975" s="241"/>
      <c r="U975" s="241"/>
      <c r="V975" s="241"/>
      <c r="W975" s="241"/>
      <c r="X975" s="241"/>
      <c r="Y975" s="241"/>
      <c r="Z975" s="241"/>
    </row>
    <row r="976" spans="1:26" ht="13.5" customHeight="1" x14ac:dyDescent="0.3">
      <c r="A976" s="241"/>
      <c r="B976" s="241"/>
      <c r="C976" s="241"/>
      <c r="D976" s="241"/>
      <c r="E976" s="241"/>
      <c r="F976" s="241"/>
      <c r="G976" s="241"/>
      <c r="H976" s="241"/>
      <c r="I976" s="241"/>
      <c r="J976" s="241"/>
      <c r="K976" s="241"/>
      <c r="L976" s="241"/>
      <c r="M976" s="241"/>
      <c r="N976" s="241"/>
      <c r="O976" s="241"/>
      <c r="P976" s="241"/>
      <c r="Q976" s="241"/>
      <c r="R976" s="241"/>
      <c r="S976" s="241"/>
      <c r="T976" s="241"/>
      <c r="U976" s="241"/>
      <c r="V976" s="241"/>
      <c r="W976" s="241"/>
      <c r="X976" s="241"/>
      <c r="Y976" s="241"/>
      <c r="Z976" s="241"/>
    </row>
    <row r="977" spans="1:26" ht="13.5" customHeight="1" x14ac:dyDescent="0.3">
      <c r="A977" s="241"/>
      <c r="B977" s="241"/>
      <c r="C977" s="241"/>
      <c r="D977" s="241"/>
      <c r="E977" s="241"/>
      <c r="F977" s="241"/>
      <c r="G977" s="241"/>
      <c r="H977" s="241"/>
      <c r="I977" s="241"/>
      <c r="J977" s="241"/>
      <c r="K977" s="241"/>
      <c r="L977" s="241"/>
      <c r="M977" s="241"/>
      <c r="N977" s="241"/>
      <c r="O977" s="241"/>
      <c r="P977" s="241"/>
      <c r="Q977" s="241"/>
      <c r="R977" s="241"/>
      <c r="S977" s="241"/>
      <c r="T977" s="241"/>
      <c r="U977" s="241"/>
      <c r="V977" s="241"/>
      <c r="W977" s="241"/>
      <c r="X977" s="241"/>
      <c r="Y977" s="241"/>
      <c r="Z977" s="241"/>
    </row>
    <row r="978" spans="1:26" ht="13.5" customHeight="1" x14ac:dyDescent="0.3">
      <c r="A978" s="241"/>
      <c r="B978" s="241"/>
      <c r="C978" s="241"/>
      <c r="D978" s="241"/>
      <c r="E978" s="241"/>
      <c r="F978" s="241"/>
      <c r="G978" s="241"/>
      <c r="H978" s="241"/>
      <c r="I978" s="241"/>
      <c r="J978" s="241"/>
      <c r="K978" s="241"/>
      <c r="L978" s="241"/>
      <c r="M978" s="241"/>
      <c r="N978" s="241"/>
      <c r="O978" s="241"/>
      <c r="P978" s="241"/>
      <c r="Q978" s="241"/>
      <c r="R978" s="241"/>
      <c r="S978" s="241"/>
      <c r="T978" s="241"/>
      <c r="U978" s="241"/>
      <c r="V978" s="241"/>
      <c r="W978" s="241"/>
      <c r="X978" s="241"/>
      <c r="Y978" s="241"/>
      <c r="Z978" s="241"/>
    </row>
    <row r="979" spans="1:26" ht="13.5" customHeight="1" x14ac:dyDescent="0.3">
      <c r="A979" s="241"/>
      <c r="B979" s="241"/>
      <c r="C979" s="241"/>
      <c r="D979" s="241"/>
      <c r="E979" s="241"/>
      <c r="F979" s="241"/>
      <c r="G979" s="241"/>
      <c r="H979" s="241"/>
      <c r="I979" s="241"/>
      <c r="J979" s="241"/>
      <c r="K979" s="241"/>
      <c r="L979" s="241"/>
      <c r="M979" s="241"/>
      <c r="N979" s="241"/>
      <c r="O979" s="241"/>
      <c r="P979" s="241"/>
      <c r="Q979" s="241"/>
      <c r="R979" s="241"/>
      <c r="S979" s="241"/>
      <c r="T979" s="241"/>
      <c r="U979" s="241"/>
      <c r="V979" s="241"/>
      <c r="W979" s="241"/>
      <c r="X979" s="241"/>
      <c r="Y979" s="241"/>
      <c r="Z979" s="241"/>
    </row>
    <row r="980" spans="1:26" ht="13.5" customHeight="1" x14ac:dyDescent="0.3">
      <c r="A980" s="241"/>
      <c r="B980" s="241"/>
      <c r="C980" s="241"/>
      <c r="D980" s="241"/>
      <c r="E980" s="241"/>
      <c r="F980" s="241"/>
      <c r="G980" s="241"/>
      <c r="H980" s="241"/>
      <c r="I980" s="241"/>
      <c r="J980" s="241"/>
      <c r="K980" s="241"/>
      <c r="L980" s="241"/>
      <c r="M980" s="241"/>
      <c r="N980" s="241"/>
      <c r="O980" s="241"/>
      <c r="P980" s="241"/>
      <c r="Q980" s="241"/>
      <c r="R980" s="241"/>
      <c r="S980" s="241"/>
      <c r="T980" s="241"/>
      <c r="U980" s="241"/>
      <c r="V980" s="241"/>
      <c r="W980" s="241"/>
      <c r="X980" s="241"/>
      <c r="Y980" s="241"/>
      <c r="Z980" s="241"/>
    </row>
    <row r="981" spans="1:26" ht="13.5" customHeight="1" x14ac:dyDescent="0.3">
      <c r="A981" s="241"/>
      <c r="B981" s="241"/>
      <c r="C981" s="241"/>
      <c r="D981" s="241"/>
      <c r="E981" s="241"/>
      <c r="F981" s="241"/>
      <c r="G981" s="241"/>
      <c r="H981" s="241"/>
      <c r="I981" s="241"/>
      <c r="J981" s="241"/>
      <c r="K981" s="241"/>
      <c r="L981" s="241"/>
      <c r="M981" s="241"/>
      <c r="N981" s="241"/>
      <c r="O981" s="241"/>
      <c r="P981" s="241"/>
      <c r="Q981" s="241"/>
      <c r="R981" s="241"/>
      <c r="S981" s="241"/>
      <c r="T981" s="241"/>
      <c r="U981" s="241"/>
      <c r="V981" s="241"/>
      <c r="W981" s="241"/>
      <c r="X981" s="241"/>
      <c r="Y981" s="241"/>
      <c r="Z981" s="241"/>
    </row>
    <row r="982" spans="1:26" ht="13.5" customHeight="1" x14ac:dyDescent="0.3">
      <c r="A982" s="241"/>
      <c r="B982" s="241"/>
      <c r="C982" s="241"/>
      <c r="D982" s="241"/>
      <c r="E982" s="241"/>
      <c r="F982" s="241"/>
      <c r="G982" s="241"/>
      <c r="H982" s="241"/>
      <c r="I982" s="241"/>
      <c r="J982" s="241"/>
      <c r="K982" s="241"/>
      <c r="L982" s="241"/>
      <c r="M982" s="241"/>
      <c r="N982" s="241"/>
      <c r="O982" s="241"/>
      <c r="P982" s="241"/>
      <c r="Q982" s="241"/>
      <c r="R982" s="241"/>
      <c r="S982" s="241"/>
      <c r="T982" s="241"/>
      <c r="U982" s="241"/>
      <c r="V982" s="241"/>
      <c r="W982" s="241"/>
      <c r="X982" s="241"/>
      <c r="Y982" s="241"/>
      <c r="Z982" s="241"/>
    </row>
    <row r="983" spans="1:26" ht="13.5" customHeight="1" x14ac:dyDescent="0.3">
      <c r="A983" s="241"/>
      <c r="B983" s="241"/>
      <c r="C983" s="241"/>
      <c r="D983" s="241"/>
      <c r="E983" s="241"/>
      <c r="F983" s="241"/>
      <c r="G983" s="241"/>
      <c r="H983" s="241"/>
      <c r="I983" s="241"/>
      <c r="J983" s="241"/>
      <c r="K983" s="241"/>
      <c r="L983" s="241"/>
      <c r="M983" s="241"/>
      <c r="N983" s="241"/>
      <c r="O983" s="241"/>
      <c r="P983" s="241"/>
      <c r="Q983" s="241"/>
      <c r="R983" s="241"/>
      <c r="S983" s="241"/>
      <c r="T983" s="241"/>
      <c r="U983" s="241"/>
      <c r="V983" s="241"/>
      <c r="W983" s="241"/>
      <c r="X983" s="241"/>
      <c r="Y983" s="241"/>
      <c r="Z983" s="241"/>
    </row>
    <row r="984" spans="1:26" ht="13.5" customHeight="1" x14ac:dyDescent="0.3">
      <c r="A984" s="241"/>
      <c r="B984" s="241"/>
      <c r="C984" s="241"/>
      <c r="D984" s="241"/>
      <c r="E984" s="241"/>
      <c r="F984" s="241"/>
      <c r="G984" s="241"/>
      <c r="H984" s="241"/>
      <c r="I984" s="241"/>
      <c r="J984" s="241"/>
      <c r="K984" s="241"/>
      <c r="L984" s="241"/>
      <c r="M984" s="241"/>
      <c r="N984" s="241"/>
      <c r="O984" s="241"/>
      <c r="P984" s="241"/>
      <c r="Q984" s="241"/>
      <c r="R984" s="241"/>
      <c r="S984" s="241"/>
      <c r="T984" s="241"/>
      <c r="U984" s="241"/>
      <c r="V984" s="241"/>
      <c r="W984" s="241"/>
      <c r="X984" s="241"/>
      <c r="Y984" s="241"/>
      <c r="Z984" s="241"/>
    </row>
    <row r="985" spans="1:26" ht="13.5" customHeight="1" x14ac:dyDescent="0.3">
      <c r="A985" s="241"/>
      <c r="B985" s="241"/>
      <c r="C985" s="241"/>
      <c r="D985" s="241"/>
      <c r="E985" s="241"/>
      <c r="F985" s="241"/>
      <c r="G985" s="241"/>
      <c r="H985" s="241"/>
      <c r="I985" s="241"/>
      <c r="J985" s="241"/>
      <c r="K985" s="241"/>
      <c r="L985" s="241"/>
      <c r="M985" s="241"/>
      <c r="N985" s="241"/>
      <c r="O985" s="241"/>
      <c r="P985" s="241"/>
      <c r="Q985" s="241"/>
      <c r="R985" s="241"/>
      <c r="S985" s="241"/>
      <c r="T985" s="241"/>
      <c r="U985" s="241"/>
      <c r="V985" s="241"/>
      <c r="W985" s="241"/>
      <c r="X985" s="241"/>
      <c r="Y985" s="241"/>
      <c r="Z985" s="241"/>
    </row>
    <row r="986" spans="1:26" ht="13.5" customHeight="1" x14ac:dyDescent="0.3">
      <c r="A986" s="241"/>
      <c r="B986" s="241"/>
      <c r="C986" s="241"/>
      <c r="D986" s="241"/>
      <c r="E986" s="241"/>
      <c r="F986" s="241"/>
      <c r="G986" s="241"/>
      <c r="H986" s="241"/>
      <c r="I986" s="241"/>
      <c r="J986" s="241"/>
      <c r="K986" s="241"/>
      <c r="L986" s="241"/>
      <c r="M986" s="241"/>
      <c r="N986" s="241"/>
      <c r="O986" s="241"/>
      <c r="P986" s="241"/>
      <c r="Q986" s="241"/>
      <c r="R986" s="241"/>
      <c r="S986" s="241"/>
      <c r="T986" s="241"/>
      <c r="U986" s="241"/>
      <c r="V986" s="241"/>
      <c r="W986" s="241"/>
      <c r="X986" s="241"/>
      <c r="Y986" s="241"/>
      <c r="Z986" s="241"/>
    </row>
    <row r="987" spans="1:26" ht="13.5" customHeight="1" x14ac:dyDescent="0.3">
      <c r="A987" s="241"/>
      <c r="B987" s="241"/>
      <c r="C987" s="241"/>
      <c r="D987" s="241"/>
      <c r="E987" s="241"/>
      <c r="F987" s="241"/>
      <c r="G987" s="241"/>
      <c r="H987" s="241"/>
      <c r="I987" s="241"/>
      <c r="J987" s="241"/>
      <c r="K987" s="241"/>
      <c r="L987" s="241"/>
      <c r="M987" s="241"/>
      <c r="N987" s="241"/>
      <c r="O987" s="241"/>
      <c r="P987" s="241"/>
      <c r="Q987" s="241"/>
      <c r="R987" s="241"/>
      <c r="S987" s="241"/>
      <c r="T987" s="241"/>
      <c r="U987" s="241"/>
      <c r="V987" s="241"/>
      <c r="W987" s="241"/>
      <c r="X987" s="241"/>
      <c r="Y987" s="241"/>
      <c r="Z987" s="241"/>
    </row>
    <row r="988" spans="1:26" ht="13.5" customHeight="1" x14ac:dyDescent="0.3">
      <c r="A988" s="241"/>
      <c r="B988" s="241"/>
      <c r="C988" s="241"/>
      <c r="D988" s="241"/>
      <c r="E988" s="241"/>
      <c r="F988" s="241"/>
      <c r="G988" s="241"/>
      <c r="H988" s="241"/>
      <c r="I988" s="241"/>
      <c r="J988" s="241"/>
      <c r="K988" s="241"/>
      <c r="L988" s="241"/>
      <c r="M988" s="241"/>
      <c r="N988" s="241"/>
      <c r="O988" s="241"/>
      <c r="P988" s="241"/>
      <c r="Q988" s="241"/>
      <c r="R988" s="241"/>
      <c r="S988" s="241"/>
      <c r="T988" s="241"/>
      <c r="U988" s="241"/>
      <c r="V988" s="241"/>
      <c r="W988" s="241"/>
      <c r="X988" s="241"/>
      <c r="Y988" s="241"/>
      <c r="Z988" s="241"/>
    </row>
    <row r="989" spans="1:26" ht="13.5" customHeight="1" x14ac:dyDescent="0.3">
      <c r="A989" s="241"/>
      <c r="B989" s="241"/>
      <c r="C989" s="241"/>
      <c r="D989" s="241"/>
      <c r="E989" s="241"/>
      <c r="F989" s="241"/>
      <c r="G989" s="241"/>
      <c r="H989" s="241"/>
      <c r="I989" s="241"/>
      <c r="J989" s="241"/>
      <c r="K989" s="241"/>
      <c r="L989" s="241"/>
      <c r="M989" s="241"/>
      <c r="N989" s="241"/>
      <c r="O989" s="241"/>
      <c r="P989" s="241"/>
      <c r="Q989" s="241"/>
      <c r="R989" s="241"/>
      <c r="S989" s="241"/>
      <c r="T989" s="241"/>
      <c r="U989" s="241"/>
      <c r="V989" s="241"/>
      <c r="W989" s="241"/>
      <c r="X989" s="241"/>
      <c r="Y989" s="241"/>
      <c r="Z989" s="241"/>
    </row>
    <row r="990" spans="1:26" ht="13.5" customHeight="1" x14ac:dyDescent="0.3">
      <c r="A990" s="241"/>
      <c r="B990" s="241"/>
      <c r="C990" s="241"/>
      <c r="D990" s="241"/>
      <c r="E990" s="241"/>
      <c r="F990" s="241"/>
      <c r="G990" s="241"/>
      <c r="H990" s="241"/>
      <c r="I990" s="241"/>
      <c r="J990" s="241"/>
      <c r="K990" s="241"/>
      <c r="L990" s="241"/>
      <c r="M990" s="241"/>
      <c r="N990" s="241"/>
      <c r="O990" s="241"/>
      <c r="P990" s="241"/>
      <c r="Q990" s="241"/>
      <c r="R990" s="241"/>
      <c r="S990" s="241"/>
      <c r="T990" s="241"/>
      <c r="U990" s="241"/>
      <c r="V990" s="241"/>
      <c r="W990" s="241"/>
      <c r="X990" s="241"/>
      <c r="Y990" s="241"/>
      <c r="Z990" s="241"/>
    </row>
    <row r="991" spans="1:26" ht="13.5" customHeight="1" x14ac:dyDescent="0.3">
      <c r="A991" s="241"/>
      <c r="B991" s="241"/>
      <c r="C991" s="241"/>
      <c r="D991" s="241"/>
      <c r="E991" s="241"/>
      <c r="F991" s="241"/>
      <c r="G991" s="241"/>
      <c r="H991" s="241"/>
      <c r="I991" s="241"/>
      <c r="J991" s="241"/>
      <c r="K991" s="241"/>
      <c r="L991" s="241"/>
      <c r="M991" s="241"/>
      <c r="N991" s="241"/>
      <c r="O991" s="241"/>
      <c r="P991" s="241"/>
      <c r="Q991" s="241"/>
      <c r="R991" s="241"/>
      <c r="S991" s="241"/>
      <c r="T991" s="241"/>
      <c r="U991" s="241"/>
      <c r="V991" s="241"/>
      <c r="W991" s="241"/>
      <c r="X991" s="241"/>
      <c r="Y991" s="241"/>
      <c r="Z991" s="241"/>
    </row>
    <row r="992" spans="1:26" ht="13.5" customHeight="1" x14ac:dyDescent="0.3">
      <c r="A992" s="241"/>
      <c r="B992" s="241"/>
      <c r="C992" s="241"/>
      <c r="D992" s="241"/>
      <c r="E992" s="241"/>
      <c r="F992" s="241"/>
      <c r="G992" s="241"/>
      <c r="H992" s="241"/>
      <c r="I992" s="241"/>
      <c r="J992" s="241"/>
      <c r="K992" s="241"/>
      <c r="L992" s="241"/>
      <c r="M992" s="241"/>
      <c r="N992" s="241"/>
      <c r="O992" s="241"/>
      <c r="P992" s="241"/>
      <c r="Q992" s="241"/>
      <c r="R992" s="241"/>
      <c r="S992" s="241"/>
      <c r="T992" s="241"/>
      <c r="U992" s="241"/>
      <c r="V992" s="241"/>
      <c r="W992" s="241"/>
      <c r="X992" s="241"/>
      <c r="Y992" s="241"/>
      <c r="Z992" s="241"/>
    </row>
    <row r="993" spans="1:26" ht="13.5" customHeight="1" x14ac:dyDescent="0.3">
      <c r="A993" s="241"/>
      <c r="B993" s="241"/>
      <c r="C993" s="241"/>
      <c r="D993" s="241"/>
      <c r="E993" s="241"/>
      <c r="F993" s="241"/>
      <c r="G993" s="241"/>
      <c r="H993" s="241"/>
      <c r="I993" s="241"/>
      <c r="J993" s="241"/>
      <c r="K993" s="241"/>
      <c r="L993" s="241"/>
      <c r="M993" s="241"/>
      <c r="N993" s="241"/>
      <c r="O993" s="241"/>
      <c r="P993" s="241"/>
      <c r="Q993" s="241"/>
      <c r="R993" s="241"/>
      <c r="S993" s="241"/>
      <c r="T993" s="241"/>
      <c r="U993" s="241"/>
      <c r="V993" s="241"/>
      <c r="W993" s="241"/>
      <c r="X993" s="241"/>
      <c r="Y993" s="241"/>
      <c r="Z993" s="241"/>
    </row>
    <row r="994" spans="1:26" ht="13.5" customHeight="1" x14ac:dyDescent="0.3">
      <c r="A994" s="241"/>
      <c r="B994" s="241"/>
      <c r="C994" s="241"/>
      <c r="D994" s="241"/>
      <c r="E994" s="241"/>
      <c r="F994" s="241"/>
      <c r="G994" s="241"/>
      <c r="H994" s="241"/>
      <c r="I994" s="241"/>
      <c r="J994" s="241"/>
      <c r="K994" s="241"/>
      <c r="L994" s="241"/>
      <c r="M994" s="241"/>
      <c r="N994" s="241"/>
      <c r="O994" s="241"/>
      <c r="P994" s="241"/>
      <c r="Q994" s="241"/>
      <c r="R994" s="241"/>
      <c r="S994" s="241"/>
      <c r="T994" s="241"/>
      <c r="U994" s="241"/>
      <c r="V994" s="241"/>
      <c r="W994" s="241"/>
      <c r="X994" s="241"/>
      <c r="Y994" s="241"/>
      <c r="Z994" s="241"/>
    </row>
    <row r="995" spans="1:26" ht="13.5" customHeight="1" x14ac:dyDescent="0.3">
      <c r="A995" s="241"/>
      <c r="B995" s="241"/>
      <c r="C995" s="241"/>
      <c r="D995" s="241"/>
      <c r="E995" s="241"/>
      <c r="F995" s="241"/>
      <c r="G995" s="241"/>
      <c r="H995" s="241"/>
      <c r="I995" s="241"/>
      <c r="J995" s="241"/>
      <c r="K995" s="241"/>
      <c r="L995" s="241"/>
      <c r="M995" s="241"/>
      <c r="N995" s="241"/>
      <c r="O995" s="241"/>
      <c r="P995" s="241"/>
      <c r="Q995" s="241"/>
      <c r="R995" s="241"/>
      <c r="S995" s="241"/>
      <c r="T995" s="241"/>
      <c r="U995" s="241"/>
      <c r="V995" s="241"/>
      <c r="W995" s="241"/>
      <c r="X995" s="241"/>
      <c r="Y995" s="241"/>
      <c r="Z995" s="241"/>
    </row>
    <row r="996" spans="1:26" ht="13.5" customHeight="1" x14ac:dyDescent="0.3">
      <c r="A996" s="241"/>
      <c r="B996" s="241"/>
      <c r="C996" s="241"/>
      <c r="D996" s="241"/>
      <c r="E996" s="241"/>
      <c r="F996" s="241"/>
      <c r="G996" s="241"/>
      <c r="H996" s="241"/>
      <c r="I996" s="241"/>
      <c r="J996" s="241"/>
      <c r="K996" s="241"/>
      <c r="L996" s="241"/>
      <c r="M996" s="241"/>
      <c r="N996" s="241"/>
      <c r="O996" s="241"/>
      <c r="P996" s="241"/>
      <c r="Q996" s="241"/>
      <c r="R996" s="241"/>
      <c r="S996" s="241"/>
      <c r="T996" s="241"/>
      <c r="U996" s="241"/>
      <c r="V996" s="241"/>
      <c r="W996" s="241"/>
      <c r="X996" s="241"/>
      <c r="Y996" s="241"/>
      <c r="Z996" s="241"/>
    </row>
    <row r="997" spans="1:26" ht="13.5" customHeight="1" x14ac:dyDescent="0.3">
      <c r="A997" s="241"/>
      <c r="B997" s="241"/>
      <c r="C997" s="241"/>
      <c r="D997" s="241"/>
      <c r="E997" s="241"/>
      <c r="F997" s="241"/>
      <c r="G997" s="241"/>
      <c r="H997" s="241"/>
      <c r="I997" s="241"/>
      <c r="J997" s="241"/>
      <c r="K997" s="241"/>
      <c r="L997" s="241"/>
      <c r="M997" s="241"/>
      <c r="N997" s="241"/>
      <c r="O997" s="241"/>
      <c r="P997" s="241"/>
      <c r="Q997" s="241"/>
      <c r="R997" s="241"/>
      <c r="S997" s="241"/>
      <c r="T997" s="241"/>
      <c r="U997" s="241"/>
      <c r="V997" s="241"/>
      <c r="W997" s="241"/>
      <c r="X997" s="241"/>
      <c r="Y997" s="241"/>
      <c r="Z997" s="241"/>
    </row>
  </sheetData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B0430-1C09-47FF-BA8F-2E9003ED731A}">
  <sheetPr>
    <tabColor rgb="FFD0CECE"/>
  </sheetPr>
  <dimension ref="A1:Z1000"/>
  <sheetViews>
    <sheetView workbookViewId="0">
      <selection activeCell="D15" sqref="D15"/>
    </sheetView>
  </sheetViews>
  <sheetFormatPr defaultColWidth="12.6328125" defaultRowHeight="15" customHeight="1" x14ac:dyDescent="0.25"/>
  <cols>
    <col min="1" max="1" width="20.453125" style="242" customWidth="1"/>
    <col min="2" max="2" width="21.36328125" style="242" customWidth="1"/>
    <col min="3" max="3" width="30.6328125" style="242" customWidth="1"/>
    <col min="4" max="4" width="29.6328125" style="242" customWidth="1"/>
    <col min="5" max="5" width="32.453125" style="242" customWidth="1"/>
    <col min="6" max="6" width="53.453125" style="242" customWidth="1"/>
    <col min="7" max="8" width="26.90625" style="242" customWidth="1"/>
    <col min="9" max="9" width="23.81640625" style="242" customWidth="1"/>
    <col min="10" max="11" width="44.90625" style="242" customWidth="1"/>
    <col min="12" max="26" width="10.90625" style="242" customWidth="1"/>
    <col min="27" max="16384" width="12.6328125" style="242"/>
  </cols>
  <sheetData>
    <row r="1" spans="1:26" ht="13.5" customHeight="1" x14ac:dyDescent="0.3">
      <c r="A1" s="241"/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</row>
    <row r="2" spans="1:26" ht="13.5" customHeight="1" x14ac:dyDescent="0.3">
      <c r="A2" s="287"/>
      <c r="B2" s="287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241"/>
      <c r="R2" s="241"/>
      <c r="S2" s="241"/>
      <c r="T2" s="241"/>
      <c r="U2" s="241"/>
      <c r="V2" s="241"/>
      <c r="W2" s="241"/>
      <c r="X2" s="241"/>
      <c r="Y2" s="241"/>
      <c r="Z2" s="241"/>
    </row>
    <row r="3" spans="1:26" ht="13.5" customHeight="1" x14ac:dyDescent="0.3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1"/>
      <c r="P3" s="241"/>
      <c r="Q3" s="241"/>
      <c r="R3" s="241"/>
      <c r="S3" s="241"/>
      <c r="T3" s="241"/>
      <c r="U3" s="241"/>
      <c r="V3" s="241"/>
      <c r="W3" s="241"/>
      <c r="X3" s="241"/>
      <c r="Y3" s="241"/>
      <c r="Z3" s="241"/>
    </row>
    <row r="4" spans="1:26" ht="13.5" customHeight="1" x14ac:dyDescent="0.3">
      <c r="A4" s="328" t="s">
        <v>37</v>
      </c>
      <c r="B4" s="328" t="s">
        <v>578</v>
      </c>
      <c r="C4" s="328" t="s">
        <v>50</v>
      </c>
      <c r="D4" s="328" t="s">
        <v>618</v>
      </c>
      <c r="E4" s="328" t="s">
        <v>582</v>
      </c>
      <c r="F4" s="328" t="s">
        <v>574</v>
      </c>
      <c r="G4" s="328" t="s">
        <v>616</v>
      </c>
      <c r="H4" s="328" t="s">
        <v>589</v>
      </c>
      <c r="I4" s="328" t="s">
        <v>615</v>
      </c>
      <c r="J4" s="329" t="s">
        <v>2312</v>
      </c>
      <c r="K4" s="287"/>
      <c r="L4" s="241"/>
      <c r="M4" s="241"/>
      <c r="N4" s="241"/>
      <c r="O4" s="241"/>
      <c r="P4" s="241"/>
      <c r="Q4" s="241"/>
      <c r="R4" s="241"/>
      <c r="S4" s="241"/>
      <c r="T4" s="241"/>
      <c r="U4" s="241"/>
      <c r="V4" s="241"/>
      <c r="W4" s="241"/>
      <c r="X4" s="241"/>
      <c r="Y4" s="241"/>
      <c r="Z4" s="241"/>
    </row>
    <row r="5" spans="1:26" ht="13.5" customHeight="1" x14ac:dyDescent="0.3">
      <c r="A5" s="340" t="s">
        <v>436</v>
      </c>
      <c r="B5" s="330" t="s">
        <v>558</v>
      </c>
      <c r="C5" s="340" t="s">
        <v>1496</v>
      </c>
      <c r="D5" s="330" t="s">
        <v>1013</v>
      </c>
      <c r="E5" s="330" t="s">
        <v>1011</v>
      </c>
      <c r="F5" s="330" t="s">
        <v>1213</v>
      </c>
      <c r="G5" s="341" t="s">
        <v>1217</v>
      </c>
      <c r="H5" s="330" t="s">
        <v>111</v>
      </c>
      <c r="I5" s="341">
        <v>1</v>
      </c>
      <c r="J5" s="331">
        <v>0</v>
      </c>
      <c r="K5" s="287"/>
      <c r="L5" s="241"/>
      <c r="M5" s="241"/>
      <c r="N5" s="241"/>
      <c r="O5" s="241"/>
      <c r="P5" s="241"/>
      <c r="Q5" s="241"/>
      <c r="R5" s="241"/>
      <c r="S5" s="241"/>
      <c r="T5" s="241"/>
      <c r="U5" s="241"/>
      <c r="V5" s="241"/>
      <c r="W5" s="241"/>
      <c r="X5" s="241"/>
      <c r="Y5" s="241"/>
      <c r="Z5" s="241"/>
    </row>
    <row r="6" spans="1:26" ht="13.5" customHeight="1" x14ac:dyDescent="0.3">
      <c r="A6" s="332" t="s">
        <v>436</v>
      </c>
      <c r="B6" s="330" t="s">
        <v>559</v>
      </c>
      <c r="C6" s="340" t="s">
        <v>2003</v>
      </c>
      <c r="D6" s="330" t="s">
        <v>722</v>
      </c>
      <c r="E6" s="330" t="s">
        <v>720</v>
      </c>
      <c r="F6" s="330" t="s">
        <v>716</v>
      </c>
      <c r="G6" s="341" t="s">
        <v>721</v>
      </c>
      <c r="H6" s="330" t="s">
        <v>111</v>
      </c>
      <c r="I6" s="341">
        <v>1</v>
      </c>
      <c r="J6" s="331">
        <v>3855555.79</v>
      </c>
      <c r="K6" s="287"/>
      <c r="L6" s="241"/>
      <c r="M6" s="241"/>
      <c r="N6" s="241"/>
      <c r="O6" s="241"/>
      <c r="P6" s="241"/>
      <c r="Q6" s="241"/>
      <c r="R6" s="241"/>
      <c r="S6" s="241"/>
      <c r="T6" s="241"/>
      <c r="U6" s="241"/>
      <c r="V6" s="241"/>
      <c r="W6" s="241"/>
      <c r="X6" s="241"/>
      <c r="Y6" s="241"/>
      <c r="Z6" s="241"/>
    </row>
    <row r="7" spans="1:26" ht="13.5" customHeight="1" x14ac:dyDescent="0.3">
      <c r="A7" s="332" t="s">
        <v>436</v>
      </c>
      <c r="B7" s="342" t="s">
        <v>559</v>
      </c>
      <c r="C7" s="340" t="s">
        <v>2084</v>
      </c>
      <c r="D7" s="330" t="s">
        <v>734</v>
      </c>
      <c r="E7" s="330" t="s">
        <v>732</v>
      </c>
      <c r="F7" s="330" t="s">
        <v>728</v>
      </c>
      <c r="G7" s="341" t="s">
        <v>733</v>
      </c>
      <c r="H7" s="330" t="s">
        <v>111</v>
      </c>
      <c r="I7" s="341">
        <v>1</v>
      </c>
      <c r="J7" s="331">
        <v>3113913.08</v>
      </c>
      <c r="K7" s="287"/>
      <c r="L7" s="241"/>
      <c r="M7" s="241"/>
      <c r="N7" s="241"/>
      <c r="O7" s="241"/>
      <c r="P7" s="241"/>
      <c r="Q7" s="241"/>
      <c r="R7" s="241"/>
      <c r="S7" s="241"/>
      <c r="T7" s="241"/>
      <c r="U7" s="241"/>
      <c r="V7" s="241"/>
      <c r="W7" s="241"/>
      <c r="X7" s="241"/>
      <c r="Y7" s="241"/>
      <c r="Z7" s="241"/>
    </row>
    <row r="8" spans="1:26" ht="13.5" customHeight="1" x14ac:dyDescent="0.3">
      <c r="A8" s="332" t="s">
        <v>436</v>
      </c>
      <c r="B8" s="342" t="s">
        <v>559</v>
      </c>
      <c r="C8" s="340" t="s">
        <v>2028</v>
      </c>
      <c r="D8" s="330" t="s">
        <v>755</v>
      </c>
      <c r="E8" s="330" t="s">
        <v>753</v>
      </c>
      <c r="F8" s="330" t="s">
        <v>748</v>
      </c>
      <c r="G8" s="341" t="s">
        <v>754</v>
      </c>
      <c r="H8" s="330" t="s">
        <v>111</v>
      </c>
      <c r="I8" s="341">
        <v>1</v>
      </c>
      <c r="J8" s="331">
        <v>2687841.46</v>
      </c>
      <c r="K8" s="287"/>
      <c r="L8" s="241"/>
      <c r="M8" s="241"/>
      <c r="N8" s="241"/>
      <c r="O8" s="241"/>
      <c r="P8" s="241"/>
      <c r="Q8" s="241"/>
      <c r="R8" s="241"/>
      <c r="S8" s="241"/>
      <c r="T8" s="241"/>
      <c r="U8" s="241"/>
      <c r="V8" s="241"/>
      <c r="W8" s="241"/>
      <c r="X8" s="241"/>
      <c r="Y8" s="241"/>
      <c r="Z8" s="241"/>
    </row>
    <row r="9" spans="1:26" ht="13.5" customHeight="1" x14ac:dyDescent="0.3">
      <c r="A9" s="332" t="s">
        <v>436</v>
      </c>
      <c r="B9" s="342" t="s">
        <v>559</v>
      </c>
      <c r="C9" s="340" t="s">
        <v>2015</v>
      </c>
      <c r="D9" s="330" t="s">
        <v>766</v>
      </c>
      <c r="E9" s="330" t="s">
        <v>764</v>
      </c>
      <c r="F9" s="330" t="s">
        <v>759</v>
      </c>
      <c r="G9" s="341" t="s">
        <v>765</v>
      </c>
      <c r="H9" s="330" t="s">
        <v>111</v>
      </c>
      <c r="I9" s="341">
        <v>1</v>
      </c>
      <c r="J9" s="331">
        <v>1055530.21</v>
      </c>
      <c r="K9" s="287"/>
      <c r="L9" s="241"/>
      <c r="M9" s="241"/>
      <c r="N9" s="241"/>
      <c r="O9" s="241"/>
      <c r="P9" s="241"/>
      <c r="Q9" s="241"/>
      <c r="R9" s="241"/>
      <c r="S9" s="241"/>
      <c r="T9" s="241"/>
      <c r="U9" s="241"/>
      <c r="V9" s="241"/>
      <c r="W9" s="241"/>
      <c r="X9" s="241"/>
      <c r="Y9" s="241"/>
      <c r="Z9" s="241"/>
    </row>
    <row r="10" spans="1:26" ht="13.5" customHeight="1" x14ac:dyDescent="0.3">
      <c r="A10" s="332" t="s">
        <v>436</v>
      </c>
      <c r="B10" s="342" t="s">
        <v>559</v>
      </c>
      <c r="C10" s="340" t="s">
        <v>2068</v>
      </c>
      <c r="D10" s="330" t="s">
        <v>778</v>
      </c>
      <c r="E10" s="330" t="s">
        <v>776</v>
      </c>
      <c r="F10" s="330" t="s">
        <v>772</v>
      </c>
      <c r="G10" s="341" t="s">
        <v>777</v>
      </c>
      <c r="H10" s="330" t="s">
        <v>111</v>
      </c>
      <c r="I10" s="341">
        <v>1</v>
      </c>
      <c r="J10" s="331">
        <v>1269863.22</v>
      </c>
      <c r="K10" s="287"/>
      <c r="L10" s="241"/>
      <c r="M10" s="241"/>
      <c r="N10" s="241"/>
      <c r="O10" s="241"/>
      <c r="P10" s="241"/>
      <c r="Q10" s="241"/>
      <c r="R10" s="241"/>
      <c r="S10" s="241"/>
      <c r="T10" s="241"/>
      <c r="U10" s="241"/>
      <c r="V10" s="241"/>
      <c r="W10" s="241"/>
      <c r="X10" s="241"/>
      <c r="Y10" s="241"/>
      <c r="Z10" s="241"/>
    </row>
    <row r="11" spans="1:26" ht="13.5" customHeight="1" x14ac:dyDescent="0.3">
      <c r="A11" s="332" t="s">
        <v>436</v>
      </c>
      <c r="B11" s="342" t="s">
        <v>559</v>
      </c>
      <c r="C11" s="340" t="s">
        <v>2063</v>
      </c>
      <c r="D11" s="330" t="s">
        <v>791</v>
      </c>
      <c r="E11" s="330" t="s">
        <v>789</v>
      </c>
      <c r="F11" s="330" t="s">
        <v>784</v>
      </c>
      <c r="G11" s="341" t="s">
        <v>790</v>
      </c>
      <c r="H11" s="330" t="s">
        <v>111</v>
      </c>
      <c r="I11" s="341">
        <v>1</v>
      </c>
      <c r="J11" s="331">
        <v>1900327.95</v>
      </c>
      <c r="K11" s="287"/>
      <c r="L11" s="241"/>
      <c r="M11" s="241"/>
      <c r="N11" s="241"/>
      <c r="O11" s="241"/>
      <c r="P11" s="241"/>
      <c r="Q11" s="241"/>
      <c r="R11" s="241"/>
      <c r="S11" s="241"/>
      <c r="T11" s="241"/>
      <c r="U11" s="241"/>
      <c r="V11" s="241"/>
      <c r="W11" s="241"/>
      <c r="X11" s="241"/>
      <c r="Y11" s="241"/>
      <c r="Z11" s="241"/>
    </row>
    <row r="12" spans="1:26" ht="13.5" customHeight="1" x14ac:dyDescent="0.3">
      <c r="A12" s="332" t="s">
        <v>436</v>
      </c>
      <c r="B12" s="342" t="s">
        <v>559</v>
      </c>
      <c r="C12" s="340" t="s">
        <v>2054</v>
      </c>
      <c r="D12" s="330" t="s">
        <v>805</v>
      </c>
      <c r="E12" s="330" t="s">
        <v>803</v>
      </c>
      <c r="F12" s="330" t="s">
        <v>799</v>
      </c>
      <c r="G12" s="341" t="s">
        <v>804</v>
      </c>
      <c r="H12" s="330" t="s">
        <v>111</v>
      </c>
      <c r="I12" s="341">
        <v>1</v>
      </c>
      <c r="J12" s="331">
        <v>81926.990000000005</v>
      </c>
      <c r="K12" s="287"/>
      <c r="L12" s="241"/>
      <c r="M12" s="241"/>
      <c r="N12" s="241"/>
      <c r="O12" s="241"/>
      <c r="P12" s="241"/>
      <c r="Q12" s="241"/>
      <c r="R12" s="241"/>
      <c r="S12" s="241"/>
      <c r="T12" s="241"/>
      <c r="U12" s="241"/>
      <c r="V12" s="241"/>
      <c r="W12" s="241"/>
      <c r="X12" s="241"/>
      <c r="Y12" s="241"/>
      <c r="Z12" s="241"/>
    </row>
    <row r="13" spans="1:26" ht="13.5" customHeight="1" x14ac:dyDescent="0.3">
      <c r="A13" s="332" t="s">
        <v>436</v>
      </c>
      <c r="B13" s="342" t="s">
        <v>559</v>
      </c>
      <c r="C13" s="340" t="s">
        <v>2023</v>
      </c>
      <c r="D13" s="330" t="s">
        <v>815</v>
      </c>
      <c r="E13" s="330" t="s">
        <v>813</v>
      </c>
      <c r="F13" s="330" t="s">
        <v>809</v>
      </c>
      <c r="G13" s="341" t="s">
        <v>814</v>
      </c>
      <c r="H13" s="330" t="s">
        <v>111</v>
      </c>
      <c r="I13" s="341">
        <v>1</v>
      </c>
      <c r="J13" s="331">
        <v>16336337.960000001</v>
      </c>
      <c r="K13" s="287"/>
      <c r="L13" s="241"/>
      <c r="M13" s="241"/>
      <c r="N13" s="241"/>
      <c r="O13" s="241"/>
      <c r="P13" s="241"/>
      <c r="Q13" s="241"/>
      <c r="R13" s="241"/>
      <c r="S13" s="241"/>
      <c r="T13" s="241"/>
      <c r="U13" s="241"/>
      <c r="V13" s="241"/>
      <c r="W13" s="241"/>
      <c r="X13" s="241"/>
      <c r="Y13" s="241"/>
      <c r="Z13" s="241"/>
    </row>
    <row r="14" spans="1:26" ht="13.5" customHeight="1" x14ac:dyDescent="0.3">
      <c r="A14" s="332" t="s">
        <v>436</v>
      </c>
      <c r="B14" s="342" t="s">
        <v>559</v>
      </c>
      <c r="C14" s="340" t="s">
        <v>2013</v>
      </c>
      <c r="D14" s="330" t="s">
        <v>843</v>
      </c>
      <c r="E14" s="330" t="s">
        <v>840</v>
      </c>
      <c r="F14" s="330" t="s">
        <v>836</v>
      </c>
      <c r="G14" s="341" t="s">
        <v>841</v>
      </c>
      <c r="H14" s="330" t="s">
        <v>111</v>
      </c>
      <c r="I14" s="341">
        <v>1</v>
      </c>
      <c r="J14" s="331">
        <v>610190.21</v>
      </c>
      <c r="K14" s="287"/>
      <c r="L14" s="241"/>
      <c r="M14" s="241"/>
      <c r="N14" s="241"/>
      <c r="O14" s="241"/>
      <c r="P14" s="241"/>
      <c r="Q14" s="241"/>
      <c r="R14" s="241"/>
      <c r="S14" s="241"/>
      <c r="T14" s="241"/>
      <c r="U14" s="241"/>
      <c r="V14" s="241"/>
      <c r="W14" s="241"/>
      <c r="X14" s="241"/>
      <c r="Y14" s="241"/>
      <c r="Z14" s="241"/>
    </row>
    <row r="15" spans="1:26" ht="13.5" customHeight="1" x14ac:dyDescent="0.3">
      <c r="A15" s="332" t="s">
        <v>436</v>
      </c>
      <c r="B15" s="342" t="s">
        <v>559</v>
      </c>
      <c r="C15" s="340" t="s">
        <v>2050</v>
      </c>
      <c r="D15" s="330" t="s">
        <v>827</v>
      </c>
      <c r="E15" s="330" t="s">
        <v>826</v>
      </c>
      <c r="F15" s="330" t="s">
        <v>852</v>
      </c>
      <c r="G15" s="341" t="s">
        <v>856</v>
      </c>
      <c r="H15" s="330" t="s">
        <v>111</v>
      </c>
      <c r="I15" s="341">
        <v>1</v>
      </c>
      <c r="J15" s="331">
        <v>2007664.48</v>
      </c>
      <c r="K15" s="287"/>
      <c r="L15" s="241"/>
      <c r="M15" s="241"/>
      <c r="N15" s="241"/>
      <c r="O15" s="241"/>
      <c r="P15" s="241"/>
      <c r="Q15" s="241"/>
      <c r="R15" s="241"/>
      <c r="S15" s="241"/>
      <c r="T15" s="241"/>
      <c r="U15" s="241"/>
      <c r="V15" s="241"/>
      <c r="W15" s="241"/>
      <c r="X15" s="241"/>
      <c r="Y15" s="241"/>
      <c r="Z15" s="241"/>
    </row>
    <row r="16" spans="1:26" ht="13.5" customHeight="1" x14ac:dyDescent="0.3">
      <c r="A16" s="332" t="s">
        <v>436</v>
      </c>
      <c r="B16" s="342" t="s">
        <v>559</v>
      </c>
      <c r="C16" s="340" t="s">
        <v>2048</v>
      </c>
      <c r="D16" s="330" t="s">
        <v>827</v>
      </c>
      <c r="E16" s="330" t="s">
        <v>826</v>
      </c>
      <c r="F16" s="330" t="s">
        <v>1077</v>
      </c>
      <c r="G16" s="341" t="s">
        <v>1081</v>
      </c>
      <c r="H16" s="330" t="s">
        <v>111</v>
      </c>
      <c r="I16" s="341">
        <v>1</v>
      </c>
      <c r="J16" s="331">
        <v>1699231.77</v>
      </c>
      <c r="K16" s="287"/>
      <c r="L16" s="241"/>
      <c r="M16" s="241"/>
      <c r="N16" s="241"/>
      <c r="O16" s="241"/>
      <c r="P16" s="241"/>
      <c r="Q16" s="241"/>
      <c r="R16" s="241"/>
      <c r="S16" s="241"/>
      <c r="T16" s="241"/>
      <c r="U16" s="241"/>
      <c r="V16" s="241"/>
      <c r="W16" s="241"/>
      <c r="X16" s="241"/>
      <c r="Y16" s="241"/>
      <c r="Z16" s="241"/>
    </row>
    <row r="17" spans="1:26" ht="13.5" customHeight="1" x14ac:dyDescent="0.3">
      <c r="A17" s="332" t="s">
        <v>436</v>
      </c>
      <c r="B17" s="342" t="s">
        <v>559</v>
      </c>
      <c r="C17" s="340" t="s">
        <v>2138</v>
      </c>
      <c r="D17" s="330" t="s">
        <v>909</v>
      </c>
      <c r="E17" s="330" t="s">
        <v>907</v>
      </c>
      <c r="F17" s="330" t="s">
        <v>902</v>
      </c>
      <c r="G17" s="341" t="s">
        <v>908</v>
      </c>
      <c r="H17" s="330" t="s">
        <v>111</v>
      </c>
      <c r="I17" s="341">
        <v>1</v>
      </c>
      <c r="J17" s="331">
        <v>1206718.48</v>
      </c>
      <c r="K17" s="287"/>
      <c r="L17" s="241"/>
      <c r="M17" s="241"/>
      <c r="N17" s="241"/>
      <c r="O17" s="241"/>
      <c r="P17" s="241"/>
      <c r="Q17" s="241"/>
      <c r="R17" s="241"/>
      <c r="S17" s="241"/>
      <c r="T17" s="241"/>
      <c r="U17" s="241"/>
      <c r="V17" s="241"/>
      <c r="W17" s="241"/>
      <c r="X17" s="241"/>
      <c r="Y17" s="241"/>
      <c r="Z17" s="241"/>
    </row>
    <row r="18" spans="1:26" ht="13.5" customHeight="1" x14ac:dyDescent="0.3">
      <c r="A18" s="332" t="s">
        <v>436</v>
      </c>
      <c r="B18" s="342" t="s">
        <v>559</v>
      </c>
      <c r="C18" s="340" t="s">
        <v>2026</v>
      </c>
      <c r="D18" s="330" t="s">
        <v>755</v>
      </c>
      <c r="E18" s="330" t="s">
        <v>753</v>
      </c>
      <c r="F18" s="330" t="s">
        <v>913</v>
      </c>
      <c r="G18" s="341" t="s">
        <v>917</v>
      </c>
      <c r="H18" s="330" t="s">
        <v>111</v>
      </c>
      <c r="I18" s="341">
        <v>1</v>
      </c>
      <c r="J18" s="331">
        <v>2431431.12</v>
      </c>
      <c r="K18" s="287"/>
      <c r="L18" s="241"/>
      <c r="M18" s="241"/>
      <c r="N18" s="241"/>
      <c r="O18" s="241"/>
      <c r="P18" s="241"/>
      <c r="Q18" s="241"/>
      <c r="R18" s="241"/>
      <c r="S18" s="241"/>
      <c r="T18" s="241"/>
      <c r="U18" s="241"/>
      <c r="V18" s="241"/>
      <c r="W18" s="241"/>
      <c r="X18" s="241"/>
      <c r="Y18" s="241"/>
      <c r="Z18" s="241"/>
    </row>
    <row r="19" spans="1:26" ht="13.5" customHeight="1" x14ac:dyDescent="0.3">
      <c r="A19" s="332" t="s">
        <v>436</v>
      </c>
      <c r="B19" s="342" t="s">
        <v>559</v>
      </c>
      <c r="C19" s="340" t="s">
        <v>2045</v>
      </c>
      <c r="D19" s="330" t="s">
        <v>827</v>
      </c>
      <c r="E19" s="330" t="s">
        <v>826</v>
      </c>
      <c r="F19" s="330" t="s">
        <v>894</v>
      </c>
      <c r="G19" s="341" t="s">
        <v>898</v>
      </c>
      <c r="H19" s="330" t="s">
        <v>111</v>
      </c>
      <c r="I19" s="341">
        <v>1</v>
      </c>
      <c r="J19" s="331">
        <v>718276.95</v>
      </c>
      <c r="K19" s="287"/>
      <c r="L19" s="241"/>
      <c r="M19" s="241"/>
      <c r="N19" s="241"/>
      <c r="O19" s="241"/>
      <c r="P19" s="241"/>
      <c r="Q19" s="241"/>
      <c r="R19" s="241"/>
      <c r="S19" s="241"/>
      <c r="T19" s="241"/>
      <c r="U19" s="241"/>
      <c r="V19" s="241"/>
      <c r="W19" s="241"/>
      <c r="X19" s="241"/>
      <c r="Y19" s="241"/>
      <c r="Z19" s="241"/>
    </row>
    <row r="20" spans="1:26" ht="13.5" customHeight="1" x14ac:dyDescent="0.3">
      <c r="A20" s="332" t="s">
        <v>436</v>
      </c>
      <c r="B20" s="342" t="s">
        <v>559</v>
      </c>
      <c r="C20" s="340" t="s">
        <v>2043</v>
      </c>
      <c r="D20" s="330" t="s">
        <v>827</v>
      </c>
      <c r="E20" s="330" t="s">
        <v>826</v>
      </c>
      <c r="F20" s="330" t="s">
        <v>954</v>
      </c>
      <c r="G20" s="341" t="s">
        <v>958</v>
      </c>
      <c r="H20" s="330" t="s">
        <v>111</v>
      </c>
      <c r="I20" s="341">
        <v>1</v>
      </c>
      <c r="J20" s="331">
        <v>6210184.3200000003</v>
      </c>
      <c r="K20" s="287"/>
      <c r="L20" s="241"/>
      <c r="M20" s="241"/>
      <c r="N20" s="241"/>
      <c r="O20" s="241"/>
      <c r="P20" s="241"/>
      <c r="Q20" s="241"/>
      <c r="R20" s="241"/>
      <c r="S20" s="241"/>
      <c r="T20" s="241"/>
      <c r="U20" s="241"/>
      <c r="V20" s="241"/>
      <c r="W20" s="241"/>
      <c r="X20" s="241"/>
      <c r="Y20" s="241"/>
      <c r="Z20" s="241"/>
    </row>
    <row r="21" spans="1:26" ht="13.5" customHeight="1" x14ac:dyDescent="0.3">
      <c r="A21" s="332" t="s">
        <v>436</v>
      </c>
      <c r="B21" s="342" t="s">
        <v>559</v>
      </c>
      <c r="C21" s="340" t="s">
        <v>2100</v>
      </c>
      <c r="D21" s="330" t="s">
        <v>1013</v>
      </c>
      <c r="E21" s="330" t="s">
        <v>1011</v>
      </c>
      <c r="F21" s="330" t="s">
        <v>1006</v>
      </c>
      <c r="G21" s="341" t="s">
        <v>1012</v>
      </c>
      <c r="H21" s="330" t="s">
        <v>111</v>
      </c>
      <c r="I21" s="341">
        <v>1</v>
      </c>
      <c r="J21" s="331">
        <v>1677857.16</v>
      </c>
      <c r="K21" s="287"/>
      <c r="L21" s="241"/>
      <c r="M21" s="241"/>
      <c r="N21" s="241"/>
      <c r="O21" s="241"/>
      <c r="P21" s="241"/>
      <c r="Q21" s="241"/>
      <c r="R21" s="241"/>
      <c r="S21" s="241"/>
      <c r="T21" s="241"/>
      <c r="U21" s="241"/>
      <c r="V21" s="241"/>
      <c r="W21" s="241"/>
      <c r="X21" s="241"/>
      <c r="Y21" s="241"/>
      <c r="Z21" s="241"/>
    </row>
    <row r="22" spans="1:26" ht="13.5" customHeight="1" x14ac:dyDescent="0.3">
      <c r="A22" s="332" t="s">
        <v>436</v>
      </c>
      <c r="B22" s="342" t="s">
        <v>559</v>
      </c>
      <c r="C22" s="340" t="s">
        <v>2103</v>
      </c>
      <c r="D22" s="330" t="s">
        <v>987</v>
      </c>
      <c r="E22" s="330" t="s">
        <v>985</v>
      </c>
      <c r="F22" s="330" t="s">
        <v>980</v>
      </c>
      <c r="G22" s="341" t="s">
        <v>986</v>
      </c>
      <c r="H22" s="330" t="s">
        <v>111</v>
      </c>
      <c r="I22" s="341">
        <v>1</v>
      </c>
      <c r="J22" s="331">
        <v>9005104.1400000006</v>
      </c>
      <c r="K22" s="287"/>
      <c r="L22" s="241"/>
      <c r="M22" s="241"/>
      <c r="N22" s="241"/>
      <c r="O22" s="241"/>
      <c r="P22" s="241"/>
      <c r="Q22" s="241"/>
      <c r="R22" s="241"/>
      <c r="S22" s="241"/>
      <c r="T22" s="241"/>
      <c r="U22" s="241"/>
      <c r="V22" s="241"/>
      <c r="W22" s="241"/>
      <c r="X22" s="241"/>
      <c r="Y22" s="241"/>
      <c r="Z22" s="241"/>
    </row>
    <row r="23" spans="1:26" ht="13.5" customHeight="1" x14ac:dyDescent="0.3">
      <c r="A23" s="332" t="s">
        <v>436</v>
      </c>
      <c r="B23" s="342" t="s">
        <v>559</v>
      </c>
      <c r="C23" s="340" t="s">
        <v>2077</v>
      </c>
      <c r="D23" s="330" t="s">
        <v>742</v>
      </c>
      <c r="E23" s="330" t="s">
        <v>741</v>
      </c>
      <c r="F23" s="330" t="s">
        <v>1166</v>
      </c>
      <c r="G23" s="341" t="s">
        <v>1170</v>
      </c>
      <c r="H23" s="330" t="s">
        <v>111</v>
      </c>
      <c r="I23" s="341">
        <v>1</v>
      </c>
      <c r="J23" s="331">
        <v>1745729.16</v>
      </c>
      <c r="K23" s="287"/>
      <c r="L23" s="241"/>
      <c r="M23" s="241"/>
      <c r="N23" s="241"/>
      <c r="O23" s="241"/>
      <c r="P23" s="241"/>
      <c r="Q23" s="241"/>
      <c r="R23" s="241"/>
      <c r="S23" s="241"/>
      <c r="T23" s="241"/>
      <c r="U23" s="241"/>
      <c r="V23" s="241"/>
      <c r="W23" s="241"/>
      <c r="X23" s="241"/>
      <c r="Y23" s="241"/>
      <c r="Z23" s="241"/>
    </row>
    <row r="24" spans="1:26" ht="13.5" customHeight="1" x14ac:dyDescent="0.3">
      <c r="A24" s="332" t="s">
        <v>436</v>
      </c>
      <c r="B24" s="342" t="s">
        <v>559</v>
      </c>
      <c r="C24" s="340" t="s">
        <v>2075</v>
      </c>
      <c r="D24" s="330" t="s">
        <v>742</v>
      </c>
      <c r="E24" s="330" t="s">
        <v>741</v>
      </c>
      <c r="F24" s="330" t="s">
        <v>1150</v>
      </c>
      <c r="G24" s="341" t="s">
        <v>1154</v>
      </c>
      <c r="H24" s="330" t="s">
        <v>111</v>
      </c>
      <c r="I24" s="341">
        <v>1</v>
      </c>
      <c r="J24" s="331">
        <v>8088113.9100000001</v>
      </c>
      <c r="K24" s="287"/>
      <c r="L24" s="241"/>
      <c r="M24" s="241"/>
      <c r="N24" s="241"/>
      <c r="O24" s="241"/>
      <c r="P24" s="241"/>
      <c r="Q24" s="241"/>
      <c r="R24" s="241"/>
      <c r="S24" s="241"/>
      <c r="T24" s="241"/>
      <c r="U24" s="241"/>
      <c r="V24" s="241"/>
      <c r="W24" s="241"/>
      <c r="X24" s="241"/>
      <c r="Y24" s="241"/>
      <c r="Z24" s="241"/>
    </row>
    <row r="25" spans="1:26" ht="13.5" customHeight="1" x14ac:dyDescent="0.3">
      <c r="A25" s="332" t="s">
        <v>436</v>
      </c>
      <c r="B25" s="342" t="s">
        <v>559</v>
      </c>
      <c r="C25" s="340" t="s">
        <v>2072</v>
      </c>
      <c r="D25" s="330" t="s">
        <v>742</v>
      </c>
      <c r="E25" s="330" t="s">
        <v>741</v>
      </c>
      <c r="F25" s="330" t="s">
        <v>1018</v>
      </c>
      <c r="G25" s="341" t="s">
        <v>1022</v>
      </c>
      <c r="H25" s="330" t="s">
        <v>111</v>
      </c>
      <c r="I25" s="341">
        <v>1</v>
      </c>
      <c r="J25" s="331">
        <v>1952420.44</v>
      </c>
      <c r="K25" s="287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Y25" s="241"/>
      <c r="Z25" s="241"/>
    </row>
    <row r="26" spans="1:26" ht="13.5" customHeight="1" x14ac:dyDescent="0.3">
      <c r="A26" s="332" t="s">
        <v>436</v>
      </c>
      <c r="B26" s="342" t="s">
        <v>559</v>
      </c>
      <c r="C26" s="340" t="s">
        <v>2059</v>
      </c>
      <c r="D26" s="330" t="s">
        <v>862</v>
      </c>
      <c r="E26" s="330" t="s">
        <v>861</v>
      </c>
      <c r="F26" s="330" t="s">
        <v>1040</v>
      </c>
      <c r="G26" s="341" t="s">
        <v>1044</v>
      </c>
      <c r="H26" s="330" t="s">
        <v>111</v>
      </c>
      <c r="I26" s="341">
        <v>1</v>
      </c>
      <c r="J26" s="331">
        <v>1353203.44</v>
      </c>
      <c r="K26" s="287"/>
      <c r="L26" s="241"/>
      <c r="M26" s="241"/>
      <c r="N26" s="241"/>
      <c r="O26" s="241"/>
      <c r="P26" s="241"/>
      <c r="Q26" s="241"/>
      <c r="R26" s="241"/>
      <c r="S26" s="241"/>
      <c r="T26" s="241"/>
      <c r="U26" s="241"/>
      <c r="V26" s="241"/>
      <c r="W26" s="241"/>
      <c r="X26" s="241"/>
      <c r="Y26" s="241"/>
      <c r="Z26" s="241"/>
    </row>
    <row r="27" spans="1:26" ht="13.5" customHeight="1" x14ac:dyDescent="0.3">
      <c r="A27" s="332" t="s">
        <v>436</v>
      </c>
      <c r="B27" s="342" t="s">
        <v>559</v>
      </c>
      <c r="C27" s="340" t="s">
        <v>2070</v>
      </c>
      <c r="D27" s="330" t="s">
        <v>742</v>
      </c>
      <c r="E27" s="330" t="s">
        <v>741</v>
      </c>
      <c r="F27" s="330" t="s">
        <v>932</v>
      </c>
      <c r="G27" s="341" t="s">
        <v>936</v>
      </c>
      <c r="H27" s="330" t="s">
        <v>111</v>
      </c>
      <c r="I27" s="341">
        <v>1</v>
      </c>
      <c r="J27" s="331">
        <v>2304000</v>
      </c>
      <c r="K27" s="287"/>
      <c r="L27" s="241"/>
      <c r="M27" s="241"/>
      <c r="N27" s="241"/>
      <c r="O27" s="241"/>
      <c r="P27" s="241"/>
      <c r="Q27" s="241"/>
      <c r="R27" s="241"/>
      <c r="S27" s="241"/>
      <c r="T27" s="241"/>
      <c r="U27" s="241"/>
      <c r="V27" s="241"/>
      <c r="W27" s="241"/>
      <c r="X27" s="241"/>
      <c r="Y27" s="241"/>
      <c r="Z27" s="241"/>
    </row>
    <row r="28" spans="1:26" ht="13.5" customHeight="1" x14ac:dyDescent="0.3">
      <c r="A28" s="332" t="s">
        <v>436</v>
      </c>
      <c r="B28" s="342" t="s">
        <v>559</v>
      </c>
      <c r="C28" s="340" t="s">
        <v>2000</v>
      </c>
      <c r="D28" s="330" t="s">
        <v>873</v>
      </c>
      <c r="E28" s="330" t="s">
        <v>871</v>
      </c>
      <c r="F28" s="330" t="s">
        <v>866</v>
      </c>
      <c r="G28" s="341" t="s">
        <v>872</v>
      </c>
      <c r="H28" s="330" t="s">
        <v>111</v>
      </c>
      <c r="I28" s="341">
        <v>1</v>
      </c>
      <c r="J28" s="331">
        <v>3110400</v>
      </c>
      <c r="K28" s="287"/>
      <c r="L28" s="241"/>
      <c r="M28" s="241"/>
      <c r="N28" s="241"/>
      <c r="O28" s="241"/>
      <c r="P28" s="241"/>
      <c r="Q28" s="241"/>
      <c r="R28" s="241"/>
      <c r="S28" s="241"/>
      <c r="T28" s="241"/>
      <c r="U28" s="241"/>
      <c r="V28" s="241"/>
      <c r="W28" s="241"/>
      <c r="X28" s="241"/>
      <c r="Y28" s="241"/>
      <c r="Z28" s="241"/>
    </row>
    <row r="29" spans="1:26" ht="13.5" customHeight="1" x14ac:dyDescent="0.3">
      <c r="A29" s="332" t="s">
        <v>436</v>
      </c>
      <c r="B29" s="342" t="s">
        <v>559</v>
      </c>
      <c r="C29" s="340" t="s">
        <v>2037</v>
      </c>
      <c r="D29" s="330" t="s">
        <v>823</v>
      </c>
      <c r="E29" s="330" t="s">
        <v>821</v>
      </c>
      <c r="F29" s="330" t="s">
        <v>1026</v>
      </c>
      <c r="G29" s="341" t="s">
        <v>1030</v>
      </c>
      <c r="H29" s="330" t="s">
        <v>111</v>
      </c>
      <c r="I29" s="341">
        <v>1</v>
      </c>
      <c r="J29" s="331">
        <v>9577518.6799999997</v>
      </c>
      <c r="K29" s="287"/>
      <c r="L29" s="241"/>
      <c r="M29" s="241"/>
      <c r="N29" s="241"/>
      <c r="O29" s="241"/>
      <c r="P29" s="241"/>
      <c r="Q29" s="241"/>
      <c r="R29" s="241"/>
      <c r="S29" s="241"/>
      <c r="T29" s="241"/>
      <c r="U29" s="241"/>
      <c r="V29" s="241"/>
      <c r="W29" s="241"/>
      <c r="X29" s="241"/>
      <c r="Y29" s="241"/>
      <c r="Z29" s="241"/>
    </row>
    <row r="30" spans="1:26" ht="13.5" customHeight="1" x14ac:dyDescent="0.3">
      <c r="A30" s="332" t="s">
        <v>436</v>
      </c>
      <c r="B30" s="342" t="s">
        <v>559</v>
      </c>
      <c r="C30" s="340" t="s">
        <v>2041</v>
      </c>
      <c r="D30" s="330" t="s">
        <v>827</v>
      </c>
      <c r="E30" s="330" t="s">
        <v>826</v>
      </c>
      <c r="F30" s="330" t="s">
        <v>1048</v>
      </c>
      <c r="G30" s="341" t="s">
        <v>1052</v>
      </c>
      <c r="H30" s="330" t="s">
        <v>111</v>
      </c>
      <c r="I30" s="341">
        <v>1</v>
      </c>
      <c r="J30" s="331">
        <v>2414312.9700000002</v>
      </c>
      <c r="K30" s="287"/>
      <c r="L30" s="241"/>
      <c r="M30" s="241"/>
      <c r="N30" s="241"/>
      <c r="O30" s="241"/>
      <c r="P30" s="241"/>
      <c r="Q30" s="241"/>
      <c r="R30" s="241"/>
      <c r="S30" s="241"/>
      <c r="T30" s="241"/>
      <c r="U30" s="241"/>
      <c r="V30" s="241"/>
      <c r="W30" s="241"/>
      <c r="X30" s="241"/>
      <c r="Y30" s="241"/>
      <c r="Z30" s="241"/>
    </row>
    <row r="31" spans="1:26" ht="13.5" customHeight="1" x14ac:dyDescent="0.3">
      <c r="A31" s="332" t="s">
        <v>436</v>
      </c>
      <c r="B31" s="342" t="s">
        <v>559</v>
      </c>
      <c r="C31" s="340" t="s">
        <v>2035</v>
      </c>
      <c r="D31" s="330" t="s">
        <v>823</v>
      </c>
      <c r="E31" s="330" t="s">
        <v>821</v>
      </c>
      <c r="F31" s="330" t="s">
        <v>962</v>
      </c>
      <c r="G31" s="341" t="s">
        <v>966</v>
      </c>
      <c r="H31" s="330" t="s">
        <v>111</v>
      </c>
      <c r="I31" s="341">
        <v>1</v>
      </c>
      <c r="J31" s="331">
        <v>5546437.7000000002</v>
      </c>
      <c r="K31" s="287"/>
      <c r="L31" s="241"/>
      <c r="M31" s="241"/>
      <c r="N31" s="241"/>
      <c r="O31" s="241"/>
      <c r="P31" s="241"/>
      <c r="Q31" s="241"/>
      <c r="R31" s="241"/>
      <c r="S31" s="241"/>
      <c r="T31" s="241"/>
      <c r="U31" s="241"/>
      <c r="V31" s="241"/>
      <c r="W31" s="241"/>
      <c r="X31" s="241"/>
      <c r="Y31" s="241"/>
      <c r="Z31" s="241"/>
    </row>
    <row r="32" spans="1:26" ht="13.5" customHeight="1" x14ac:dyDescent="0.3">
      <c r="A32" s="332" t="s">
        <v>436</v>
      </c>
      <c r="B32" s="342" t="s">
        <v>559</v>
      </c>
      <c r="C32" s="340" t="s">
        <v>2033</v>
      </c>
      <c r="D32" s="330" t="s">
        <v>823</v>
      </c>
      <c r="E32" s="330" t="s">
        <v>821</v>
      </c>
      <c r="F32" s="330" t="s">
        <v>1033</v>
      </c>
      <c r="G32" s="341" t="s">
        <v>1037</v>
      </c>
      <c r="H32" s="330" t="s">
        <v>111</v>
      </c>
      <c r="I32" s="341">
        <v>1</v>
      </c>
      <c r="J32" s="331">
        <v>894756.91</v>
      </c>
      <c r="K32" s="287"/>
      <c r="L32" s="241"/>
      <c r="M32" s="241"/>
      <c r="N32" s="241"/>
      <c r="O32" s="241"/>
      <c r="P32" s="241"/>
      <c r="Q32" s="241"/>
      <c r="R32" s="241"/>
      <c r="S32" s="241"/>
      <c r="T32" s="241"/>
      <c r="U32" s="241"/>
      <c r="V32" s="241"/>
      <c r="W32" s="241"/>
      <c r="X32" s="241"/>
      <c r="Y32" s="241"/>
      <c r="Z32" s="241"/>
    </row>
    <row r="33" spans="1:26" ht="13.5" customHeight="1" x14ac:dyDescent="0.3">
      <c r="A33" s="332" t="s">
        <v>436</v>
      </c>
      <c r="B33" s="342" t="s">
        <v>559</v>
      </c>
      <c r="C33" s="340" t="s">
        <v>1998</v>
      </c>
      <c r="D33" s="330" t="s">
        <v>873</v>
      </c>
      <c r="E33" s="330" t="s">
        <v>871</v>
      </c>
      <c r="F33" s="330" t="s">
        <v>1070</v>
      </c>
      <c r="G33" s="341" t="s">
        <v>1074</v>
      </c>
      <c r="H33" s="330" t="s">
        <v>111</v>
      </c>
      <c r="I33" s="341">
        <v>1</v>
      </c>
      <c r="J33" s="331">
        <v>4055968.32</v>
      </c>
      <c r="K33" s="287"/>
      <c r="L33" s="241"/>
      <c r="M33" s="241"/>
      <c r="N33" s="241"/>
      <c r="O33" s="241"/>
      <c r="P33" s="241"/>
      <c r="Q33" s="241"/>
      <c r="R33" s="241"/>
      <c r="S33" s="241"/>
      <c r="T33" s="241"/>
      <c r="U33" s="241"/>
      <c r="V33" s="241"/>
      <c r="W33" s="241"/>
      <c r="X33" s="241"/>
      <c r="Y33" s="241"/>
      <c r="Z33" s="241"/>
    </row>
    <row r="34" spans="1:26" ht="13.5" customHeight="1" x14ac:dyDescent="0.3">
      <c r="A34" s="332" t="s">
        <v>436</v>
      </c>
      <c r="B34" s="342" t="s">
        <v>559</v>
      </c>
      <c r="C34" s="340" t="s">
        <v>1996</v>
      </c>
      <c r="D34" s="330" t="s">
        <v>873</v>
      </c>
      <c r="E34" s="330" t="s">
        <v>871</v>
      </c>
      <c r="F34" s="330" t="s">
        <v>1063</v>
      </c>
      <c r="G34" s="341" t="s">
        <v>1067</v>
      </c>
      <c r="H34" s="330" t="s">
        <v>111</v>
      </c>
      <c r="I34" s="341">
        <v>1</v>
      </c>
      <c r="J34" s="331">
        <v>893323.9</v>
      </c>
      <c r="K34" s="287"/>
      <c r="L34" s="241"/>
      <c r="M34" s="241"/>
      <c r="N34" s="241"/>
      <c r="O34" s="241"/>
      <c r="P34" s="241"/>
      <c r="Q34" s="241"/>
      <c r="R34" s="241"/>
      <c r="S34" s="241"/>
      <c r="T34" s="241"/>
      <c r="U34" s="241"/>
      <c r="V34" s="241"/>
      <c r="W34" s="241"/>
      <c r="X34" s="241"/>
      <c r="Y34" s="241"/>
      <c r="Z34" s="241"/>
    </row>
    <row r="35" spans="1:26" ht="13.5" customHeight="1" x14ac:dyDescent="0.3">
      <c r="A35" s="332" t="s">
        <v>436</v>
      </c>
      <c r="B35" s="342" t="s">
        <v>559</v>
      </c>
      <c r="C35" s="340" t="s">
        <v>1987</v>
      </c>
      <c r="D35" s="330" t="s">
        <v>873</v>
      </c>
      <c r="E35" s="330" t="s">
        <v>871</v>
      </c>
      <c r="F35" s="330" t="s">
        <v>1056</v>
      </c>
      <c r="G35" s="341" t="s">
        <v>1060</v>
      </c>
      <c r="H35" s="330" t="s">
        <v>111</v>
      </c>
      <c r="I35" s="341">
        <v>1</v>
      </c>
      <c r="J35" s="331">
        <v>3962972.34</v>
      </c>
      <c r="K35" s="287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Y35" s="241"/>
      <c r="Z35" s="241"/>
    </row>
    <row r="36" spans="1:26" ht="13.5" customHeight="1" x14ac:dyDescent="0.3">
      <c r="A36" s="332" t="s">
        <v>436</v>
      </c>
      <c r="B36" s="342" t="s">
        <v>559</v>
      </c>
      <c r="C36" s="340" t="s">
        <v>2030</v>
      </c>
      <c r="D36" s="330" t="s">
        <v>823</v>
      </c>
      <c r="E36" s="330" t="s">
        <v>821</v>
      </c>
      <c r="F36" s="330" t="s">
        <v>1096</v>
      </c>
      <c r="G36" s="341" t="s">
        <v>1100</v>
      </c>
      <c r="H36" s="330" t="s">
        <v>111</v>
      </c>
      <c r="I36" s="341">
        <v>1</v>
      </c>
      <c r="J36" s="331">
        <v>4712962.42</v>
      </c>
      <c r="K36" s="287"/>
      <c r="L36" s="241"/>
      <c r="M36" s="241"/>
      <c r="N36" s="241"/>
      <c r="O36" s="241"/>
      <c r="P36" s="241"/>
      <c r="Q36" s="241"/>
      <c r="R36" s="241"/>
      <c r="S36" s="241"/>
      <c r="T36" s="241"/>
      <c r="U36" s="241"/>
      <c r="V36" s="241"/>
      <c r="W36" s="241"/>
      <c r="X36" s="241"/>
      <c r="Y36" s="241"/>
      <c r="Z36" s="241"/>
    </row>
    <row r="37" spans="1:26" ht="13.5" customHeight="1" x14ac:dyDescent="0.3">
      <c r="A37" s="332" t="s">
        <v>436</v>
      </c>
      <c r="B37" s="342" t="s">
        <v>559</v>
      </c>
      <c r="C37" s="340" t="s">
        <v>2091</v>
      </c>
      <c r="D37" s="330" t="s">
        <v>1091</v>
      </c>
      <c r="E37" s="330" t="s">
        <v>991</v>
      </c>
      <c r="F37" s="330" t="s">
        <v>1085</v>
      </c>
      <c r="G37" s="341" t="s">
        <v>1090</v>
      </c>
      <c r="H37" s="330" t="s">
        <v>111</v>
      </c>
      <c r="I37" s="341">
        <v>1</v>
      </c>
      <c r="J37" s="331">
        <v>4381827.7699999996</v>
      </c>
      <c r="K37" s="287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Y37" s="241"/>
      <c r="Z37" s="241"/>
    </row>
    <row r="38" spans="1:26" ht="13.5" customHeight="1" x14ac:dyDescent="0.3">
      <c r="A38" s="332" t="s">
        <v>436</v>
      </c>
      <c r="B38" s="342" t="s">
        <v>559</v>
      </c>
      <c r="C38" s="340" t="s">
        <v>2019</v>
      </c>
      <c r="D38" s="330" t="s">
        <v>1239</v>
      </c>
      <c r="E38" s="330" t="s">
        <v>1237</v>
      </c>
      <c r="F38" s="330" t="s">
        <v>1244</v>
      </c>
      <c r="G38" s="341" t="s">
        <v>1248</v>
      </c>
      <c r="H38" s="330" t="s">
        <v>111</v>
      </c>
      <c r="I38" s="341">
        <v>1397</v>
      </c>
      <c r="J38" s="331">
        <v>2669100</v>
      </c>
      <c r="K38" s="287"/>
      <c r="L38" s="241"/>
      <c r="M38" s="241"/>
      <c r="N38" s="241"/>
      <c r="O38" s="241"/>
      <c r="P38" s="241"/>
      <c r="Q38" s="241"/>
      <c r="R38" s="241"/>
      <c r="S38" s="241"/>
      <c r="T38" s="241"/>
      <c r="U38" s="241"/>
      <c r="V38" s="241"/>
      <c r="W38" s="241"/>
      <c r="X38" s="241"/>
      <c r="Y38" s="241"/>
      <c r="Z38" s="241"/>
    </row>
    <row r="39" spans="1:26" ht="13.5" customHeight="1" x14ac:dyDescent="0.3">
      <c r="A39" s="332" t="s">
        <v>436</v>
      </c>
      <c r="B39" s="342" t="s">
        <v>559</v>
      </c>
      <c r="C39" s="340" t="s">
        <v>2052</v>
      </c>
      <c r="D39" s="330" t="s">
        <v>1208</v>
      </c>
      <c r="E39" s="330" t="s">
        <v>1206</v>
      </c>
      <c r="F39" s="330" t="s">
        <v>1201</v>
      </c>
      <c r="G39" s="341" t="s">
        <v>1207</v>
      </c>
      <c r="H39" s="330" t="s">
        <v>111</v>
      </c>
      <c r="I39" s="341">
        <v>1</v>
      </c>
      <c r="J39" s="331">
        <v>2028302.04</v>
      </c>
      <c r="K39" s="287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Y39" s="241"/>
      <c r="Z39" s="241"/>
    </row>
    <row r="40" spans="1:26" ht="13.5" customHeight="1" x14ac:dyDescent="0.3">
      <c r="A40" s="332" t="s">
        <v>436</v>
      </c>
      <c r="B40" s="342" t="s">
        <v>559</v>
      </c>
      <c r="C40" s="340" t="s">
        <v>2011</v>
      </c>
      <c r="D40" s="330" t="s">
        <v>834</v>
      </c>
      <c r="E40" s="330" t="s">
        <v>831</v>
      </c>
      <c r="F40" s="330" t="s">
        <v>1123</v>
      </c>
      <c r="G40" s="341" t="s">
        <v>1127</v>
      </c>
      <c r="H40" s="330" t="s">
        <v>111</v>
      </c>
      <c r="I40" s="341">
        <v>1</v>
      </c>
      <c r="J40" s="331">
        <v>1651074.28</v>
      </c>
      <c r="K40" s="287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Y40" s="241"/>
      <c r="Z40" s="241"/>
    </row>
    <row r="41" spans="1:26" ht="13.5" customHeight="1" x14ac:dyDescent="0.3">
      <c r="A41" s="332" t="s">
        <v>436</v>
      </c>
      <c r="B41" s="342" t="s">
        <v>559</v>
      </c>
      <c r="C41" s="340" t="s">
        <v>2039</v>
      </c>
      <c r="D41" s="330" t="s">
        <v>827</v>
      </c>
      <c r="E41" s="330" t="s">
        <v>826</v>
      </c>
      <c r="F41" s="330" t="s">
        <v>1183</v>
      </c>
      <c r="G41" s="341" t="s">
        <v>1187</v>
      </c>
      <c r="H41" s="330" t="s">
        <v>111</v>
      </c>
      <c r="I41" s="341">
        <v>1</v>
      </c>
      <c r="J41" s="331">
        <v>4109964.98</v>
      </c>
      <c r="K41" s="287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Y41" s="241"/>
      <c r="Z41" s="241"/>
    </row>
    <row r="42" spans="1:26" ht="13.5" customHeight="1" x14ac:dyDescent="0.3">
      <c r="A42" s="332" t="s">
        <v>436</v>
      </c>
      <c r="B42" s="342" t="s">
        <v>559</v>
      </c>
      <c r="C42" s="340" t="s">
        <v>2082</v>
      </c>
      <c r="D42" s="330" t="s">
        <v>1110</v>
      </c>
      <c r="E42" s="330" t="s">
        <v>1108</v>
      </c>
      <c r="F42" s="330" t="s">
        <v>1103</v>
      </c>
      <c r="G42" s="341" t="s">
        <v>1109</v>
      </c>
      <c r="H42" s="330" t="s">
        <v>111</v>
      </c>
      <c r="I42" s="341">
        <v>1</v>
      </c>
      <c r="J42" s="331">
        <v>7779983.4400000004</v>
      </c>
      <c r="K42" s="287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Y42" s="241"/>
      <c r="Z42" s="241"/>
    </row>
    <row r="43" spans="1:26" ht="13.5" customHeight="1" x14ac:dyDescent="0.3">
      <c r="A43" s="332" t="s">
        <v>436</v>
      </c>
      <c r="B43" s="342" t="s">
        <v>559</v>
      </c>
      <c r="C43" s="340" t="s">
        <v>2005</v>
      </c>
      <c r="D43" s="330" t="s">
        <v>1197</v>
      </c>
      <c r="E43" s="330" t="s">
        <v>1195</v>
      </c>
      <c r="F43" s="330" t="s">
        <v>1191</v>
      </c>
      <c r="G43" s="341" t="s">
        <v>1196</v>
      </c>
      <c r="H43" s="330" t="s">
        <v>111</v>
      </c>
      <c r="I43" s="341">
        <v>1</v>
      </c>
      <c r="J43" s="331">
        <v>798524.61</v>
      </c>
      <c r="K43" s="287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Y43" s="241"/>
      <c r="Z43" s="241"/>
    </row>
    <row r="44" spans="1:26" ht="13.5" customHeight="1" x14ac:dyDescent="0.3">
      <c r="A44" s="332" t="s">
        <v>436</v>
      </c>
      <c r="B44" s="342" t="s">
        <v>559</v>
      </c>
      <c r="C44" s="340" t="s">
        <v>2017</v>
      </c>
      <c r="D44" s="330" t="s">
        <v>1145</v>
      </c>
      <c r="E44" s="330" t="s">
        <v>1143</v>
      </c>
      <c r="F44" s="330" t="s">
        <v>1138</v>
      </c>
      <c r="G44" s="341" t="s">
        <v>1144</v>
      </c>
      <c r="H44" s="330" t="s">
        <v>111</v>
      </c>
      <c r="I44" s="341">
        <v>1</v>
      </c>
      <c r="J44" s="331">
        <v>7991501.8099999996</v>
      </c>
      <c r="K44" s="287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Y44" s="241"/>
      <c r="Z44" s="241"/>
    </row>
    <row r="45" spans="1:26" ht="13.5" customHeight="1" x14ac:dyDescent="0.3">
      <c r="A45" s="332" t="s">
        <v>436</v>
      </c>
      <c r="B45" s="342" t="s">
        <v>559</v>
      </c>
      <c r="C45" s="340" t="s">
        <v>261</v>
      </c>
      <c r="D45" s="330" t="s">
        <v>1000</v>
      </c>
      <c r="E45" s="330" t="s">
        <v>998</v>
      </c>
      <c r="F45" s="330" t="s">
        <v>1130</v>
      </c>
      <c r="G45" s="341" t="s">
        <v>1134</v>
      </c>
      <c r="H45" s="330" t="s">
        <v>111</v>
      </c>
      <c r="I45" s="341">
        <v>1</v>
      </c>
      <c r="J45" s="331">
        <v>7514153.1299999999</v>
      </c>
      <c r="K45" s="287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Y45" s="241"/>
      <c r="Z45" s="241"/>
    </row>
    <row r="46" spans="1:26" ht="13.5" customHeight="1" x14ac:dyDescent="0.3">
      <c r="A46" s="332" t="s">
        <v>436</v>
      </c>
      <c r="B46" s="342" t="s">
        <v>559</v>
      </c>
      <c r="C46" s="340" t="s">
        <v>2057</v>
      </c>
      <c r="D46" s="330" t="s">
        <v>862</v>
      </c>
      <c r="E46" s="330" t="s">
        <v>861</v>
      </c>
      <c r="F46" s="330" t="s">
        <v>1174</v>
      </c>
      <c r="G46" s="341" t="s">
        <v>1177</v>
      </c>
      <c r="H46" s="330" t="s">
        <v>111</v>
      </c>
      <c r="I46" s="341">
        <v>1</v>
      </c>
      <c r="J46" s="331">
        <v>92012.77</v>
      </c>
      <c r="K46" s="287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Y46" s="241"/>
      <c r="Z46" s="241"/>
    </row>
    <row r="47" spans="1:26" ht="13.5" customHeight="1" x14ac:dyDescent="0.3">
      <c r="A47" s="332" t="s">
        <v>436</v>
      </c>
      <c r="B47" s="342" t="s">
        <v>559</v>
      </c>
      <c r="C47" s="340" t="s">
        <v>2094</v>
      </c>
      <c r="D47" s="330" t="s">
        <v>1013</v>
      </c>
      <c r="E47" s="330" t="s">
        <v>1011</v>
      </c>
      <c r="F47" s="330" t="s">
        <v>1213</v>
      </c>
      <c r="G47" s="341" t="s">
        <v>1217</v>
      </c>
      <c r="H47" s="330" t="s">
        <v>111</v>
      </c>
      <c r="I47" s="341">
        <v>1</v>
      </c>
      <c r="J47" s="331">
        <v>1419697.03</v>
      </c>
      <c r="K47" s="287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Y47" s="241"/>
      <c r="Z47" s="241"/>
    </row>
    <row r="48" spans="1:26" ht="13.5" customHeight="1" x14ac:dyDescent="0.3">
      <c r="A48" s="332" t="s">
        <v>436</v>
      </c>
      <c r="B48" s="342" t="s">
        <v>559</v>
      </c>
      <c r="C48" s="340" t="s">
        <v>365</v>
      </c>
      <c r="D48" s="330" t="s">
        <v>1000</v>
      </c>
      <c r="E48" s="330" t="s">
        <v>998</v>
      </c>
      <c r="F48" s="330" t="s">
        <v>1399</v>
      </c>
      <c r="G48" s="341" t="s">
        <v>1403</v>
      </c>
      <c r="H48" s="330" t="s">
        <v>111</v>
      </c>
      <c r="I48" s="341">
        <v>1</v>
      </c>
      <c r="J48" s="331">
        <v>999321.21</v>
      </c>
      <c r="K48" s="287"/>
      <c r="L48" s="241"/>
      <c r="M48" s="241"/>
      <c r="N48" s="241"/>
      <c r="O48" s="241"/>
      <c r="P48" s="241"/>
      <c r="Q48" s="241"/>
      <c r="R48" s="241"/>
      <c r="S48" s="241"/>
      <c r="T48" s="241"/>
      <c r="U48" s="241"/>
      <c r="V48" s="241"/>
      <c r="W48" s="241"/>
      <c r="X48" s="241"/>
      <c r="Y48" s="241"/>
      <c r="Z48" s="241"/>
    </row>
    <row r="49" spans="1:26" ht="13.5" customHeight="1" x14ac:dyDescent="0.3">
      <c r="A49" s="332" t="s">
        <v>436</v>
      </c>
      <c r="B49" s="342" t="s">
        <v>559</v>
      </c>
      <c r="C49" s="340" t="s">
        <v>331</v>
      </c>
      <c r="D49" s="330" t="s">
        <v>1000</v>
      </c>
      <c r="E49" s="330" t="s">
        <v>998</v>
      </c>
      <c r="F49" s="330" t="s">
        <v>1316</v>
      </c>
      <c r="G49" s="341" t="s">
        <v>1320</v>
      </c>
      <c r="H49" s="330" t="s">
        <v>111</v>
      </c>
      <c r="I49" s="341">
        <v>1</v>
      </c>
      <c r="J49" s="331">
        <v>997649.16</v>
      </c>
      <c r="K49" s="287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Y49" s="241"/>
      <c r="Z49" s="241"/>
    </row>
    <row r="50" spans="1:26" ht="13.5" customHeight="1" x14ac:dyDescent="0.3">
      <c r="A50" s="332" t="s">
        <v>436</v>
      </c>
      <c r="B50" s="342" t="s">
        <v>559</v>
      </c>
      <c r="C50" s="340" t="s">
        <v>310</v>
      </c>
      <c r="D50" s="330" t="s">
        <v>1000</v>
      </c>
      <c r="E50" s="330" t="s">
        <v>998</v>
      </c>
      <c r="F50" s="330" t="s">
        <v>1264</v>
      </c>
      <c r="G50" s="341" t="s">
        <v>1268</v>
      </c>
      <c r="H50" s="330" t="s">
        <v>111</v>
      </c>
      <c r="I50" s="341">
        <v>1</v>
      </c>
      <c r="J50" s="331">
        <v>4884766</v>
      </c>
      <c r="K50" s="287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Y50" s="241"/>
      <c r="Z50" s="241"/>
    </row>
    <row r="51" spans="1:26" ht="13.5" customHeight="1" x14ac:dyDescent="0.3">
      <c r="A51" s="332" t="s">
        <v>436</v>
      </c>
      <c r="B51" s="342" t="s">
        <v>559</v>
      </c>
      <c r="C51" s="340" t="s">
        <v>204</v>
      </c>
      <c r="D51" s="330" t="s">
        <v>1000</v>
      </c>
      <c r="E51" s="330" t="s">
        <v>998</v>
      </c>
      <c r="F51" s="330" t="s">
        <v>993</v>
      </c>
      <c r="G51" s="341" t="s">
        <v>999</v>
      </c>
      <c r="H51" s="330" t="s">
        <v>111</v>
      </c>
      <c r="I51" s="341">
        <v>1</v>
      </c>
      <c r="J51" s="331">
        <v>241926.19</v>
      </c>
      <c r="K51" s="287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Y51" s="241"/>
      <c r="Z51" s="241"/>
    </row>
    <row r="52" spans="1:26" ht="13.5" customHeight="1" x14ac:dyDescent="0.3">
      <c r="A52" s="332" t="s">
        <v>436</v>
      </c>
      <c r="B52" s="342" t="s">
        <v>559</v>
      </c>
      <c r="C52" s="340" t="s">
        <v>2322</v>
      </c>
      <c r="D52" s="330" t="s">
        <v>742</v>
      </c>
      <c r="E52" s="330" t="s">
        <v>741</v>
      </c>
      <c r="F52" s="330" t="s">
        <v>886</v>
      </c>
      <c r="G52" s="341" t="s">
        <v>890</v>
      </c>
      <c r="H52" s="330" t="s">
        <v>111</v>
      </c>
      <c r="I52" s="341">
        <v>1</v>
      </c>
      <c r="J52" s="331">
        <v>2304000</v>
      </c>
      <c r="K52" s="287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Y52" s="241"/>
      <c r="Z52" s="241"/>
    </row>
    <row r="53" spans="1:26" ht="13.5" customHeight="1" x14ac:dyDescent="0.3">
      <c r="A53" s="332" t="s">
        <v>436</v>
      </c>
      <c r="B53" s="342" t="s">
        <v>559</v>
      </c>
      <c r="C53" s="340" t="s">
        <v>2325</v>
      </c>
      <c r="D53" s="330" t="s">
        <v>927</v>
      </c>
      <c r="E53" s="330" t="s">
        <v>925</v>
      </c>
      <c r="F53" s="330" t="s">
        <v>920</v>
      </c>
      <c r="G53" s="341" t="s">
        <v>926</v>
      </c>
      <c r="H53" s="330" t="s">
        <v>111</v>
      </c>
      <c r="I53" s="341">
        <v>1</v>
      </c>
      <c r="J53" s="331">
        <v>4454635.05</v>
      </c>
      <c r="K53" s="287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Y53" s="241"/>
      <c r="Z53" s="241"/>
    </row>
    <row r="54" spans="1:26" ht="13.5" customHeight="1" x14ac:dyDescent="0.3">
      <c r="A54" s="332" t="s">
        <v>436</v>
      </c>
      <c r="B54" s="342" t="s">
        <v>559</v>
      </c>
      <c r="C54" s="340" t="s">
        <v>2334</v>
      </c>
      <c r="D54" s="330" t="s">
        <v>742</v>
      </c>
      <c r="E54" s="330" t="s">
        <v>741</v>
      </c>
      <c r="F54" s="330" t="s">
        <v>1158</v>
      </c>
      <c r="G54" s="341" t="s">
        <v>1162</v>
      </c>
      <c r="H54" s="330" t="s">
        <v>111</v>
      </c>
      <c r="I54" s="341">
        <v>1</v>
      </c>
      <c r="J54" s="331">
        <v>4701458.79</v>
      </c>
      <c r="K54" s="287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Y54" s="241"/>
      <c r="Z54" s="241"/>
    </row>
    <row r="55" spans="1:26" ht="13.5" customHeight="1" x14ac:dyDescent="0.3">
      <c r="A55" s="332" t="s">
        <v>436</v>
      </c>
      <c r="B55" s="342" t="s">
        <v>559</v>
      </c>
      <c r="C55" s="340" t="s">
        <v>2358</v>
      </c>
      <c r="D55" s="330" t="s">
        <v>862</v>
      </c>
      <c r="E55" s="330" t="s">
        <v>861</v>
      </c>
      <c r="F55" s="330" t="s">
        <v>1344</v>
      </c>
      <c r="G55" s="341" t="s">
        <v>1348</v>
      </c>
      <c r="H55" s="330" t="s">
        <v>111</v>
      </c>
      <c r="I55" s="341">
        <v>1</v>
      </c>
      <c r="J55" s="331">
        <v>2890408.14</v>
      </c>
      <c r="K55" s="287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Y55" s="241"/>
      <c r="Z55" s="241"/>
    </row>
    <row r="56" spans="1:26" ht="13.5" customHeight="1" x14ac:dyDescent="0.3">
      <c r="A56" s="332" t="s">
        <v>436</v>
      </c>
      <c r="B56" s="342" t="s">
        <v>559</v>
      </c>
      <c r="C56" s="340" t="s">
        <v>2327</v>
      </c>
      <c r="D56" s="330" t="s">
        <v>927</v>
      </c>
      <c r="E56" s="330" t="s">
        <v>925</v>
      </c>
      <c r="F56" s="330" t="s">
        <v>946</v>
      </c>
      <c r="G56" s="341" t="s">
        <v>950</v>
      </c>
      <c r="H56" s="330" t="s">
        <v>111</v>
      </c>
      <c r="I56" s="341">
        <v>1</v>
      </c>
      <c r="J56" s="331">
        <v>1192935.18</v>
      </c>
      <c r="K56" s="287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Y56" s="241"/>
      <c r="Z56" s="241"/>
    </row>
    <row r="57" spans="1:26" ht="13.5" customHeight="1" x14ac:dyDescent="0.3">
      <c r="A57" s="332" t="s">
        <v>436</v>
      </c>
      <c r="B57" s="342" t="s">
        <v>559</v>
      </c>
      <c r="C57" s="340" t="s">
        <v>2381</v>
      </c>
      <c r="D57" s="330" t="s">
        <v>742</v>
      </c>
      <c r="E57" s="330" t="s">
        <v>741</v>
      </c>
      <c r="F57" s="330" t="s">
        <v>1438</v>
      </c>
      <c r="G57" s="341" t="s">
        <v>1442</v>
      </c>
      <c r="H57" s="330" t="s">
        <v>111</v>
      </c>
      <c r="I57" s="341">
        <v>1</v>
      </c>
      <c r="J57" s="331">
        <v>9224933.0199999996</v>
      </c>
      <c r="K57" s="287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Y57" s="241"/>
      <c r="Z57" s="241"/>
    </row>
    <row r="58" spans="1:26" ht="13.5" customHeight="1" x14ac:dyDescent="0.3">
      <c r="A58" s="332" t="s">
        <v>436</v>
      </c>
      <c r="B58" s="342" t="s">
        <v>559</v>
      </c>
      <c r="C58" s="340" t="s">
        <v>2332</v>
      </c>
      <c r="D58" s="330" t="s">
        <v>742</v>
      </c>
      <c r="E58" s="330" t="s">
        <v>741</v>
      </c>
      <c r="F58" s="330" t="s">
        <v>1115</v>
      </c>
      <c r="G58" s="341" t="s">
        <v>1119</v>
      </c>
      <c r="H58" s="330" t="s">
        <v>111</v>
      </c>
      <c r="I58" s="341">
        <v>1</v>
      </c>
      <c r="J58" s="331">
        <v>2937600</v>
      </c>
      <c r="K58" s="287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Y58" s="241"/>
      <c r="Z58" s="241"/>
    </row>
    <row r="59" spans="1:26" ht="13.5" customHeight="1" x14ac:dyDescent="0.3">
      <c r="A59" s="332" t="s">
        <v>436</v>
      </c>
      <c r="B59" s="342" t="s">
        <v>559</v>
      </c>
      <c r="C59" s="340" t="s">
        <v>2389</v>
      </c>
      <c r="D59" s="330" t="s">
        <v>862</v>
      </c>
      <c r="E59" s="330" t="s">
        <v>861</v>
      </c>
      <c r="F59" s="330" t="s">
        <v>1475</v>
      </c>
      <c r="G59" s="341" t="s">
        <v>1479</v>
      </c>
      <c r="H59" s="330" t="s">
        <v>111</v>
      </c>
      <c r="I59" s="341">
        <v>1</v>
      </c>
      <c r="J59" s="331">
        <v>540391.47</v>
      </c>
      <c r="K59" s="287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Y59" s="241"/>
      <c r="Z59" s="241"/>
    </row>
    <row r="60" spans="1:26" ht="13.5" customHeight="1" x14ac:dyDescent="0.3">
      <c r="A60" s="332" t="s">
        <v>436</v>
      </c>
      <c r="B60" s="342" t="s">
        <v>559</v>
      </c>
      <c r="C60" s="340" t="s">
        <v>2320</v>
      </c>
      <c r="D60" s="330" t="s">
        <v>873</v>
      </c>
      <c r="E60" s="330" t="s">
        <v>871</v>
      </c>
      <c r="F60" s="330" t="s">
        <v>879</v>
      </c>
      <c r="G60" s="341" t="s">
        <v>883</v>
      </c>
      <c r="H60" s="330" t="s">
        <v>111</v>
      </c>
      <c r="I60" s="341">
        <v>1</v>
      </c>
      <c r="J60" s="331">
        <v>3110400</v>
      </c>
      <c r="K60" s="287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Y60" s="241"/>
      <c r="Z60" s="241"/>
    </row>
    <row r="61" spans="1:26" ht="13.5" customHeight="1" x14ac:dyDescent="0.3">
      <c r="A61" s="332" t="s">
        <v>436</v>
      </c>
      <c r="B61" s="342" t="s">
        <v>559</v>
      </c>
      <c r="C61" s="340" t="s">
        <v>2349</v>
      </c>
      <c r="D61" s="330" t="s">
        <v>823</v>
      </c>
      <c r="E61" s="330" t="s">
        <v>821</v>
      </c>
      <c r="F61" s="330" t="s">
        <v>1301</v>
      </c>
      <c r="G61" s="341" t="s">
        <v>1305</v>
      </c>
      <c r="H61" s="330" t="s">
        <v>111</v>
      </c>
      <c r="I61" s="341">
        <v>1</v>
      </c>
      <c r="J61" s="331">
        <v>2000000</v>
      </c>
      <c r="K61" s="287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Y61" s="241"/>
      <c r="Z61" s="241"/>
    </row>
    <row r="62" spans="1:26" ht="13.5" customHeight="1" x14ac:dyDescent="0.3">
      <c r="A62" s="332" t="s">
        <v>436</v>
      </c>
      <c r="B62" s="342" t="s">
        <v>559</v>
      </c>
      <c r="C62" s="340" t="s">
        <v>2351</v>
      </c>
      <c r="D62" s="330" t="s">
        <v>1259</v>
      </c>
      <c r="E62" s="330" t="s">
        <v>1257</v>
      </c>
      <c r="F62" s="330" t="s">
        <v>1308</v>
      </c>
      <c r="G62" s="341" t="s">
        <v>1312</v>
      </c>
      <c r="H62" s="330" t="s">
        <v>111</v>
      </c>
      <c r="I62" s="341">
        <v>1</v>
      </c>
      <c r="J62" s="331">
        <v>4000000</v>
      </c>
      <c r="K62" s="287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Y62" s="241"/>
      <c r="Z62" s="241"/>
    </row>
    <row r="63" spans="1:26" ht="13.5" customHeight="1" x14ac:dyDescent="0.3">
      <c r="A63" s="332" t="s">
        <v>436</v>
      </c>
      <c r="B63" s="342" t="s">
        <v>559</v>
      </c>
      <c r="C63" s="340" t="s">
        <v>2340</v>
      </c>
      <c r="D63" s="330" t="s">
        <v>1259</v>
      </c>
      <c r="E63" s="330" t="s">
        <v>1257</v>
      </c>
      <c r="F63" s="330" t="s">
        <v>1252</v>
      </c>
      <c r="G63" s="341" t="s">
        <v>1258</v>
      </c>
      <c r="H63" s="330" t="s">
        <v>111</v>
      </c>
      <c r="I63" s="341">
        <v>1</v>
      </c>
      <c r="J63" s="331">
        <v>5000000</v>
      </c>
      <c r="K63" s="287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Y63" s="241"/>
      <c r="Z63" s="241"/>
    </row>
    <row r="64" spans="1:26" ht="13.5" customHeight="1" x14ac:dyDescent="0.3">
      <c r="A64" s="332" t="s">
        <v>436</v>
      </c>
      <c r="B64" s="342" t="s">
        <v>559</v>
      </c>
      <c r="C64" s="340" t="s">
        <v>2387</v>
      </c>
      <c r="D64" s="330" t="s">
        <v>1013</v>
      </c>
      <c r="E64" s="330" t="s">
        <v>1011</v>
      </c>
      <c r="F64" s="330" t="s">
        <v>1467</v>
      </c>
      <c r="G64" s="341" t="s">
        <v>1471</v>
      </c>
      <c r="H64" s="330" t="s">
        <v>111</v>
      </c>
      <c r="I64" s="341">
        <v>1</v>
      </c>
      <c r="J64" s="331">
        <v>1585096.5</v>
      </c>
      <c r="K64" s="287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Y64" s="241"/>
      <c r="Z64" s="241"/>
    </row>
    <row r="65" spans="1:26" ht="13.5" customHeight="1" x14ac:dyDescent="0.3">
      <c r="A65" s="332" t="s">
        <v>436</v>
      </c>
      <c r="B65" s="342" t="s">
        <v>559</v>
      </c>
      <c r="C65" s="340" t="s">
        <v>2347</v>
      </c>
      <c r="D65" s="330" t="s">
        <v>1296</v>
      </c>
      <c r="E65" s="330" t="s">
        <v>1294</v>
      </c>
      <c r="F65" s="330" t="s">
        <v>1289</v>
      </c>
      <c r="G65" s="341" t="s">
        <v>1295</v>
      </c>
      <c r="H65" s="330" t="s">
        <v>111</v>
      </c>
      <c r="I65" s="341">
        <v>1</v>
      </c>
      <c r="J65" s="331">
        <v>4396289.4000000004</v>
      </c>
      <c r="K65" s="287"/>
      <c r="L65" s="241"/>
      <c r="M65" s="241"/>
      <c r="N65" s="241"/>
      <c r="O65" s="241"/>
      <c r="P65" s="241"/>
      <c r="Q65" s="241"/>
      <c r="R65" s="241"/>
      <c r="S65" s="241"/>
      <c r="T65" s="241"/>
      <c r="U65" s="241"/>
      <c r="V65" s="241"/>
      <c r="W65" s="241"/>
      <c r="X65" s="241"/>
      <c r="Y65" s="241"/>
      <c r="Z65" s="241"/>
    </row>
    <row r="66" spans="1:26" ht="13.5" customHeight="1" x14ac:dyDescent="0.3">
      <c r="A66" s="332" t="s">
        <v>436</v>
      </c>
      <c r="B66" s="342" t="s">
        <v>559</v>
      </c>
      <c r="C66" s="340" t="s">
        <v>2360</v>
      </c>
      <c r="D66" s="330" t="s">
        <v>1091</v>
      </c>
      <c r="E66" s="330" t="s">
        <v>991</v>
      </c>
      <c r="F66" s="330" t="s">
        <v>1352</v>
      </c>
      <c r="G66" s="341" t="s">
        <v>1356</v>
      </c>
      <c r="H66" s="330" t="s">
        <v>111</v>
      </c>
      <c r="I66" s="341">
        <v>1</v>
      </c>
      <c r="J66" s="331">
        <v>2906163.1</v>
      </c>
      <c r="K66" s="287"/>
      <c r="L66" s="241"/>
      <c r="M66" s="241"/>
      <c r="N66" s="241"/>
      <c r="O66" s="241"/>
      <c r="P66" s="241"/>
      <c r="Q66" s="241"/>
      <c r="R66" s="241"/>
      <c r="S66" s="241"/>
      <c r="T66" s="241"/>
      <c r="U66" s="241"/>
      <c r="V66" s="241"/>
      <c r="W66" s="241"/>
      <c r="X66" s="241"/>
      <c r="Y66" s="241"/>
      <c r="Z66" s="241"/>
    </row>
    <row r="67" spans="1:26" ht="13.5" customHeight="1" x14ac:dyDescent="0.3">
      <c r="A67" s="332" t="s">
        <v>436</v>
      </c>
      <c r="B67" s="342" t="s">
        <v>559</v>
      </c>
      <c r="C67" s="340" t="s">
        <v>2338</v>
      </c>
      <c r="D67" s="330" t="s">
        <v>1239</v>
      </c>
      <c r="E67" s="330" t="s">
        <v>1237</v>
      </c>
      <c r="F67" s="330" t="s">
        <v>1232</v>
      </c>
      <c r="G67" s="341" t="s">
        <v>1238</v>
      </c>
      <c r="H67" s="330" t="s">
        <v>111</v>
      </c>
      <c r="I67" s="341">
        <v>1397</v>
      </c>
      <c r="J67" s="331">
        <v>12942.5</v>
      </c>
      <c r="K67" s="287"/>
      <c r="L67" s="241"/>
      <c r="M67" s="241"/>
      <c r="N67" s="241"/>
      <c r="O67" s="241"/>
      <c r="P67" s="241"/>
      <c r="Q67" s="241"/>
      <c r="R67" s="241"/>
      <c r="S67" s="241"/>
      <c r="T67" s="241"/>
      <c r="U67" s="241"/>
      <c r="V67" s="241"/>
      <c r="W67" s="241"/>
      <c r="X67" s="241"/>
      <c r="Y67" s="241"/>
      <c r="Z67" s="241"/>
    </row>
    <row r="68" spans="1:26" ht="13.5" customHeight="1" x14ac:dyDescent="0.3">
      <c r="A68" s="332" t="s">
        <v>436</v>
      </c>
      <c r="B68" s="342" t="s">
        <v>559</v>
      </c>
      <c r="C68" s="340" t="s">
        <v>2356</v>
      </c>
      <c r="D68" s="330" t="s">
        <v>1339</v>
      </c>
      <c r="E68" s="330" t="s">
        <v>1337</v>
      </c>
      <c r="F68" s="330" t="s">
        <v>1332</v>
      </c>
      <c r="G68" s="341" t="s">
        <v>1338</v>
      </c>
      <c r="H68" s="330" t="s">
        <v>111</v>
      </c>
      <c r="I68" s="341">
        <v>1</v>
      </c>
      <c r="J68" s="331">
        <v>839339.96</v>
      </c>
      <c r="K68" s="287"/>
      <c r="L68" s="241"/>
      <c r="M68" s="241"/>
      <c r="N68" s="241"/>
      <c r="O68" s="241"/>
      <c r="P68" s="241"/>
      <c r="Q68" s="241"/>
      <c r="R68" s="241"/>
      <c r="S68" s="241"/>
      <c r="T68" s="241"/>
      <c r="U68" s="241"/>
      <c r="V68" s="241"/>
      <c r="W68" s="241"/>
      <c r="X68" s="241"/>
      <c r="Y68" s="241"/>
      <c r="Z68" s="241"/>
    </row>
    <row r="69" spans="1:26" ht="13.5" customHeight="1" x14ac:dyDescent="0.3">
      <c r="A69" s="332" t="s">
        <v>436</v>
      </c>
      <c r="B69" s="342" t="s">
        <v>559</v>
      </c>
      <c r="C69" s="340" t="s">
        <v>2385</v>
      </c>
      <c r="D69" s="330" t="s">
        <v>1091</v>
      </c>
      <c r="E69" s="330" t="s">
        <v>991</v>
      </c>
      <c r="F69" s="330" t="s">
        <v>1454</v>
      </c>
      <c r="G69" s="341" t="s">
        <v>1458</v>
      </c>
      <c r="H69" s="330" t="s">
        <v>111</v>
      </c>
      <c r="I69" s="341">
        <v>1</v>
      </c>
      <c r="J69" s="331">
        <v>298515.78999999998</v>
      </c>
      <c r="K69" s="287"/>
      <c r="L69" s="241"/>
      <c r="M69" s="241"/>
      <c r="N69" s="241"/>
      <c r="O69" s="241"/>
      <c r="P69" s="241"/>
      <c r="Q69" s="241"/>
      <c r="R69" s="241"/>
      <c r="S69" s="241"/>
      <c r="T69" s="241"/>
      <c r="U69" s="241"/>
      <c r="V69" s="241"/>
      <c r="W69" s="241"/>
      <c r="X69" s="241"/>
      <c r="Y69" s="241"/>
      <c r="Z69" s="241"/>
    </row>
    <row r="70" spans="1:26" ht="13.5" customHeight="1" x14ac:dyDescent="0.3">
      <c r="A70" s="332" t="s">
        <v>436</v>
      </c>
      <c r="B70" s="342" t="s">
        <v>559</v>
      </c>
      <c r="C70" s="340" t="s">
        <v>2354</v>
      </c>
      <c r="D70" s="330" t="s">
        <v>778</v>
      </c>
      <c r="E70" s="330" t="s">
        <v>776</v>
      </c>
      <c r="F70" s="330" t="s">
        <v>1324</v>
      </c>
      <c r="G70" s="341" t="s">
        <v>1328</v>
      </c>
      <c r="H70" s="330" t="s">
        <v>111</v>
      </c>
      <c r="I70" s="341">
        <v>1</v>
      </c>
      <c r="J70" s="331">
        <v>7445541.0300000003</v>
      </c>
      <c r="K70" s="287"/>
      <c r="L70" s="241"/>
      <c r="M70" s="241"/>
      <c r="N70" s="241"/>
      <c r="O70" s="241"/>
      <c r="P70" s="241"/>
      <c r="Q70" s="241"/>
      <c r="R70" s="241"/>
      <c r="S70" s="241"/>
      <c r="T70" s="241"/>
      <c r="U70" s="241"/>
      <c r="V70" s="241"/>
      <c r="W70" s="241"/>
      <c r="X70" s="241"/>
      <c r="Y70" s="241"/>
      <c r="Z70" s="241"/>
    </row>
    <row r="71" spans="1:26" ht="13.5" customHeight="1" x14ac:dyDescent="0.3">
      <c r="A71" s="332" t="s">
        <v>436</v>
      </c>
      <c r="B71" s="342" t="s">
        <v>559</v>
      </c>
      <c r="C71" s="340" t="s">
        <v>2391</v>
      </c>
      <c r="D71" s="330" t="s">
        <v>1490</v>
      </c>
      <c r="E71" s="330" t="s">
        <v>1488</v>
      </c>
      <c r="F71" s="330" t="s">
        <v>1483</v>
      </c>
      <c r="G71" s="341" t="s">
        <v>1489</v>
      </c>
      <c r="H71" s="330" t="s">
        <v>111</v>
      </c>
      <c r="I71" s="341">
        <v>1</v>
      </c>
      <c r="J71" s="331">
        <v>1065199.8799999999</v>
      </c>
      <c r="K71" s="287"/>
      <c r="L71" s="241"/>
      <c r="M71" s="241"/>
      <c r="N71" s="241"/>
      <c r="O71" s="241"/>
      <c r="P71" s="241"/>
      <c r="Q71" s="241"/>
      <c r="R71" s="241"/>
      <c r="S71" s="241"/>
      <c r="T71" s="241"/>
      <c r="U71" s="241"/>
      <c r="V71" s="241"/>
      <c r="W71" s="241"/>
      <c r="X71" s="241"/>
      <c r="Y71" s="241"/>
      <c r="Z71" s="241"/>
    </row>
    <row r="72" spans="1:26" ht="13.5" customHeight="1" x14ac:dyDescent="0.3">
      <c r="A72" s="332" t="s">
        <v>436</v>
      </c>
      <c r="B72" s="342" t="s">
        <v>559</v>
      </c>
      <c r="C72" s="340" t="s">
        <v>2375</v>
      </c>
      <c r="D72" s="330" t="s">
        <v>1013</v>
      </c>
      <c r="E72" s="330" t="s">
        <v>1011</v>
      </c>
      <c r="F72" s="330" t="s">
        <v>1414</v>
      </c>
      <c r="G72" s="341" t="s">
        <v>1418</v>
      </c>
      <c r="H72" s="330" t="s">
        <v>111</v>
      </c>
      <c r="I72" s="341">
        <v>1</v>
      </c>
      <c r="J72" s="331">
        <v>6195989.9900000002</v>
      </c>
      <c r="K72" s="287"/>
      <c r="L72" s="241"/>
      <c r="M72" s="241"/>
      <c r="N72" s="241"/>
      <c r="O72" s="241"/>
      <c r="P72" s="241"/>
      <c r="Q72" s="241"/>
      <c r="R72" s="241"/>
      <c r="S72" s="241"/>
      <c r="T72" s="241"/>
      <c r="U72" s="241"/>
      <c r="V72" s="241"/>
      <c r="W72" s="241"/>
      <c r="X72" s="241"/>
      <c r="Y72" s="241"/>
      <c r="Z72" s="241"/>
    </row>
    <row r="73" spans="1:26" ht="13.5" customHeight="1" x14ac:dyDescent="0.3">
      <c r="A73" s="332" t="s">
        <v>436</v>
      </c>
      <c r="B73" s="342" t="s">
        <v>559</v>
      </c>
      <c r="C73" s="340" t="s">
        <v>2370</v>
      </c>
      <c r="D73" s="330" t="s">
        <v>1091</v>
      </c>
      <c r="E73" s="330" t="s">
        <v>991</v>
      </c>
      <c r="F73" s="330" t="s">
        <v>1391</v>
      </c>
      <c r="G73" s="341" t="s">
        <v>1395</v>
      </c>
      <c r="H73" s="330" t="s">
        <v>111</v>
      </c>
      <c r="I73" s="341">
        <v>1</v>
      </c>
      <c r="J73" s="331">
        <v>2113734.34</v>
      </c>
      <c r="K73" s="287"/>
      <c r="L73" s="241"/>
      <c r="M73" s="241"/>
      <c r="N73" s="241"/>
      <c r="O73" s="241"/>
      <c r="P73" s="241"/>
      <c r="Q73" s="241"/>
      <c r="R73" s="241"/>
      <c r="S73" s="241"/>
      <c r="T73" s="241"/>
      <c r="U73" s="241"/>
      <c r="V73" s="241"/>
      <c r="W73" s="241"/>
      <c r="X73" s="241"/>
      <c r="Y73" s="241"/>
      <c r="Z73" s="241"/>
    </row>
    <row r="74" spans="1:26" ht="13.5" customHeight="1" x14ac:dyDescent="0.3">
      <c r="A74" s="332" t="s">
        <v>436</v>
      </c>
      <c r="B74" s="342" t="s">
        <v>559</v>
      </c>
      <c r="C74" s="340" t="s">
        <v>2329</v>
      </c>
      <c r="D74" s="330" t="s">
        <v>976</v>
      </c>
      <c r="E74" s="330" t="s">
        <v>974</v>
      </c>
      <c r="F74" s="330" t="s">
        <v>969</v>
      </c>
      <c r="G74" s="341" t="s">
        <v>975</v>
      </c>
      <c r="H74" s="330" t="s">
        <v>111</v>
      </c>
      <c r="I74" s="341">
        <v>1</v>
      </c>
      <c r="J74" s="331">
        <v>6912000</v>
      </c>
      <c r="K74" s="287"/>
      <c r="L74" s="241"/>
      <c r="M74" s="241"/>
      <c r="N74" s="241"/>
      <c r="O74" s="241"/>
      <c r="P74" s="241"/>
      <c r="Q74" s="241"/>
      <c r="R74" s="241"/>
      <c r="S74" s="241"/>
      <c r="T74" s="241"/>
      <c r="U74" s="241"/>
      <c r="V74" s="241"/>
      <c r="W74" s="241"/>
      <c r="X74" s="241"/>
      <c r="Y74" s="241"/>
      <c r="Z74" s="241"/>
    </row>
    <row r="75" spans="1:26" ht="13.5" customHeight="1" x14ac:dyDescent="0.3">
      <c r="A75" s="332" t="s">
        <v>436</v>
      </c>
      <c r="B75" s="342" t="s">
        <v>559</v>
      </c>
      <c r="C75" s="340" t="s">
        <v>2366</v>
      </c>
      <c r="D75" s="330" t="s">
        <v>1013</v>
      </c>
      <c r="E75" s="330" t="s">
        <v>1011</v>
      </c>
      <c r="F75" s="330" t="s">
        <v>1376</v>
      </c>
      <c r="G75" s="341" t="s">
        <v>1380</v>
      </c>
      <c r="H75" s="330" t="s">
        <v>111</v>
      </c>
      <c r="I75" s="341">
        <v>1</v>
      </c>
      <c r="J75" s="331">
        <v>22444.51</v>
      </c>
      <c r="K75" s="287"/>
      <c r="L75" s="241"/>
      <c r="M75" s="241"/>
      <c r="N75" s="241"/>
      <c r="O75" s="241"/>
      <c r="P75" s="241"/>
      <c r="Q75" s="241"/>
      <c r="R75" s="241"/>
      <c r="S75" s="241"/>
      <c r="T75" s="241"/>
      <c r="U75" s="241"/>
      <c r="V75" s="241"/>
      <c r="W75" s="241"/>
      <c r="X75" s="241"/>
      <c r="Y75" s="241"/>
      <c r="Z75" s="241"/>
    </row>
    <row r="76" spans="1:26" ht="13.5" customHeight="1" x14ac:dyDescent="0.3">
      <c r="A76" s="332" t="s">
        <v>436</v>
      </c>
      <c r="B76" s="342" t="s">
        <v>559</v>
      </c>
      <c r="C76" s="340" t="s">
        <v>2362</v>
      </c>
      <c r="D76" s="330" t="s">
        <v>1091</v>
      </c>
      <c r="E76" s="330" t="s">
        <v>991</v>
      </c>
      <c r="F76" s="330" t="s">
        <v>1360</v>
      </c>
      <c r="G76" s="341" t="s">
        <v>1364</v>
      </c>
      <c r="H76" s="330" t="s">
        <v>111</v>
      </c>
      <c r="I76" s="341">
        <v>1</v>
      </c>
      <c r="J76" s="331">
        <v>2327584.0699999998</v>
      </c>
      <c r="K76" s="287"/>
      <c r="L76" s="241"/>
      <c r="M76" s="241"/>
      <c r="N76" s="241"/>
      <c r="O76" s="241"/>
      <c r="P76" s="241"/>
      <c r="Q76" s="241"/>
      <c r="R76" s="241"/>
      <c r="S76" s="241"/>
      <c r="T76" s="241"/>
      <c r="U76" s="241"/>
      <c r="V76" s="241"/>
      <c r="W76" s="241"/>
      <c r="X76" s="241"/>
      <c r="Y76" s="241"/>
      <c r="Z76" s="241"/>
    </row>
    <row r="77" spans="1:26" ht="13.5" customHeight="1" x14ac:dyDescent="0.3">
      <c r="A77" s="332" t="s">
        <v>436</v>
      </c>
      <c r="B77" s="342" t="s">
        <v>559</v>
      </c>
      <c r="C77" s="340" t="s">
        <v>2345</v>
      </c>
      <c r="D77" s="330" t="s">
        <v>1285</v>
      </c>
      <c r="E77" s="330" t="s">
        <v>1283</v>
      </c>
      <c r="F77" s="330" t="s">
        <v>1278</v>
      </c>
      <c r="G77" s="341" t="s">
        <v>1284</v>
      </c>
      <c r="H77" s="330" t="s">
        <v>111</v>
      </c>
      <c r="I77" s="341">
        <v>1</v>
      </c>
      <c r="J77" s="331">
        <v>2489548.4</v>
      </c>
      <c r="K77" s="287"/>
      <c r="L77" s="241"/>
      <c r="M77" s="241"/>
      <c r="N77" s="241"/>
      <c r="O77" s="241"/>
      <c r="P77" s="241"/>
      <c r="Q77" s="241"/>
      <c r="R77" s="241"/>
      <c r="S77" s="241"/>
      <c r="T77" s="241"/>
      <c r="U77" s="241"/>
      <c r="V77" s="241"/>
      <c r="W77" s="241"/>
      <c r="X77" s="241"/>
      <c r="Y77" s="241"/>
      <c r="Z77" s="241"/>
    </row>
    <row r="78" spans="1:26" ht="13.5" customHeight="1" x14ac:dyDescent="0.3">
      <c r="A78" s="332" t="s">
        <v>436</v>
      </c>
      <c r="B78" s="342" t="s">
        <v>559</v>
      </c>
      <c r="C78" s="340" t="s">
        <v>2364</v>
      </c>
      <c r="D78" s="330" t="s">
        <v>827</v>
      </c>
      <c r="E78" s="330" t="s">
        <v>826</v>
      </c>
      <c r="F78" s="330" t="s">
        <v>1368</v>
      </c>
      <c r="G78" s="341" t="s">
        <v>1372</v>
      </c>
      <c r="H78" s="330" t="s">
        <v>111</v>
      </c>
      <c r="I78" s="341">
        <v>1</v>
      </c>
      <c r="J78" s="331">
        <v>4558905.76</v>
      </c>
      <c r="K78" s="287"/>
      <c r="L78" s="241"/>
      <c r="M78" s="241"/>
      <c r="N78" s="241"/>
      <c r="O78" s="241"/>
      <c r="P78" s="241"/>
      <c r="Q78" s="241"/>
      <c r="R78" s="241"/>
      <c r="S78" s="241"/>
      <c r="T78" s="241"/>
      <c r="U78" s="241"/>
      <c r="V78" s="241"/>
      <c r="W78" s="241"/>
      <c r="X78" s="241"/>
      <c r="Y78" s="241"/>
      <c r="Z78" s="241"/>
    </row>
    <row r="79" spans="1:26" ht="13.5" customHeight="1" x14ac:dyDescent="0.3">
      <c r="A79" s="332" t="s">
        <v>436</v>
      </c>
      <c r="B79" s="342" t="s">
        <v>559</v>
      </c>
      <c r="C79" s="340" t="s">
        <v>2336</v>
      </c>
      <c r="D79" s="330" t="s">
        <v>873</v>
      </c>
      <c r="E79" s="330" t="s">
        <v>871</v>
      </c>
      <c r="F79" s="330" t="s">
        <v>1225</v>
      </c>
      <c r="G79" s="341" t="s">
        <v>1229</v>
      </c>
      <c r="H79" s="330" t="s">
        <v>111</v>
      </c>
      <c r="I79" s="341">
        <v>1</v>
      </c>
      <c r="J79" s="331">
        <v>3110400</v>
      </c>
      <c r="K79" s="287"/>
      <c r="L79" s="241"/>
      <c r="M79" s="241"/>
      <c r="N79" s="241"/>
      <c r="O79" s="241"/>
      <c r="P79" s="241"/>
      <c r="Q79" s="241"/>
      <c r="R79" s="241"/>
      <c r="S79" s="241"/>
      <c r="T79" s="241"/>
      <c r="U79" s="241"/>
      <c r="V79" s="241"/>
      <c r="W79" s="241"/>
      <c r="X79" s="241"/>
      <c r="Y79" s="241"/>
      <c r="Z79" s="241"/>
    </row>
    <row r="80" spans="1:26" ht="13.5" customHeight="1" x14ac:dyDescent="0.3">
      <c r="A80" s="332" t="s">
        <v>436</v>
      </c>
      <c r="B80" s="342" t="s">
        <v>559</v>
      </c>
      <c r="C80" s="340" t="s">
        <v>2377</v>
      </c>
      <c r="D80" s="330" t="s">
        <v>742</v>
      </c>
      <c r="E80" s="330" t="s">
        <v>741</v>
      </c>
      <c r="F80" s="330" t="s">
        <v>1422</v>
      </c>
      <c r="G80" s="341" t="s">
        <v>1426</v>
      </c>
      <c r="H80" s="330" t="s">
        <v>111</v>
      </c>
      <c r="I80" s="341">
        <v>1</v>
      </c>
      <c r="J80" s="331">
        <v>4901475.9400000004</v>
      </c>
      <c r="K80" s="287"/>
      <c r="L80" s="241"/>
      <c r="M80" s="241"/>
      <c r="N80" s="241"/>
      <c r="O80" s="241"/>
      <c r="P80" s="241"/>
      <c r="Q80" s="241"/>
      <c r="R80" s="241"/>
      <c r="S80" s="241"/>
      <c r="T80" s="241"/>
      <c r="U80" s="241"/>
      <c r="V80" s="241"/>
      <c r="W80" s="241"/>
      <c r="X80" s="241"/>
      <c r="Y80" s="241"/>
      <c r="Z80" s="241"/>
    </row>
    <row r="81" spans="1:26" ht="13.5" customHeight="1" x14ac:dyDescent="0.3">
      <c r="A81" s="332" t="s">
        <v>436</v>
      </c>
      <c r="B81" s="342" t="s">
        <v>559</v>
      </c>
      <c r="C81" s="340" t="s">
        <v>2343</v>
      </c>
      <c r="D81" s="330" t="s">
        <v>976</v>
      </c>
      <c r="E81" s="330" t="s">
        <v>974</v>
      </c>
      <c r="F81" s="330" t="s">
        <v>1271</v>
      </c>
      <c r="G81" s="341" t="s">
        <v>1275</v>
      </c>
      <c r="H81" s="330" t="s">
        <v>111</v>
      </c>
      <c r="I81" s="341">
        <v>1</v>
      </c>
      <c r="J81" s="331">
        <v>12365985.800000001</v>
      </c>
      <c r="K81" s="287"/>
      <c r="L81" s="241"/>
      <c r="M81" s="241"/>
      <c r="N81" s="241"/>
      <c r="O81" s="241"/>
      <c r="P81" s="241"/>
      <c r="Q81" s="241"/>
      <c r="R81" s="241"/>
      <c r="S81" s="241"/>
      <c r="T81" s="241"/>
      <c r="U81" s="241"/>
      <c r="V81" s="241"/>
      <c r="W81" s="241"/>
      <c r="X81" s="241"/>
      <c r="Y81" s="241"/>
      <c r="Z81" s="241"/>
    </row>
    <row r="82" spans="1:26" ht="13.5" customHeight="1" x14ac:dyDescent="0.3">
      <c r="A82" s="332" t="s">
        <v>436</v>
      </c>
      <c r="B82" s="342" t="s">
        <v>559</v>
      </c>
      <c r="C82" s="340" t="s">
        <v>2373</v>
      </c>
      <c r="D82" s="330" t="s">
        <v>1259</v>
      </c>
      <c r="E82" s="330" t="s">
        <v>1257</v>
      </c>
      <c r="F82" s="330" t="s">
        <v>1406</v>
      </c>
      <c r="G82" s="341" t="s">
        <v>1410</v>
      </c>
      <c r="H82" s="330" t="s">
        <v>111</v>
      </c>
      <c r="I82" s="341">
        <v>1</v>
      </c>
      <c r="J82" s="331">
        <v>2499831.17</v>
      </c>
      <c r="K82" s="287"/>
      <c r="L82" s="241"/>
      <c r="M82" s="241"/>
      <c r="N82" s="241"/>
      <c r="O82" s="241"/>
      <c r="P82" s="241"/>
      <c r="Q82" s="241"/>
      <c r="R82" s="241"/>
      <c r="S82" s="241"/>
      <c r="T82" s="241"/>
      <c r="U82" s="241"/>
      <c r="V82" s="241"/>
      <c r="W82" s="241"/>
      <c r="X82" s="241"/>
      <c r="Y82" s="241"/>
      <c r="Z82" s="241"/>
    </row>
    <row r="83" spans="1:26" ht="13.5" customHeight="1" x14ac:dyDescent="0.3">
      <c r="A83" s="332" t="s">
        <v>436</v>
      </c>
      <c r="B83" s="342" t="s">
        <v>559</v>
      </c>
      <c r="C83" s="340" t="s">
        <v>2383</v>
      </c>
      <c r="D83" s="330" t="s">
        <v>1013</v>
      </c>
      <c r="E83" s="330" t="s">
        <v>1011</v>
      </c>
      <c r="F83" s="330" t="s">
        <v>1446</v>
      </c>
      <c r="G83" s="341" t="s">
        <v>1450</v>
      </c>
      <c r="H83" s="330" t="s">
        <v>111</v>
      </c>
      <c r="I83" s="341">
        <v>1</v>
      </c>
      <c r="J83" s="331">
        <v>232244.92</v>
      </c>
      <c r="K83" s="287"/>
      <c r="L83" s="241"/>
      <c r="M83" s="241"/>
      <c r="N83" s="241"/>
      <c r="O83" s="241"/>
      <c r="P83" s="241"/>
      <c r="Q83" s="241"/>
      <c r="R83" s="241"/>
      <c r="S83" s="241"/>
      <c r="T83" s="241"/>
      <c r="U83" s="241"/>
      <c r="V83" s="241"/>
      <c r="W83" s="241"/>
      <c r="X83" s="241"/>
      <c r="Y83" s="241"/>
      <c r="Z83" s="241"/>
    </row>
    <row r="84" spans="1:26" ht="13.5" customHeight="1" x14ac:dyDescent="0.3">
      <c r="A84" s="332" t="s">
        <v>436</v>
      </c>
      <c r="B84" s="342" t="s">
        <v>559</v>
      </c>
      <c r="C84" s="340" t="s">
        <v>2379</v>
      </c>
      <c r="D84" s="330" t="s">
        <v>742</v>
      </c>
      <c r="E84" s="330" t="s">
        <v>741</v>
      </c>
      <c r="F84" s="330" t="s">
        <v>1430</v>
      </c>
      <c r="G84" s="341" t="s">
        <v>1434</v>
      </c>
      <c r="H84" s="330" t="s">
        <v>111</v>
      </c>
      <c r="I84" s="341">
        <v>1</v>
      </c>
      <c r="J84" s="331">
        <v>2300000</v>
      </c>
      <c r="K84" s="287"/>
      <c r="L84" s="241"/>
      <c r="M84" s="241"/>
      <c r="N84" s="241"/>
      <c r="O84" s="241"/>
      <c r="P84" s="241"/>
      <c r="Q84" s="241"/>
      <c r="R84" s="241"/>
      <c r="S84" s="241"/>
      <c r="T84" s="241"/>
      <c r="U84" s="241"/>
      <c r="V84" s="241"/>
      <c r="W84" s="241"/>
      <c r="X84" s="241"/>
      <c r="Y84" s="241"/>
      <c r="Z84" s="241"/>
    </row>
    <row r="85" spans="1:26" ht="13.5" customHeight="1" x14ac:dyDescent="0.3">
      <c r="A85" s="332" t="s">
        <v>436</v>
      </c>
      <c r="B85" s="342" t="s">
        <v>559</v>
      </c>
      <c r="C85" s="340" t="s">
        <v>2368</v>
      </c>
      <c r="D85" s="330" t="s">
        <v>823</v>
      </c>
      <c r="E85" s="330" t="s">
        <v>821</v>
      </c>
      <c r="F85" s="330" t="s">
        <v>1384</v>
      </c>
      <c r="G85" s="341" t="s">
        <v>1388</v>
      </c>
      <c r="H85" s="330" t="s">
        <v>111</v>
      </c>
      <c r="I85" s="341">
        <v>1</v>
      </c>
      <c r="J85" s="331">
        <v>3625356</v>
      </c>
      <c r="K85" s="287"/>
      <c r="L85" s="241"/>
      <c r="M85" s="241"/>
      <c r="N85" s="241"/>
      <c r="O85" s="241"/>
      <c r="P85" s="241"/>
      <c r="Q85" s="241"/>
      <c r="R85" s="241"/>
      <c r="S85" s="241"/>
      <c r="T85" s="241"/>
      <c r="U85" s="241"/>
      <c r="V85" s="241"/>
      <c r="W85" s="241"/>
      <c r="X85" s="241"/>
      <c r="Y85" s="241"/>
      <c r="Z85" s="241"/>
    </row>
    <row r="86" spans="1:26" ht="13.5" customHeight="1" x14ac:dyDescent="0.3">
      <c r="A86" s="343" t="s">
        <v>433</v>
      </c>
      <c r="B86" s="333" t="s">
        <v>559</v>
      </c>
      <c r="C86" s="343" t="s">
        <v>2318</v>
      </c>
      <c r="D86" s="333" t="s">
        <v>707</v>
      </c>
      <c r="E86" s="333" t="s">
        <v>705</v>
      </c>
      <c r="F86" s="333" t="s">
        <v>700</v>
      </c>
      <c r="G86" s="344" t="s">
        <v>706</v>
      </c>
      <c r="H86" s="333" t="s">
        <v>95</v>
      </c>
      <c r="I86" s="344">
        <v>7.158196134574087E-4</v>
      </c>
      <c r="J86" s="335">
        <v>902.74894380000001</v>
      </c>
      <c r="K86" s="287"/>
      <c r="L86" s="241"/>
      <c r="M86" s="241"/>
      <c r="N86" s="241"/>
      <c r="O86" s="241"/>
      <c r="P86" s="241"/>
      <c r="Q86" s="241"/>
      <c r="R86" s="241"/>
      <c r="S86" s="241"/>
      <c r="T86" s="241"/>
      <c r="U86" s="241"/>
      <c r="V86" s="241"/>
      <c r="W86" s="241"/>
      <c r="X86" s="241"/>
      <c r="Y86" s="241"/>
      <c r="Z86" s="241"/>
    </row>
    <row r="87" spans="1:26" ht="13.5" customHeight="1" x14ac:dyDescent="0.3">
      <c r="A87"/>
      <c r="B87"/>
      <c r="C87"/>
      <c r="D87"/>
      <c r="E87"/>
      <c r="F87"/>
      <c r="G87"/>
      <c r="H87"/>
      <c r="I87"/>
      <c r="J87"/>
      <c r="K87" s="287"/>
      <c r="L87" s="241"/>
      <c r="M87" s="241"/>
      <c r="N87" s="241"/>
      <c r="O87" s="241"/>
      <c r="P87" s="241"/>
      <c r="Q87" s="241"/>
      <c r="R87" s="241"/>
      <c r="S87" s="241"/>
      <c r="T87" s="241"/>
      <c r="U87" s="241"/>
      <c r="V87" s="241"/>
      <c r="W87" s="241"/>
      <c r="X87" s="241"/>
      <c r="Y87" s="241"/>
      <c r="Z87" s="241"/>
    </row>
    <row r="88" spans="1:26" ht="13.5" customHeight="1" x14ac:dyDescent="0.3">
      <c r="A88"/>
      <c r="B88"/>
      <c r="C88"/>
      <c r="D88"/>
      <c r="E88"/>
      <c r="F88"/>
      <c r="G88"/>
      <c r="H88"/>
      <c r="I88"/>
      <c r="J88"/>
      <c r="K88" s="287"/>
      <c r="L88" s="241"/>
      <c r="M88" s="241"/>
      <c r="N88" s="241"/>
      <c r="O88" s="241"/>
      <c r="P88" s="241"/>
      <c r="Q88" s="241"/>
      <c r="R88" s="241"/>
      <c r="S88" s="241"/>
      <c r="T88" s="241"/>
      <c r="U88" s="241"/>
      <c r="V88" s="241"/>
      <c r="W88" s="241"/>
      <c r="X88" s="241"/>
      <c r="Y88" s="241"/>
      <c r="Z88" s="241"/>
    </row>
    <row r="89" spans="1:26" ht="13.5" customHeight="1" x14ac:dyDescent="0.3">
      <c r="A89"/>
      <c r="B89"/>
      <c r="C89"/>
      <c r="D89"/>
      <c r="E89"/>
      <c r="F89"/>
      <c r="G89"/>
      <c r="H89"/>
      <c r="I89"/>
      <c r="J89"/>
      <c r="K89" s="287"/>
      <c r="L89" s="241"/>
      <c r="M89" s="241"/>
      <c r="N89" s="241"/>
      <c r="O89" s="241"/>
      <c r="P89" s="241"/>
      <c r="Q89" s="241"/>
      <c r="R89" s="241"/>
      <c r="S89" s="241"/>
      <c r="T89" s="241"/>
      <c r="U89" s="241"/>
      <c r="V89" s="241"/>
      <c r="W89" s="241"/>
      <c r="X89" s="241"/>
      <c r="Y89" s="241"/>
      <c r="Z89" s="241"/>
    </row>
    <row r="90" spans="1:26" ht="13.5" customHeight="1" x14ac:dyDescent="0.3">
      <c r="A90"/>
      <c r="B90"/>
      <c r="C90"/>
      <c r="D90"/>
      <c r="E90"/>
      <c r="F90"/>
      <c r="G90"/>
      <c r="H90"/>
      <c r="I90"/>
      <c r="J90"/>
      <c r="K90" s="287"/>
      <c r="L90" s="241"/>
      <c r="M90" s="241"/>
      <c r="N90" s="241"/>
      <c r="O90" s="241"/>
      <c r="P90" s="241"/>
      <c r="Q90" s="241"/>
      <c r="R90" s="241"/>
      <c r="S90" s="241"/>
      <c r="T90" s="241"/>
      <c r="U90" s="241"/>
      <c r="V90" s="241"/>
      <c r="W90" s="241"/>
      <c r="X90" s="241"/>
      <c r="Y90" s="241"/>
      <c r="Z90" s="241"/>
    </row>
    <row r="91" spans="1:26" ht="13.5" customHeight="1" x14ac:dyDescent="0.3">
      <c r="A91"/>
      <c r="B91"/>
      <c r="C91"/>
      <c r="D91"/>
      <c r="E91"/>
      <c r="F91"/>
      <c r="G91"/>
      <c r="H91"/>
      <c r="I91"/>
      <c r="J91"/>
      <c r="K91" s="287"/>
      <c r="L91" s="241"/>
      <c r="M91" s="241"/>
      <c r="N91" s="241"/>
      <c r="O91" s="241"/>
      <c r="P91" s="241"/>
      <c r="Q91" s="241"/>
      <c r="R91" s="241"/>
      <c r="S91" s="241"/>
      <c r="T91" s="241"/>
      <c r="U91" s="241"/>
      <c r="V91" s="241"/>
      <c r="W91" s="241"/>
      <c r="X91" s="241"/>
      <c r="Y91" s="241"/>
      <c r="Z91" s="241"/>
    </row>
    <row r="92" spans="1:26" ht="13.5" customHeight="1" x14ac:dyDescent="0.3">
      <c r="A92"/>
      <c r="B92"/>
      <c r="C92"/>
      <c r="D92"/>
      <c r="E92"/>
      <c r="F92"/>
      <c r="G92"/>
      <c r="H92"/>
      <c r="I92"/>
      <c r="J92"/>
      <c r="K92" s="287"/>
      <c r="L92" s="241"/>
      <c r="M92" s="241"/>
      <c r="N92" s="241"/>
      <c r="O92" s="241"/>
      <c r="P92" s="241"/>
      <c r="Q92" s="241"/>
      <c r="R92" s="241"/>
      <c r="S92" s="241"/>
      <c r="T92" s="241"/>
      <c r="U92" s="241"/>
      <c r="V92" s="241"/>
      <c r="W92" s="241"/>
      <c r="X92" s="241"/>
      <c r="Y92" s="241"/>
      <c r="Z92" s="241"/>
    </row>
    <row r="93" spans="1:26" ht="13.5" customHeight="1" x14ac:dyDescent="0.3">
      <c r="A93"/>
      <c r="B93"/>
      <c r="C93"/>
      <c r="D93"/>
      <c r="E93"/>
      <c r="F93"/>
      <c r="G93"/>
      <c r="H93"/>
      <c r="I93"/>
      <c r="J93"/>
      <c r="K93" s="287"/>
      <c r="L93" s="241"/>
      <c r="M93" s="241"/>
      <c r="N93" s="241"/>
      <c r="O93" s="241"/>
      <c r="P93" s="241"/>
      <c r="Q93" s="241"/>
      <c r="R93" s="241"/>
      <c r="S93" s="241"/>
      <c r="T93" s="241"/>
      <c r="U93" s="241"/>
      <c r="V93" s="241"/>
      <c r="W93" s="241"/>
      <c r="X93" s="241"/>
      <c r="Y93" s="241"/>
      <c r="Z93" s="241"/>
    </row>
    <row r="94" spans="1:26" ht="13.5" customHeight="1" x14ac:dyDescent="0.3">
      <c r="A94"/>
      <c r="B94"/>
      <c r="C94"/>
      <c r="D94"/>
      <c r="E94"/>
      <c r="F94"/>
      <c r="G94"/>
      <c r="H94"/>
      <c r="I94"/>
      <c r="J94"/>
      <c r="K94" s="287"/>
      <c r="L94" s="241"/>
      <c r="M94" s="241"/>
      <c r="N94" s="241"/>
      <c r="O94" s="241"/>
      <c r="P94" s="241"/>
      <c r="Q94" s="241"/>
      <c r="R94" s="241"/>
      <c r="S94" s="241"/>
      <c r="T94" s="241"/>
      <c r="U94" s="241"/>
      <c r="V94" s="241"/>
      <c r="W94" s="241"/>
      <c r="X94" s="241"/>
      <c r="Y94" s="241"/>
      <c r="Z94" s="241"/>
    </row>
    <row r="95" spans="1:26" ht="13.5" customHeight="1" x14ac:dyDescent="0.3">
      <c r="A95"/>
      <c r="B95"/>
      <c r="C95"/>
      <c r="D95"/>
      <c r="E95"/>
      <c r="F95"/>
      <c r="G95"/>
      <c r="H95"/>
      <c r="I95"/>
      <c r="J95"/>
      <c r="K95" s="287"/>
      <c r="L95" s="241"/>
      <c r="M95" s="241"/>
      <c r="N95" s="241"/>
      <c r="O95" s="241"/>
      <c r="P95" s="241"/>
      <c r="Q95" s="241"/>
      <c r="R95" s="241"/>
      <c r="S95" s="241"/>
      <c r="T95" s="241"/>
      <c r="U95" s="241"/>
      <c r="V95" s="241"/>
      <c r="W95" s="241"/>
      <c r="X95" s="241"/>
      <c r="Y95" s="241"/>
      <c r="Z95" s="241"/>
    </row>
    <row r="96" spans="1:26" ht="13.5" customHeight="1" x14ac:dyDescent="0.3">
      <c r="A96"/>
      <c r="B96"/>
      <c r="C96"/>
      <c r="D96"/>
      <c r="E96"/>
      <c r="F96"/>
      <c r="G96"/>
      <c r="H96"/>
      <c r="I96"/>
      <c r="J96"/>
      <c r="K96" s="287"/>
      <c r="L96" s="241"/>
      <c r="M96" s="241"/>
      <c r="N96" s="241"/>
      <c r="O96" s="241"/>
      <c r="P96" s="241"/>
      <c r="Q96" s="241"/>
      <c r="R96" s="241"/>
      <c r="S96" s="241"/>
      <c r="T96" s="241"/>
      <c r="U96" s="241"/>
      <c r="V96" s="241"/>
      <c r="W96" s="241"/>
      <c r="X96" s="241"/>
      <c r="Y96" s="241"/>
      <c r="Z96" s="241"/>
    </row>
    <row r="97" spans="1:26" ht="13.5" customHeight="1" x14ac:dyDescent="0.3">
      <c r="A97"/>
      <c r="B97"/>
      <c r="C97"/>
      <c r="D97"/>
      <c r="E97"/>
      <c r="F97"/>
      <c r="G97"/>
      <c r="H97"/>
      <c r="I97"/>
      <c r="J97"/>
      <c r="K97" s="287"/>
      <c r="L97" s="241"/>
      <c r="M97" s="241"/>
      <c r="N97" s="241"/>
      <c r="O97" s="241"/>
      <c r="P97" s="241"/>
      <c r="Q97" s="241"/>
      <c r="R97" s="241"/>
      <c r="S97" s="241"/>
      <c r="T97" s="241"/>
      <c r="U97" s="241"/>
      <c r="V97" s="241"/>
      <c r="W97" s="241"/>
      <c r="X97" s="241"/>
      <c r="Y97" s="241"/>
      <c r="Z97" s="241"/>
    </row>
    <row r="98" spans="1:26" ht="13.5" customHeight="1" x14ac:dyDescent="0.3">
      <c r="A98"/>
      <c r="B98"/>
      <c r="C98"/>
      <c r="D98"/>
      <c r="E98"/>
      <c r="F98"/>
      <c r="G98"/>
      <c r="H98"/>
      <c r="I98"/>
      <c r="J98"/>
      <c r="K98" s="287"/>
      <c r="L98" s="241"/>
      <c r="M98" s="241"/>
      <c r="N98" s="241"/>
      <c r="O98" s="241"/>
      <c r="P98" s="241"/>
      <c r="Q98" s="241"/>
      <c r="R98" s="241"/>
      <c r="S98" s="241"/>
      <c r="T98" s="241"/>
      <c r="U98" s="241"/>
      <c r="V98" s="241"/>
      <c r="W98" s="241"/>
      <c r="X98" s="241"/>
      <c r="Y98" s="241"/>
      <c r="Z98" s="241"/>
    </row>
    <row r="99" spans="1:26" ht="13.5" customHeight="1" x14ac:dyDescent="0.3">
      <c r="A99"/>
      <c r="B99"/>
      <c r="C99"/>
      <c r="D99"/>
      <c r="E99"/>
      <c r="F99"/>
      <c r="G99"/>
      <c r="H99"/>
      <c r="I99"/>
      <c r="J99"/>
      <c r="K99" s="287"/>
      <c r="L99" s="241"/>
      <c r="M99" s="241"/>
      <c r="N99" s="241"/>
      <c r="O99" s="241"/>
      <c r="P99" s="241"/>
      <c r="Q99" s="241"/>
      <c r="R99" s="241"/>
      <c r="S99" s="241"/>
      <c r="T99" s="241"/>
      <c r="U99" s="241"/>
      <c r="V99" s="241"/>
      <c r="W99" s="241"/>
      <c r="X99" s="241"/>
      <c r="Y99" s="241"/>
      <c r="Z99" s="241"/>
    </row>
    <row r="100" spans="1:26" ht="13.5" customHeight="1" x14ac:dyDescent="0.3">
      <c r="A100"/>
      <c r="B100"/>
      <c r="C100"/>
      <c r="D100"/>
      <c r="E100"/>
      <c r="F100"/>
      <c r="G100"/>
      <c r="H100"/>
      <c r="I100"/>
      <c r="J100"/>
      <c r="K100" s="287"/>
      <c r="L100" s="241"/>
      <c r="M100" s="241"/>
      <c r="N100" s="241"/>
      <c r="O100" s="241"/>
      <c r="P100" s="241"/>
      <c r="Q100" s="241"/>
      <c r="R100" s="241"/>
      <c r="S100" s="241"/>
      <c r="T100" s="241"/>
      <c r="U100" s="241"/>
      <c r="V100" s="241"/>
      <c r="W100" s="241"/>
      <c r="X100" s="241"/>
      <c r="Y100" s="241"/>
      <c r="Z100" s="241"/>
    </row>
    <row r="101" spans="1:26" ht="13.5" customHeight="1" x14ac:dyDescent="0.3">
      <c r="A101"/>
      <c r="B101"/>
      <c r="C101"/>
      <c r="D101"/>
      <c r="E101"/>
      <c r="F101"/>
      <c r="G101"/>
      <c r="H101"/>
      <c r="I101"/>
      <c r="J101"/>
      <c r="K101" s="287"/>
      <c r="L101" s="241"/>
      <c r="M101" s="241"/>
      <c r="N101" s="241"/>
      <c r="O101" s="241"/>
      <c r="P101" s="241"/>
      <c r="Q101" s="241"/>
      <c r="R101" s="241"/>
      <c r="S101" s="241"/>
      <c r="T101" s="241"/>
      <c r="U101" s="241"/>
      <c r="V101" s="241"/>
      <c r="W101" s="241"/>
      <c r="X101" s="241"/>
      <c r="Y101" s="241"/>
      <c r="Z101" s="241"/>
    </row>
    <row r="102" spans="1:26" ht="13.5" customHeight="1" x14ac:dyDescent="0.3">
      <c r="A102"/>
      <c r="B102"/>
      <c r="C102"/>
      <c r="D102"/>
      <c r="E102"/>
      <c r="F102"/>
      <c r="G102"/>
      <c r="H102"/>
      <c r="I102"/>
      <c r="J102"/>
      <c r="K102" s="287"/>
      <c r="L102" s="241"/>
      <c r="M102" s="241"/>
      <c r="N102" s="241"/>
      <c r="O102" s="241"/>
      <c r="P102" s="241"/>
      <c r="Q102" s="241"/>
      <c r="R102" s="241"/>
      <c r="S102" s="241"/>
      <c r="T102" s="241"/>
      <c r="U102" s="241"/>
      <c r="V102" s="241"/>
      <c r="W102" s="241"/>
      <c r="X102" s="241"/>
      <c r="Y102" s="241"/>
      <c r="Z102" s="241"/>
    </row>
    <row r="103" spans="1:26" ht="13.5" customHeight="1" x14ac:dyDescent="0.3">
      <c r="A103"/>
      <c r="B103"/>
      <c r="C103"/>
      <c r="D103"/>
      <c r="E103"/>
      <c r="F103"/>
      <c r="G103"/>
      <c r="H103"/>
      <c r="I103"/>
      <c r="J103"/>
      <c r="K103" s="287"/>
      <c r="L103" s="241"/>
      <c r="M103" s="241"/>
      <c r="N103" s="241"/>
      <c r="O103" s="241"/>
      <c r="P103" s="241"/>
      <c r="Q103" s="241"/>
      <c r="R103" s="241"/>
      <c r="S103" s="241"/>
      <c r="T103" s="241"/>
      <c r="U103" s="241"/>
      <c r="V103" s="241"/>
      <c r="W103" s="241"/>
      <c r="X103" s="241"/>
      <c r="Y103" s="241"/>
      <c r="Z103" s="241"/>
    </row>
    <row r="104" spans="1:26" ht="13.5" customHeight="1" x14ac:dyDescent="0.3">
      <c r="A104"/>
      <c r="B104"/>
      <c r="C104"/>
      <c r="D104"/>
      <c r="E104"/>
      <c r="F104"/>
      <c r="G104"/>
      <c r="H104"/>
      <c r="I104"/>
      <c r="J104"/>
      <c r="K104" s="287"/>
      <c r="L104" s="241"/>
      <c r="M104" s="241"/>
      <c r="N104" s="241"/>
      <c r="O104" s="241"/>
      <c r="P104" s="241"/>
      <c r="Q104" s="241"/>
      <c r="R104" s="241"/>
      <c r="S104" s="241"/>
      <c r="T104" s="241"/>
      <c r="U104" s="241"/>
      <c r="V104" s="241"/>
      <c r="W104" s="241"/>
      <c r="X104" s="241"/>
      <c r="Y104" s="241"/>
      <c r="Z104" s="241"/>
    </row>
    <row r="105" spans="1:26" ht="13.5" customHeight="1" x14ac:dyDescent="0.3">
      <c r="A105"/>
      <c r="B105"/>
      <c r="C105"/>
      <c r="D105"/>
      <c r="E105"/>
      <c r="F105"/>
      <c r="G105"/>
      <c r="H105"/>
      <c r="I105"/>
      <c r="J105"/>
      <c r="K105" s="287"/>
      <c r="L105" s="241"/>
      <c r="M105" s="241"/>
      <c r="N105" s="241"/>
      <c r="O105" s="241"/>
      <c r="P105" s="241"/>
      <c r="Q105" s="241"/>
      <c r="R105" s="241"/>
      <c r="S105" s="241"/>
      <c r="T105" s="241"/>
      <c r="U105" s="241"/>
      <c r="V105" s="241"/>
      <c r="W105" s="241"/>
      <c r="X105" s="241"/>
      <c r="Y105" s="241"/>
      <c r="Z105" s="241"/>
    </row>
    <row r="106" spans="1:26" ht="13.5" customHeight="1" x14ac:dyDescent="0.3">
      <c r="A106"/>
      <c r="B106"/>
      <c r="C106"/>
      <c r="D106"/>
      <c r="E106"/>
      <c r="F106"/>
      <c r="G106"/>
      <c r="H106"/>
      <c r="I106"/>
      <c r="J106"/>
      <c r="K106" s="287"/>
      <c r="L106" s="241"/>
      <c r="M106" s="241"/>
      <c r="N106" s="241"/>
      <c r="O106" s="241"/>
      <c r="P106" s="241"/>
      <c r="Q106" s="241"/>
      <c r="R106" s="241"/>
      <c r="S106" s="241"/>
      <c r="T106" s="241"/>
      <c r="U106" s="241"/>
      <c r="V106" s="241"/>
      <c r="W106" s="241"/>
      <c r="X106" s="241"/>
      <c r="Y106" s="241"/>
      <c r="Z106" s="241"/>
    </row>
    <row r="107" spans="1:26" ht="13.5" customHeight="1" x14ac:dyDescent="0.3">
      <c r="A107"/>
      <c r="B107"/>
      <c r="C107"/>
      <c r="D107"/>
      <c r="E107"/>
      <c r="F107"/>
      <c r="G107"/>
      <c r="H107"/>
      <c r="I107"/>
      <c r="J107"/>
      <c r="K107" s="287"/>
      <c r="L107" s="241"/>
      <c r="M107" s="241"/>
      <c r="N107" s="241"/>
      <c r="O107" s="241"/>
      <c r="P107" s="241"/>
      <c r="Q107" s="241"/>
      <c r="R107" s="241"/>
      <c r="S107" s="241"/>
      <c r="T107" s="241"/>
      <c r="U107" s="241"/>
      <c r="V107" s="241"/>
      <c r="W107" s="241"/>
      <c r="X107" s="241"/>
      <c r="Y107" s="241"/>
      <c r="Z107" s="241"/>
    </row>
    <row r="108" spans="1:26" ht="13.5" customHeight="1" x14ac:dyDescent="0.3">
      <c r="A108"/>
      <c r="B108"/>
      <c r="C108"/>
      <c r="D108"/>
      <c r="E108"/>
      <c r="F108"/>
      <c r="G108"/>
      <c r="H108"/>
      <c r="I108"/>
      <c r="J108"/>
      <c r="K108" s="287"/>
      <c r="L108" s="241"/>
      <c r="M108" s="241"/>
      <c r="N108" s="241"/>
      <c r="O108" s="241"/>
      <c r="P108" s="241"/>
      <c r="Q108" s="241"/>
      <c r="R108" s="241"/>
      <c r="S108" s="241"/>
      <c r="T108" s="241"/>
      <c r="U108" s="241"/>
      <c r="V108" s="241"/>
      <c r="W108" s="241"/>
      <c r="X108" s="241"/>
      <c r="Y108" s="241"/>
      <c r="Z108" s="241"/>
    </row>
    <row r="109" spans="1:26" ht="13.5" customHeight="1" x14ac:dyDescent="0.3">
      <c r="A109"/>
      <c r="B109"/>
      <c r="C109"/>
      <c r="D109"/>
      <c r="E109"/>
      <c r="F109"/>
      <c r="G109"/>
      <c r="H109"/>
      <c r="I109"/>
      <c r="J109"/>
      <c r="K109" s="287"/>
      <c r="L109" s="241"/>
      <c r="M109" s="241"/>
      <c r="N109" s="241"/>
      <c r="O109" s="241"/>
      <c r="P109" s="241"/>
      <c r="Q109" s="241"/>
      <c r="R109" s="241"/>
      <c r="S109" s="241"/>
      <c r="T109" s="241"/>
      <c r="U109" s="241"/>
      <c r="V109" s="241"/>
      <c r="W109" s="241"/>
      <c r="X109" s="241"/>
      <c r="Y109" s="241"/>
      <c r="Z109" s="241"/>
    </row>
    <row r="110" spans="1:26" ht="13.5" customHeight="1" x14ac:dyDescent="0.3">
      <c r="A110"/>
      <c r="B110"/>
      <c r="C110"/>
      <c r="D110"/>
      <c r="E110"/>
      <c r="F110"/>
      <c r="G110"/>
      <c r="H110"/>
      <c r="I110"/>
      <c r="J110"/>
      <c r="K110" s="287"/>
      <c r="L110" s="241"/>
      <c r="M110" s="241"/>
      <c r="N110" s="241"/>
      <c r="O110" s="241"/>
      <c r="P110" s="241"/>
      <c r="Q110" s="241"/>
      <c r="R110" s="241"/>
      <c r="S110" s="241"/>
      <c r="T110" s="241"/>
      <c r="U110" s="241"/>
      <c r="V110" s="241"/>
      <c r="W110" s="241"/>
      <c r="X110" s="241"/>
      <c r="Y110" s="241"/>
      <c r="Z110" s="241"/>
    </row>
    <row r="111" spans="1:26" ht="13.5" customHeight="1" x14ac:dyDescent="0.3">
      <c r="A111"/>
      <c r="B111"/>
      <c r="C111"/>
      <c r="D111"/>
      <c r="E111"/>
      <c r="F111"/>
      <c r="G111"/>
      <c r="H111"/>
      <c r="I111"/>
      <c r="J111"/>
      <c r="K111" s="287"/>
      <c r="L111" s="241"/>
      <c r="M111" s="241"/>
      <c r="N111" s="241"/>
      <c r="O111" s="241"/>
      <c r="P111" s="241"/>
      <c r="Q111" s="241"/>
      <c r="R111" s="241"/>
      <c r="S111" s="241"/>
      <c r="T111" s="241"/>
      <c r="U111" s="241"/>
      <c r="V111" s="241"/>
      <c r="W111" s="241"/>
      <c r="X111" s="241"/>
      <c r="Y111" s="241"/>
      <c r="Z111" s="241"/>
    </row>
    <row r="112" spans="1:26" ht="13.5" customHeight="1" x14ac:dyDescent="0.3">
      <c r="A112"/>
      <c r="B112"/>
      <c r="C112"/>
      <c r="D112"/>
      <c r="E112"/>
      <c r="F112"/>
      <c r="G112"/>
      <c r="H112"/>
      <c r="I112"/>
      <c r="J112"/>
      <c r="K112" s="287"/>
      <c r="L112" s="241"/>
      <c r="M112" s="241"/>
      <c r="N112" s="241"/>
      <c r="O112" s="241"/>
      <c r="P112" s="241"/>
      <c r="Q112" s="241"/>
      <c r="R112" s="241"/>
      <c r="S112" s="241"/>
      <c r="T112" s="241"/>
      <c r="U112" s="241"/>
      <c r="V112" s="241"/>
      <c r="W112" s="241"/>
      <c r="X112" s="241"/>
      <c r="Y112" s="241"/>
      <c r="Z112" s="241"/>
    </row>
    <row r="113" spans="1:26" ht="13.5" customHeight="1" x14ac:dyDescent="0.3">
      <c r="A113"/>
      <c r="B113"/>
      <c r="C113"/>
      <c r="D113"/>
      <c r="E113"/>
      <c r="F113"/>
      <c r="G113"/>
      <c r="H113"/>
      <c r="I113"/>
      <c r="J113"/>
      <c r="K113" s="287"/>
      <c r="L113" s="241"/>
      <c r="M113" s="241"/>
      <c r="N113" s="241"/>
      <c r="O113" s="241"/>
      <c r="P113" s="241"/>
      <c r="Q113" s="241"/>
      <c r="R113" s="241"/>
      <c r="S113" s="241"/>
      <c r="T113" s="241"/>
      <c r="U113" s="241"/>
      <c r="V113" s="241"/>
      <c r="W113" s="241"/>
      <c r="X113" s="241"/>
      <c r="Y113" s="241"/>
      <c r="Z113" s="241"/>
    </row>
    <row r="114" spans="1:26" ht="13.5" customHeight="1" x14ac:dyDescent="0.3">
      <c r="A114"/>
      <c r="B114"/>
      <c r="C114"/>
      <c r="D114"/>
      <c r="E114"/>
      <c r="F114"/>
      <c r="G114"/>
      <c r="H114"/>
      <c r="I114"/>
      <c r="J114"/>
      <c r="K114" s="287"/>
      <c r="L114" s="241"/>
      <c r="M114" s="241"/>
      <c r="N114" s="241"/>
      <c r="O114" s="241"/>
      <c r="P114" s="241"/>
      <c r="Q114" s="241"/>
      <c r="R114" s="241"/>
      <c r="S114" s="241"/>
      <c r="T114" s="241"/>
      <c r="U114" s="241"/>
      <c r="V114" s="241"/>
      <c r="W114" s="241"/>
      <c r="X114" s="241"/>
      <c r="Y114" s="241"/>
      <c r="Z114" s="241"/>
    </row>
    <row r="115" spans="1:26" ht="13.5" customHeight="1" x14ac:dyDescent="0.3">
      <c r="A115"/>
      <c r="B115"/>
      <c r="C115"/>
      <c r="D115"/>
      <c r="E115"/>
      <c r="F115"/>
      <c r="G115"/>
      <c r="H115"/>
      <c r="I115"/>
      <c r="J115"/>
      <c r="K115" s="287"/>
      <c r="L115" s="241"/>
      <c r="M115" s="241"/>
      <c r="N115" s="241"/>
      <c r="O115" s="241"/>
      <c r="P115" s="241"/>
      <c r="Q115" s="241"/>
      <c r="R115" s="241"/>
      <c r="S115" s="241"/>
      <c r="T115" s="241"/>
      <c r="U115" s="241"/>
      <c r="V115" s="241"/>
      <c r="W115" s="241"/>
      <c r="X115" s="241"/>
      <c r="Y115" s="241"/>
      <c r="Z115" s="241"/>
    </row>
    <row r="116" spans="1:26" ht="13.5" customHeight="1" x14ac:dyDescent="0.3">
      <c r="A116"/>
      <c r="B116"/>
      <c r="C116"/>
      <c r="D116"/>
      <c r="E116"/>
      <c r="F116"/>
      <c r="G116"/>
      <c r="H116"/>
      <c r="I116"/>
      <c r="J116"/>
      <c r="K116" s="287"/>
      <c r="L116" s="241"/>
      <c r="M116" s="241"/>
      <c r="N116" s="241"/>
      <c r="O116" s="241"/>
      <c r="P116" s="241"/>
      <c r="Q116" s="241"/>
      <c r="R116" s="241"/>
      <c r="S116" s="241"/>
      <c r="T116" s="241"/>
      <c r="U116" s="241"/>
      <c r="V116" s="241"/>
      <c r="W116" s="241"/>
      <c r="X116" s="241"/>
      <c r="Y116" s="241"/>
      <c r="Z116" s="241"/>
    </row>
    <row r="117" spans="1:26" ht="13.5" customHeight="1" x14ac:dyDescent="0.3">
      <c r="A117"/>
      <c r="B117"/>
      <c r="C117"/>
      <c r="D117"/>
      <c r="E117"/>
      <c r="F117"/>
      <c r="G117"/>
      <c r="H117"/>
      <c r="I117"/>
      <c r="J117"/>
      <c r="K117" s="287"/>
      <c r="L117" s="241"/>
      <c r="M117" s="241"/>
      <c r="N117" s="241"/>
      <c r="O117" s="241"/>
      <c r="P117" s="241"/>
      <c r="Q117" s="241"/>
      <c r="R117" s="241"/>
      <c r="S117" s="241"/>
      <c r="T117" s="241"/>
      <c r="U117" s="241"/>
      <c r="V117" s="241"/>
      <c r="W117" s="241"/>
      <c r="X117" s="241"/>
      <c r="Y117" s="241"/>
      <c r="Z117" s="241"/>
    </row>
    <row r="118" spans="1:26" ht="13.5" customHeight="1" x14ac:dyDescent="0.3">
      <c r="A118"/>
      <c r="B118"/>
      <c r="C118"/>
      <c r="D118"/>
      <c r="E118"/>
      <c r="F118"/>
      <c r="G118"/>
      <c r="H118"/>
      <c r="I118"/>
      <c r="J118"/>
      <c r="K118" s="287"/>
      <c r="L118" s="241"/>
      <c r="M118" s="241"/>
      <c r="N118" s="241"/>
      <c r="O118" s="241"/>
      <c r="P118" s="241"/>
      <c r="Q118" s="241"/>
      <c r="R118" s="241"/>
      <c r="S118" s="241"/>
      <c r="T118" s="241"/>
      <c r="U118" s="241"/>
      <c r="V118" s="241"/>
      <c r="W118" s="241"/>
      <c r="X118" s="241"/>
      <c r="Y118" s="241"/>
      <c r="Z118" s="241"/>
    </row>
    <row r="119" spans="1:26" ht="13.5" customHeight="1" x14ac:dyDescent="0.3">
      <c r="A119"/>
      <c r="B119"/>
      <c r="C119"/>
      <c r="D119"/>
      <c r="E119"/>
      <c r="F119"/>
      <c r="G119"/>
      <c r="H119"/>
      <c r="I119"/>
      <c r="J119"/>
      <c r="K119" s="287"/>
      <c r="L119" s="241"/>
      <c r="M119" s="241"/>
      <c r="N119" s="241"/>
      <c r="O119" s="241"/>
      <c r="P119" s="241"/>
      <c r="Q119" s="241"/>
      <c r="R119" s="241"/>
      <c r="S119" s="241"/>
      <c r="T119" s="241"/>
      <c r="U119" s="241"/>
      <c r="V119" s="241"/>
      <c r="W119" s="241"/>
      <c r="X119" s="241"/>
      <c r="Y119" s="241"/>
      <c r="Z119" s="241"/>
    </row>
    <row r="120" spans="1:26" ht="13.5" customHeight="1" x14ac:dyDescent="0.3">
      <c r="A120"/>
      <c r="B120"/>
      <c r="C120"/>
      <c r="D120"/>
      <c r="E120"/>
      <c r="F120"/>
      <c r="G120"/>
      <c r="H120"/>
      <c r="I120"/>
      <c r="J120"/>
      <c r="K120" s="287"/>
      <c r="L120" s="241"/>
      <c r="M120" s="241"/>
      <c r="N120" s="241"/>
      <c r="O120" s="241"/>
      <c r="P120" s="241"/>
      <c r="Q120" s="241"/>
      <c r="R120" s="241"/>
      <c r="S120" s="241"/>
      <c r="T120" s="241"/>
      <c r="U120" s="241"/>
      <c r="V120" s="241"/>
      <c r="W120" s="241"/>
      <c r="X120" s="241"/>
      <c r="Y120" s="241"/>
      <c r="Z120" s="241"/>
    </row>
    <row r="121" spans="1:26" ht="13.5" customHeight="1" x14ac:dyDescent="0.3">
      <c r="A121"/>
      <c r="B121"/>
      <c r="C121"/>
      <c r="D121"/>
      <c r="E121"/>
      <c r="F121"/>
      <c r="G121"/>
      <c r="H121"/>
      <c r="I121"/>
      <c r="J121"/>
      <c r="K121" s="287"/>
      <c r="L121" s="241"/>
      <c r="M121" s="241"/>
      <c r="N121" s="241"/>
      <c r="O121" s="241"/>
      <c r="P121" s="241"/>
      <c r="Q121" s="241"/>
      <c r="R121" s="241"/>
      <c r="S121" s="241"/>
      <c r="T121" s="241"/>
      <c r="U121" s="241"/>
      <c r="V121" s="241"/>
      <c r="W121" s="241"/>
      <c r="X121" s="241"/>
      <c r="Y121" s="241"/>
      <c r="Z121" s="241"/>
    </row>
    <row r="122" spans="1:26" ht="13.5" customHeight="1" x14ac:dyDescent="0.3">
      <c r="A122"/>
      <c r="B122"/>
      <c r="C122"/>
      <c r="D122"/>
      <c r="E122"/>
      <c r="F122"/>
      <c r="G122"/>
      <c r="H122"/>
      <c r="I122"/>
      <c r="J122"/>
      <c r="K122" s="287"/>
      <c r="L122" s="241"/>
      <c r="M122" s="241"/>
      <c r="N122" s="241"/>
      <c r="O122" s="241"/>
      <c r="P122" s="241"/>
      <c r="Q122" s="241"/>
      <c r="R122" s="241"/>
      <c r="S122" s="241"/>
      <c r="T122" s="241"/>
      <c r="U122" s="241"/>
      <c r="V122" s="241"/>
      <c r="W122" s="241"/>
      <c r="X122" s="241"/>
      <c r="Y122" s="241"/>
      <c r="Z122" s="241"/>
    </row>
    <row r="123" spans="1:26" ht="13.5" customHeight="1" x14ac:dyDescent="0.3">
      <c r="A123"/>
      <c r="B123"/>
      <c r="C123"/>
      <c r="D123"/>
      <c r="E123"/>
      <c r="F123"/>
      <c r="G123"/>
      <c r="H123"/>
      <c r="I123"/>
      <c r="J123"/>
      <c r="K123" s="287"/>
      <c r="L123" s="241"/>
      <c r="M123" s="241"/>
      <c r="N123" s="241"/>
      <c r="O123" s="241"/>
      <c r="P123" s="241"/>
      <c r="Q123" s="241"/>
      <c r="R123" s="241"/>
      <c r="S123" s="241"/>
      <c r="T123" s="241"/>
      <c r="U123" s="241"/>
      <c r="V123" s="241"/>
      <c r="W123" s="241"/>
      <c r="X123" s="241"/>
      <c r="Y123" s="241"/>
      <c r="Z123" s="241"/>
    </row>
    <row r="124" spans="1:26" ht="13.5" customHeight="1" x14ac:dyDescent="0.3">
      <c r="A124"/>
      <c r="B124"/>
      <c r="C124"/>
      <c r="D124"/>
      <c r="E124"/>
      <c r="F124"/>
      <c r="G124"/>
      <c r="H124"/>
      <c r="I124"/>
      <c r="J124"/>
      <c r="K124" s="287"/>
      <c r="L124" s="241"/>
      <c r="M124" s="241"/>
      <c r="N124" s="241"/>
      <c r="O124" s="241"/>
      <c r="P124" s="241"/>
      <c r="Q124" s="241"/>
      <c r="R124" s="241"/>
      <c r="S124" s="241"/>
      <c r="T124" s="241"/>
      <c r="U124" s="241"/>
      <c r="V124" s="241"/>
      <c r="W124" s="241"/>
      <c r="X124" s="241"/>
      <c r="Y124" s="241"/>
      <c r="Z124" s="241"/>
    </row>
    <row r="125" spans="1:26" ht="13.5" customHeight="1" x14ac:dyDescent="0.3">
      <c r="A125"/>
      <c r="B125"/>
      <c r="C125"/>
      <c r="D125"/>
      <c r="E125"/>
      <c r="F125"/>
      <c r="G125"/>
      <c r="H125"/>
      <c r="I125"/>
      <c r="J125"/>
      <c r="K125" s="287"/>
      <c r="L125" s="241"/>
      <c r="M125" s="241"/>
      <c r="N125" s="241"/>
      <c r="O125" s="241"/>
      <c r="P125" s="241"/>
      <c r="Q125" s="241"/>
      <c r="R125" s="241"/>
      <c r="S125" s="241"/>
      <c r="T125" s="241"/>
      <c r="U125" s="241"/>
      <c r="V125" s="241"/>
      <c r="W125" s="241"/>
      <c r="X125" s="241"/>
      <c r="Y125" s="241"/>
      <c r="Z125" s="241"/>
    </row>
    <row r="126" spans="1:26" ht="13.5" customHeight="1" x14ac:dyDescent="0.3">
      <c r="A126"/>
      <c r="B126"/>
      <c r="C126"/>
      <c r="D126"/>
      <c r="E126"/>
      <c r="F126"/>
      <c r="G126"/>
      <c r="H126"/>
      <c r="I126"/>
      <c r="J126"/>
      <c r="K126" s="287"/>
      <c r="L126" s="241"/>
      <c r="M126" s="241"/>
      <c r="N126" s="241"/>
      <c r="O126" s="241"/>
      <c r="P126" s="241"/>
      <c r="Q126" s="241"/>
      <c r="R126" s="241"/>
      <c r="S126" s="241"/>
      <c r="T126" s="241"/>
      <c r="U126" s="241"/>
      <c r="V126" s="241"/>
      <c r="W126" s="241"/>
      <c r="X126" s="241"/>
      <c r="Y126" s="241"/>
      <c r="Z126" s="241"/>
    </row>
    <row r="127" spans="1:26" ht="13.5" customHeight="1" x14ac:dyDescent="0.3">
      <c r="A127"/>
      <c r="B127"/>
      <c r="C127"/>
      <c r="D127"/>
      <c r="E127"/>
      <c r="F127"/>
      <c r="G127"/>
      <c r="H127"/>
      <c r="I127"/>
      <c r="J127"/>
      <c r="K127" s="287"/>
      <c r="L127" s="241"/>
      <c r="M127" s="241"/>
      <c r="N127" s="241"/>
      <c r="O127" s="241"/>
      <c r="P127" s="241"/>
      <c r="Q127" s="241"/>
      <c r="R127" s="241"/>
      <c r="S127" s="241"/>
      <c r="T127" s="241"/>
      <c r="U127" s="241"/>
      <c r="V127" s="241"/>
      <c r="W127" s="241"/>
      <c r="X127" s="241"/>
      <c r="Y127" s="241"/>
      <c r="Z127" s="241"/>
    </row>
    <row r="128" spans="1:26" ht="13.5" customHeight="1" x14ac:dyDescent="0.3">
      <c r="A128"/>
      <c r="B128"/>
      <c r="C128"/>
      <c r="D128"/>
      <c r="E128"/>
      <c r="F128"/>
      <c r="G128"/>
      <c r="H128"/>
      <c r="I128"/>
      <c r="J128"/>
      <c r="K128" s="287"/>
      <c r="L128" s="241"/>
      <c r="M128" s="241"/>
      <c r="N128" s="241"/>
      <c r="O128" s="241"/>
      <c r="P128" s="241"/>
      <c r="Q128" s="241"/>
      <c r="R128" s="241"/>
      <c r="S128" s="241"/>
      <c r="T128" s="241"/>
      <c r="U128" s="241"/>
      <c r="V128" s="241"/>
      <c r="W128" s="241"/>
      <c r="X128" s="241"/>
      <c r="Y128" s="241"/>
      <c r="Z128" s="241"/>
    </row>
    <row r="129" spans="1:26" ht="13.5" customHeight="1" x14ac:dyDescent="0.3">
      <c r="A129"/>
      <c r="B129"/>
      <c r="C129"/>
      <c r="D129"/>
      <c r="E129"/>
      <c r="F129"/>
      <c r="G129"/>
      <c r="H129"/>
      <c r="I129"/>
      <c r="J129"/>
      <c r="K129" s="287"/>
      <c r="L129" s="241"/>
      <c r="M129" s="241"/>
      <c r="N129" s="241"/>
      <c r="O129" s="241"/>
      <c r="P129" s="241"/>
      <c r="Q129" s="241"/>
      <c r="R129" s="241"/>
      <c r="S129" s="241"/>
      <c r="T129" s="241"/>
      <c r="U129" s="241"/>
      <c r="V129" s="241"/>
      <c r="W129" s="241"/>
      <c r="X129" s="241"/>
      <c r="Y129" s="241"/>
      <c r="Z129" s="241"/>
    </row>
    <row r="130" spans="1:26" ht="13.5" customHeight="1" x14ac:dyDescent="0.3">
      <c r="A130"/>
      <c r="B130"/>
      <c r="C130"/>
      <c r="D130"/>
      <c r="E130"/>
      <c r="F130"/>
      <c r="G130"/>
      <c r="H130"/>
      <c r="I130"/>
      <c r="J130"/>
      <c r="K130" s="287"/>
      <c r="L130" s="241"/>
      <c r="M130" s="241"/>
      <c r="N130" s="241"/>
      <c r="O130" s="241"/>
      <c r="P130" s="241"/>
      <c r="Q130" s="241"/>
      <c r="R130" s="241"/>
      <c r="S130" s="241"/>
      <c r="T130" s="241"/>
      <c r="U130" s="241"/>
      <c r="V130" s="241"/>
      <c r="W130" s="241"/>
      <c r="X130" s="241"/>
      <c r="Y130" s="241"/>
      <c r="Z130" s="241"/>
    </row>
    <row r="131" spans="1:26" ht="13.5" customHeight="1" x14ac:dyDescent="0.3">
      <c r="A131"/>
      <c r="B131"/>
      <c r="C131"/>
      <c r="D131"/>
      <c r="E131"/>
      <c r="F131"/>
      <c r="G131"/>
      <c r="H131"/>
      <c r="I131"/>
      <c r="J131"/>
      <c r="K131" s="287"/>
      <c r="L131" s="241"/>
      <c r="M131" s="241"/>
      <c r="N131" s="241"/>
      <c r="O131" s="241"/>
      <c r="P131" s="241"/>
      <c r="Q131" s="241"/>
      <c r="R131" s="241"/>
      <c r="S131" s="241"/>
      <c r="T131" s="241"/>
      <c r="U131" s="241"/>
      <c r="V131" s="241"/>
      <c r="W131" s="241"/>
      <c r="X131" s="241"/>
      <c r="Y131" s="241"/>
      <c r="Z131" s="241"/>
    </row>
    <row r="132" spans="1:26" ht="13.5" customHeight="1" x14ac:dyDescent="0.3">
      <c r="A132"/>
      <c r="B132"/>
      <c r="C132"/>
      <c r="D132"/>
      <c r="E132"/>
      <c r="F132"/>
      <c r="G132"/>
      <c r="H132"/>
      <c r="I132"/>
      <c r="J132"/>
      <c r="K132" s="287"/>
      <c r="L132" s="241"/>
      <c r="M132" s="241"/>
      <c r="N132" s="241"/>
      <c r="O132" s="241"/>
      <c r="P132" s="241"/>
      <c r="Q132" s="241"/>
      <c r="R132" s="241"/>
      <c r="S132" s="241"/>
      <c r="T132" s="241"/>
      <c r="U132" s="241"/>
      <c r="V132" s="241"/>
      <c r="W132" s="241"/>
      <c r="X132" s="241"/>
      <c r="Y132" s="241"/>
      <c r="Z132" s="241"/>
    </row>
    <row r="133" spans="1:26" ht="13.5" customHeight="1" x14ac:dyDescent="0.3">
      <c r="A133"/>
      <c r="B133"/>
      <c r="C133"/>
      <c r="D133"/>
      <c r="E133"/>
      <c r="F133"/>
      <c r="G133"/>
      <c r="H133"/>
      <c r="I133"/>
      <c r="J133"/>
      <c r="K133" s="287"/>
      <c r="L133" s="241"/>
      <c r="M133" s="241"/>
      <c r="N133" s="241"/>
      <c r="O133" s="241"/>
      <c r="P133" s="241"/>
      <c r="Q133" s="241"/>
      <c r="R133" s="241"/>
      <c r="S133" s="241"/>
      <c r="T133" s="241"/>
      <c r="U133" s="241"/>
      <c r="V133" s="241"/>
      <c r="W133" s="241"/>
      <c r="X133" s="241"/>
      <c r="Y133" s="241"/>
      <c r="Z133" s="241"/>
    </row>
    <row r="134" spans="1:26" ht="13.5" customHeight="1" x14ac:dyDescent="0.3">
      <c r="A134"/>
      <c r="B134"/>
      <c r="C134"/>
      <c r="D134"/>
      <c r="E134"/>
      <c r="F134"/>
      <c r="G134"/>
      <c r="H134"/>
      <c r="I134"/>
      <c r="J134"/>
      <c r="K134" s="287"/>
      <c r="L134" s="241"/>
      <c r="M134" s="241"/>
      <c r="N134" s="241"/>
      <c r="O134" s="241"/>
      <c r="P134" s="241"/>
      <c r="Q134" s="241"/>
      <c r="R134" s="241"/>
      <c r="S134" s="241"/>
      <c r="T134" s="241"/>
      <c r="U134" s="241"/>
      <c r="V134" s="241"/>
      <c r="W134" s="241"/>
      <c r="X134" s="241"/>
      <c r="Y134" s="241"/>
      <c r="Z134" s="241"/>
    </row>
    <row r="135" spans="1:26" ht="13.5" customHeight="1" x14ac:dyDescent="0.3">
      <c r="A135"/>
      <c r="B135"/>
      <c r="C135"/>
      <c r="D135"/>
      <c r="E135"/>
      <c r="F135"/>
      <c r="G135"/>
      <c r="H135"/>
      <c r="I135"/>
      <c r="J135"/>
      <c r="K135" s="287"/>
      <c r="L135" s="241"/>
      <c r="M135" s="241"/>
      <c r="N135" s="241"/>
      <c r="O135" s="241"/>
      <c r="P135" s="241"/>
      <c r="Q135" s="241"/>
      <c r="R135" s="241"/>
      <c r="S135" s="241"/>
      <c r="T135" s="241"/>
      <c r="U135" s="241"/>
      <c r="V135" s="241"/>
      <c r="W135" s="241"/>
      <c r="X135" s="241"/>
      <c r="Y135" s="241"/>
      <c r="Z135" s="241"/>
    </row>
    <row r="136" spans="1:26" ht="13.5" customHeight="1" x14ac:dyDescent="0.3">
      <c r="A136"/>
      <c r="B136"/>
      <c r="C136"/>
      <c r="D136"/>
      <c r="E136"/>
      <c r="F136"/>
      <c r="G136"/>
      <c r="H136"/>
      <c r="I136"/>
      <c r="J136"/>
      <c r="K136" s="287"/>
      <c r="L136" s="241"/>
      <c r="M136" s="241"/>
      <c r="N136" s="241"/>
      <c r="O136" s="241"/>
      <c r="P136" s="241"/>
      <c r="Q136" s="241"/>
      <c r="R136" s="241"/>
      <c r="S136" s="241"/>
      <c r="T136" s="241"/>
      <c r="U136" s="241"/>
      <c r="V136" s="241"/>
      <c r="W136" s="241"/>
      <c r="X136" s="241"/>
      <c r="Y136" s="241"/>
      <c r="Z136" s="241"/>
    </row>
    <row r="137" spans="1:26" ht="13.5" customHeight="1" x14ac:dyDescent="0.3">
      <c r="A137"/>
      <c r="B137"/>
      <c r="C137"/>
      <c r="D137"/>
      <c r="E137"/>
      <c r="F137"/>
      <c r="G137"/>
      <c r="H137"/>
      <c r="I137"/>
      <c r="J137"/>
      <c r="K137" s="287"/>
      <c r="L137" s="241"/>
      <c r="M137" s="241"/>
      <c r="N137" s="241"/>
      <c r="O137" s="241"/>
      <c r="P137" s="241"/>
      <c r="Q137" s="241"/>
      <c r="R137" s="241"/>
      <c r="S137" s="241"/>
      <c r="T137" s="241"/>
      <c r="U137" s="241"/>
      <c r="V137" s="241"/>
      <c r="W137" s="241"/>
      <c r="X137" s="241"/>
      <c r="Y137" s="241"/>
      <c r="Z137" s="241"/>
    </row>
    <row r="138" spans="1:26" ht="13.5" customHeight="1" x14ac:dyDescent="0.3">
      <c r="A138"/>
      <c r="B138"/>
      <c r="C138"/>
      <c r="D138"/>
      <c r="E138"/>
      <c r="F138"/>
      <c r="G138"/>
      <c r="H138"/>
      <c r="I138"/>
      <c r="J138"/>
      <c r="K138" s="287"/>
      <c r="L138" s="241"/>
      <c r="M138" s="241"/>
      <c r="N138" s="241"/>
      <c r="O138" s="241"/>
      <c r="P138" s="241"/>
      <c r="Q138" s="241"/>
      <c r="R138" s="241"/>
      <c r="S138" s="241"/>
      <c r="T138" s="241"/>
      <c r="U138" s="241"/>
      <c r="V138" s="241"/>
      <c r="W138" s="241"/>
      <c r="X138" s="241"/>
      <c r="Y138" s="241"/>
      <c r="Z138" s="241"/>
    </row>
    <row r="139" spans="1:26" ht="13.5" customHeight="1" x14ac:dyDescent="0.3">
      <c r="A139"/>
      <c r="B139"/>
      <c r="C139"/>
      <c r="D139"/>
      <c r="E139"/>
      <c r="F139"/>
      <c r="G139"/>
      <c r="H139"/>
      <c r="I139"/>
      <c r="J139"/>
      <c r="K139" s="287"/>
      <c r="L139" s="241"/>
      <c r="M139" s="241"/>
      <c r="N139" s="241"/>
      <c r="O139" s="241"/>
      <c r="P139" s="241"/>
      <c r="Q139" s="241"/>
      <c r="R139" s="241"/>
      <c r="S139" s="241"/>
      <c r="T139" s="241"/>
      <c r="U139" s="241"/>
      <c r="V139" s="241"/>
      <c r="W139" s="241"/>
      <c r="X139" s="241"/>
      <c r="Y139" s="241"/>
      <c r="Z139" s="241"/>
    </row>
    <row r="140" spans="1:26" ht="13.5" customHeight="1" x14ac:dyDescent="0.3">
      <c r="A140"/>
      <c r="B140"/>
      <c r="C140"/>
      <c r="D140"/>
      <c r="E140"/>
      <c r="F140"/>
      <c r="G140"/>
      <c r="H140"/>
      <c r="I140"/>
      <c r="J140"/>
      <c r="K140" s="287"/>
      <c r="L140" s="241"/>
      <c r="M140" s="241"/>
      <c r="N140" s="241"/>
      <c r="O140" s="241"/>
      <c r="P140" s="241"/>
      <c r="Q140" s="241"/>
      <c r="R140" s="241"/>
      <c r="S140" s="241"/>
      <c r="T140" s="241"/>
      <c r="U140" s="241"/>
      <c r="V140" s="241"/>
      <c r="W140" s="241"/>
      <c r="X140" s="241"/>
      <c r="Y140" s="241"/>
      <c r="Z140" s="241"/>
    </row>
    <row r="141" spans="1:26" ht="13.5" customHeight="1" x14ac:dyDescent="0.3">
      <c r="A141"/>
      <c r="B141"/>
      <c r="C141"/>
      <c r="D141"/>
      <c r="E141"/>
      <c r="F141"/>
      <c r="G141"/>
      <c r="H141"/>
      <c r="I141"/>
      <c r="J141"/>
      <c r="K141" s="287"/>
      <c r="L141" s="241"/>
      <c r="M141" s="241"/>
      <c r="N141" s="241"/>
      <c r="O141" s="241"/>
      <c r="P141" s="241"/>
      <c r="Q141" s="241"/>
      <c r="R141" s="241"/>
      <c r="S141" s="241"/>
      <c r="T141" s="241"/>
      <c r="U141" s="241"/>
      <c r="V141" s="241"/>
      <c r="W141" s="241"/>
      <c r="X141" s="241"/>
      <c r="Y141" s="241"/>
      <c r="Z141" s="241"/>
    </row>
    <row r="142" spans="1:26" ht="13.5" customHeight="1" x14ac:dyDescent="0.3">
      <c r="A142"/>
      <c r="B142"/>
      <c r="C142"/>
      <c r="D142"/>
      <c r="E142"/>
      <c r="F142"/>
      <c r="G142"/>
      <c r="H142"/>
      <c r="I142"/>
      <c r="J142"/>
      <c r="K142" s="287"/>
      <c r="L142" s="241"/>
      <c r="M142" s="241"/>
      <c r="N142" s="241"/>
      <c r="O142" s="241"/>
      <c r="P142" s="241"/>
      <c r="Q142" s="241"/>
      <c r="R142" s="241"/>
      <c r="S142" s="241"/>
      <c r="T142" s="241"/>
      <c r="U142" s="241"/>
      <c r="V142" s="241"/>
      <c r="W142" s="241"/>
      <c r="X142" s="241"/>
      <c r="Y142" s="241"/>
      <c r="Z142" s="241"/>
    </row>
    <row r="143" spans="1:26" ht="13.5" customHeight="1" x14ac:dyDescent="0.3">
      <c r="A143"/>
      <c r="B143"/>
      <c r="C143"/>
      <c r="D143"/>
      <c r="E143"/>
      <c r="F143"/>
      <c r="G143"/>
      <c r="H143"/>
      <c r="I143"/>
      <c r="J143"/>
      <c r="K143" s="287"/>
      <c r="L143" s="241"/>
      <c r="M143" s="241"/>
      <c r="N143" s="241"/>
      <c r="O143" s="241"/>
      <c r="P143" s="241"/>
      <c r="Q143" s="241"/>
      <c r="R143" s="241"/>
      <c r="S143" s="241"/>
      <c r="T143" s="241"/>
      <c r="U143" s="241"/>
      <c r="V143" s="241"/>
      <c r="W143" s="241"/>
      <c r="X143" s="241"/>
      <c r="Y143" s="241"/>
      <c r="Z143" s="241"/>
    </row>
    <row r="144" spans="1:26" ht="13.5" customHeight="1" x14ac:dyDescent="0.3">
      <c r="A144"/>
      <c r="B144"/>
      <c r="C144"/>
      <c r="D144"/>
      <c r="E144"/>
      <c r="F144"/>
      <c r="G144"/>
      <c r="H144"/>
      <c r="I144"/>
      <c r="J144"/>
      <c r="K144" s="287"/>
      <c r="L144" s="241"/>
      <c r="M144" s="241"/>
      <c r="N144" s="241"/>
      <c r="O144" s="241"/>
      <c r="P144" s="241"/>
      <c r="Q144" s="241"/>
      <c r="R144" s="241"/>
      <c r="S144" s="241"/>
      <c r="T144" s="241"/>
      <c r="U144" s="241"/>
      <c r="V144" s="241"/>
      <c r="W144" s="241"/>
      <c r="X144" s="241"/>
      <c r="Y144" s="241"/>
      <c r="Z144" s="241"/>
    </row>
    <row r="145" spans="1:26" ht="13.5" customHeight="1" x14ac:dyDescent="0.3">
      <c r="A145"/>
      <c r="B145"/>
      <c r="C145"/>
      <c r="D145"/>
      <c r="E145"/>
      <c r="F145"/>
      <c r="G145"/>
      <c r="H145"/>
      <c r="I145"/>
      <c r="J145"/>
      <c r="K145" s="287"/>
      <c r="L145" s="241"/>
      <c r="M145" s="241"/>
      <c r="N145" s="241"/>
      <c r="O145" s="241"/>
      <c r="P145" s="241"/>
      <c r="Q145" s="241"/>
      <c r="R145" s="241"/>
      <c r="S145" s="241"/>
      <c r="T145" s="241"/>
      <c r="U145" s="241"/>
      <c r="V145" s="241"/>
      <c r="W145" s="241"/>
      <c r="X145" s="241"/>
      <c r="Y145" s="241"/>
      <c r="Z145" s="241"/>
    </row>
    <row r="146" spans="1:26" ht="13.5" customHeight="1" x14ac:dyDescent="0.3">
      <c r="A146"/>
      <c r="B146"/>
      <c r="C146"/>
      <c r="D146"/>
      <c r="E146"/>
      <c r="F146"/>
      <c r="G146"/>
      <c r="H146"/>
      <c r="I146"/>
      <c r="J146"/>
      <c r="K146" s="287"/>
      <c r="L146" s="241"/>
      <c r="M146" s="241"/>
      <c r="N146" s="241"/>
      <c r="O146" s="241"/>
      <c r="P146" s="241"/>
      <c r="Q146" s="241"/>
      <c r="R146" s="241"/>
      <c r="S146" s="241"/>
      <c r="T146" s="241"/>
      <c r="U146" s="241"/>
      <c r="V146" s="241"/>
      <c r="W146" s="241"/>
      <c r="X146" s="241"/>
      <c r="Y146" s="241"/>
      <c r="Z146" s="241"/>
    </row>
    <row r="147" spans="1:26" ht="13.5" customHeight="1" x14ac:dyDescent="0.3">
      <c r="A147"/>
      <c r="B147"/>
      <c r="C147"/>
      <c r="D147"/>
      <c r="E147"/>
      <c r="F147"/>
      <c r="G147"/>
      <c r="H147"/>
      <c r="I147"/>
      <c r="J147"/>
      <c r="K147" s="287"/>
      <c r="L147" s="241"/>
      <c r="M147" s="241"/>
      <c r="N147" s="241"/>
      <c r="O147" s="241"/>
      <c r="P147" s="241"/>
      <c r="Q147" s="241"/>
      <c r="R147" s="241"/>
      <c r="S147" s="241"/>
      <c r="T147" s="241"/>
      <c r="U147" s="241"/>
      <c r="V147" s="241"/>
      <c r="W147" s="241"/>
      <c r="X147" s="241"/>
      <c r="Y147" s="241"/>
      <c r="Z147" s="241"/>
    </row>
    <row r="148" spans="1:26" ht="13.5" customHeight="1" x14ac:dyDescent="0.3">
      <c r="A148"/>
      <c r="B148"/>
      <c r="C148"/>
      <c r="D148"/>
      <c r="E148"/>
      <c r="F148"/>
      <c r="G148"/>
      <c r="H148"/>
      <c r="I148"/>
      <c r="J148"/>
      <c r="K148" s="287"/>
      <c r="L148" s="241"/>
      <c r="M148" s="241"/>
      <c r="N148" s="241"/>
      <c r="O148" s="241"/>
      <c r="P148" s="241"/>
      <c r="Q148" s="241"/>
      <c r="R148" s="241"/>
      <c r="S148" s="241"/>
      <c r="T148" s="241"/>
      <c r="U148" s="241"/>
      <c r="V148" s="241"/>
      <c r="W148" s="241"/>
      <c r="X148" s="241"/>
      <c r="Y148" s="241"/>
      <c r="Z148" s="241"/>
    </row>
    <row r="149" spans="1:26" ht="13.5" customHeight="1" x14ac:dyDescent="0.3">
      <c r="A149"/>
      <c r="B149"/>
      <c r="C149"/>
      <c r="D149"/>
      <c r="E149"/>
      <c r="F149"/>
      <c r="G149"/>
      <c r="H149"/>
      <c r="I149"/>
      <c r="J149"/>
      <c r="K149" s="287"/>
      <c r="L149" s="241"/>
      <c r="M149" s="241"/>
      <c r="N149" s="241"/>
      <c r="O149" s="241"/>
      <c r="P149" s="241"/>
      <c r="Q149" s="241"/>
      <c r="R149" s="241"/>
      <c r="S149" s="241"/>
      <c r="T149" s="241"/>
      <c r="U149" s="241"/>
      <c r="V149" s="241"/>
      <c r="W149" s="241"/>
      <c r="X149" s="241"/>
      <c r="Y149" s="241"/>
      <c r="Z149" s="241"/>
    </row>
    <row r="150" spans="1:26" ht="13.5" customHeight="1" x14ac:dyDescent="0.3">
      <c r="A150"/>
      <c r="B150"/>
      <c r="C150"/>
      <c r="D150"/>
      <c r="E150"/>
      <c r="F150"/>
      <c r="G150"/>
      <c r="H150"/>
      <c r="I150"/>
      <c r="J150"/>
      <c r="K150" s="287"/>
      <c r="L150" s="241"/>
      <c r="M150" s="241"/>
      <c r="N150" s="241"/>
      <c r="O150" s="241"/>
      <c r="P150" s="241"/>
      <c r="Q150" s="241"/>
      <c r="R150" s="241"/>
      <c r="S150" s="241"/>
      <c r="T150" s="241"/>
      <c r="U150" s="241"/>
      <c r="V150" s="241"/>
      <c r="W150" s="241"/>
      <c r="X150" s="241"/>
      <c r="Y150" s="241"/>
      <c r="Z150" s="241"/>
    </row>
    <row r="151" spans="1:26" ht="13.5" customHeight="1" x14ac:dyDescent="0.3">
      <c r="A151"/>
      <c r="B151"/>
      <c r="C151"/>
      <c r="D151"/>
      <c r="E151"/>
      <c r="F151"/>
      <c r="G151"/>
      <c r="H151"/>
      <c r="I151"/>
      <c r="J151"/>
      <c r="K151" s="287"/>
      <c r="L151" s="241"/>
      <c r="M151" s="241"/>
      <c r="N151" s="241"/>
      <c r="O151" s="241"/>
      <c r="P151" s="241"/>
      <c r="Q151" s="241"/>
      <c r="R151" s="241"/>
      <c r="S151" s="241"/>
      <c r="T151" s="241"/>
      <c r="U151" s="241"/>
      <c r="V151" s="241"/>
      <c r="W151" s="241"/>
      <c r="X151" s="241"/>
      <c r="Y151" s="241"/>
      <c r="Z151" s="241"/>
    </row>
    <row r="152" spans="1:26" ht="13.5" customHeight="1" x14ac:dyDescent="0.3">
      <c r="A152"/>
      <c r="B152"/>
      <c r="C152"/>
      <c r="D152"/>
      <c r="E152"/>
      <c r="F152"/>
      <c r="G152"/>
      <c r="H152"/>
      <c r="I152"/>
      <c r="J152"/>
      <c r="K152" s="287"/>
      <c r="L152" s="241"/>
      <c r="M152" s="241"/>
      <c r="N152" s="241"/>
      <c r="O152" s="241"/>
      <c r="P152" s="241"/>
      <c r="Q152" s="241"/>
      <c r="R152" s="241"/>
      <c r="S152" s="241"/>
      <c r="T152" s="241"/>
      <c r="U152" s="241"/>
      <c r="V152" s="241"/>
      <c r="W152" s="241"/>
      <c r="X152" s="241"/>
      <c r="Y152" s="241"/>
      <c r="Z152" s="241"/>
    </row>
    <row r="153" spans="1:26" ht="13.5" customHeight="1" x14ac:dyDescent="0.3">
      <c r="A153"/>
      <c r="B153"/>
      <c r="C153"/>
      <c r="D153"/>
      <c r="E153"/>
      <c r="F153"/>
      <c r="G153"/>
      <c r="H153"/>
      <c r="I153"/>
      <c r="J153"/>
      <c r="K153" s="287"/>
      <c r="L153" s="241"/>
      <c r="M153" s="241"/>
      <c r="N153" s="241"/>
      <c r="O153" s="241"/>
      <c r="P153" s="241"/>
      <c r="Q153" s="241"/>
      <c r="R153" s="241"/>
      <c r="S153" s="241"/>
      <c r="T153" s="241"/>
      <c r="U153" s="241"/>
      <c r="V153" s="241"/>
      <c r="W153" s="241"/>
      <c r="X153" s="241"/>
      <c r="Y153" s="241"/>
      <c r="Z153" s="241"/>
    </row>
    <row r="154" spans="1:26" ht="13.5" customHeight="1" x14ac:dyDescent="0.3">
      <c r="A154"/>
      <c r="B154"/>
      <c r="C154"/>
      <c r="D154"/>
      <c r="E154"/>
      <c r="F154"/>
      <c r="G154"/>
      <c r="H154"/>
      <c r="I154"/>
      <c r="J154"/>
      <c r="K154" s="287"/>
      <c r="L154" s="241"/>
      <c r="M154" s="241"/>
      <c r="N154" s="241"/>
      <c r="O154" s="241"/>
      <c r="P154" s="241"/>
      <c r="Q154" s="241"/>
      <c r="R154" s="241"/>
      <c r="S154" s="241"/>
      <c r="T154" s="241"/>
      <c r="U154" s="241"/>
      <c r="V154" s="241"/>
      <c r="W154" s="241"/>
      <c r="X154" s="241"/>
      <c r="Y154" s="241"/>
      <c r="Z154" s="241"/>
    </row>
    <row r="155" spans="1:26" ht="13.5" customHeight="1" x14ac:dyDescent="0.3">
      <c r="A155"/>
      <c r="B155"/>
      <c r="C155"/>
      <c r="D155"/>
      <c r="E155"/>
      <c r="F155"/>
      <c r="G155"/>
      <c r="H155"/>
      <c r="I155"/>
      <c r="J155"/>
      <c r="K155" s="287"/>
      <c r="L155" s="241"/>
      <c r="M155" s="241"/>
      <c r="N155" s="241"/>
      <c r="O155" s="241"/>
      <c r="P155" s="241"/>
      <c r="Q155" s="241"/>
      <c r="R155" s="241"/>
      <c r="S155" s="241"/>
      <c r="T155" s="241"/>
      <c r="U155" s="241"/>
      <c r="V155" s="241"/>
      <c r="W155" s="241"/>
      <c r="X155" s="241"/>
      <c r="Y155" s="241"/>
      <c r="Z155" s="241"/>
    </row>
    <row r="156" spans="1:26" ht="13.5" customHeight="1" x14ac:dyDescent="0.3">
      <c r="A156"/>
      <c r="B156"/>
      <c r="C156"/>
      <c r="D156"/>
      <c r="E156"/>
      <c r="F156"/>
      <c r="G156"/>
      <c r="H156"/>
      <c r="I156"/>
      <c r="J156"/>
      <c r="K156" s="287"/>
      <c r="L156" s="241"/>
      <c r="M156" s="241"/>
      <c r="N156" s="241"/>
      <c r="O156" s="241"/>
      <c r="P156" s="241"/>
      <c r="Q156" s="241"/>
      <c r="R156" s="241"/>
      <c r="S156" s="241"/>
      <c r="T156" s="241"/>
      <c r="U156" s="241"/>
      <c r="V156" s="241"/>
      <c r="W156" s="241"/>
      <c r="X156" s="241"/>
      <c r="Y156" s="241"/>
      <c r="Z156" s="241"/>
    </row>
    <row r="157" spans="1:26" ht="13.5" customHeight="1" x14ac:dyDescent="0.3">
      <c r="A157"/>
      <c r="B157"/>
      <c r="C157"/>
      <c r="D157"/>
      <c r="E157"/>
      <c r="F157"/>
      <c r="G157"/>
      <c r="H157"/>
      <c r="I157"/>
      <c r="J157"/>
      <c r="K157" s="287"/>
      <c r="L157" s="241"/>
      <c r="M157" s="241"/>
      <c r="N157" s="241"/>
      <c r="O157" s="241"/>
      <c r="P157" s="241"/>
      <c r="Q157" s="241"/>
      <c r="R157" s="241"/>
      <c r="S157" s="241"/>
      <c r="T157" s="241"/>
      <c r="U157" s="241"/>
      <c r="V157" s="241"/>
      <c r="W157" s="241"/>
      <c r="X157" s="241"/>
      <c r="Y157" s="241"/>
      <c r="Z157" s="241"/>
    </row>
    <row r="158" spans="1:26" ht="13.5" customHeight="1" x14ac:dyDescent="0.3">
      <c r="A158"/>
      <c r="B158"/>
      <c r="C158"/>
      <c r="D158"/>
      <c r="E158"/>
      <c r="F158"/>
      <c r="G158"/>
      <c r="H158"/>
      <c r="I158"/>
      <c r="J158"/>
      <c r="K158" s="287"/>
      <c r="L158" s="241"/>
      <c r="M158" s="241"/>
      <c r="N158" s="241"/>
      <c r="O158" s="241"/>
      <c r="P158" s="241"/>
      <c r="Q158" s="241"/>
      <c r="R158" s="241"/>
      <c r="S158" s="241"/>
      <c r="T158" s="241"/>
      <c r="U158" s="241"/>
      <c r="V158" s="241"/>
      <c r="W158" s="241"/>
      <c r="X158" s="241"/>
      <c r="Y158" s="241"/>
      <c r="Z158" s="241"/>
    </row>
    <row r="159" spans="1:26" ht="13.5" customHeight="1" x14ac:dyDescent="0.3">
      <c r="A159"/>
      <c r="B159"/>
      <c r="C159"/>
      <c r="D159"/>
      <c r="E159"/>
      <c r="F159"/>
      <c r="G159"/>
      <c r="H159"/>
      <c r="I159"/>
      <c r="J159"/>
      <c r="K159" s="287"/>
      <c r="L159" s="241"/>
      <c r="M159" s="241"/>
      <c r="N159" s="241"/>
      <c r="O159" s="241"/>
      <c r="P159" s="241"/>
      <c r="Q159" s="241"/>
      <c r="R159" s="241"/>
      <c r="S159" s="241"/>
      <c r="T159" s="241"/>
      <c r="U159" s="241"/>
      <c r="V159" s="241"/>
      <c r="W159" s="241"/>
      <c r="X159" s="241"/>
      <c r="Y159" s="241"/>
      <c r="Z159" s="241"/>
    </row>
    <row r="160" spans="1:26" ht="13.5" customHeight="1" x14ac:dyDescent="0.3">
      <c r="A160"/>
      <c r="B160"/>
      <c r="C160"/>
      <c r="D160"/>
      <c r="E160"/>
      <c r="F160"/>
      <c r="G160"/>
      <c r="H160"/>
      <c r="I160"/>
      <c r="J160"/>
      <c r="K160" s="287"/>
      <c r="L160" s="241"/>
      <c r="M160" s="241"/>
      <c r="N160" s="241"/>
      <c r="O160" s="241"/>
      <c r="P160" s="241"/>
      <c r="Q160" s="241"/>
      <c r="R160" s="241"/>
      <c r="S160" s="241"/>
      <c r="T160" s="241"/>
      <c r="U160" s="241"/>
      <c r="V160" s="241"/>
      <c r="W160" s="241"/>
      <c r="X160" s="241"/>
      <c r="Y160" s="241"/>
      <c r="Z160" s="241"/>
    </row>
    <row r="161" spans="1:26" ht="13.5" customHeight="1" x14ac:dyDescent="0.3">
      <c r="A161"/>
      <c r="B161"/>
      <c r="C161"/>
      <c r="D161"/>
      <c r="E161"/>
      <c r="F161"/>
      <c r="G161"/>
      <c r="H161"/>
      <c r="I161"/>
      <c r="J161"/>
      <c r="K161" s="287"/>
      <c r="L161" s="241"/>
      <c r="M161" s="241"/>
      <c r="N161" s="241"/>
      <c r="O161" s="241"/>
      <c r="P161" s="241"/>
      <c r="Q161" s="241"/>
      <c r="R161" s="241"/>
      <c r="S161" s="241"/>
      <c r="T161" s="241"/>
      <c r="U161" s="241"/>
      <c r="V161" s="241"/>
      <c r="W161" s="241"/>
      <c r="X161" s="241"/>
      <c r="Y161" s="241"/>
      <c r="Z161" s="241"/>
    </row>
    <row r="162" spans="1:26" ht="13.5" customHeight="1" x14ac:dyDescent="0.3">
      <c r="A162"/>
      <c r="B162"/>
      <c r="C162"/>
      <c r="D162"/>
      <c r="E162"/>
      <c r="F162"/>
      <c r="G162"/>
      <c r="H162"/>
      <c r="I162"/>
      <c r="J162"/>
      <c r="K162" s="287"/>
      <c r="L162" s="241"/>
      <c r="M162" s="241"/>
      <c r="N162" s="241"/>
      <c r="O162" s="241"/>
      <c r="P162" s="241"/>
      <c r="Q162" s="241"/>
      <c r="R162" s="241"/>
      <c r="S162" s="241"/>
      <c r="T162" s="241"/>
      <c r="U162" s="241"/>
      <c r="V162" s="241"/>
      <c r="W162" s="241"/>
      <c r="X162" s="241"/>
      <c r="Y162" s="241"/>
      <c r="Z162" s="241"/>
    </row>
    <row r="163" spans="1:26" ht="13.5" customHeight="1" x14ac:dyDescent="0.3">
      <c r="A163"/>
      <c r="B163"/>
      <c r="C163"/>
      <c r="D163"/>
      <c r="E163"/>
      <c r="F163"/>
      <c r="G163"/>
      <c r="H163"/>
      <c r="I163"/>
      <c r="J163"/>
      <c r="K163" s="287"/>
      <c r="L163" s="241"/>
      <c r="M163" s="241"/>
      <c r="N163" s="241"/>
      <c r="O163" s="241"/>
      <c r="P163" s="241"/>
      <c r="Q163" s="241"/>
      <c r="R163" s="241"/>
      <c r="S163" s="241"/>
      <c r="T163" s="241"/>
      <c r="U163" s="241"/>
      <c r="V163" s="241"/>
      <c r="W163" s="241"/>
      <c r="X163" s="241"/>
      <c r="Y163" s="241"/>
      <c r="Z163" s="241"/>
    </row>
    <row r="164" spans="1:26" ht="13.5" customHeight="1" x14ac:dyDescent="0.3">
      <c r="A164"/>
      <c r="B164"/>
      <c r="C164"/>
      <c r="D164"/>
      <c r="E164"/>
      <c r="F164"/>
      <c r="G164"/>
      <c r="H164"/>
      <c r="I164"/>
      <c r="J164"/>
      <c r="K164" s="287"/>
      <c r="L164" s="241"/>
      <c r="M164" s="241"/>
      <c r="N164" s="241"/>
      <c r="O164" s="241"/>
      <c r="P164" s="241"/>
      <c r="Q164" s="241"/>
      <c r="R164" s="241"/>
      <c r="S164" s="241"/>
      <c r="T164" s="241"/>
      <c r="U164" s="241"/>
      <c r="V164" s="241"/>
      <c r="W164" s="241"/>
      <c r="X164" s="241"/>
      <c r="Y164" s="241"/>
      <c r="Z164" s="241"/>
    </row>
    <row r="165" spans="1:26" ht="13.5" customHeight="1" x14ac:dyDescent="0.3">
      <c r="A165"/>
      <c r="B165"/>
      <c r="C165"/>
      <c r="D165"/>
      <c r="E165"/>
      <c r="F165"/>
      <c r="G165"/>
      <c r="H165"/>
      <c r="I165"/>
      <c r="J165"/>
      <c r="K165" s="287"/>
      <c r="L165" s="241"/>
      <c r="M165" s="241"/>
      <c r="N165" s="241"/>
      <c r="O165" s="241"/>
      <c r="P165" s="241"/>
      <c r="Q165" s="241"/>
      <c r="R165" s="241"/>
      <c r="S165" s="241"/>
      <c r="T165" s="241"/>
      <c r="U165" s="241"/>
      <c r="V165" s="241"/>
      <c r="W165" s="241"/>
      <c r="X165" s="241"/>
      <c r="Y165" s="241"/>
      <c r="Z165" s="241"/>
    </row>
    <row r="166" spans="1:26" ht="13.5" customHeight="1" x14ac:dyDescent="0.3">
      <c r="A166"/>
      <c r="B166"/>
      <c r="C166"/>
      <c r="D166"/>
      <c r="E166"/>
      <c r="F166"/>
      <c r="G166"/>
      <c r="H166"/>
      <c r="I166"/>
      <c r="J166"/>
      <c r="K166" s="287"/>
      <c r="L166" s="241"/>
      <c r="M166" s="241"/>
      <c r="N166" s="241"/>
      <c r="O166" s="241"/>
      <c r="P166" s="241"/>
      <c r="Q166" s="241"/>
      <c r="R166" s="241"/>
      <c r="S166" s="241"/>
      <c r="T166" s="241"/>
      <c r="U166" s="241"/>
      <c r="V166" s="241"/>
      <c r="W166" s="241"/>
      <c r="X166" s="241"/>
      <c r="Y166" s="241"/>
      <c r="Z166" s="241"/>
    </row>
    <row r="167" spans="1:26" ht="13.5" customHeight="1" x14ac:dyDescent="0.3">
      <c r="A167"/>
      <c r="B167"/>
      <c r="C167"/>
      <c r="D167"/>
      <c r="E167"/>
      <c r="F167"/>
      <c r="G167"/>
      <c r="H167"/>
      <c r="I167"/>
      <c r="J167"/>
      <c r="K167" s="287"/>
      <c r="L167" s="241"/>
      <c r="M167" s="241"/>
      <c r="N167" s="241"/>
      <c r="O167" s="241"/>
      <c r="P167" s="241"/>
      <c r="Q167" s="241"/>
      <c r="R167" s="241"/>
      <c r="S167" s="241"/>
      <c r="T167" s="241"/>
      <c r="U167" s="241"/>
      <c r="V167" s="241"/>
      <c r="W167" s="241"/>
      <c r="X167" s="241"/>
      <c r="Y167" s="241"/>
      <c r="Z167" s="241"/>
    </row>
    <row r="168" spans="1:26" ht="13.5" customHeight="1" x14ac:dyDescent="0.3">
      <c r="A168"/>
      <c r="B168"/>
      <c r="C168"/>
      <c r="D168"/>
      <c r="E168"/>
      <c r="F168"/>
      <c r="G168"/>
      <c r="H168"/>
      <c r="I168"/>
      <c r="J168"/>
      <c r="K168" s="287"/>
      <c r="L168" s="241"/>
      <c r="M168" s="241"/>
      <c r="N168" s="241"/>
      <c r="O168" s="241"/>
      <c r="P168" s="241"/>
      <c r="Q168" s="241"/>
      <c r="R168" s="241"/>
      <c r="S168" s="241"/>
      <c r="T168" s="241"/>
      <c r="U168" s="241"/>
      <c r="V168" s="241"/>
      <c r="W168" s="241"/>
      <c r="X168" s="241"/>
      <c r="Y168" s="241"/>
      <c r="Z168" s="241"/>
    </row>
    <row r="169" spans="1:26" ht="13.5" customHeight="1" x14ac:dyDescent="0.3">
      <c r="A169"/>
      <c r="B169"/>
      <c r="C169"/>
      <c r="D169"/>
      <c r="E169"/>
      <c r="F169"/>
      <c r="G169"/>
      <c r="H169"/>
      <c r="I169"/>
      <c r="J169"/>
      <c r="K169" s="287"/>
      <c r="L169" s="241"/>
      <c r="M169" s="241"/>
      <c r="N169" s="241"/>
      <c r="O169" s="241"/>
      <c r="P169" s="241"/>
      <c r="Q169" s="241"/>
      <c r="R169" s="241"/>
      <c r="S169" s="241"/>
      <c r="T169" s="241"/>
      <c r="U169" s="241"/>
      <c r="V169" s="241"/>
      <c r="W169" s="241"/>
      <c r="X169" s="241"/>
      <c r="Y169" s="241"/>
      <c r="Z169" s="241"/>
    </row>
    <row r="170" spans="1:26" ht="13.5" customHeight="1" x14ac:dyDescent="0.3">
      <c r="A170"/>
      <c r="B170"/>
      <c r="C170"/>
      <c r="D170"/>
      <c r="E170"/>
      <c r="F170"/>
      <c r="G170"/>
      <c r="H170"/>
      <c r="I170"/>
      <c r="J170"/>
      <c r="K170" s="287"/>
      <c r="L170" s="241"/>
      <c r="M170" s="241"/>
      <c r="N170" s="241"/>
      <c r="O170" s="241"/>
      <c r="P170" s="241"/>
      <c r="Q170" s="241"/>
      <c r="R170" s="241"/>
      <c r="S170" s="241"/>
      <c r="T170" s="241"/>
      <c r="U170" s="241"/>
      <c r="V170" s="241"/>
      <c r="W170" s="241"/>
      <c r="X170" s="241"/>
      <c r="Y170" s="241"/>
      <c r="Z170" s="241"/>
    </row>
    <row r="171" spans="1:26" ht="13.5" customHeight="1" x14ac:dyDescent="0.3">
      <c r="A171"/>
      <c r="B171"/>
      <c r="C171"/>
      <c r="D171"/>
      <c r="E171"/>
      <c r="F171"/>
      <c r="G171"/>
      <c r="H171"/>
      <c r="I171"/>
      <c r="J171"/>
      <c r="K171" s="287"/>
      <c r="L171" s="241"/>
      <c r="M171" s="241"/>
      <c r="N171" s="241"/>
      <c r="O171" s="241"/>
      <c r="P171" s="241"/>
      <c r="Q171" s="241"/>
      <c r="R171" s="241"/>
      <c r="S171" s="241"/>
      <c r="T171" s="241"/>
      <c r="U171" s="241"/>
      <c r="V171" s="241"/>
      <c r="W171" s="241"/>
      <c r="X171" s="241"/>
      <c r="Y171" s="241"/>
      <c r="Z171" s="241"/>
    </row>
    <row r="172" spans="1:26" ht="13.5" customHeight="1" x14ac:dyDescent="0.3">
      <c r="A172"/>
      <c r="B172"/>
      <c r="C172"/>
      <c r="D172"/>
      <c r="E172"/>
      <c r="F172"/>
      <c r="G172"/>
      <c r="H172"/>
      <c r="I172"/>
      <c r="J172"/>
      <c r="K172" s="287"/>
      <c r="L172" s="241"/>
      <c r="M172" s="241"/>
      <c r="N172" s="241"/>
      <c r="O172" s="241"/>
      <c r="P172" s="241"/>
      <c r="Q172" s="241"/>
      <c r="R172" s="241"/>
      <c r="S172" s="241"/>
      <c r="T172" s="241"/>
      <c r="U172" s="241"/>
      <c r="V172" s="241"/>
      <c r="W172" s="241"/>
      <c r="X172" s="241"/>
      <c r="Y172" s="241"/>
      <c r="Z172" s="241"/>
    </row>
    <row r="173" spans="1:26" ht="13.5" customHeight="1" x14ac:dyDescent="0.3">
      <c r="A173"/>
      <c r="B173"/>
      <c r="C173"/>
      <c r="D173"/>
      <c r="E173"/>
      <c r="F173"/>
      <c r="G173"/>
      <c r="H173"/>
      <c r="I173"/>
      <c r="J173"/>
      <c r="K173" s="287"/>
      <c r="L173" s="241"/>
      <c r="M173" s="241"/>
      <c r="N173" s="241"/>
      <c r="O173" s="241"/>
      <c r="P173" s="241"/>
      <c r="Q173" s="241"/>
      <c r="R173" s="241"/>
      <c r="S173" s="241"/>
      <c r="T173" s="241"/>
      <c r="U173" s="241"/>
      <c r="V173" s="241"/>
      <c r="W173" s="241"/>
      <c r="X173" s="241"/>
      <c r="Y173" s="241"/>
      <c r="Z173" s="241"/>
    </row>
    <row r="174" spans="1:26" ht="13.5" customHeight="1" x14ac:dyDescent="0.3">
      <c r="A174"/>
      <c r="B174"/>
      <c r="C174"/>
      <c r="D174"/>
      <c r="E174"/>
      <c r="F174"/>
      <c r="G174"/>
      <c r="H174"/>
      <c r="I174"/>
      <c r="J174"/>
      <c r="K174" s="287"/>
      <c r="L174" s="241"/>
      <c r="M174" s="241"/>
      <c r="N174" s="241"/>
      <c r="O174" s="241"/>
      <c r="P174" s="241"/>
      <c r="Q174" s="241"/>
      <c r="R174" s="241"/>
      <c r="S174" s="241"/>
      <c r="T174" s="241"/>
      <c r="U174" s="241"/>
      <c r="V174" s="241"/>
      <c r="W174" s="241"/>
      <c r="X174" s="241"/>
      <c r="Y174" s="241"/>
      <c r="Z174" s="241"/>
    </row>
    <row r="175" spans="1:26" ht="13.5" customHeight="1" x14ac:dyDescent="0.3">
      <c r="A175"/>
      <c r="B175"/>
      <c r="C175"/>
      <c r="D175"/>
      <c r="E175"/>
      <c r="F175"/>
      <c r="G175"/>
      <c r="H175"/>
      <c r="I175"/>
      <c r="J175"/>
      <c r="K175" s="287"/>
      <c r="L175" s="241"/>
      <c r="M175" s="241"/>
      <c r="N175" s="241"/>
      <c r="O175" s="241"/>
      <c r="P175" s="241"/>
      <c r="Q175" s="241"/>
      <c r="R175" s="241"/>
      <c r="S175" s="241"/>
      <c r="T175" s="241"/>
      <c r="U175" s="241"/>
      <c r="V175" s="241"/>
      <c r="W175" s="241"/>
      <c r="X175" s="241"/>
      <c r="Y175" s="241"/>
      <c r="Z175" s="241"/>
    </row>
    <row r="176" spans="1:26" ht="13.5" customHeight="1" x14ac:dyDescent="0.3">
      <c r="A176"/>
      <c r="B176"/>
      <c r="C176"/>
      <c r="D176"/>
      <c r="E176"/>
      <c r="F176"/>
      <c r="G176"/>
      <c r="H176"/>
      <c r="I176"/>
      <c r="J176"/>
      <c r="K176" s="287"/>
      <c r="L176" s="241"/>
      <c r="M176" s="241"/>
      <c r="N176" s="241"/>
      <c r="O176" s="241"/>
      <c r="P176" s="241"/>
      <c r="Q176" s="241"/>
      <c r="R176" s="241"/>
      <c r="S176" s="241"/>
      <c r="T176" s="241"/>
      <c r="U176" s="241"/>
      <c r="V176" s="241"/>
      <c r="W176" s="241"/>
      <c r="X176" s="241"/>
      <c r="Y176" s="241"/>
      <c r="Z176" s="241"/>
    </row>
    <row r="177" spans="1:26" ht="13.5" customHeight="1" x14ac:dyDescent="0.3">
      <c r="A177"/>
      <c r="B177"/>
      <c r="C177"/>
      <c r="D177"/>
      <c r="E177"/>
      <c r="F177"/>
      <c r="G177"/>
      <c r="H177"/>
      <c r="I177"/>
      <c r="J177"/>
      <c r="K177" s="287"/>
      <c r="L177" s="241"/>
      <c r="M177" s="241"/>
      <c r="N177" s="241"/>
      <c r="O177" s="241"/>
      <c r="P177" s="241"/>
      <c r="Q177" s="241"/>
      <c r="R177" s="241"/>
      <c r="S177" s="241"/>
      <c r="T177" s="241"/>
      <c r="U177" s="241"/>
      <c r="V177" s="241"/>
      <c r="W177" s="241"/>
      <c r="X177" s="241"/>
      <c r="Y177" s="241"/>
      <c r="Z177" s="241"/>
    </row>
    <row r="178" spans="1:26" ht="13.5" customHeight="1" x14ac:dyDescent="0.3">
      <c r="A178"/>
      <c r="B178"/>
      <c r="C178"/>
      <c r="D178"/>
      <c r="E178"/>
      <c r="F178"/>
      <c r="G178"/>
      <c r="H178"/>
      <c r="I178"/>
      <c r="J178"/>
      <c r="K178" s="287"/>
      <c r="L178" s="241"/>
      <c r="M178" s="241"/>
      <c r="N178" s="241"/>
      <c r="O178" s="241"/>
      <c r="P178" s="241"/>
      <c r="Q178" s="241"/>
      <c r="R178" s="241"/>
      <c r="S178" s="241"/>
      <c r="T178" s="241"/>
      <c r="U178" s="241"/>
      <c r="V178" s="241"/>
      <c r="W178" s="241"/>
      <c r="X178" s="241"/>
      <c r="Y178" s="241"/>
      <c r="Z178" s="241"/>
    </row>
    <row r="179" spans="1:26" ht="13.5" customHeight="1" x14ac:dyDescent="0.3">
      <c r="A179"/>
      <c r="B179"/>
      <c r="C179"/>
      <c r="D179"/>
      <c r="E179"/>
      <c r="F179"/>
      <c r="G179"/>
      <c r="H179"/>
      <c r="I179"/>
      <c r="J179"/>
      <c r="K179" s="287"/>
      <c r="L179" s="241"/>
      <c r="M179" s="241"/>
      <c r="N179" s="241"/>
      <c r="O179" s="241"/>
      <c r="P179" s="241"/>
      <c r="Q179" s="241"/>
      <c r="R179" s="241"/>
      <c r="S179" s="241"/>
      <c r="T179" s="241"/>
      <c r="U179" s="241"/>
      <c r="V179" s="241"/>
      <c r="W179" s="241"/>
      <c r="X179" s="241"/>
      <c r="Y179" s="241"/>
      <c r="Z179" s="241"/>
    </row>
    <row r="180" spans="1:26" ht="13.5" customHeight="1" x14ac:dyDescent="0.3">
      <c r="A180"/>
      <c r="B180"/>
      <c r="C180"/>
      <c r="D180"/>
      <c r="E180"/>
      <c r="F180"/>
      <c r="G180"/>
      <c r="H180"/>
      <c r="I180"/>
      <c r="J180"/>
      <c r="K180" s="287"/>
      <c r="L180" s="241"/>
      <c r="M180" s="241"/>
      <c r="N180" s="241"/>
      <c r="O180" s="241"/>
      <c r="P180" s="241"/>
      <c r="Q180" s="241"/>
      <c r="R180" s="241"/>
      <c r="S180" s="241"/>
      <c r="T180" s="241"/>
      <c r="U180" s="241"/>
      <c r="V180" s="241"/>
      <c r="W180" s="241"/>
      <c r="X180" s="241"/>
      <c r="Y180" s="241"/>
      <c r="Z180" s="241"/>
    </row>
    <row r="181" spans="1:26" ht="13.5" customHeight="1" x14ac:dyDescent="0.3">
      <c r="A181"/>
      <c r="B181"/>
      <c r="C181"/>
      <c r="D181"/>
      <c r="E181"/>
      <c r="F181"/>
      <c r="G181"/>
      <c r="H181"/>
      <c r="I181"/>
      <c r="J181"/>
      <c r="K181" s="287"/>
      <c r="L181" s="241"/>
      <c r="M181" s="241"/>
      <c r="N181" s="241"/>
      <c r="O181" s="241"/>
      <c r="P181" s="241"/>
      <c r="Q181" s="241"/>
      <c r="R181" s="241"/>
      <c r="S181" s="241"/>
      <c r="T181" s="241"/>
      <c r="U181" s="241"/>
      <c r="V181" s="241"/>
      <c r="W181" s="241"/>
      <c r="X181" s="241"/>
      <c r="Y181" s="241"/>
      <c r="Z181" s="241"/>
    </row>
    <row r="182" spans="1:26" ht="13.5" customHeight="1" x14ac:dyDescent="0.3">
      <c r="A182"/>
      <c r="B182"/>
      <c r="C182"/>
      <c r="D182"/>
      <c r="E182"/>
      <c r="F182"/>
      <c r="G182"/>
      <c r="H182"/>
      <c r="I182"/>
      <c r="J182"/>
      <c r="K182" s="287"/>
      <c r="L182" s="241"/>
      <c r="M182" s="241"/>
      <c r="N182" s="241"/>
      <c r="O182" s="241"/>
      <c r="P182" s="241"/>
      <c r="Q182" s="241"/>
      <c r="R182" s="241"/>
      <c r="S182" s="241"/>
      <c r="T182" s="241"/>
      <c r="U182" s="241"/>
      <c r="V182" s="241"/>
      <c r="W182" s="241"/>
      <c r="X182" s="241"/>
      <c r="Y182" s="241"/>
      <c r="Z182" s="241"/>
    </row>
    <row r="183" spans="1:26" ht="13.5" customHeight="1" x14ac:dyDescent="0.3">
      <c r="A183"/>
      <c r="B183"/>
      <c r="C183"/>
      <c r="D183"/>
      <c r="E183"/>
      <c r="F183"/>
      <c r="G183"/>
      <c r="H183"/>
      <c r="I183"/>
      <c r="J183"/>
      <c r="K183" s="287"/>
      <c r="L183" s="241"/>
      <c r="M183" s="241"/>
      <c r="N183" s="241"/>
      <c r="O183" s="241"/>
      <c r="P183" s="241"/>
      <c r="Q183" s="241"/>
      <c r="R183" s="241"/>
      <c r="S183" s="241"/>
      <c r="T183" s="241"/>
      <c r="U183" s="241"/>
      <c r="V183" s="241"/>
      <c r="W183" s="241"/>
      <c r="X183" s="241"/>
      <c r="Y183" s="241"/>
      <c r="Z183" s="241"/>
    </row>
    <row r="184" spans="1:26" ht="13.5" customHeight="1" x14ac:dyDescent="0.3">
      <c r="A184"/>
      <c r="B184"/>
      <c r="C184"/>
      <c r="D184"/>
      <c r="E184"/>
      <c r="F184"/>
      <c r="G184"/>
      <c r="H184"/>
      <c r="I184"/>
      <c r="J184"/>
      <c r="K184" s="287"/>
      <c r="L184" s="241"/>
      <c r="M184" s="241"/>
      <c r="N184" s="241"/>
      <c r="O184" s="241"/>
      <c r="P184" s="241"/>
      <c r="Q184" s="241"/>
      <c r="R184" s="241"/>
      <c r="S184" s="241"/>
      <c r="T184" s="241"/>
      <c r="U184" s="241"/>
      <c r="V184" s="241"/>
      <c r="W184" s="241"/>
      <c r="X184" s="241"/>
      <c r="Y184" s="241"/>
      <c r="Z184" s="241"/>
    </row>
    <row r="185" spans="1:26" ht="13.5" customHeight="1" x14ac:dyDescent="0.3">
      <c r="A185"/>
      <c r="B185"/>
      <c r="C185"/>
      <c r="D185"/>
      <c r="E185"/>
      <c r="F185"/>
      <c r="G185"/>
      <c r="H185"/>
      <c r="I185"/>
      <c r="J185"/>
      <c r="K185" s="287"/>
      <c r="L185" s="241"/>
      <c r="M185" s="241"/>
      <c r="N185" s="241"/>
      <c r="O185" s="241"/>
      <c r="P185" s="241"/>
      <c r="Q185" s="241"/>
      <c r="R185" s="241"/>
      <c r="S185" s="241"/>
      <c r="T185" s="241"/>
      <c r="U185" s="241"/>
      <c r="V185" s="241"/>
      <c r="W185" s="241"/>
      <c r="X185" s="241"/>
      <c r="Y185" s="241"/>
      <c r="Z185" s="241"/>
    </row>
    <row r="186" spans="1:26" ht="13.5" customHeight="1" x14ac:dyDescent="0.3">
      <c r="A186"/>
      <c r="B186"/>
      <c r="C186"/>
      <c r="D186"/>
      <c r="E186"/>
      <c r="F186"/>
      <c r="G186"/>
      <c r="H186"/>
      <c r="I186"/>
      <c r="J186"/>
      <c r="K186" s="287"/>
      <c r="L186" s="241"/>
      <c r="M186" s="241"/>
      <c r="N186" s="241"/>
      <c r="O186" s="241"/>
      <c r="P186" s="241"/>
      <c r="Q186" s="241"/>
      <c r="R186" s="241"/>
      <c r="S186" s="241"/>
      <c r="T186" s="241"/>
      <c r="U186" s="241"/>
      <c r="V186" s="241"/>
      <c r="W186" s="241"/>
      <c r="X186" s="241"/>
      <c r="Y186" s="241"/>
      <c r="Z186" s="241"/>
    </row>
    <row r="187" spans="1:26" ht="13.5" customHeight="1" x14ac:dyDescent="0.3">
      <c r="A187"/>
      <c r="B187"/>
      <c r="C187"/>
      <c r="D187"/>
      <c r="E187"/>
      <c r="F187"/>
      <c r="G187"/>
      <c r="H187"/>
      <c r="I187"/>
      <c r="J187"/>
      <c r="K187" s="287"/>
      <c r="L187" s="241"/>
      <c r="M187" s="241"/>
      <c r="N187" s="241"/>
      <c r="O187" s="241"/>
      <c r="P187" s="241"/>
      <c r="Q187" s="241"/>
      <c r="R187" s="241"/>
      <c r="S187" s="241"/>
      <c r="T187" s="241"/>
      <c r="U187" s="241"/>
      <c r="V187" s="241"/>
      <c r="W187" s="241"/>
      <c r="X187" s="241"/>
      <c r="Y187" s="241"/>
      <c r="Z187" s="241"/>
    </row>
    <row r="188" spans="1:26" ht="13.5" customHeight="1" x14ac:dyDescent="0.3">
      <c r="A188"/>
      <c r="B188"/>
      <c r="C188"/>
      <c r="D188"/>
      <c r="E188"/>
      <c r="F188"/>
      <c r="G188"/>
      <c r="H188"/>
      <c r="I188"/>
      <c r="J188"/>
      <c r="K188" s="287"/>
      <c r="L188" s="241"/>
      <c r="M188" s="241"/>
      <c r="N188" s="241"/>
      <c r="O188" s="241"/>
      <c r="P188" s="241"/>
      <c r="Q188" s="241"/>
      <c r="R188" s="241"/>
      <c r="S188" s="241"/>
      <c r="T188" s="241"/>
      <c r="U188" s="241"/>
      <c r="V188" s="241"/>
      <c r="W188" s="241"/>
      <c r="X188" s="241"/>
      <c r="Y188" s="241"/>
      <c r="Z188" s="241"/>
    </row>
    <row r="189" spans="1:26" ht="13.5" customHeight="1" x14ac:dyDescent="0.3">
      <c r="A189"/>
      <c r="B189"/>
      <c r="C189"/>
      <c r="D189"/>
      <c r="E189"/>
      <c r="F189"/>
      <c r="G189"/>
      <c r="H189"/>
      <c r="I189"/>
      <c r="J189"/>
      <c r="K189" s="287"/>
      <c r="L189" s="241"/>
      <c r="M189" s="241"/>
      <c r="N189" s="241"/>
      <c r="O189" s="241"/>
      <c r="P189" s="241"/>
      <c r="Q189" s="241"/>
      <c r="R189" s="241"/>
      <c r="S189" s="241"/>
      <c r="T189" s="241"/>
      <c r="U189" s="241"/>
      <c r="V189" s="241"/>
      <c r="W189" s="241"/>
      <c r="X189" s="241"/>
      <c r="Y189" s="241"/>
      <c r="Z189" s="241"/>
    </row>
    <row r="190" spans="1:26" ht="13.5" customHeight="1" x14ac:dyDescent="0.3">
      <c r="A190"/>
      <c r="B190"/>
      <c r="C190"/>
      <c r="D190"/>
      <c r="E190"/>
      <c r="F190"/>
      <c r="G190"/>
      <c r="H190"/>
      <c r="I190"/>
      <c r="J190"/>
      <c r="K190" s="287"/>
      <c r="L190" s="241"/>
      <c r="M190" s="241"/>
      <c r="N190" s="241"/>
      <c r="O190" s="241"/>
      <c r="P190" s="241"/>
      <c r="Q190" s="241"/>
      <c r="R190" s="241"/>
      <c r="S190" s="241"/>
      <c r="T190" s="241"/>
      <c r="U190" s="241"/>
      <c r="V190" s="241"/>
      <c r="W190" s="241"/>
      <c r="X190" s="241"/>
      <c r="Y190" s="241"/>
      <c r="Z190" s="241"/>
    </row>
    <row r="191" spans="1:26" ht="13.5" customHeight="1" x14ac:dyDescent="0.3">
      <c r="A191"/>
      <c r="B191"/>
      <c r="C191"/>
      <c r="D191"/>
      <c r="E191"/>
      <c r="F191"/>
      <c r="G191"/>
      <c r="H191"/>
      <c r="I191"/>
      <c r="J191"/>
      <c r="K191" s="287"/>
      <c r="L191" s="241"/>
      <c r="M191" s="241"/>
      <c r="N191" s="241"/>
      <c r="O191" s="241"/>
      <c r="P191" s="241"/>
      <c r="Q191" s="241"/>
      <c r="R191" s="241"/>
      <c r="S191" s="241"/>
      <c r="T191" s="241"/>
      <c r="U191" s="241"/>
      <c r="V191" s="241"/>
      <c r="W191" s="241"/>
      <c r="X191" s="241"/>
      <c r="Y191" s="241"/>
      <c r="Z191" s="241"/>
    </row>
    <row r="192" spans="1:26" ht="13.5" customHeight="1" x14ac:dyDescent="0.3">
      <c r="A192"/>
      <c r="B192"/>
      <c r="C192"/>
      <c r="D192"/>
      <c r="E192"/>
      <c r="F192"/>
      <c r="G192"/>
      <c r="H192"/>
      <c r="I192"/>
      <c r="J192"/>
      <c r="K192" s="287"/>
      <c r="L192" s="241"/>
      <c r="M192" s="241"/>
      <c r="N192" s="241"/>
      <c r="O192" s="241"/>
      <c r="P192" s="241"/>
      <c r="Q192" s="241"/>
      <c r="R192" s="241"/>
      <c r="S192" s="241"/>
      <c r="T192" s="241"/>
      <c r="U192" s="241"/>
      <c r="V192" s="241"/>
      <c r="W192" s="241"/>
      <c r="X192" s="241"/>
      <c r="Y192" s="241"/>
      <c r="Z192" s="241"/>
    </row>
    <row r="193" spans="1:26" ht="13.5" customHeight="1" x14ac:dyDescent="0.3">
      <c r="A193"/>
      <c r="B193"/>
      <c r="C193"/>
      <c r="D193"/>
      <c r="E193"/>
      <c r="F193"/>
      <c r="G193"/>
      <c r="H193"/>
      <c r="I193"/>
      <c r="J193"/>
      <c r="K193" s="287"/>
      <c r="L193" s="241"/>
      <c r="M193" s="241"/>
      <c r="N193" s="241"/>
      <c r="O193" s="241"/>
      <c r="P193" s="241"/>
      <c r="Q193" s="241"/>
      <c r="R193" s="241"/>
      <c r="S193" s="241"/>
      <c r="T193" s="241"/>
      <c r="U193" s="241"/>
      <c r="V193" s="241"/>
      <c r="W193" s="241"/>
      <c r="X193" s="241"/>
      <c r="Y193" s="241"/>
      <c r="Z193" s="241"/>
    </row>
    <row r="194" spans="1:26" ht="13.5" customHeight="1" x14ac:dyDescent="0.3">
      <c r="A194"/>
      <c r="B194"/>
      <c r="C194"/>
      <c r="D194"/>
      <c r="E194"/>
      <c r="F194"/>
      <c r="G194"/>
      <c r="H194"/>
      <c r="I194"/>
      <c r="J194"/>
      <c r="K194" s="287"/>
      <c r="L194" s="241"/>
      <c r="M194" s="241"/>
      <c r="N194" s="241"/>
      <c r="O194" s="241"/>
      <c r="P194" s="241"/>
      <c r="Q194" s="241"/>
      <c r="R194" s="241"/>
      <c r="S194" s="241"/>
      <c r="T194" s="241"/>
      <c r="U194" s="241"/>
      <c r="V194" s="241"/>
      <c r="W194" s="241"/>
      <c r="X194" s="241"/>
      <c r="Y194" s="241"/>
      <c r="Z194" s="241"/>
    </row>
    <row r="195" spans="1:26" ht="13.5" customHeight="1" x14ac:dyDescent="0.3">
      <c r="A195"/>
      <c r="B195"/>
      <c r="C195"/>
      <c r="D195"/>
      <c r="E195"/>
      <c r="F195"/>
      <c r="G195"/>
      <c r="H195"/>
      <c r="I195"/>
      <c r="J195"/>
      <c r="K195" s="287"/>
      <c r="L195" s="241"/>
      <c r="M195" s="241"/>
      <c r="N195" s="241"/>
      <c r="O195" s="241"/>
      <c r="P195" s="241"/>
      <c r="Q195" s="241"/>
      <c r="R195" s="241"/>
      <c r="S195" s="241"/>
      <c r="T195" s="241"/>
      <c r="U195" s="241"/>
      <c r="V195" s="241"/>
      <c r="W195" s="241"/>
      <c r="X195" s="241"/>
      <c r="Y195" s="241"/>
      <c r="Z195" s="241"/>
    </row>
    <row r="196" spans="1:26" ht="13.5" customHeight="1" x14ac:dyDescent="0.3">
      <c r="A196"/>
      <c r="B196"/>
      <c r="C196"/>
      <c r="D196"/>
      <c r="E196"/>
      <c r="F196"/>
      <c r="G196"/>
      <c r="H196"/>
      <c r="I196"/>
      <c r="J196"/>
      <c r="K196" s="287"/>
      <c r="L196" s="241"/>
      <c r="M196" s="241"/>
      <c r="N196" s="241"/>
      <c r="O196" s="241"/>
      <c r="P196" s="241"/>
      <c r="Q196" s="241"/>
      <c r="R196" s="241"/>
      <c r="S196" s="241"/>
      <c r="T196" s="241"/>
      <c r="U196" s="241"/>
      <c r="V196" s="241"/>
      <c r="W196" s="241"/>
      <c r="X196" s="241"/>
      <c r="Y196" s="241"/>
      <c r="Z196" s="241"/>
    </row>
    <row r="197" spans="1:26" ht="13.5" customHeight="1" x14ac:dyDescent="0.3">
      <c r="A197"/>
      <c r="B197"/>
      <c r="C197"/>
      <c r="D197"/>
      <c r="E197"/>
      <c r="F197"/>
      <c r="G197"/>
      <c r="H197"/>
      <c r="I197"/>
      <c r="J197"/>
      <c r="K197" s="287"/>
      <c r="L197" s="241"/>
      <c r="M197" s="241"/>
      <c r="N197" s="241"/>
      <c r="O197" s="241"/>
      <c r="P197" s="241"/>
      <c r="Q197" s="241"/>
      <c r="R197" s="241"/>
      <c r="S197" s="241"/>
      <c r="T197" s="241"/>
      <c r="U197" s="241"/>
      <c r="V197" s="241"/>
      <c r="W197" s="241"/>
      <c r="X197" s="241"/>
      <c r="Y197" s="241"/>
      <c r="Z197" s="241"/>
    </row>
    <row r="198" spans="1:26" ht="13.5" customHeight="1" x14ac:dyDescent="0.3">
      <c r="K198" s="287"/>
      <c r="L198" s="241"/>
      <c r="M198" s="241"/>
      <c r="N198" s="241"/>
      <c r="O198" s="241"/>
      <c r="P198" s="241"/>
      <c r="Q198" s="241"/>
      <c r="R198" s="241"/>
      <c r="S198" s="241"/>
      <c r="T198" s="241"/>
      <c r="U198" s="241"/>
      <c r="V198" s="241"/>
      <c r="W198" s="241"/>
      <c r="X198" s="241"/>
      <c r="Y198" s="241"/>
      <c r="Z198" s="241"/>
    </row>
    <row r="199" spans="1:26" ht="13.5" customHeight="1" x14ac:dyDescent="0.3">
      <c r="K199" s="287"/>
      <c r="L199" s="241"/>
      <c r="M199" s="241"/>
      <c r="N199" s="241"/>
      <c r="O199" s="241"/>
      <c r="P199" s="241"/>
      <c r="Q199" s="241"/>
      <c r="R199" s="241"/>
      <c r="S199" s="241"/>
      <c r="T199" s="241"/>
      <c r="U199" s="241"/>
      <c r="V199" s="241"/>
      <c r="W199" s="241"/>
      <c r="X199" s="241"/>
      <c r="Y199" s="241"/>
      <c r="Z199" s="241"/>
    </row>
    <row r="200" spans="1:26" ht="13.5" customHeight="1" x14ac:dyDescent="0.3">
      <c r="K200" s="287"/>
      <c r="L200" s="241"/>
      <c r="M200" s="241"/>
      <c r="N200" s="241"/>
      <c r="O200" s="241"/>
      <c r="P200" s="241"/>
      <c r="Q200" s="241"/>
      <c r="R200" s="241"/>
      <c r="S200" s="241"/>
      <c r="T200" s="241"/>
      <c r="U200" s="241"/>
      <c r="V200" s="241"/>
      <c r="W200" s="241"/>
      <c r="X200" s="241"/>
      <c r="Y200" s="241"/>
      <c r="Z200" s="241"/>
    </row>
    <row r="201" spans="1:26" ht="13.5" customHeight="1" x14ac:dyDescent="0.3">
      <c r="K201" s="287"/>
      <c r="L201" s="241"/>
      <c r="M201" s="241"/>
      <c r="N201" s="241"/>
      <c r="O201" s="241"/>
      <c r="P201" s="241"/>
      <c r="Q201" s="241"/>
      <c r="R201" s="241"/>
      <c r="S201" s="241"/>
      <c r="T201" s="241"/>
      <c r="U201" s="241"/>
      <c r="V201" s="241"/>
      <c r="W201" s="241"/>
      <c r="X201" s="241"/>
      <c r="Y201" s="241"/>
      <c r="Z201" s="241"/>
    </row>
    <row r="202" spans="1:26" ht="13.5" customHeight="1" x14ac:dyDescent="0.3">
      <c r="K202" s="287"/>
      <c r="L202" s="241"/>
      <c r="M202" s="241"/>
      <c r="N202" s="241"/>
      <c r="O202" s="241"/>
      <c r="P202" s="241"/>
      <c r="Q202" s="241"/>
      <c r="R202" s="241"/>
      <c r="S202" s="241"/>
      <c r="T202" s="241"/>
      <c r="U202" s="241"/>
      <c r="V202" s="241"/>
      <c r="W202" s="241"/>
      <c r="X202" s="241"/>
      <c r="Y202" s="241"/>
      <c r="Z202" s="241"/>
    </row>
    <row r="203" spans="1:26" ht="13.5" customHeight="1" x14ac:dyDescent="0.3">
      <c r="K203" s="287"/>
      <c r="L203" s="241"/>
      <c r="M203" s="241"/>
      <c r="N203" s="241"/>
      <c r="O203" s="241"/>
      <c r="P203" s="241"/>
      <c r="Q203" s="241"/>
      <c r="R203" s="241"/>
      <c r="S203" s="241"/>
      <c r="T203" s="241"/>
      <c r="U203" s="241"/>
      <c r="V203" s="241"/>
      <c r="W203" s="241"/>
      <c r="X203" s="241"/>
      <c r="Y203" s="241"/>
      <c r="Z203" s="241"/>
    </row>
    <row r="204" spans="1:26" ht="13.5" customHeight="1" x14ac:dyDescent="0.3">
      <c r="K204" s="287"/>
      <c r="L204" s="241"/>
      <c r="M204" s="241"/>
      <c r="N204" s="241"/>
      <c r="O204" s="241"/>
      <c r="P204" s="241"/>
      <c r="Q204" s="241"/>
      <c r="R204" s="241"/>
      <c r="S204" s="241"/>
      <c r="T204" s="241"/>
      <c r="U204" s="241"/>
      <c r="V204" s="241"/>
      <c r="W204" s="241"/>
      <c r="X204" s="241"/>
      <c r="Y204" s="241"/>
      <c r="Z204" s="241"/>
    </row>
    <row r="205" spans="1:26" ht="13.5" customHeight="1" x14ac:dyDescent="0.3">
      <c r="K205" s="287"/>
      <c r="L205" s="241"/>
      <c r="M205" s="241"/>
      <c r="N205" s="241"/>
      <c r="O205" s="241"/>
      <c r="P205" s="241"/>
      <c r="Q205" s="241"/>
      <c r="R205" s="241"/>
      <c r="S205" s="241"/>
      <c r="T205" s="241"/>
      <c r="U205" s="241"/>
      <c r="V205" s="241"/>
      <c r="W205" s="241"/>
      <c r="X205" s="241"/>
      <c r="Y205" s="241"/>
      <c r="Z205" s="241"/>
    </row>
    <row r="206" spans="1:26" ht="13.5" customHeight="1" x14ac:dyDescent="0.3">
      <c r="K206" s="287"/>
      <c r="L206" s="241"/>
      <c r="M206" s="241"/>
      <c r="N206" s="241"/>
      <c r="O206" s="241"/>
      <c r="P206" s="241"/>
      <c r="Q206" s="241"/>
      <c r="R206" s="241"/>
      <c r="S206" s="241"/>
      <c r="T206" s="241"/>
      <c r="U206" s="241"/>
      <c r="V206" s="241"/>
      <c r="W206" s="241"/>
      <c r="X206" s="241"/>
      <c r="Y206" s="241"/>
      <c r="Z206" s="241"/>
    </row>
    <row r="207" spans="1:26" ht="13.5" customHeight="1" x14ac:dyDescent="0.3">
      <c r="K207" s="287"/>
      <c r="L207" s="241"/>
      <c r="M207" s="241"/>
      <c r="N207" s="241"/>
      <c r="O207" s="241"/>
      <c r="P207" s="241"/>
      <c r="Q207" s="241"/>
      <c r="R207" s="241"/>
      <c r="S207" s="241"/>
      <c r="T207" s="241"/>
      <c r="U207" s="241"/>
      <c r="V207" s="241"/>
      <c r="W207" s="241"/>
      <c r="X207" s="241"/>
      <c r="Y207" s="241"/>
      <c r="Z207" s="241"/>
    </row>
    <row r="208" spans="1:26" ht="13.5" customHeight="1" x14ac:dyDescent="0.3">
      <c r="K208" s="287"/>
      <c r="L208" s="241"/>
      <c r="M208" s="241"/>
      <c r="N208" s="241"/>
      <c r="O208" s="241"/>
      <c r="P208" s="241"/>
      <c r="Q208" s="241"/>
      <c r="R208" s="241"/>
      <c r="S208" s="241"/>
      <c r="T208" s="241"/>
      <c r="U208" s="241"/>
      <c r="V208" s="241"/>
      <c r="W208" s="241"/>
      <c r="X208" s="241"/>
      <c r="Y208" s="241"/>
      <c r="Z208" s="241"/>
    </row>
    <row r="209" spans="11:26" ht="13.5" customHeight="1" x14ac:dyDescent="0.3">
      <c r="K209" s="287"/>
      <c r="L209" s="241"/>
      <c r="M209" s="241"/>
      <c r="N209" s="241"/>
      <c r="O209" s="241"/>
      <c r="P209" s="241"/>
      <c r="Q209" s="241"/>
      <c r="R209" s="241"/>
      <c r="S209" s="241"/>
      <c r="T209" s="241"/>
      <c r="U209" s="241"/>
      <c r="V209" s="241"/>
      <c r="W209" s="241"/>
      <c r="X209" s="241"/>
      <c r="Y209" s="241"/>
      <c r="Z209" s="241"/>
    </row>
    <row r="210" spans="11:26" ht="13.5" customHeight="1" x14ac:dyDescent="0.3">
      <c r="K210" s="287"/>
      <c r="L210" s="241"/>
      <c r="M210" s="241"/>
      <c r="N210" s="241"/>
      <c r="O210" s="241"/>
      <c r="P210" s="241"/>
      <c r="Q210" s="241"/>
      <c r="R210" s="241"/>
      <c r="S210" s="241"/>
      <c r="T210" s="241"/>
      <c r="U210" s="241"/>
      <c r="V210" s="241"/>
      <c r="W210" s="241"/>
      <c r="X210" s="241"/>
      <c r="Y210" s="241"/>
      <c r="Z210" s="241"/>
    </row>
    <row r="211" spans="11:26" ht="13.5" customHeight="1" x14ac:dyDescent="0.3">
      <c r="K211" s="287"/>
      <c r="L211" s="241"/>
      <c r="M211" s="241"/>
      <c r="N211" s="241"/>
      <c r="O211" s="241"/>
      <c r="P211" s="241"/>
      <c r="Q211" s="241"/>
      <c r="R211" s="241"/>
      <c r="S211" s="241"/>
      <c r="T211" s="241"/>
      <c r="U211" s="241"/>
      <c r="V211" s="241"/>
      <c r="W211" s="241"/>
      <c r="X211" s="241"/>
      <c r="Y211" s="241"/>
      <c r="Z211" s="241"/>
    </row>
    <row r="212" spans="11:26" ht="13.5" customHeight="1" x14ac:dyDescent="0.3">
      <c r="K212" s="287"/>
      <c r="L212" s="241"/>
      <c r="M212" s="241"/>
      <c r="N212" s="241"/>
      <c r="O212" s="241"/>
      <c r="P212" s="241"/>
      <c r="Q212" s="241"/>
      <c r="R212" s="241"/>
      <c r="S212" s="241"/>
      <c r="T212" s="241"/>
      <c r="U212" s="241"/>
      <c r="V212" s="241"/>
      <c r="W212" s="241"/>
      <c r="X212" s="241"/>
      <c r="Y212" s="241"/>
      <c r="Z212" s="241"/>
    </row>
    <row r="213" spans="11:26" ht="13.5" customHeight="1" x14ac:dyDescent="0.3">
      <c r="K213" s="287"/>
      <c r="L213" s="241"/>
      <c r="M213" s="241"/>
      <c r="N213" s="241"/>
      <c r="O213" s="241"/>
      <c r="P213" s="241"/>
      <c r="Q213" s="241"/>
      <c r="R213" s="241"/>
      <c r="S213" s="241"/>
      <c r="T213" s="241"/>
      <c r="U213" s="241"/>
      <c r="V213" s="241"/>
      <c r="W213" s="241"/>
      <c r="X213" s="241"/>
      <c r="Y213" s="241"/>
      <c r="Z213" s="241"/>
    </row>
    <row r="214" spans="11:26" ht="13.5" customHeight="1" x14ac:dyDescent="0.3">
      <c r="K214" s="287"/>
      <c r="L214" s="241"/>
      <c r="M214" s="241"/>
      <c r="N214" s="241"/>
      <c r="O214" s="241"/>
      <c r="P214" s="241"/>
      <c r="Q214" s="241"/>
      <c r="R214" s="241"/>
      <c r="S214" s="241"/>
      <c r="T214" s="241"/>
      <c r="U214" s="241"/>
      <c r="V214" s="241"/>
      <c r="W214" s="241"/>
      <c r="X214" s="241"/>
      <c r="Y214" s="241"/>
      <c r="Z214" s="241"/>
    </row>
    <row r="215" spans="11:26" ht="13.5" customHeight="1" x14ac:dyDescent="0.3">
      <c r="K215" s="287"/>
      <c r="L215" s="241"/>
      <c r="M215" s="241"/>
      <c r="N215" s="241"/>
      <c r="O215" s="241"/>
      <c r="P215" s="241"/>
      <c r="Q215" s="241"/>
      <c r="R215" s="241"/>
      <c r="S215" s="241"/>
      <c r="T215" s="241"/>
      <c r="U215" s="241"/>
      <c r="V215" s="241"/>
      <c r="W215" s="241"/>
      <c r="X215" s="241"/>
      <c r="Y215" s="241"/>
      <c r="Z215" s="241"/>
    </row>
    <row r="216" spans="11:26" ht="13.5" customHeight="1" x14ac:dyDescent="0.3">
      <c r="K216" s="287"/>
      <c r="L216" s="241"/>
      <c r="M216" s="241"/>
      <c r="N216" s="241"/>
      <c r="O216" s="241"/>
      <c r="P216" s="241"/>
      <c r="Q216" s="241"/>
      <c r="R216" s="241"/>
      <c r="S216" s="241"/>
      <c r="T216" s="241"/>
      <c r="U216" s="241"/>
      <c r="V216" s="241"/>
      <c r="W216" s="241"/>
      <c r="X216" s="241"/>
      <c r="Y216" s="241"/>
      <c r="Z216" s="241"/>
    </row>
    <row r="217" spans="11:26" ht="13.5" customHeight="1" x14ac:dyDescent="0.3">
      <c r="K217" s="287"/>
      <c r="L217" s="241"/>
      <c r="M217" s="241"/>
      <c r="N217" s="241"/>
      <c r="O217" s="241"/>
      <c r="P217" s="241"/>
      <c r="Q217" s="241"/>
      <c r="R217" s="241"/>
      <c r="S217" s="241"/>
      <c r="T217" s="241"/>
      <c r="U217" s="241"/>
      <c r="V217" s="241"/>
      <c r="W217" s="241"/>
      <c r="X217" s="241"/>
      <c r="Y217" s="241"/>
      <c r="Z217" s="241"/>
    </row>
    <row r="218" spans="11:26" ht="13.5" customHeight="1" x14ac:dyDescent="0.3">
      <c r="K218" s="287"/>
      <c r="L218" s="241"/>
      <c r="M218" s="241"/>
      <c r="N218" s="241"/>
      <c r="O218" s="241"/>
      <c r="P218" s="241"/>
      <c r="Q218" s="241"/>
      <c r="R218" s="241"/>
      <c r="S218" s="241"/>
      <c r="T218" s="241"/>
      <c r="U218" s="241"/>
      <c r="V218" s="241"/>
      <c r="W218" s="241"/>
      <c r="X218" s="241"/>
      <c r="Y218" s="241"/>
      <c r="Z218" s="241"/>
    </row>
    <row r="219" spans="11:26" ht="13.5" customHeight="1" x14ac:dyDescent="0.3">
      <c r="K219" s="287"/>
      <c r="L219" s="241"/>
      <c r="M219" s="241"/>
      <c r="N219" s="241"/>
      <c r="O219" s="241"/>
      <c r="P219" s="241"/>
      <c r="Q219" s="241"/>
      <c r="R219" s="241"/>
      <c r="S219" s="241"/>
      <c r="T219" s="241"/>
      <c r="U219" s="241"/>
      <c r="V219" s="241"/>
      <c r="W219" s="241"/>
      <c r="X219" s="241"/>
      <c r="Y219" s="241"/>
      <c r="Z219" s="241"/>
    </row>
    <row r="220" spans="11:26" ht="13.5" customHeight="1" x14ac:dyDescent="0.3">
      <c r="K220" s="287"/>
      <c r="L220" s="241"/>
      <c r="M220" s="241"/>
      <c r="N220" s="241"/>
      <c r="O220" s="241"/>
      <c r="P220" s="241"/>
      <c r="Q220" s="241"/>
      <c r="R220" s="241"/>
      <c r="S220" s="241"/>
      <c r="T220" s="241"/>
      <c r="U220" s="241"/>
      <c r="V220" s="241"/>
      <c r="W220" s="241"/>
      <c r="X220" s="241"/>
      <c r="Y220" s="241"/>
      <c r="Z220" s="241"/>
    </row>
    <row r="221" spans="11:26" ht="13.5" customHeight="1" x14ac:dyDescent="0.3">
      <c r="K221" s="287"/>
      <c r="L221" s="241"/>
      <c r="M221" s="241"/>
      <c r="N221" s="241"/>
      <c r="O221" s="241"/>
      <c r="P221" s="241"/>
      <c r="Q221" s="241"/>
      <c r="R221" s="241"/>
      <c r="S221" s="241"/>
      <c r="T221" s="241"/>
      <c r="U221" s="241"/>
      <c r="V221" s="241"/>
      <c r="W221" s="241"/>
      <c r="X221" s="241"/>
      <c r="Y221" s="241"/>
      <c r="Z221" s="241"/>
    </row>
    <row r="222" spans="11:26" ht="13.5" customHeight="1" x14ac:dyDescent="0.3">
      <c r="K222" s="287"/>
      <c r="L222" s="241"/>
      <c r="M222" s="241"/>
      <c r="N222" s="241"/>
      <c r="O222" s="241"/>
      <c r="P222" s="241"/>
      <c r="Q222" s="241"/>
      <c r="R222" s="241"/>
      <c r="S222" s="241"/>
      <c r="T222" s="241"/>
      <c r="U222" s="241"/>
      <c r="V222" s="241"/>
      <c r="W222" s="241"/>
      <c r="X222" s="241"/>
      <c r="Y222" s="241"/>
      <c r="Z222" s="241"/>
    </row>
    <row r="223" spans="11:26" ht="13.5" customHeight="1" x14ac:dyDescent="0.3">
      <c r="K223" s="287"/>
      <c r="L223" s="241"/>
      <c r="M223" s="241"/>
      <c r="N223" s="241"/>
      <c r="O223" s="241"/>
      <c r="P223" s="241"/>
      <c r="Q223" s="241"/>
      <c r="R223" s="241"/>
      <c r="S223" s="241"/>
      <c r="T223" s="241"/>
      <c r="U223" s="241"/>
      <c r="V223" s="241"/>
      <c r="W223" s="241"/>
      <c r="X223" s="241"/>
      <c r="Y223" s="241"/>
      <c r="Z223" s="241"/>
    </row>
    <row r="224" spans="11:26" ht="13.5" customHeight="1" x14ac:dyDescent="0.3">
      <c r="K224" s="287"/>
      <c r="L224" s="241"/>
      <c r="M224" s="241"/>
      <c r="N224" s="241"/>
      <c r="O224" s="241"/>
      <c r="P224" s="241"/>
      <c r="Q224" s="241"/>
      <c r="R224" s="241"/>
      <c r="S224" s="241"/>
      <c r="T224" s="241"/>
      <c r="U224" s="241"/>
      <c r="V224" s="241"/>
      <c r="W224" s="241"/>
      <c r="X224" s="241"/>
      <c r="Y224" s="241"/>
      <c r="Z224" s="241"/>
    </row>
    <row r="225" spans="11:26" ht="13.5" customHeight="1" x14ac:dyDescent="0.3">
      <c r="K225" s="287"/>
      <c r="L225" s="241"/>
      <c r="M225" s="241"/>
      <c r="N225" s="241"/>
      <c r="O225" s="241"/>
      <c r="P225" s="241"/>
      <c r="Q225" s="241"/>
      <c r="R225" s="241"/>
      <c r="S225" s="241"/>
      <c r="T225" s="241"/>
      <c r="U225" s="241"/>
      <c r="V225" s="241"/>
      <c r="W225" s="241"/>
      <c r="X225" s="241"/>
      <c r="Y225" s="241"/>
      <c r="Z225" s="241"/>
    </row>
    <row r="226" spans="11:26" ht="13.5" customHeight="1" x14ac:dyDescent="0.3">
      <c r="K226" s="287"/>
      <c r="L226" s="241"/>
      <c r="M226" s="241"/>
      <c r="N226" s="241"/>
      <c r="O226" s="241"/>
      <c r="P226" s="241"/>
      <c r="Q226" s="241"/>
      <c r="R226" s="241"/>
      <c r="S226" s="241"/>
      <c r="T226" s="241"/>
      <c r="U226" s="241"/>
      <c r="V226" s="241"/>
      <c r="W226" s="241"/>
      <c r="X226" s="241"/>
      <c r="Y226" s="241"/>
      <c r="Z226" s="241"/>
    </row>
    <row r="227" spans="11:26" ht="13.5" customHeight="1" x14ac:dyDescent="0.3">
      <c r="K227" s="287"/>
      <c r="L227" s="241"/>
      <c r="M227" s="241"/>
      <c r="N227" s="241"/>
      <c r="O227" s="241"/>
      <c r="P227" s="241"/>
      <c r="Q227" s="241"/>
      <c r="R227" s="241"/>
      <c r="S227" s="241"/>
      <c r="T227" s="241"/>
      <c r="U227" s="241"/>
      <c r="V227" s="241"/>
      <c r="W227" s="241"/>
      <c r="X227" s="241"/>
      <c r="Y227" s="241"/>
      <c r="Z227" s="241"/>
    </row>
    <row r="228" spans="11:26" ht="13.5" customHeight="1" x14ac:dyDescent="0.3">
      <c r="K228" s="287"/>
      <c r="L228" s="241"/>
      <c r="M228" s="241"/>
      <c r="N228" s="241"/>
      <c r="O228" s="241"/>
      <c r="P228" s="241"/>
      <c r="Q228" s="241"/>
      <c r="R228" s="241"/>
      <c r="S228" s="241"/>
      <c r="T228" s="241"/>
      <c r="U228" s="241"/>
      <c r="V228" s="241"/>
      <c r="W228" s="241"/>
      <c r="X228" s="241"/>
      <c r="Y228" s="241"/>
      <c r="Z228" s="241"/>
    </row>
    <row r="229" spans="11:26" ht="13.5" customHeight="1" x14ac:dyDescent="0.3">
      <c r="K229" s="287"/>
      <c r="L229" s="241"/>
      <c r="M229" s="241"/>
      <c r="N229" s="241"/>
      <c r="O229" s="241"/>
      <c r="P229" s="241"/>
      <c r="Q229" s="241"/>
      <c r="R229" s="241"/>
      <c r="S229" s="241"/>
      <c r="T229" s="241"/>
      <c r="U229" s="241"/>
      <c r="V229" s="241"/>
      <c r="W229" s="241"/>
      <c r="X229" s="241"/>
      <c r="Y229" s="241"/>
      <c r="Z229" s="241"/>
    </row>
    <row r="230" spans="11:26" ht="13.5" customHeight="1" x14ac:dyDescent="0.3">
      <c r="K230" s="287"/>
      <c r="L230" s="241"/>
      <c r="M230" s="241"/>
      <c r="N230" s="241"/>
      <c r="O230" s="241"/>
      <c r="P230" s="241"/>
      <c r="Q230" s="241"/>
      <c r="R230" s="241"/>
      <c r="S230" s="241"/>
      <c r="T230" s="241"/>
      <c r="U230" s="241"/>
      <c r="V230" s="241"/>
      <c r="W230" s="241"/>
      <c r="X230" s="241"/>
      <c r="Y230" s="241"/>
      <c r="Z230" s="241"/>
    </row>
    <row r="231" spans="11:26" ht="13.5" customHeight="1" x14ac:dyDescent="0.3">
      <c r="K231" s="287"/>
      <c r="L231" s="241"/>
      <c r="M231" s="241"/>
      <c r="N231" s="241"/>
      <c r="O231" s="241"/>
      <c r="P231" s="241"/>
      <c r="Q231" s="241"/>
      <c r="R231" s="241"/>
      <c r="S231" s="241"/>
      <c r="T231" s="241"/>
      <c r="U231" s="241"/>
      <c r="V231" s="241"/>
      <c r="W231" s="241"/>
      <c r="X231" s="241"/>
      <c r="Y231" s="241"/>
      <c r="Z231" s="241"/>
    </row>
    <row r="232" spans="11:26" ht="13.5" customHeight="1" x14ac:dyDescent="0.3">
      <c r="K232" s="287"/>
      <c r="L232" s="241"/>
      <c r="M232" s="241"/>
      <c r="N232" s="241"/>
      <c r="O232" s="241"/>
      <c r="P232" s="241"/>
      <c r="Q232" s="241"/>
      <c r="R232" s="241"/>
      <c r="S232" s="241"/>
      <c r="T232" s="241"/>
      <c r="U232" s="241"/>
      <c r="V232" s="241"/>
      <c r="W232" s="241"/>
      <c r="X232" s="241"/>
      <c r="Y232" s="241"/>
      <c r="Z232" s="241"/>
    </row>
    <row r="233" spans="11:26" ht="13.5" customHeight="1" x14ac:dyDescent="0.3">
      <c r="K233" s="287"/>
      <c r="L233" s="241"/>
      <c r="M233" s="241"/>
      <c r="N233" s="241"/>
      <c r="O233" s="241"/>
      <c r="P233" s="241"/>
      <c r="Q233" s="241"/>
      <c r="R233" s="241"/>
      <c r="S233" s="241"/>
      <c r="T233" s="241"/>
      <c r="U233" s="241"/>
      <c r="V233" s="241"/>
      <c r="W233" s="241"/>
      <c r="X233" s="241"/>
      <c r="Y233" s="241"/>
      <c r="Z233" s="241"/>
    </row>
    <row r="234" spans="11:26" ht="13.5" customHeight="1" x14ac:dyDescent="0.3">
      <c r="K234" s="287"/>
      <c r="L234" s="241"/>
      <c r="M234" s="241"/>
      <c r="N234" s="241"/>
      <c r="O234" s="241"/>
      <c r="P234" s="241"/>
      <c r="Q234" s="241"/>
      <c r="R234" s="241"/>
      <c r="S234" s="241"/>
      <c r="T234" s="241"/>
      <c r="U234" s="241"/>
      <c r="V234" s="241"/>
      <c r="W234" s="241"/>
      <c r="X234" s="241"/>
      <c r="Y234" s="241"/>
      <c r="Z234" s="241"/>
    </row>
    <row r="235" spans="11:26" ht="13.5" customHeight="1" x14ac:dyDescent="0.3">
      <c r="K235" s="287"/>
      <c r="L235" s="241"/>
      <c r="M235" s="241"/>
      <c r="N235" s="241"/>
      <c r="O235" s="241"/>
      <c r="P235" s="241"/>
      <c r="Q235" s="241"/>
      <c r="R235" s="241"/>
      <c r="S235" s="241"/>
      <c r="T235" s="241"/>
      <c r="U235" s="241"/>
      <c r="V235" s="241"/>
      <c r="W235" s="241"/>
      <c r="X235" s="241"/>
      <c r="Y235" s="241"/>
      <c r="Z235" s="241"/>
    </row>
    <row r="236" spans="11:26" ht="13.5" customHeight="1" x14ac:dyDescent="0.3">
      <c r="K236" s="287"/>
      <c r="L236" s="241"/>
      <c r="M236" s="241"/>
      <c r="N236" s="241"/>
      <c r="O236" s="241"/>
      <c r="P236" s="241"/>
      <c r="Q236" s="241"/>
      <c r="R236" s="241"/>
      <c r="S236" s="241"/>
      <c r="T236" s="241"/>
      <c r="U236" s="241"/>
      <c r="V236" s="241"/>
      <c r="W236" s="241"/>
      <c r="X236" s="241"/>
      <c r="Y236" s="241"/>
      <c r="Z236" s="241"/>
    </row>
    <row r="237" spans="11:26" ht="13.5" customHeight="1" x14ac:dyDescent="0.3">
      <c r="K237" s="287"/>
      <c r="L237" s="241"/>
      <c r="M237" s="241"/>
      <c r="N237" s="241"/>
      <c r="O237" s="241"/>
      <c r="P237" s="241"/>
      <c r="Q237" s="241"/>
      <c r="R237" s="241"/>
      <c r="S237" s="241"/>
      <c r="T237" s="241"/>
      <c r="U237" s="241"/>
      <c r="V237" s="241"/>
      <c r="W237" s="241"/>
      <c r="X237" s="241"/>
      <c r="Y237" s="241"/>
      <c r="Z237" s="241"/>
    </row>
    <row r="238" spans="11:26" ht="13.5" customHeight="1" x14ac:dyDescent="0.3">
      <c r="K238" s="287"/>
      <c r="L238" s="241"/>
      <c r="M238" s="241"/>
      <c r="N238" s="241"/>
      <c r="O238" s="241"/>
      <c r="P238" s="241"/>
      <c r="Q238" s="241"/>
      <c r="R238" s="241"/>
      <c r="S238" s="241"/>
      <c r="T238" s="241"/>
      <c r="U238" s="241"/>
      <c r="V238" s="241"/>
      <c r="W238" s="241"/>
      <c r="X238" s="241"/>
      <c r="Y238" s="241"/>
      <c r="Z238" s="241"/>
    </row>
    <row r="239" spans="11:26" ht="13.5" customHeight="1" x14ac:dyDescent="0.3">
      <c r="K239" s="287"/>
      <c r="L239" s="241"/>
      <c r="M239" s="241"/>
      <c r="N239" s="241"/>
      <c r="O239" s="241"/>
      <c r="P239" s="241"/>
      <c r="Q239" s="241"/>
      <c r="R239" s="241"/>
      <c r="S239" s="241"/>
      <c r="T239" s="241"/>
      <c r="U239" s="241"/>
      <c r="V239" s="241"/>
      <c r="W239" s="241"/>
      <c r="X239" s="241"/>
      <c r="Y239" s="241"/>
      <c r="Z239" s="241"/>
    </row>
    <row r="240" spans="11:26" ht="13.5" customHeight="1" x14ac:dyDescent="0.3">
      <c r="K240" s="287"/>
      <c r="L240" s="241"/>
      <c r="M240" s="241"/>
      <c r="N240" s="241"/>
      <c r="O240" s="241"/>
      <c r="P240" s="241"/>
      <c r="Q240" s="241"/>
      <c r="R240" s="241"/>
      <c r="S240" s="241"/>
      <c r="T240" s="241"/>
      <c r="U240" s="241"/>
      <c r="V240" s="241"/>
      <c r="W240" s="241"/>
      <c r="X240" s="241"/>
      <c r="Y240" s="241"/>
      <c r="Z240" s="241"/>
    </row>
    <row r="241" spans="11:26" ht="13.5" customHeight="1" x14ac:dyDescent="0.3">
      <c r="K241" s="287"/>
      <c r="L241" s="241"/>
      <c r="M241" s="241"/>
      <c r="N241" s="241"/>
      <c r="O241" s="241"/>
      <c r="P241" s="241"/>
      <c r="Q241" s="241"/>
      <c r="R241" s="241"/>
      <c r="S241" s="241"/>
      <c r="T241" s="241"/>
      <c r="U241" s="241"/>
      <c r="V241" s="241"/>
      <c r="W241" s="241"/>
      <c r="X241" s="241"/>
      <c r="Y241" s="241"/>
      <c r="Z241" s="241"/>
    </row>
    <row r="242" spans="11:26" ht="13.5" customHeight="1" x14ac:dyDescent="0.3">
      <c r="K242" s="287"/>
      <c r="L242" s="241"/>
      <c r="M242" s="241"/>
      <c r="N242" s="241"/>
      <c r="O242" s="241"/>
      <c r="P242" s="241"/>
      <c r="Q242" s="241"/>
      <c r="R242" s="241"/>
      <c r="S242" s="241"/>
      <c r="T242" s="241"/>
      <c r="U242" s="241"/>
      <c r="V242" s="241"/>
      <c r="W242" s="241"/>
      <c r="X242" s="241"/>
      <c r="Y242" s="241"/>
      <c r="Z242" s="241"/>
    </row>
    <row r="243" spans="11:26" ht="13.5" customHeight="1" x14ac:dyDescent="0.3">
      <c r="K243" s="287"/>
      <c r="L243" s="241"/>
      <c r="M243" s="241"/>
      <c r="N243" s="241"/>
      <c r="O243" s="241"/>
      <c r="P243" s="241"/>
      <c r="Q243" s="241"/>
      <c r="R243" s="241"/>
      <c r="S243" s="241"/>
      <c r="T243" s="241"/>
      <c r="U243" s="241"/>
      <c r="V243" s="241"/>
      <c r="W243" s="241"/>
      <c r="X243" s="241"/>
      <c r="Y243" s="241"/>
      <c r="Z243" s="241"/>
    </row>
    <row r="244" spans="11:26" ht="13.5" customHeight="1" x14ac:dyDescent="0.3">
      <c r="K244" s="287"/>
      <c r="L244" s="241"/>
      <c r="M244" s="241"/>
      <c r="N244" s="241"/>
      <c r="O244" s="241"/>
      <c r="P244" s="241"/>
      <c r="Q244" s="241"/>
      <c r="R244" s="241"/>
      <c r="S244" s="241"/>
      <c r="T244" s="241"/>
      <c r="U244" s="241"/>
      <c r="V244" s="241"/>
      <c r="W244" s="241"/>
      <c r="X244" s="241"/>
      <c r="Y244" s="241"/>
      <c r="Z244" s="241"/>
    </row>
    <row r="245" spans="11:26" ht="13.5" customHeight="1" x14ac:dyDescent="0.3">
      <c r="K245" s="287"/>
      <c r="L245" s="241"/>
      <c r="M245" s="241"/>
      <c r="N245" s="241"/>
      <c r="O245" s="241"/>
      <c r="P245" s="241"/>
      <c r="Q245" s="241"/>
      <c r="R245" s="241"/>
      <c r="S245" s="241"/>
      <c r="T245" s="241"/>
      <c r="U245" s="241"/>
      <c r="V245" s="241"/>
      <c r="W245" s="241"/>
      <c r="X245" s="241"/>
      <c r="Y245" s="241"/>
      <c r="Z245" s="241"/>
    </row>
    <row r="246" spans="11:26" ht="13.5" customHeight="1" x14ac:dyDescent="0.3">
      <c r="K246" s="287"/>
      <c r="L246" s="241"/>
      <c r="M246" s="241"/>
      <c r="N246" s="241"/>
      <c r="O246" s="241"/>
      <c r="P246" s="241"/>
      <c r="Q246" s="241"/>
      <c r="R246" s="241"/>
      <c r="S246" s="241"/>
      <c r="T246" s="241"/>
      <c r="U246" s="241"/>
      <c r="V246" s="241"/>
      <c r="W246" s="241"/>
      <c r="X246" s="241"/>
      <c r="Y246" s="241"/>
      <c r="Z246" s="241"/>
    </row>
    <row r="247" spans="11:26" ht="13.5" customHeight="1" x14ac:dyDescent="0.3">
      <c r="K247" s="287"/>
      <c r="L247" s="241"/>
      <c r="M247" s="241"/>
      <c r="N247" s="241"/>
      <c r="O247" s="241"/>
      <c r="P247" s="241"/>
      <c r="Q247" s="241"/>
      <c r="R247" s="241"/>
      <c r="S247" s="241"/>
      <c r="T247" s="241"/>
      <c r="U247" s="241"/>
      <c r="V247" s="241"/>
      <c r="W247" s="241"/>
      <c r="X247" s="241"/>
      <c r="Y247" s="241"/>
      <c r="Z247" s="241"/>
    </row>
    <row r="248" spans="11:26" ht="13.5" customHeight="1" x14ac:dyDescent="0.3">
      <c r="K248" s="287"/>
      <c r="L248" s="241"/>
      <c r="M248" s="241"/>
      <c r="N248" s="241"/>
      <c r="O248" s="241"/>
      <c r="P248" s="241"/>
      <c r="Q248" s="241"/>
      <c r="R248" s="241"/>
      <c r="S248" s="241"/>
      <c r="T248" s="241"/>
      <c r="U248" s="241"/>
      <c r="V248" s="241"/>
      <c r="W248" s="241"/>
      <c r="X248" s="241"/>
      <c r="Y248" s="241"/>
      <c r="Z248" s="241"/>
    </row>
    <row r="249" spans="11:26" ht="13.5" customHeight="1" x14ac:dyDescent="0.3">
      <c r="K249" s="287"/>
      <c r="L249" s="241"/>
      <c r="M249" s="241"/>
      <c r="N249" s="241"/>
      <c r="O249" s="241"/>
      <c r="P249" s="241"/>
      <c r="Q249" s="241"/>
      <c r="R249" s="241"/>
      <c r="S249" s="241"/>
      <c r="T249" s="241"/>
      <c r="U249" s="241"/>
      <c r="V249" s="241"/>
      <c r="W249" s="241"/>
      <c r="X249" s="241"/>
      <c r="Y249" s="241"/>
      <c r="Z249" s="241"/>
    </row>
    <row r="250" spans="11:26" ht="13.5" customHeight="1" x14ac:dyDescent="0.3">
      <c r="K250" s="287"/>
      <c r="L250" s="241"/>
      <c r="M250" s="241"/>
      <c r="N250" s="241"/>
      <c r="O250" s="241"/>
      <c r="P250" s="241"/>
      <c r="Q250" s="241"/>
      <c r="R250" s="241"/>
      <c r="S250" s="241"/>
      <c r="T250" s="241"/>
      <c r="U250" s="241"/>
      <c r="V250" s="241"/>
      <c r="W250" s="241"/>
      <c r="X250" s="241"/>
      <c r="Y250" s="241"/>
      <c r="Z250" s="241"/>
    </row>
    <row r="251" spans="11:26" ht="13.5" customHeight="1" x14ac:dyDescent="0.3">
      <c r="K251" s="287"/>
      <c r="L251" s="241"/>
      <c r="M251" s="241"/>
      <c r="N251" s="241"/>
      <c r="O251" s="241"/>
      <c r="P251" s="241"/>
      <c r="Q251" s="241"/>
      <c r="R251" s="241"/>
      <c r="S251" s="241"/>
      <c r="T251" s="241"/>
      <c r="U251" s="241"/>
      <c r="V251" s="241"/>
      <c r="W251" s="241"/>
      <c r="X251" s="241"/>
      <c r="Y251" s="241"/>
      <c r="Z251" s="241"/>
    </row>
    <row r="252" spans="11:26" ht="13.5" customHeight="1" x14ac:dyDescent="0.3">
      <c r="K252" s="287"/>
      <c r="L252" s="241"/>
      <c r="M252" s="241"/>
      <c r="N252" s="241"/>
      <c r="O252" s="241"/>
      <c r="P252" s="241"/>
      <c r="Q252" s="241"/>
      <c r="R252" s="241"/>
      <c r="S252" s="241"/>
      <c r="T252" s="241"/>
      <c r="U252" s="241"/>
      <c r="V252" s="241"/>
      <c r="W252" s="241"/>
      <c r="X252" s="241"/>
      <c r="Y252" s="241"/>
      <c r="Z252" s="241"/>
    </row>
    <row r="253" spans="11:26" ht="13.5" customHeight="1" x14ac:dyDescent="0.3">
      <c r="K253" s="287"/>
      <c r="L253" s="241"/>
      <c r="M253" s="241"/>
      <c r="N253" s="241"/>
      <c r="O253" s="241"/>
      <c r="P253" s="241"/>
      <c r="Q253" s="241"/>
      <c r="R253" s="241"/>
      <c r="S253" s="241"/>
      <c r="T253" s="241"/>
      <c r="U253" s="241"/>
      <c r="V253" s="241"/>
      <c r="W253" s="241"/>
      <c r="X253" s="241"/>
      <c r="Y253" s="241"/>
      <c r="Z253" s="241"/>
    </row>
    <row r="254" spans="11:26" ht="13.5" customHeight="1" x14ac:dyDescent="0.3">
      <c r="K254" s="287"/>
      <c r="L254" s="241"/>
      <c r="M254" s="241"/>
      <c r="N254" s="241"/>
      <c r="O254" s="241"/>
      <c r="P254" s="241"/>
      <c r="Q254" s="241"/>
      <c r="R254" s="241"/>
      <c r="S254" s="241"/>
      <c r="T254" s="241"/>
      <c r="U254" s="241"/>
      <c r="V254" s="241"/>
      <c r="W254" s="241"/>
      <c r="X254" s="241"/>
      <c r="Y254" s="241"/>
      <c r="Z254" s="241"/>
    </row>
    <row r="255" spans="11:26" ht="13.5" customHeight="1" x14ac:dyDescent="0.3">
      <c r="K255" s="287"/>
      <c r="L255" s="241"/>
      <c r="M255" s="241"/>
      <c r="N255" s="241"/>
      <c r="O255" s="241"/>
      <c r="P255" s="241"/>
      <c r="Q255" s="241"/>
      <c r="R255" s="241"/>
      <c r="S255" s="241"/>
      <c r="T255" s="241"/>
      <c r="U255" s="241"/>
      <c r="V255" s="241"/>
      <c r="W255" s="241"/>
      <c r="X255" s="241"/>
      <c r="Y255" s="241"/>
      <c r="Z255" s="241"/>
    </row>
    <row r="256" spans="11:26" ht="13.5" customHeight="1" x14ac:dyDescent="0.3">
      <c r="K256" s="287"/>
      <c r="L256" s="241"/>
      <c r="M256" s="241"/>
      <c r="N256" s="241"/>
      <c r="O256" s="241"/>
      <c r="P256" s="241"/>
      <c r="Q256" s="241"/>
      <c r="R256" s="241"/>
      <c r="S256" s="241"/>
      <c r="T256" s="241"/>
      <c r="U256" s="241"/>
      <c r="V256" s="241"/>
      <c r="W256" s="241"/>
      <c r="X256" s="241"/>
      <c r="Y256" s="241"/>
      <c r="Z256" s="241"/>
    </row>
    <row r="257" spans="11:26" ht="13.5" customHeight="1" x14ac:dyDescent="0.3">
      <c r="K257" s="287"/>
      <c r="L257" s="241"/>
      <c r="M257" s="241"/>
      <c r="N257" s="241"/>
      <c r="O257" s="241"/>
      <c r="P257" s="241"/>
      <c r="Q257" s="241"/>
      <c r="R257" s="241"/>
      <c r="S257" s="241"/>
      <c r="T257" s="241"/>
      <c r="U257" s="241"/>
      <c r="V257" s="241"/>
      <c r="W257" s="241"/>
      <c r="X257" s="241"/>
      <c r="Y257" s="241"/>
      <c r="Z257" s="241"/>
    </row>
    <row r="258" spans="11:26" ht="13.5" customHeight="1" x14ac:dyDescent="0.3">
      <c r="K258" s="287"/>
      <c r="L258" s="241"/>
      <c r="M258" s="241"/>
      <c r="N258" s="241"/>
      <c r="O258" s="241"/>
      <c r="P258" s="241"/>
      <c r="Q258" s="241"/>
      <c r="R258" s="241"/>
      <c r="S258" s="241"/>
      <c r="T258" s="241"/>
      <c r="U258" s="241"/>
      <c r="V258" s="241"/>
      <c r="W258" s="241"/>
      <c r="X258" s="241"/>
      <c r="Y258" s="241"/>
      <c r="Z258" s="241"/>
    </row>
    <row r="259" spans="11:26" ht="13.5" customHeight="1" x14ac:dyDescent="0.3">
      <c r="K259" s="287"/>
      <c r="L259" s="241"/>
      <c r="M259" s="241"/>
      <c r="N259" s="241"/>
      <c r="O259" s="241"/>
      <c r="P259" s="241"/>
      <c r="Q259" s="241"/>
      <c r="R259" s="241"/>
      <c r="S259" s="241"/>
      <c r="T259" s="241"/>
      <c r="U259" s="241"/>
      <c r="V259" s="241"/>
      <c r="W259" s="241"/>
      <c r="X259" s="241"/>
      <c r="Y259" s="241"/>
      <c r="Z259" s="241"/>
    </row>
    <row r="260" spans="11:26" ht="13.5" customHeight="1" x14ac:dyDescent="0.3">
      <c r="K260" s="287"/>
      <c r="L260" s="241"/>
      <c r="M260" s="241"/>
      <c r="N260" s="241"/>
      <c r="O260" s="241"/>
      <c r="P260" s="241"/>
      <c r="Q260" s="241"/>
      <c r="R260" s="241"/>
      <c r="S260" s="241"/>
      <c r="T260" s="241"/>
      <c r="U260" s="241"/>
      <c r="V260" s="241"/>
      <c r="W260" s="241"/>
      <c r="X260" s="241"/>
      <c r="Y260" s="241"/>
      <c r="Z260" s="241"/>
    </row>
    <row r="261" spans="11:26" ht="13.5" customHeight="1" x14ac:dyDescent="0.3">
      <c r="K261" s="287"/>
      <c r="L261" s="241"/>
      <c r="M261" s="241"/>
      <c r="N261" s="241"/>
      <c r="O261" s="241"/>
      <c r="P261" s="241"/>
      <c r="Q261" s="241"/>
      <c r="R261" s="241"/>
      <c r="S261" s="241"/>
      <c r="T261" s="241"/>
      <c r="U261" s="241"/>
      <c r="V261" s="241"/>
      <c r="W261" s="241"/>
      <c r="X261" s="241"/>
      <c r="Y261" s="241"/>
      <c r="Z261" s="241"/>
    </row>
    <row r="262" spans="11:26" ht="13.5" customHeight="1" x14ac:dyDescent="0.3">
      <c r="K262" s="287"/>
      <c r="L262" s="241"/>
      <c r="M262" s="241"/>
      <c r="N262" s="241"/>
      <c r="O262" s="241"/>
      <c r="P262" s="241"/>
      <c r="Q262" s="241"/>
      <c r="R262" s="241"/>
      <c r="S262" s="241"/>
      <c r="T262" s="241"/>
      <c r="U262" s="241"/>
      <c r="V262" s="241"/>
      <c r="W262" s="241"/>
      <c r="X262" s="241"/>
      <c r="Y262" s="241"/>
      <c r="Z262" s="241"/>
    </row>
    <row r="263" spans="11:26" ht="13.5" customHeight="1" x14ac:dyDescent="0.3">
      <c r="K263" s="287"/>
      <c r="L263" s="241"/>
      <c r="M263" s="241"/>
      <c r="N263" s="241"/>
      <c r="O263" s="241"/>
      <c r="P263" s="241"/>
      <c r="Q263" s="241"/>
      <c r="R263" s="241"/>
      <c r="S263" s="241"/>
      <c r="T263" s="241"/>
      <c r="U263" s="241"/>
      <c r="V263" s="241"/>
      <c r="W263" s="241"/>
      <c r="X263" s="241"/>
      <c r="Y263" s="241"/>
      <c r="Z263" s="241"/>
    </row>
    <row r="264" spans="11:26" ht="13.5" customHeight="1" x14ac:dyDescent="0.3">
      <c r="K264" s="287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</row>
    <row r="265" spans="11:26" ht="13.5" customHeight="1" x14ac:dyDescent="0.3">
      <c r="K265" s="287"/>
      <c r="L265" s="241"/>
      <c r="M265" s="241"/>
      <c r="N265" s="241"/>
      <c r="O265" s="241"/>
      <c r="P265" s="241"/>
      <c r="Q265" s="241"/>
      <c r="R265" s="241"/>
      <c r="S265" s="241"/>
      <c r="T265" s="241"/>
      <c r="U265" s="241"/>
      <c r="V265" s="241"/>
      <c r="W265" s="241"/>
      <c r="X265" s="241"/>
      <c r="Y265" s="241"/>
      <c r="Z265" s="241"/>
    </row>
    <row r="266" spans="11:26" ht="13.5" customHeight="1" x14ac:dyDescent="0.3">
      <c r="K266" s="287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</row>
    <row r="267" spans="11:26" ht="13.5" customHeight="1" x14ac:dyDescent="0.3">
      <c r="K267" s="287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</row>
    <row r="268" spans="11:26" ht="13.5" customHeight="1" x14ac:dyDescent="0.3">
      <c r="K268" s="287"/>
      <c r="L268" s="241"/>
      <c r="M268" s="241"/>
      <c r="N268" s="241"/>
      <c r="O268" s="241"/>
      <c r="P268" s="241"/>
      <c r="Q268" s="241"/>
      <c r="R268" s="241"/>
      <c r="S268" s="241"/>
      <c r="T268" s="241"/>
      <c r="U268" s="241"/>
      <c r="V268" s="241"/>
      <c r="W268" s="241"/>
      <c r="X268" s="241"/>
      <c r="Y268" s="241"/>
      <c r="Z268" s="241"/>
    </row>
    <row r="269" spans="11:26" ht="13.5" customHeight="1" x14ac:dyDescent="0.3">
      <c r="K269" s="287"/>
      <c r="L269" s="241"/>
      <c r="M269" s="241"/>
      <c r="N269" s="241"/>
      <c r="O269" s="241"/>
      <c r="P269" s="241"/>
      <c r="Q269" s="241"/>
      <c r="R269" s="241"/>
      <c r="S269" s="241"/>
      <c r="T269" s="241"/>
      <c r="U269" s="241"/>
      <c r="V269" s="241"/>
      <c r="W269" s="241"/>
      <c r="X269" s="241"/>
      <c r="Y269" s="241"/>
      <c r="Z269" s="241"/>
    </row>
    <row r="270" spans="11:26" ht="13.5" customHeight="1" x14ac:dyDescent="0.3">
      <c r="K270" s="287"/>
      <c r="L270" s="241"/>
      <c r="M270" s="241"/>
      <c r="N270" s="241"/>
      <c r="O270" s="241"/>
      <c r="P270" s="241"/>
      <c r="Q270" s="241"/>
      <c r="R270" s="241"/>
      <c r="S270" s="241"/>
      <c r="T270" s="241"/>
      <c r="U270" s="241"/>
      <c r="V270" s="241"/>
      <c r="W270" s="241"/>
      <c r="X270" s="241"/>
      <c r="Y270" s="241"/>
      <c r="Z270" s="241"/>
    </row>
    <row r="271" spans="11:26" ht="13.5" customHeight="1" x14ac:dyDescent="0.3">
      <c r="K271" s="287"/>
      <c r="L271" s="241"/>
      <c r="M271" s="241"/>
      <c r="N271" s="241"/>
      <c r="O271" s="241"/>
      <c r="P271" s="241"/>
      <c r="Q271" s="241"/>
      <c r="R271" s="241"/>
      <c r="S271" s="241"/>
      <c r="T271" s="241"/>
      <c r="U271" s="241"/>
      <c r="V271" s="241"/>
      <c r="W271" s="241"/>
      <c r="X271" s="241"/>
      <c r="Y271" s="241"/>
      <c r="Z271" s="241"/>
    </row>
    <row r="272" spans="11:26" ht="13.5" customHeight="1" x14ac:dyDescent="0.3">
      <c r="K272" s="287"/>
      <c r="L272" s="241"/>
      <c r="M272" s="241"/>
      <c r="N272" s="241"/>
      <c r="O272" s="241"/>
      <c r="P272" s="241"/>
      <c r="Q272" s="241"/>
      <c r="R272" s="241"/>
      <c r="S272" s="241"/>
      <c r="T272" s="241"/>
      <c r="U272" s="241"/>
      <c r="V272" s="241"/>
      <c r="W272" s="241"/>
      <c r="X272" s="241"/>
      <c r="Y272" s="241"/>
      <c r="Z272" s="241"/>
    </row>
    <row r="273" spans="11:26" ht="13.5" customHeight="1" x14ac:dyDescent="0.3">
      <c r="K273" s="287"/>
      <c r="L273" s="241"/>
      <c r="M273" s="241"/>
      <c r="N273" s="241"/>
      <c r="O273" s="241"/>
      <c r="P273" s="241"/>
      <c r="Q273" s="241"/>
      <c r="R273" s="241"/>
      <c r="S273" s="241"/>
      <c r="T273" s="241"/>
      <c r="U273" s="241"/>
      <c r="V273" s="241"/>
      <c r="W273" s="241"/>
      <c r="X273" s="241"/>
      <c r="Y273" s="241"/>
      <c r="Z273" s="241"/>
    </row>
    <row r="274" spans="11:26" ht="13.5" customHeight="1" x14ac:dyDescent="0.3">
      <c r="K274" s="287"/>
      <c r="L274" s="241"/>
      <c r="M274" s="241"/>
      <c r="N274" s="241"/>
      <c r="O274" s="241"/>
      <c r="P274" s="241"/>
      <c r="Q274" s="241"/>
      <c r="R274" s="241"/>
      <c r="S274" s="241"/>
      <c r="T274" s="241"/>
      <c r="U274" s="241"/>
      <c r="V274" s="241"/>
      <c r="W274" s="241"/>
      <c r="X274" s="241"/>
      <c r="Y274" s="241"/>
      <c r="Z274" s="241"/>
    </row>
    <row r="275" spans="11:26" ht="13.5" customHeight="1" x14ac:dyDescent="0.3">
      <c r="K275" s="287"/>
      <c r="L275" s="241"/>
      <c r="M275" s="241"/>
      <c r="N275" s="241"/>
      <c r="O275" s="241"/>
      <c r="P275" s="241"/>
      <c r="Q275" s="241"/>
      <c r="R275" s="241"/>
      <c r="S275" s="241"/>
      <c r="T275" s="241"/>
      <c r="U275" s="241"/>
      <c r="V275" s="241"/>
      <c r="W275" s="241"/>
      <c r="X275" s="241"/>
      <c r="Y275" s="241"/>
      <c r="Z275" s="241"/>
    </row>
    <row r="276" spans="11:26" ht="13.5" customHeight="1" x14ac:dyDescent="0.3">
      <c r="K276" s="287"/>
      <c r="L276" s="241"/>
      <c r="M276" s="241"/>
      <c r="N276" s="241"/>
      <c r="O276" s="241"/>
      <c r="P276" s="241"/>
      <c r="Q276" s="241"/>
      <c r="R276" s="241"/>
      <c r="S276" s="241"/>
      <c r="T276" s="241"/>
      <c r="U276" s="241"/>
      <c r="V276" s="241"/>
      <c r="W276" s="241"/>
      <c r="X276" s="241"/>
      <c r="Y276" s="241"/>
      <c r="Z276" s="241"/>
    </row>
    <row r="277" spans="11:26" ht="13.5" customHeight="1" x14ac:dyDescent="0.3">
      <c r="K277" s="287"/>
      <c r="L277" s="241"/>
      <c r="M277" s="241"/>
      <c r="N277" s="241"/>
      <c r="O277" s="241"/>
      <c r="P277" s="241"/>
      <c r="Q277" s="241"/>
      <c r="R277" s="241"/>
      <c r="S277" s="241"/>
      <c r="T277" s="241"/>
      <c r="U277" s="241"/>
      <c r="V277" s="241"/>
      <c r="W277" s="241"/>
      <c r="X277" s="241"/>
      <c r="Y277" s="241"/>
      <c r="Z277" s="241"/>
    </row>
    <row r="278" spans="11:26" ht="13.5" customHeight="1" x14ac:dyDescent="0.3">
      <c r="K278" s="287"/>
      <c r="L278" s="241"/>
      <c r="M278" s="241"/>
      <c r="N278" s="241"/>
      <c r="O278" s="241"/>
      <c r="P278" s="241"/>
      <c r="Q278" s="241"/>
      <c r="R278" s="241"/>
      <c r="S278" s="241"/>
      <c r="T278" s="241"/>
      <c r="U278" s="241"/>
      <c r="V278" s="241"/>
      <c r="W278" s="241"/>
      <c r="X278" s="241"/>
      <c r="Y278" s="241"/>
      <c r="Z278" s="241"/>
    </row>
    <row r="279" spans="11:26" ht="13.5" customHeight="1" x14ac:dyDescent="0.3">
      <c r="K279" s="287"/>
      <c r="L279" s="241"/>
      <c r="M279" s="241"/>
      <c r="N279" s="241"/>
      <c r="O279" s="241"/>
      <c r="P279" s="241"/>
      <c r="Q279" s="241"/>
      <c r="R279" s="241"/>
      <c r="S279" s="241"/>
      <c r="T279" s="241"/>
      <c r="U279" s="241"/>
      <c r="V279" s="241"/>
      <c r="W279" s="241"/>
      <c r="X279" s="241"/>
      <c r="Y279" s="241"/>
      <c r="Z279" s="241"/>
    </row>
    <row r="280" spans="11:26" ht="13.5" customHeight="1" x14ac:dyDescent="0.3">
      <c r="K280" s="287"/>
      <c r="L280" s="241"/>
      <c r="M280" s="241"/>
      <c r="N280" s="241"/>
      <c r="O280" s="241"/>
      <c r="P280" s="241"/>
      <c r="Q280" s="241"/>
      <c r="R280" s="241"/>
      <c r="S280" s="241"/>
      <c r="T280" s="241"/>
      <c r="U280" s="241"/>
      <c r="V280" s="241"/>
      <c r="W280" s="241"/>
      <c r="X280" s="241"/>
      <c r="Y280" s="241"/>
      <c r="Z280" s="241"/>
    </row>
    <row r="281" spans="11:26" ht="13.5" customHeight="1" x14ac:dyDescent="0.3">
      <c r="K281" s="287"/>
      <c r="L281" s="241"/>
      <c r="M281" s="241"/>
      <c r="N281" s="241"/>
      <c r="O281" s="241"/>
      <c r="P281" s="241"/>
      <c r="Q281" s="241"/>
      <c r="R281" s="241"/>
      <c r="S281" s="241"/>
      <c r="T281" s="241"/>
      <c r="U281" s="241"/>
      <c r="V281" s="241"/>
      <c r="W281" s="241"/>
      <c r="X281" s="241"/>
      <c r="Y281" s="241"/>
      <c r="Z281" s="241"/>
    </row>
    <row r="282" spans="11:26" ht="13.5" customHeight="1" x14ac:dyDescent="0.3">
      <c r="K282" s="287"/>
      <c r="L282" s="241"/>
      <c r="M282" s="241"/>
      <c r="N282" s="241"/>
      <c r="O282" s="241"/>
      <c r="P282" s="241"/>
      <c r="Q282" s="241"/>
      <c r="R282" s="241"/>
      <c r="S282" s="241"/>
      <c r="T282" s="241"/>
      <c r="U282" s="241"/>
      <c r="V282" s="241"/>
      <c r="W282" s="241"/>
      <c r="X282" s="241"/>
      <c r="Y282" s="241"/>
      <c r="Z282" s="241"/>
    </row>
    <row r="283" spans="11:26" ht="13.5" customHeight="1" x14ac:dyDescent="0.3">
      <c r="K283" s="287"/>
      <c r="L283" s="241"/>
      <c r="M283" s="241"/>
      <c r="N283" s="241"/>
      <c r="O283" s="241"/>
      <c r="P283" s="241"/>
      <c r="Q283" s="241"/>
      <c r="R283" s="241"/>
      <c r="S283" s="241"/>
      <c r="T283" s="241"/>
      <c r="U283" s="241"/>
      <c r="V283" s="241"/>
      <c r="W283" s="241"/>
      <c r="X283" s="241"/>
      <c r="Y283" s="241"/>
      <c r="Z283" s="241"/>
    </row>
    <row r="284" spans="11:26" ht="13.5" customHeight="1" x14ac:dyDescent="0.3">
      <c r="K284" s="287"/>
      <c r="L284" s="241"/>
      <c r="M284" s="241"/>
      <c r="N284" s="241"/>
      <c r="O284" s="241"/>
      <c r="P284" s="241"/>
      <c r="Q284" s="241"/>
      <c r="R284" s="241"/>
      <c r="S284" s="241"/>
      <c r="T284" s="241"/>
      <c r="U284" s="241"/>
      <c r="V284" s="241"/>
      <c r="W284" s="241"/>
      <c r="X284" s="241"/>
      <c r="Y284" s="241"/>
      <c r="Z284" s="241"/>
    </row>
    <row r="285" spans="11:26" ht="13.5" customHeight="1" x14ac:dyDescent="0.3">
      <c r="K285" s="287"/>
      <c r="L285" s="241"/>
      <c r="M285" s="241"/>
      <c r="N285" s="241"/>
      <c r="O285" s="241"/>
      <c r="P285" s="241"/>
      <c r="Q285" s="241"/>
      <c r="R285" s="241"/>
      <c r="S285" s="241"/>
      <c r="T285" s="241"/>
      <c r="U285" s="241"/>
      <c r="V285" s="241"/>
      <c r="W285" s="241"/>
      <c r="X285" s="241"/>
      <c r="Y285" s="241"/>
      <c r="Z285" s="241"/>
    </row>
    <row r="286" spans="11:26" ht="13.5" customHeight="1" x14ac:dyDescent="0.3">
      <c r="K286" s="287"/>
      <c r="L286" s="241"/>
      <c r="M286" s="241"/>
      <c r="N286" s="241"/>
      <c r="O286" s="241"/>
      <c r="P286" s="241"/>
      <c r="Q286" s="241"/>
      <c r="R286" s="241"/>
      <c r="S286" s="241"/>
      <c r="T286" s="241"/>
      <c r="U286" s="241"/>
      <c r="V286" s="241"/>
      <c r="W286" s="241"/>
      <c r="X286" s="241"/>
      <c r="Y286" s="241"/>
      <c r="Z286" s="241"/>
    </row>
    <row r="287" spans="11:26" ht="13.5" customHeight="1" x14ac:dyDescent="0.3">
      <c r="K287" s="287"/>
      <c r="L287" s="241"/>
      <c r="M287" s="241"/>
      <c r="N287" s="241"/>
      <c r="O287" s="241"/>
      <c r="P287" s="241"/>
      <c r="Q287" s="241"/>
      <c r="R287" s="241"/>
      <c r="S287" s="241"/>
      <c r="T287" s="241"/>
      <c r="U287" s="241"/>
      <c r="V287" s="241"/>
      <c r="W287" s="241"/>
      <c r="X287" s="241"/>
      <c r="Y287" s="241"/>
      <c r="Z287" s="241"/>
    </row>
    <row r="288" spans="11:26" ht="13.5" customHeight="1" x14ac:dyDescent="0.3">
      <c r="K288" s="287"/>
      <c r="L288" s="241"/>
      <c r="M288" s="241"/>
      <c r="N288" s="241"/>
      <c r="O288" s="241"/>
      <c r="P288" s="241"/>
      <c r="Q288" s="241"/>
      <c r="R288" s="241"/>
      <c r="S288" s="241"/>
      <c r="T288" s="241"/>
      <c r="U288" s="241"/>
      <c r="V288" s="241"/>
      <c r="W288" s="241"/>
      <c r="X288" s="241"/>
      <c r="Y288" s="241"/>
      <c r="Z288" s="241"/>
    </row>
    <row r="289" spans="11:26" ht="13.5" customHeight="1" x14ac:dyDescent="0.3">
      <c r="K289" s="287"/>
      <c r="L289" s="241"/>
      <c r="M289" s="241"/>
      <c r="N289" s="241"/>
      <c r="O289" s="241"/>
      <c r="P289" s="241"/>
      <c r="Q289" s="241"/>
      <c r="R289" s="241"/>
      <c r="S289" s="241"/>
      <c r="T289" s="241"/>
      <c r="U289" s="241"/>
      <c r="V289" s="241"/>
      <c r="W289" s="241"/>
      <c r="X289" s="241"/>
      <c r="Y289" s="241"/>
      <c r="Z289" s="241"/>
    </row>
    <row r="290" spans="11:26" ht="13.5" customHeight="1" x14ac:dyDescent="0.3">
      <c r="K290" s="287"/>
      <c r="L290" s="241"/>
      <c r="M290" s="241"/>
      <c r="N290" s="241"/>
      <c r="O290" s="241"/>
      <c r="P290" s="241"/>
      <c r="Q290" s="241"/>
      <c r="R290" s="241"/>
      <c r="S290" s="241"/>
      <c r="T290" s="241"/>
      <c r="U290" s="241"/>
      <c r="V290" s="241"/>
      <c r="W290" s="241"/>
      <c r="X290" s="241"/>
      <c r="Y290" s="241"/>
      <c r="Z290" s="241"/>
    </row>
    <row r="291" spans="11:26" ht="13.5" customHeight="1" x14ac:dyDescent="0.3">
      <c r="K291" s="287"/>
      <c r="L291" s="241"/>
      <c r="M291" s="241"/>
      <c r="N291" s="241"/>
      <c r="O291" s="241"/>
      <c r="P291" s="241"/>
      <c r="Q291" s="241"/>
      <c r="R291" s="241"/>
      <c r="S291" s="241"/>
      <c r="T291" s="241"/>
      <c r="U291" s="241"/>
      <c r="V291" s="241"/>
      <c r="W291" s="241"/>
      <c r="X291" s="241"/>
      <c r="Y291" s="241"/>
      <c r="Z291" s="241"/>
    </row>
    <row r="292" spans="11:26" ht="13.5" customHeight="1" x14ac:dyDescent="0.3">
      <c r="K292" s="287"/>
      <c r="L292" s="241"/>
      <c r="M292" s="241"/>
      <c r="N292" s="241"/>
      <c r="O292" s="241"/>
      <c r="P292" s="241"/>
      <c r="Q292" s="241"/>
      <c r="R292" s="241"/>
      <c r="S292" s="241"/>
      <c r="T292" s="241"/>
      <c r="U292" s="241"/>
      <c r="V292" s="241"/>
      <c r="W292" s="241"/>
      <c r="X292" s="241"/>
      <c r="Y292" s="241"/>
      <c r="Z292" s="241"/>
    </row>
    <row r="293" spans="11:26" ht="13.5" customHeight="1" x14ac:dyDescent="0.3">
      <c r="K293" s="287"/>
      <c r="L293" s="241"/>
      <c r="M293" s="241"/>
      <c r="N293" s="241"/>
      <c r="O293" s="241"/>
      <c r="P293" s="241"/>
      <c r="Q293" s="241"/>
      <c r="R293" s="241"/>
      <c r="S293" s="241"/>
      <c r="T293" s="241"/>
      <c r="U293" s="241"/>
      <c r="V293" s="241"/>
      <c r="W293" s="241"/>
      <c r="X293" s="241"/>
      <c r="Y293" s="241"/>
      <c r="Z293" s="241"/>
    </row>
    <row r="294" spans="11:26" ht="13.5" customHeight="1" x14ac:dyDescent="0.3">
      <c r="K294" s="287"/>
      <c r="L294" s="241"/>
      <c r="M294" s="241"/>
      <c r="N294" s="241"/>
      <c r="O294" s="241"/>
      <c r="P294" s="241"/>
      <c r="Q294" s="241"/>
      <c r="R294" s="241"/>
      <c r="S294" s="241"/>
      <c r="T294" s="241"/>
      <c r="U294" s="241"/>
      <c r="V294" s="241"/>
      <c r="W294" s="241"/>
      <c r="X294" s="241"/>
      <c r="Y294" s="241"/>
      <c r="Z294" s="241"/>
    </row>
    <row r="295" spans="11:26" ht="13.5" customHeight="1" x14ac:dyDescent="0.3">
      <c r="K295" s="287"/>
      <c r="L295" s="241"/>
      <c r="M295" s="241"/>
      <c r="N295" s="241"/>
      <c r="O295" s="241"/>
      <c r="P295" s="241"/>
      <c r="Q295" s="241"/>
      <c r="R295" s="241"/>
      <c r="S295" s="241"/>
      <c r="T295" s="241"/>
      <c r="U295" s="241"/>
      <c r="V295" s="241"/>
      <c r="W295" s="241"/>
      <c r="X295" s="241"/>
      <c r="Y295" s="241"/>
      <c r="Z295" s="241"/>
    </row>
    <row r="296" spans="11:26" ht="13.5" customHeight="1" x14ac:dyDescent="0.3">
      <c r="K296" s="287"/>
      <c r="L296" s="241"/>
      <c r="M296" s="241"/>
      <c r="N296" s="241"/>
      <c r="O296" s="241"/>
      <c r="P296" s="241"/>
      <c r="Q296" s="241"/>
      <c r="R296" s="241"/>
      <c r="S296" s="241"/>
      <c r="T296" s="241"/>
      <c r="U296" s="241"/>
      <c r="V296" s="241"/>
      <c r="W296" s="241"/>
      <c r="X296" s="241"/>
      <c r="Y296" s="241"/>
      <c r="Z296" s="241"/>
    </row>
    <row r="297" spans="11:26" ht="13.5" customHeight="1" x14ac:dyDescent="0.3">
      <c r="K297" s="287"/>
      <c r="L297" s="241"/>
      <c r="M297" s="241"/>
      <c r="N297" s="241"/>
      <c r="O297" s="241"/>
      <c r="P297" s="241"/>
      <c r="Q297" s="241"/>
      <c r="R297" s="241"/>
      <c r="S297" s="241"/>
      <c r="T297" s="241"/>
      <c r="U297" s="241"/>
      <c r="V297" s="241"/>
      <c r="W297" s="241"/>
      <c r="X297" s="241"/>
      <c r="Y297" s="241"/>
      <c r="Z297" s="241"/>
    </row>
    <row r="298" spans="11:26" ht="13.5" customHeight="1" x14ac:dyDescent="0.3">
      <c r="K298" s="287"/>
      <c r="L298" s="241"/>
      <c r="M298" s="241"/>
      <c r="N298" s="241"/>
      <c r="O298" s="241"/>
      <c r="P298" s="241"/>
      <c r="Q298" s="241"/>
      <c r="R298" s="241"/>
      <c r="S298" s="241"/>
      <c r="T298" s="241"/>
      <c r="U298" s="241"/>
      <c r="V298" s="241"/>
      <c r="W298" s="241"/>
      <c r="X298" s="241"/>
      <c r="Y298" s="241"/>
      <c r="Z298" s="241"/>
    </row>
    <row r="299" spans="11:26" ht="13.5" customHeight="1" x14ac:dyDescent="0.3">
      <c r="K299" s="287"/>
      <c r="L299" s="241"/>
      <c r="M299" s="241"/>
      <c r="N299" s="241"/>
      <c r="O299" s="241"/>
      <c r="P299" s="241"/>
      <c r="Q299" s="241"/>
      <c r="R299" s="241"/>
      <c r="S299" s="241"/>
      <c r="T299" s="241"/>
      <c r="U299" s="241"/>
      <c r="V299" s="241"/>
      <c r="W299" s="241"/>
      <c r="X299" s="241"/>
      <c r="Y299" s="241"/>
      <c r="Z299" s="241"/>
    </row>
    <row r="300" spans="11:26" ht="13.5" customHeight="1" x14ac:dyDescent="0.3">
      <c r="K300" s="287"/>
      <c r="L300" s="241"/>
      <c r="M300" s="241"/>
      <c r="N300" s="241"/>
      <c r="O300" s="241"/>
      <c r="P300" s="241"/>
      <c r="Q300" s="241"/>
      <c r="R300" s="241"/>
      <c r="S300" s="241"/>
      <c r="T300" s="241"/>
      <c r="U300" s="241"/>
      <c r="V300" s="241"/>
      <c r="W300" s="241"/>
      <c r="X300" s="241"/>
      <c r="Y300" s="241"/>
      <c r="Z300" s="241"/>
    </row>
    <row r="301" spans="11:26" ht="13.5" customHeight="1" x14ac:dyDescent="0.3">
      <c r="K301" s="287"/>
      <c r="L301" s="241"/>
      <c r="M301" s="241"/>
      <c r="N301" s="241"/>
      <c r="O301" s="241"/>
      <c r="P301" s="241"/>
      <c r="Q301" s="241"/>
      <c r="R301" s="241"/>
      <c r="S301" s="241"/>
      <c r="T301" s="241"/>
      <c r="U301" s="241"/>
      <c r="V301" s="241"/>
      <c r="W301" s="241"/>
      <c r="X301" s="241"/>
      <c r="Y301" s="241"/>
      <c r="Z301" s="241"/>
    </row>
    <row r="302" spans="11:26" ht="13.5" customHeight="1" x14ac:dyDescent="0.3">
      <c r="K302" s="287"/>
      <c r="L302" s="241"/>
      <c r="M302" s="241"/>
      <c r="N302" s="241"/>
      <c r="O302" s="241"/>
      <c r="P302" s="241"/>
      <c r="Q302" s="241"/>
      <c r="R302" s="241"/>
      <c r="S302" s="241"/>
      <c r="T302" s="241"/>
      <c r="U302" s="241"/>
      <c r="V302" s="241"/>
      <c r="W302" s="241"/>
      <c r="X302" s="241"/>
      <c r="Y302" s="241"/>
      <c r="Z302" s="241"/>
    </row>
    <row r="303" spans="11:26" ht="13.5" customHeight="1" x14ac:dyDescent="0.3">
      <c r="K303" s="287"/>
      <c r="L303" s="241"/>
      <c r="M303" s="241"/>
      <c r="N303" s="241"/>
      <c r="O303" s="241"/>
      <c r="P303" s="241"/>
      <c r="Q303" s="241"/>
      <c r="R303" s="241"/>
      <c r="S303" s="241"/>
      <c r="T303" s="241"/>
      <c r="U303" s="241"/>
      <c r="V303" s="241"/>
      <c r="W303" s="241"/>
      <c r="X303" s="241"/>
      <c r="Y303" s="241"/>
      <c r="Z303" s="241"/>
    </row>
    <row r="304" spans="11:26" ht="13.5" customHeight="1" x14ac:dyDescent="0.3">
      <c r="K304" s="287"/>
      <c r="L304" s="241"/>
      <c r="M304" s="241"/>
      <c r="N304" s="241"/>
      <c r="O304" s="241"/>
      <c r="P304" s="241"/>
      <c r="Q304" s="241"/>
      <c r="R304" s="241"/>
      <c r="S304" s="241"/>
      <c r="T304" s="241"/>
      <c r="U304" s="241"/>
      <c r="V304" s="241"/>
      <c r="W304" s="241"/>
      <c r="X304" s="241"/>
      <c r="Y304" s="241"/>
      <c r="Z304" s="241"/>
    </row>
    <row r="305" spans="1:26" ht="13.5" customHeight="1" x14ac:dyDescent="0.3">
      <c r="K305" s="287"/>
      <c r="L305" s="241"/>
      <c r="M305" s="241"/>
      <c r="N305" s="241"/>
      <c r="O305" s="241"/>
      <c r="P305" s="241"/>
      <c r="Q305" s="241"/>
      <c r="R305" s="241"/>
      <c r="S305" s="241"/>
      <c r="T305" s="241"/>
      <c r="U305" s="241"/>
      <c r="V305" s="241"/>
      <c r="W305" s="241"/>
      <c r="X305" s="241"/>
      <c r="Y305" s="241"/>
      <c r="Z305" s="241"/>
    </row>
    <row r="306" spans="1:26" ht="13.5" customHeight="1" x14ac:dyDescent="0.3">
      <c r="K306" s="287"/>
      <c r="L306" s="241"/>
      <c r="M306" s="241"/>
      <c r="N306" s="241"/>
      <c r="O306" s="241"/>
      <c r="P306" s="241"/>
      <c r="Q306" s="241"/>
      <c r="R306" s="241"/>
      <c r="S306" s="241"/>
      <c r="T306" s="241"/>
      <c r="U306" s="241"/>
      <c r="V306" s="241"/>
      <c r="W306" s="241"/>
      <c r="X306" s="241"/>
      <c r="Y306" s="241"/>
      <c r="Z306" s="241"/>
    </row>
    <row r="307" spans="1:26" ht="13.5" customHeight="1" x14ac:dyDescent="0.3">
      <c r="K307" s="287"/>
      <c r="L307" s="241"/>
      <c r="M307" s="241"/>
      <c r="N307" s="241"/>
      <c r="O307" s="241"/>
      <c r="P307" s="241"/>
      <c r="Q307" s="241"/>
      <c r="R307" s="241"/>
      <c r="S307" s="241"/>
      <c r="T307" s="241"/>
      <c r="U307" s="241"/>
      <c r="V307" s="241"/>
      <c r="W307" s="241"/>
      <c r="X307" s="241"/>
      <c r="Y307" s="241"/>
      <c r="Z307" s="241"/>
    </row>
    <row r="308" spans="1:26" ht="13.5" customHeight="1" x14ac:dyDescent="0.3">
      <c r="K308" s="287"/>
      <c r="L308" s="241"/>
      <c r="M308" s="241"/>
      <c r="N308" s="241"/>
      <c r="O308" s="241"/>
      <c r="P308" s="241"/>
      <c r="Q308" s="241"/>
      <c r="R308" s="241"/>
      <c r="S308" s="241"/>
      <c r="T308" s="241"/>
      <c r="U308" s="241"/>
      <c r="V308" s="241"/>
      <c r="W308" s="241"/>
      <c r="X308" s="241"/>
      <c r="Y308" s="241"/>
      <c r="Z308" s="241"/>
    </row>
    <row r="309" spans="1:26" ht="13.5" customHeight="1" x14ac:dyDescent="0.3">
      <c r="K309" s="287"/>
      <c r="L309" s="241"/>
      <c r="M309" s="241"/>
      <c r="N309" s="241"/>
      <c r="O309" s="241"/>
      <c r="P309" s="241"/>
      <c r="Q309" s="241"/>
      <c r="R309" s="241"/>
      <c r="S309" s="241"/>
      <c r="T309" s="241"/>
      <c r="U309" s="241"/>
      <c r="V309" s="241"/>
      <c r="W309" s="241"/>
      <c r="X309" s="241"/>
      <c r="Y309" s="241"/>
      <c r="Z309" s="241"/>
    </row>
    <row r="310" spans="1:26" ht="13.5" customHeight="1" x14ac:dyDescent="0.3">
      <c r="K310" s="287"/>
      <c r="L310" s="241"/>
      <c r="M310" s="241"/>
      <c r="N310" s="241"/>
      <c r="O310" s="241"/>
      <c r="P310" s="241"/>
      <c r="Q310" s="241"/>
      <c r="R310" s="241"/>
      <c r="S310" s="241"/>
      <c r="T310" s="241"/>
      <c r="U310" s="241"/>
      <c r="V310" s="241"/>
      <c r="W310" s="241"/>
      <c r="X310" s="241"/>
      <c r="Y310" s="241"/>
      <c r="Z310" s="241"/>
    </row>
    <row r="311" spans="1:26" ht="13.5" customHeight="1" x14ac:dyDescent="0.3">
      <c r="K311" s="287"/>
      <c r="L311" s="241"/>
      <c r="M311" s="241"/>
      <c r="N311" s="241"/>
      <c r="O311" s="241"/>
      <c r="P311" s="241"/>
      <c r="Q311" s="241"/>
      <c r="R311" s="241"/>
      <c r="S311" s="241"/>
      <c r="T311" s="241"/>
      <c r="U311" s="241"/>
      <c r="V311" s="241"/>
      <c r="W311" s="241"/>
      <c r="X311" s="241"/>
      <c r="Y311" s="241"/>
      <c r="Z311" s="241"/>
    </row>
    <row r="312" spans="1:26" ht="13.5" customHeight="1" x14ac:dyDescent="0.3">
      <c r="K312" s="287"/>
      <c r="L312" s="241"/>
      <c r="M312" s="241"/>
      <c r="N312" s="241"/>
      <c r="O312" s="241"/>
      <c r="P312" s="241"/>
      <c r="Q312" s="241"/>
      <c r="R312" s="241"/>
      <c r="S312" s="241"/>
      <c r="T312" s="241"/>
      <c r="U312" s="241"/>
      <c r="V312" s="241"/>
      <c r="W312" s="241"/>
      <c r="X312" s="241"/>
      <c r="Y312" s="241"/>
      <c r="Z312" s="241"/>
    </row>
    <row r="313" spans="1:26" ht="13.5" customHeight="1" x14ac:dyDescent="0.3">
      <c r="K313" s="287"/>
      <c r="L313" s="241"/>
      <c r="M313" s="241"/>
      <c r="N313" s="241"/>
      <c r="O313" s="241"/>
      <c r="P313" s="241"/>
      <c r="Q313" s="241"/>
      <c r="R313" s="241"/>
      <c r="S313" s="241"/>
      <c r="T313" s="241"/>
      <c r="U313" s="241"/>
      <c r="V313" s="241"/>
      <c r="W313" s="241"/>
      <c r="X313" s="241"/>
      <c r="Y313" s="241"/>
      <c r="Z313" s="241"/>
    </row>
    <row r="314" spans="1:26" ht="13.5" customHeight="1" x14ac:dyDescent="0.3">
      <c r="K314" s="287"/>
      <c r="L314" s="241"/>
      <c r="M314" s="241"/>
      <c r="N314" s="241"/>
      <c r="O314" s="241"/>
      <c r="P314" s="241"/>
      <c r="Q314" s="241"/>
      <c r="R314" s="241"/>
      <c r="S314" s="241"/>
      <c r="T314" s="241"/>
      <c r="U314" s="241"/>
      <c r="V314" s="241"/>
      <c r="W314" s="241"/>
      <c r="X314" s="241"/>
      <c r="Y314" s="241"/>
      <c r="Z314" s="241"/>
    </row>
    <row r="315" spans="1:26" ht="13.5" customHeight="1" x14ac:dyDescent="0.3">
      <c r="K315" s="287"/>
      <c r="L315" s="241"/>
      <c r="M315" s="241"/>
      <c r="N315" s="241"/>
      <c r="O315" s="241"/>
      <c r="P315" s="241"/>
      <c r="Q315" s="241"/>
      <c r="R315" s="241"/>
      <c r="S315" s="241"/>
      <c r="T315" s="241"/>
      <c r="U315" s="241"/>
      <c r="V315" s="241"/>
      <c r="W315" s="241"/>
      <c r="X315" s="241"/>
      <c r="Y315" s="241"/>
      <c r="Z315" s="241"/>
    </row>
    <row r="316" spans="1:26" ht="13.5" customHeight="1" x14ac:dyDescent="0.3">
      <c r="K316" s="287"/>
      <c r="L316" s="241"/>
      <c r="M316" s="241"/>
      <c r="N316" s="241"/>
      <c r="O316" s="241"/>
      <c r="P316" s="241"/>
      <c r="Q316" s="241"/>
      <c r="R316" s="241"/>
      <c r="S316" s="241"/>
      <c r="T316" s="241"/>
      <c r="U316" s="241"/>
      <c r="V316" s="241"/>
      <c r="W316" s="241"/>
      <c r="X316" s="241"/>
      <c r="Y316" s="241"/>
      <c r="Z316" s="241"/>
    </row>
    <row r="317" spans="1:26" ht="13.5" customHeight="1" x14ac:dyDescent="0.3">
      <c r="A317" s="287"/>
      <c r="B317" s="287"/>
      <c r="C317" s="287"/>
      <c r="D317" s="287"/>
      <c r="E317" s="287"/>
      <c r="F317" s="287"/>
      <c r="G317" s="287"/>
      <c r="H317" s="287"/>
      <c r="I317" s="287"/>
      <c r="J317" s="287"/>
      <c r="K317" s="287"/>
      <c r="L317" s="241"/>
      <c r="M317" s="241"/>
      <c r="N317" s="241"/>
      <c r="O317" s="241"/>
      <c r="P317" s="241"/>
      <c r="Q317" s="241"/>
      <c r="R317" s="241"/>
      <c r="S317" s="241"/>
      <c r="T317" s="241"/>
      <c r="U317" s="241"/>
      <c r="V317" s="241"/>
      <c r="W317" s="241"/>
      <c r="X317" s="241"/>
      <c r="Y317" s="241"/>
      <c r="Z317" s="241"/>
    </row>
    <row r="318" spans="1:26" ht="13.5" customHeight="1" x14ac:dyDescent="0.3">
      <c r="A318" s="287"/>
      <c r="B318" s="287"/>
      <c r="C318" s="287"/>
      <c r="D318" s="287"/>
      <c r="E318" s="287"/>
      <c r="F318" s="287"/>
      <c r="G318" s="287"/>
      <c r="H318" s="287"/>
      <c r="I318" s="287"/>
      <c r="J318" s="287"/>
      <c r="K318" s="287"/>
      <c r="L318" s="241"/>
      <c r="M318" s="241"/>
      <c r="N318" s="241"/>
      <c r="O318" s="241"/>
      <c r="P318" s="241"/>
      <c r="Q318" s="241"/>
      <c r="R318" s="241"/>
      <c r="S318" s="241"/>
      <c r="T318" s="241"/>
      <c r="U318" s="241"/>
      <c r="V318" s="241"/>
      <c r="W318" s="241"/>
      <c r="X318" s="241"/>
      <c r="Y318" s="241"/>
      <c r="Z318" s="241"/>
    </row>
    <row r="319" spans="1:26" ht="13.5" customHeight="1" x14ac:dyDescent="0.3">
      <c r="A319" s="287"/>
      <c r="B319" s="287"/>
      <c r="C319" s="287"/>
      <c r="D319" s="287"/>
      <c r="E319" s="287"/>
      <c r="F319" s="287"/>
      <c r="G319" s="287"/>
      <c r="H319" s="287"/>
      <c r="I319" s="287"/>
      <c r="J319" s="287"/>
      <c r="K319" s="287"/>
      <c r="L319" s="241"/>
      <c r="M319" s="241"/>
      <c r="N319" s="241"/>
      <c r="O319" s="241"/>
      <c r="P319" s="241"/>
      <c r="Q319" s="241"/>
      <c r="R319" s="241"/>
      <c r="S319" s="241"/>
      <c r="T319" s="241"/>
      <c r="U319" s="241"/>
      <c r="V319" s="241"/>
      <c r="W319" s="241"/>
      <c r="X319" s="241"/>
      <c r="Y319" s="241"/>
      <c r="Z319" s="241"/>
    </row>
    <row r="320" spans="1:26" ht="13.5" customHeight="1" x14ac:dyDescent="0.3">
      <c r="A320" s="287"/>
      <c r="B320" s="287"/>
      <c r="C320" s="287"/>
      <c r="D320" s="287"/>
      <c r="E320" s="287"/>
      <c r="F320" s="287"/>
      <c r="G320" s="287"/>
      <c r="H320" s="287"/>
      <c r="I320" s="287"/>
      <c r="J320" s="287"/>
      <c r="K320" s="287"/>
      <c r="L320" s="241"/>
      <c r="M320" s="241"/>
      <c r="N320" s="241"/>
      <c r="O320" s="241"/>
      <c r="P320" s="241"/>
      <c r="Q320" s="241"/>
      <c r="R320" s="241"/>
      <c r="S320" s="241"/>
      <c r="T320" s="241"/>
      <c r="U320" s="241"/>
      <c r="V320" s="241"/>
      <c r="W320" s="241"/>
      <c r="X320" s="241"/>
      <c r="Y320" s="241"/>
      <c r="Z320" s="241"/>
    </row>
    <row r="321" spans="1:26" ht="13.5" customHeight="1" x14ac:dyDescent="0.3">
      <c r="A321" s="287"/>
      <c r="B321" s="287"/>
      <c r="C321" s="287"/>
      <c r="D321" s="287"/>
      <c r="E321" s="287"/>
      <c r="F321" s="287"/>
      <c r="G321" s="287"/>
      <c r="H321" s="287"/>
      <c r="I321" s="287"/>
      <c r="J321" s="287"/>
      <c r="K321" s="287"/>
      <c r="L321" s="241"/>
      <c r="M321" s="241"/>
      <c r="N321" s="241"/>
      <c r="O321" s="241"/>
      <c r="P321" s="241"/>
      <c r="Q321" s="241"/>
      <c r="R321" s="241"/>
      <c r="S321" s="241"/>
      <c r="T321" s="241"/>
      <c r="U321" s="241"/>
      <c r="V321" s="241"/>
      <c r="W321" s="241"/>
      <c r="X321" s="241"/>
      <c r="Y321" s="241"/>
      <c r="Z321" s="241"/>
    </row>
    <row r="322" spans="1:26" ht="13.5" customHeight="1" x14ac:dyDescent="0.3">
      <c r="A322" s="287"/>
      <c r="B322" s="287"/>
      <c r="C322" s="287"/>
      <c r="D322" s="287"/>
      <c r="E322" s="287"/>
      <c r="F322" s="287"/>
      <c r="G322" s="287"/>
      <c r="H322" s="287"/>
      <c r="I322" s="287"/>
      <c r="J322" s="287"/>
      <c r="K322" s="287"/>
      <c r="L322" s="241"/>
      <c r="M322" s="241"/>
      <c r="N322" s="241"/>
      <c r="O322" s="241"/>
      <c r="P322" s="241"/>
      <c r="Q322" s="241"/>
      <c r="R322" s="241"/>
      <c r="S322" s="241"/>
      <c r="T322" s="241"/>
      <c r="U322" s="241"/>
      <c r="V322" s="241"/>
      <c r="W322" s="241"/>
      <c r="X322" s="241"/>
      <c r="Y322" s="241"/>
      <c r="Z322" s="241"/>
    </row>
    <row r="323" spans="1:26" ht="13.5" customHeight="1" x14ac:dyDescent="0.3">
      <c r="A323" s="287"/>
      <c r="B323" s="287"/>
      <c r="C323" s="287"/>
      <c r="D323" s="287"/>
      <c r="E323" s="287"/>
      <c r="F323" s="287"/>
      <c r="G323" s="287"/>
      <c r="H323" s="287"/>
      <c r="I323" s="287"/>
      <c r="J323" s="287"/>
      <c r="K323" s="287"/>
      <c r="L323" s="241"/>
      <c r="M323" s="241"/>
      <c r="N323" s="241"/>
      <c r="O323" s="241"/>
      <c r="P323" s="241"/>
      <c r="Q323" s="241"/>
      <c r="R323" s="241"/>
      <c r="S323" s="241"/>
      <c r="T323" s="241"/>
      <c r="U323" s="241"/>
      <c r="V323" s="241"/>
      <c r="W323" s="241"/>
      <c r="X323" s="241"/>
      <c r="Y323" s="241"/>
      <c r="Z323" s="241"/>
    </row>
    <row r="324" spans="1:26" ht="13.5" customHeight="1" x14ac:dyDescent="0.3">
      <c r="A324" s="287"/>
      <c r="B324" s="287"/>
      <c r="C324" s="287"/>
      <c r="D324" s="287"/>
      <c r="E324" s="287"/>
      <c r="F324" s="287"/>
      <c r="G324" s="287"/>
      <c r="H324" s="287"/>
      <c r="I324" s="287"/>
      <c r="J324" s="287"/>
      <c r="K324" s="287"/>
      <c r="L324" s="241"/>
      <c r="M324" s="241"/>
      <c r="N324" s="241"/>
      <c r="O324" s="241"/>
      <c r="P324" s="241"/>
      <c r="Q324" s="241"/>
      <c r="R324" s="241"/>
      <c r="S324" s="241"/>
      <c r="T324" s="241"/>
      <c r="U324" s="241"/>
      <c r="V324" s="241"/>
      <c r="W324" s="241"/>
      <c r="X324" s="241"/>
      <c r="Y324" s="241"/>
      <c r="Z324" s="241"/>
    </row>
    <row r="325" spans="1:26" ht="13.5" customHeight="1" x14ac:dyDescent="0.3">
      <c r="A325" s="287"/>
      <c r="B325" s="287"/>
      <c r="C325" s="287"/>
      <c r="D325" s="287"/>
      <c r="E325" s="287"/>
      <c r="F325" s="287"/>
      <c r="G325" s="287"/>
      <c r="H325" s="287"/>
      <c r="I325" s="287"/>
      <c r="J325" s="287"/>
      <c r="K325" s="287"/>
      <c r="L325" s="241"/>
      <c r="M325" s="241"/>
      <c r="N325" s="241"/>
      <c r="O325" s="241"/>
      <c r="P325" s="241"/>
      <c r="Q325" s="241"/>
      <c r="R325" s="241"/>
      <c r="S325" s="241"/>
      <c r="T325" s="241"/>
      <c r="U325" s="241"/>
      <c r="V325" s="241"/>
      <c r="W325" s="241"/>
      <c r="X325" s="241"/>
      <c r="Y325" s="241"/>
      <c r="Z325" s="241"/>
    </row>
    <row r="326" spans="1:26" ht="13.5" customHeight="1" x14ac:dyDescent="0.3">
      <c r="A326" s="287"/>
      <c r="B326" s="287"/>
      <c r="C326" s="287"/>
      <c r="D326" s="287"/>
      <c r="E326" s="287"/>
      <c r="F326" s="287"/>
      <c r="G326" s="287"/>
      <c r="H326" s="287"/>
      <c r="I326" s="287"/>
      <c r="J326" s="287"/>
      <c r="K326" s="287"/>
      <c r="L326" s="241"/>
      <c r="M326" s="241"/>
      <c r="N326" s="241"/>
      <c r="O326" s="241"/>
      <c r="P326" s="241"/>
      <c r="Q326" s="241"/>
      <c r="R326" s="241"/>
      <c r="S326" s="241"/>
      <c r="T326" s="241"/>
      <c r="U326" s="241"/>
      <c r="V326" s="241"/>
      <c r="W326" s="241"/>
      <c r="X326" s="241"/>
      <c r="Y326" s="241"/>
      <c r="Z326" s="241"/>
    </row>
    <row r="327" spans="1:26" ht="13.5" customHeight="1" x14ac:dyDescent="0.3">
      <c r="A327" s="287"/>
      <c r="B327" s="287"/>
      <c r="C327" s="287"/>
      <c r="D327" s="287"/>
      <c r="E327" s="287"/>
      <c r="F327" s="287"/>
      <c r="G327" s="287"/>
      <c r="H327" s="287"/>
      <c r="I327" s="287"/>
      <c r="J327" s="287"/>
      <c r="K327" s="287"/>
      <c r="L327" s="241"/>
      <c r="M327" s="241"/>
      <c r="N327" s="241"/>
      <c r="O327" s="241"/>
      <c r="P327" s="241"/>
      <c r="Q327" s="241"/>
      <c r="R327" s="241"/>
      <c r="S327" s="241"/>
      <c r="T327" s="241"/>
      <c r="U327" s="241"/>
      <c r="V327" s="241"/>
      <c r="W327" s="241"/>
      <c r="X327" s="241"/>
      <c r="Y327" s="241"/>
      <c r="Z327" s="241"/>
    </row>
    <row r="328" spans="1:26" ht="13.5" customHeight="1" x14ac:dyDescent="0.3">
      <c r="A328" s="287"/>
      <c r="B328" s="287"/>
      <c r="C328" s="287"/>
      <c r="D328" s="287"/>
      <c r="E328" s="287"/>
      <c r="F328" s="287"/>
      <c r="G328" s="287"/>
      <c r="H328" s="287"/>
      <c r="I328" s="287"/>
      <c r="J328" s="287"/>
      <c r="K328" s="287"/>
      <c r="L328" s="241"/>
      <c r="M328" s="241"/>
      <c r="N328" s="241"/>
      <c r="O328" s="241"/>
      <c r="P328" s="241"/>
      <c r="Q328" s="241"/>
      <c r="R328" s="241"/>
      <c r="S328" s="241"/>
      <c r="T328" s="241"/>
      <c r="U328" s="241"/>
      <c r="V328" s="241"/>
      <c r="W328" s="241"/>
      <c r="X328" s="241"/>
      <c r="Y328" s="241"/>
      <c r="Z328" s="241"/>
    </row>
    <row r="329" spans="1:26" ht="13.5" customHeight="1" x14ac:dyDescent="0.3">
      <c r="A329" s="287"/>
      <c r="B329" s="287"/>
      <c r="C329" s="287"/>
      <c r="D329" s="287"/>
      <c r="E329" s="287"/>
      <c r="F329" s="287"/>
      <c r="G329" s="287"/>
      <c r="H329" s="287"/>
      <c r="I329" s="287"/>
      <c r="J329" s="287"/>
      <c r="K329" s="287"/>
      <c r="L329" s="241"/>
      <c r="M329" s="241"/>
      <c r="N329" s="241"/>
      <c r="O329" s="241"/>
      <c r="P329" s="241"/>
      <c r="Q329" s="241"/>
      <c r="R329" s="241"/>
      <c r="S329" s="241"/>
      <c r="T329" s="241"/>
      <c r="U329" s="241"/>
      <c r="V329" s="241"/>
      <c r="W329" s="241"/>
      <c r="X329" s="241"/>
      <c r="Y329" s="241"/>
      <c r="Z329" s="241"/>
    </row>
    <row r="330" spans="1:26" ht="13.5" customHeight="1" x14ac:dyDescent="0.3">
      <c r="A330" s="287"/>
      <c r="B330" s="287"/>
      <c r="C330" s="287"/>
      <c r="D330" s="287"/>
      <c r="E330" s="287"/>
      <c r="F330" s="287"/>
      <c r="G330" s="287"/>
      <c r="H330" s="287"/>
      <c r="I330" s="287"/>
      <c r="J330" s="287"/>
      <c r="K330" s="287"/>
      <c r="L330" s="241"/>
      <c r="M330" s="241"/>
      <c r="N330" s="241"/>
      <c r="O330" s="241"/>
      <c r="P330" s="241"/>
      <c r="Q330" s="241"/>
      <c r="R330" s="241"/>
      <c r="S330" s="241"/>
      <c r="T330" s="241"/>
      <c r="U330" s="241"/>
      <c r="V330" s="241"/>
      <c r="W330" s="241"/>
      <c r="X330" s="241"/>
      <c r="Y330" s="241"/>
      <c r="Z330" s="241"/>
    </row>
    <row r="331" spans="1:26" ht="13.5" customHeight="1" x14ac:dyDescent="0.3">
      <c r="A331" s="287"/>
      <c r="B331" s="287"/>
      <c r="C331" s="287"/>
      <c r="D331" s="287"/>
      <c r="E331" s="287"/>
      <c r="F331" s="287"/>
      <c r="G331" s="287"/>
      <c r="H331" s="287"/>
      <c r="I331" s="287"/>
      <c r="J331" s="287"/>
      <c r="K331" s="287"/>
      <c r="L331" s="241"/>
      <c r="M331" s="241"/>
      <c r="N331" s="241"/>
      <c r="O331" s="241"/>
      <c r="P331" s="241"/>
      <c r="Q331" s="241"/>
      <c r="R331" s="241"/>
      <c r="S331" s="241"/>
      <c r="T331" s="241"/>
      <c r="U331" s="241"/>
      <c r="V331" s="241"/>
      <c r="W331" s="241"/>
      <c r="X331" s="241"/>
      <c r="Y331" s="241"/>
      <c r="Z331" s="241"/>
    </row>
    <row r="332" spans="1:26" ht="13.5" customHeight="1" x14ac:dyDescent="0.3">
      <c r="A332" s="287"/>
      <c r="B332" s="287"/>
      <c r="C332" s="287"/>
      <c r="D332" s="287"/>
      <c r="E332" s="287"/>
      <c r="F332" s="287"/>
      <c r="G332" s="287"/>
      <c r="H332" s="287"/>
      <c r="I332" s="287"/>
      <c r="J332" s="287"/>
      <c r="K332" s="287"/>
      <c r="L332" s="241"/>
      <c r="M332" s="241"/>
      <c r="N332" s="241"/>
      <c r="O332" s="241"/>
      <c r="P332" s="241"/>
      <c r="Q332" s="241"/>
      <c r="R332" s="241"/>
      <c r="S332" s="241"/>
      <c r="T332" s="241"/>
      <c r="U332" s="241"/>
      <c r="V332" s="241"/>
      <c r="W332" s="241"/>
      <c r="X332" s="241"/>
      <c r="Y332" s="241"/>
      <c r="Z332" s="241"/>
    </row>
    <row r="333" spans="1:26" ht="13.5" customHeight="1" x14ac:dyDescent="0.3">
      <c r="A333" s="287"/>
      <c r="B333" s="287"/>
      <c r="C333" s="287"/>
      <c r="D333" s="287"/>
      <c r="E333" s="287"/>
      <c r="F333" s="287"/>
      <c r="G333" s="287"/>
      <c r="H333" s="287"/>
      <c r="I333" s="287"/>
      <c r="J333" s="287"/>
      <c r="K333" s="287"/>
      <c r="L333" s="241"/>
      <c r="M333" s="241"/>
      <c r="N333" s="241"/>
      <c r="O333" s="241"/>
      <c r="P333" s="241"/>
      <c r="Q333" s="241"/>
      <c r="R333" s="241"/>
      <c r="S333" s="241"/>
      <c r="T333" s="241"/>
      <c r="U333" s="241"/>
      <c r="V333" s="241"/>
      <c r="W333" s="241"/>
      <c r="X333" s="241"/>
      <c r="Y333" s="241"/>
      <c r="Z333" s="241"/>
    </row>
    <row r="334" spans="1:26" ht="13.5" customHeight="1" x14ac:dyDescent="0.3">
      <c r="A334" s="287"/>
      <c r="B334" s="287"/>
      <c r="C334" s="287"/>
      <c r="D334" s="287"/>
      <c r="E334" s="287"/>
      <c r="F334" s="287"/>
      <c r="G334" s="287"/>
      <c r="H334" s="287"/>
      <c r="I334" s="287"/>
      <c r="J334" s="287"/>
      <c r="K334" s="287"/>
      <c r="L334" s="241"/>
      <c r="M334" s="241"/>
      <c r="N334" s="241"/>
      <c r="O334" s="241"/>
      <c r="P334" s="241"/>
      <c r="Q334" s="241"/>
      <c r="R334" s="241"/>
      <c r="S334" s="241"/>
      <c r="T334" s="241"/>
      <c r="U334" s="241"/>
      <c r="V334" s="241"/>
      <c r="W334" s="241"/>
      <c r="X334" s="241"/>
      <c r="Y334" s="241"/>
      <c r="Z334" s="241"/>
    </row>
    <row r="335" spans="1:26" ht="13.5" customHeight="1" x14ac:dyDescent="0.3">
      <c r="A335" s="287"/>
      <c r="B335" s="287"/>
      <c r="C335" s="287"/>
      <c r="D335" s="287"/>
      <c r="E335" s="287"/>
      <c r="F335" s="287"/>
      <c r="G335" s="287"/>
      <c r="H335" s="287"/>
      <c r="I335" s="287"/>
      <c r="J335" s="287"/>
      <c r="K335" s="287"/>
      <c r="L335" s="241"/>
      <c r="M335" s="241"/>
      <c r="N335" s="241"/>
      <c r="O335" s="241"/>
      <c r="P335" s="241"/>
      <c r="Q335" s="241"/>
      <c r="R335" s="241"/>
      <c r="S335" s="241"/>
      <c r="T335" s="241"/>
      <c r="U335" s="241"/>
      <c r="V335" s="241"/>
      <c r="W335" s="241"/>
      <c r="X335" s="241"/>
      <c r="Y335" s="241"/>
      <c r="Z335" s="241"/>
    </row>
    <row r="336" spans="1:26" ht="13.5" customHeight="1" x14ac:dyDescent="0.3">
      <c r="A336" s="287"/>
      <c r="B336" s="287"/>
      <c r="C336" s="287"/>
      <c r="D336" s="287"/>
      <c r="E336" s="287"/>
      <c r="F336" s="287"/>
      <c r="G336" s="287"/>
      <c r="H336" s="287"/>
      <c r="I336" s="287"/>
      <c r="J336" s="287"/>
      <c r="K336" s="287"/>
      <c r="L336" s="241"/>
      <c r="M336" s="241"/>
      <c r="N336" s="241"/>
      <c r="O336" s="241"/>
      <c r="P336" s="241"/>
      <c r="Q336" s="241"/>
      <c r="R336" s="241"/>
      <c r="S336" s="241"/>
      <c r="T336" s="241"/>
      <c r="U336" s="241"/>
      <c r="V336" s="241"/>
      <c r="W336" s="241"/>
      <c r="X336" s="241"/>
      <c r="Y336" s="241"/>
      <c r="Z336" s="241"/>
    </row>
    <row r="337" spans="1:26" ht="13.5" customHeight="1" x14ac:dyDescent="0.3">
      <c r="A337" s="287"/>
      <c r="B337" s="287"/>
      <c r="C337" s="287"/>
      <c r="D337" s="287"/>
      <c r="E337" s="287"/>
      <c r="F337" s="287"/>
      <c r="G337" s="287"/>
      <c r="H337" s="287"/>
      <c r="I337" s="287"/>
      <c r="J337" s="287"/>
      <c r="K337" s="287"/>
      <c r="L337" s="241"/>
      <c r="M337" s="241"/>
      <c r="N337" s="241"/>
      <c r="O337" s="241"/>
      <c r="P337" s="241"/>
      <c r="Q337" s="241"/>
      <c r="R337" s="241"/>
      <c r="S337" s="241"/>
      <c r="T337" s="241"/>
      <c r="U337" s="241"/>
      <c r="V337" s="241"/>
      <c r="W337" s="241"/>
      <c r="X337" s="241"/>
      <c r="Y337" s="241"/>
      <c r="Z337" s="241"/>
    </row>
    <row r="338" spans="1:26" ht="13.5" customHeight="1" x14ac:dyDescent="0.3">
      <c r="A338" s="287"/>
      <c r="B338" s="287"/>
      <c r="C338" s="287"/>
      <c r="D338" s="287"/>
      <c r="E338" s="287"/>
      <c r="F338" s="287"/>
      <c r="G338" s="287"/>
      <c r="H338" s="287"/>
      <c r="I338" s="287"/>
      <c r="J338" s="287"/>
      <c r="K338" s="287"/>
      <c r="L338" s="241"/>
      <c r="M338" s="241"/>
      <c r="N338" s="241"/>
      <c r="O338" s="241"/>
      <c r="P338" s="241"/>
      <c r="Q338" s="241"/>
      <c r="R338" s="241"/>
      <c r="S338" s="241"/>
      <c r="T338" s="241"/>
      <c r="U338" s="241"/>
      <c r="V338" s="241"/>
      <c r="W338" s="241"/>
      <c r="X338" s="241"/>
      <c r="Y338" s="241"/>
      <c r="Z338" s="241"/>
    </row>
    <row r="339" spans="1:26" ht="13.5" customHeight="1" x14ac:dyDescent="0.3">
      <c r="A339" s="287"/>
      <c r="B339" s="287"/>
      <c r="C339" s="287"/>
      <c r="D339" s="287"/>
      <c r="E339" s="287"/>
      <c r="F339" s="287"/>
      <c r="G339" s="287"/>
      <c r="H339" s="287"/>
      <c r="I339" s="287"/>
      <c r="J339" s="287"/>
      <c r="K339" s="287"/>
      <c r="L339" s="241"/>
      <c r="M339" s="241"/>
      <c r="N339" s="241"/>
      <c r="O339" s="241"/>
      <c r="P339" s="241"/>
      <c r="Q339" s="241"/>
      <c r="R339" s="241"/>
      <c r="S339" s="241"/>
      <c r="T339" s="241"/>
      <c r="U339" s="241"/>
      <c r="V339" s="241"/>
      <c r="W339" s="241"/>
      <c r="X339" s="241"/>
      <c r="Y339" s="241"/>
      <c r="Z339" s="241"/>
    </row>
    <row r="340" spans="1:26" ht="13.5" customHeight="1" x14ac:dyDescent="0.3">
      <c r="A340" s="287"/>
      <c r="B340" s="287"/>
      <c r="C340" s="287"/>
      <c r="D340" s="287"/>
      <c r="E340" s="287"/>
      <c r="F340" s="287"/>
      <c r="G340" s="287"/>
      <c r="H340" s="287"/>
      <c r="I340" s="287"/>
      <c r="J340" s="287"/>
      <c r="K340" s="287"/>
      <c r="L340" s="241"/>
      <c r="M340" s="241"/>
      <c r="N340" s="241"/>
      <c r="O340" s="241"/>
      <c r="P340" s="241"/>
      <c r="Q340" s="241"/>
      <c r="R340" s="241"/>
      <c r="S340" s="241"/>
      <c r="T340" s="241"/>
      <c r="U340" s="241"/>
      <c r="V340" s="241"/>
      <c r="W340" s="241"/>
      <c r="X340" s="241"/>
      <c r="Y340" s="241"/>
      <c r="Z340" s="241"/>
    </row>
    <row r="341" spans="1:26" ht="13.5" customHeight="1" x14ac:dyDescent="0.3">
      <c r="A341" s="287"/>
      <c r="B341" s="287"/>
      <c r="C341" s="287"/>
      <c r="D341" s="287"/>
      <c r="E341" s="287"/>
      <c r="F341" s="287"/>
      <c r="G341" s="287"/>
      <c r="H341" s="287"/>
      <c r="I341" s="287"/>
      <c r="J341" s="287"/>
      <c r="K341" s="287"/>
      <c r="L341" s="241"/>
      <c r="M341" s="241"/>
      <c r="N341" s="241"/>
      <c r="O341" s="241"/>
      <c r="P341" s="241"/>
      <c r="Q341" s="241"/>
      <c r="R341" s="241"/>
      <c r="S341" s="241"/>
      <c r="T341" s="241"/>
      <c r="U341" s="241"/>
      <c r="V341" s="241"/>
      <c r="W341" s="241"/>
      <c r="X341" s="241"/>
      <c r="Y341" s="241"/>
      <c r="Z341" s="241"/>
    </row>
    <row r="342" spans="1:26" ht="13.5" customHeight="1" x14ac:dyDescent="0.3">
      <c r="A342" s="287"/>
      <c r="B342" s="287"/>
      <c r="C342" s="287"/>
      <c r="D342" s="287"/>
      <c r="E342" s="287"/>
      <c r="F342" s="287"/>
      <c r="G342" s="287"/>
      <c r="H342" s="287"/>
      <c r="I342" s="287"/>
      <c r="J342" s="287"/>
      <c r="K342" s="287"/>
      <c r="L342" s="241"/>
      <c r="M342" s="241"/>
      <c r="N342" s="241"/>
      <c r="O342" s="241"/>
      <c r="P342" s="241"/>
      <c r="Q342" s="241"/>
      <c r="R342" s="241"/>
      <c r="S342" s="241"/>
      <c r="T342" s="241"/>
      <c r="U342" s="241"/>
      <c r="V342" s="241"/>
      <c r="W342" s="241"/>
      <c r="X342" s="241"/>
      <c r="Y342" s="241"/>
      <c r="Z342" s="241"/>
    </row>
    <row r="343" spans="1:26" ht="13.5" customHeight="1" x14ac:dyDescent="0.3">
      <c r="A343" s="287"/>
      <c r="B343" s="287"/>
      <c r="C343" s="287"/>
      <c r="D343" s="287"/>
      <c r="E343" s="287"/>
      <c r="F343" s="287"/>
      <c r="G343" s="287"/>
      <c r="H343" s="287"/>
      <c r="I343" s="287"/>
      <c r="J343" s="287"/>
      <c r="K343" s="287"/>
      <c r="L343" s="241"/>
      <c r="M343" s="241"/>
      <c r="N343" s="241"/>
      <c r="O343" s="241"/>
      <c r="P343" s="241"/>
      <c r="Q343" s="241"/>
      <c r="R343" s="241"/>
      <c r="S343" s="241"/>
      <c r="T343" s="241"/>
      <c r="U343" s="241"/>
      <c r="V343" s="241"/>
      <c r="W343" s="241"/>
      <c r="X343" s="241"/>
      <c r="Y343" s="241"/>
      <c r="Z343" s="241"/>
    </row>
    <row r="344" spans="1:26" ht="13.5" customHeight="1" x14ac:dyDescent="0.3">
      <c r="A344" s="287"/>
      <c r="B344" s="287"/>
      <c r="C344" s="287"/>
      <c r="D344" s="287"/>
      <c r="E344" s="287"/>
      <c r="F344" s="287"/>
      <c r="G344" s="287"/>
      <c r="H344" s="287"/>
      <c r="I344" s="287"/>
      <c r="J344" s="287"/>
      <c r="K344" s="287"/>
      <c r="L344" s="241"/>
      <c r="M344" s="241"/>
      <c r="N344" s="241"/>
      <c r="O344" s="241"/>
      <c r="P344" s="241"/>
      <c r="Q344" s="241"/>
      <c r="R344" s="241"/>
      <c r="S344" s="241"/>
      <c r="T344" s="241"/>
      <c r="U344" s="241"/>
      <c r="V344" s="241"/>
      <c r="W344" s="241"/>
      <c r="X344" s="241"/>
      <c r="Y344" s="241"/>
      <c r="Z344" s="241"/>
    </row>
    <row r="345" spans="1:26" ht="13.5" customHeight="1" x14ac:dyDescent="0.3">
      <c r="A345" s="287"/>
      <c r="B345" s="287"/>
      <c r="C345" s="287"/>
      <c r="D345" s="287"/>
      <c r="E345" s="287"/>
      <c r="F345" s="287"/>
      <c r="G345" s="287"/>
      <c r="H345" s="287"/>
      <c r="I345" s="287"/>
      <c r="J345" s="287"/>
      <c r="K345" s="287"/>
      <c r="L345" s="241"/>
      <c r="M345" s="241"/>
      <c r="N345" s="241"/>
      <c r="O345" s="241"/>
      <c r="P345" s="241"/>
      <c r="Q345" s="241"/>
      <c r="R345" s="241"/>
      <c r="S345" s="241"/>
      <c r="T345" s="241"/>
      <c r="U345" s="241"/>
      <c r="V345" s="241"/>
      <c r="W345" s="241"/>
      <c r="X345" s="241"/>
      <c r="Y345" s="241"/>
      <c r="Z345" s="241"/>
    </row>
    <row r="346" spans="1:26" ht="13.5" customHeight="1" x14ac:dyDescent="0.3">
      <c r="A346" s="287"/>
      <c r="B346" s="287"/>
      <c r="C346" s="287"/>
      <c r="D346" s="287"/>
      <c r="E346" s="287"/>
      <c r="F346" s="287"/>
      <c r="G346" s="287"/>
      <c r="H346" s="287"/>
      <c r="I346" s="287"/>
      <c r="J346" s="287"/>
      <c r="K346" s="287"/>
      <c r="L346" s="241"/>
      <c r="M346" s="241"/>
      <c r="N346" s="241"/>
      <c r="O346" s="241"/>
      <c r="P346" s="241"/>
      <c r="Q346" s="241"/>
      <c r="R346" s="241"/>
      <c r="S346" s="241"/>
      <c r="T346" s="241"/>
      <c r="U346" s="241"/>
      <c r="V346" s="241"/>
      <c r="W346" s="241"/>
      <c r="X346" s="241"/>
      <c r="Y346" s="241"/>
      <c r="Z346" s="241"/>
    </row>
    <row r="347" spans="1:26" ht="13.5" customHeight="1" x14ac:dyDescent="0.3">
      <c r="A347" s="287"/>
      <c r="B347" s="287"/>
      <c r="C347" s="287"/>
      <c r="D347" s="287"/>
      <c r="E347" s="287"/>
      <c r="F347" s="287"/>
      <c r="G347" s="287"/>
      <c r="H347" s="287"/>
      <c r="I347" s="287"/>
      <c r="J347" s="287"/>
      <c r="K347" s="287"/>
      <c r="L347" s="241"/>
      <c r="M347" s="241"/>
      <c r="N347" s="241"/>
      <c r="O347" s="241"/>
      <c r="P347" s="241"/>
      <c r="Q347" s="241"/>
      <c r="R347" s="241"/>
      <c r="S347" s="241"/>
      <c r="T347" s="241"/>
      <c r="U347" s="241"/>
      <c r="V347" s="241"/>
      <c r="W347" s="241"/>
      <c r="X347" s="241"/>
      <c r="Y347" s="241"/>
      <c r="Z347" s="241"/>
    </row>
    <row r="348" spans="1:26" ht="13.5" customHeight="1" x14ac:dyDescent="0.3">
      <c r="A348" s="287"/>
      <c r="B348" s="287"/>
      <c r="C348" s="287"/>
      <c r="D348" s="287"/>
      <c r="E348" s="287"/>
      <c r="F348" s="287"/>
      <c r="G348" s="287"/>
      <c r="H348" s="287"/>
      <c r="I348" s="287"/>
      <c r="J348" s="287"/>
      <c r="K348" s="287"/>
      <c r="L348" s="241"/>
      <c r="M348" s="241"/>
      <c r="N348" s="241"/>
      <c r="O348" s="241"/>
      <c r="P348" s="241"/>
      <c r="Q348" s="241"/>
      <c r="R348" s="241"/>
      <c r="S348" s="241"/>
      <c r="T348" s="241"/>
      <c r="U348" s="241"/>
      <c r="V348" s="241"/>
      <c r="W348" s="241"/>
      <c r="X348" s="241"/>
      <c r="Y348" s="241"/>
      <c r="Z348" s="241"/>
    </row>
    <row r="349" spans="1:26" ht="13.5" customHeight="1" x14ac:dyDescent="0.3">
      <c r="A349" s="287"/>
      <c r="B349" s="287"/>
      <c r="C349" s="287"/>
      <c r="D349" s="287"/>
      <c r="E349" s="287"/>
      <c r="F349" s="287"/>
      <c r="G349" s="287"/>
      <c r="H349" s="287"/>
      <c r="I349" s="287"/>
      <c r="J349" s="287"/>
      <c r="K349" s="287"/>
      <c r="L349" s="241"/>
      <c r="M349" s="241"/>
      <c r="N349" s="241"/>
      <c r="O349" s="241"/>
      <c r="P349" s="241"/>
      <c r="Q349" s="241"/>
      <c r="R349" s="241"/>
      <c r="S349" s="241"/>
      <c r="T349" s="241"/>
      <c r="U349" s="241"/>
      <c r="V349" s="241"/>
      <c r="W349" s="241"/>
      <c r="X349" s="241"/>
      <c r="Y349" s="241"/>
      <c r="Z349" s="241"/>
    </row>
    <row r="350" spans="1:26" ht="13.5" customHeight="1" x14ac:dyDescent="0.3">
      <c r="A350" s="287"/>
      <c r="B350" s="287"/>
      <c r="C350" s="287"/>
      <c r="D350" s="287"/>
      <c r="E350" s="287"/>
      <c r="F350" s="287"/>
      <c r="G350" s="287"/>
      <c r="H350" s="287"/>
      <c r="I350" s="287"/>
      <c r="J350" s="287"/>
      <c r="K350" s="287"/>
      <c r="L350" s="241"/>
      <c r="M350" s="241"/>
      <c r="N350" s="241"/>
      <c r="O350" s="241"/>
      <c r="P350" s="241"/>
      <c r="Q350" s="241"/>
      <c r="R350" s="241"/>
      <c r="S350" s="241"/>
      <c r="T350" s="241"/>
      <c r="U350" s="241"/>
      <c r="V350" s="241"/>
      <c r="W350" s="241"/>
      <c r="X350" s="241"/>
      <c r="Y350" s="241"/>
      <c r="Z350" s="241"/>
    </row>
    <row r="351" spans="1:26" ht="13.5" customHeight="1" x14ac:dyDescent="0.3">
      <c r="A351" s="287"/>
      <c r="B351" s="287"/>
      <c r="C351" s="287"/>
      <c r="D351" s="287"/>
      <c r="E351" s="287"/>
      <c r="F351" s="287"/>
      <c r="G351" s="287"/>
      <c r="H351" s="287"/>
      <c r="I351" s="287"/>
      <c r="J351" s="287"/>
      <c r="K351" s="287"/>
      <c r="L351" s="241"/>
      <c r="M351" s="241"/>
      <c r="N351" s="241"/>
      <c r="O351" s="241"/>
      <c r="P351" s="241"/>
      <c r="Q351" s="241"/>
      <c r="R351" s="241"/>
      <c r="S351" s="241"/>
      <c r="T351" s="241"/>
      <c r="U351" s="241"/>
      <c r="V351" s="241"/>
      <c r="W351" s="241"/>
      <c r="X351" s="241"/>
      <c r="Y351" s="241"/>
      <c r="Z351" s="241"/>
    </row>
    <row r="352" spans="1:26" ht="13.5" customHeight="1" x14ac:dyDescent="0.3">
      <c r="A352" s="287"/>
      <c r="B352" s="287"/>
      <c r="C352" s="287"/>
      <c r="D352" s="287"/>
      <c r="E352" s="287"/>
      <c r="F352" s="287"/>
      <c r="G352" s="287"/>
      <c r="H352" s="287"/>
      <c r="I352" s="287"/>
      <c r="J352" s="287"/>
      <c r="K352" s="287"/>
      <c r="L352" s="241"/>
      <c r="M352" s="241"/>
      <c r="N352" s="241"/>
      <c r="O352" s="241"/>
      <c r="P352" s="241"/>
      <c r="Q352" s="241"/>
      <c r="R352" s="241"/>
      <c r="S352" s="241"/>
      <c r="T352" s="241"/>
      <c r="U352" s="241"/>
      <c r="V352" s="241"/>
      <c r="W352" s="241"/>
      <c r="X352" s="241"/>
      <c r="Y352" s="241"/>
      <c r="Z352" s="241"/>
    </row>
    <row r="353" spans="1:26" ht="13.5" customHeight="1" x14ac:dyDescent="0.3">
      <c r="A353" s="287"/>
      <c r="B353" s="287"/>
      <c r="C353" s="287"/>
      <c r="D353" s="287"/>
      <c r="E353" s="287"/>
      <c r="F353" s="287"/>
      <c r="G353" s="287"/>
      <c r="H353" s="287"/>
      <c r="I353" s="287"/>
      <c r="J353" s="287"/>
      <c r="K353" s="287"/>
      <c r="L353" s="241"/>
      <c r="M353" s="241"/>
      <c r="N353" s="241"/>
      <c r="O353" s="241"/>
      <c r="P353" s="241"/>
      <c r="Q353" s="241"/>
      <c r="R353" s="241"/>
      <c r="S353" s="241"/>
      <c r="T353" s="241"/>
      <c r="U353" s="241"/>
      <c r="V353" s="241"/>
      <c r="W353" s="241"/>
      <c r="X353" s="241"/>
      <c r="Y353" s="241"/>
      <c r="Z353" s="241"/>
    </row>
    <row r="354" spans="1:26" ht="13.5" customHeight="1" x14ac:dyDescent="0.3">
      <c r="A354" s="287"/>
      <c r="B354" s="287"/>
      <c r="C354" s="287"/>
      <c r="D354" s="287"/>
      <c r="E354" s="287"/>
      <c r="F354" s="287"/>
      <c r="G354" s="287"/>
      <c r="H354" s="287"/>
      <c r="I354" s="287"/>
      <c r="J354" s="287"/>
      <c r="K354" s="287"/>
      <c r="L354" s="241"/>
      <c r="M354" s="241"/>
      <c r="N354" s="241"/>
      <c r="O354" s="241"/>
      <c r="P354" s="241"/>
      <c r="Q354" s="241"/>
      <c r="R354" s="241"/>
      <c r="S354" s="241"/>
      <c r="T354" s="241"/>
      <c r="U354" s="241"/>
      <c r="V354" s="241"/>
      <c r="W354" s="241"/>
      <c r="X354" s="241"/>
      <c r="Y354" s="241"/>
      <c r="Z354" s="241"/>
    </row>
    <row r="355" spans="1:26" ht="13.5" customHeight="1" x14ac:dyDescent="0.3">
      <c r="A355" s="287"/>
      <c r="B355" s="287"/>
      <c r="C355" s="287"/>
      <c r="D355" s="287"/>
      <c r="E355" s="287"/>
      <c r="F355" s="287"/>
      <c r="G355" s="287"/>
      <c r="H355" s="287"/>
      <c r="I355" s="287"/>
      <c r="J355" s="287"/>
      <c r="K355" s="287"/>
      <c r="L355" s="241"/>
      <c r="M355" s="241"/>
      <c r="N355" s="241"/>
      <c r="O355" s="241"/>
      <c r="P355" s="241"/>
      <c r="Q355" s="241"/>
      <c r="R355" s="241"/>
      <c r="S355" s="241"/>
      <c r="T355" s="241"/>
      <c r="U355" s="241"/>
      <c r="V355" s="241"/>
      <c r="W355" s="241"/>
      <c r="X355" s="241"/>
      <c r="Y355" s="241"/>
      <c r="Z355" s="241"/>
    </row>
    <row r="356" spans="1:26" ht="13.5" customHeight="1" x14ac:dyDescent="0.3">
      <c r="A356" s="287"/>
      <c r="B356" s="287"/>
      <c r="C356" s="287"/>
      <c r="D356" s="287"/>
      <c r="E356" s="287"/>
      <c r="F356" s="287"/>
      <c r="G356" s="287"/>
      <c r="H356" s="287"/>
      <c r="I356" s="287"/>
      <c r="J356" s="287"/>
      <c r="K356" s="287"/>
      <c r="L356" s="241"/>
      <c r="M356" s="241"/>
      <c r="N356" s="241"/>
      <c r="O356" s="241"/>
      <c r="P356" s="241"/>
      <c r="Q356" s="241"/>
      <c r="R356" s="241"/>
      <c r="S356" s="241"/>
      <c r="T356" s="241"/>
      <c r="U356" s="241"/>
      <c r="V356" s="241"/>
      <c r="W356" s="241"/>
      <c r="X356" s="241"/>
      <c r="Y356" s="241"/>
      <c r="Z356" s="241"/>
    </row>
    <row r="357" spans="1:26" ht="13.5" customHeight="1" x14ac:dyDescent="0.3">
      <c r="A357" s="287"/>
      <c r="B357" s="287"/>
      <c r="C357" s="287"/>
      <c r="D357" s="287"/>
      <c r="E357" s="287"/>
      <c r="F357" s="287"/>
      <c r="G357" s="287"/>
      <c r="H357" s="287"/>
      <c r="I357" s="287"/>
      <c r="J357" s="287"/>
      <c r="K357" s="287"/>
      <c r="L357" s="241"/>
      <c r="M357" s="241"/>
      <c r="N357" s="241"/>
      <c r="O357" s="241"/>
      <c r="P357" s="241"/>
      <c r="Q357" s="241"/>
      <c r="R357" s="241"/>
      <c r="S357" s="241"/>
      <c r="T357" s="241"/>
      <c r="U357" s="241"/>
      <c r="V357" s="241"/>
      <c r="W357" s="241"/>
      <c r="X357" s="241"/>
      <c r="Y357" s="241"/>
      <c r="Z357" s="241"/>
    </row>
    <row r="358" spans="1:26" ht="13.5" customHeight="1" x14ac:dyDescent="0.3">
      <c r="A358" s="287"/>
      <c r="B358" s="287"/>
      <c r="C358" s="287"/>
      <c r="D358" s="287"/>
      <c r="E358" s="287"/>
      <c r="F358" s="287"/>
      <c r="G358" s="287"/>
      <c r="H358" s="287"/>
      <c r="I358" s="287"/>
      <c r="J358" s="287"/>
      <c r="K358" s="287"/>
      <c r="L358" s="241"/>
      <c r="M358" s="241"/>
      <c r="N358" s="241"/>
      <c r="O358" s="241"/>
      <c r="P358" s="241"/>
      <c r="Q358" s="241"/>
      <c r="R358" s="241"/>
      <c r="S358" s="241"/>
      <c r="T358" s="241"/>
      <c r="U358" s="241"/>
      <c r="V358" s="241"/>
      <c r="W358" s="241"/>
      <c r="X358" s="241"/>
      <c r="Y358" s="241"/>
      <c r="Z358" s="241"/>
    </row>
    <row r="359" spans="1:26" ht="13.5" customHeight="1" x14ac:dyDescent="0.3">
      <c r="A359" s="287"/>
      <c r="B359" s="287"/>
      <c r="C359" s="287"/>
      <c r="D359" s="287"/>
      <c r="E359" s="287"/>
      <c r="F359" s="287"/>
      <c r="G359" s="287"/>
      <c r="H359" s="287"/>
      <c r="I359" s="287"/>
      <c r="J359" s="287"/>
      <c r="K359" s="287"/>
      <c r="L359" s="241"/>
      <c r="M359" s="241"/>
      <c r="N359" s="241"/>
      <c r="O359" s="241"/>
      <c r="P359" s="241"/>
      <c r="Q359" s="241"/>
      <c r="R359" s="241"/>
      <c r="S359" s="241"/>
      <c r="T359" s="241"/>
      <c r="U359" s="241"/>
      <c r="V359" s="241"/>
      <c r="W359" s="241"/>
      <c r="X359" s="241"/>
      <c r="Y359" s="241"/>
      <c r="Z359" s="241"/>
    </row>
    <row r="360" spans="1:26" ht="13.5" customHeight="1" x14ac:dyDescent="0.3">
      <c r="A360" s="287"/>
      <c r="B360" s="287"/>
      <c r="C360" s="287"/>
      <c r="D360" s="287"/>
      <c r="E360" s="287"/>
      <c r="F360" s="287"/>
      <c r="G360" s="287"/>
      <c r="H360" s="287"/>
      <c r="I360" s="287"/>
      <c r="J360" s="287"/>
      <c r="K360" s="287"/>
      <c r="L360" s="241"/>
      <c r="M360" s="241"/>
      <c r="N360" s="241"/>
      <c r="O360" s="241"/>
      <c r="P360" s="241"/>
      <c r="Q360" s="241"/>
      <c r="R360" s="241"/>
      <c r="S360" s="241"/>
      <c r="T360" s="241"/>
      <c r="U360" s="241"/>
      <c r="V360" s="241"/>
      <c r="W360" s="241"/>
      <c r="X360" s="241"/>
      <c r="Y360" s="241"/>
      <c r="Z360" s="241"/>
    </row>
    <row r="361" spans="1:26" ht="13.5" customHeight="1" x14ac:dyDescent="0.3">
      <c r="A361" s="287"/>
      <c r="B361" s="287"/>
      <c r="C361" s="287"/>
      <c r="D361" s="287"/>
      <c r="E361" s="287"/>
      <c r="F361" s="287"/>
      <c r="G361" s="287"/>
      <c r="H361" s="287"/>
      <c r="I361" s="287"/>
      <c r="J361" s="287"/>
      <c r="K361" s="287"/>
      <c r="L361" s="241"/>
      <c r="M361" s="241"/>
      <c r="N361" s="241"/>
      <c r="O361" s="241"/>
      <c r="P361" s="241"/>
      <c r="Q361" s="241"/>
      <c r="R361" s="241"/>
      <c r="S361" s="241"/>
      <c r="T361" s="241"/>
      <c r="U361" s="241"/>
      <c r="V361" s="241"/>
      <c r="W361" s="241"/>
      <c r="X361" s="241"/>
      <c r="Y361" s="241"/>
      <c r="Z361" s="241"/>
    </row>
    <row r="362" spans="1:26" ht="13.5" customHeight="1" x14ac:dyDescent="0.3">
      <c r="A362" s="287"/>
      <c r="B362" s="287"/>
      <c r="C362" s="287"/>
      <c r="D362" s="287"/>
      <c r="E362" s="287"/>
      <c r="F362" s="287"/>
      <c r="G362" s="287"/>
      <c r="H362" s="287"/>
      <c r="I362" s="287"/>
      <c r="J362" s="287"/>
      <c r="K362" s="287"/>
      <c r="L362" s="241"/>
      <c r="M362" s="241"/>
      <c r="N362" s="241"/>
      <c r="O362" s="241"/>
      <c r="P362" s="241"/>
      <c r="Q362" s="241"/>
      <c r="R362" s="241"/>
      <c r="S362" s="241"/>
      <c r="T362" s="241"/>
      <c r="U362" s="241"/>
      <c r="V362" s="241"/>
      <c r="W362" s="241"/>
      <c r="X362" s="241"/>
      <c r="Y362" s="241"/>
      <c r="Z362" s="241"/>
    </row>
    <row r="363" spans="1:26" ht="13.5" customHeight="1" x14ac:dyDescent="0.3">
      <c r="A363" s="287"/>
      <c r="B363" s="287"/>
      <c r="C363" s="287"/>
      <c r="D363" s="287"/>
      <c r="E363" s="287"/>
      <c r="F363" s="287"/>
      <c r="G363" s="287"/>
      <c r="H363" s="287"/>
      <c r="I363" s="287"/>
      <c r="J363" s="287"/>
      <c r="K363" s="287"/>
      <c r="L363" s="241"/>
      <c r="M363" s="241"/>
      <c r="N363" s="241"/>
      <c r="O363" s="241"/>
      <c r="P363" s="241"/>
      <c r="Q363" s="241"/>
      <c r="R363" s="241"/>
      <c r="S363" s="241"/>
      <c r="T363" s="241"/>
      <c r="U363" s="241"/>
      <c r="V363" s="241"/>
      <c r="W363" s="241"/>
      <c r="X363" s="241"/>
      <c r="Y363" s="241"/>
      <c r="Z363" s="241"/>
    </row>
    <row r="364" spans="1:26" ht="13.5" customHeight="1" x14ac:dyDescent="0.3">
      <c r="A364" s="287"/>
      <c r="B364" s="287"/>
      <c r="C364" s="287"/>
      <c r="D364" s="287"/>
      <c r="E364" s="287"/>
      <c r="F364" s="287"/>
      <c r="G364" s="287"/>
      <c r="H364" s="287"/>
      <c r="I364" s="287"/>
      <c r="J364" s="287"/>
      <c r="K364" s="287"/>
      <c r="L364" s="241"/>
      <c r="M364" s="241"/>
      <c r="N364" s="241"/>
      <c r="O364" s="241"/>
      <c r="P364" s="241"/>
      <c r="Q364" s="241"/>
      <c r="R364" s="241"/>
      <c r="S364" s="241"/>
      <c r="T364" s="241"/>
      <c r="U364" s="241"/>
      <c r="V364" s="241"/>
      <c r="W364" s="241"/>
      <c r="X364" s="241"/>
      <c r="Y364" s="241"/>
      <c r="Z364" s="241"/>
    </row>
    <row r="365" spans="1:26" ht="13.5" customHeight="1" x14ac:dyDescent="0.3">
      <c r="A365" s="287"/>
      <c r="B365" s="287"/>
      <c r="C365" s="287"/>
      <c r="D365" s="287"/>
      <c r="E365" s="287"/>
      <c r="F365" s="287"/>
      <c r="G365" s="287"/>
      <c r="H365" s="287"/>
      <c r="I365" s="287"/>
      <c r="J365" s="287"/>
      <c r="K365" s="287"/>
      <c r="L365" s="241"/>
      <c r="M365" s="241"/>
      <c r="N365" s="241"/>
      <c r="O365" s="241"/>
      <c r="P365" s="241"/>
      <c r="Q365" s="241"/>
      <c r="R365" s="241"/>
      <c r="S365" s="241"/>
      <c r="T365" s="241"/>
      <c r="U365" s="241"/>
      <c r="V365" s="241"/>
      <c r="W365" s="241"/>
      <c r="X365" s="241"/>
      <c r="Y365" s="241"/>
      <c r="Z365" s="241"/>
    </row>
    <row r="366" spans="1:26" ht="13.5" customHeight="1" x14ac:dyDescent="0.3">
      <c r="A366" s="287"/>
      <c r="B366" s="287"/>
      <c r="C366" s="287"/>
      <c r="D366" s="287"/>
      <c r="E366" s="287"/>
      <c r="F366" s="287"/>
      <c r="G366" s="287"/>
      <c r="H366" s="287"/>
      <c r="I366" s="287"/>
      <c r="J366" s="287"/>
      <c r="K366" s="287"/>
      <c r="L366" s="241"/>
      <c r="M366" s="241"/>
      <c r="N366" s="241"/>
      <c r="O366" s="241"/>
      <c r="P366" s="241"/>
      <c r="Q366" s="241"/>
      <c r="R366" s="241"/>
      <c r="S366" s="241"/>
      <c r="T366" s="241"/>
      <c r="U366" s="241"/>
      <c r="V366" s="241"/>
      <c r="W366" s="241"/>
      <c r="X366" s="241"/>
      <c r="Y366" s="241"/>
      <c r="Z366" s="241"/>
    </row>
    <row r="367" spans="1:26" ht="13.5" customHeight="1" x14ac:dyDescent="0.3">
      <c r="A367" s="287"/>
      <c r="B367" s="287"/>
      <c r="C367" s="287"/>
      <c r="D367" s="287"/>
      <c r="E367" s="287"/>
      <c r="F367" s="287"/>
      <c r="G367" s="287"/>
      <c r="H367" s="287"/>
      <c r="I367" s="287"/>
      <c r="J367" s="287"/>
      <c r="K367" s="287"/>
      <c r="L367" s="241"/>
      <c r="M367" s="241"/>
      <c r="N367" s="241"/>
      <c r="O367" s="241"/>
      <c r="P367" s="241"/>
      <c r="Q367" s="241"/>
      <c r="R367" s="241"/>
      <c r="S367" s="241"/>
      <c r="T367" s="241"/>
      <c r="U367" s="241"/>
      <c r="V367" s="241"/>
      <c r="W367" s="241"/>
      <c r="X367" s="241"/>
      <c r="Y367" s="241"/>
      <c r="Z367" s="241"/>
    </row>
    <row r="368" spans="1:26" ht="13.5" customHeight="1" x14ac:dyDescent="0.3">
      <c r="A368" s="287"/>
      <c r="B368" s="287"/>
      <c r="C368" s="287"/>
      <c r="D368" s="287"/>
      <c r="E368" s="287"/>
      <c r="F368" s="287"/>
      <c r="G368" s="287"/>
      <c r="H368" s="287"/>
      <c r="I368" s="287"/>
      <c r="J368" s="287"/>
      <c r="K368" s="287"/>
      <c r="L368" s="241"/>
      <c r="M368" s="241"/>
      <c r="N368" s="241"/>
      <c r="O368" s="241"/>
      <c r="P368" s="241"/>
      <c r="Q368" s="241"/>
      <c r="R368" s="241"/>
      <c r="S368" s="241"/>
      <c r="T368" s="241"/>
      <c r="U368" s="241"/>
      <c r="V368" s="241"/>
      <c r="W368" s="241"/>
      <c r="X368" s="241"/>
      <c r="Y368" s="241"/>
      <c r="Z368" s="241"/>
    </row>
    <row r="369" spans="1:26" ht="13.5" customHeight="1" x14ac:dyDescent="0.3">
      <c r="A369" s="287"/>
      <c r="B369" s="287"/>
      <c r="C369" s="287"/>
      <c r="D369" s="287"/>
      <c r="E369" s="287"/>
      <c r="F369" s="287"/>
      <c r="G369" s="287"/>
      <c r="H369" s="287"/>
      <c r="I369" s="287"/>
      <c r="J369" s="287"/>
      <c r="K369" s="287"/>
      <c r="L369" s="241"/>
      <c r="M369" s="241"/>
      <c r="N369" s="241"/>
      <c r="O369" s="241"/>
      <c r="P369" s="241"/>
      <c r="Q369" s="241"/>
      <c r="R369" s="241"/>
      <c r="S369" s="241"/>
      <c r="T369" s="241"/>
      <c r="U369" s="241"/>
      <c r="V369" s="241"/>
      <c r="W369" s="241"/>
      <c r="X369" s="241"/>
      <c r="Y369" s="241"/>
      <c r="Z369" s="241"/>
    </row>
    <row r="370" spans="1:26" ht="13.5" customHeight="1" x14ac:dyDescent="0.3">
      <c r="A370" s="287"/>
      <c r="B370" s="287"/>
      <c r="C370" s="287"/>
      <c r="D370" s="287"/>
      <c r="E370" s="287"/>
      <c r="F370" s="287"/>
      <c r="G370" s="287"/>
      <c r="H370" s="287"/>
      <c r="I370" s="287"/>
      <c r="J370" s="287"/>
      <c r="K370" s="287"/>
      <c r="L370" s="241"/>
      <c r="M370" s="241"/>
      <c r="N370" s="241"/>
      <c r="O370" s="241"/>
      <c r="P370" s="241"/>
      <c r="Q370" s="241"/>
      <c r="R370" s="241"/>
      <c r="S370" s="241"/>
      <c r="T370" s="241"/>
      <c r="U370" s="241"/>
      <c r="V370" s="241"/>
      <c r="W370" s="241"/>
      <c r="X370" s="241"/>
      <c r="Y370" s="241"/>
      <c r="Z370" s="241"/>
    </row>
    <row r="371" spans="1:26" ht="13.5" customHeight="1" x14ac:dyDescent="0.3">
      <c r="A371" s="287"/>
      <c r="B371" s="287"/>
      <c r="C371" s="287"/>
      <c r="D371" s="287"/>
      <c r="E371" s="287"/>
      <c r="F371" s="287"/>
      <c r="G371" s="287"/>
      <c r="H371" s="287"/>
      <c r="I371" s="287"/>
      <c r="J371" s="287"/>
      <c r="K371" s="287"/>
      <c r="L371" s="241"/>
      <c r="M371" s="241"/>
      <c r="N371" s="241"/>
      <c r="O371" s="241"/>
      <c r="P371" s="241"/>
      <c r="Q371" s="241"/>
      <c r="R371" s="241"/>
      <c r="S371" s="241"/>
      <c r="T371" s="241"/>
      <c r="U371" s="241"/>
      <c r="V371" s="241"/>
      <c r="W371" s="241"/>
      <c r="X371" s="241"/>
      <c r="Y371" s="241"/>
      <c r="Z371" s="241"/>
    </row>
    <row r="372" spans="1:26" ht="13.5" customHeight="1" x14ac:dyDescent="0.3">
      <c r="A372" s="287"/>
      <c r="B372" s="287"/>
      <c r="C372" s="287"/>
      <c r="D372" s="287"/>
      <c r="E372" s="287"/>
      <c r="F372" s="287"/>
      <c r="G372" s="287"/>
      <c r="H372" s="287"/>
      <c r="I372" s="287"/>
      <c r="J372" s="287"/>
      <c r="K372" s="287"/>
      <c r="L372" s="241"/>
      <c r="M372" s="241"/>
      <c r="N372" s="241"/>
      <c r="O372" s="241"/>
      <c r="P372" s="241"/>
      <c r="Q372" s="241"/>
      <c r="R372" s="241"/>
      <c r="S372" s="241"/>
      <c r="T372" s="241"/>
      <c r="U372" s="241"/>
      <c r="V372" s="241"/>
      <c r="W372" s="241"/>
      <c r="X372" s="241"/>
      <c r="Y372" s="241"/>
      <c r="Z372" s="241"/>
    </row>
    <row r="373" spans="1:26" ht="13.5" customHeight="1" x14ac:dyDescent="0.3">
      <c r="A373" s="287"/>
      <c r="B373" s="287"/>
      <c r="C373" s="287"/>
      <c r="D373" s="287"/>
      <c r="E373" s="287"/>
      <c r="F373" s="287"/>
      <c r="G373" s="287"/>
      <c r="H373" s="287"/>
      <c r="I373" s="287"/>
      <c r="J373" s="287"/>
      <c r="K373" s="287"/>
      <c r="L373" s="241"/>
      <c r="M373" s="241"/>
      <c r="N373" s="241"/>
      <c r="O373" s="241"/>
      <c r="P373" s="241"/>
      <c r="Q373" s="241"/>
      <c r="R373" s="241"/>
      <c r="S373" s="241"/>
      <c r="T373" s="241"/>
      <c r="U373" s="241"/>
      <c r="V373" s="241"/>
      <c r="W373" s="241"/>
      <c r="X373" s="241"/>
      <c r="Y373" s="241"/>
      <c r="Z373" s="241"/>
    </row>
    <row r="374" spans="1:26" ht="13.5" customHeight="1" x14ac:dyDescent="0.3">
      <c r="A374" s="287"/>
      <c r="B374" s="287"/>
      <c r="C374" s="287"/>
      <c r="D374" s="287"/>
      <c r="E374" s="287"/>
      <c r="F374" s="287"/>
      <c r="G374" s="287"/>
      <c r="H374" s="287"/>
      <c r="I374" s="287"/>
      <c r="J374" s="287"/>
      <c r="K374" s="287"/>
      <c r="L374" s="241"/>
      <c r="M374" s="241"/>
      <c r="N374" s="241"/>
      <c r="O374" s="241"/>
      <c r="P374" s="241"/>
      <c r="Q374" s="241"/>
      <c r="R374" s="241"/>
      <c r="S374" s="241"/>
      <c r="T374" s="241"/>
      <c r="U374" s="241"/>
      <c r="V374" s="241"/>
      <c r="W374" s="241"/>
      <c r="X374" s="241"/>
      <c r="Y374" s="241"/>
      <c r="Z374" s="241"/>
    </row>
    <row r="375" spans="1:26" ht="13.5" customHeight="1" x14ac:dyDescent="0.3">
      <c r="A375" s="287"/>
      <c r="B375" s="287"/>
      <c r="C375" s="287"/>
      <c r="D375" s="287"/>
      <c r="E375" s="287"/>
      <c r="F375" s="287"/>
      <c r="G375" s="287"/>
      <c r="H375" s="287"/>
      <c r="I375" s="287"/>
      <c r="J375" s="287"/>
      <c r="K375" s="287"/>
      <c r="L375" s="241"/>
      <c r="M375" s="241"/>
      <c r="N375" s="241"/>
      <c r="O375" s="241"/>
      <c r="P375" s="241"/>
      <c r="Q375" s="241"/>
      <c r="R375" s="241"/>
      <c r="S375" s="241"/>
      <c r="T375" s="241"/>
      <c r="U375" s="241"/>
      <c r="V375" s="241"/>
      <c r="W375" s="241"/>
      <c r="X375" s="241"/>
      <c r="Y375" s="241"/>
      <c r="Z375" s="241"/>
    </row>
    <row r="376" spans="1:26" ht="13.5" customHeight="1" x14ac:dyDescent="0.3">
      <c r="A376" s="287"/>
      <c r="B376" s="287"/>
      <c r="C376" s="287"/>
      <c r="D376" s="287"/>
      <c r="E376" s="287"/>
      <c r="F376" s="287"/>
      <c r="G376" s="287"/>
      <c r="H376" s="287"/>
      <c r="I376" s="287"/>
      <c r="J376" s="287"/>
      <c r="K376" s="287"/>
      <c r="L376" s="241"/>
      <c r="M376" s="241"/>
      <c r="N376" s="241"/>
      <c r="O376" s="241"/>
      <c r="P376" s="241"/>
      <c r="Q376" s="241"/>
      <c r="R376" s="241"/>
      <c r="S376" s="241"/>
      <c r="T376" s="241"/>
      <c r="U376" s="241"/>
      <c r="V376" s="241"/>
      <c r="W376" s="241"/>
      <c r="X376" s="241"/>
      <c r="Y376" s="241"/>
      <c r="Z376" s="241"/>
    </row>
    <row r="377" spans="1:26" ht="13.5" customHeight="1" x14ac:dyDescent="0.3">
      <c r="A377" s="287"/>
      <c r="B377" s="287"/>
      <c r="C377" s="287"/>
      <c r="D377" s="287"/>
      <c r="E377" s="287"/>
      <c r="F377" s="287"/>
      <c r="G377" s="287"/>
      <c r="H377" s="287"/>
      <c r="I377" s="287"/>
      <c r="J377" s="287"/>
      <c r="K377" s="287"/>
      <c r="L377" s="241"/>
      <c r="M377" s="241"/>
      <c r="N377" s="241"/>
      <c r="O377" s="241"/>
      <c r="P377" s="241"/>
      <c r="Q377" s="241"/>
      <c r="R377" s="241"/>
      <c r="S377" s="241"/>
      <c r="T377" s="241"/>
      <c r="U377" s="241"/>
      <c r="V377" s="241"/>
      <c r="W377" s="241"/>
      <c r="X377" s="241"/>
      <c r="Y377" s="241"/>
      <c r="Z377" s="241"/>
    </row>
    <row r="378" spans="1:26" ht="13.5" customHeight="1" x14ac:dyDescent="0.3">
      <c r="A378" s="287"/>
      <c r="B378" s="287"/>
      <c r="C378" s="287"/>
      <c r="D378" s="287"/>
      <c r="E378" s="287"/>
      <c r="F378" s="287"/>
      <c r="G378" s="287"/>
      <c r="H378" s="287"/>
      <c r="I378" s="287"/>
      <c r="J378" s="287"/>
      <c r="K378" s="287"/>
      <c r="L378" s="241"/>
      <c r="M378" s="241"/>
      <c r="N378" s="241"/>
      <c r="O378" s="241"/>
      <c r="P378" s="241"/>
      <c r="Q378" s="241"/>
      <c r="R378" s="241"/>
      <c r="S378" s="241"/>
      <c r="T378" s="241"/>
      <c r="U378" s="241"/>
      <c r="V378" s="241"/>
      <c r="W378" s="241"/>
      <c r="X378" s="241"/>
      <c r="Y378" s="241"/>
      <c r="Z378" s="241"/>
    </row>
    <row r="379" spans="1:26" ht="13.5" customHeight="1" x14ac:dyDescent="0.3">
      <c r="A379" s="287"/>
      <c r="B379" s="287"/>
      <c r="C379" s="287"/>
      <c r="D379" s="287"/>
      <c r="E379" s="287"/>
      <c r="F379" s="287"/>
      <c r="G379" s="287"/>
      <c r="H379" s="287"/>
      <c r="I379" s="287"/>
      <c r="J379" s="287"/>
      <c r="K379" s="287"/>
      <c r="L379" s="241"/>
      <c r="M379" s="241"/>
      <c r="N379" s="241"/>
      <c r="O379" s="241"/>
      <c r="P379" s="241"/>
      <c r="Q379" s="241"/>
      <c r="R379" s="241"/>
      <c r="S379" s="241"/>
      <c r="T379" s="241"/>
      <c r="U379" s="241"/>
      <c r="V379" s="241"/>
      <c r="W379" s="241"/>
      <c r="X379" s="241"/>
      <c r="Y379" s="241"/>
      <c r="Z379" s="241"/>
    </row>
    <row r="380" spans="1:26" ht="13.5" customHeight="1" x14ac:dyDescent="0.3">
      <c r="A380" s="287"/>
      <c r="B380" s="287"/>
      <c r="C380" s="287"/>
      <c r="D380" s="287"/>
      <c r="E380" s="287"/>
      <c r="F380" s="287"/>
      <c r="G380" s="287"/>
      <c r="H380" s="287"/>
      <c r="I380" s="287"/>
      <c r="J380" s="287"/>
      <c r="K380" s="287"/>
      <c r="L380" s="241"/>
      <c r="M380" s="241"/>
      <c r="N380" s="241"/>
      <c r="O380" s="241"/>
      <c r="P380" s="241"/>
      <c r="Q380" s="241"/>
      <c r="R380" s="241"/>
      <c r="S380" s="241"/>
      <c r="T380" s="241"/>
      <c r="U380" s="241"/>
      <c r="V380" s="241"/>
      <c r="W380" s="241"/>
      <c r="X380" s="241"/>
      <c r="Y380" s="241"/>
      <c r="Z380" s="241"/>
    </row>
    <row r="381" spans="1:26" ht="13.5" customHeight="1" x14ac:dyDescent="0.3">
      <c r="A381" s="287"/>
      <c r="B381" s="287"/>
      <c r="C381" s="287"/>
      <c r="D381" s="287"/>
      <c r="E381" s="287"/>
      <c r="F381" s="287"/>
      <c r="G381" s="287"/>
      <c r="H381" s="287"/>
      <c r="I381" s="287"/>
      <c r="J381" s="287"/>
      <c r="K381" s="287"/>
      <c r="L381" s="241"/>
      <c r="M381" s="241"/>
      <c r="N381" s="241"/>
      <c r="O381" s="241"/>
      <c r="P381" s="241"/>
      <c r="Q381" s="241"/>
      <c r="R381" s="241"/>
      <c r="S381" s="241"/>
      <c r="T381" s="241"/>
      <c r="U381" s="241"/>
      <c r="V381" s="241"/>
      <c r="W381" s="241"/>
      <c r="X381" s="241"/>
      <c r="Y381" s="241"/>
      <c r="Z381" s="241"/>
    </row>
    <row r="382" spans="1:26" ht="13.5" customHeight="1" x14ac:dyDescent="0.3">
      <c r="A382" s="287"/>
      <c r="B382" s="287"/>
      <c r="C382" s="287"/>
      <c r="D382" s="287"/>
      <c r="E382" s="287"/>
      <c r="F382" s="287"/>
      <c r="G382" s="287"/>
      <c r="H382" s="287"/>
      <c r="I382" s="287"/>
      <c r="J382" s="287"/>
      <c r="K382" s="287"/>
      <c r="L382" s="241"/>
      <c r="M382" s="241"/>
      <c r="N382" s="241"/>
      <c r="O382" s="241"/>
      <c r="P382" s="241"/>
      <c r="Q382" s="241"/>
      <c r="R382" s="241"/>
      <c r="S382" s="241"/>
      <c r="T382" s="241"/>
      <c r="U382" s="241"/>
      <c r="V382" s="241"/>
      <c r="W382" s="241"/>
      <c r="X382" s="241"/>
      <c r="Y382" s="241"/>
      <c r="Z382" s="241"/>
    </row>
    <row r="383" spans="1:26" ht="13.5" customHeight="1" x14ac:dyDescent="0.3">
      <c r="A383" s="287"/>
      <c r="B383" s="287"/>
      <c r="C383" s="287"/>
      <c r="D383" s="287"/>
      <c r="E383" s="287"/>
      <c r="F383" s="287"/>
      <c r="G383" s="287"/>
      <c r="H383" s="287"/>
      <c r="I383" s="287"/>
      <c r="J383" s="287"/>
      <c r="K383" s="287"/>
      <c r="L383" s="241"/>
      <c r="M383" s="241"/>
      <c r="N383" s="241"/>
      <c r="O383" s="241"/>
      <c r="P383" s="241"/>
      <c r="Q383" s="241"/>
      <c r="R383" s="241"/>
      <c r="S383" s="241"/>
      <c r="T383" s="241"/>
      <c r="U383" s="241"/>
      <c r="V383" s="241"/>
      <c r="W383" s="241"/>
      <c r="X383" s="241"/>
      <c r="Y383" s="241"/>
      <c r="Z383" s="241"/>
    </row>
    <row r="384" spans="1:26" ht="13.5" customHeight="1" x14ac:dyDescent="0.3">
      <c r="A384" s="287"/>
      <c r="B384" s="287"/>
      <c r="C384" s="287"/>
      <c r="D384" s="287"/>
      <c r="E384" s="287"/>
      <c r="F384" s="287"/>
      <c r="G384" s="287"/>
      <c r="H384" s="287"/>
      <c r="I384" s="287"/>
      <c r="J384" s="287"/>
      <c r="K384" s="287"/>
      <c r="L384" s="241"/>
      <c r="M384" s="241"/>
      <c r="N384" s="241"/>
      <c r="O384" s="241"/>
      <c r="P384" s="241"/>
      <c r="Q384" s="241"/>
      <c r="R384" s="241"/>
      <c r="S384" s="241"/>
      <c r="T384" s="241"/>
      <c r="U384" s="241"/>
      <c r="V384" s="241"/>
      <c r="W384" s="241"/>
      <c r="X384" s="241"/>
      <c r="Y384" s="241"/>
      <c r="Z384" s="241"/>
    </row>
    <row r="385" spans="1:26" ht="13.5" customHeight="1" x14ac:dyDescent="0.3">
      <c r="A385" s="287"/>
      <c r="B385" s="287"/>
      <c r="C385" s="287"/>
      <c r="D385" s="287"/>
      <c r="E385" s="287"/>
      <c r="F385" s="287"/>
      <c r="G385" s="287"/>
      <c r="H385" s="287"/>
      <c r="I385" s="287"/>
      <c r="J385" s="287"/>
      <c r="K385" s="287"/>
      <c r="L385" s="241"/>
      <c r="M385" s="241"/>
      <c r="N385" s="241"/>
      <c r="O385" s="241"/>
      <c r="P385" s="241"/>
      <c r="Q385" s="241"/>
      <c r="R385" s="241"/>
      <c r="S385" s="241"/>
      <c r="T385" s="241"/>
      <c r="U385" s="241"/>
      <c r="V385" s="241"/>
      <c r="W385" s="241"/>
      <c r="X385" s="241"/>
      <c r="Y385" s="241"/>
      <c r="Z385" s="241"/>
    </row>
    <row r="386" spans="1:26" ht="13.5" customHeight="1" x14ac:dyDescent="0.3">
      <c r="A386" s="241"/>
      <c r="B386" s="241"/>
      <c r="C386" s="241"/>
      <c r="D386" s="241"/>
      <c r="E386" s="241"/>
      <c r="F386" s="241"/>
      <c r="G386" s="241"/>
      <c r="H386" s="241"/>
      <c r="I386" s="241"/>
      <c r="J386" s="241"/>
      <c r="K386" s="241"/>
      <c r="L386" s="241"/>
      <c r="M386" s="241"/>
      <c r="N386" s="241"/>
      <c r="O386" s="241"/>
      <c r="P386" s="241"/>
      <c r="Q386" s="241"/>
      <c r="R386" s="241"/>
      <c r="S386" s="241"/>
      <c r="T386" s="241"/>
      <c r="U386" s="241"/>
      <c r="V386" s="241"/>
      <c r="W386" s="241"/>
      <c r="X386" s="241"/>
      <c r="Y386" s="241"/>
      <c r="Z386" s="241"/>
    </row>
    <row r="387" spans="1:26" ht="13.5" customHeight="1" x14ac:dyDescent="0.3">
      <c r="A387" s="241"/>
      <c r="B387" s="241"/>
      <c r="C387" s="241"/>
      <c r="D387" s="241"/>
      <c r="E387" s="241"/>
      <c r="F387" s="241"/>
      <c r="G387" s="241"/>
      <c r="H387" s="241"/>
      <c r="I387" s="241"/>
      <c r="J387" s="241"/>
      <c r="K387" s="241"/>
      <c r="L387" s="241"/>
      <c r="M387" s="241"/>
      <c r="N387" s="241"/>
      <c r="O387" s="241"/>
      <c r="P387" s="241"/>
      <c r="Q387" s="241"/>
      <c r="R387" s="241"/>
      <c r="S387" s="241"/>
      <c r="T387" s="241"/>
      <c r="U387" s="241"/>
      <c r="V387" s="241"/>
      <c r="W387" s="241"/>
      <c r="X387" s="241"/>
      <c r="Y387" s="241"/>
      <c r="Z387" s="241"/>
    </row>
    <row r="388" spans="1:26" ht="13.5" customHeight="1" x14ac:dyDescent="0.3">
      <c r="A388" s="241"/>
      <c r="B388" s="241"/>
      <c r="C388" s="241"/>
      <c r="D388" s="241"/>
      <c r="E388" s="241"/>
      <c r="F388" s="241"/>
      <c r="G388" s="241"/>
      <c r="H388" s="241"/>
      <c r="I388" s="241"/>
      <c r="J388" s="241"/>
      <c r="K388" s="241"/>
      <c r="L388" s="241"/>
      <c r="M388" s="241"/>
      <c r="N388" s="241"/>
      <c r="O388" s="241"/>
      <c r="P388" s="241"/>
      <c r="Q388" s="241"/>
      <c r="R388" s="241"/>
      <c r="S388" s="241"/>
      <c r="T388" s="241"/>
      <c r="U388" s="241"/>
      <c r="V388" s="241"/>
      <c r="W388" s="241"/>
      <c r="X388" s="241"/>
      <c r="Y388" s="241"/>
      <c r="Z388" s="241"/>
    </row>
    <row r="389" spans="1:26" ht="13.5" customHeight="1" x14ac:dyDescent="0.3">
      <c r="A389" s="241"/>
      <c r="B389" s="241"/>
      <c r="C389" s="241"/>
      <c r="D389" s="241"/>
      <c r="E389" s="241"/>
      <c r="F389" s="241"/>
      <c r="G389" s="241"/>
      <c r="H389" s="241"/>
      <c r="I389" s="241"/>
      <c r="J389" s="241"/>
      <c r="K389" s="241"/>
      <c r="L389" s="241"/>
      <c r="M389" s="241"/>
      <c r="N389" s="241"/>
      <c r="O389" s="241"/>
      <c r="P389" s="241"/>
      <c r="Q389" s="241"/>
      <c r="R389" s="241"/>
      <c r="S389" s="241"/>
      <c r="T389" s="241"/>
      <c r="U389" s="241"/>
      <c r="V389" s="241"/>
      <c r="W389" s="241"/>
      <c r="X389" s="241"/>
      <c r="Y389" s="241"/>
      <c r="Z389" s="241"/>
    </row>
    <row r="390" spans="1:26" ht="13.5" customHeight="1" x14ac:dyDescent="0.3">
      <c r="A390" s="241"/>
      <c r="B390" s="241"/>
      <c r="C390" s="241"/>
      <c r="D390" s="241"/>
      <c r="E390" s="241"/>
      <c r="F390" s="241"/>
      <c r="G390" s="241"/>
      <c r="H390" s="241"/>
      <c r="I390" s="241"/>
      <c r="J390" s="241"/>
      <c r="K390" s="241"/>
      <c r="L390" s="241"/>
      <c r="M390" s="241"/>
      <c r="N390" s="241"/>
      <c r="O390" s="241"/>
      <c r="P390" s="241"/>
      <c r="Q390" s="241"/>
      <c r="R390" s="241"/>
      <c r="S390" s="241"/>
      <c r="T390" s="241"/>
      <c r="U390" s="241"/>
      <c r="V390" s="241"/>
      <c r="W390" s="241"/>
      <c r="X390" s="241"/>
      <c r="Y390" s="241"/>
      <c r="Z390" s="241"/>
    </row>
    <row r="391" spans="1:26" ht="13.5" customHeight="1" x14ac:dyDescent="0.3">
      <c r="A391" s="241"/>
      <c r="B391" s="241"/>
      <c r="C391" s="241"/>
      <c r="D391" s="241"/>
      <c r="E391" s="241"/>
      <c r="F391" s="241"/>
      <c r="G391" s="241"/>
      <c r="H391" s="241"/>
      <c r="I391" s="241"/>
      <c r="J391" s="241"/>
      <c r="K391" s="241"/>
      <c r="L391" s="241"/>
      <c r="M391" s="241"/>
      <c r="N391" s="241"/>
      <c r="O391" s="241"/>
      <c r="P391" s="241"/>
      <c r="Q391" s="241"/>
      <c r="R391" s="241"/>
      <c r="S391" s="241"/>
      <c r="T391" s="241"/>
      <c r="U391" s="241"/>
      <c r="V391" s="241"/>
      <c r="W391" s="241"/>
      <c r="X391" s="241"/>
      <c r="Y391" s="241"/>
      <c r="Z391" s="241"/>
    </row>
    <row r="392" spans="1:26" ht="13.5" customHeight="1" x14ac:dyDescent="0.3">
      <c r="A392" s="241"/>
      <c r="B392" s="241"/>
      <c r="C392" s="241"/>
      <c r="D392" s="241"/>
      <c r="E392" s="241"/>
      <c r="F392" s="241"/>
      <c r="G392" s="241"/>
      <c r="H392" s="241"/>
      <c r="I392" s="241"/>
      <c r="J392" s="241"/>
      <c r="K392" s="241"/>
      <c r="L392" s="241"/>
      <c r="M392" s="241"/>
      <c r="N392" s="241"/>
      <c r="O392" s="241"/>
      <c r="P392" s="241"/>
      <c r="Q392" s="241"/>
      <c r="R392" s="241"/>
      <c r="S392" s="241"/>
      <c r="T392" s="241"/>
      <c r="U392" s="241"/>
      <c r="V392" s="241"/>
      <c r="W392" s="241"/>
      <c r="X392" s="241"/>
      <c r="Y392" s="241"/>
      <c r="Z392" s="241"/>
    </row>
    <row r="393" spans="1:26" ht="13.5" customHeight="1" x14ac:dyDescent="0.3">
      <c r="A393" s="241"/>
      <c r="B393" s="241"/>
      <c r="C393" s="241"/>
      <c r="D393" s="241"/>
      <c r="E393" s="241"/>
      <c r="F393" s="241"/>
      <c r="G393" s="241"/>
      <c r="H393" s="241"/>
      <c r="I393" s="241"/>
      <c r="J393" s="241"/>
      <c r="K393" s="241"/>
      <c r="L393" s="241"/>
      <c r="M393" s="241"/>
      <c r="N393" s="241"/>
      <c r="O393" s="241"/>
      <c r="P393" s="241"/>
      <c r="Q393" s="241"/>
      <c r="R393" s="241"/>
      <c r="S393" s="241"/>
      <c r="T393" s="241"/>
      <c r="U393" s="241"/>
      <c r="V393" s="241"/>
      <c r="W393" s="241"/>
      <c r="X393" s="241"/>
      <c r="Y393" s="241"/>
      <c r="Z393" s="241"/>
    </row>
    <row r="394" spans="1:26" ht="13.5" customHeight="1" x14ac:dyDescent="0.3">
      <c r="A394" s="241"/>
      <c r="B394" s="241"/>
      <c r="C394" s="241"/>
      <c r="D394" s="241"/>
      <c r="E394" s="241"/>
      <c r="F394" s="241"/>
      <c r="G394" s="241"/>
      <c r="H394" s="241"/>
      <c r="I394" s="241"/>
      <c r="J394" s="241"/>
      <c r="K394" s="241"/>
      <c r="L394" s="241"/>
      <c r="M394" s="241"/>
      <c r="N394" s="241"/>
      <c r="O394" s="241"/>
      <c r="P394" s="241"/>
      <c r="Q394" s="241"/>
      <c r="R394" s="241"/>
      <c r="S394" s="241"/>
      <c r="T394" s="241"/>
      <c r="U394" s="241"/>
      <c r="V394" s="241"/>
      <c r="W394" s="241"/>
      <c r="X394" s="241"/>
      <c r="Y394" s="241"/>
      <c r="Z394" s="241"/>
    </row>
    <row r="395" spans="1:26" ht="13.5" customHeight="1" x14ac:dyDescent="0.3">
      <c r="A395" s="241"/>
      <c r="B395" s="241"/>
      <c r="C395" s="241"/>
      <c r="D395" s="241"/>
      <c r="E395" s="241"/>
      <c r="F395" s="241"/>
      <c r="G395" s="241"/>
      <c r="H395" s="241"/>
      <c r="I395" s="241"/>
      <c r="J395" s="241"/>
      <c r="K395" s="241"/>
      <c r="L395" s="241"/>
      <c r="M395" s="241"/>
      <c r="N395" s="241"/>
      <c r="O395" s="241"/>
      <c r="P395" s="241"/>
      <c r="Q395" s="241"/>
      <c r="R395" s="241"/>
      <c r="S395" s="241"/>
      <c r="T395" s="241"/>
      <c r="U395" s="241"/>
      <c r="V395" s="241"/>
      <c r="W395" s="241"/>
      <c r="X395" s="241"/>
      <c r="Y395" s="241"/>
      <c r="Z395" s="241"/>
    </row>
    <row r="396" spans="1:26" ht="13.5" customHeight="1" x14ac:dyDescent="0.3">
      <c r="A396" s="241"/>
      <c r="B396" s="241"/>
      <c r="C396" s="241"/>
      <c r="D396" s="241"/>
      <c r="E396" s="241"/>
      <c r="F396" s="241"/>
      <c r="G396" s="241"/>
      <c r="H396" s="241"/>
      <c r="I396" s="241"/>
      <c r="J396" s="241"/>
      <c r="K396" s="241"/>
      <c r="L396" s="241"/>
      <c r="M396" s="241"/>
      <c r="N396" s="241"/>
      <c r="O396" s="241"/>
      <c r="P396" s="241"/>
      <c r="Q396" s="241"/>
      <c r="R396" s="241"/>
      <c r="S396" s="241"/>
      <c r="T396" s="241"/>
      <c r="U396" s="241"/>
      <c r="V396" s="241"/>
      <c r="W396" s="241"/>
      <c r="X396" s="241"/>
      <c r="Y396" s="241"/>
      <c r="Z396" s="241"/>
    </row>
    <row r="397" spans="1:26" ht="13.5" customHeight="1" x14ac:dyDescent="0.3">
      <c r="A397" s="241"/>
      <c r="B397" s="241"/>
      <c r="C397" s="241"/>
      <c r="D397" s="241"/>
      <c r="E397" s="241"/>
      <c r="F397" s="241"/>
      <c r="G397" s="241"/>
      <c r="H397" s="241"/>
      <c r="I397" s="241"/>
      <c r="J397" s="241"/>
      <c r="K397" s="241"/>
      <c r="L397" s="241"/>
      <c r="M397" s="241"/>
      <c r="N397" s="241"/>
      <c r="O397" s="241"/>
      <c r="P397" s="241"/>
      <c r="Q397" s="241"/>
      <c r="R397" s="241"/>
      <c r="S397" s="241"/>
      <c r="T397" s="241"/>
      <c r="U397" s="241"/>
      <c r="V397" s="241"/>
      <c r="W397" s="241"/>
      <c r="X397" s="241"/>
      <c r="Y397" s="241"/>
      <c r="Z397" s="241"/>
    </row>
    <row r="398" spans="1:26" ht="13.5" customHeight="1" x14ac:dyDescent="0.3">
      <c r="A398" s="241"/>
      <c r="B398" s="241"/>
      <c r="C398" s="241"/>
      <c r="D398" s="241"/>
      <c r="E398" s="241"/>
      <c r="F398" s="241"/>
      <c r="G398" s="241"/>
      <c r="H398" s="241"/>
      <c r="I398" s="241"/>
      <c r="J398" s="241"/>
      <c r="K398" s="241"/>
      <c r="L398" s="241"/>
      <c r="M398" s="241"/>
      <c r="N398" s="241"/>
      <c r="O398" s="241"/>
      <c r="P398" s="241"/>
      <c r="Q398" s="241"/>
      <c r="R398" s="241"/>
      <c r="S398" s="241"/>
      <c r="T398" s="241"/>
      <c r="U398" s="241"/>
      <c r="V398" s="241"/>
      <c r="W398" s="241"/>
      <c r="X398" s="241"/>
      <c r="Y398" s="241"/>
      <c r="Z398" s="241"/>
    </row>
    <row r="399" spans="1:26" ht="13.5" customHeight="1" x14ac:dyDescent="0.3">
      <c r="A399" s="241"/>
      <c r="B399" s="241"/>
      <c r="C399" s="241"/>
      <c r="D399" s="241"/>
      <c r="E399" s="241"/>
      <c r="F399" s="241"/>
      <c r="G399" s="241"/>
      <c r="H399" s="241"/>
      <c r="I399" s="241"/>
      <c r="J399" s="241"/>
      <c r="K399" s="241"/>
      <c r="L399" s="241"/>
      <c r="M399" s="241"/>
      <c r="N399" s="241"/>
      <c r="O399" s="241"/>
      <c r="P399" s="241"/>
      <c r="Q399" s="241"/>
      <c r="R399" s="241"/>
      <c r="S399" s="241"/>
      <c r="T399" s="241"/>
      <c r="U399" s="241"/>
      <c r="V399" s="241"/>
      <c r="W399" s="241"/>
      <c r="X399" s="241"/>
      <c r="Y399" s="241"/>
      <c r="Z399" s="241"/>
    </row>
    <row r="400" spans="1:26" ht="13.5" customHeight="1" x14ac:dyDescent="0.3">
      <c r="A400" s="241"/>
      <c r="B400" s="241"/>
      <c r="C400" s="241"/>
      <c r="D400" s="241"/>
      <c r="E400" s="241"/>
      <c r="F400" s="241"/>
      <c r="G400" s="241"/>
      <c r="H400" s="241"/>
      <c r="I400" s="241"/>
      <c r="J400" s="241"/>
      <c r="K400" s="241"/>
      <c r="L400" s="241"/>
      <c r="M400" s="241"/>
      <c r="N400" s="241"/>
      <c r="O400" s="241"/>
      <c r="P400" s="241"/>
      <c r="Q400" s="241"/>
      <c r="R400" s="241"/>
      <c r="S400" s="241"/>
      <c r="T400" s="241"/>
      <c r="U400" s="241"/>
      <c r="V400" s="241"/>
      <c r="W400" s="241"/>
      <c r="X400" s="241"/>
      <c r="Y400" s="241"/>
      <c r="Z400" s="241"/>
    </row>
    <row r="401" spans="1:26" ht="13.5" customHeight="1" x14ac:dyDescent="0.3">
      <c r="A401" s="241"/>
      <c r="B401" s="241"/>
      <c r="C401" s="241"/>
      <c r="D401" s="241"/>
      <c r="E401" s="241"/>
      <c r="F401" s="241"/>
      <c r="G401" s="241"/>
      <c r="H401" s="241"/>
      <c r="I401" s="241"/>
      <c r="J401" s="241"/>
      <c r="K401" s="241"/>
      <c r="L401" s="241"/>
      <c r="M401" s="241"/>
      <c r="N401" s="241"/>
      <c r="O401" s="241"/>
      <c r="P401" s="241"/>
      <c r="Q401" s="241"/>
      <c r="R401" s="241"/>
      <c r="S401" s="241"/>
      <c r="T401" s="241"/>
      <c r="U401" s="241"/>
      <c r="V401" s="241"/>
      <c r="W401" s="241"/>
      <c r="X401" s="241"/>
      <c r="Y401" s="241"/>
      <c r="Z401" s="241"/>
    </row>
    <row r="402" spans="1:26" ht="13.5" customHeight="1" x14ac:dyDescent="0.3">
      <c r="A402" s="241"/>
      <c r="B402" s="241"/>
      <c r="C402" s="241"/>
      <c r="D402" s="241"/>
      <c r="E402" s="241"/>
      <c r="F402" s="241"/>
      <c r="G402" s="241"/>
      <c r="H402" s="241"/>
      <c r="I402" s="241"/>
      <c r="J402" s="241"/>
      <c r="K402" s="241"/>
      <c r="L402" s="241"/>
      <c r="M402" s="241"/>
      <c r="N402" s="241"/>
      <c r="O402" s="241"/>
      <c r="P402" s="241"/>
      <c r="Q402" s="241"/>
      <c r="R402" s="241"/>
      <c r="S402" s="241"/>
      <c r="T402" s="241"/>
      <c r="U402" s="241"/>
      <c r="V402" s="241"/>
      <c r="W402" s="241"/>
      <c r="X402" s="241"/>
      <c r="Y402" s="241"/>
      <c r="Z402" s="241"/>
    </row>
    <row r="403" spans="1:26" ht="13.5" customHeight="1" x14ac:dyDescent="0.3">
      <c r="A403" s="241"/>
      <c r="B403" s="241"/>
      <c r="C403" s="241"/>
      <c r="D403" s="241"/>
      <c r="E403" s="241"/>
      <c r="F403" s="241"/>
      <c r="G403" s="241"/>
      <c r="H403" s="241"/>
      <c r="I403" s="241"/>
      <c r="J403" s="241"/>
      <c r="K403" s="241"/>
      <c r="L403" s="241"/>
      <c r="M403" s="241"/>
      <c r="N403" s="241"/>
      <c r="O403" s="241"/>
      <c r="P403" s="241"/>
      <c r="Q403" s="241"/>
      <c r="R403" s="241"/>
      <c r="S403" s="241"/>
      <c r="T403" s="241"/>
      <c r="U403" s="241"/>
      <c r="V403" s="241"/>
      <c r="W403" s="241"/>
      <c r="X403" s="241"/>
      <c r="Y403" s="241"/>
      <c r="Z403" s="241"/>
    </row>
    <row r="404" spans="1:26" ht="13.5" customHeight="1" x14ac:dyDescent="0.3">
      <c r="A404" s="241"/>
      <c r="B404" s="241"/>
      <c r="C404" s="241"/>
      <c r="D404" s="241"/>
      <c r="E404" s="241"/>
      <c r="F404" s="241"/>
      <c r="G404" s="241"/>
      <c r="H404" s="241"/>
      <c r="I404" s="241"/>
      <c r="J404" s="241"/>
      <c r="K404" s="241"/>
      <c r="L404" s="241"/>
      <c r="M404" s="241"/>
      <c r="N404" s="241"/>
      <c r="O404" s="241"/>
      <c r="P404" s="241"/>
      <c r="Q404" s="241"/>
      <c r="R404" s="241"/>
      <c r="S404" s="241"/>
      <c r="T404" s="241"/>
      <c r="U404" s="241"/>
      <c r="V404" s="241"/>
      <c r="W404" s="241"/>
      <c r="X404" s="241"/>
      <c r="Y404" s="241"/>
      <c r="Z404" s="241"/>
    </row>
    <row r="405" spans="1:26" ht="13.5" customHeight="1" x14ac:dyDescent="0.3">
      <c r="A405" s="241"/>
      <c r="B405" s="241"/>
      <c r="C405" s="241"/>
      <c r="D405" s="241"/>
      <c r="E405" s="241"/>
      <c r="F405" s="241"/>
      <c r="G405" s="241"/>
      <c r="H405" s="241"/>
      <c r="I405" s="241"/>
      <c r="J405" s="241"/>
      <c r="K405" s="241"/>
      <c r="L405" s="241"/>
      <c r="M405" s="241"/>
      <c r="N405" s="241"/>
      <c r="O405" s="241"/>
      <c r="P405" s="241"/>
      <c r="Q405" s="241"/>
      <c r="R405" s="241"/>
      <c r="S405" s="241"/>
      <c r="T405" s="241"/>
      <c r="U405" s="241"/>
      <c r="V405" s="241"/>
      <c r="W405" s="241"/>
      <c r="X405" s="241"/>
      <c r="Y405" s="241"/>
      <c r="Z405" s="241"/>
    </row>
    <row r="406" spans="1:26" ht="13.5" customHeight="1" x14ac:dyDescent="0.3">
      <c r="A406" s="241"/>
      <c r="B406" s="241"/>
      <c r="C406" s="241"/>
      <c r="D406" s="241"/>
      <c r="E406" s="241"/>
      <c r="F406" s="241"/>
      <c r="G406" s="241"/>
      <c r="H406" s="241"/>
      <c r="I406" s="241"/>
      <c r="J406" s="241"/>
      <c r="K406" s="241"/>
      <c r="L406" s="241"/>
      <c r="M406" s="241"/>
      <c r="N406" s="241"/>
      <c r="O406" s="241"/>
      <c r="P406" s="241"/>
      <c r="Q406" s="241"/>
      <c r="R406" s="241"/>
      <c r="S406" s="241"/>
      <c r="T406" s="241"/>
      <c r="U406" s="241"/>
      <c r="V406" s="241"/>
      <c r="W406" s="241"/>
      <c r="X406" s="241"/>
      <c r="Y406" s="241"/>
      <c r="Z406" s="241"/>
    </row>
    <row r="407" spans="1:26" ht="13.5" customHeight="1" x14ac:dyDescent="0.3">
      <c r="A407" s="241"/>
      <c r="B407" s="241"/>
      <c r="C407" s="241"/>
      <c r="D407" s="241"/>
      <c r="E407" s="241"/>
      <c r="F407" s="241"/>
      <c r="G407" s="241"/>
      <c r="H407" s="241"/>
      <c r="I407" s="241"/>
      <c r="J407" s="241"/>
      <c r="K407" s="241"/>
      <c r="L407" s="241"/>
      <c r="M407" s="241"/>
      <c r="N407" s="241"/>
      <c r="O407" s="241"/>
      <c r="P407" s="241"/>
      <c r="Q407" s="241"/>
      <c r="R407" s="241"/>
      <c r="S407" s="241"/>
      <c r="T407" s="241"/>
      <c r="U407" s="241"/>
      <c r="V407" s="241"/>
      <c r="W407" s="241"/>
      <c r="X407" s="241"/>
      <c r="Y407" s="241"/>
      <c r="Z407" s="241"/>
    </row>
    <row r="408" spans="1:26" ht="13.5" customHeight="1" x14ac:dyDescent="0.3">
      <c r="A408" s="241"/>
      <c r="B408" s="241"/>
      <c r="C408" s="241"/>
      <c r="D408" s="241"/>
      <c r="E408" s="241"/>
      <c r="F408" s="241"/>
      <c r="G408" s="241"/>
      <c r="H408" s="241"/>
      <c r="I408" s="241"/>
      <c r="J408" s="241"/>
      <c r="K408" s="241"/>
      <c r="L408" s="241"/>
      <c r="M408" s="241"/>
      <c r="N408" s="241"/>
      <c r="O408" s="241"/>
      <c r="P408" s="241"/>
      <c r="Q408" s="241"/>
      <c r="R408" s="241"/>
      <c r="S408" s="241"/>
      <c r="T408" s="241"/>
      <c r="U408" s="241"/>
      <c r="V408" s="241"/>
      <c r="W408" s="241"/>
      <c r="X408" s="241"/>
      <c r="Y408" s="241"/>
      <c r="Z408" s="241"/>
    </row>
    <row r="409" spans="1:26" ht="13.5" customHeight="1" x14ac:dyDescent="0.3">
      <c r="A409" s="241"/>
      <c r="B409" s="241"/>
      <c r="C409" s="241"/>
      <c r="D409" s="241"/>
      <c r="E409" s="241"/>
      <c r="F409" s="241"/>
      <c r="G409" s="241"/>
      <c r="H409" s="241"/>
      <c r="I409" s="241"/>
      <c r="J409" s="241"/>
      <c r="K409" s="241"/>
      <c r="L409" s="241"/>
      <c r="M409" s="241"/>
      <c r="N409" s="241"/>
      <c r="O409" s="241"/>
      <c r="P409" s="241"/>
      <c r="Q409" s="241"/>
      <c r="R409" s="241"/>
      <c r="S409" s="241"/>
      <c r="T409" s="241"/>
      <c r="U409" s="241"/>
      <c r="V409" s="241"/>
      <c r="W409" s="241"/>
      <c r="X409" s="241"/>
      <c r="Y409" s="241"/>
      <c r="Z409" s="241"/>
    </row>
    <row r="410" spans="1:26" ht="13.5" customHeight="1" x14ac:dyDescent="0.3">
      <c r="A410" s="241"/>
      <c r="B410" s="241"/>
      <c r="C410" s="241"/>
      <c r="D410" s="241"/>
      <c r="E410" s="241"/>
      <c r="F410" s="241"/>
      <c r="G410" s="241"/>
      <c r="H410" s="241"/>
      <c r="I410" s="241"/>
      <c r="J410" s="241"/>
      <c r="K410" s="241"/>
      <c r="L410" s="241"/>
      <c r="M410" s="241"/>
      <c r="N410" s="241"/>
      <c r="O410" s="241"/>
      <c r="P410" s="241"/>
      <c r="Q410" s="241"/>
      <c r="R410" s="241"/>
      <c r="S410" s="241"/>
      <c r="T410" s="241"/>
      <c r="U410" s="241"/>
      <c r="V410" s="241"/>
      <c r="W410" s="241"/>
      <c r="X410" s="241"/>
      <c r="Y410" s="241"/>
      <c r="Z410" s="241"/>
    </row>
    <row r="411" spans="1:26" ht="13.5" customHeight="1" x14ac:dyDescent="0.3">
      <c r="A411" s="241"/>
      <c r="B411" s="241"/>
      <c r="C411" s="241"/>
      <c r="D411" s="241"/>
      <c r="E411" s="241"/>
      <c r="F411" s="241"/>
      <c r="G411" s="241"/>
      <c r="H411" s="241"/>
      <c r="I411" s="241"/>
      <c r="J411" s="241"/>
      <c r="K411" s="241"/>
      <c r="L411" s="241"/>
      <c r="M411" s="241"/>
      <c r="N411" s="241"/>
      <c r="O411" s="241"/>
      <c r="P411" s="241"/>
      <c r="Q411" s="241"/>
      <c r="R411" s="241"/>
      <c r="S411" s="241"/>
      <c r="T411" s="241"/>
      <c r="U411" s="241"/>
      <c r="V411" s="241"/>
      <c r="W411" s="241"/>
      <c r="X411" s="241"/>
      <c r="Y411" s="241"/>
      <c r="Z411" s="241"/>
    </row>
    <row r="412" spans="1:26" ht="13.5" customHeight="1" x14ac:dyDescent="0.3">
      <c r="A412" s="241"/>
      <c r="B412" s="241"/>
      <c r="C412" s="241"/>
      <c r="D412" s="241"/>
      <c r="E412" s="241"/>
      <c r="F412" s="241"/>
      <c r="G412" s="241"/>
      <c r="H412" s="241"/>
      <c r="I412" s="241"/>
      <c r="J412" s="241"/>
      <c r="K412" s="241"/>
      <c r="L412" s="241"/>
      <c r="M412" s="241"/>
      <c r="N412" s="241"/>
      <c r="O412" s="241"/>
      <c r="P412" s="241"/>
      <c r="Q412" s="241"/>
      <c r="R412" s="241"/>
      <c r="S412" s="241"/>
      <c r="T412" s="241"/>
      <c r="U412" s="241"/>
      <c r="V412" s="241"/>
      <c r="W412" s="241"/>
      <c r="X412" s="241"/>
      <c r="Y412" s="241"/>
      <c r="Z412" s="241"/>
    </row>
    <row r="413" spans="1:26" ht="13.5" customHeight="1" x14ac:dyDescent="0.3">
      <c r="A413" s="241"/>
      <c r="B413" s="241"/>
      <c r="C413" s="241"/>
      <c r="D413" s="241"/>
      <c r="E413" s="241"/>
      <c r="F413" s="241"/>
      <c r="G413" s="241"/>
      <c r="H413" s="241"/>
      <c r="I413" s="241"/>
      <c r="J413" s="241"/>
      <c r="K413" s="241"/>
      <c r="L413" s="241"/>
      <c r="M413" s="241"/>
      <c r="N413" s="241"/>
      <c r="O413" s="241"/>
      <c r="P413" s="241"/>
      <c r="Q413" s="241"/>
      <c r="R413" s="241"/>
      <c r="S413" s="241"/>
      <c r="T413" s="241"/>
      <c r="U413" s="241"/>
      <c r="V413" s="241"/>
      <c r="W413" s="241"/>
      <c r="X413" s="241"/>
      <c r="Y413" s="241"/>
      <c r="Z413" s="241"/>
    </row>
    <row r="414" spans="1:26" ht="13.5" customHeight="1" x14ac:dyDescent="0.3">
      <c r="A414" s="241"/>
      <c r="B414" s="241"/>
      <c r="C414" s="241"/>
      <c r="D414" s="241"/>
      <c r="E414" s="241"/>
      <c r="F414" s="241"/>
      <c r="G414" s="241"/>
      <c r="H414" s="241"/>
      <c r="I414" s="241"/>
      <c r="J414" s="241"/>
      <c r="K414" s="241"/>
      <c r="L414" s="241"/>
      <c r="M414" s="241"/>
      <c r="N414" s="241"/>
      <c r="O414" s="241"/>
      <c r="P414" s="241"/>
      <c r="Q414" s="241"/>
      <c r="R414" s="241"/>
      <c r="S414" s="241"/>
      <c r="T414" s="241"/>
      <c r="U414" s="241"/>
      <c r="V414" s="241"/>
      <c r="W414" s="241"/>
      <c r="X414" s="241"/>
      <c r="Y414" s="241"/>
      <c r="Z414" s="241"/>
    </row>
    <row r="415" spans="1:26" ht="13.5" customHeight="1" x14ac:dyDescent="0.3">
      <c r="A415" s="241"/>
      <c r="B415" s="241"/>
      <c r="C415" s="241"/>
      <c r="D415" s="241"/>
      <c r="E415" s="241"/>
      <c r="F415" s="241"/>
      <c r="G415" s="241"/>
      <c r="H415" s="241"/>
      <c r="I415" s="241"/>
      <c r="J415" s="241"/>
      <c r="K415" s="241"/>
      <c r="L415" s="241"/>
      <c r="M415" s="241"/>
      <c r="N415" s="241"/>
      <c r="O415" s="241"/>
      <c r="P415" s="241"/>
      <c r="Q415" s="241"/>
      <c r="R415" s="241"/>
      <c r="S415" s="241"/>
      <c r="T415" s="241"/>
      <c r="U415" s="241"/>
      <c r="V415" s="241"/>
      <c r="W415" s="241"/>
      <c r="X415" s="241"/>
      <c r="Y415" s="241"/>
      <c r="Z415" s="241"/>
    </row>
    <row r="416" spans="1:26" ht="13.5" customHeight="1" x14ac:dyDescent="0.3">
      <c r="A416" s="241"/>
      <c r="B416" s="241"/>
      <c r="C416" s="241"/>
      <c r="D416" s="241"/>
      <c r="E416" s="241"/>
      <c r="F416" s="241"/>
      <c r="G416" s="241"/>
      <c r="H416" s="241"/>
      <c r="I416" s="241"/>
      <c r="J416" s="241"/>
      <c r="K416" s="241"/>
      <c r="L416" s="241"/>
      <c r="M416" s="241"/>
      <c r="N416" s="241"/>
      <c r="O416" s="241"/>
      <c r="P416" s="241"/>
      <c r="Q416" s="241"/>
      <c r="R416" s="241"/>
      <c r="S416" s="241"/>
      <c r="T416" s="241"/>
      <c r="U416" s="241"/>
      <c r="V416" s="241"/>
      <c r="W416" s="241"/>
      <c r="X416" s="241"/>
      <c r="Y416" s="241"/>
      <c r="Z416" s="241"/>
    </row>
    <row r="417" spans="1:26" ht="13.5" customHeight="1" x14ac:dyDescent="0.3">
      <c r="A417" s="241"/>
      <c r="B417" s="241"/>
      <c r="C417" s="241"/>
      <c r="D417" s="241"/>
      <c r="E417" s="241"/>
      <c r="F417" s="241"/>
      <c r="G417" s="241"/>
      <c r="H417" s="241"/>
      <c r="I417" s="241"/>
      <c r="J417" s="241"/>
      <c r="K417" s="241"/>
      <c r="L417" s="241"/>
      <c r="M417" s="241"/>
      <c r="N417" s="241"/>
      <c r="O417" s="241"/>
      <c r="P417" s="241"/>
      <c r="Q417" s="241"/>
      <c r="R417" s="241"/>
      <c r="S417" s="241"/>
      <c r="T417" s="241"/>
      <c r="U417" s="241"/>
      <c r="V417" s="241"/>
      <c r="W417" s="241"/>
      <c r="X417" s="241"/>
      <c r="Y417" s="241"/>
      <c r="Z417" s="241"/>
    </row>
    <row r="418" spans="1:26" ht="13.5" customHeight="1" x14ac:dyDescent="0.3">
      <c r="A418" s="241"/>
      <c r="B418" s="241"/>
      <c r="C418" s="241"/>
      <c r="D418" s="241"/>
      <c r="E418" s="241"/>
      <c r="F418" s="241"/>
      <c r="G418" s="241"/>
      <c r="H418" s="241"/>
      <c r="I418" s="241"/>
      <c r="J418" s="241"/>
      <c r="K418" s="241"/>
      <c r="L418" s="241"/>
      <c r="M418" s="241"/>
      <c r="N418" s="241"/>
      <c r="O418" s="241"/>
      <c r="P418" s="241"/>
      <c r="Q418" s="241"/>
      <c r="R418" s="241"/>
      <c r="S418" s="241"/>
      <c r="T418" s="241"/>
      <c r="U418" s="241"/>
      <c r="V418" s="241"/>
      <c r="W418" s="241"/>
      <c r="X418" s="241"/>
      <c r="Y418" s="241"/>
      <c r="Z418" s="241"/>
    </row>
    <row r="419" spans="1:26" ht="13.5" customHeight="1" x14ac:dyDescent="0.3">
      <c r="A419" s="241"/>
      <c r="B419" s="241"/>
      <c r="C419" s="241"/>
      <c r="D419" s="241"/>
      <c r="E419" s="241"/>
      <c r="F419" s="241"/>
      <c r="G419" s="241"/>
      <c r="H419" s="241"/>
      <c r="I419" s="241"/>
      <c r="J419" s="241"/>
      <c r="K419" s="241"/>
      <c r="L419" s="241"/>
      <c r="M419" s="241"/>
      <c r="N419" s="241"/>
      <c r="O419" s="241"/>
      <c r="P419" s="241"/>
      <c r="Q419" s="241"/>
      <c r="R419" s="241"/>
      <c r="S419" s="241"/>
      <c r="T419" s="241"/>
      <c r="U419" s="241"/>
      <c r="V419" s="241"/>
      <c r="W419" s="241"/>
      <c r="X419" s="241"/>
      <c r="Y419" s="241"/>
      <c r="Z419" s="241"/>
    </row>
    <row r="420" spans="1:26" ht="13.5" customHeight="1" x14ac:dyDescent="0.3">
      <c r="A420" s="241"/>
      <c r="B420" s="241"/>
      <c r="C420" s="241"/>
      <c r="D420" s="241"/>
      <c r="E420" s="241"/>
      <c r="F420" s="241"/>
      <c r="G420" s="241"/>
      <c r="H420" s="241"/>
      <c r="I420" s="241"/>
      <c r="J420" s="241"/>
      <c r="K420" s="241"/>
      <c r="L420" s="241"/>
      <c r="M420" s="241"/>
      <c r="N420" s="241"/>
      <c r="O420" s="241"/>
      <c r="P420" s="241"/>
      <c r="Q420" s="241"/>
      <c r="R420" s="241"/>
      <c r="S420" s="241"/>
      <c r="T420" s="241"/>
      <c r="U420" s="241"/>
      <c r="V420" s="241"/>
      <c r="W420" s="241"/>
      <c r="X420" s="241"/>
      <c r="Y420" s="241"/>
      <c r="Z420" s="241"/>
    </row>
    <row r="421" spans="1:26" ht="13.5" customHeight="1" x14ac:dyDescent="0.3">
      <c r="A421" s="241"/>
      <c r="B421" s="241"/>
      <c r="C421" s="241"/>
      <c r="D421" s="241"/>
      <c r="E421" s="241"/>
      <c r="F421" s="241"/>
      <c r="G421" s="241"/>
      <c r="H421" s="241"/>
      <c r="I421" s="241"/>
      <c r="J421" s="241"/>
      <c r="K421" s="241"/>
      <c r="L421" s="241"/>
      <c r="M421" s="241"/>
      <c r="N421" s="241"/>
      <c r="O421" s="241"/>
      <c r="P421" s="241"/>
      <c r="Q421" s="241"/>
      <c r="R421" s="241"/>
      <c r="S421" s="241"/>
      <c r="T421" s="241"/>
      <c r="U421" s="241"/>
      <c r="V421" s="241"/>
      <c r="W421" s="241"/>
      <c r="X421" s="241"/>
      <c r="Y421" s="241"/>
      <c r="Z421" s="241"/>
    </row>
    <row r="422" spans="1:26" ht="13.5" customHeight="1" x14ac:dyDescent="0.3">
      <c r="A422" s="241"/>
      <c r="B422" s="241"/>
      <c r="C422" s="241"/>
      <c r="D422" s="241"/>
      <c r="E422" s="241"/>
      <c r="F422" s="241"/>
      <c r="G422" s="241"/>
      <c r="H422" s="241"/>
      <c r="I422" s="241"/>
      <c r="J422" s="241"/>
      <c r="K422" s="241"/>
      <c r="L422" s="241"/>
      <c r="M422" s="241"/>
      <c r="N422" s="241"/>
      <c r="O422" s="241"/>
      <c r="P422" s="241"/>
      <c r="Q422" s="241"/>
      <c r="R422" s="241"/>
      <c r="S422" s="241"/>
      <c r="T422" s="241"/>
      <c r="U422" s="241"/>
      <c r="V422" s="241"/>
      <c r="W422" s="241"/>
      <c r="X422" s="241"/>
      <c r="Y422" s="241"/>
      <c r="Z422" s="241"/>
    </row>
    <row r="423" spans="1:26" ht="13.5" customHeight="1" x14ac:dyDescent="0.3">
      <c r="A423" s="241"/>
      <c r="B423" s="241"/>
      <c r="C423" s="241"/>
      <c r="D423" s="241"/>
      <c r="E423" s="241"/>
      <c r="F423" s="241"/>
      <c r="G423" s="241"/>
      <c r="H423" s="241"/>
      <c r="I423" s="241"/>
      <c r="J423" s="241"/>
      <c r="K423" s="241"/>
      <c r="L423" s="241"/>
      <c r="M423" s="241"/>
      <c r="N423" s="241"/>
      <c r="O423" s="241"/>
      <c r="P423" s="241"/>
      <c r="Q423" s="241"/>
      <c r="R423" s="241"/>
      <c r="S423" s="241"/>
      <c r="T423" s="241"/>
      <c r="U423" s="241"/>
      <c r="V423" s="241"/>
      <c r="W423" s="241"/>
      <c r="X423" s="241"/>
      <c r="Y423" s="241"/>
      <c r="Z423" s="241"/>
    </row>
    <row r="424" spans="1:26" ht="13.5" customHeight="1" x14ac:dyDescent="0.3">
      <c r="A424" s="241"/>
      <c r="B424" s="241"/>
      <c r="C424" s="241"/>
      <c r="D424" s="241"/>
      <c r="E424" s="241"/>
      <c r="F424" s="241"/>
      <c r="G424" s="241"/>
      <c r="H424" s="241"/>
      <c r="I424" s="241"/>
      <c r="J424" s="241"/>
      <c r="K424" s="241"/>
      <c r="L424" s="241"/>
      <c r="M424" s="241"/>
      <c r="N424" s="241"/>
      <c r="O424" s="241"/>
      <c r="P424" s="241"/>
      <c r="Q424" s="241"/>
      <c r="R424" s="241"/>
      <c r="S424" s="241"/>
      <c r="T424" s="241"/>
      <c r="U424" s="241"/>
      <c r="V424" s="241"/>
      <c r="W424" s="241"/>
      <c r="X424" s="241"/>
      <c r="Y424" s="241"/>
      <c r="Z424" s="241"/>
    </row>
    <row r="425" spans="1:26" ht="13.5" customHeight="1" x14ac:dyDescent="0.3">
      <c r="A425" s="241"/>
      <c r="B425" s="241"/>
      <c r="C425" s="241"/>
      <c r="D425" s="241"/>
      <c r="E425" s="241"/>
      <c r="F425" s="241"/>
      <c r="G425" s="241"/>
      <c r="H425" s="241"/>
      <c r="I425" s="241"/>
      <c r="J425" s="241"/>
      <c r="K425" s="241"/>
      <c r="L425" s="241"/>
      <c r="M425" s="241"/>
      <c r="N425" s="241"/>
      <c r="O425" s="241"/>
      <c r="P425" s="241"/>
      <c r="Q425" s="241"/>
      <c r="R425" s="241"/>
      <c r="S425" s="241"/>
      <c r="T425" s="241"/>
      <c r="U425" s="241"/>
      <c r="V425" s="241"/>
      <c r="W425" s="241"/>
      <c r="X425" s="241"/>
      <c r="Y425" s="241"/>
      <c r="Z425" s="241"/>
    </row>
    <row r="426" spans="1:26" ht="13.5" customHeight="1" x14ac:dyDescent="0.3">
      <c r="A426" s="241"/>
      <c r="B426" s="241"/>
      <c r="C426" s="241"/>
      <c r="D426" s="241"/>
      <c r="E426" s="241"/>
      <c r="F426" s="241"/>
      <c r="G426" s="241"/>
      <c r="H426" s="241"/>
      <c r="I426" s="241"/>
      <c r="J426" s="241"/>
      <c r="K426" s="241"/>
      <c r="L426" s="241"/>
      <c r="M426" s="241"/>
      <c r="N426" s="241"/>
      <c r="O426" s="241"/>
      <c r="P426" s="241"/>
      <c r="Q426" s="241"/>
      <c r="R426" s="241"/>
      <c r="S426" s="241"/>
      <c r="T426" s="241"/>
      <c r="U426" s="241"/>
      <c r="V426" s="241"/>
      <c r="W426" s="241"/>
      <c r="X426" s="241"/>
      <c r="Y426" s="241"/>
      <c r="Z426" s="241"/>
    </row>
    <row r="427" spans="1:26" ht="13.5" customHeight="1" x14ac:dyDescent="0.3">
      <c r="A427" s="241"/>
      <c r="B427" s="241"/>
      <c r="C427" s="241"/>
      <c r="D427" s="241"/>
      <c r="E427" s="241"/>
      <c r="F427" s="241"/>
      <c r="G427" s="241"/>
      <c r="H427" s="241"/>
      <c r="I427" s="241"/>
      <c r="J427" s="241"/>
      <c r="K427" s="241"/>
      <c r="L427" s="241"/>
      <c r="M427" s="241"/>
      <c r="N427" s="241"/>
      <c r="O427" s="241"/>
      <c r="P427" s="241"/>
      <c r="Q427" s="241"/>
      <c r="R427" s="241"/>
      <c r="S427" s="241"/>
      <c r="T427" s="241"/>
      <c r="U427" s="241"/>
      <c r="V427" s="241"/>
      <c r="W427" s="241"/>
      <c r="X427" s="241"/>
      <c r="Y427" s="241"/>
      <c r="Z427" s="241"/>
    </row>
    <row r="428" spans="1:26" ht="13.5" customHeight="1" x14ac:dyDescent="0.3">
      <c r="A428" s="241"/>
      <c r="B428" s="241"/>
      <c r="C428" s="241"/>
      <c r="D428" s="241"/>
      <c r="E428" s="241"/>
      <c r="F428" s="241"/>
      <c r="G428" s="241"/>
      <c r="H428" s="241"/>
      <c r="I428" s="241"/>
      <c r="J428" s="241"/>
      <c r="K428" s="241"/>
      <c r="L428" s="241"/>
      <c r="M428" s="241"/>
      <c r="N428" s="241"/>
      <c r="O428" s="241"/>
      <c r="P428" s="241"/>
      <c r="Q428" s="241"/>
      <c r="R428" s="241"/>
      <c r="S428" s="241"/>
      <c r="T428" s="241"/>
      <c r="U428" s="241"/>
      <c r="V428" s="241"/>
      <c r="W428" s="241"/>
      <c r="X428" s="241"/>
      <c r="Y428" s="241"/>
      <c r="Z428" s="241"/>
    </row>
    <row r="429" spans="1:26" ht="13.5" customHeight="1" x14ac:dyDescent="0.3">
      <c r="A429" s="241"/>
      <c r="B429" s="241"/>
      <c r="C429" s="241"/>
      <c r="D429" s="241"/>
      <c r="E429" s="241"/>
      <c r="F429" s="241"/>
      <c r="G429" s="241"/>
      <c r="H429" s="241"/>
      <c r="I429" s="241"/>
      <c r="J429" s="241"/>
      <c r="K429" s="241"/>
      <c r="L429" s="241"/>
      <c r="M429" s="241"/>
      <c r="N429" s="241"/>
      <c r="O429" s="241"/>
      <c r="P429" s="241"/>
      <c r="Q429" s="241"/>
      <c r="R429" s="241"/>
      <c r="S429" s="241"/>
      <c r="T429" s="241"/>
      <c r="U429" s="241"/>
      <c r="V429" s="241"/>
      <c r="W429" s="241"/>
      <c r="X429" s="241"/>
      <c r="Y429" s="241"/>
      <c r="Z429" s="241"/>
    </row>
    <row r="430" spans="1:26" ht="13.5" customHeight="1" x14ac:dyDescent="0.3">
      <c r="A430" s="241"/>
      <c r="B430" s="241"/>
      <c r="C430" s="241"/>
      <c r="D430" s="241"/>
      <c r="E430" s="241"/>
      <c r="F430" s="241"/>
      <c r="G430" s="241"/>
      <c r="H430" s="241"/>
      <c r="I430" s="241"/>
      <c r="J430" s="241"/>
      <c r="K430" s="241"/>
      <c r="L430" s="241"/>
      <c r="M430" s="241"/>
      <c r="N430" s="241"/>
      <c r="O430" s="241"/>
      <c r="P430" s="241"/>
      <c r="Q430" s="241"/>
      <c r="R430" s="241"/>
      <c r="S430" s="241"/>
      <c r="T430" s="241"/>
      <c r="U430" s="241"/>
      <c r="V430" s="241"/>
      <c r="W430" s="241"/>
      <c r="X430" s="241"/>
      <c r="Y430" s="241"/>
      <c r="Z430" s="241"/>
    </row>
    <row r="431" spans="1:26" ht="13.5" customHeight="1" x14ac:dyDescent="0.3">
      <c r="A431" s="241"/>
      <c r="B431" s="241"/>
      <c r="C431" s="241"/>
      <c r="D431" s="241"/>
      <c r="E431" s="241"/>
      <c r="F431" s="241"/>
      <c r="G431" s="241"/>
      <c r="H431" s="241"/>
      <c r="I431" s="241"/>
      <c r="J431" s="241"/>
      <c r="K431" s="241"/>
      <c r="L431" s="241"/>
      <c r="M431" s="241"/>
      <c r="N431" s="241"/>
      <c r="O431" s="241"/>
      <c r="P431" s="241"/>
      <c r="Q431" s="241"/>
      <c r="R431" s="241"/>
      <c r="S431" s="241"/>
      <c r="T431" s="241"/>
      <c r="U431" s="241"/>
      <c r="V431" s="241"/>
      <c r="W431" s="241"/>
      <c r="X431" s="241"/>
      <c r="Y431" s="241"/>
      <c r="Z431" s="241"/>
    </row>
    <row r="432" spans="1:26" ht="13.5" customHeight="1" x14ac:dyDescent="0.3">
      <c r="A432" s="241"/>
      <c r="B432" s="241"/>
      <c r="C432" s="241"/>
      <c r="D432" s="241"/>
      <c r="E432" s="241"/>
      <c r="F432" s="241"/>
      <c r="G432" s="241"/>
      <c r="H432" s="241"/>
      <c r="I432" s="241"/>
      <c r="J432" s="241"/>
      <c r="K432" s="241"/>
      <c r="L432" s="241"/>
      <c r="M432" s="241"/>
      <c r="N432" s="241"/>
      <c r="O432" s="241"/>
      <c r="P432" s="241"/>
      <c r="Q432" s="241"/>
      <c r="R432" s="241"/>
      <c r="S432" s="241"/>
      <c r="T432" s="241"/>
      <c r="U432" s="241"/>
      <c r="V432" s="241"/>
      <c r="W432" s="241"/>
      <c r="X432" s="241"/>
      <c r="Y432" s="241"/>
      <c r="Z432" s="241"/>
    </row>
    <row r="433" spans="1:26" ht="13.5" customHeight="1" x14ac:dyDescent="0.3">
      <c r="A433" s="241"/>
      <c r="B433" s="241"/>
      <c r="C433" s="241"/>
      <c r="D433" s="241"/>
      <c r="E433" s="241"/>
      <c r="F433" s="241"/>
      <c r="G433" s="241"/>
      <c r="H433" s="241"/>
      <c r="I433" s="241"/>
      <c r="J433" s="241"/>
      <c r="K433" s="241"/>
      <c r="L433" s="241"/>
      <c r="M433" s="241"/>
      <c r="N433" s="241"/>
      <c r="O433" s="241"/>
      <c r="P433" s="241"/>
      <c r="Q433" s="241"/>
      <c r="R433" s="241"/>
      <c r="S433" s="241"/>
      <c r="T433" s="241"/>
      <c r="U433" s="241"/>
      <c r="V433" s="241"/>
      <c r="W433" s="241"/>
      <c r="X433" s="241"/>
      <c r="Y433" s="241"/>
      <c r="Z433" s="241"/>
    </row>
    <row r="434" spans="1:26" ht="13.5" customHeight="1" x14ac:dyDescent="0.3">
      <c r="A434" s="241"/>
      <c r="B434" s="241"/>
      <c r="C434" s="241"/>
      <c r="D434" s="241"/>
      <c r="E434" s="241"/>
      <c r="F434" s="241"/>
      <c r="G434" s="241"/>
      <c r="H434" s="241"/>
      <c r="I434" s="241"/>
      <c r="J434" s="241"/>
      <c r="K434" s="241"/>
      <c r="L434" s="241"/>
      <c r="M434" s="241"/>
      <c r="N434" s="241"/>
      <c r="O434" s="241"/>
      <c r="P434" s="241"/>
      <c r="Q434" s="241"/>
      <c r="R434" s="241"/>
      <c r="S434" s="241"/>
      <c r="T434" s="241"/>
      <c r="U434" s="241"/>
      <c r="V434" s="241"/>
      <c r="W434" s="241"/>
      <c r="X434" s="241"/>
      <c r="Y434" s="241"/>
      <c r="Z434" s="241"/>
    </row>
    <row r="435" spans="1:26" ht="13.5" customHeight="1" x14ac:dyDescent="0.3">
      <c r="A435" s="241"/>
      <c r="B435" s="241"/>
      <c r="C435" s="241"/>
      <c r="D435" s="241"/>
      <c r="E435" s="241"/>
      <c r="F435" s="241"/>
      <c r="G435" s="241"/>
      <c r="H435" s="241"/>
      <c r="I435" s="241"/>
      <c r="J435" s="241"/>
      <c r="K435" s="241"/>
      <c r="L435" s="241"/>
      <c r="M435" s="241"/>
      <c r="N435" s="241"/>
      <c r="O435" s="241"/>
      <c r="P435" s="241"/>
      <c r="Q435" s="241"/>
      <c r="R435" s="241"/>
      <c r="S435" s="241"/>
      <c r="T435" s="241"/>
      <c r="U435" s="241"/>
      <c r="V435" s="241"/>
      <c r="W435" s="241"/>
      <c r="X435" s="241"/>
      <c r="Y435" s="241"/>
      <c r="Z435" s="241"/>
    </row>
    <row r="436" spans="1:26" ht="13.5" customHeight="1" x14ac:dyDescent="0.3">
      <c r="A436" s="241"/>
      <c r="B436" s="241"/>
      <c r="C436" s="241"/>
      <c r="D436" s="241"/>
      <c r="E436" s="241"/>
      <c r="F436" s="241"/>
      <c r="G436" s="241"/>
      <c r="H436" s="241"/>
      <c r="I436" s="241"/>
      <c r="J436" s="241"/>
      <c r="K436" s="241"/>
      <c r="L436" s="241"/>
      <c r="M436" s="241"/>
      <c r="N436" s="241"/>
      <c r="O436" s="241"/>
      <c r="P436" s="241"/>
      <c r="Q436" s="241"/>
      <c r="R436" s="241"/>
      <c r="S436" s="241"/>
      <c r="T436" s="241"/>
      <c r="U436" s="241"/>
      <c r="V436" s="241"/>
      <c r="W436" s="241"/>
      <c r="X436" s="241"/>
      <c r="Y436" s="241"/>
      <c r="Z436" s="241"/>
    </row>
    <row r="437" spans="1:26" ht="13.5" customHeight="1" x14ac:dyDescent="0.3">
      <c r="A437" s="241"/>
      <c r="B437" s="241"/>
      <c r="C437" s="241"/>
      <c r="D437" s="241"/>
      <c r="E437" s="241"/>
      <c r="F437" s="241"/>
      <c r="G437" s="241"/>
      <c r="H437" s="241"/>
      <c r="I437" s="241"/>
      <c r="J437" s="241"/>
      <c r="K437" s="241"/>
      <c r="L437" s="241"/>
      <c r="M437" s="241"/>
      <c r="N437" s="241"/>
      <c r="O437" s="241"/>
      <c r="P437" s="241"/>
      <c r="Q437" s="241"/>
      <c r="R437" s="241"/>
      <c r="S437" s="241"/>
      <c r="T437" s="241"/>
      <c r="U437" s="241"/>
      <c r="V437" s="241"/>
      <c r="W437" s="241"/>
      <c r="X437" s="241"/>
      <c r="Y437" s="241"/>
      <c r="Z437" s="241"/>
    </row>
    <row r="438" spans="1:26" ht="13.5" customHeight="1" x14ac:dyDescent="0.3">
      <c r="A438" s="241"/>
      <c r="B438" s="241"/>
      <c r="C438" s="241"/>
      <c r="D438" s="241"/>
      <c r="E438" s="241"/>
      <c r="F438" s="241"/>
      <c r="G438" s="241"/>
      <c r="H438" s="241"/>
      <c r="I438" s="241"/>
      <c r="J438" s="241"/>
      <c r="K438" s="241"/>
      <c r="L438" s="241"/>
      <c r="M438" s="241"/>
      <c r="N438" s="241"/>
      <c r="O438" s="241"/>
      <c r="P438" s="241"/>
      <c r="Q438" s="241"/>
      <c r="R438" s="241"/>
      <c r="S438" s="241"/>
      <c r="T438" s="241"/>
      <c r="U438" s="241"/>
      <c r="V438" s="241"/>
      <c r="W438" s="241"/>
      <c r="X438" s="241"/>
      <c r="Y438" s="241"/>
      <c r="Z438" s="241"/>
    </row>
    <row r="439" spans="1:26" ht="13.5" customHeight="1" x14ac:dyDescent="0.3">
      <c r="A439" s="241"/>
      <c r="B439" s="241"/>
      <c r="C439" s="241"/>
      <c r="D439" s="241"/>
      <c r="E439" s="241"/>
      <c r="F439" s="241"/>
      <c r="G439" s="241"/>
      <c r="H439" s="241"/>
      <c r="I439" s="241"/>
      <c r="J439" s="241"/>
      <c r="K439" s="241"/>
      <c r="L439" s="241"/>
      <c r="M439" s="241"/>
      <c r="N439" s="241"/>
      <c r="O439" s="241"/>
      <c r="P439" s="241"/>
      <c r="Q439" s="241"/>
      <c r="R439" s="241"/>
      <c r="S439" s="241"/>
      <c r="T439" s="241"/>
      <c r="U439" s="241"/>
      <c r="V439" s="241"/>
      <c r="W439" s="241"/>
      <c r="X439" s="241"/>
      <c r="Y439" s="241"/>
      <c r="Z439" s="241"/>
    </row>
    <row r="440" spans="1:26" ht="13.5" customHeight="1" x14ac:dyDescent="0.3">
      <c r="A440" s="241"/>
      <c r="B440" s="241"/>
      <c r="C440" s="241"/>
      <c r="D440" s="241"/>
      <c r="E440" s="241"/>
      <c r="F440" s="241"/>
      <c r="G440" s="241"/>
      <c r="H440" s="241"/>
      <c r="I440" s="241"/>
      <c r="J440" s="241"/>
      <c r="K440" s="241"/>
      <c r="L440" s="241"/>
      <c r="M440" s="241"/>
      <c r="N440" s="241"/>
      <c r="O440" s="241"/>
      <c r="P440" s="241"/>
      <c r="Q440" s="241"/>
      <c r="R440" s="241"/>
      <c r="S440" s="241"/>
      <c r="T440" s="241"/>
      <c r="U440" s="241"/>
      <c r="V440" s="241"/>
      <c r="W440" s="241"/>
      <c r="X440" s="241"/>
      <c r="Y440" s="241"/>
      <c r="Z440" s="241"/>
    </row>
    <row r="441" spans="1:26" ht="13.5" customHeight="1" x14ac:dyDescent="0.3">
      <c r="A441" s="241"/>
      <c r="B441" s="241"/>
      <c r="C441" s="241"/>
      <c r="D441" s="241"/>
      <c r="E441" s="241"/>
      <c r="F441" s="241"/>
      <c r="G441" s="241"/>
      <c r="H441" s="241"/>
      <c r="I441" s="241"/>
      <c r="J441" s="241"/>
      <c r="K441" s="241"/>
      <c r="L441" s="241"/>
      <c r="M441" s="241"/>
      <c r="N441" s="241"/>
      <c r="O441" s="241"/>
      <c r="P441" s="241"/>
      <c r="Q441" s="241"/>
      <c r="R441" s="241"/>
      <c r="S441" s="241"/>
      <c r="T441" s="241"/>
      <c r="U441" s="241"/>
      <c r="V441" s="241"/>
      <c r="W441" s="241"/>
      <c r="X441" s="241"/>
      <c r="Y441" s="241"/>
      <c r="Z441" s="241"/>
    </row>
    <row r="442" spans="1:26" ht="13.5" customHeight="1" x14ac:dyDescent="0.3">
      <c r="A442" s="241"/>
      <c r="B442" s="241"/>
      <c r="C442" s="241"/>
      <c r="D442" s="241"/>
      <c r="E442" s="241"/>
      <c r="F442" s="241"/>
      <c r="G442" s="241"/>
      <c r="H442" s="241"/>
      <c r="I442" s="241"/>
      <c r="J442" s="241"/>
      <c r="K442" s="241"/>
      <c r="L442" s="241"/>
      <c r="M442" s="241"/>
      <c r="N442" s="241"/>
      <c r="O442" s="241"/>
      <c r="P442" s="241"/>
      <c r="Q442" s="241"/>
      <c r="R442" s="241"/>
      <c r="S442" s="241"/>
      <c r="T442" s="241"/>
      <c r="U442" s="241"/>
      <c r="V442" s="241"/>
      <c r="W442" s="241"/>
      <c r="X442" s="241"/>
      <c r="Y442" s="241"/>
      <c r="Z442" s="241"/>
    </row>
    <row r="443" spans="1:26" ht="13.5" customHeight="1" x14ac:dyDescent="0.3">
      <c r="A443" s="241"/>
      <c r="B443" s="241"/>
      <c r="C443" s="241"/>
      <c r="D443" s="241"/>
      <c r="E443" s="241"/>
      <c r="F443" s="241"/>
      <c r="G443" s="241"/>
      <c r="H443" s="241"/>
      <c r="I443" s="241"/>
      <c r="J443" s="241"/>
      <c r="K443" s="241"/>
      <c r="L443" s="241"/>
      <c r="M443" s="241"/>
      <c r="N443" s="241"/>
      <c r="O443" s="241"/>
      <c r="P443" s="241"/>
      <c r="Q443" s="241"/>
      <c r="R443" s="241"/>
      <c r="S443" s="241"/>
      <c r="T443" s="241"/>
      <c r="U443" s="241"/>
      <c r="V443" s="241"/>
      <c r="W443" s="241"/>
      <c r="X443" s="241"/>
      <c r="Y443" s="241"/>
      <c r="Z443" s="241"/>
    </row>
    <row r="444" spans="1:26" ht="13.5" customHeight="1" x14ac:dyDescent="0.3">
      <c r="A444" s="241"/>
      <c r="B444" s="241"/>
      <c r="C444" s="241"/>
      <c r="D444" s="241"/>
      <c r="E444" s="241"/>
      <c r="F444" s="241"/>
      <c r="G444" s="241"/>
      <c r="H444" s="241"/>
      <c r="I444" s="241"/>
      <c r="J444" s="241"/>
      <c r="K444" s="241"/>
      <c r="L444" s="241"/>
      <c r="M444" s="241"/>
      <c r="N444" s="241"/>
      <c r="O444" s="241"/>
      <c r="P444" s="241"/>
      <c r="Q444" s="241"/>
      <c r="R444" s="241"/>
      <c r="S444" s="241"/>
      <c r="T444" s="241"/>
      <c r="U444" s="241"/>
      <c r="V444" s="241"/>
      <c r="W444" s="241"/>
      <c r="X444" s="241"/>
      <c r="Y444" s="241"/>
      <c r="Z444" s="241"/>
    </row>
    <row r="445" spans="1:26" ht="13.5" customHeight="1" x14ac:dyDescent="0.3">
      <c r="A445" s="241"/>
      <c r="B445" s="241"/>
      <c r="C445" s="241"/>
      <c r="D445" s="241"/>
      <c r="E445" s="241"/>
      <c r="F445" s="241"/>
      <c r="G445" s="241"/>
      <c r="H445" s="241"/>
      <c r="I445" s="241"/>
      <c r="J445" s="241"/>
      <c r="K445" s="241"/>
      <c r="L445" s="241"/>
      <c r="M445" s="241"/>
      <c r="N445" s="241"/>
      <c r="O445" s="241"/>
      <c r="P445" s="241"/>
      <c r="Q445" s="241"/>
      <c r="R445" s="241"/>
      <c r="S445" s="241"/>
      <c r="T445" s="241"/>
      <c r="U445" s="241"/>
      <c r="V445" s="241"/>
      <c r="W445" s="241"/>
      <c r="X445" s="241"/>
      <c r="Y445" s="241"/>
      <c r="Z445" s="241"/>
    </row>
    <row r="446" spans="1:26" ht="13.5" customHeight="1" x14ac:dyDescent="0.3">
      <c r="A446" s="241"/>
      <c r="B446" s="241"/>
      <c r="C446" s="241"/>
      <c r="D446" s="241"/>
      <c r="E446" s="241"/>
      <c r="F446" s="241"/>
      <c r="G446" s="241"/>
      <c r="H446" s="241"/>
      <c r="I446" s="241"/>
      <c r="J446" s="241"/>
      <c r="K446" s="241"/>
      <c r="L446" s="241"/>
      <c r="M446" s="241"/>
      <c r="N446" s="241"/>
      <c r="O446" s="241"/>
      <c r="P446" s="241"/>
      <c r="Q446" s="241"/>
      <c r="R446" s="241"/>
      <c r="S446" s="241"/>
      <c r="T446" s="241"/>
      <c r="U446" s="241"/>
      <c r="V446" s="241"/>
      <c r="W446" s="241"/>
      <c r="X446" s="241"/>
      <c r="Y446" s="241"/>
      <c r="Z446" s="241"/>
    </row>
    <row r="447" spans="1:26" ht="13.5" customHeight="1" x14ac:dyDescent="0.3">
      <c r="A447" s="241"/>
      <c r="B447" s="241"/>
      <c r="C447" s="241"/>
      <c r="D447" s="241"/>
      <c r="E447" s="241"/>
      <c r="F447" s="241"/>
      <c r="G447" s="241"/>
      <c r="H447" s="241"/>
      <c r="I447" s="241"/>
      <c r="J447" s="241"/>
      <c r="K447" s="241"/>
      <c r="L447" s="241"/>
      <c r="M447" s="241"/>
      <c r="N447" s="241"/>
      <c r="O447" s="241"/>
      <c r="P447" s="241"/>
      <c r="Q447" s="241"/>
      <c r="R447" s="241"/>
      <c r="S447" s="241"/>
      <c r="T447" s="241"/>
      <c r="U447" s="241"/>
      <c r="V447" s="241"/>
      <c r="W447" s="241"/>
      <c r="X447" s="241"/>
      <c r="Y447" s="241"/>
      <c r="Z447" s="241"/>
    </row>
    <row r="448" spans="1:26" ht="13.5" customHeight="1" x14ac:dyDescent="0.3">
      <c r="A448" s="241"/>
      <c r="B448" s="241"/>
      <c r="C448" s="241"/>
      <c r="D448" s="241"/>
      <c r="E448" s="241"/>
      <c r="F448" s="241"/>
      <c r="G448" s="241"/>
      <c r="H448" s="241"/>
      <c r="I448" s="241"/>
      <c r="J448" s="241"/>
      <c r="K448" s="241"/>
      <c r="L448" s="241"/>
      <c r="M448" s="241"/>
      <c r="N448" s="241"/>
      <c r="O448" s="241"/>
      <c r="P448" s="241"/>
      <c r="Q448" s="241"/>
      <c r="R448" s="241"/>
      <c r="S448" s="241"/>
      <c r="T448" s="241"/>
      <c r="U448" s="241"/>
      <c r="V448" s="241"/>
      <c r="W448" s="241"/>
      <c r="X448" s="241"/>
      <c r="Y448" s="241"/>
      <c r="Z448" s="241"/>
    </row>
    <row r="449" spans="1:26" ht="13.5" customHeight="1" x14ac:dyDescent="0.3">
      <c r="A449" s="241"/>
      <c r="B449" s="241"/>
      <c r="C449" s="241"/>
      <c r="D449" s="241"/>
      <c r="E449" s="241"/>
      <c r="F449" s="241"/>
      <c r="G449" s="241"/>
      <c r="H449" s="241"/>
      <c r="I449" s="241"/>
      <c r="J449" s="241"/>
      <c r="K449" s="241"/>
      <c r="L449" s="241"/>
      <c r="M449" s="241"/>
      <c r="N449" s="241"/>
      <c r="O449" s="241"/>
      <c r="P449" s="241"/>
      <c r="Q449" s="241"/>
      <c r="R449" s="241"/>
      <c r="S449" s="241"/>
      <c r="T449" s="241"/>
      <c r="U449" s="241"/>
      <c r="V449" s="241"/>
      <c r="W449" s="241"/>
      <c r="X449" s="241"/>
      <c r="Y449" s="241"/>
      <c r="Z449" s="241"/>
    </row>
    <row r="450" spans="1:26" ht="13.5" customHeight="1" x14ac:dyDescent="0.3">
      <c r="A450" s="241"/>
      <c r="B450" s="241"/>
      <c r="C450" s="241"/>
      <c r="D450" s="241"/>
      <c r="E450" s="241"/>
      <c r="F450" s="241"/>
      <c r="G450" s="241"/>
      <c r="H450" s="241"/>
      <c r="I450" s="241"/>
      <c r="J450" s="241"/>
      <c r="K450" s="241"/>
      <c r="L450" s="241"/>
      <c r="M450" s="241"/>
      <c r="N450" s="241"/>
      <c r="O450" s="241"/>
      <c r="P450" s="241"/>
      <c r="Q450" s="241"/>
      <c r="R450" s="241"/>
      <c r="S450" s="241"/>
      <c r="T450" s="241"/>
      <c r="U450" s="241"/>
      <c r="V450" s="241"/>
      <c r="W450" s="241"/>
      <c r="X450" s="241"/>
      <c r="Y450" s="241"/>
      <c r="Z450" s="241"/>
    </row>
    <row r="451" spans="1:26" ht="13.5" customHeight="1" x14ac:dyDescent="0.3">
      <c r="A451" s="241"/>
      <c r="B451" s="241"/>
      <c r="C451" s="241"/>
      <c r="D451" s="241"/>
      <c r="E451" s="241"/>
      <c r="F451" s="241"/>
      <c r="G451" s="241"/>
      <c r="H451" s="241"/>
      <c r="I451" s="241"/>
      <c r="J451" s="241"/>
      <c r="K451" s="241"/>
      <c r="L451" s="241"/>
      <c r="M451" s="241"/>
      <c r="N451" s="241"/>
      <c r="O451" s="241"/>
      <c r="P451" s="241"/>
      <c r="Q451" s="241"/>
      <c r="R451" s="241"/>
      <c r="S451" s="241"/>
      <c r="T451" s="241"/>
      <c r="U451" s="241"/>
      <c r="V451" s="241"/>
      <c r="W451" s="241"/>
      <c r="X451" s="241"/>
      <c r="Y451" s="241"/>
      <c r="Z451" s="241"/>
    </row>
    <row r="452" spans="1:26" ht="13.5" customHeight="1" x14ac:dyDescent="0.3">
      <c r="A452" s="241"/>
      <c r="B452" s="241"/>
      <c r="C452" s="241"/>
      <c r="D452" s="241"/>
      <c r="E452" s="241"/>
      <c r="F452" s="241"/>
      <c r="G452" s="241"/>
      <c r="H452" s="241"/>
      <c r="I452" s="241"/>
      <c r="J452" s="241"/>
      <c r="K452" s="241"/>
      <c r="L452" s="241"/>
      <c r="M452" s="241"/>
      <c r="N452" s="241"/>
      <c r="O452" s="241"/>
      <c r="P452" s="241"/>
      <c r="Q452" s="241"/>
      <c r="R452" s="241"/>
      <c r="S452" s="241"/>
      <c r="T452" s="241"/>
      <c r="U452" s="241"/>
      <c r="V452" s="241"/>
      <c r="W452" s="241"/>
      <c r="X452" s="241"/>
      <c r="Y452" s="241"/>
      <c r="Z452" s="241"/>
    </row>
    <row r="453" spans="1:26" ht="13.5" customHeight="1" x14ac:dyDescent="0.3">
      <c r="A453" s="241"/>
      <c r="B453" s="241"/>
      <c r="C453" s="241"/>
      <c r="D453" s="241"/>
      <c r="E453" s="241"/>
      <c r="F453" s="241"/>
      <c r="G453" s="241"/>
      <c r="H453" s="241"/>
      <c r="I453" s="241"/>
      <c r="J453" s="241"/>
      <c r="K453" s="241"/>
      <c r="L453" s="241"/>
      <c r="M453" s="241"/>
      <c r="N453" s="241"/>
      <c r="O453" s="241"/>
      <c r="P453" s="241"/>
      <c r="Q453" s="241"/>
      <c r="R453" s="241"/>
      <c r="S453" s="241"/>
      <c r="T453" s="241"/>
      <c r="U453" s="241"/>
      <c r="V453" s="241"/>
      <c r="W453" s="241"/>
      <c r="X453" s="241"/>
      <c r="Y453" s="241"/>
      <c r="Z453" s="241"/>
    </row>
    <row r="454" spans="1:26" ht="13.5" customHeight="1" x14ac:dyDescent="0.3">
      <c r="A454" s="241"/>
      <c r="B454" s="241"/>
      <c r="C454" s="241"/>
      <c r="D454" s="241"/>
      <c r="E454" s="241"/>
      <c r="F454" s="241"/>
      <c r="G454" s="241"/>
      <c r="H454" s="241"/>
      <c r="I454" s="241"/>
      <c r="J454" s="241"/>
      <c r="K454" s="241"/>
      <c r="L454" s="241"/>
      <c r="M454" s="241"/>
      <c r="N454" s="241"/>
      <c r="O454" s="241"/>
      <c r="P454" s="241"/>
      <c r="Q454" s="241"/>
      <c r="R454" s="241"/>
      <c r="S454" s="241"/>
      <c r="T454" s="241"/>
      <c r="U454" s="241"/>
      <c r="V454" s="241"/>
      <c r="W454" s="241"/>
      <c r="X454" s="241"/>
      <c r="Y454" s="241"/>
      <c r="Z454" s="241"/>
    </row>
    <row r="455" spans="1:26" ht="13.5" customHeight="1" x14ac:dyDescent="0.3">
      <c r="A455" s="241"/>
      <c r="B455" s="241"/>
      <c r="C455" s="241"/>
      <c r="D455" s="241"/>
      <c r="E455" s="241"/>
      <c r="F455" s="241"/>
      <c r="G455" s="241"/>
      <c r="H455" s="241"/>
      <c r="I455" s="241"/>
      <c r="J455" s="241"/>
      <c r="K455" s="241"/>
      <c r="L455" s="241"/>
      <c r="M455" s="241"/>
      <c r="N455" s="241"/>
      <c r="O455" s="241"/>
      <c r="P455" s="241"/>
      <c r="Q455" s="241"/>
      <c r="R455" s="241"/>
      <c r="S455" s="241"/>
      <c r="T455" s="241"/>
      <c r="U455" s="241"/>
      <c r="V455" s="241"/>
      <c r="W455" s="241"/>
      <c r="X455" s="241"/>
      <c r="Y455" s="241"/>
      <c r="Z455" s="241"/>
    </row>
    <row r="456" spans="1:26" ht="13.5" customHeight="1" x14ac:dyDescent="0.3">
      <c r="A456" s="241"/>
      <c r="B456" s="241"/>
      <c r="C456" s="241"/>
      <c r="D456" s="241"/>
      <c r="E456" s="241"/>
      <c r="F456" s="241"/>
      <c r="G456" s="241"/>
      <c r="H456" s="241"/>
      <c r="I456" s="241"/>
      <c r="J456" s="241"/>
      <c r="K456" s="241"/>
      <c r="L456" s="241"/>
      <c r="M456" s="241"/>
      <c r="N456" s="241"/>
      <c r="O456" s="241"/>
      <c r="P456" s="241"/>
      <c r="Q456" s="241"/>
      <c r="R456" s="241"/>
      <c r="S456" s="241"/>
      <c r="T456" s="241"/>
      <c r="U456" s="241"/>
      <c r="V456" s="241"/>
      <c r="W456" s="241"/>
      <c r="X456" s="241"/>
      <c r="Y456" s="241"/>
      <c r="Z456" s="241"/>
    </row>
    <row r="457" spans="1:26" ht="13.5" customHeight="1" x14ac:dyDescent="0.3">
      <c r="A457" s="241"/>
      <c r="B457" s="241"/>
      <c r="C457" s="241"/>
      <c r="D457" s="241"/>
      <c r="E457" s="241"/>
      <c r="F457" s="241"/>
      <c r="G457" s="241"/>
      <c r="H457" s="241"/>
      <c r="I457" s="241"/>
      <c r="J457" s="241"/>
      <c r="K457" s="241"/>
      <c r="L457" s="241"/>
      <c r="M457" s="241"/>
      <c r="N457" s="241"/>
      <c r="O457" s="241"/>
      <c r="P457" s="241"/>
      <c r="Q457" s="241"/>
      <c r="R457" s="241"/>
      <c r="S457" s="241"/>
      <c r="T457" s="241"/>
      <c r="U457" s="241"/>
      <c r="V457" s="241"/>
      <c r="W457" s="241"/>
      <c r="X457" s="241"/>
      <c r="Y457" s="241"/>
      <c r="Z457" s="241"/>
    </row>
    <row r="458" spans="1:26" ht="13.5" customHeight="1" x14ac:dyDescent="0.3">
      <c r="A458" s="241"/>
      <c r="B458" s="241"/>
      <c r="C458" s="241"/>
      <c r="D458" s="241"/>
      <c r="E458" s="241"/>
      <c r="F458" s="241"/>
      <c r="G458" s="241"/>
      <c r="H458" s="241"/>
      <c r="I458" s="241"/>
      <c r="J458" s="241"/>
      <c r="K458" s="241"/>
      <c r="L458" s="241"/>
      <c r="M458" s="241"/>
      <c r="N458" s="241"/>
      <c r="O458" s="241"/>
      <c r="P458" s="241"/>
      <c r="Q458" s="241"/>
      <c r="R458" s="241"/>
      <c r="S458" s="241"/>
      <c r="T458" s="241"/>
      <c r="U458" s="241"/>
      <c r="V458" s="241"/>
      <c r="W458" s="241"/>
      <c r="X458" s="241"/>
      <c r="Y458" s="241"/>
      <c r="Z458" s="241"/>
    </row>
    <row r="459" spans="1:26" ht="13.5" customHeight="1" x14ac:dyDescent="0.3">
      <c r="A459" s="241"/>
      <c r="B459" s="241"/>
      <c r="C459" s="241"/>
      <c r="D459" s="241"/>
      <c r="E459" s="241"/>
      <c r="F459" s="241"/>
      <c r="G459" s="241"/>
      <c r="H459" s="241"/>
      <c r="I459" s="241"/>
      <c r="J459" s="241"/>
      <c r="K459" s="241"/>
      <c r="L459" s="241"/>
      <c r="M459" s="241"/>
      <c r="N459" s="241"/>
      <c r="O459" s="241"/>
      <c r="P459" s="241"/>
      <c r="Q459" s="241"/>
      <c r="R459" s="241"/>
      <c r="S459" s="241"/>
      <c r="T459" s="241"/>
      <c r="U459" s="241"/>
      <c r="V459" s="241"/>
      <c r="W459" s="241"/>
      <c r="X459" s="241"/>
      <c r="Y459" s="241"/>
      <c r="Z459" s="241"/>
    </row>
    <row r="460" spans="1:26" ht="13.5" customHeight="1" x14ac:dyDescent="0.3">
      <c r="A460" s="241"/>
      <c r="B460" s="241"/>
      <c r="C460" s="241"/>
      <c r="D460" s="241"/>
      <c r="E460" s="241"/>
      <c r="F460" s="241"/>
      <c r="G460" s="241"/>
      <c r="H460" s="241"/>
      <c r="I460" s="241"/>
      <c r="J460" s="241"/>
      <c r="K460" s="241"/>
      <c r="L460" s="241"/>
      <c r="M460" s="241"/>
      <c r="N460" s="241"/>
      <c r="O460" s="241"/>
      <c r="P460" s="241"/>
      <c r="Q460" s="241"/>
      <c r="R460" s="241"/>
      <c r="S460" s="241"/>
      <c r="T460" s="241"/>
      <c r="U460" s="241"/>
      <c r="V460" s="241"/>
      <c r="W460" s="241"/>
      <c r="X460" s="241"/>
      <c r="Y460" s="241"/>
      <c r="Z460" s="241"/>
    </row>
    <row r="461" spans="1:26" ht="13.5" customHeight="1" x14ac:dyDescent="0.3">
      <c r="A461" s="241"/>
      <c r="B461" s="241"/>
      <c r="C461" s="241"/>
      <c r="D461" s="241"/>
      <c r="E461" s="241"/>
      <c r="F461" s="241"/>
      <c r="G461" s="241"/>
      <c r="H461" s="241"/>
      <c r="I461" s="241"/>
      <c r="J461" s="241"/>
      <c r="K461" s="241"/>
      <c r="L461" s="241"/>
      <c r="M461" s="241"/>
      <c r="N461" s="241"/>
      <c r="O461" s="241"/>
      <c r="P461" s="241"/>
      <c r="Q461" s="241"/>
      <c r="R461" s="241"/>
      <c r="S461" s="241"/>
      <c r="T461" s="241"/>
      <c r="U461" s="241"/>
      <c r="V461" s="241"/>
      <c r="W461" s="241"/>
      <c r="X461" s="241"/>
      <c r="Y461" s="241"/>
      <c r="Z461" s="241"/>
    </row>
    <row r="462" spans="1:26" ht="13.5" customHeight="1" x14ac:dyDescent="0.3">
      <c r="A462" s="241"/>
      <c r="B462" s="241"/>
      <c r="C462" s="241"/>
      <c r="D462" s="241"/>
      <c r="E462" s="241"/>
      <c r="F462" s="241"/>
      <c r="G462" s="241"/>
      <c r="H462" s="241"/>
      <c r="I462" s="241"/>
      <c r="J462" s="241"/>
      <c r="K462" s="241"/>
      <c r="L462" s="241"/>
      <c r="M462" s="241"/>
      <c r="N462" s="241"/>
      <c r="O462" s="241"/>
      <c r="P462" s="241"/>
      <c r="Q462" s="241"/>
      <c r="R462" s="241"/>
      <c r="S462" s="241"/>
      <c r="T462" s="241"/>
      <c r="U462" s="241"/>
      <c r="V462" s="241"/>
      <c r="W462" s="241"/>
      <c r="X462" s="241"/>
      <c r="Y462" s="241"/>
      <c r="Z462" s="241"/>
    </row>
    <row r="463" spans="1:26" ht="13.5" customHeight="1" x14ac:dyDescent="0.3">
      <c r="A463" s="241"/>
      <c r="B463" s="241"/>
      <c r="C463" s="241"/>
      <c r="D463" s="241"/>
      <c r="E463" s="241"/>
      <c r="F463" s="241"/>
      <c r="G463" s="241"/>
      <c r="H463" s="241"/>
      <c r="I463" s="241"/>
      <c r="J463" s="241"/>
      <c r="K463" s="241"/>
      <c r="L463" s="241"/>
      <c r="M463" s="241"/>
      <c r="N463" s="241"/>
      <c r="O463" s="241"/>
      <c r="P463" s="241"/>
      <c r="Q463" s="241"/>
      <c r="R463" s="241"/>
      <c r="S463" s="241"/>
      <c r="T463" s="241"/>
      <c r="U463" s="241"/>
      <c r="V463" s="241"/>
      <c r="W463" s="241"/>
      <c r="X463" s="241"/>
      <c r="Y463" s="241"/>
      <c r="Z463" s="241"/>
    </row>
    <row r="464" spans="1:26" ht="13.5" customHeight="1" x14ac:dyDescent="0.3">
      <c r="A464" s="241"/>
      <c r="B464" s="241"/>
      <c r="C464" s="241"/>
      <c r="D464" s="241"/>
      <c r="E464" s="241"/>
      <c r="F464" s="241"/>
      <c r="G464" s="241"/>
      <c r="H464" s="241"/>
      <c r="I464" s="241"/>
      <c r="J464" s="241"/>
      <c r="K464" s="241"/>
      <c r="L464" s="241"/>
      <c r="M464" s="241"/>
      <c r="N464" s="241"/>
      <c r="O464" s="241"/>
      <c r="P464" s="241"/>
      <c r="Q464" s="241"/>
      <c r="R464" s="241"/>
      <c r="S464" s="241"/>
      <c r="T464" s="241"/>
      <c r="U464" s="241"/>
      <c r="V464" s="241"/>
      <c r="W464" s="241"/>
      <c r="X464" s="241"/>
      <c r="Y464" s="241"/>
      <c r="Z464" s="241"/>
    </row>
    <row r="465" spans="1:26" ht="13.5" customHeight="1" x14ac:dyDescent="0.3">
      <c r="A465" s="241"/>
      <c r="B465" s="241"/>
      <c r="C465" s="241"/>
      <c r="D465" s="241"/>
      <c r="E465" s="241"/>
      <c r="F465" s="241"/>
      <c r="G465" s="241"/>
      <c r="H465" s="241"/>
      <c r="I465" s="241"/>
      <c r="J465" s="241"/>
      <c r="K465" s="241"/>
      <c r="L465" s="241"/>
      <c r="M465" s="241"/>
      <c r="N465" s="241"/>
      <c r="O465" s="241"/>
      <c r="P465" s="241"/>
      <c r="Q465" s="241"/>
      <c r="R465" s="241"/>
      <c r="S465" s="241"/>
      <c r="T465" s="241"/>
      <c r="U465" s="241"/>
      <c r="V465" s="241"/>
      <c r="W465" s="241"/>
      <c r="X465" s="241"/>
      <c r="Y465" s="241"/>
      <c r="Z465" s="241"/>
    </row>
    <row r="466" spans="1:26" ht="13.5" customHeight="1" x14ac:dyDescent="0.3">
      <c r="A466" s="241"/>
      <c r="B466" s="241"/>
      <c r="C466" s="241"/>
      <c r="D466" s="241"/>
      <c r="E466" s="241"/>
      <c r="F466" s="241"/>
      <c r="G466" s="241"/>
      <c r="H466" s="241"/>
      <c r="I466" s="241"/>
      <c r="J466" s="241"/>
      <c r="K466" s="241"/>
      <c r="L466" s="241"/>
      <c r="M466" s="241"/>
      <c r="N466" s="241"/>
      <c r="O466" s="241"/>
      <c r="P466" s="241"/>
      <c r="Q466" s="241"/>
      <c r="R466" s="241"/>
      <c r="S466" s="241"/>
      <c r="T466" s="241"/>
      <c r="U466" s="241"/>
      <c r="V466" s="241"/>
      <c r="W466" s="241"/>
      <c r="X466" s="241"/>
      <c r="Y466" s="241"/>
      <c r="Z466" s="241"/>
    </row>
    <row r="467" spans="1:26" ht="13.5" customHeight="1" x14ac:dyDescent="0.3">
      <c r="A467" s="241"/>
      <c r="B467" s="241"/>
      <c r="C467" s="241"/>
      <c r="D467" s="241"/>
      <c r="E467" s="241"/>
      <c r="F467" s="241"/>
      <c r="G467" s="241"/>
      <c r="H467" s="241"/>
      <c r="I467" s="241"/>
      <c r="J467" s="241"/>
      <c r="K467" s="241"/>
      <c r="L467" s="241"/>
      <c r="M467" s="241"/>
      <c r="N467" s="241"/>
      <c r="O467" s="241"/>
      <c r="P467" s="241"/>
      <c r="Q467" s="241"/>
      <c r="R467" s="241"/>
      <c r="S467" s="241"/>
      <c r="T467" s="241"/>
      <c r="U467" s="241"/>
      <c r="V467" s="241"/>
      <c r="W467" s="241"/>
      <c r="X467" s="241"/>
      <c r="Y467" s="241"/>
      <c r="Z467" s="241"/>
    </row>
    <row r="468" spans="1:26" ht="13.5" customHeight="1" x14ac:dyDescent="0.3">
      <c r="A468" s="241"/>
      <c r="B468" s="241"/>
      <c r="C468" s="241"/>
      <c r="D468" s="241"/>
      <c r="E468" s="241"/>
      <c r="F468" s="241"/>
      <c r="G468" s="241"/>
      <c r="H468" s="241"/>
      <c r="I468" s="241"/>
      <c r="J468" s="241"/>
      <c r="K468" s="241"/>
      <c r="L468" s="241"/>
      <c r="M468" s="241"/>
      <c r="N468" s="241"/>
      <c r="O468" s="241"/>
      <c r="P468" s="241"/>
      <c r="Q468" s="241"/>
      <c r="R468" s="241"/>
      <c r="S468" s="241"/>
      <c r="T468" s="241"/>
      <c r="U468" s="241"/>
      <c r="V468" s="241"/>
      <c r="W468" s="241"/>
      <c r="X468" s="241"/>
      <c r="Y468" s="241"/>
      <c r="Z468" s="241"/>
    </row>
    <row r="469" spans="1:26" ht="13.5" customHeight="1" x14ac:dyDescent="0.3">
      <c r="A469" s="241"/>
      <c r="B469" s="241"/>
      <c r="C469" s="241"/>
      <c r="D469" s="241"/>
      <c r="E469" s="241"/>
      <c r="F469" s="241"/>
      <c r="G469" s="241"/>
      <c r="H469" s="241"/>
      <c r="I469" s="241"/>
      <c r="J469" s="241"/>
      <c r="K469" s="241"/>
      <c r="L469" s="241"/>
      <c r="M469" s="241"/>
      <c r="N469" s="241"/>
      <c r="O469" s="241"/>
      <c r="P469" s="241"/>
      <c r="Q469" s="241"/>
      <c r="R469" s="241"/>
      <c r="S469" s="241"/>
      <c r="T469" s="241"/>
      <c r="U469" s="241"/>
      <c r="V469" s="241"/>
      <c r="W469" s="241"/>
      <c r="X469" s="241"/>
      <c r="Y469" s="241"/>
      <c r="Z469" s="241"/>
    </row>
    <row r="470" spans="1:26" ht="13.5" customHeight="1" x14ac:dyDescent="0.3">
      <c r="A470" s="241"/>
      <c r="B470" s="241"/>
      <c r="C470" s="241"/>
      <c r="D470" s="241"/>
      <c r="E470" s="241"/>
      <c r="F470" s="241"/>
      <c r="G470" s="241"/>
      <c r="H470" s="241"/>
      <c r="I470" s="241"/>
      <c r="J470" s="241"/>
      <c r="K470" s="241"/>
      <c r="L470" s="241"/>
      <c r="M470" s="241"/>
      <c r="N470" s="241"/>
      <c r="O470" s="241"/>
      <c r="P470" s="241"/>
      <c r="Q470" s="241"/>
      <c r="R470" s="241"/>
      <c r="S470" s="241"/>
      <c r="T470" s="241"/>
      <c r="U470" s="241"/>
      <c r="V470" s="241"/>
      <c r="W470" s="241"/>
      <c r="X470" s="241"/>
      <c r="Y470" s="241"/>
      <c r="Z470" s="241"/>
    </row>
    <row r="471" spans="1:26" ht="13.5" customHeight="1" x14ac:dyDescent="0.3">
      <c r="A471" s="241"/>
      <c r="B471" s="241"/>
      <c r="C471" s="241"/>
      <c r="D471" s="241"/>
      <c r="E471" s="241"/>
      <c r="F471" s="241"/>
      <c r="G471" s="241"/>
      <c r="H471" s="241"/>
      <c r="I471" s="241"/>
      <c r="J471" s="241"/>
      <c r="K471" s="241"/>
      <c r="L471" s="241"/>
      <c r="M471" s="241"/>
      <c r="N471" s="241"/>
      <c r="O471" s="241"/>
      <c r="P471" s="241"/>
      <c r="Q471" s="241"/>
      <c r="R471" s="241"/>
      <c r="S471" s="241"/>
      <c r="T471" s="241"/>
      <c r="U471" s="241"/>
      <c r="V471" s="241"/>
      <c r="W471" s="241"/>
      <c r="X471" s="241"/>
      <c r="Y471" s="241"/>
      <c r="Z471" s="241"/>
    </row>
    <row r="472" spans="1:26" ht="13.5" customHeight="1" x14ac:dyDescent="0.3">
      <c r="A472" s="241"/>
      <c r="B472" s="241"/>
      <c r="C472" s="241"/>
      <c r="D472" s="241"/>
      <c r="E472" s="241"/>
      <c r="F472" s="241"/>
      <c r="G472" s="241"/>
      <c r="H472" s="241"/>
      <c r="I472" s="241"/>
      <c r="J472" s="241"/>
      <c r="K472" s="241"/>
      <c r="L472" s="241"/>
      <c r="M472" s="241"/>
      <c r="N472" s="241"/>
      <c r="O472" s="241"/>
      <c r="P472" s="241"/>
      <c r="Q472" s="241"/>
      <c r="R472" s="241"/>
      <c r="S472" s="241"/>
      <c r="T472" s="241"/>
      <c r="U472" s="241"/>
      <c r="V472" s="241"/>
      <c r="W472" s="241"/>
      <c r="X472" s="241"/>
      <c r="Y472" s="241"/>
      <c r="Z472" s="241"/>
    </row>
    <row r="473" spans="1:26" ht="13.5" customHeight="1" x14ac:dyDescent="0.3">
      <c r="A473" s="241"/>
      <c r="B473" s="241"/>
      <c r="C473" s="241"/>
      <c r="D473" s="241"/>
      <c r="E473" s="241"/>
      <c r="F473" s="241"/>
      <c r="G473" s="241"/>
      <c r="H473" s="241"/>
      <c r="I473" s="241"/>
      <c r="J473" s="241"/>
      <c r="K473" s="241"/>
      <c r="L473" s="241"/>
      <c r="M473" s="241"/>
      <c r="N473" s="241"/>
      <c r="O473" s="241"/>
      <c r="P473" s="241"/>
      <c r="Q473" s="241"/>
      <c r="R473" s="241"/>
      <c r="S473" s="241"/>
      <c r="T473" s="241"/>
      <c r="U473" s="241"/>
      <c r="V473" s="241"/>
      <c r="W473" s="241"/>
      <c r="X473" s="241"/>
      <c r="Y473" s="241"/>
      <c r="Z473" s="241"/>
    </row>
    <row r="474" spans="1:26" ht="13.5" customHeight="1" x14ac:dyDescent="0.3">
      <c r="A474" s="241"/>
      <c r="B474" s="241"/>
      <c r="C474" s="241"/>
      <c r="D474" s="241"/>
      <c r="E474" s="241"/>
      <c r="F474" s="241"/>
      <c r="G474" s="241"/>
      <c r="H474" s="241"/>
      <c r="I474" s="241"/>
      <c r="J474" s="241"/>
      <c r="K474" s="241"/>
      <c r="L474" s="241"/>
      <c r="M474" s="241"/>
      <c r="N474" s="241"/>
      <c r="O474" s="241"/>
      <c r="P474" s="241"/>
      <c r="Q474" s="241"/>
      <c r="R474" s="241"/>
      <c r="S474" s="241"/>
      <c r="T474" s="241"/>
      <c r="U474" s="241"/>
      <c r="V474" s="241"/>
      <c r="W474" s="241"/>
      <c r="X474" s="241"/>
      <c r="Y474" s="241"/>
      <c r="Z474" s="241"/>
    </row>
    <row r="475" spans="1:26" ht="13.5" customHeight="1" x14ac:dyDescent="0.3">
      <c r="A475" s="241"/>
      <c r="B475" s="241"/>
      <c r="C475" s="241"/>
      <c r="D475" s="241"/>
      <c r="E475" s="241"/>
      <c r="F475" s="241"/>
      <c r="G475" s="241"/>
      <c r="H475" s="241"/>
      <c r="I475" s="241"/>
      <c r="J475" s="241"/>
      <c r="K475" s="241"/>
      <c r="L475" s="241"/>
      <c r="M475" s="241"/>
      <c r="N475" s="241"/>
      <c r="O475" s="241"/>
      <c r="P475" s="241"/>
      <c r="Q475" s="241"/>
      <c r="R475" s="241"/>
      <c r="S475" s="241"/>
      <c r="T475" s="241"/>
      <c r="U475" s="241"/>
      <c r="V475" s="241"/>
      <c r="W475" s="241"/>
      <c r="X475" s="241"/>
      <c r="Y475" s="241"/>
      <c r="Z475" s="241"/>
    </row>
    <row r="476" spans="1:26" ht="13.5" customHeight="1" x14ac:dyDescent="0.3">
      <c r="A476" s="241"/>
      <c r="B476" s="241"/>
      <c r="C476" s="241"/>
      <c r="D476" s="241"/>
      <c r="E476" s="241"/>
      <c r="F476" s="241"/>
      <c r="G476" s="241"/>
      <c r="H476" s="241"/>
      <c r="I476" s="241"/>
      <c r="J476" s="241"/>
      <c r="K476" s="241"/>
      <c r="L476" s="241"/>
      <c r="M476" s="241"/>
      <c r="N476" s="241"/>
      <c r="O476" s="241"/>
      <c r="P476" s="241"/>
      <c r="Q476" s="241"/>
      <c r="R476" s="241"/>
      <c r="S476" s="241"/>
      <c r="T476" s="241"/>
      <c r="U476" s="241"/>
      <c r="V476" s="241"/>
      <c r="W476" s="241"/>
      <c r="X476" s="241"/>
      <c r="Y476" s="241"/>
      <c r="Z476" s="241"/>
    </row>
    <row r="477" spans="1:26" ht="13.5" customHeight="1" x14ac:dyDescent="0.3">
      <c r="A477" s="241"/>
      <c r="B477" s="241"/>
      <c r="C477" s="241"/>
      <c r="D477" s="241"/>
      <c r="E477" s="241"/>
      <c r="F477" s="241"/>
      <c r="G477" s="241"/>
      <c r="H477" s="241"/>
      <c r="I477" s="241"/>
      <c r="J477" s="241"/>
      <c r="K477" s="241"/>
      <c r="L477" s="241"/>
      <c r="M477" s="241"/>
      <c r="N477" s="241"/>
      <c r="O477" s="241"/>
      <c r="P477" s="241"/>
      <c r="Q477" s="241"/>
      <c r="R477" s="241"/>
      <c r="S477" s="241"/>
      <c r="T477" s="241"/>
      <c r="U477" s="241"/>
      <c r="V477" s="241"/>
      <c r="W477" s="241"/>
      <c r="X477" s="241"/>
      <c r="Y477" s="241"/>
      <c r="Z477" s="241"/>
    </row>
    <row r="478" spans="1:26" ht="13.5" customHeight="1" x14ac:dyDescent="0.3">
      <c r="A478" s="241"/>
      <c r="B478" s="241"/>
      <c r="C478" s="241"/>
      <c r="D478" s="241"/>
      <c r="E478" s="241"/>
      <c r="F478" s="241"/>
      <c r="G478" s="241"/>
      <c r="H478" s="241"/>
      <c r="I478" s="241"/>
      <c r="J478" s="241"/>
      <c r="K478" s="241"/>
      <c r="L478" s="241"/>
      <c r="M478" s="241"/>
      <c r="N478" s="241"/>
      <c r="O478" s="241"/>
      <c r="P478" s="241"/>
      <c r="Q478" s="241"/>
      <c r="R478" s="241"/>
      <c r="S478" s="241"/>
      <c r="T478" s="241"/>
      <c r="U478" s="241"/>
      <c r="V478" s="241"/>
      <c r="W478" s="241"/>
      <c r="X478" s="241"/>
      <c r="Y478" s="241"/>
      <c r="Z478" s="241"/>
    </row>
    <row r="479" spans="1:26" ht="13.5" customHeight="1" x14ac:dyDescent="0.3">
      <c r="A479" s="241"/>
      <c r="B479" s="241"/>
      <c r="C479" s="241"/>
      <c r="D479" s="241"/>
      <c r="E479" s="241"/>
      <c r="F479" s="241"/>
      <c r="G479" s="241"/>
      <c r="H479" s="241"/>
      <c r="I479" s="241"/>
      <c r="J479" s="241"/>
      <c r="K479" s="241"/>
      <c r="L479" s="241"/>
      <c r="M479" s="241"/>
      <c r="N479" s="241"/>
      <c r="O479" s="241"/>
      <c r="P479" s="241"/>
      <c r="Q479" s="241"/>
      <c r="R479" s="241"/>
      <c r="S479" s="241"/>
      <c r="T479" s="241"/>
      <c r="U479" s="241"/>
      <c r="V479" s="241"/>
      <c r="W479" s="241"/>
      <c r="X479" s="241"/>
      <c r="Y479" s="241"/>
      <c r="Z479" s="241"/>
    </row>
    <row r="480" spans="1:26" ht="13.5" customHeight="1" x14ac:dyDescent="0.3">
      <c r="A480" s="241"/>
      <c r="B480" s="241"/>
      <c r="C480" s="241"/>
      <c r="D480" s="241"/>
      <c r="E480" s="241"/>
      <c r="F480" s="241"/>
      <c r="G480" s="241"/>
      <c r="H480" s="241"/>
      <c r="I480" s="241"/>
      <c r="J480" s="241"/>
      <c r="K480" s="241"/>
      <c r="L480" s="241"/>
      <c r="M480" s="241"/>
      <c r="N480" s="241"/>
      <c r="O480" s="241"/>
      <c r="P480" s="241"/>
      <c r="Q480" s="241"/>
      <c r="R480" s="241"/>
      <c r="S480" s="241"/>
      <c r="T480" s="241"/>
      <c r="U480" s="241"/>
      <c r="V480" s="241"/>
      <c r="W480" s="241"/>
      <c r="X480" s="241"/>
      <c r="Y480" s="241"/>
      <c r="Z480" s="241"/>
    </row>
    <row r="481" spans="1:26" ht="13.5" customHeight="1" x14ac:dyDescent="0.3">
      <c r="A481" s="241"/>
      <c r="B481" s="241"/>
      <c r="C481" s="241"/>
      <c r="D481" s="241"/>
      <c r="E481" s="241"/>
      <c r="F481" s="241"/>
      <c r="G481" s="241"/>
      <c r="H481" s="241"/>
      <c r="I481" s="241"/>
      <c r="J481" s="241"/>
      <c r="K481" s="241"/>
      <c r="L481" s="241"/>
      <c r="M481" s="241"/>
      <c r="N481" s="241"/>
      <c r="O481" s="241"/>
      <c r="P481" s="241"/>
      <c r="Q481" s="241"/>
      <c r="R481" s="241"/>
      <c r="S481" s="241"/>
      <c r="T481" s="241"/>
      <c r="U481" s="241"/>
      <c r="V481" s="241"/>
      <c r="W481" s="241"/>
      <c r="X481" s="241"/>
      <c r="Y481" s="241"/>
      <c r="Z481" s="241"/>
    </row>
    <row r="482" spans="1:26" ht="13.5" customHeight="1" x14ac:dyDescent="0.3">
      <c r="A482" s="241"/>
      <c r="B482" s="241"/>
      <c r="C482" s="241"/>
      <c r="D482" s="241"/>
      <c r="E482" s="241"/>
      <c r="F482" s="241"/>
      <c r="G482" s="241"/>
      <c r="H482" s="241"/>
      <c r="I482" s="241"/>
      <c r="J482" s="241"/>
      <c r="K482" s="241"/>
      <c r="L482" s="241"/>
      <c r="M482" s="241"/>
      <c r="N482" s="241"/>
      <c r="O482" s="241"/>
      <c r="P482" s="241"/>
      <c r="Q482" s="241"/>
      <c r="R482" s="241"/>
      <c r="S482" s="241"/>
      <c r="T482" s="241"/>
      <c r="U482" s="241"/>
      <c r="V482" s="241"/>
      <c r="W482" s="241"/>
      <c r="X482" s="241"/>
      <c r="Y482" s="241"/>
      <c r="Z482" s="241"/>
    </row>
    <row r="483" spans="1:26" ht="13.5" customHeight="1" x14ac:dyDescent="0.3">
      <c r="A483" s="241"/>
      <c r="B483" s="241"/>
      <c r="C483" s="241"/>
      <c r="D483" s="241"/>
      <c r="E483" s="241"/>
      <c r="F483" s="241"/>
      <c r="G483" s="241"/>
      <c r="H483" s="241"/>
      <c r="I483" s="241"/>
      <c r="J483" s="241"/>
      <c r="K483" s="241"/>
      <c r="L483" s="241"/>
      <c r="M483" s="241"/>
      <c r="N483" s="241"/>
      <c r="O483" s="241"/>
      <c r="P483" s="241"/>
      <c r="Q483" s="241"/>
      <c r="R483" s="241"/>
      <c r="S483" s="241"/>
      <c r="T483" s="241"/>
      <c r="U483" s="241"/>
      <c r="V483" s="241"/>
      <c r="W483" s="241"/>
      <c r="X483" s="241"/>
      <c r="Y483" s="241"/>
      <c r="Z483" s="241"/>
    </row>
    <row r="484" spans="1:26" ht="13.5" customHeight="1" x14ac:dyDescent="0.3">
      <c r="A484" s="241"/>
      <c r="B484" s="241"/>
      <c r="C484" s="241"/>
      <c r="D484" s="241"/>
      <c r="E484" s="241"/>
      <c r="F484" s="241"/>
      <c r="G484" s="241"/>
      <c r="H484" s="241"/>
      <c r="I484" s="241"/>
      <c r="J484" s="241"/>
      <c r="K484" s="241"/>
      <c r="L484" s="241"/>
      <c r="M484" s="241"/>
      <c r="N484" s="241"/>
      <c r="O484" s="241"/>
      <c r="P484" s="241"/>
      <c r="Q484" s="241"/>
      <c r="R484" s="241"/>
      <c r="S484" s="241"/>
      <c r="T484" s="241"/>
      <c r="U484" s="241"/>
      <c r="V484" s="241"/>
      <c r="W484" s="241"/>
      <c r="X484" s="241"/>
      <c r="Y484" s="241"/>
      <c r="Z484" s="241"/>
    </row>
    <row r="485" spans="1:26" ht="13.5" customHeight="1" x14ac:dyDescent="0.3">
      <c r="A485" s="241"/>
      <c r="B485" s="241"/>
      <c r="C485" s="241"/>
      <c r="D485" s="241"/>
      <c r="E485" s="241"/>
      <c r="F485" s="241"/>
      <c r="G485" s="241"/>
      <c r="H485" s="241"/>
      <c r="I485" s="241"/>
      <c r="J485" s="241"/>
      <c r="K485" s="241"/>
      <c r="L485" s="241"/>
      <c r="M485" s="241"/>
      <c r="N485" s="241"/>
      <c r="O485" s="241"/>
      <c r="P485" s="241"/>
      <c r="Q485" s="241"/>
      <c r="R485" s="241"/>
      <c r="S485" s="241"/>
      <c r="T485" s="241"/>
      <c r="U485" s="241"/>
      <c r="V485" s="241"/>
      <c r="W485" s="241"/>
      <c r="X485" s="241"/>
      <c r="Y485" s="241"/>
      <c r="Z485" s="241"/>
    </row>
    <row r="486" spans="1:26" ht="13.5" customHeight="1" x14ac:dyDescent="0.3">
      <c r="A486" s="241"/>
      <c r="B486" s="241"/>
      <c r="C486" s="241"/>
      <c r="D486" s="241"/>
      <c r="E486" s="241"/>
      <c r="F486" s="241"/>
      <c r="G486" s="241"/>
      <c r="H486" s="241"/>
      <c r="I486" s="241"/>
      <c r="J486" s="241"/>
      <c r="K486" s="241"/>
      <c r="L486" s="241"/>
      <c r="M486" s="241"/>
      <c r="N486" s="241"/>
      <c r="O486" s="241"/>
      <c r="P486" s="241"/>
      <c r="Q486" s="241"/>
      <c r="R486" s="241"/>
      <c r="S486" s="241"/>
      <c r="T486" s="241"/>
      <c r="U486" s="241"/>
      <c r="V486" s="241"/>
      <c r="W486" s="241"/>
      <c r="X486" s="241"/>
      <c r="Y486" s="241"/>
      <c r="Z486" s="241"/>
    </row>
    <row r="487" spans="1:26" ht="13.5" customHeight="1" x14ac:dyDescent="0.3">
      <c r="A487" s="241"/>
      <c r="B487" s="241"/>
      <c r="C487" s="241"/>
      <c r="D487" s="241"/>
      <c r="E487" s="241"/>
      <c r="F487" s="241"/>
      <c r="G487" s="241"/>
      <c r="H487" s="241"/>
      <c r="I487" s="241"/>
      <c r="J487" s="241"/>
      <c r="K487" s="241"/>
      <c r="L487" s="241"/>
      <c r="M487" s="241"/>
      <c r="N487" s="241"/>
      <c r="O487" s="241"/>
      <c r="P487" s="241"/>
      <c r="Q487" s="241"/>
      <c r="R487" s="241"/>
      <c r="S487" s="241"/>
      <c r="T487" s="241"/>
      <c r="U487" s="241"/>
      <c r="V487" s="241"/>
      <c r="W487" s="241"/>
      <c r="X487" s="241"/>
      <c r="Y487" s="241"/>
      <c r="Z487" s="241"/>
    </row>
    <row r="488" spans="1:26" ht="13.5" customHeight="1" x14ac:dyDescent="0.3">
      <c r="A488" s="241"/>
      <c r="B488" s="241"/>
      <c r="C488" s="241"/>
      <c r="D488" s="241"/>
      <c r="E488" s="241"/>
      <c r="F488" s="241"/>
      <c r="G488" s="241"/>
      <c r="H488" s="241"/>
      <c r="I488" s="241"/>
      <c r="J488" s="241"/>
      <c r="K488" s="241"/>
      <c r="L488" s="241"/>
      <c r="M488" s="241"/>
      <c r="N488" s="241"/>
      <c r="O488" s="241"/>
      <c r="P488" s="241"/>
      <c r="Q488" s="241"/>
      <c r="R488" s="241"/>
      <c r="S488" s="241"/>
      <c r="T488" s="241"/>
      <c r="U488" s="241"/>
      <c r="V488" s="241"/>
      <c r="W488" s="241"/>
      <c r="X488" s="241"/>
      <c r="Y488" s="241"/>
      <c r="Z488" s="241"/>
    </row>
    <row r="489" spans="1:26" ht="13.5" customHeight="1" x14ac:dyDescent="0.3">
      <c r="A489" s="241"/>
      <c r="B489" s="241"/>
      <c r="C489" s="241"/>
      <c r="D489" s="241"/>
      <c r="E489" s="241"/>
      <c r="F489" s="241"/>
      <c r="G489" s="241"/>
      <c r="H489" s="241"/>
      <c r="I489" s="241"/>
      <c r="J489" s="241"/>
      <c r="K489" s="241"/>
      <c r="L489" s="241"/>
      <c r="M489" s="241"/>
      <c r="N489" s="241"/>
      <c r="O489" s="241"/>
      <c r="P489" s="241"/>
      <c r="Q489" s="241"/>
      <c r="R489" s="241"/>
      <c r="S489" s="241"/>
      <c r="T489" s="241"/>
      <c r="U489" s="241"/>
      <c r="V489" s="241"/>
      <c r="W489" s="241"/>
      <c r="X489" s="241"/>
      <c r="Y489" s="241"/>
      <c r="Z489" s="241"/>
    </row>
    <row r="490" spans="1:26" ht="13.5" customHeight="1" x14ac:dyDescent="0.3">
      <c r="A490" s="241"/>
      <c r="B490" s="241"/>
      <c r="C490" s="241"/>
      <c r="D490" s="241"/>
      <c r="E490" s="241"/>
      <c r="F490" s="241"/>
      <c r="G490" s="241"/>
      <c r="H490" s="241"/>
      <c r="I490" s="241"/>
      <c r="J490" s="241"/>
      <c r="K490" s="241"/>
      <c r="L490" s="241"/>
      <c r="M490" s="241"/>
      <c r="N490" s="241"/>
      <c r="O490" s="241"/>
      <c r="P490" s="241"/>
      <c r="Q490" s="241"/>
      <c r="R490" s="241"/>
      <c r="S490" s="241"/>
      <c r="T490" s="241"/>
      <c r="U490" s="241"/>
      <c r="V490" s="241"/>
      <c r="W490" s="241"/>
      <c r="X490" s="241"/>
      <c r="Y490" s="241"/>
      <c r="Z490" s="241"/>
    </row>
    <row r="491" spans="1:26" ht="13.5" customHeight="1" x14ac:dyDescent="0.3">
      <c r="A491" s="241"/>
      <c r="B491" s="241"/>
      <c r="C491" s="241"/>
      <c r="D491" s="241"/>
      <c r="E491" s="241"/>
      <c r="F491" s="241"/>
      <c r="G491" s="241"/>
      <c r="H491" s="241"/>
      <c r="I491" s="241"/>
      <c r="J491" s="241"/>
      <c r="K491" s="241"/>
      <c r="L491" s="241"/>
      <c r="M491" s="241"/>
      <c r="N491" s="241"/>
      <c r="O491" s="241"/>
      <c r="P491" s="241"/>
      <c r="Q491" s="241"/>
      <c r="R491" s="241"/>
      <c r="S491" s="241"/>
      <c r="T491" s="241"/>
      <c r="U491" s="241"/>
      <c r="V491" s="241"/>
      <c r="W491" s="241"/>
      <c r="X491" s="241"/>
      <c r="Y491" s="241"/>
      <c r="Z491" s="241"/>
    </row>
    <row r="492" spans="1:26" ht="13.5" customHeight="1" x14ac:dyDescent="0.3">
      <c r="A492" s="241"/>
      <c r="B492" s="241"/>
      <c r="C492" s="241"/>
      <c r="D492" s="241"/>
      <c r="E492" s="241"/>
      <c r="F492" s="241"/>
      <c r="G492" s="241"/>
      <c r="H492" s="241"/>
      <c r="I492" s="241"/>
      <c r="J492" s="241"/>
      <c r="K492" s="241"/>
      <c r="L492" s="241"/>
      <c r="M492" s="241"/>
      <c r="N492" s="241"/>
      <c r="O492" s="241"/>
      <c r="P492" s="241"/>
      <c r="Q492" s="241"/>
      <c r="R492" s="241"/>
      <c r="S492" s="241"/>
      <c r="T492" s="241"/>
      <c r="U492" s="241"/>
      <c r="V492" s="241"/>
      <c r="W492" s="241"/>
      <c r="X492" s="241"/>
      <c r="Y492" s="241"/>
      <c r="Z492" s="241"/>
    </row>
    <row r="493" spans="1:26" ht="13.5" customHeight="1" x14ac:dyDescent="0.3">
      <c r="A493" s="241"/>
      <c r="B493" s="241"/>
      <c r="C493" s="241"/>
      <c r="D493" s="241"/>
      <c r="E493" s="241"/>
      <c r="F493" s="241"/>
      <c r="G493" s="241"/>
      <c r="H493" s="241"/>
      <c r="I493" s="241"/>
      <c r="J493" s="241"/>
      <c r="K493" s="241"/>
      <c r="L493" s="241"/>
      <c r="M493" s="241"/>
      <c r="N493" s="241"/>
      <c r="O493" s="241"/>
      <c r="P493" s="241"/>
      <c r="Q493" s="241"/>
      <c r="R493" s="241"/>
      <c r="S493" s="241"/>
      <c r="T493" s="241"/>
      <c r="U493" s="241"/>
      <c r="V493" s="241"/>
      <c r="W493" s="241"/>
      <c r="X493" s="241"/>
      <c r="Y493" s="241"/>
      <c r="Z493" s="241"/>
    </row>
    <row r="494" spans="1:26" ht="13.5" customHeight="1" x14ac:dyDescent="0.3">
      <c r="A494" s="241"/>
      <c r="B494" s="241"/>
      <c r="C494" s="241"/>
      <c r="D494" s="241"/>
      <c r="E494" s="241"/>
      <c r="F494" s="241"/>
      <c r="G494" s="241"/>
      <c r="H494" s="241"/>
      <c r="I494" s="241"/>
      <c r="J494" s="241"/>
      <c r="K494" s="241"/>
      <c r="L494" s="241"/>
      <c r="M494" s="241"/>
      <c r="N494" s="241"/>
      <c r="O494" s="241"/>
      <c r="P494" s="241"/>
      <c r="Q494" s="241"/>
      <c r="R494" s="241"/>
      <c r="S494" s="241"/>
      <c r="T494" s="241"/>
      <c r="U494" s="241"/>
      <c r="V494" s="241"/>
      <c r="W494" s="241"/>
      <c r="X494" s="241"/>
      <c r="Y494" s="241"/>
      <c r="Z494" s="241"/>
    </row>
    <row r="495" spans="1:26" ht="13.5" customHeight="1" x14ac:dyDescent="0.3">
      <c r="A495" s="241"/>
      <c r="B495" s="241"/>
      <c r="C495" s="241"/>
      <c r="D495" s="241"/>
      <c r="E495" s="241"/>
      <c r="F495" s="241"/>
      <c r="G495" s="241"/>
      <c r="H495" s="241"/>
      <c r="I495" s="241"/>
      <c r="J495" s="241"/>
      <c r="K495" s="241"/>
      <c r="L495" s="241"/>
      <c r="M495" s="241"/>
      <c r="N495" s="241"/>
      <c r="O495" s="241"/>
      <c r="P495" s="241"/>
      <c r="Q495" s="241"/>
      <c r="R495" s="241"/>
      <c r="S495" s="241"/>
      <c r="T495" s="241"/>
      <c r="U495" s="241"/>
      <c r="V495" s="241"/>
      <c r="W495" s="241"/>
      <c r="X495" s="241"/>
      <c r="Y495" s="241"/>
      <c r="Z495" s="241"/>
    </row>
    <row r="496" spans="1:26" ht="13.5" customHeight="1" x14ac:dyDescent="0.3">
      <c r="A496" s="241"/>
      <c r="B496" s="241"/>
      <c r="C496" s="241"/>
      <c r="D496" s="241"/>
      <c r="E496" s="241"/>
      <c r="F496" s="241"/>
      <c r="G496" s="241"/>
      <c r="H496" s="241"/>
      <c r="I496" s="241"/>
      <c r="J496" s="241"/>
      <c r="K496" s="241"/>
      <c r="L496" s="241"/>
      <c r="M496" s="241"/>
      <c r="N496" s="241"/>
      <c r="O496" s="241"/>
      <c r="P496" s="241"/>
      <c r="Q496" s="241"/>
      <c r="R496" s="241"/>
      <c r="S496" s="241"/>
      <c r="T496" s="241"/>
      <c r="U496" s="241"/>
      <c r="V496" s="241"/>
      <c r="W496" s="241"/>
      <c r="X496" s="241"/>
      <c r="Y496" s="241"/>
      <c r="Z496" s="241"/>
    </row>
    <row r="497" spans="1:26" ht="13.5" customHeight="1" x14ac:dyDescent="0.3">
      <c r="A497" s="241"/>
      <c r="B497" s="241"/>
      <c r="C497" s="241"/>
      <c r="D497" s="241"/>
      <c r="E497" s="241"/>
      <c r="F497" s="241"/>
      <c r="G497" s="241"/>
      <c r="H497" s="241"/>
      <c r="I497" s="241"/>
      <c r="J497" s="241"/>
      <c r="K497" s="241"/>
      <c r="L497" s="241"/>
      <c r="M497" s="241"/>
      <c r="N497" s="241"/>
      <c r="O497" s="241"/>
      <c r="P497" s="241"/>
      <c r="Q497" s="241"/>
      <c r="R497" s="241"/>
      <c r="S497" s="241"/>
      <c r="T497" s="241"/>
      <c r="U497" s="241"/>
      <c r="V497" s="241"/>
      <c r="W497" s="241"/>
      <c r="X497" s="241"/>
      <c r="Y497" s="241"/>
      <c r="Z497" s="241"/>
    </row>
    <row r="498" spans="1:26" ht="13.5" customHeight="1" x14ac:dyDescent="0.3">
      <c r="A498" s="241"/>
      <c r="B498" s="241"/>
      <c r="C498" s="241"/>
      <c r="D498" s="241"/>
      <c r="E498" s="241"/>
      <c r="F498" s="241"/>
      <c r="G498" s="241"/>
      <c r="H498" s="241"/>
      <c r="I498" s="241"/>
      <c r="J498" s="241"/>
      <c r="K498" s="241"/>
      <c r="L498" s="241"/>
      <c r="M498" s="241"/>
      <c r="N498" s="241"/>
      <c r="O498" s="241"/>
      <c r="P498" s="241"/>
      <c r="Q498" s="241"/>
      <c r="R498" s="241"/>
      <c r="S498" s="241"/>
      <c r="T498" s="241"/>
      <c r="U498" s="241"/>
      <c r="V498" s="241"/>
      <c r="W498" s="241"/>
      <c r="X498" s="241"/>
      <c r="Y498" s="241"/>
      <c r="Z498" s="241"/>
    </row>
    <row r="499" spans="1:26" ht="13.5" customHeight="1" x14ac:dyDescent="0.3">
      <c r="A499" s="241"/>
      <c r="B499" s="241"/>
      <c r="C499" s="241"/>
      <c r="D499" s="241"/>
      <c r="E499" s="241"/>
      <c r="F499" s="241"/>
      <c r="G499" s="241"/>
      <c r="H499" s="241"/>
      <c r="I499" s="241"/>
      <c r="J499" s="241"/>
      <c r="K499" s="241"/>
      <c r="L499" s="241"/>
      <c r="M499" s="241"/>
      <c r="N499" s="241"/>
      <c r="O499" s="241"/>
      <c r="P499" s="241"/>
      <c r="Q499" s="241"/>
      <c r="R499" s="241"/>
      <c r="S499" s="241"/>
      <c r="T499" s="241"/>
      <c r="U499" s="241"/>
      <c r="V499" s="241"/>
      <c r="W499" s="241"/>
      <c r="X499" s="241"/>
      <c r="Y499" s="241"/>
      <c r="Z499" s="241"/>
    </row>
    <row r="500" spans="1:26" ht="13.5" customHeight="1" x14ac:dyDescent="0.3">
      <c r="A500" s="241"/>
      <c r="B500" s="241"/>
      <c r="C500" s="241"/>
      <c r="D500" s="241"/>
      <c r="E500" s="241"/>
      <c r="F500" s="241"/>
      <c r="G500" s="241"/>
      <c r="H500" s="241"/>
      <c r="I500" s="241"/>
      <c r="J500" s="241"/>
      <c r="K500" s="241"/>
      <c r="L500" s="241"/>
      <c r="M500" s="241"/>
      <c r="N500" s="241"/>
      <c r="O500" s="241"/>
      <c r="P500" s="241"/>
      <c r="Q500" s="241"/>
      <c r="R500" s="241"/>
      <c r="S500" s="241"/>
      <c r="T500" s="241"/>
      <c r="U500" s="241"/>
      <c r="V500" s="241"/>
      <c r="W500" s="241"/>
      <c r="X500" s="241"/>
      <c r="Y500" s="241"/>
      <c r="Z500" s="241"/>
    </row>
    <row r="501" spans="1:26" ht="13.5" customHeight="1" x14ac:dyDescent="0.3">
      <c r="A501" s="241"/>
      <c r="B501" s="241"/>
      <c r="C501" s="241"/>
      <c r="D501" s="241"/>
      <c r="E501" s="241"/>
      <c r="F501" s="241"/>
      <c r="G501" s="241"/>
      <c r="H501" s="241"/>
      <c r="I501" s="241"/>
      <c r="J501" s="241"/>
      <c r="K501" s="241"/>
      <c r="L501" s="241"/>
      <c r="M501" s="241"/>
      <c r="N501" s="241"/>
      <c r="O501" s="241"/>
      <c r="P501" s="241"/>
      <c r="Q501" s="241"/>
      <c r="R501" s="241"/>
      <c r="S501" s="241"/>
      <c r="T501" s="241"/>
      <c r="U501" s="241"/>
      <c r="V501" s="241"/>
      <c r="W501" s="241"/>
      <c r="X501" s="241"/>
      <c r="Y501" s="241"/>
      <c r="Z501" s="241"/>
    </row>
    <row r="502" spans="1:26" ht="13.5" customHeight="1" x14ac:dyDescent="0.3">
      <c r="A502" s="241"/>
      <c r="B502" s="241"/>
      <c r="C502" s="241"/>
      <c r="D502" s="241"/>
      <c r="E502" s="241"/>
      <c r="F502" s="241"/>
      <c r="G502" s="241"/>
      <c r="H502" s="241"/>
      <c r="I502" s="241"/>
      <c r="J502" s="241"/>
      <c r="K502" s="241"/>
      <c r="L502" s="241"/>
      <c r="M502" s="241"/>
      <c r="N502" s="241"/>
      <c r="O502" s="241"/>
      <c r="P502" s="241"/>
      <c r="Q502" s="241"/>
      <c r="R502" s="241"/>
      <c r="S502" s="241"/>
      <c r="T502" s="241"/>
      <c r="U502" s="241"/>
      <c r="V502" s="241"/>
      <c r="W502" s="241"/>
      <c r="X502" s="241"/>
      <c r="Y502" s="241"/>
      <c r="Z502" s="241"/>
    </row>
    <row r="503" spans="1:26" ht="13.5" customHeight="1" x14ac:dyDescent="0.3">
      <c r="A503" s="241"/>
      <c r="B503" s="241"/>
      <c r="C503" s="241"/>
      <c r="D503" s="241"/>
      <c r="E503" s="241"/>
      <c r="F503" s="241"/>
      <c r="G503" s="241"/>
      <c r="H503" s="241"/>
      <c r="I503" s="241"/>
      <c r="J503" s="241"/>
      <c r="K503" s="241"/>
      <c r="L503" s="241"/>
      <c r="M503" s="241"/>
      <c r="N503" s="241"/>
      <c r="O503" s="241"/>
      <c r="P503" s="241"/>
      <c r="Q503" s="241"/>
      <c r="R503" s="241"/>
      <c r="S503" s="241"/>
      <c r="T503" s="241"/>
      <c r="U503" s="241"/>
      <c r="V503" s="241"/>
      <c r="W503" s="241"/>
      <c r="X503" s="241"/>
      <c r="Y503" s="241"/>
      <c r="Z503" s="241"/>
    </row>
    <row r="504" spans="1:26" ht="13.5" customHeight="1" x14ac:dyDescent="0.3">
      <c r="A504" s="241"/>
      <c r="B504" s="241"/>
      <c r="C504" s="241"/>
      <c r="D504" s="241"/>
      <c r="E504" s="241"/>
      <c r="F504" s="241"/>
      <c r="G504" s="241"/>
      <c r="H504" s="241"/>
      <c r="I504" s="241"/>
      <c r="J504" s="241"/>
      <c r="K504" s="241"/>
      <c r="L504" s="241"/>
      <c r="M504" s="241"/>
      <c r="N504" s="241"/>
      <c r="O504" s="241"/>
      <c r="P504" s="241"/>
      <c r="Q504" s="241"/>
      <c r="R504" s="241"/>
      <c r="S504" s="241"/>
      <c r="T504" s="241"/>
      <c r="U504" s="241"/>
      <c r="V504" s="241"/>
      <c r="W504" s="241"/>
      <c r="X504" s="241"/>
      <c r="Y504" s="241"/>
      <c r="Z504" s="241"/>
    </row>
    <row r="505" spans="1:26" ht="13.5" customHeight="1" x14ac:dyDescent="0.3">
      <c r="A505" s="241"/>
      <c r="B505" s="241"/>
      <c r="C505" s="241"/>
      <c r="D505" s="241"/>
      <c r="E505" s="241"/>
      <c r="F505" s="241"/>
      <c r="G505" s="241"/>
      <c r="H505" s="241"/>
      <c r="I505" s="241"/>
      <c r="J505" s="241"/>
      <c r="K505" s="241"/>
      <c r="L505" s="241"/>
      <c r="M505" s="241"/>
      <c r="N505" s="241"/>
      <c r="O505" s="241"/>
      <c r="P505" s="241"/>
      <c r="Q505" s="241"/>
      <c r="R505" s="241"/>
      <c r="S505" s="241"/>
      <c r="T505" s="241"/>
      <c r="U505" s="241"/>
      <c r="V505" s="241"/>
      <c r="W505" s="241"/>
      <c r="X505" s="241"/>
      <c r="Y505" s="241"/>
      <c r="Z505" s="241"/>
    </row>
    <row r="506" spans="1:26" ht="13.5" customHeight="1" x14ac:dyDescent="0.3">
      <c r="A506" s="241"/>
      <c r="B506" s="241"/>
      <c r="C506" s="241"/>
      <c r="D506" s="241"/>
      <c r="E506" s="241"/>
      <c r="F506" s="241"/>
      <c r="G506" s="241"/>
      <c r="H506" s="241"/>
      <c r="I506" s="241"/>
      <c r="J506" s="241"/>
      <c r="K506" s="241"/>
      <c r="L506" s="241"/>
      <c r="M506" s="241"/>
      <c r="N506" s="241"/>
      <c r="O506" s="241"/>
      <c r="P506" s="241"/>
      <c r="Q506" s="241"/>
      <c r="R506" s="241"/>
      <c r="S506" s="241"/>
      <c r="T506" s="241"/>
      <c r="U506" s="241"/>
      <c r="V506" s="241"/>
      <c r="W506" s="241"/>
      <c r="X506" s="241"/>
      <c r="Y506" s="241"/>
      <c r="Z506" s="241"/>
    </row>
    <row r="507" spans="1:26" ht="13.5" customHeight="1" x14ac:dyDescent="0.3">
      <c r="A507" s="241"/>
      <c r="B507" s="241"/>
      <c r="C507" s="241"/>
      <c r="D507" s="241"/>
      <c r="E507" s="241"/>
      <c r="F507" s="241"/>
      <c r="G507" s="241"/>
      <c r="H507" s="241"/>
      <c r="I507" s="241"/>
      <c r="J507" s="241"/>
      <c r="K507" s="241"/>
      <c r="L507" s="241"/>
      <c r="M507" s="241"/>
      <c r="N507" s="241"/>
      <c r="O507" s="241"/>
      <c r="P507" s="241"/>
      <c r="Q507" s="241"/>
      <c r="R507" s="241"/>
      <c r="S507" s="241"/>
      <c r="T507" s="241"/>
      <c r="U507" s="241"/>
      <c r="V507" s="241"/>
      <c r="W507" s="241"/>
      <c r="X507" s="241"/>
      <c r="Y507" s="241"/>
      <c r="Z507" s="241"/>
    </row>
    <row r="508" spans="1:26" ht="13.5" customHeight="1" x14ac:dyDescent="0.3">
      <c r="A508" s="241"/>
      <c r="B508" s="241"/>
      <c r="C508" s="241"/>
      <c r="D508" s="241"/>
      <c r="E508" s="241"/>
      <c r="F508" s="241"/>
      <c r="G508" s="241"/>
      <c r="H508" s="241"/>
      <c r="I508" s="241"/>
      <c r="J508" s="241"/>
      <c r="K508" s="241"/>
      <c r="L508" s="241"/>
      <c r="M508" s="241"/>
      <c r="N508" s="241"/>
      <c r="O508" s="241"/>
      <c r="P508" s="241"/>
      <c r="Q508" s="241"/>
      <c r="R508" s="241"/>
      <c r="S508" s="241"/>
      <c r="T508" s="241"/>
      <c r="U508" s="241"/>
      <c r="V508" s="241"/>
      <c r="W508" s="241"/>
      <c r="X508" s="241"/>
      <c r="Y508" s="241"/>
      <c r="Z508" s="241"/>
    </row>
    <row r="509" spans="1:26" ht="13.5" customHeight="1" x14ac:dyDescent="0.3">
      <c r="A509" s="241"/>
      <c r="B509" s="241"/>
      <c r="C509" s="241"/>
      <c r="D509" s="241"/>
      <c r="E509" s="241"/>
      <c r="F509" s="241"/>
      <c r="G509" s="241"/>
      <c r="H509" s="241"/>
      <c r="I509" s="241"/>
      <c r="J509" s="241"/>
      <c r="K509" s="241"/>
      <c r="L509" s="241"/>
      <c r="M509" s="241"/>
      <c r="N509" s="241"/>
      <c r="O509" s="241"/>
      <c r="P509" s="241"/>
      <c r="Q509" s="241"/>
      <c r="R509" s="241"/>
      <c r="S509" s="241"/>
      <c r="T509" s="241"/>
      <c r="U509" s="241"/>
      <c r="V509" s="241"/>
      <c r="W509" s="241"/>
      <c r="X509" s="241"/>
      <c r="Y509" s="241"/>
      <c r="Z509" s="241"/>
    </row>
    <row r="510" spans="1:26" ht="13.5" customHeight="1" x14ac:dyDescent="0.3">
      <c r="A510" s="241"/>
      <c r="B510" s="241"/>
      <c r="C510" s="241"/>
      <c r="D510" s="241"/>
      <c r="E510" s="241"/>
      <c r="F510" s="241"/>
      <c r="G510" s="241"/>
      <c r="H510" s="241"/>
      <c r="I510" s="241"/>
      <c r="J510" s="241"/>
      <c r="K510" s="241"/>
      <c r="L510" s="241"/>
      <c r="M510" s="241"/>
      <c r="N510" s="241"/>
      <c r="O510" s="241"/>
      <c r="P510" s="241"/>
      <c r="Q510" s="241"/>
      <c r="R510" s="241"/>
      <c r="S510" s="241"/>
      <c r="T510" s="241"/>
      <c r="U510" s="241"/>
      <c r="V510" s="241"/>
      <c r="W510" s="241"/>
      <c r="X510" s="241"/>
      <c r="Y510" s="241"/>
      <c r="Z510" s="241"/>
    </row>
    <row r="511" spans="1:26" ht="13.5" customHeight="1" x14ac:dyDescent="0.3">
      <c r="A511" s="241"/>
      <c r="B511" s="241"/>
      <c r="C511" s="241"/>
      <c r="D511" s="241"/>
      <c r="E511" s="241"/>
      <c r="F511" s="241"/>
      <c r="G511" s="241"/>
      <c r="H511" s="241"/>
      <c r="I511" s="241"/>
      <c r="J511" s="241"/>
      <c r="K511" s="241"/>
      <c r="L511" s="241"/>
      <c r="M511" s="241"/>
      <c r="N511" s="241"/>
      <c r="O511" s="241"/>
      <c r="P511" s="241"/>
      <c r="Q511" s="241"/>
      <c r="R511" s="241"/>
      <c r="S511" s="241"/>
      <c r="T511" s="241"/>
      <c r="U511" s="241"/>
      <c r="V511" s="241"/>
      <c r="W511" s="241"/>
      <c r="X511" s="241"/>
      <c r="Y511" s="241"/>
      <c r="Z511" s="241"/>
    </row>
    <row r="512" spans="1:26" ht="13.5" customHeight="1" x14ac:dyDescent="0.3">
      <c r="A512" s="241"/>
      <c r="B512" s="241"/>
      <c r="C512" s="241"/>
      <c r="D512" s="241"/>
      <c r="E512" s="241"/>
      <c r="F512" s="241"/>
      <c r="G512" s="241"/>
      <c r="H512" s="241"/>
      <c r="I512" s="241"/>
      <c r="J512" s="241"/>
      <c r="K512" s="241"/>
      <c r="L512" s="241"/>
      <c r="M512" s="241"/>
      <c r="N512" s="241"/>
      <c r="O512" s="241"/>
      <c r="P512" s="241"/>
      <c r="Q512" s="241"/>
      <c r="R512" s="241"/>
      <c r="S512" s="241"/>
      <c r="T512" s="241"/>
      <c r="U512" s="241"/>
      <c r="V512" s="241"/>
      <c r="W512" s="241"/>
      <c r="X512" s="241"/>
      <c r="Y512" s="241"/>
      <c r="Z512" s="241"/>
    </row>
    <row r="513" spans="1:26" ht="13.5" customHeight="1" x14ac:dyDescent="0.3">
      <c r="A513" s="241"/>
      <c r="B513" s="241"/>
      <c r="C513" s="241"/>
      <c r="D513" s="241"/>
      <c r="E513" s="241"/>
      <c r="F513" s="241"/>
      <c r="G513" s="241"/>
      <c r="H513" s="241"/>
      <c r="I513" s="241"/>
      <c r="J513" s="241"/>
      <c r="K513" s="241"/>
      <c r="L513" s="241"/>
      <c r="M513" s="241"/>
      <c r="N513" s="241"/>
      <c r="O513" s="241"/>
      <c r="P513" s="241"/>
      <c r="Q513" s="241"/>
      <c r="R513" s="241"/>
      <c r="S513" s="241"/>
      <c r="T513" s="241"/>
      <c r="U513" s="241"/>
      <c r="V513" s="241"/>
      <c r="W513" s="241"/>
      <c r="X513" s="241"/>
      <c r="Y513" s="241"/>
      <c r="Z513" s="241"/>
    </row>
    <row r="514" spans="1:26" ht="13.5" customHeight="1" x14ac:dyDescent="0.3">
      <c r="A514" s="241"/>
      <c r="B514" s="241"/>
      <c r="C514" s="241"/>
      <c r="D514" s="241"/>
      <c r="E514" s="241"/>
      <c r="F514" s="241"/>
      <c r="G514" s="241"/>
      <c r="H514" s="241"/>
      <c r="I514" s="241"/>
      <c r="J514" s="241"/>
      <c r="K514" s="241"/>
      <c r="L514" s="241"/>
      <c r="M514" s="241"/>
      <c r="N514" s="241"/>
      <c r="O514" s="241"/>
      <c r="P514" s="241"/>
      <c r="Q514" s="241"/>
      <c r="R514" s="241"/>
      <c r="S514" s="241"/>
      <c r="T514" s="241"/>
      <c r="U514" s="241"/>
      <c r="V514" s="241"/>
      <c r="W514" s="241"/>
      <c r="X514" s="241"/>
      <c r="Y514" s="241"/>
      <c r="Z514" s="241"/>
    </row>
    <row r="515" spans="1:26" ht="13.5" customHeight="1" x14ac:dyDescent="0.3">
      <c r="A515" s="241"/>
      <c r="B515" s="241"/>
      <c r="C515" s="241"/>
      <c r="D515" s="241"/>
      <c r="E515" s="241"/>
      <c r="F515" s="241"/>
      <c r="G515" s="241"/>
      <c r="H515" s="241"/>
      <c r="I515" s="241"/>
      <c r="J515" s="241"/>
      <c r="K515" s="241"/>
      <c r="L515" s="241"/>
      <c r="M515" s="241"/>
      <c r="N515" s="241"/>
      <c r="O515" s="241"/>
      <c r="P515" s="241"/>
      <c r="Q515" s="241"/>
      <c r="R515" s="241"/>
      <c r="S515" s="241"/>
      <c r="T515" s="241"/>
      <c r="U515" s="241"/>
      <c r="V515" s="241"/>
      <c r="W515" s="241"/>
      <c r="X515" s="241"/>
      <c r="Y515" s="241"/>
      <c r="Z515" s="241"/>
    </row>
    <row r="516" spans="1:26" ht="13.5" customHeight="1" x14ac:dyDescent="0.3">
      <c r="A516" s="241"/>
      <c r="B516" s="241"/>
      <c r="C516" s="241"/>
      <c r="D516" s="241"/>
      <c r="E516" s="241"/>
      <c r="F516" s="241"/>
      <c r="G516" s="241"/>
      <c r="H516" s="241"/>
      <c r="I516" s="241"/>
      <c r="J516" s="241"/>
      <c r="K516" s="241"/>
      <c r="L516" s="241"/>
      <c r="M516" s="241"/>
      <c r="N516" s="241"/>
      <c r="O516" s="241"/>
      <c r="P516" s="241"/>
      <c r="Q516" s="241"/>
      <c r="R516" s="241"/>
      <c r="S516" s="241"/>
      <c r="T516" s="241"/>
      <c r="U516" s="241"/>
      <c r="V516" s="241"/>
      <c r="W516" s="241"/>
      <c r="X516" s="241"/>
      <c r="Y516" s="241"/>
      <c r="Z516" s="241"/>
    </row>
    <row r="517" spans="1:26" ht="13.5" customHeight="1" x14ac:dyDescent="0.3">
      <c r="A517" s="241"/>
      <c r="B517" s="241"/>
      <c r="C517" s="241"/>
      <c r="D517" s="241"/>
      <c r="E517" s="241"/>
      <c r="F517" s="241"/>
      <c r="G517" s="241"/>
      <c r="H517" s="241"/>
      <c r="I517" s="241"/>
      <c r="J517" s="241"/>
      <c r="K517" s="241"/>
      <c r="L517" s="241"/>
      <c r="M517" s="241"/>
      <c r="N517" s="241"/>
      <c r="O517" s="241"/>
      <c r="P517" s="241"/>
      <c r="Q517" s="241"/>
      <c r="R517" s="241"/>
      <c r="S517" s="241"/>
      <c r="T517" s="241"/>
      <c r="U517" s="241"/>
      <c r="V517" s="241"/>
      <c r="W517" s="241"/>
      <c r="X517" s="241"/>
      <c r="Y517" s="241"/>
      <c r="Z517" s="241"/>
    </row>
    <row r="518" spans="1:26" ht="13.5" customHeight="1" x14ac:dyDescent="0.3">
      <c r="A518" s="241"/>
      <c r="B518" s="241"/>
      <c r="C518" s="241"/>
      <c r="D518" s="241"/>
      <c r="E518" s="241"/>
      <c r="F518" s="241"/>
      <c r="G518" s="241"/>
      <c r="H518" s="241"/>
      <c r="I518" s="241"/>
      <c r="J518" s="241"/>
      <c r="K518" s="241"/>
      <c r="L518" s="241"/>
      <c r="M518" s="241"/>
      <c r="N518" s="241"/>
      <c r="O518" s="241"/>
      <c r="P518" s="241"/>
      <c r="Q518" s="241"/>
      <c r="R518" s="241"/>
      <c r="S518" s="241"/>
      <c r="T518" s="241"/>
      <c r="U518" s="241"/>
      <c r="V518" s="241"/>
      <c r="W518" s="241"/>
      <c r="X518" s="241"/>
      <c r="Y518" s="241"/>
      <c r="Z518" s="241"/>
    </row>
    <row r="519" spans="1:26" ht="13.5" customHeight="1" x14ac:dyDescent="0.3">
      <c r="A519" s="241"/>
      <c r="B519" s="241"/>
      <c r="C519" s="241"/>
      <c r="D519" s="241"/>
      <c r="E519" s="241"/>
      <c r="F519" s="241"/>
      <c r="G519" s="241"/>
      <c r="H519" s="241"/>
      <c r="I519" s="241"/>
      <c r="J519" s="241"/>
      <c r="K519" s="241"/>
      <c r="L519" s="241"/>
      <c r="M519" s="241"/>
      <c r="N519" s="241"/>
      <c r="O519" s="241"/>
      <c r="P519" s="241"/>
      <c r="Q519" s="241"/>
      <c r="R519" s="241"/>
      <c r="S519" s="241"/>
      <c r="T519" s="241"/>
      <c r="U519" s="241"/>
      <c r="V519" s="241"/>
      <c r="W519" s="241"/>
      <c r="X519" s="241"/>
      <c r="Y519" s="241"/>
      <c r="Z519" s="241"/>
    </row>
    <row r="520" spans="1:26" ht="13.5" customHeight="1" x14ac:dyDescent="0.3">
      <c r="A520" s="241"/>
      <c r="B520" s="241"/>
      <c r="C520" s="241"/>
      <c r="D520" s="241"/>
      <c r="E520" s="241"/>
      <c r="F520" s="241"/>
      <c r="G520" s="241"/>
      <c r="H520" s="241"/>
      <c r="I520" s="241"/>
      <c r="J520" s="241"/>
      <c r="K520" s="241"/>
      <c r="L520" s="241"/>
      <c r="M520" s="241"/>
      <c r="N520" s="241"/>
      <c r="O520" s="241"/>
      <c r="P520" s="241"/>
      <c r="Q520" s="241"/>
      <c r="R520" s="241"/>
      <c r="S520" s="241"/>
      <c r="T520" s="241"/>
      <c r="U520" s="241"/>
      <c r="V520" s="241"/>
      <c r="W520" s="241"/>
      <c r="X520" s="241"/>
      <c r="Y520" s="241"/>
      <c r="Z520" s="241"/>
    </row>
    <row r="521" spans="1:26" ht="13.5" customHeight="1" x14ac:dyDescent="0.3">
      <c r="A521" s="241"/>
      <c r="B521" s="241"/>
      <c r="C521" s="241"/>
      <c r="D521" s="241"/>
      <c r="E521" s="241"/>
      <c r="F521" s="241"/>
      <c r="G521" s="241"/>
      <c r="H521" s="241"/>
      <c r="I521" s="241"/>
      <c r="J521" s="241"/>
      <c r="K521" s="241"/>
      <c r="L521" s="241"/>
      <c r="M521" s="241"/>
      <c r="N521" s="241"/>
      <c r="O521" s="241"/>
      <c r="P521" s="241"/>
      <c r="Q521" s="241"/>
      <c r="R521" s="241"/>
      <c r="S521" s="241"/>
      <c r="T521" s="241"/>
      <c r="U521" s="241"/>
      <c r="V521" s="241"/>
      <c r="W521" s="241"/>
      <c r="X521" s="241"/>
      <c r="Y521" s="241"/>
      <c r="Z521" s="241"/>
    </row>
    <row r="522" spans="1:26" ht="13.5" customHeight="1" x14ac:dyDescent="0.3">
      <c r="A522" s="241"/>
      <c r="B522" s="241"/>
      <c r="C522" s="241"/>
      <c r="D522" s="241"/>
      <c r="E522" s="241"/>
      <c r="F522" s="241"/>
      <c r="G522" s="241"/>
      <c r="H522" s="241"/>
      <c r="I522" s="241"/>
      <c r="J522" s="241"/>
      <c r="K522" s="241"/>
      <c r="L522" s="241"/>
      <c r="M522" s="241"/>
      <c r="N522" s="241"/>
      <c r="O522" s="241"/>
      <c r="P522" s="241"/>
      <c r="Q522" s="241"/>
      <c r="R522" s="241"/>
      <c r="S522" s="241"/>
      <c r="T522" s="241"/>
      <c r="U522" s="241"/>
      <c r="V522" s="241"/>
      <c r="W522" s="241"/>
      <c r="X522" s="241"/>
      <c r="Y522" s="241"/>
      <c r="Z522" s="241"/>
    </row>
    <row r="523" spans="1:26" ht="13.5" customHeight="1" x14ac:dyDescent="0.3">
      <c r="A523" s="241"/>
      <c r="B523" s="241"/>
      <c r="C523" s="241"/>
      <c r="D523" s="241"/>
      <c r="E523" s="241"/>
      <c r="F523" s="241"/>
      <c r="G523" s="241"/>
      <c r="H523" s="241"/>
      <c r="I523" s="241"/>
      <c r="J523" s="241"/>
      <c r="K523" s="241"/>
      <c r="L523" s="241"/>
      <c r="M523" s="241"/>
      <c r="N523" s="241"/>
      <c r="O523" s="241"/>
      <c r="P523" s="241"/>
      <c r="Q523" s="241"/>
      <c r="R523" s="241"/>
      <c r="S523" s="241"/>
      <c r="T523" s="241"/>
      <c r="U523" s="241"/>
      <c r="V523" s="241"/>
      <c r="W523" s="241"/>
      <c r="X523" s="241"/>
      <c r="Y523" s="241"/>
      <c r="Z523" s="241"/>
    </row>
    <row r="524" spans="1:26" ht="13.5" customHeight="1" x14ac:dyDescent="0.3">
      <c r="A524" s="241"/>
      <c r="B524" s="241"/>
      <c r="C524" s="241"/>
      <c r="D524" s="241"/>
      <c r="E524" s="241"/>
      <c r="F524" s="241"/>
      <c r="G524" s="241"/>
      <c r="H524" s="241"/>
      <c r="I524" s="241"/>
      <c r="J524" s="241"/>
      <c r="K524" s="241"/>
      <c r="L524" s="241"/>
      <c r="M524" s="241"/>
      <c r="N524" s="241"/>
      <c r="O524" s="241"/>
      <c r="P524" s="241"/>
      <c r="Q524" s="241"/>
      <c r="R524" s="241"/>
      <c r="S524" s="241"/>
      <c r="T524" s="241"/>
      <c r="U524" s="241"/>
      <c r="V524" s="241"/>
      <c r="W524" s="241"/>
      <c r="X524" s="241"/>
      <c r="Y524" s="241"/>
      <c r="Z524" s="241"/>
    </row>
    <row r="525" spans="1:26" ht="13.5" customHeight="1" x14ac:dyDescent="0.3">
      <c r="A525" s="241"/>
      <c r="B525" s="241"/>
      <c r="C525" s="241"/>
      <c r="D525" s="241"/>
      <c r="E525" s="241"/>
      <c r="F525" s="241"/>
      <c r="G525" s="241"/>
      <c r="H525" s="241"/>
      <c r="I525" s="241"/>
      <c r="J525" s="241"/>
      <c r="K525" s="241"/>
      <c r="L525" s="241"/>
      <c r="M525" s="241"/>
      <c r="N525" s="241"/>
      <c r="O525" s="241"/>
      <c r="P525" s="241"/>
      <c r="Q525" s="241"/>
      <c r="R525" s="241"/>
      <c r="S525" s="241"/>
      <c r="T525" s="241"/>
      <c r="U525" s="241"/>
      <c r="V525" s="241"/>
      <c r="W525" s="241"/>
      <c r="X525" s="241"/>
      <c r="Y525" s="241"/>
      <c r="Z525" s="241"/>
    </row>
    <row r="526" spans="1:26" ht="13.5" customHeight="1" x14ac:dyDescent="0.3">
      <c r="A526" s="241"/>
      <c r="B526" s="241"/>
      <c r="C526" s="241"/>
      <c r="D526" s="241"/>
      <c r="E526" s="241"/>
      <c r="F526" s="241"/>
      <c r="G526" s="241"/>
      <c r="H526" s="241"/>
      <c r="I526" s="241"/>
      <c r="J526" s="241"/>
      <c r="K526" s="241"/>
      <c r="L526" s="241"/>
      <c r="M526" s="241"/>
      <c r="N526" s="241"/>
      <c r="O526" s="241"/>
      <c r="P526" s="241"/>
      <c r="Q526" s="241"/>
      <c r="R526" s="241"/>
      <c r="S526" s="241"/>
      <c r="T526" s="241"/>
      <c r="U526" s="241"/>
      <c r="V526" s="241"/>
      <c r="W526" s="241"/>
      <c r="X526" s="241"/>
      <c r="Y526" s="241"/>
      <c r="Z526" s="241"/>
    </row>
    <row r="527" spans="1:26" ht="13.5" customHeight="1" x14ac:dyDescent="0.3">
      <c r="A527" s="241"/>
      <c r="B527" s="241"/>
      <c r="C527" s="241"/>
      <c r="D527" s="241"/>
      <c r="E527" s="241"/>
      <c r="F527" s="241"/>
      <c r="G527" s="241"/>
      <c r="H527" s="241"/>
      <c r="I527" s="241"/>
      <c r="J527" s="241"/>
      <c r="K527" s="241"/>
      <c r="L527" s="241"/>
      <c r="M527" s="241"/>
      <c r="N527" s="241"/>
      <c r="O527" s="241"/>
      <c r="P527" s="241"/>
      <c r="Q527" s="241"/>
      <c r="R527" s="241"/>
      <c r="S527" s="241"/>
      <c r="T527" s="241"/>
      <c r="U527" s="241"/>
      <c r="V527" s="241"/>
      <c r="W527" s="241"/>
      <c r="X527" s="241"/>
      <c r="Y527" s="241"/>
      <c r="Z527" s="241"/>
    </row>
    <row r="528" spans="1:26" ht="13.5" customHeight="1" x14ac:dyDescent="0.3">
      <c r="A528" s="241"/>
      <c r="B528" s="241"/>
      <c r="C528" s="241"/>
      <c r="D528" s="241"/>
      <c r="E528" s="241"/>
      <c r="F528" s="241"/>
      <c r="G528" s="241"/>
      <c r="H528" s="241"/>
      <c r="I528" s="241"/>
      <c r="J528" s="241"/>
      <c r="K528" s="241"/>
      <c r="L528" s="241"/>
      <c r="M528" s="241"/>
      <c r="N528" s="241"/>
      <c r="O528" s="241"/>
      <c r="P528" s="241"/>
      <c r="Q528" s="241"/>
      <c r="R528" s="241"/>
      <c r="S528" s="241"/>
      <c r="T528" s="241"/>
      <c r="U528" s="241"/>
      <c r="V528" s="241"/>
      <c r="W528" s="241"/>
      <c r="X528" s="241"/>
      <c r="Y528" s="241"/>
      <c r="Z528" s="241"/>
    </row>
    <row r="529" spans="1:26" ht="13.5" customHeight="1" x14ac:dyDescent="0.3">
      <c r="A529" s="241"/>
      <c r="B529" s="241"/>
      <c r="C529" s="241"/>
      <c r="D529" s="241"/>
      <c r="E529" s="241"/>
      <c r="F529" s="241"/>
      <c r="G529" s="241"/>
      <c r="H529" s="241"/>
      <c r="I529" s="241"/>
      <c r="J529" s="241"/>
      <c r="K529" s="241"/>
      <c r="L529" s="241"/>
      <c r="M529" s="241"/>
      <c r="N529" s="241"/>
      <c r="O529" s="241"/>
      <c r="P529" s="241"/>
      <c r="Q529" s="241"/>
      <c r="R529" s="241"/>
      <c r="S529" s="241"/>
      <c r="T529" s="241"/>
      <c r="U529" s="241"/>
      <c r="V529" s="241"/>
      <c r="W529" s="241"/>
      <c r="X529" s="241"/>
      <c r="Y529" s="241"/>
      <c r="Z529" s="241"/>
    </row>
    <row r="530" spans="1:26" ht="13.5" customHeight="1" x14ac:dyDescent="0.3">
      <c r="A530" s="241"/>
      <c r="B530" s="241"/>
      <c r="C530" s="241"/>
      <c r="D530" s="241"/>
      <c r="E530" s="241"/>
      <c r="F530" s="241"/>
      <c r="G530" s="241"/>
      <c r="H530" s="241"/>
      <c r="I530" s="241"/>
      <c r="J530" s="241"/>
      <c r="K530" s="241"/>
      <c r="L530" s="241"/>
      <c r="M530" s="241"/>
      <c r="N530" s="241"/>
      <c r="O530" s="241"/>
      <c r="P530" s="241"/>
      <c r="Q530" s="241"/>
      <c r="R530" s="241"/>
      <c r="S530" s="241"/>
      <c r="T530" s="241"/>
      <c r="U530" s="241"/>
      <c r="V530" s="241"/>
      <c r="W530" s="241"/>
      <c r="X530" s="241"/>
      <c r="Y530" s="241"/>
      <c r="Z530" s="241"/>
    </row>
    <row r="531" spans="1:26" ht="13.5" customHeight="1" x14ac:dyDescent="0.3">
      <c r="A531" s="241"/>
      <c r="B531" s="241"/>
      <c r="C531" s="241"/>
      <c r="D531" s="241"/>
      <c r="E531" s="241"/>
      <c r="F531" s="241"/>
      <c r="G531" s="241"/>
      <c r="H531" s="241"/>
      <c r="I531" s="241"/>
      <c r="J531" s="241"/>
      <c r="K531" s="241"/>
      <c r="L531" s="241"/>
      <c r="M531" s="241"/>
      <c r="N531" s="241"/>
      <c r="O531" s="241"/>
      <c r="P531" s="241"/>
      <c r="Q531" s="241"/>
      <c r="R531" s="241"/>
      <c r="S531" s="241"/>
      <c r="T531" s="241"/>
      <c r="U531" s="241"/>
      <c r="V531" s="241"/>
      <c r="W531" s="241"/>
      <c r="X531" s="241"/>
      <c r="Y531" s="241"/>
      <c r="Z531" s="241"/>
    </row>
    <row r="532" spans="1:26" ht="13.5" customHeight="1" x14ac:dyDescent="0.3">
      <c r="A532" s="241"/>
      <c r="B532" s="241"/>
      <c r="C532" s="241"/>
      <c r="D532" s="241"/>
      <c r="E532" s="241"/>
      <c r="F532" s="241"/>
      <c r="G532" s="241"/>
      <c r="H532" s="241"/>
      <c r="I532" s="241"/>
      <c r="J532" s="241"/>
      <c r="K532" s="241"/>
      <c r="L532" s="241"/>
      <c r="M532" s="241"/>
      <c r="N532" s="241"/>
      <c r="O532" s="241"/>
      <c r="P532" s="241"/>
      <c r="Q532" s="241"/>
      <c r="R532" s="241"/>
      <c r="S532" s="241"/>
      <c r="T532" s="241"/>
      <c r="U532" s="241"/>
      <c r="V532" s="241"/>
      <c r="W532" s="241"/>
      <c r="X532" s="241"/>
      <c r="Y532" s="241"/>
      <c r="Z532" s="241"/>
    </row>
    <row r="533" spans="1:26" ht="13.5" customHeight="1" x14ac:dyDescent="0.3">
      <c r="A533" s="241"/>
      <c r="B533" s="241"/>
      <c r="C533" s="241"/>
      <c r="D533" s="241"/>
      <c r="E533" s="241"/>
      <c r="F533" s="241"/>
      <c r="G533" s="241"/>
      <c r="H533" s="241"/>
      <c r="I533" s="241"/>
      <c r="J533" s="241"/>
      <c r="K533" s="241"/>
      <c r="L533" s="241"/>
      <c r="M533" s="241"/>
      <c r="N533" s="241"/>
      <c r="O533" s="241"/>
      <c r="P533" s="241"/>
      <c r="Q533" s="241"/>
      <c r="R533" s="241"/>
      <c r="S533" s="241"/>
      <c r="T533" s="241"/>
      <c r="U533" s="241"/>
      <c r="V533" s="241"/>
      <c r="W533" s="241"/>
      <c r="X533" s="241"/>
      <c r="Y533" s="241"/>
      <c r="Z533" s="241"/>
    </row>
    <row r="534" spans="1:26" ht="13.5" customHeight="1" x14ac:dyDescent="0.3">
      <c r="A534" s="241"/>
      <c r="B534" s="241"/>
      <c r="C534" s="241"/>
      <c r="D534" s="241"/>
      <c r="E534" s="241"/>
      <c r="F534" s="241"/>
      <c r="G534" s="241"/>
      <c r="H534" s="241"/>
      <c r="I534" s="241"/>
      <c r="J534" s="241"/>
      <c r="K534" s="241"/>
      <c r="L534" s="241"/>
      <c r="M534" s="241"/>
      <c r="N534" s="241"/>
      <c r="O534" s="241"/>
      <c r="P534" s="241"/>
      <c r="Q534" s="241"/>
      <c r="R534" s="241"/>
      <c r="S534" s="241"/>
      <c r="T534" s="241"/>
      <c r="U534" s="241"/>
      <c r="V534" s="241"/>
      <c r="W534" s="241"/>
      <c r="X534" s="241"/>
      <c r="Y534" s="241"/>
      <c r="Z534" s="241"/>
    </row>
    <row r="535" spans="1:26" ht="13.5" customHeight="1" x14ac:dyDescent="0.3">
      <c r="A535" s="241"/>
      <c r="B535" s="241"/>
      <c r="C535" s="241"/>
      <c r="D535" s="241"/>
      <c r="E535" s="241"/>
      <c r="F535" s="241"/>
      <c r="G535" s="241"/>
      <c r="H535" s="241"/>
      <c r="I535" s="241"/>
      <c r="J535" s="241"/>
      <c r="K535" s="241"/>
      <c r="L535" s="241"/>
      <c r="M535" s="241"/>
      <c r="N535" s="241"/>
      <c r="O535" s="241"/>
      <c r="P535" s="241"/>
      <c r="Q535" s="241"/>
      <c r="R535" s="241"/>
      <c r="S535" s="241"/>
      <c r="T535" s="241"/>
      <c r="U535" s="241"/>
      <c r="V535" s="241"/>
      <c r="W535" s="241"/>
      <c r="X535" s="241"/>
      <c r="Y535" s="241"/>
      <c r="Z535" s="241"/>
    </row>
    <row r="536" spans="1:26" ht="13.5" customHeight="1" x14ac:dyDescent="0.3">
      <c r="A536" s="241"/>
      <c r="B536" s="241"/>
      <c r="C536" s="241"/>
      <c r="D536" s="241"/>
      <c r="E536" s="241"/>
      <c r="F536" s="241"/>
      <c r="G536" s="241"/>
      <c r="H536" s="241"/>
      <c r="I536" s="241"/>
      <c r="J536" s="241"/>
      <c r="K536" s="241"/>
      <c r="L536" s="241"/>
      <c r="M536" s="241"/>
      <c r="N536" s="241"/>
      <c r="O536" s="241"/>
      <c r="P536" s="241"/>
      <c r="Q536" s="241"/>
      <c r="R536" s="241"/>
      <c r="S536" s="241"/>
      <c r="T536" s="241"/>
      <c r="U536" s="241"/>
      <c r="V536" s="241"/>
      <c r="W536" s="241"/>
      <c r="X536" s="241"/>
      <c r="Y536" s="241"/>
      <c r="Z536" s="241"/>
    </row>
    <row r="537" spans="1:26" ht="13.5" customHeight="1" x14ac:dyDescent="0.3">
      <c r="A537" s="241"/>
      <c r="B537" s="241"/>
      <c r="C537" s="241"/>
      <c r="D537" s="241"/>
      <c r="E537" s="241"/>
      <c r="F537" s="241"/>
      <c r="G537" s="241"/>
      <c r="H537" s="241"/>
      <c r="I537" s="241"/>
      <c r="J537" s="241"/>
      <c r="K537" s="241"/>
      <c r="L537" s="241"/>
      <c r="M537" s="241"/>
      <c r="N537" s="241"/>
      <c r="O537" s="241"/>
      <c r="P537" s="241"/>
      <c r="Q537" s="241"/>
      <c r="R537" s="241"/>
      <c r="S537" s="241"/>
      <c r="T537" s="241"/>
      <c r="U537" s="241"/>
      <c r="V537" s="241"/>
      <c r="W537" s="241"/>
      <c r="X537" s="241"/>
      <c r="Y537" s="241"/>
      <c r="Z537" s="241"/>
    </row>
    <row r="538" spans="1:26" ht="13.5" customHeight="1" x14ac:dyDescent="0.3">
      <c r="A538" s="241"/>
      <c r="B538" s="241"/>
      <c r="C538" s="241"/>
      <c r="D538" s="241"/>
      <c r="E538" s="241"/>
      <c r="F538" s="241"/>
      <c r="G538" s="241"/>
      <c r="H538" s="241"/>
      <c r="I538" s="241"/>
      <c r="J538" s="241"/>
      <c r="K538" s="241"/>
      <c r="L538" s="241"/>
      <c r="M538" s="241"/>
      <c r="N538" s="241"/>
      <c r="O538" s="241"/>
      <c r="P538" s="241"/>
      <c r="Q538" s="241"/>
      <c r="R538" s="241"/>
      <c r="S538" s="241"/>
      <c r="T538" s="241"/>
      <c r="U538" s="241"/>
      <c r="V538" s="241"/>
      <c r="W538" s="241"/>
      <c r="X538" s="241"/>
      <c r="Y538" s="241"/>
      <c r="Z538" s="241"/>
    </row>
    <row r="539" spans="1:26" ht="13.5" customHeight="1" x14ac:dyDescent="0.3">
      <c r="A539" s="241"/>
      <c r="B539" s="241"/>
      <c r="C539" s="241"/>
      <c r="D539" s="241"/>
      <c r="E539" s="241"/>
      <c r="F539" s="241"/>
      <c r="G539" s="241"/>
      <c r="H539" s="241"/>
      <c r="I539" s="241"/>
      <c r="J539" s="241"/>
      <c r="K539" s="241"/>
      <c r="L539" s="241"/>
      <c r="M539" s="241"/>
      <c r="N539" s="241"/>
      <c r="O539" s="241"/>
      <c r="P539" s="241"/>
      <c r="Q539" s="241"/>
      <c r="R539" s="241"/>
      <c r="S539" s="241"/>
      <c r="T539" s="241"/>
      <c r="U539" s="241"/>
      <c r="V539" s="241"/>
      <c r="W539" s="241"/>
      <c r="X539" s="241"/>
      <c r="Y539" s="241"/>
      <c r="Z539" s="241"/>
    </row>
    <row r="540" spans="1:26" ht="13.5" customHeight="1" x14ac:dyDescent="0.3">
      <c r="A540" s="241"/>
      <c r="B540" s="241"/>
      <c r="C540" s="241"/>
      <c r="D540" s="241"/>
      <c r="E540" s="241"/>
      <c r="F540" s="241"/>
      <c r="G540" s="241"/>
      <c r="H540" s="241"/>
      <c r="I540" s="241"/>
      <c r="J540" s="241"/>
      <c r="K540" s="241"/>
      <c r="L540" s="241"/>
      <c r="M540" s="241"/>
      <c r="N540" s="241"/>
      <c r="O540" s="241"/>
      <c r="P540" s="241"/>
      <c r="Q540" s="241"/>
      <c r="R540" s="241"/>
      <c r="S540" s="241"/>
      <c r="T540" s="241"/>
      <c r="U540" s="241"/>
      <c r="V540" s="241"/>
      <c r="W540" s="241"/>
      <c r="X540" s="241"/>
      <c r="Y540" s="241"/>
      <c r="Z540" s="241"/>
    </row>
    <row r="541" spans="1:26" ht="13.5" customHeight="1" x14ac:dyDescent="0.3">
      <c r="A541" s="241"/>
      <c r="B541" s="241"/>
      <c r="C541" s="241"/>
      <c r="D541" s="241"/>
      <c r="E541" s="241"/>
      <c r="F541" s="241"/>
      <c r="G541" s="241"/>
      <c r="H541" s="241"/>
      <c r="I541" s="241"/>
      <c r="J541" s="241"/>
      <c r="K541" s="241"/>
      <c r="L541" s="241"/>
      <c r="M541" s="241"/>
      <c r="N541" s="241"/>
      <c r="O541" s="241"/>
      <c r="P541" s="241"/>
      <c r="Q541" s="241"/>
      <c r="R541" s="241"/>
      <c r="S541" s="241"/>
      <c r="T541" s="241"/>
      <c r="U541" s="241"/>
      <c r="V541" s="241"/>
      <c r="W541" s="241"/>
      <c r="X541" s="241"/>
      <c r="Y541" s="241"/>
      <c r="Z541" s="241"/>
    </row>
    <row r="542" spans="1:26" ht="13.5" customHeight="1" x14ac:dyDescent="0.3">
      <c r="A542" s="241"/>
      <c r="B542" s="241"/>
      <c r="C542" s="241"/>
      <c r="D542" s="241"/>
      <c r="E542" s="241"/>
      <c r="F542" s="241"/>
      <c r="G542" s="241"/>
      <c r="H542" s="241"/>
      <c r="I542" s="241"/>
      <c r="J542" s="241"/>
      <c r="K542" s="241"/>
      <c r="L542" s="241"/>
      <c r="M542" s="241"/>
      <c r="N542" s="241"/>
      <c r="O542" s="241"/>
      <c r="P542" s="241"/>
      <c r="Q542" s="241"/>
      <c r="R542" s="241"/>
      <c r="S542" s="241"/>
      <c r="T542" s="241"/>
      <c r="U542" s="241"/>
      <c r="V542" s="241"/>
      <c r="W542" s="241"/>
      <c r="X542" s="241"/>
      <c r="Y542" s="241"/>
      <c r="Z542" s="241"/>
    </row>
    <row r="543" spans="1:26" ht="13.5" customHeight="1" x14ac:dyDescent="0.3">
      <c r="A543" s="241"/>
      <c r="B543" s="241"/>
      <c r="C543" s="241"/>
      <c r="D543" s="241"/>
      <c r="E543" s="241"/>
      <c r="F543" s="241"/>
      <c r="G543" s="241"/>
      <c r="H543" s="241"/>
      <c r="I543" s="241"/>
      <c r="J543" s="241"/>
      <c r="K543" s="241"/>
      <c r="L543" s="241"/>
      <c r="M543" s="241"/>
      <c r="N543" s="241"/>
      <c r="O543" s="241"/>
      <c r="P543" s="241"/>
      <c r="Q543" s="241"/>
      <c r="R543" s="241"/>
      <c r="S543" s="241"/>
      <c r="T543" s="241"/>
      <c r="U543" s="241"/>
      <c r="V543" s="241"/>
      <c r="W543" s="241"/>
      <c r="X543" s="241"/>
      <c r="Y543" s="241"/>
      <c r="Z543" s="241"/>
    </row>
    <row r="544" spans="1:26" ht="13.5" customHeight="1" x14ac:dyDescent="0.3">
      <c r="A544" s="241"/>
      <c r="B544" s="241"/>
      <c r="C544" s="241"/>
      <c r="D544" s="241"/>
      <c r="E544" s="241"/>
      <c r="F544" s="241"/>
      <c r="G544" s="241"/>
      <c r="H544" s="241"/>
      <c r="I544" s="241"/>
      <c r="J544" s="241"/>
      <c r="K544" s="241"/>
      <c r="L544" s="241"/>
      <c r="M544" s="241"/>
      <c r="N544" s="241"/>
      <c r="O544" s="241"/>
      <c r="P544" s="241"/>
      <c r="Q544" s="241"/>
      <c r="R544" s="241"/>
      <c r="S544" s="241"/>
      <c r="T544" s="241"/>
      <c r="U544" s="241"/>
      <c r="V544" s="241"/>
      <c r="W544" s="241"/>
      <c r="X544" s="241"/>
      <c r="Y544" s="241"/>
      <c r="Z544" s="241"/>
    </row>
    <row r="545" spans="1:26" ht="13.5" customHeight="1" x14ac:dyDescent="0.3">
      <c r="A545" s="241"/>
      <c r="B545" s="241"/>
      <c r="C545" s="241"/>
      <c r="D545" s="241"/>
      <c r="E545" s="241"/>
      <c r="F545" s="241"/>
      <c r="G545" s="241"/>
      <c r="H545" s="241"/>
      <c r="I545" s="241"/>
      <c r="J545" s="241"/>
      <c r="K545" s="241"/>
      <c r="L545" s="241"/>
      <c r="M545" s="241"/>
      <c r="N545" s="241"/>
      <c r="O545" s="241"/>
      <c r="P545" s="241"/>
      <c r="Q545" s="241"/>
      <c r="R545" s="241"/>
      <c r="S545" s="241"/>
      <c r="T545" s="241"/>
      <c r="U545" s="241"/>
      <c r="V545" s="241"/>
      <c r="W545" s="241"/>
      <c r="X545" s="241"/>
      <c r="Y545" s="241"/>
      <c r="Z545" s="241"/>
    </row>
    <row r="546" spans="1:26" ht="13.5" customHeight="1" x14ac:dyDescent="0.3">
      <c r="A546" s="241"/>
      <c r="B546" s="241"/>
      <c r="C546" s="241"/>
      <c r="D546" s="241"/>
      <c r="E546" s="241"/>
      <c r="F546" s="241"/>
      <c r="G546" s="241"/>
      <c r="H546" s="241"/>
      <c r="I546" s="241"/>
      <c r="J546" s="241"/>
      <c r="K546" s="241"/>
      <c r="L546" s="241"/>
      <c r="M546" s="241"/>
      <c r="N546" s="241"/>
      <c r="O546" s="241"/>
      <c r="P546" s="241"/>
      <c r="Q546" s="241"/>
      <c r="R546" s="241"/>
      <c r="S546" s="241"/>
      <c r="T546" s="241"/>
      <c r="U546" s="241"/>
      <c r="V546" s="241"/>
      <c r="W546" s="241"/>
      <c r="X546" s="241"/>
      <c r="Y546" s="241"/>
      <c r="Z546" s="241"/>
    </row>
    <row r="547" spans="1:26" ht="13.5" customHeight="1" x14ac:dyDescent="0.3">
      <c r="A547" s="241"/>
      <c r="B547" s="241"/>
      <c r="C547" s="241"/>
      <c r="D547" s="241"/>
      <c r="E547" s="241"/>
      <c r="F547" s="241"/>
      <c r="G547" s="241"/>
      <c r="H547" s="241"/>
      <c r="I547" s="241"/>
      <c r="J547" s="241"/>
      <c r="K547" s="241"/>
      <c r="L547" s="241"/>
      <c r="M547" s="241"/>
      <c r="N547" s="241"/>
      <c r="O547" s="241"/>
      <c r="P547" s="241"/>
      <c r="Q547" s="241"/>
      <c r="R547" s="241"/>
      <c r="S547" s="241"/>
      <c r="T547" s="241"/>
      <c r="U547" s="241"/>
      <c r="V547" s="241"/>
      <c r="W547" s="241"/>
      <c r="X547" s="241"/>
      <c r="Y547" s="241"/>
      <c r="Z547" s="241"/>
    </row>
    <row r="548" spans="1:26" ht="13.5" customHeight="1" x14ac:dyDescent="0.3">
      <c r="A548" s="241"/>
      <c r="B548" s="241"/>
      <c r="C548" s="241"/>
      <c r="D548" s="241"/>
      <c r="E548" s="241"/>
      <c r="F548" s="241"/>
      <c r="G548" s="241"/>
      <c r="H548" s="241"/>
      <c r="I548" s="241"/>
      <c r="J548" s="241"/>
      <c r="K548" s="241"/>
      <c r="L548" s="241"/>
      <c r="M548" s="241"/>
      <c r="N548" s="241"/>
      <c r="O548" s="241"/>
      <c r="P548" s="241"/>
      <c r="Q548" s="241"/>
      <c r="R548" s="241"/>
      <c r="S548" s="241"/>
      <c r="T548" s="241"/>
      <c r="U548" s="241"/>
      <c r="V548" s="241"/>
      <c r="W548" s="241"/>
      <c r="X548" s="241"/>
      <c r="Y548" s="241"/>
      <c r="Z548" s="241"/>
    </row>
    <row r="549" spans="1:26" ht="13.5" customHeight="1" x14ac:dyDescent="0.3">
      <c r="A549" s="241"/>
      <c r="B549" s="241"/>
      <c r="C549" s="241"/>
      <c r="D549" s="241"/>
      <c r="E549" s="241"/>
      <c r="F549" s="241"/>
      <c r="G549" s="241"/>
      <c r="H549" s="241"/>
      <c r="I549" s="241"/>
      <c r="J549" s="241"/>
      <c r="K549" s="241"/>
      <c r="L549" s="241"/>
      <c r="M549" s="241"/>
      <c r="N549" s="241"/>
      <c r="O549" s="241"/>
      <c r="P549" s="241"/>
      <c r="Q549" s="241"/>
      <c r="R549" s="241"/>
      <c r="S549" s="241"/>
      <c r="T549" s="241"/>
      <c r="U549" s="241"/>
      <c r="V549" s="241"/>
      <c r="W549" s="241"/>
      <c r="X549" s="241"/>
      <c r="Y549" s="241"/>
      <c r="Z549" s="241"/>
    </row>
    <row r="550" spans="1:26" ht="13.5" customHeight="1" x14ac:dyDescent="0.3">
      <c r="A550" s="241"/>
      <c r="B550" s="241"/>
      <c r="C550" s="241"/>
      <c r="D550" s="241"/>
      <c r="E550" s="241"/>
      <c r="F550" s="241"/>
      <c r="G550" s="241"/>
      <c r="H550" s="241"/>
      <c r="I550" s="241"/>
      <c r="J550" s="241"/>
      <c r="K550" s="241"/>
      <c r="L550" s="241"/>
      <c r="M550" s="241"/>
      <c r="N550" s="241"/>
      <c r="O550" s="241"/>
      <c r="P550" s="241"/>
      <c r="Q550" s="241"/>
      <c r="R550" s="241"/>
      <c r="S550" s="241"/>
      <c r="T550" s="241"/>
      <c r="U550" s="241"/>
      <c r="V550" s="241"/>
      <c r="W550" s="241"/>
      <c r="X550" s="241"/>
      <c r="Y550" s="241"/>
      <c r="Z550" s="241"/>
    </row>
    <row r="551" spans="1:26" ht="13.5" customHeight="1" x14ac:dyDescent="0.3">
      <c r="A551" s="241"/>
      <c r="B551" s="241"/>
      <c r="C551" s="241"/>
      <c r="D551" s="241"/>
      <c r="E551" s="241"/>
      <c r="F551" s="241"/>
      <c r="G551" s="241"/>
      <c r="H551" s="241"/>
      <c r="I551" s="241"/>
      <c r="J551" s="241"/>
      <c r="K551" s="241"/>
      <c r="L551" s="241"/>
      <c r="M551" s="241"/>
      <c r="N551" s="241"/>
      <c r="O551" s="241"/>
      <c r="P551" s="241"/>
      <c r="Q551" s="241"/>
      <c r="R551" s="241"/>
      <c r="S551" s="241"/>
      <c r="T551" s="241"/>
      <c r="U551" s="241"/>
      <c r="V551" s="241"/>
      <c r="W551" s="241"/>
      <c r="X551" s="241"/>
      <c r="Y551" s="241"/>
      <c r="Z551" s="241"/>
    </row>
    <row r="552" spans="1:26" ht="13.5" customHeight="1" x14ac:dyDescent="0.3">
      <c r="A552" s="241"/>
      <c r="B552" s="241"/>
      <c r="C552" s="241"/>
      <c r="D552" s="241"/>
      <c r="E552" s="241"/>
      <c r="F552" s="241"/>
      <c r="G552" s="241"/>
      <c r="H552" s="241"/>
      <c r="I552" s="241"/>
      <c r="J552" s="241"/>
      <c r="K552" s="241"/>
      <c r="L552" s="241"/>
      <c r="M552" s="241"/>
      <c r="N552" s="241"/>
      <c r="O552" s="241"/>
      <c r="P552" s="241"/>
      <c r="Q552" s="241"/>
      <c r="R552" s="241"/>
      <c r="S552" s="241"/>
      <c r="T552" s="241"/>
      <c r="U552" s="241"/>
      <c r="V552" s="241"/>
      <c r="W552" s="241"/>
      <c r="X552" s="241"/>
      <c r="Y552" s="241"/>
      <c r="Z552" s="241"/>
    </row>
    <row r="553" spans="1:26" ht="13.5" customHeight="1" x14ac:dyDescent="0.3">
      <c r="A553" s="241"/>
      <c r="B553" s="241"/>
      <c r="C553" s="241"/>
      <c r="D553" s="241"/>
      <c r="E553" s="241"/>
      <c r="F553" s="241"/>
      <c r="G553" s="241"/>
      <c r="H553" s="241"/>
      <c r="I553" s="241"/>
      <c r="J553" s="241"/>
      <c r="K553" s="241"/>
      <c r="L553" s="241"/>
      <c r="M553" s="241"/>
      <c r="N553" s="241"/>
      <c r="O553" s="241"/>
      <c r="P553" s="241"/>
      <c r="Q553" s="241"/>
      <c r="R553" s="241"/>
      <c r="S553" s="241"/>
      <c r="T553" s="241"/>
      <c r="U553" s="241"/>
      <c r="V553" s="241"/>
      <c r="W553" s="241"/>
      <c r="X553" s="241"/>
      <c r="Y553" s="241"/>
      <c r="Z553" s="241"/>
    </row>
    <row r="554" spans="1:26" ht="13.5" customHeight="1" x14ac:dyDescent="0.3">
      <c r="A554" s="241"/>
      <c r="B554" s="241"/>
      <c r="C554" s="241"/>
      <c r="D554" s="241"/>
      <c r="E554" s="241"/>
      <c r="F554" s="241"/>
      <c r="G554" s="241"/>
      <c r="H554" s="241"/>
      <c r="I554" s="241"/>
      <c r="J554" s="241"/>
      <c r="K554" s="241"/>
      <c r="L554" s="241"/>
      <c r="M554" s="241"/>
      <c r="N554" s="241"/>
      <c r="O554" s="241"/>
      <c r="P554" s="241"/>
      <c r="Q554" s="241"/>
      <c r="R554" s="241"/>
      <c r="S554" s="241"/>
      <c r="T554" s="241"/>
      <c r="U554" s="241"/>
      <c r="V554" s="241"/>
      <c r="W554" s="241"/>
      <c r="X554" s="241"/>
      <c r="Y554" s="241"/>
      <c r="Z554" s="241"/>
    </row>
    <row r="555" spans="1:26" ht="13.5" customHeight="1" x14ac:dyDescent="0.3">
      <c r="A555" s="241"/>
      <c r="B555" s="241"/>
      <c r="C555" s="241"/>
      <c r="D555" s="241"/>
      <c r="E555" s="241"/>
      <c r="F555" s="241"/>
      <c r="G555" s="241"/>
      <c r="H555" s="241"/>
      <c r="I555" s="241"/>
      <c r="J555" s="241"/>
      <c r="K555" s="241"/>
      <c r="L555" s="241"/>
      <c r="M555" s="241"/>
      <c r="N555" s="241"/>
      <c r="O555" s="241"/>
      <c r="P555" s="241"/>
      <c r="Q555" s="241"/>
      <c r="R555" s="241"/>
      <c r="S555" s="241"/>
      <c r="T555" s="241"/>
      <c r="U555" s="241"/>
      <c r="V555" s="241"/>
      <c r="W555" s="241"/>
      <c r="X555" s="241"/>
      <c r="Y555" s="241"/>
      <c r="Z555" s="241"/>
    </row>
    <row r="556" spans="1:26" ht="13.5" customHeight="1" x14ac:dyDescent="0.3">
      <c r="A556" s="241"/>
      <c r="B556" s="241"/>
      <c r="C556" s="241"/>
      <c r="D556" s="241"/>
      <c r="E556" s="241"/>
      <c r="F556" s="241"/>
      <c r="G556" s="241"/>
      <c r="H556" s="241"/>
      <c r="I556" s="241"/>
      <c r="J556" s="241"/>
      <c r="K556" s="241"/>
      <c r="L556" s="241"/>
      <c r="M556" s="241"/>
      <c r="N556" s="241"/>
      <c r="O556" s="241"/>
      <c r="P556" s="241"/>
      <c r="Q556" s="241"/>
      <c r="R556" s="241"/>
      <c r="S556" s="241"/>
      <c r="T556" s="241"/>
      <c r="U556" s="241"/>
      <c r="V556" s="241"/>
      <c r="W556" s="241"/>
      <c r="X556" s="241"/>
      <c r="Y556" s="241"/>
      <c r="Z556" s="241"/>
    </row>
    <row r="557" spans="1:26" ht="13.5" customHeight="1" x14ac:dyDescent="0.3">
      <c r="A557" s="241"/>
      <c r="B557" s="241"/>
      <c r="C557" s="241"/>
      <c r="D557" s="241"/>
      <c r="E557" s="241"/>
      <c r="F557" s="241"/>
      <c r="G557" s="241"/>
      <c r="H557" s="241"/>
      <c r="I557" s="241"/>
      <c r="J557" s="241"/>
      <c r="K557" s="241"/>
      <c r="L557" s="241"/>
      <c r="M557" s="241"/>
      <c r="N557" s="241"/>
      <c r="O557" s="241"/>
      <c r="P557" s="241"/>
      <c r="Q557" s="241"/>
      <c r="R557" s="241"/>
      <c r="S557" s="241"/>
      <c r="T557" s="241"/>
      <c r="U557" s="241"/>
      <c r="V557" s="241"/>
      <c r="W557" s="241"/>
      <c r="X557" s="241"/>
      <c r="Y557" s="241"/>
      <c r="Z557" s="241"/>
    </row>
    <row r="558" spans="1:26" ht="13.5" customHeight="1" x14ac:dyDescent="0.3">
      <c r="A558" s="241"/>
      <c r="B558" s="241"/>
      <c r="C558" s="241"/>
      <c r="D558" s="241"/>
      <c r="E558" s="241"/>
      <c r="F558" s="241"/>
      <c r="G558" s="241"/>
      <c r="H558" s="241"/>
      <c r="I558" s="241"/>
      <c r="J558" s="241"/>
      <c r="K558" s="241"/>
      <c r="L558" s="241"/>
      <c r="M558" s="241"/>
      <c r="N558" s="241"/>
      <c r="O558" s="241"/>
      <c r="P558" s="241"/>
      <c r="Q558" s="241"/>
      <c r="R558" s="241"/>
      <c r="S558" s="241"/>
      <c r="T558" s="241"/>
      <c r="U558" s="241"/>
      <c r="V558" s="241"/>
      <c r="W558" s="241"/>
      <c r="X558" s="241"/>
      <c r="Y558" s="241"/>
      <c r="Z558" s="241"/>
    </row>
    <row r="559" spans="1:26" ht="13.5" customHeight="1" x14ac:dyDescent="0.3">
      <c r="A559" s="241"/>
      <c r="B559" s="241"/>
      <c r="C559" s="241"/>
      <c r="D559" s="241"/>
      <c r="E559" s="241"/>
      <c r="F559" s="241"/>
      <c r="G559" s="241"/>
      <c r="H559" s="241"/>
      <c r="I559" s="241"/>
      <c r="J559" s="241"/>
      <c r="K559" s="241"/>
      <c r="L559" s="241"/>
      <c r="M559" s="241"/>
      <c r="N559" s="241"/>
      <c r="O559" s="241"/>
      <c r="P559" s="241"/>
      <c r="Q559" s="241"/>
      <c r="R559" s="241"/>
      <c r="S559" s="241"/>
      <c r="T559" s="241"/>
      <c r="U559" s="241"/>
      <c r="V559" s="241"/>
      <c r="W559" s="241"/>
      <c r="X559" s="241"/>
      <c r="Y559" s="241"/>
      <c r="Z559" s="241"/>
    </row>
    <row r="560" spans="1:26" ht="13.5" customHeight="1" x14ac:dyDescent="0.3">
      <c r="A560" s="241"/>
      <c r="B560" s="241"/>
      <c r="C560" s="241"/>
      <c r="D560" s="241"/>
      <c r="E560" s="241"/>
      <c r="F560" s="241"/>
      <c r="G560" s="241"/>
      <c r="H560" s="241"/>
      <c r="I560" s="241"/>
      <c r="J560" s="241"/>
      <c r="K560" s="241"/>
      <c r="L560" s="241"/>
      <c r="M560" s="241"/>
      <c r="N560" s="241"/>
      <c r="O560" s="241"/>
      <c r="P560" s="241"/>
      <c r="Q560" s="241"/>
      <c r="R560" s="241"/>
      <c r="S560" s="241"/>
      <c r="T560" s="241"/>
      <c r="U560" s="241"/>
      <c r="V560" s="241"/>
      <c r="W560" s="241"/>
      <c r="X560" s="241"/>
      <c r="Y560" s="241"/>
      <c r="Z560" s="241"/>
    </row>
    <row r="561" spans="1:26" ht="13.5" customHeight="1" x14ac:dyDescent="0.3">
      <c r="A561" s="241"/>
      <c r="B561" s="241"/>
      <c r="C561" s="241"/>
      <c r="D561" s="241"/>
      <c r="E561" s="241"/>
      <c r="F561" s="241"/>
      <c r="G561" s="241"/>
      <c r="H561" s="241"/>
      <c r="I561" s="241"/>
      <c r="J561" s="241"/>
      <c r="K561" s="241"/>
      <c r="L561" s="241"/>
      <c r="M561" s="241"/>
      <c r="N561" s="241"/>
      <c r="O561" s="241"/>
      <c r="P561" s="241"/>
      <c r="Q561" s="241"/>
      <c r="R561" s="241"/>
      <c r="S561" s="241"/>
      <c r="T561" s="241"/>
      <c r="U561" s="241"/>
      <c r="V561" s="241"/>
      <c r="W561" s="241"/>
      <c r="X561" s="241"/>
      <c r="Y561" s="241"/>
      <c r="Z561" s="241"/>
    </row>
    <row r="562" spans="1:26" ht="13.5" customHeight="1" x14ac:dyDescent="0.3">
      <c r="A562" s="241"/>
      <c r="B562" s="241"/>
      <c r="C562" s="241"/>
      <c r="D562" s="241"/>
      <c r="E562" s="241"/>
      <c r="F562" s="241"/>
      <c r="G562" s="241"/>
      <c r="H562" s="241"/>
      <c r="I562" s="241"/>
      <c r="J562" s="241"/>
      <c r="K562" s="241"/>
      <c r="L562" s="241"/>
      <c r="M562" s="241"/>
      <c r="N562" s="241"/>
      <c r="O562" s="241"/>
      <c r="P562" s="241"/>
      <c r="Q562" s="241"/>
      <c r="R562" s="241"/>
      <c r="S562" s="241"/>
      <c r="T562" s="241"/>
      <c r="U562" s="241"/>
      <c r="V562" s="241"/>
      <c r="W562" s="241"/>
      <c r="X562" s="241"/>
      <c r="Y562" s="241"/>
      <c r="Z562" s="241"/>
    </row>
    <row r="563" spans="1:26" ht="13.5" customHeight="1" x14ac:dyDescent="0.3">
      <c r="A563" s="241"/>
      <c r="B563" s="241"/>
      <c r="C563" s="241"/>
      <c r="D563" s="241"/>
      <c r="E563" s="241"/>
      <c r="F563" s="241"/>
      <c r="G563" s="241"/>
      <c r="H563" s="241"/>
      <c r="I563" s="241"/>
      <c r="J563" s="241"/>
      <c r="K563" s="241"/>
      <c r="L563" s="241"/>
      <c r="M563" s="241"/>
      <c r="N563" s="241"/>
      <c r="O563" s="241"/>
      <c r="P563" s="241"/>
      <c r="Q563" s="241"/>
      <c r="R563" s="241"/>
      <c r="S563" s="241"/>
      <c r="T563" s="241"/>
      <c r="U563" s="241"/>
      <c r="V563" s="241"/>
      <c r="W563" s="241"/>
      <c r="X563" s="241"/>
      <c r="Y563" s="241"/>
      <c r="Z563" s="241"/>
    </row>
    <row r="564" spans="1:26" ht="13.5" customHeight="1" x14ac:dyDescent="0.3">
      <c r="A564" s="241"/>
      <c r="B564" s="241"/>
      <c r="C564" s="241"/>
      <c r="D564" s="241"/>
      <c r="E564" s="241"/>
      <c r="F564" s="241"/>
      <c r="G564" s="241"/>
      <c r="H564" s="241"/>
      <c r="I564" s="241"/>
      <c r="J564" s="241"/>
      <c r="K564" s="241"/>
      <c r="L564" s="241"/>
      <c r="M564" s="241"/>
      <c r="N564" s="241"/>
      <c r="O564" s="241"/>
      <c r="P564" s="241"/>
      <c r="Q564" s="241"/>
      <c r="R564" s="241"/>
      <c r="S564" s="241"/>
      <c r="T564" s="241"/>
      <c r="U564" s="241"/>
      <c r="V564" s="241"/>
      <c r="W564" s="241"/>
      <c r="X564" s="241"/>
      <c r="Y564" s="241"/>
      <c r="Z564" s="241"/>
    </row>
    <row r="565" spans="1:26" ht="13.5" customHeight="1" x14ac:dyDescent="0.3">
      <c r="A565" s="241"/>
      <c r="B565" s="241"/>
      <c r="C565" s="241"/>
      <c r="D565" s="241"/>
      <c r="E565" s="241"/>
      <c r="F565" s="241"/>
      <c r="G565" s="241"/>
      <c r="H565" s="241"/>
      <c r="I565" s="241"/>
      <c r="J565" s="241"/>
      <c r="K565" s="241"/>
      <c r="L565" s="241"/>
      <c r="M565" s="241"/>
      <c r="N565" s="241"/>
      <c r="O565" s="241"/>
      <c r="P565" s="241"/>
      <c r="Q565" s="241"/>
      <c r="R565" s="241"/>
      <c r="S565" s="241"/>
      <c r="T565" s="241"/>
      <c r="U565" s="241"/>
      <c r="V565" s="241"/>
      <c r="W565" s="241"/>
      <c r="X565" s="241"/>
      <c r="Y565" s="241"/>
      <c r="Z565" s="241"/>
    </row>
    <row r="566" spans="1:26" ht="13.5" customHeight="1" x14ac:dyDescent="0.3">
      <c r="A566" s="241"/>
      <c r="B566" s="241"/>
      <c r="C566" s="241"/>
      <c r="D566" s="241"/>
      <c r="E566" s="241"/>
      <c r="F566" s="241"/>
      <c r="G566" s="241"/>
      <c r="H566" s="241"/>
      <c r="I566" s="241"/>
      <c r="J566" s="241"/>
      <c r="K566" s="241"/>
      <c r="L566" s="241"/>
      <c r="M566" s="241"/>
      <c r="N566" s="241"/>
      <c r="O566" s="241"/>
      <c r="P566" s="241"/>
      <c r="Q566" s="241"/>
      <c r="R566" s="241"/>
      <c r="S566" s="241"/>
      <c r="T566" s="241"/>
      <c r="U566" s="241"/>
      <c r="V566" s="241"/>
      <c r="W566" s="241"/>
      <c r="X566" s="241"/>
      <c r="Y566" s="241"/>
      <c r="Z566" s="241"/>
    </row>
    <row r="567" spans="1:26" ht="13.5" customHeight="1" x14ac:dyDescent="0.3">
      <c r="A567" s="241"/>
      <c r="B567" s="241"/>
      <c r="C567" s="241"/>
      <c r="D567" s="241"/>
      <c r="E567" s="241"/>
      <c r="F567" s="241"/>
      <c r="G567" s="241"/>
      <c r="H567" s="241"/>
      <c r="I567" s="241"/>
      <c r="J567" s="241"/>
      <c r="K567" s="241"/>
      <c r="L567" s="241"/>
      <c r="M567" s="241"/>
      <c r="N567" s="241"/>
      <c r="O567" s="241"/>
      <c r="P567" s="241"/>
      <c r="Q567" s="241"/>
      <c r="R567" s="241"/>
      <c r="S567" s="241"/>
      <c r="T567" s="241"/>
      <c r="U567" s="241"/>
      <c r="V567" s="241"/>
      <c r="W567" s="241"/>
      <c r="X567" s="241"/>
      <c r="Y567" s="241"/>
      <c r="Z567" s="241"/>
    </row>
    <row r="568" spans="1:26" ht="13.5" customHeight="1" x14ac:dyDescent="0.3">
      <c r="A568" s="241"/>
      <c r="B568" s="241"/>
      <c r="C568" s="241"/>
      <c r="D568" s="241"/>
      <c r="E568" s="241"/>
      <c r="F568" s="241"/>
      <c r="G568" s="241"/>
      <c r="H568" s="241"/>
      <c r="I568" s="241"/>
      <c r="J568" s="241"/>
      <c r="K568" s="241"/>
      <c r="L568" s="241"/>
      <c r="M568" s="241"/>
      <c r="N568" s="241"/>
      <c r="O568" s="241"/>
      <c r="P568" s="241"/>
      <c r="Q568" s="241"/>
      <c r="R568" s="241"/>
      <c r="S568" s="241"/>
      <c r="T568" s="241"/>
      <c r="U568" s="241"/>
      <c r="V568" s="241"/>
      <c r="W568" s="241"/>
      <c r="X568" s="241"/>
      <c r="Y568" s="241"/>
      <c r="Z568" s="241"/>
    </row>
    <row r="569" spans="1:26" ht="13.5" customHeight="1" x14ac:dyDescent="0.3">
      <c r="A569" s="241"/>
      <c r="B569" s="241"/>
      <c r="C569" s="241"/>
      <c r="D569" s="241"/>
      <c r="E569" s="241"/>
      <c r="F569" s="241"/>
      <c r="G569" s="241"/>
      <c r="H569" s="241"/>
      <c r="I569" s="241"/>
      <c r="J569" s="241"/>
      <c r="K569" s="241"/>
      <c r="L569" s="241"/>
      <c r="M569" s="241"/>
      <c r="N569" s="241"/>
      <c r="O569" s="241"/>
      <c r="P569" s="241"/>
      <c r="Q569" s="241"/>
      <c r="R569" s="241"/>
      <c r="S569" s="241"/>
      <c r="T569" s="241"/>
      <c r="U569" s="241"/>
      <c r="V569" s="241"/>
      <c r="W569" s="241"/>
      <c r="X569" s="241"/>
      <c r="Y569" s="241"/>
      <c r="Z569" s="241"/>
    </row>
    <row r="570" spans="1:26" ht="13.5" customHeight="1" x14ac:dyDescent="0.3">
      <c r="A570" s="241"/>
      <c r="B570" s="241"/>
      <c r="C570" s="241"/>
      <c r="D570" s="241"/>
      <c r="E570" s="241"/>
      <c r="F570" s="241"/>
      <c r="G570" s="241"/>
      <c r="H570" s="241"/>
      <c r="I570" s="241"/>
      <c r="J570" s="241"/>
      <c r="K570" s="241"/>
      <c r="L570" s="241"/>
      <c r="M570" s="241"/>
      <c r="N570" s="241"/>
      <c r="O570" s="241"/>
      <c r="P570" s="241"/>
      <c r="Q570" s="241"/>
      <c r="R570" s="241"/>
      <c r="S570" s="241"/>
      <c r="T570" s="241"/>
      <c r="U570" s="241"/>
      <c r="V570" s="241"/>
      <c r="W570" s="241"/>
      <c r="X570" s="241"/>
      <c r="Y570" s="241"/>
      <c r="Z570" s="241"/>
    </row>
    <row r="571" spans="1:26" ht="13.5" customHeight="1" x14ac:dyDescent="0.3">
      <c r="A571" s="241"/>
      <c r="B571" s="241"/>
      <c r="C571" s="241"/>
      <c r="D571" s="241"/>
      <c r="E571" s="241"/>
      <c r="F571" s="241"/>
      <c r="G571" s="241"/>
      <c r="H571" s="241"/>
      <c r="I571" s="241"/>
      <c r="J571" s="241"/>
      <c r="K571" s="241"/>
      <c r="L571" s="241"/>
      <c r="M571" s="241"/>
      <c r="N571" s="241"/>
      <c r="O571" s="241"/>
      <c r="P571" s="241"/>
      <c r="Q571" s="241"/>
      <c r="R571" s="241"/>
      <c r="S571" s="241"/>
      <c r="T571" s="241"/>
      <c r="U571" s="241"/>
      <c r="V571" s="241"/>
      <c r="W571" s="241"/>
      <c r="X571" s="241"/>
      <c r="Y571" s="241"/>
      <c r="Z571" s="241"/>
    </row>
    <row r="572" spans="1:26" ht="13.5" customHeight="1" x14ac:dyDescent="0.3">
      <c r="A572" s="241"/>
      <c r="B572" s="241"/>
      <c r="C572" s="241"/>
      <c r="D572" s="241"/>
      <c r="E572" s="241"/>
      <c r="F572" s="241"/>
      <c r="G572" s="241"/>
      <c r="H572" s="241"/>
      <c r="I572" s="241"/>
      <c r="J572" s="241"/>
      <c r="K572" s="241"/>
      <c r="L572" s="241"/>
      <c r="M572" s="241"/>
      <c r="N572" s="241"/>
      <c r="O572" s="241"/>
      <c r="P572" s="241"/>
      <c r="Q572" s="241"/>
      <c r="R572" s="241"/>
      <c r="S572" s="241"/>
      <c r="T572" s="241"/>
      <c r="U572" s="241"/>
      <c r="V572" s="241"/>
      <c r="W572" s="241"/>
      <c r="X572" s="241"/>
      <c r="Y572" s="241"/>
      <c r="Z572" s="241"/>
    </row>
    <row r="573" spans="1:26" ht="13.5" customHeight="1" x14ac:dyDescent="0.3">
      <c r="A573" s="241"/>
      <c r="B573" s="241"/>
      <c r="C573" s="241"/>
      <c r="D573" s="241"/>
      <c r="E573" s="241"/>
      <c r="F573" s="241"/>
      <c r="G573" s="241"/>
      <c r="H573" s="241"/>
      <c r="I573" s="241"/>
      <c r="J573" s="241"/>
      <c r="K573" s="241"/>
      <c r="L573" s="241"/>
      <c r="M573" s="241"/>
      <c r="N573" s="241"/>
      <c r="O573" s="241"/>
      <c r="P573" s="241"/>
      <c r="Q573" s="241"/>
      <c r="R573" s="241"/>
      <c r="S573" s="241"/>
      <c r="T573" s="241"/>
      <c r="U573" s="241"/>
      <c r="V573" s="241"/>
      <c r="W573" s="241"/>
      <c r="X573" s="241"/>
      <c r="Y573" s="241"/>
      <c r="Z573" s="241"/>
    </row>
    <row r="574" spans="1:26" ht="13.5" customHeight="1" x14ac:dyDescent="0.3">
      <c r="A574" s="241"/>
      <c r="B574" s="241"/>
      <c r="C574" s="241"/>
      <c r="D574" s="241"/>
      <c r="E574" s="241"/>
      <c r="F574" s="241"/>
      <c r="G574" s="241"/>
      <c r="H574" s="241"/>
      <c r="I574" s="241"/>
      <c r="J574" s="241"/>
      <c r="K574" s="241"/>
      <c r="L574" s="241"/>
      <c r="M574" s="241"/>
      <c r="N574" s="241"/>
      <c r="O574" s="241"/>
      <c r="P574" s="241"/>
      <c r="Q574" s="241"/>
      <c r="R574" s="241"/>
      <c r="S574" s="241"/>
      <c r="T574" s="241"/>
      <c r="U574" s="241"/>
      <c r="V574" s="241"/>
      <c r="W574" s="241"/>
      <c r="X574" s="241"/>
      <c r="Y574" s="241"/>
      <c r="Z574" s="241"/>
    </row>
    <row r="575" spans="1:26" ht="13.5" customHeight="1" x14ac:dyDescent="0.3">
      <c r="A575" s="241"/>
      <c r="B575" s="241"/>
      <c r="C575" s="241"/>
      <c r="D575" s="241"/>
      <c r="E575" s="241"/>
      <c r="F575" s="241"/>
      <c r="G575" s="241"/>
      <c r="H575" s="241"/>
      <c r="I575" s="241"/>
      <c r="J575" s="241"/>
      <c r="K575" s="241"/>
      <c r="L575" s="241"/>
      <c r="M575" s="241"/>
      <c r="N575" s="241"/>
      <c r="O575" s="241"/>
      <c r="P575" s="241"/>
      <c r="Q575" s="241"/>
      <c r="R575" s="241"/>
      <c r="S575" s="241"/>
      <c r="T575" s="241"/>
      <c r="U575" s="241"/>
      <c r="V575" s="241"/>
      <c r="W575" s="241"/>
      <c r="X575" s="241"/>
      <c r="Y575" s="241"/>
      <c r="Z575" s="241"/>
    </row>
    <row r="576" spans="1:26" ht="13.5" customHeight="1" x14ac:dyDescent="0.3">
      <c r="A576" s="241"/>
      <c r="B576" s="241"/>
      <c r="C576" s="241"/>
      <c r="D576" s="241"/>
      <c r="E576" s="241"/>
      <c r="F576" s="241"/>
      <c r="G576" s="241"/>
      <c r="H576" s="241"/>
      <c r="I576" s="241"/>
      <c r="J576" s="241"/>
      <c r="K576" s="241"/>
      <c r="L576" s="241"/>
      <c r="M576" s="241"/>
      <c r="N576" s="241"/>
      <c r="O576" s="241"/>
      <c r="P576" s="241"/>
      <c r="Q576" s="241"/>
      <c r="R576" s="241"/>
      <c r="S576" s="241"/>
      <c r="T576" s="241"/>
      <c r="U576" s="241"/>
      <c r="V576" s="241"/>
      <c r="W576" s="241"/>
      <c r="X576" s="241"/>
      <c r="Y576" s="241"/>
      <c r="Z576" s="241"/>
    </row>
    <row r="577" spans="1:26" ht="13.5" customHeight="1" x14ac:dyDescent="0.3">
      <c r="A577" s="241"/>
      <c r="B577" s="241"/>
      <c r="C577" s="241"/>
      <c r="D577" s="241"/>
      <c r="E577" s="241"/>
      <c r="F577" s="241"/>
      <c r="G577" s="241"/>
      <c r="H577" s="241"/>
      <c r="I577" s="241"/>
      <c r="J577" s="241"/>
      <c r="K577" s="241"/>
      <c r="L577" s="241"/>
      <c r="M577" s="241"/>
      <c r="N577" s="241"/>
      <c r="O577" s="241"/>
      <c r="P577" s="241"/>
      <c r="Q577" s="241"/>
      <c r="R577" s="241"/>
      <c r="S577" s="241"/>
      <c r="T577" s="241"/>
      <c r="U577" s="241"/>
      <c r="V577" s="241"/>
      <c r="W577" s="241"/>
      <c r="X577" s="241"/>
      <c r="Y577" s="241"/>
      <c r="Z577" s="241"/>
    </row>
    <row r="578" spans="1:26" ht="13.5" customHeight="1" x14ac:dyDescent="0.3">
      <c r="A578" s="241"/>
      <c r="B578" s="241"/>
      <c r="C578" s="241"/>
      <c r="D578" s="241"/>
      <c r="E578" s="241"/>
      <c r="F578" s="241"/>
      <c r="G578" s="241"/>
      <c r="H578" s="241"/>
      <c r="I578" s="241"/>
      <c r="J578" s="241"/>
      <c r="K578" s="241"/>
      <c r="L578" s="241"/>
      <c r="M578" s="241"/>
      <c r="N578" s="241"/>
      <c r="O578" s="241"/>
      <c r="P578" s="241"/>
      <c r="Q578" s="241"/>
      <c r="R578" s="241"/>
      <c r="S578" s="241"/>
      <c r="T578" s="241"/>
      <c r="U578" s="241"/>
      <c r="V578" s="241"/>
      <c r="W578" s="241"/>
      <c r="X578" s="241"/>
      <c r="Y578" s="241"/>
      <c r="Z578" s="241"/>
    </row>
    <row r="579" spans="1:26" ht="13.5" customHeight="1" x14ac:dyDescent="0.3">
      <c r="A579" s="241"/>
      <c r="B579" s="241"/>
      <c r="C579" s="241"/>
      <c r="D579" s="241"/>
      <c r="E579" s="241"/>
      <c r="F579" s="241"/>
      <c r="G579" s="241"/>
      <c r="H579" s="241"/>
      <c r="I579" s="241"/>
      <c r="J579" s="241"/>
      <c r="K579" s="241"/>
      <c r="L579" s="241"/>
      <c r="M579" s="241"/>
      <c r="N579" s="241"/>
      <c r="O579" s="241"/>
      <c r="P579" s="241"/>
      <c r="Q579" s="241"/>
      <c r="R579" s="241"/>
      <c r="S579" s="241"/>
      <c r="T579" s="241"/>
      <c r="U579" s="241"/>
      <c r="V579" s="241"/>
      <c r="W579" s="241"/>
      <c r="X579" s="241"/>
      <c r="Y579" s="241"/>
      <c r="Z579" s="241"/>
    </row>
    <row r="580" spans="1:26" ht="13.5" customHeight="1" x14ac:dyDescent="0.3">
      <c r="A580" s="241"/>
      <c r="B580" s="241"/>
      <c r="C580" s="241"/>
      <c r="D580" s="241"/>
      <c r="E580" s="241"/>
      <c r="F580" s="241"/>
      <c r="G580" s="241"/>
      <c r="H580" s="241"/>
      <c r="I580" s="241"/>
      <c r="J580" s="241"/>
      <c r="K580" s="241"/>
      <c r="L580" s="241"/>
      <c r="M580" s="241"/>
      <c r="N580" s="241"/>
      <c r="O580" s="241"/>
      <c r="P580" s="241"/>
      <c r="Q580" s="241"/>
      <c r="R580" s="241"/>
      <c r="S580" s="241"/>
      <c r="T580" s="241"/>
      <c r="U580" s="241"/>
      <c r="V580" s="241"/>
      <c r="W580" s="241"/>
      <c r="X580" s="241"/>
      <c r="Y580" s="241"/>
      <c r="Z580" s="241"/>
    </row>
    <row r="581" spans="1:26" ht="13.5" customHeight="1" x14ac:dyDescent="0.3">
      <c r="A581" s="241"/>
      <c r="B581" s="241"/>
      <c r="C581" s="241"/>
      <c r="D581" s="241"/>
      <c r="E581" s="241"/>
      <c r="F581" s="241"/>
      <c r="G581" s="241"/>
      <c r="H581" s="241"/>
      <c r="I581" s="241"/>
      <c r="J581" s="241"/>
      <c r="K581" s="241"/>
      <c r="L581" s="241"/>
      <c r="M581" s="241"/>
      <c r="N581" s="241"/>
      <c r="O581" s="241"/>
      <c r="P581" s="241"/>
      <c r="Q581" s="241"/>
      <c r="R581" s="241"/>
      <c r="S581" s="241"/>
      <c r="T581" s="241"/>
      <c r="U581" s="241"/>
      <c r="V581" s="241"/>
      <c r="W581" s="241"/>
      <c r="X581" s="241"/>
      <c r="Y581" s="241"/>
      <c r="Z581" s="241"/>
    </row>
    <row r="582" spans="1:26" ht="13.5" customHeight="1" x14ac:dyDescent="0.3">
      <c r="A582" s="241"/>
      <c r="B582" s="241"/>
      <c r="C582" s="241"/>
      <c r="D582" s="241"/>
      <c r="E582" s="241"/>
      <c r="F582" s="241"/>
      <c r="G582" s="241"/>
      <c r="H582" s="241"/>
      <c r="I582" s="241"/>
      <c r="J582" s="241"/>
      <c r="K582" s="241"/>
      <c r="L582" s="241"/>
      <c r="M582" s="241"/>
      <c r="N582" s="241"/>
      <c r="O582" s="241"/>
      <c r="P582" s="241"/>
      <c r="Q582" s="241"/>
      <c r="R582" s="241"/>
      <c r="S582" s="241"/>
      <c r="T582" s="241"/>
      <c r="U582" s="241"/>
      <c r="V582" s="241"/>
      <c r="W582" s="241"/>
      <c r="X582" s="241"/>
      <c r="Y582" s="241"/>
      <c r="Z582" s="241"/>
    </row>
    <row r="583" spans="1:26" ht="13.5" customHeight="1" x14ac:dyDescent="0.3">
      <c r="A583" s="241"/>
      <c r="B583" s="241"/>
      <c r="C583" s="241"/>
      <c r="D583" s="241"/>
      <c r="E583" s="241"/>
      <c r="F583" s="241"/>
      <c r="G583" s="241"/>
      <c r="H583" s="241"/>
      <c r="I583" s="241"/>
      <c r="J583" s="241"/>
      <c r="K583" s="241"/>
      <c r="L583" s="241"/>
      <c r="M583" s="241"/>
      <c r="N583" s="241"/>
      <c r="O583" s="241"/>
      <c r="P583" s="241"/>
      <c r="Q583" s="241"/>
      <c r="R583" s="241"/>
      <c r="S583" s="241"/>
      <c r="T583" s="241"/>
      <c r="U583" s="241"/>
      <c r="V583" s="241"/>
      <c r="W583" s="241"/>
      <c r="X583" s="241"/>
      <c r="Y583" s="241"/>
      <c r="Z583" s="241"/>
    </row>
    <row r="584" spans="1:26" ht="13.5" customHeight="1" x14ac:dyDescent="0.3">
      <c r="A584" s="241"/>
      <c r="B584" s="241"/>
      <c r="C584" s="241"/>
      <c r="D584" s="241"/>
      <c r="E584" s="241"/>
      <c r="F584" s="241"/>
      <c r="G584" s="241"/>
      <c r="H584" s="241"/>
      <c r="I584" s="241"/>
      <c r="J584" s="241"/>
      <c r="K584" s="241"/>
      <c r="L584" s="241"/>
      <c r="M584" s="241"/>
      <c r="N584" s="241"/>
      <c r="O584" s="241"/>
      <c r="P584" s="241"/>
      <c r="Q584" s="241"/>
      <c r="R584" s="241"/>
      <c r="S584" s="241"/>
      <c r="T584" s="241"/>
      <c r="U584" s="241"/>
      <c r="V584" s="241"/>
      <c r="W584" s="241"/>
      <c r="X584" s="241"/>
      <c r="Y584" s="241"/>
      <c r="Z584" s="241"/>
    </row>
    <row r="585" spans="1:26" ht="13.5" customHeight="1" x14ac:dyDescent="0.3">
      <c r="A585" s="241"/>
      <c r="B585" s="241"/>
      <c r="C585" s="241"/>
      <c r="D585" s="241"/>
      <c r="E585" s="241"/>
      <c r="F585" s="241"/>
      <c r="G585" s="241"/>
      <c r="H585" s="241"/>
      <c r="I585" s="241"/>
      <c r="J585" s="241"/>
      <c r="K585" s="241"/>
      <c r="L585" s="241"/>
      <c r="M585" s="241"/>
      <c r="N585" s="241"/>
      <c r="O585" s="241"/>
      <c r="P585" s="241"/>
      <c r="Q585" s="241"/>
      <c r="R585" s="241"/>
      <c r="S585" s="241"/>
      <c r="T585" s="241"/>
      <c r="U585" s="241"/>
      <c r="V585" s="241"/>
      <c r="W585" s="241"/>
      <c r="X585" s="241"/>
      <c r="Y585" s="241"/>
      <c r="Z585" s="241"/>
    </row>
    <row r="586" spans="1:26" ht="13.5" customHeight="1" x14ac:dyDescent="0.3">
      <c r="A586" s="241"/>
      <c r="B586" s="241"/>
      <c r="C586" s="241"/>
      <c r="D586" s="241"/>
      <c r="E586" s="241"/>
      <c r="F586" s="241"/>
      <c r="G586" s="241"/>
      <c r="H586" s="241"/>
      <c r="I586" s="241"/>
      <c r="J586" s="241"/>
      <c r="K586" s="241"/>
      <c r="L586" s="241"/>
      <c r="M586" s="241"/>
      <c r="N586" s="241"/>
      <c r="O586" s="241"/>
      <c r="P586" s="241"/>
      <c r="Q586" s="241"/>
      <c r="R586" s="241"/>
      <c r="S586" s="241"/>
      <c r="T586" s="241"/>
      <c r="U586" s="241"/>
      <c r="V586" s="241"/>
      <c r="W586" s="241"/>
      <c r="X586" s="241"/>
      <c r="Y586" s="241"/>
      <c r="Z586" s="241"/>
    </row>
    <row r="587" spans="1:26" ht="13.5" customHeight="1" x14ac:dyDescent="0.3">
      <c r="A587" s="241"/>
      <c r="B587" s="241"/>
      <c r="C587" s="241"/>
      <c r="D587" s="241"/>
      <c r="E587" s="241"/>
      <c r="F587" s="241"/>
      <c r="G587" s="241"/>
      <c r="H587" s="241"/>
      <c r="I587" s="241"/>
      <c r="J587" s="241"/>
      <c r="K587" s="241"/>
      <c r="L587" s="241"/>
      <c r="M587" s="241"/>
      <c r="N587" s="241"/>
      <c r="O587" s="241"/>
      <c r="P587" s="241"/>
      <c r="Q587" s="241"/>
      <c r="R587" s="241"/>
      <c r="S587" s="241"/>
      <c r="T587" s="241"/>
      <c r="U587" s="241"/>
      <c r="V587" s="241"/>
      <c r="W587" s="241"/>
      <c r="X587" s="241"/>
      <c r="Y587" s="241"/>
      <c r="Z587" s="241"/>
    </row>
    <row r="588" spans="1:26" ht="13.5" customHeight="1" x14ac:dyDescent="0.3">
      <c r="A588" s="241"/>
      <c r="B588" s="241"/>
      <c r="C588" s="241"/>
      <c r="D588" s="241"/>
      <c r="E588" s="241"/>
      <c r="F588" s="241"/>
      <c r="G588" s="241"/>
      <c r="H588" s="241"/>
      <c r="I588" s="241"/>
      <c r="J588" s="241"/>
      <c r="K588" s="241"/>
      <c r="L588" s="241"/>
      <c r="M588" s="241"/>
      <c r="N588" s="241"/>
      <c r="O588" s="241"/>
      <c r="P588" s="241"/>
      <c r="Q588" s="241"/>
      <c r="R588" s="241"/>
      <c r="S588" s="241"/>
      <c r="T588" s="241"/>
      <c r="U588" s="241"/>
      <c r="V588" s="241"/>
      <c r="W588" s="241"/>
      <c r="X588" s="241"/>
      <c r="Y588" s="241"/>
      <c r="Z588" s="241"/>
    </row>
    <row r="589" spans="1:26" ht="13.5" customHeight="1" x14ac:dyDescent="0.3">
      <c r="A589" s="241"/>
      <c r="B589" s="241"/>
      <c r="C589" s="241"/>
      <c r="D589" s="241"/>
      <c r="E589" s="241"/>
      <c r="F589" s="241"/>
      <c r="G589" s="241"/>
      <c r="H589" s="241"/>
      <c r="I589" s="241"/>
      <c r="J589" s="241"/>
      <c r="K589" s="241"/>
      <c r="L589" s="241"/>
      <c r="M589" s="241"/>
      <c r="N589" s="241"/>
      <c r="O589" s="241"/>
      <c r="P589" s="241"/>
      <c r="Q589" s="241"/>
      <c r="R589" s="241"/>
      <c r="S589" s="241"/>
      <c r="T589" s="241"/>
      <c r="U589" s="241"/>
      <c r="V589" s="241"/>
      <c r="W589" s="241"/>
      <c r="X589" s="241"/>
      <c r="Y589" s="241"/>
      <c r="Z589" s="241"/>
    </row>
    <row r="590" spans="1:26" ht="13.5" customHeight="1" x14ac:dyDescent="0.3">
      <c r="A590" s="241"/>
      <c r="B590" s="241"/>
      <c r="C590" s="241"/>
      <c r="D590" s="241"/>
      <c r="E590" s="241"/>
      <c r="F590" s="241"/>
      <c r="G590" s="241"/>
      <c r="H590" s="241"/>
      <c r="I590" s="241"/>
      <c r="J590" s="241"/>
      <c r="K590" s="241"/>
      <c r="L590" s="241"/>
      <c r="M590" s="241"/>
      <c r="N590" s="241"/>
      <c r="O590" s="241"/>
      <c r="P590" s="241"/>
      <c r="Q590" s="241"/>
      <c r="R590" s="241"/>
      <c r="S590" s="241"/>
      <c r="T590" s="241"/>
      <c r="U590" s="241"/>
      <c r="V590" s="241"/>
      <c r="W590" s="241"/>
      <c r="X590" s="241"/>
      <c r="Y590" s="241"/>
      <c r="Z590" s="241"/>
    </row>
    <row r="591" spans="1:26" ht="13.5" customHeight="1" x14ac:dyDescent="0.3">
      <c r="A591" s="241"/>
      <c r="B591" s="241"/>
      <c r="C591" s="241"/>
      <c r="D591" s="241"/>
      <c r="E591" s="241"/>
      <c r="F591" s="241"/>
      <c r="G591" s="241"/>
      <c r="H591" s="241"/>
      <c r="I591" s="241"/>
      <c r="J591" s="241"/>
      <c r="K591" s="241"/>
      <c r="L591" s="241"/>
      <c r="M591" s="241"/>
      <c r="N591" s="241"/>
      <c r="O591" s="241"/>
      <c r="P591" s="241"/>
      <c r="Q591" s="241"/>
      <c r="R591" s="241"/>
      <c r="S591" s="241"/>
      <c r="T591" s="241"/>
      <c r="U591" s="241"/>
      <c r="V591" s="241"/>
      <c r="W591" s="241"/>
      <c r="X591" s="241"/>
      <c r="Y591" s="241"/>
      <c r="Z591" s="241"/>
    </row>
    <row r="592" spans="1:26" ht="13.5" customHeight="1" x14ac:dyDescent="0.3">
      <c r="A592" s="241"/>
      <c r="B592" s="241"/>
      <c r="C592" s="241"/>
      <c r="D592" s="241"/>
      <c r="E592" s="241"/>
      <c r="F592" s="241"/>
      <c r="G592" s="241"/>
      <c r="H592" s="241"/>
      <c r="I592" s="241"/>
      <c r="J592" s="241"/>
      <c r="K592" s="241"/>
      <c r="L592" s="241"/>
      <c r="M592" s="241"/>
      <c r="N592" s="241"/>
      <c r="O592" s="241"/>
      <c r="P592" s="241"/>
      <c r="Q592" s="241"/>
      <c r="R592" s="241"/>
      <c r="S592" s="241"/>
      <c r="T592" s="241"/>
      <c r="U592" s="241"/>
      <c r="V592" s="241"/>
      <c r="W592" s="241"/>
      <c r="X592" s="241"/>
      <c r="Y592" s="241"/>
      <c r="Z592" s="241"/>
    </row>
    <row r="593" spans="1:26" ht="13.5" customHeight="1" x14ac:dyDescent="0.3">
      <c r="A593" s="241"/>
      <c r="B593" s="241"/>
      <c r="C593" s="241"/>
      <c r="D593" s="241"/>
      <c r="E593" s="241"/>
      <c r="F593" s="241"/>
      <c r="G593" s="241"/>
      <c r="H593" s="241"/>
      <c r="I593" s="241"/>
      <c r="J593" s="241"/>
      <c r="K593" s="241"/>
      <c r="L593" s="241"/>
      <c r="M593" s="241"/>
      <c r="N593" s="241"/>
      <c r="O593" s="241"/>
      <c r="P593" s="241"/>
      <c r="Q593" s="241"/>
      <c r="R593" s="241"/>
      <c r="S593" s="241"/>
      <c r="T593" s="241"/>
      <c r="U593" s="241"/>
      <c r="V593" s="241"/>
      <c r="W593" s="241"/>
      <c r="X593" s="241"/>
      <c r="Y593" s="241"/>
      <c r="Z593" s="241"/>
    </row>
    <row r="594" spans="1:26" ht="13.5" customHeight="1" x14ac:dyDescent="0.3">
      <c r="A594" s="241"/>
      <c r="B594" s="241"/>
      <c r="C594" s="241"/>
      <c r="D594" s="241"/>
      <c r="E594" s="241"/>
      <c r="F594" s="241"/>
      <c r="G594" s="241"/>
      <c r="H594" s="241"/>
      <c r="I594" s="241"/>
      <c r="J594" s="241"/>
      <c r="K594" s="241"/>
      <c r="L594" s="241"/>
      <c r="M594" s="241"/>
      <c r="N594" s="241"/>
      <c r="O594" s="241"/>
      <c r="P594" s="241"/>
      <c r="Q594" s="241"/>
      <c r="R594" s="241"/>
      <c r="S594" s="241"/>
      <c r="T594" s="241"/>
      <c r="U594" s="241"/>
      <c r="V594" s="241"/>
      <c r="W594" s="241"/>
      <c r="X594" s="241"/>
      <c r="Y594" s="241"/>
      <c r="Z594" s="241"/>
    </row>
    <row r="595" spans="1:26" ht="13.5" customHeight="1" x14ac:dyDescent="0.3">
      <c r="A595" s="241"/>
      <c r="B595" s="241"/>
      <c r="C595" s="241"/>
      <c r="D595" s="241"/>
      <c r="E595" s="241"/>
      <c r="F595" s="241"/>
      <c r="G595" s="241"/>
      <c r="H595" s="241"/>
      <c r="I595" s="241"/>
      <c r="J595" s="241"/>
      <c r="K595" s="241"/>
      <c r="L595" s="241"/>
      <c r="M595" s="241"/>
      <c r="N595" s="241"/>
      <c r="O595" s="241"/>
      <c r="P595" s="241"/>
      <c r="Q595" s="241"/>
      <c r="R595" s="241"/>
      <c r="S595" s="241"/>
      <c r="T595" s="241"/>
      <c r="U595" s="241"/>
      <c r="V595" s="241"/>
      <c r="W595" s="241"/>
      <c r="X595" s="241"/>
      <c r="Y595" s="241"/>
      <c r="Z595" s="241"/>
    </row>
    <row r="596" spans="1:26" ht="13.5" customHeight="1" x14ac:dyDescent="0.3">
      <c r="A596" s="241"/>
      <c r="B596" s="241"/>
      <c r="C596" s="241"/>
      <c r="D596" s="241"/>
      <c r="E596" s="241"/>
      <c r="F596" s="241"/>
      <c r="G596" s="241"/>
      <c r="H596" s="241"/>
      <c r="I596" s="241"/>
      <c r="J596" s="241"/>
      <c r="K596" s="241"/>
      <c r="L596" s="241"/>
      <c r="M596" s="241"/>
      <c r="N596" s="241"/>
      <c r="O596" s="241"/>
      <c r="P596" s="241"/>
      <c r="Q596" s="241"/>
      <c r="R596" s="241"/>
      <c r="S596" s="241"/>
      <c r="T596" s="241"/>
      <c r="U596" s="241"/>
      <c r="V596" s="241"/>
      <c r="W596" s="241"/>
      <c r="X596" s="241"/>
      <c r="Y596" s="241"/>
      <c r="Z596" s="241"/>
    </row>
    <row r="597" spans="1:26" ht="13.5" customHeight="1" x14ac:dyDescent="0.3">
      <c r="A597" s="241"/>
      <c r="B597" s="241"/>
      <c r="C597" s="241"/>
      <c r="D597" s="241"/>
      <c r="E597" s="241"/>
      <c r="F597" s="241"/>
      <c r="G597" s="241"/>
      <c r="H597" s="241"/>
      <c r="I597" s="241"/>
      <c r="J597" s="241"/>
      <c r="K597" s="241"/>
      <c r="L597" s="241"/>
      <c r="M597" s="241"/>
      <c r="N597" s="241"/>
      <c r="O597" s="241"/>
      <c r="P597" s="241"/>
      <c r="Q597" s="241"/>
      <c r="R597" s="241"/>
      <c r="S597" s="241"/>
      <c r="T597" s="241"/>
      <c r="U597" s="241"/>
      <c r="V597" s="241"/>
      <c r="W597" s="241"/>
      <c r="X597" s="241"/>
      <c r="Y597" s="241"/>
      <c r="Z597" s="241"/>
    </row>
    <row r="598" spans="1:26" ht="13.5" customHeight="1" x14ac:dyDescent="0.3">
      <c r="A598" s="241"/>
      <c r="B598" s="241"/>
      <c r="C598" s="241"/>
      <c r="D598" s="241"/>
      <c r="E598" s="241"/>
      <c r="F598" s="241"/>
      <c r="G598" s="241"/>
      <c r="H598" s="241"/>
      <c r="I598" s="241"/>
      <c r="J598" s="241"/>
      <c r="K598" s="241"/>
      <c r="L598" s="241"/>
      <c r="M598" s="241"/>
      <c r="N598" s="241"/>
      <c r="O598" s="241"/>
      <c r="P598" s="241"/>
      <c r="Q598" s="241"/>
      <c r="R598" s="241"/>
      <c r="S598" s="241"/>
      <c r="T598" s="241"/>
      <c r="U598" s="241"/>
      <c r="V598" s="241"/>
      <c r="W598" s="241"/>
      <c r="X598" s="241"/>
      <c r="Y598" s="241"/>
      <c r="Z598" s="241"/>
    </row>
    <row r="599" spans="1:26" ht="13.5" customHeight="1" x14ac:dyDescent="0.3">
      <c r="A599" s="241"/>
      <c r="B599" s="241"/>
      <c r="C599" s="241"/>
      <c r="D599" s="241"/>
      <c r="E599" s="241"/>
      <c r="F599" s="241"/>
      <c r="G599" s="241"/>
      <c r="H599" s="241"/>
      <c r="I599" s="241"/>
      <c r="J599" s="241"/>
      <c r="K599" s="241"/>
      <c r="L599" s="241"/>
      <c r="M599" s="241"/>
      <c r="N599" s="241"/>
      <c r="O599" s="241"/>
      <c r="P599" s="241"/>
      <c r="Q599" s="241"/>
      <c r="R599" s="241"/>
      <c r="S599" s="241"/>
      <c r="T599" s="241"/>
      <c r="U599" s="241"/>
      <c r="V599" s="241"/>
      <c r="W599" s="241"/>
      <c r="X599" s="241"/>
      <c r="Y599" s="241"/>
      <c r="Z599" s="241"/>
    </row>
    <row r="600" spans="1:26" ht="13.5" customHeight="1" x14ac:dyDescent="0.3">
      <c r="A600" s="241"/>
      <c r="B600" s="241"/>
      <c r="C600" s="241"/>
      <c r="D600" s="241"/>
      <c r="E600" s="241"/>
      <c r="F600" s="241"/>
      <c r="G600" s="241"/>
      <c r="H600" s="241"/>
      <c r="I600" s="241"/>
      <c r="J600" s="241"/>
      <c r="K600" s="241"/>
      <c r="L600" s="241"/>
      <c r="M600" s="241"/>
      <c r="N600" s="241"/>
      <c r="O600" s="241"/>
      <c r="P600" s="241"/>
      <c r="Q600" s="241"/>
      <c r="R600" s="241"/>
      <c r="S600" s="241"/>
      <c r="T600" s="241"/>
      <c r="U600" s="241"/>
      <c r="V600" s="241"/>
      <c r="W600" s="241"/>
      <c r="X600" s="241"/>
      <c r="Y600" s="241"/>
      <c r="Z600" s="241"/>
    </row>
    <row r="601" spans="1:26" ht="13.5" customHeight="1" x14ac:dyDescent="0.3">
      <c r="A601" s="241"/>
      <c r="B601" s="241"/>
      <c r="C601" s="241"/>
      <c r="D601" s="241"/>
      <c r="E601" s="241"/>
      <c r="F601" s="241"/>
      <c r="G601" s="241"/>
      <c r="H601" s="241"/>
      <c r="I601" s="241"/>
      <c r="J601" s="241"/>
      <c r="K601" s="241"/>
      <c r="L601" s="241"/>
      <c r="M601" s="241"/>
      <c r="N601" s="241"/>
      <c r="O601" s="241"/>
      <c r="P601" s="241"/>
      <c r="Q601" s="241"/>
      <c r="R601" s="241"/>
      <c r="S601" s="241"/>
      <c r="T601" s="241"/>
      <c r="U601" s="241"/>
      <c r="V601" s="241"/>
      <c r="W601" s="241"/>
      <c r="X601" s="241"/>
      <c r="Y601" s="241"/>
      <c r="Z601" s="241"/>
    </row>
    <row r="602" spans="1:26" ht="13.5" customHeight="1" x14ac:dyDescent="0.3">
      <c r="A602" s="241"/>
      <c r="B602" s="241"/>
      <c r="C602" s="241"/>
      <c r="D602" s="241"/>
      <c r="E602" s="241"/>
      <c r="F602" s="241"/>
      <c r="G602" s="241"/>
      <c r="H602" s="241"/>
      <c r="I602" s="241"/>
      <c r="J602" s="241"/>
      <c r="K602" s="241"/>
      <c r="L602" s="241"/>
      <c r="M602" s="241"/>
      <c r="N602" s="241"/>
      <c r="O602" s="241"/>
      <c r="P602" s="241"/>
      <c r="Q602" s="241"/>
      <c r="R602" s="241"/>
      <c r="S602" s="241"/>
      <c r="T602" s="241"/>
      <c r="U602" s="241"/>
      <c r="V602" s="241"/>
      <c r="W602" s="241"/>
      <c r="X602" s="241"/>
      <c r="Y602" s="241"/>
      <c r="Z602" s="241"/>
    </row>
    <row r="603" spans="1:26" ht="13.5" customHeight="1" x14ac:dyDescent="0.3">
      <c r="A603" s="241"/>
      <c r="B603" s="241"/>
      <c r="C603" s="241"/>
      <c r="D603" s="241"/>
      <c r="E603" s="241"/>
      <c r="F603" s="241"/>
      <c r="G603" s="241"/>
      <c r="H603" s="241"/>
      <c r="I603" s="241"/>
      <c r="J603" s="241"/>
      <c r="K603" s="241"/>
      <c r="L603" s="241"/>
      <c r="M603" s="241"/>
      <c r="N603" s="241"/>
      <c r="O603" s="241"/>
      <c r="P603" s="241"/>
      <c r="Q603" s="241"/>
      <c r="R603" s="241"/>
      <c r="S603" s="241"/>
      <c r="T603" s="241"/>
      <c r="U603" s="241"/>
      <c r="V603" s="241"/>
      <c r="W603" s="241"/>
      <c r="X603" s="241"/>
      <c r="Y603" s="241"/>
      <c r="Z603" s="241"/>
    </row>
    <row r="604" spans="1:26" ht="13.5" customHeight="1" x14ac:dyDescent="0.3">
      <c r="A604" s="241"/>
      <c r="B604" s="241"/>
      <c r="C604" s="241"/>
      <c r="D604" s="241"/>
      <c r="E604" s="241"/>
      <c r="F604" s="241"/>
      <c r="G604" s="241"/>
      <c r="H604" s="241"/>
      <c r="I604" s="241"/>
      <c r="J604" s="241"/>
      <c r="K604" s="241"/>
      <c r="L604" s="241"/>
      <c r="M604" s="241"/>
      <c r="N604" s="241"/>
      <c r="O604" s="241"/>
      <c r="P604" s="241"/>
      <c r="Q604" s="241"/>
      <c r="R604" s="241"/>
      <c r="S604" s="241"/>
      <c r="T604" s="241"/>
      <c r="U604" s="241"/>
      <c r="V604" s="241"/>
      <c r="W604" s="241"/>
      <c r="X604" s="241"/>
      <c r="Y604" s="241"/>
      <c r="Z604" s="241"/>
    </row>
    <row r="605" spans="1:26" ht="13.5" customHeight="1" x14ac:dyDescent="0.3">
      <c r="A605" s="241"/>
      <c r="B605" s="241"/>
      <c r="C605" s="241"/>
      <c r="D605" s="241"/>
      <c r="E605" s="241"/>
      <c r="F605" s="241"/>
      <c r="G605" s="241"/>
      <c r="H605" s="241"/>
      <c r="I605" s="241"/>
      <c r="J605" s="241"/>
      <c r="K605" s="241"/>
      <c r="L605" s="241"/>
      <c r="M605" s="241"/>
      <c r="N605" s="241"/>
      <c r="O605" s="241"/>
      <c r="P605" s="241"/>
      <c r="Q605" s="241"/>
      <c r="R605" s="241"/>
      <c r="S605" s="241"/>
      <c r="T605" s="241"/>
      <c r="U605" s="241"/>
      <c r="V605" s="241"/>
      <c r="W605" s="241"/>
      <c r="X605" s="241"/>
      <c r="Y605" s="241"/>
      <c r="Z605" s="241"/>
    </row>
    <row r="606" spans="1:26" ht="13.5" customHeight="1" x14ac:dyDescent="0.3">
      <c r="A606" s="241"/>
      <c r="B606" s="241"/>
      <c r="C606" s="241"/>
      <c r="D606" s="241"/>
      <c r="E606" s="241"/>
      <c r="F606" s="241"/>
      <c r="G606" s="241"/>
      <c r="H606" s="241"/>
      <c r="I606" s="241"/>
      <c r="J606" s="241"/>
      <c r="K606" s="241"/>
      <c r="L606" s="241"/>
      <c r="M606" s="241"/>
      <c r="N606" s="241"/>
      <c r="O606" s="241"/>
      <c r="P606" s="241"/>
      <c r="Q606" s="241"/>
      <c r="R606" s="241"/>
      <c r="S606" s="241"/>
      <c r="T606" s="241"/>
      <c r="U606" s="241"/>
      <c r="V606" s="241"/>
      <c r="W606" s="241"/>
      <c r="X606" s="241"/>
      <c r="Y606" s="241"/>
      <c r="Z606" s="241"/>
    </row>
    <row r="607" spans="1:26" ht="13.5" customHeight="1" x14ac:dyDescent="0.3">
      <c r="A607" s="241"/>
      <c r="B607" s="241"/>
      <c r="C607" s="241"/>
      <c r="D607" s="241"/>
      <c r="E607" s="241"/>
      <c r="F607" s="241"/>
      <c r="G607" s="241"/>
      <c r="H607" s="241"/>
      <c r="I607" s="241"/>
      <c r="J607" s="241"/>
      <c r="K607" s="241"/>
      <c r="L607" s="241"/>
      <c r="M607" s="241"/>
      <c r="N607" s="241"/>
      <c r="O607" s="241"/>
      <c r="P607" s="241"/>
      <c r="Q607" s="241"/>
      <c r="R607" s="241"/>
      <c r="S607" s="241"/>
      <c r="T607" s="241"/>
      <c r="U607" s="241"/>
      <c r="V607" s="241"/>
      <c r="W607" s="241"/>
      <c r="X607" s="241"/>
      <c r="Y607" s="241"/>
      <c r="Z607" s="241"/>
    </row>
    <row r="608" spans="1:26" ht="13.5" customHeight="1" x14ac:dyDescent="0.3">
      <c r="A608" s="241"/>
      <c r="B608" s="241"/>
      <c r="C608" s="241"/>
      <c r="D608" s="241"/>
      <c r="E608" s="241"/>
      <c r="F608" s="241"/>
      <c r="G608" s="241"/>
      <c r="H608" s="241"/>
      <c r="I608" s="241"/>
      <c r="J608" s="241"/>
      <c r="K608" s="241"/>
      <c r="L608" s="241"/>
      <c r="M608" s="241"/>
      <c r="N608" s="241"/>
      <c r="O608" s="241"/>
      <c r="P608" s="241"/>
      <c r="Q608" s="241"/>
      <c r="R608" s="241"/>
      <c r="S608" s="241"/>
      <c r="T608" s="241"/>
      <c r="U608" s="241"/>
      <c r="V608" s="241"/>
      <c r="W608" s="241"/>
      <c r="X608" s="241"/>
      <c r="Y608" s="241"/>
      <c r="Z608" s="241"/>
    </row>
    <row r="609" spans="1:26" ht="13.5" customHeight="1" x14ac:dyDescent="0.3">
      <c r="A609" s="241"/>
      <c r="B609" s="241"/>
      <c r="C609" s="241"/>
      <c r="D609" s="241"/>
      <c r="E609" s="241"/>
      <c r="F609" s="241"/>
      <c r="G609" s="241"/>
      <c r="H609" s="241"/>
      <c r="I609" s="241"/>
      <c r="J609" s="241"/>
      <c r="K609" s="241"/>
      <c r="L609" s="241"/>
      <c r="M609" s="241"/>
      <c r="N609" s="241"/>
      <c r="O609" s="241"/>
      <c r="P609" s="241"/>
      <c r="Q609" s="241"/>
      <c r="R609" s="241"/>
      <c r="S609" s="241"/>
      <c r="T609" s="241"/>
      <c r="U609" s="241"/>
      <c r="V609" s="241"/>
      <c r="W609" s="241"/>
      <c r="X609" s="241"/>
      <c r="Y609" s="241"/>
      <c r="Z609" s="241"/>
    </row>
    <row r="610" spans="1:26" ht="13.5" customHeight="1" x14ac:dyDescent="0.3">
      <c r="A610" s="241"/>
      <c r="B610" s="241"/>
      <c r="C610" s="241"/>
      <c r="D610" s="241"/>
      <c r="E610" s="241"/>
      <c r="F610" s="241"/>
      <c r="G610" s="241"/>
      <c r="H610" s="241"/>
      <c r="I610" s="241"/>
      <c r="J610" s="241"/>
      <c r="K610" s="241"/>
      <c r="L610" s="241"/>
      <c r="M610" s="241"/>
      <c r="N610" s="241"/>
      <c r="O610" s="241"/>
      <c r="P610" s="241"/>
      <c r="Q610" s="241"/>
      <c r="R610" s="241"/>
      <c r="S610" s="241"/>
      <c r="T610" s="241"/>
      <c r="U610" s="241"/>
      <c r="V610" s="241"/>
      <c r="W610" s="241"/>
      <c r="X610" s="241"/>
      <c r="Y610" s="241"/>
      <c r="Z610" s="241"/>
    </row>
    <row r="611" spans="1:26" ht="13.5" customHeight="1" x14ac:dyDescent="0.3">
      <c r="A611" s="241"/>
      <c r="B611" s="241"/>
      <c r="C611" s="241"/>
      <c r="D611" s="241"/>
      <c r="E611" s="241"/>
      <c r="F611" s="241"/>
      <c r="G611" s="241"/>
      <c r="H611" s="241"/>
      <c r="I611" s="241"/>
      <c r="J611" s="241"/>
      <c r="K611" s="241"/>
      <c r="L611" s="241"/>
      <c r="M611" s="241"/>
      <c r="N611" s="241"/>
      <c r="O611" s="241"/>
      <c r="P611" s="241"/>
      <c r="Q611" s="241"/>
      <c r="R611" s="241"/>
      <c r="S611" s="241"/>
      <c r="T611" s="241"/>
      <c r="U611" s="241"/>
      <c r="V611" s="241"/>
      <c r="W611" s="241"/>
      <c r="X611" s="241"/>
      <c r="Y611" s="241"/>
      <c r="Z611" s="241"/>
    </row>
    <row r="612" spans="1:26" ht="13.5" customHeight="1" x14ac:dyDescent="0.3">
      <c r="A612" s="241"/>
      <c r="B612" s="241"/>
      <c r="C612" s="241"/>
      <c r="D612" s="241"/>
      <c r="E612" s="241"/>
      <c r="F612" s="241"/>
      <c r="G612" s="241"/>
      <c r="H612" s="241"/>
      <c r="I612" s="241"/>
      <c r="J612" s="241"/>
      <c r="K612" s="241"/>
      <c r="L612" s="241"/>
      <c r="M612" s="241"/>
      <c r="N612" s="241"/>
      <c r="O612" s="241"/>
      <c r="P612" s="241"/>
      <c r="Q612" s="241"/>
      <c r="R612" s="241"/>
      <c r="S612" s="241"/>
      <c r="T612" s="241"/>
      <c r="U612" s="241"/>
      <c r="V612" s="241"/>
      <c r="W612" s="241"/>
      <c r="X612" s="241"/>
      <c r="Y612" s="241"/>
      <c r="Z612" s="241"/>
    </row>
    <row r="613" spans="1:26" ht="13.5" customHeight="1" x14ac:dyDescent="0.3">
      <c r="A613" s="241"/>
      <c r="B613" s="241"/>
      <c r="C613" s="241"/>
      <c r="D613" s="241"/>
      <c r="E613" s="241"/>
      <c r="F613" s="241"/>
      <c r="G613" s="241"/>
      <c r="H613" s="241"/>
      <c r="I613" s="241"/>
      <c r="J613" s="241"/>
      <c r="K613" s="241"/>
      <c r="L613" s="241"/>
      <c r="M613" s="241"/>
      <c r="N613" s="241"/>
      <c r="O613" s="241"/>
      <c r="P613" s="241"/>
      <c r="Q613" s="241"/>
      <c r="R613" s="241"/>
      <c r="S613" s="241"/>
      <c r="T613" s="241"/>
      <c r="U613" s="241"/>
      <c r="V613" s="241"/>
      <c r="W613" s="241"/>
      <c r="X613" s="241"/>
      <c r="Y613" s="241"/>
      <c r="Z613" s="241"/>
    </row>
    <row r="614" spans="1:26" ht="13.5" customHeight="1" x14ac:dyDescent="0.3">
      <c r="A614" s="241"/>
      <c r="B614" s="241"/>
      <c r="C614" s="241"/>
      <c r="D614" s="241"/>
      <c r="E614" s="241"/>
      <c r="F614" s="241"/>
      <c r="G614" s="241"/>
      <c r="H614" s="241"/>
      <c r="I614" s="241"/>
      <c r="J614" s="241"/>
      <c r="K614" s="241"/>
      <c r="L614" s="241"/>
      <c r="M614" s="241"/>
      <c r="N614" s="241"/>
      <c r="O614" s="241"/>
      <c r="P614" s="241"/>
      <c r="Q614" s="241"/>
      <c r="R614" s="241"/>
      <c r="S614" s="241"/>
      <c r="T614" s="241"/>
      <c r="U614" s="241"/>
      <c r="V614" s="241"/>
      <c r="W614" s="241"/>
      <c r="X614" s="241"/>
      <c r="Y614" s="241"/>
      <c r="Z614" s="241"/>
    </row>
    <row r="615" spans="1:26" ht="13.5" customHeight="1" x14ac:dyDescent="0.3">
      <c r="A615" s="241"/>
      <c r="B615" s="241"/>
      <c r="C615" s="241"/>
      <c r="D615" s="241"/>
      <c r="E615" s="241"/>
      <c r="F615" s="241"/>
      <c r="G615" s="241"/>
      <c r="H615" s="241"/>
      <c r="I615" s="241"/>
      <c r="J615" s="241"/>
      <c r="K615" s="241"/>
      <c r="L615" s="241"/>
      <c r="M615" s="241"/>
      <c r="N615" s="241"/>
      <c r="O615" s="241"/>
      <c r="P615" s="241"/>
      <c r="Q615" s="241"/>
      <c r="R615" s="241"/>
      <c r="S615" s="241"/>
      <c r="T615" s="241"/>
      <c r="U615" s="241"/>
      <c r="V615" s="241"/>
      <c r="W615" s="241"/>
      <c r="X615" s="241"/>
      <c r="Y615" s="241"/>
      <c r="Z615" s="241"/>
    </row>
    <row r="616" spans="1:26" ht="13.5" customHeight="1" x14ac:dyDescent="0.3">
      <c r="A616" s="241"/>
      <c r="B616" s="241"/>
      <c r="C616" s="241"/>
      <c r="D616" s="241"/>
      <c r="E616" s="241"/>
      <c r="F616" s="241"/>
      <c r="G616" s="241"/>
      <c r="H616" s="241"/>
      <c r="I616" s="241"/>
      <c r="J616" s="241"/>
      <c r="K616" s="241"/>
      <c r="L616" s="241"/>
      <c r="M616" s="241"/>
      <c r="N616" s="241"/>
      <c r="O616" s="241"/>
      <c r="P616" s="241"/>
      <c r="Q616" s="241"/>
      <c r="R616" s="241"/>
      <c r="S616" s="241"/>
      <c r="T616" s="241"/>
      <c r="U616" s="241"/>
      <c r="V616" s="241"/>
      <c r="W616" s="241"/>
      <c r="X616" s="241"/>
      <c r="Y616" s="241"/>
      <c r="Z616" s="241"/>
    </row>
    <row r="617" spans="1:26" ht="13.5" customHeight="1" x14ac:dyDescent="0.3">
      <c r="A617" s="241"/>
      <c r="B617" s="241"/>
      <c r="C617" s="241"/>
      <c r="D617" s="241"/>
      <c r="E617" s="241"/>
      <c r="F617" s="241"/>
      <c r="G617" s="241"/>
      <c r="H617" s="241"/>
      <c r="I617" s="241"/>
      <c r="J617" s="241"/>
      <c r="K617" s="241"/>
      <c r="L617" s="241"/>
      <c r="M617" s="241"/>
      <c r="N617" s="241"/>
      <c r="O617" s="241"/>
      <c r="P617" s="241"/>
      <c r="Q617" s="241"/>
      <c r="R617" s="241"/>
      <c r="S617" s="241"/>
      <c r="T617" s="241"/>
      <c r="U617" s="241"/>
      <c r="V617" s="241"/>
      <c r="W617" s="241"/>
      <c r="X617" s="241"/>
      <c r="Y617" s="241"/>
      <c r="Z617" s="241"/>
    </row>
    <row r="618" spans="1:26" ht="13.5" customHeight="1" x14ac:dyDescent="0.3">
      <c r="A618" s="241"/>
      <c r="B618" s="241"/>
      <c r="C618" s="241"/>
      <c r="D618" s="241"/>
      <c r="E618" s="241"/>
      <c r="F618" s="241"/>
      <c r="G618" s="241"/>
      <c r="H618" s="241"/>
      <c r="I618" s="241"/>
      <c r="J618" s="241"/>
      <c r="K618" s="241"/>
      <c r="L618" s="241"/>
      <c r="M618" s="241"/>
      <c r="N618" s="241"/>
      <c r="O618" s="241"/>
      <c r="P618" s="241"/>
      <c r="Q618" s="241"/>
      <c r="R618" s="241"/>
      <c r="S618" s="241"/>
      <c r="T618" s="241"/>
      <c r="U618" s="241"/>
      <c r="V618" s="241"/>
      <c r="W618" s="241"/>
      <c r="X618" s="241"/>
      <c r="Y618" s="241"/>
      <c r="Z618" s="241"/>
    </row>
    <row r="619" spans="1:26" ht="13.5" customHeight="1" x14ac:dyDescent="0.3">
      <c r="A619" s="241"/>
      <c r="B619" s="241"/>
      <c r="C619" s="241"/>
      <c r="D619" s="241"/>
      <c r="E619" s="241"/>
      <c r="F619" s="241"/>
      <c r="G619" s="241"/>
      <c r="H619" s="241"/>
      <c r="I619" s="241"/>
      <c r="J619" s="241"/>
      <c r="K619" s="241"/>
      <c r="L619" s="241"/>
      <c r="M619" s="241"/>
      <c r="N619" s="241"/>
      <c r="O619" s="241"/>
      <c r="P619" s="241"/>
      <c r="Q619" s="241"/>
      <c r="R619" s="241"/>
      <c r="S619" s="241"/>
      <c r="T619" s="241"/>
      <c r="U619" s="241"/>
      <c r="V619" s="241"/>
      <c r="W619" s="241"/>
      <c r="X619" s="241"/>
      <c r="Y619" s="241"/>
      <c r="Z619" s="241"/>
    </row>
    <row r="620" spans="1:26" ht="13.5" customHeight="1" x14ac:dyDescent="0.3">
      <c r="A620" s="241"/>
      <c r="B620" s="241"/>
      <c r="C620" s="241"/>
      <c r="D620" s="241"/>
      <c r="E620" s="241"/>
      <c r="F620" s="241"/>
      <c r="G620" s="241"/>
      <c r="H620" s="241"/>
      <c r="I620" s="241"/>
      <c r="J620" s="241"/>
      <c r="K620" s="241"/>
      <c r="L620" s="241"/>
      <c r="M620" s="241"/>
      <c r="N620" s="241"/>
      <c r="O620" s="241"/>
      <c r="P620" s="241"/>
      <c r="Q620" s="241"/>
      <c r="R620" s="241"/>
      <c r="S620" s="241"/>
      <c r="T620" s="241"/>
      <c r="U620" s="241"/>
      <c r="V620" s="241"/>
      <c r="W620" s="241"/>
      <c r="X620" s="241"/>
      <c r="Y620" s="241"/>
      <c r="Z620" s="241"/>
    </row>
    <row r="621" spans="1:26" ht="13.5" customHeight="1" x14ac:dyDescent="0.3">
      <c r="A621" s="241"/>
      <c r="B621" s="241"/>
      <c r="C621" s="241"/>
      <c r="D621" s="241"/>
      <c r="E621" s="241"/>
      <c r="F621" s="241"/>
      <c r="G621" s="241"/>
      <c r="H621" s="241"/>
      <c r="I621" s="241"/>
      <c r="J621" s="241"/>
      <c r="K621" s="241"/>
      <c r="L621" s="241"/>
      <c r="M621" s="241"/>
      <c r="N621" s="241"/>
      <c r="O621" s="241"/>
      <c r="P621" s="241"/>
      <c r="Q621" s="241"/>
      <c r="R621" s="241"/>
      <c r="S621" s="241"/>
      <c r="T621" s="241"/>
      <c r="U621" s="241"/>
      <c r="V621" s="241"/>
      <c r="W621" s="241"/>
      <c r="X621" s="241"/>
      <c r="Y621" s="241"/>
      <c r="Z621" s="241"/>
    </row>
    <row r="622" spans="1:26" ht="13.5" customHeight="1" x14ac:dyDescent="0.3">
      <c r="A622" s="241"/>
      <c r="B622" s="241"/>
      <c r="C622" s="241"/>
      <c r="D622" s="241"/>
      <c r="E622" s="241"/>
      <c r="F622" s="241"/>
      <c r="G622" s="241"/>
      <c r="H622" s="241"/>
      <c r="I622" s="241"/>
      <c r="J622" s="241"/>
      <c r="K622" s="241"/>
      <c r="L622" s="241"/>
      <c r="M622" s="241"/>
      <c r="N622" s="241"/>
      <c r="O622" s="241"/>
      <c r="P622" s="241"/>
      <c r="Q622" s="241"/>
      <c r="R622" s="241"/>
      <c r="S622" s="241"/>
      <c r="T622" s="241"/>
      <c r="U622" s="241"/>
      <c r="V622" s="241"/>
      <c r="W622" s="241"/>
      <c r="X622" s="241"/>
      <c r="Y622" s="241"/>
      <c r="Z622" s="241"/>
    </row>
    <row r="623" spans="1:26" ht="13.5" customHeight="1" x14ac:dyDescent="0.3">
      <c r="A623" s="241"/>
      <c r="B623" s="241"/>
      <c r="C623" s="241"/>
      <c r="D623" s="241"/>
      <c r="E623" s="241"/>
      <c r="F623" s="241"/>
      <c r="G623" s="241"/>
      <c r="H623" s="241"/>
      <c r="I623" s="241"/>
      <c r="J623" s="241"/>
      <c r="K623" s="241"/>
      <c r="L623" s="241"/>
      <c r="M623" s="241"/>
      <c r="N623" s="241"/>
      <c r="O623" s="241"/>
      <c r="P623" s="241"/>
      <c r="Q623" s="241"/>
      <c r="R623" s="241"/>
      <c r="S623" s="241"/>
      <c r="T623" s="241"/>
      <c r="U623" s="241"/>
      <c r="V623" s="241"/>
      <c r="W623" s="241"/>
      <c r="X623" s="241"/>
      <c r="Y623" s="241"/>
      <c r="Z623" s="241"/>
    </row>
    <row r="624" spans="1:26" ht="13.5" customHeight="1" x14ac:dyDescent="0.3">
      <c r="A624" s="241"/>
      <c r="B624" s="241"/>
      <c r="C624" s="241"/>
      <c r="D624" s="241"/>
      <c r="E624" s="241"/>
      <c r="F624" s="241"/>
      <c r="G624" s="241"/>
      <c r="H624" s="241"/>
      <c r="I624" s="241"/>
      <c r="J624" s="241"/>
      <c r="K624" s="241"/>
      <c r="L624" s="241"/>
      <c r="M624" s="241"/>
      <c r="N624" s="241"/>
      <c r="O624" s="241"/>
      <c r="P624" s="241"/>
      <c r="Q624" s="241"/>
      <c r="R624" s="241"/>
      <c r="S624" s="241"/>
      <c r="T624" s="241"/>
      <c r="U624" s="241"/>
      <c r="V624" s="241"/>
      <c r="W624" s="241"/>
      <c r="X624" s="241"/>
      <c r="Y624" s="241"/>
      <c r="Z624" s="241"/>
    </row>
    <row r="625" spans="1:26" ht="13.5" customHeight="1" x14ac:dyDescent="0.3">
      <c r="A625" s="241"/>
      <c r="B625" s="241"/>
      <c r="C625" s="241"/>
      <c r="D625" s="241"/>
      <c r="E625" s="241"/>
      <c r="F625" s="241"/>
      <c r="G625" s="241"/>
      <c r="H625" s="241"/>
      <c r="I625" s="241"/>
      <c r="J625" s="241"/>
      <c r="K625" s="241"/>
      <c r="L625" s="241"/>
      <c r="M625" s="241"/>
      <c r="N625" s="241"/>
      <c r="O625" s="241"/>
      <c r="P625" s="241"/>
      <c r="Q625" s="241"/>
      <c r="R625" s="241"/>
      <c r="S625" s="241"/>
      <c r="T625" s="241"/>
      <c r="U625" s="241"/>
      <c r="V625" s="241"/>
      <c r="W625" s="241"/>
      <c r="X625" s="241"/>
      <c r="Y625" s="241"/>
      <c r="Z625" s="241"/>
    </row>
    <row r="626" spans="1:26" ht="13.5" customHeight="1" x14ac:dyDescent="0.3">
      <c r="A626" s="241"/>
      <c r="B626" s="241"/>
      <c r="C626" s="241"/>
      <c r="D626" s="241"/>
      <c r="E626" s="241"/>
      <c r="F626" s="241"/>
      <c r="G626" s="241"/>
      <c r="H626" s="241"/>
      <c r="I626" s="241"/>
      <c r="J626" s="241"/>
      <c r="K626" s="241"/>
      <c r="L626" s="241"/>
      <c r="M626" s="241"/>
      <c r="N626" s="241"/>
      <c r="O626" s="241"/>
      <c r="P626" s="241"/>
      <c r="Q626" s="241"/>
      <c r="R626" s="241"/>
      <c r="S626" s="241"/>
      <c r="T626" s="241"/>
      <c r="U626" s="241"/>
      <c r="V626" s="241"/>
      <c r="W626" s="241"/>
      <c r="X626" s="241"/>
      <c r="Y626" s="241"/>
      <c r="Z626" s="241"/>
    </row>
    <row r="627" spans="1:26" ht="13.5" customHeight="1" x14ac:dyDescent="0.3">
      <c r="A627" s="241"/>
      <c r="B627" s="241"/>
      <c r="C627" s="241"/>
      <c r="D627" s="241"/>
      <c r="E627" s="241"/>
      <c r="F627" s="241"/>
      <c r="G627" s="241"/>
      <c r="H627" s="241"/>
      <c r="I627" s="241"/>
      <c r="J627" s="241"/>
      <c r="K627" s="241"/>
      <c r="L627" s="241"/>
      <c r="M627" s="241"/>
      <c r="N627" s="241"/>
      <c r="O627" s="241"/>
      <c r="P627" s="241"/>
      <c r="Q627" s="241"/>
      <c r="R627" s="241"/>
      <c r="S627" s="241"/>
      <c r="T627" s="241"/>
      <c r="U627" s="241"/>
      <c r="V627" s="241"/>
      <c r="W627" s="241"/>
      <c r="X627" s="241"/>
      <c r="Y627" s="241"/>
      <c r="Z627" s="241"/>
    </row>
    <row r="628" spans="1:26" ht="13.5" customHeight="1" x14ac:dyDescent="0.3">
      <c r="A628" s="241"/>
      <c r="B628" s="241"/>
      <c r="C628" s="241"/>
      <c r="D628" s="241"/>
      <c r="E628" s="241"/>
      <c r="F628" s="241"/>
      <c r="G628" s="241"/>
      <c r="H628" s="241"/>
      <c r="I628" s="241"/>
      <c r="J628" s="241"/>
      <c r="K628" s="241"/>
      <c r="L628" s="241"/>
      <c r="M628" s="241"/>
      <c r="N628" s="241"/>
      <c r="O628" s="241"/>
      <c r="P628" s="241"/>
      <c r="Q628" s="241"/>
      <c r="R628" s="241"/>
      <c r="S628" s="241"/>
      <c r="T628" s="241"/>
      <c r="U628" s="241"/>
      <c r="V628" s="241"/>
      <c r="W628" s="241"/>
      <c r="X628" s="241"/>
      <c r="Y628" s="241"/>
      <c r="Z628" s="241"/>
    </row>
    <row r="629" spans="1:26" ht="13.5" customHeight="1" x14ac:dyDescent="0.3">
      <c r="A629" s="241"/>
      <c r="B629" s="241"/>
      <c r="C629" s="241"/>
      <c r="D629" s="241"/>
      <c r="E629" s="241"/>
      <c r="F629" s="241"/>
      <c r="G629" s="241"/>
      <c r="H629" s="241"/>
      <c r="I629" s="241"/>
      <c r="J629" s="241"/>
      <c r="K629" s="241"/>
      <c r="L629" s="241"/>
      <c r="M629" s="241"/>
      <c r="N629" s="241"/>
      <c r="O629" s="241"/>
      <c r="P629" s="241"/>
      <c r="Q629" s="241"/>
      <c r="R629" s="241"/>
      <c r="S629" s="241"/>
      <c r="T629" s="241"/>
      <c r="U629" s="241"/>
      <c r="V629" s="241"/>
      <c r="W629" s="241"/>
      <c r="X629" s="241"/>
      <c r="Y629" s="241"/>
      <c r="Z629" s="241"/>
    </row>
    <row r="630" spans="1:26" ht="13.5" customHeight="1" x14ac:dyDescent="0.3">
      <c r="A630" s="241"/>
      <c r="B630" s="241"/>
      <c r="C630" s="241"/>
      <c r="D630" s="241"/>
      <c r="E630" s="241"/>
      <c r="F630" s="241"/>
      <c r="G630" s="241"/>
      <c r="H630" s="241"/>
      <c r="I630" s="241"/>
      <c r="J630" s="241"/>
      <c r="K630" s="241"/>
      <c r="L630" s="241"/>
      <c r="M630" s="241"/>
      <c r="N630" s="241"/>
      <c r="O630" s="241"/>
      <c r="P630" s="241"/>
      <c r="Q630" s="241"/>
      <c r="R630" s="241"/>
      <c r="S630" s="241"/>
      <c r="T630" s="241"/>
      <c r="U630" s="241"/>
      <c r="V630" s="241"/>
      <c r="W630" s="241"/>
      <c r="X630" s="241"/>
      <c r="Y630" s="241"/>
      <c r="Z630" s="241"/>
    </row>
    <row r="631" spans="1:26" ht="13.5" customHeight="1" x14ac:dyDescent="0.3">
      <c r="A631" s="241"/>
      <c r="B631" s="241"/>
      <c r="C631" s="241"/>
      <c r="D631" s="241"/>
      <c r="E631" s="241"/>
      <c r="F631" s="241"/>
      <c r="G631" s="241"/>
      <c r="H631" s="241"/>
      <c r="I631" s="241"/>
      <c r="J631" s="241"/>
      <c r="K631" s="241"/>
      <c r="L631" s="241"/>
      <c r="M631" s="241"/>
      <c r="N631" s="241"/>
      <c r="O631" s="241"/>
      <c r="P631" s="241"/>
      <c r="Q631" s="241"/>
      <c r="R631" s="241"/>
      <c r="S631" s="241"/>
      <c r="T631" s="241"/>
      <c r="U631" s="241"/>
      <c r="V631" s="241"/>
      <c r="W631" s="241"/>
      <c r="X631" s="241"/>
      <c r="Y631" s="241"/>
      <c r="Z631" s="241"/>
    </row>
    <row r="632" spans="1:26" ht="13.5" customHeight="1" x14ac:dyDescent="0.3">
      <c r="A632" s="241"/>
      <c r="B632" s="241"/>
      <c r="C632" s="241"/>
      <c r="D632" s="241"/>
      <c r="E632" s="241"/>
      <c r="F632" s="241"/>
      <c r="G632" s="241"/>
      <c r="H632" s="241"/>
      <c r="I632" s="241"/>
      <c r="J632" s="241"/>
      <c r="K632" s="241"/>
      <c r="L632" s="241"/>
      <c r="M632" s="241"/>
      <c r="N632" s="241"/>
      <c r="O632" s="241"/>
      <c r="P632" s="241"/>
      <c r="Q632" s="241"/>
      <c r="R632" s="241"/>
      <c r="S632" s="241"/>
      <c r="T632" s="241"/>
      <c r="U632" s="241"/>
      <c r="V632" s="241"/>
      <c r="W632" s="241"/>
      <c r="X632" s="241"/>
      <c r="Y632" s="241"/>
      <c r="Z632" s="241"/>
    </row>
    <row r="633" spans="1:26" ht="13.5" customHeight="1" x14ac:dyDescent="0.3">
      <c r="A633" s="241"/>
      <c r="B633" s="241"/>
      <c r="C633" s="241"/>
      <c r="D633" s="241"/>
      <c r="E633" s="241"/>
      <c r="F633" s="241"/>
      <c r="G633" s="241"/>
      <c r="H633" s="241"/>
      <c r="I633" s="241"/>
      <c r="J633" s="241"/>
      <c r="K633" s="241"/>
      <c r="L633" s="241"/>
      <c r="M633" s="241"/>
      <c r="N633" s="241"/>
      <c r="O633" s="241"/>
      <c r="P633" s="241"/>
      <c r="Q633" s="241"/>
      <c r="R633" s="241"/>
      <c r="S633" s="241"/>
      <c r="T633" s="241"/>
      <c r="U633" s="241"/>
      <c r="V633" s="241"/>
      <c r="W633" s="241"/>
      <c r="X633" s="241"/>
      <c r="Y633" s="241"/>
      <c r="Z633" s="241"/>
    </row>
    <row r="634" spans="1:26" ht="13.5" customHeight="1" x14ac:dyDescent="0.3">
      <c r="A634" s="241"/>
      <c r="B634" s="241"/>
      <c r="C634" s="241"/>
      <c r="D634" s="241"/>
      <c r="E634" s="241"/>
      <c r="F634" s="241"/>
      <c r="G634" s="241"/>
      <c r="H634" s="241"/>
      <c r="I634" s="241"/>
      <c r="J634" s="241"/>
      <c r="K634" s="241"/>
      <c r="L634" s="241"/>
      <c r="M634" s="241"/>
      <c r="N634" s="241"/>
      <c r="O634" s="241"/>
      <c r="P634" s="241"/>
      <c r="Q634" s="241"/>
      <c r="R634" s="241"/>
      <c r="S634" s="241"/>
      <c r="T634" s="241"/>
      <c r="U634" s="241"/>
      <c r="V634" s="241"/>
      <c r="W634" s="241"/>
      <c r="X634" s="241"/>
      <c r="Y634" s="241"/>
      <c r="Z634" s="241"/>
    </row>
    <row r="635" spans="1:26" ht="13.5" customHeight="1" x14ac:dyDescent="0.3">
      <c r="A635" s="241"/>
      <c r="B635" s="241"/>
      <c r="C635" s="241"/>
      <c r="D635" s="241"/>
      <c r="E635" s="241"/>
      <c r="F635" s="241"/>
      <c r="G635" s="241"/>
      <c r="H635" s="241"/>
      <c r="I635" s="241"/>
      <c r="J635" s="241"/>
      <c r="K635" s="241"/>
      <c r="L635" s="241"/>
      <c r="M635" s="241"/>
      <c r="N635" s="241"/>
      <c r="O635" s="241"/>
      <c r="P635" s="241"/>
      <c r="Q635" s="241"/>
      <c r="R635" s="241"/>
      <c r="S635" s="241"/>
      <c r="T635" s="241"/>
      <c r="U635" s="241"/>
      <c r="V635" s="241"/>
      <c r="W635" s="241"/>
      <c r="X635" s="241"/>
      <c r="Y635" s="241"/>
      <c r="Z635" s="241"/>
    </row>
    <row r="636" spans="1:26" ht="13.5" customHeight="1" x14ac:dyDescent="0.3">
      <c r="A636" s="241"/>
      <c r="B636" s="241"/>
      <c r="C636" s="241"/>
      <c r="D636" s="241"/>
      <c r="E636" s="241"/>
      <c r="F636" s="241"/>
      <c r="G636" s="241"/>
      <c r="H636" s="241"/>
      <c r="I636" s="241"/>
      <c r="J636" s="241"/>
      <c r="K636" s="241"/>
      <c r="L636" s="241"/>
      <c r="M636" s="241"/>
      <c r="N636" s="241"/>
      <c r="O636" s="241"/>
      <c r="P636" s="241"/>
      <c r="Q636" s="241"/>
      <c r="R636" s="241"/>
      <c r="S636" s="241"/>
      <c r="T636" s="241"/>
      <c r="U636" s="241"/>
      <c r="V636" s="241"/>
      <c r="W636" s="241"/>
      <c r="X636" s="241"/>
      <c r="Y636" s="241"/>
      <c r="Z636" s="241"/>
    </row>
    <row r="637" spans="1:26" ht="13.5" customHeight="1" x14ac:dyDescent="0.3">
      <c r="A637" s="241"/>
      <c r="B637" s="241"/>
      <c r="C637" s="241"/>
      <c r="D637" s="241"/>
      <c r="E637" s="241"/>
      <c r="F637" s="241"/>
      <c r="G637" s="241"/>
      <c r="H637" s="241"/>
      <c r="I637" s="241"/>
      <c r="J637" s="241"/>
      <c r="K637" s="241"/>
      <c r="L637" s="241"/>
      <c r="M637" s="241"/>
      <c r="N637" s="241"/>
      <c r="O637" s="241"/>
      <c r="P637" s="241"/>
      <c r="Q637" s="241"/>
      <c r="R637" s="241"/>
      <c r="S637" s="241"/>
      <c r="T637" s="241"/>
      <c r="U637" s="241"/>
      <c r="V637" s="241"/>
      <c r="W637" s="241"/>
      <c r="X637" s="241"/>
      <c r="Y637" s="241"/>
      <c r="Z637" s="241"/>
    </row>
    <row r="638" spans="1:26" ht="13.5" customHeight="1" x14ac:dyDescent="0.3">
      <c r="A638" s="241"/>
      <c r="B638" s="241"/>
      <c r="C638" s="241"/>
      <c r="D638" s="241"/>
      <c r="E638" s="241"/>
      <c r="F638" s="241"/>
      <c r="G638" s="241"/>
      <c r="H638" s="241"/>
      <c r="I638" s="241"/>
      <c r="J638" s="241"/>
      <c r="K638" s="241"/>
      <c r="L638" s="241"/>
      <c r="M638" s="241"/>
      <c r="N638" s="241"/>
      <c r="O638" s="241"/>
      <c r="P638" s="241"/>
      <c r="Q638" s="241"/>
      <c r="R638" s="241"/>
      <c r="S638" s="241"/>
      <c r="T638" s="241"/>
      <c r="U638" s="241"/>
      <c r="V638" s="241"/>
      <c r="W638" s="241"/>
      <c r="X638" s="241"/>
      <c r="Y638" s="241"/>
      <c r="Z638" s="241"/>
    </row>
    <row r="639" spans="1:26" ht="13.5" customHeight="1" x14ac:dyDescent="0.3">
      <c r="A639" s="241"/>
      <c r="B639" s="241"/>
      <c r="C639" s="241"/>
      <c r="D639" s="241"/>
      <c r="E639" s="241"/>
      <c r="F639" s="241"/>
      <c r="G639" s="241"/>
      <c r="H639" s="241"/>
      <c r="I639" s="241"/>
      <c r="J639" s="241"/>
      <c r="K639" s="241"/>
      <c r="L639" s="241"/>
      <c r="M639" s="241"/>
      <c r="N639" s="241"/>
      <c r="O639" s="241"/>
      <c r="P639" s="241"/>
      <c r="Q639" s="241"/>
      <c r="R639" s="241"/>
      <c r="S639" s="241"/>
      <c r="T639" s="241"/>
      <c r="U639" s="241"/>
      <c r="V639" s="241"/>
      <c r="W639" s="241"/>
      <c r="X639" s="241"/>
      <c r="Y639" s="241"/>
      <c r="Z639" s="241"/>
    </row>
    <row r="640" spans="1:26" ht="13.5" customHeight="1" x14ac:dyDescent="0.3">
      <c r="A640" s="241"/>
      <c r="B640" s="241"/>
      <c r="C640" s="241"/>
      <c r="D640" s="241"/>
      <c r="E640" s="241"/>
      <c r="F640" s="241"/>
      <c r="G640" s="241"/>
      <c r="H640" s="241"/>
      <c r="I640" s="241"/>
      <c r="J640" s="241"/>
      <c r="K640" s="241"/>
      <c r="L640" s="241"/>
      <c r="M640" s="241"/>
      <c r="N640" s="241"/>
      <c r="O640" s="241"/>
      <c r="P640" s="241"/>
      <c r="Q640" s="241"/>
      <c r="R640" s="241"/>
      <c r="S640" s="241"/>
      <c r="T640" s="241"/>
      <c r="U640" s="241"/>
      <c r="V640" s="241"/>
      <c r="W640" s="241"/>
      <c r="X640" s="241"/>
      <c r="Y640" s="241"/>
      <c r="Z640" s="241"/>
    </row>
    <row r="641" spans="1:26" ht="13.5" customHeight="1" x14ac:dyDescent="0.3">
      <c r="A641" s="241"/>
      <c r="B641" s="241"/>
      <c r="C641" s="241"/>
      <c r="D641" s="241"/>
      <c r="E641" s="241"/>
      <c r="F641" s="241"/>
      <c r="G641" s="241"/>
      <c r="H641" s="241"/>
      <c r="I641" s="241"/>
      <c r="J641" s="241"/>
      <c r="K641" s="241"/>
      <c r="L641" s="241"/>
      <c r="M641" s="241"/>
      <c r="N641" s="241"/>
      <c r="O641" s="241"/>
      <c r="P641" s="241"/>
      <c r="Q641" s="241"/>
      <c r="R641" s="241"/>
      <c r="S641" s="241"/>
      <c r="T641" s="241"/>
      <c r="U641" s="241"/>
      <c r="V641" s="241"/>
      <c r="W641" s="241"/>
      <c r="X641" s="241"/>
      <c r="Y641" s="241"/>
      <c r="Z641" s="241"/>
    </row>
    <row r="642" spans="1:26" ht="13.5" customHeight="1" x14ac:dyDescent="0.3">
      <c r="A642" s="241"/>
      <c r="B642" s="241"/>
      <c r="C642" s="241"/>
      <c r="D642" s="241"/>
      <c r="E642" s="241"/>
      <c r="F642" s="241"/>
      <c r="G642" s="241"/>
      <c r="H642" s="241"/>
      <c r="I642" s="241"/>
      <c r="J642" s="241"/>
      <c r="K642" s="241"/>
      <c r="L642" s="241"/>
      <c r="M642" s="241"/>
      <c r="N642" s="241"/>
      <c r="O642" s="241"/>
      <c r="P642" s="241"/>
      <c r="Q642" s="241"/>
      <c r="R642" s="241"/>
      <c r="S642" s="241"/>
      <c r="T642" s="241"/>
      <c r="U642" s="241"/>
      <c r="V642" s="241"/>
      <c r="W642" s="241"/>
      <c r="X642" s="241"/>
      <c r="Y642" s="241"/>
      <c r="Z642" s="241"/>
    </row>
    <row r="643" spans="1:26" ht="13.5" customHeight="1" x14ac:dyDescent="0.3">
      <c r="A643" s="241"/>
      <c r="B643" s="241"/>
      <c r="C643" s="241"/>
      <c r="D643" s="241"/>
      <c r="E643" s="241"/>
      <c r="F643" s="241"/>
      <c r="G643" s="241"/>
      <c r="H643" s="241"/>
      <c r="I643" s="241"/>
      <c r="J643" s="241"/>
      <c r="K643" s="241"/>
      <c r="L643" s="241"/>
      <c r="M643" s="241"/>
      <c r="N643" s="241"/>
      <c r="O643" s="241"/>
      <c r="P643" s="241"/>
      <c r="Q643" s="241"/>
      <c r="R643" s="241"/>
      <c r="S643" s="241"/>
      <c r="T643" s="241"/>
      <c r="U643" s="241"/>
      <c r="V643" s="241"/>
      <c r="W643" s="241"/>
      <c r="X643" s="241"/>
      <c r="Y643" s="241"/>
      <c r="Z643" s="241"/>
    </row>
    <row r="644" spans="1:26" ht="13.5" customHeight="1" x14ac:dyDescent="0.3">
      <c r="A644" s="241"/>
      <c r="B644" s="241"/>
      <c r="C644" s="241"/>
      <c r="D644" s="241"/>
      <c r="E644" s="241"/>
      <c r="F644" s="241"/>
      <c r="G644" s="241"/>
      <c r="H644" s="241"/>
      <c r="I644" s="241"/>
      <c r="J644" s="241"/>
      <c r="K644" s="241"/>
      <c r="L644" s="241"/>
      <c r="M644" s="241"/>
      <c r="N644" s="241"/>
      <c r="O644" s="241"/>
      <c r="P644" s="241"/>
      <c r="Q644" s="241"/>
      <c r="R644" s="241"/>
      <c r="S644" s="241"/>
      <c r="T644" s="241"/>
      <c r="U644" s="241"/>
      <c r="V644" s="241"/>
      <c r="W644" s="241"/>
      <c r="X644" s="241"/>
      <c r="Y644" s="241"/>
      <c r="Z644" s="241"/>
    </row>
    <row r="645" spans="1:26" ht="13.5" customHeight="1" x14ac:dyDescent="0.3">
      <c r="A645" s="241"/>
      <c r="B645" s="241"/>
      <c r="C645" s="241"/>
      <c r="D645" s="241"/>
      <c r="E645" s="241"/>
      <c r="F645" s="241"/>
      <c r="G645" s="241"/>
      <c r="H645" s="241"/>
      <c r="I645" s="241"/>
      <c r="J645" s="241"/>
      <c r="K645" s="241"/>
      <c r="L645" s="241"/>
      <c r="M645" s="241"/>
      <c r="N645" s="241"/>
      <c r="O645" s="241"/>
      <c r="P645" s="241"/>
      <c r="Q645" s="241"/>
      <c r="R645" s="241"/>
      <c r="S645" s="241"/>
      <c r="T645" s="241"/>
      <c r="U645" s="241"/>
      <c r="V645" s="241"/>
      <c r="W645" s="241"/>
      <c r="X645" s="241"/>
      <c r="Y645" s="241"/>
      <c r="Z645" s="241"/>
    </row>
    <row r="646" spans="1:26" ht="13.5" customHeight="1" x14ac:dyDescent="0.3">
      <c r="A646" s="241"/>
      <c r="B646" s="241"/>
      <c r="C646" s="241"/>
      <c r="D646" s="241"/>
      <c r="E646" s="241"/>
      <c r="F646" s="241"/>
      <c r="G646" s="241"/>
      <c r="H646" s="241"/>
      <c r="I646" s="241"/>
      <c r="J646" s="241"/>
      <c r="K646" s="241"/>
      <c r="L646" s="241"/>
      <c r="M646" s="241"/>
      <c r="N646" s="241"/>
      <c r="O646" s="241"/>
      <c r="P646" s="241"/>
      <c r="Q646" s="241"/>
      <c r="R646" s="241"/>
      <c r="S646" s="241"/>
      <c r="T646" s="241"/>
      <c r="U646" s="241"/>
      <c r="V646" s="241"/>
      <c r="W646" s="241"/>
      <c r="X646" s="241"/>
      <c r="Y646" s="241"/>
      <c r="Z646" s="241"/>
    </row>
    <row r="647" spans="1:26" ht="13.5" customHeight="1" x14ac:dyDescent="0.3">
      <c r="A647" s="241"/>
      <c r="B647" s="241"/>
      <c r="C647" s="241"/>
      <c r="D647" s="241"/>
      <c r="E647" s="241"/>
      <c r="F647" s="241"/>
      <c r="G647" s="241"/>
      <c r="H647" s="241"/>
      <c r="I647" s="241"/>
      <c r="J647" s="241"/>
      <c r="K647" s="241"/>
      <c r="L647" s="241"/>
      <c r="M647" s="241"/>
      <c r="N647" s="241"/>
      <c r="O647" s="241"/>
      <c r="P647" s="241"/>
      <c r="Q647" s="241"/>
      <c r="R647" s="241"/>
      <c r="S647" s="241"/>
      <c r="T647" s="241"/>
      <c r="U647" s="241"/>
      <c r="V647" s="241"/>
      <c r="W647" s="241"/>
      <c r="X647" s="241"/>
      <c r="Y647" s="241"/>
      <c r="Z647" s="241"/>
    </row>
    <row r="648" spans="1:26" ht="13.5" customHeight="1" x14ac:dyDescent="0.3">
      <c r="A648" s="241"/>
      <c r="B648" s="241"/>
      <c r="C648" s="241"/>
      <c r="D648" s="241"/>
      <c r="E648" s="241"/>
      <c r="F648" s="241"/>
      <c r="G648" s="241"/>
      <c r="H648" s="241"/>
      <c r="I648" s="241"/>
      <c r="J648" s="241"/>
      <c r="K648" s="241"/>
      <c r="L648" s="241"/>
      <c r="M648" s="241"/>
      <c r="N648" s="241"/>
      <c r="O648" s="241"/>
      <c r="P648" s="241"/>
      <c r="Q648" s="241"/>
      <c r="R648" s="241"/>
      <c r="S648" s="241"/>
      <c r="T648" s="241"/>
      <c r="U648" s="241"/>
      <c r="V648" s="241"/>
      <c r="W648" s="241"/>
      <c r="X648" s="241"/>
      <c r="Y648" s="241"/>
      <c r="Z648" s="241"/>
    </row>
    <row r="649" spans="1:26" ht="13.5" customHeight="1" x14ac:dyDescent="0.3">
      <c r="A649" s="241"/>
      <c r="B649" s="241"/>
      <c r="C649" s="241"/>
      <c r="D649" s="241"/>
      <c r="E649" s="241"/>
      <c r="F649" s="241"/>
      <c r="G649" s="241"/>
      <c r="H649" s="241"/>
      <c r="I649" s="241"/>
      <c r="J649" s="241"/>
      <c r="K649" s="241"/>
      <c r="L649" s="241"/>
      <c r="M649" s="241"/>
      <c r="N649" s="241"/>
      <c r="O649" s="241"/>
      <c r="P649" s="241"/>
      <c r="Q649" s="241"/>
      <c r="R649" s="241"/>
      <c r="S649" s="241"/>
      <c r="T649" s="241"/>
      <c r="U649" s="241"/>
      <c r="V649" s="241"/>
      <c r="W649" s="241"/>
      <c r="X649" s="241"/>
      <c r="Y649" s="241"/>
      <c r="Z649" s="241"/>
    </row>
    <row r="650" spans="1:26" ht="13.5" customHeight="1" x14ac:dyDescent="0.3">
      <c r="A650" s="241"/>
      <c r="B650" s="241"/>
      <c r="C650" s="241"/>
      <c r="D650" s="241"/>
      <c r="E650" s="241"/>
      <c r="F650" s="241"/>
      <c r="G650" s="241"/>
      <c r="H650" s="241"/>
      <c r="I650" s="241"/>
      <c r="J650" s="241"/>
      <c r="K650" s="241"/>
      <c r="L650" s="241"/>
      <c r="M650" s="241"/>
      <c r="N650" s="241"/>
      <c r="O650" s="241"/>
      <c r="P650" s="241"/>
      <c r="Q650" s="241"/>
      <c r="R650" s="241"/>
      <c r="S650" s="241"/>
      <c r="T650" s="241"/>
      <c r="U650" s="241"/>
      <c r="V650" s="241"/>
      <c r="W650" s="241"/>
      <c r="X650" s="241"/>
      <c r="Y650" s="241"/>
      <c r="Z650" s="241"/>
    </row>
    <row r="651" spans="1:26" ht="13.5" customHeight="1" x14ac:dyDescent="0.3">
      <c r="A651" s="241"/>
      <c r="B651" s="241"/>
      <c r="C651" s="241"/>
      <c r="D651" s="241"/>
      <c r="E651" s="241"/>
      <c r="F651" s="241"/>
      <c r="G651" s="241"/>
      <c r="H651" s="241"/>
      <c r="I651" s="241"/>
      <c r="J651" s="241"/>
      <c r="K651" s="241"/>
      <c r="L651" s="241"/>
      <c r="M651" s="241"/>
      <c r="N651" s="241"/>
      <c r="O651" s="241"/>
      <c r="P651" s="241"/>
      <c r="Q651" s="241"/>
      <c r="R651" s="241"/>
      <c r="S651" s="241"/>
      <c r="T651" s="241"/>
      <c r="U651" s="241"/>
      <c r="V651" s="241"/>
      <c r="W651" s="241"/>
      <c r="X651" s="241"/>
      <c r="Y651" s="241"/>
      <c r="Z651" s="241"/>
    </row>
    <row r="652" spans="1:26" ht="13.5" customHeight="1" x14ac:dyDescent="0.3">
      <c r="A652" s="241"/>
      <c r="B652" s="241"/>
      <c r="C652" s="241"/>
      <c r="D652" s="241"/>
      <c r="E652" s="241"/>
      <c r="F652" s="241"/>
      <c r="G652" s="241"/>
      <c r="H652" s="241"/>
      <c r="I652" s="241"/>
      <c r="J652" s="241"/>
      <c r="K652" s="241"/>
      <c r="L652" s="241"/>
      <c r="M652" s="241"/>
      <c r="N652" s="241"/>
      <c r="O652" s="241"/>
      <c r="P652" s="241"/>
      <c r="Q652" s="241"/>
      <c r="R652" s="241"/>
      <c r="S652" s="241"/>
      <c r="T652" s="241"/>
      <c r="U652" s="241"/>
      <c r="V652" s="241"/>
      <c r="W652" s="241"/>
      <c r="X652" s="241"/>
      <c r="Y652" s="241"/>
      <c r="Z652" s="241"/>
    </row>
    <row r="653" spans="1:26" ht="13.5" customHeight="1" x14ac:dyDescent="0.3">
      <c r="A653" s="241"/>
      <c r="B653" s="241"/>
      <c r="C653" s="241"/>
      <c r="D653" s="241"/>
      <c r="E653" s="241"/>
      <c r="F653" s="241"/>
      <c r="G653" s="241"/>
      <c r="H653" s="241"/>
      <c r="I653" s="241"/>
      <c r="J653" s="241"/>
      <c r="K653" s="241"/>
      <c r="L653" s="241"/>
      <c r="M653" s="241"/>
      <c r="N653" s="241"/>
      <c r="O653" s="241"/>
      <c r="P653" s="241"/>
      <c r="Q653" s="241"/>
      <c r="R653" s="241"/>
      <c r="S653" s="241"/>
      <c r="T653" s="241"/>
      <c r="U653" s="241"/>
      <c r="V653" s="241"/>
      <c r="W653" s="241"/>
      <c r="X653" s="241"/>
      <c r="Y653" s="241"/>
      <c r="Z653" s="241"/>
    </row>
    <row r="654" spans="1:26" ht="13.5" customHeight="1" x14ac:dyDescent="0.3">
      <c r="A654" s="241"/>
      <c r="B654" s="241"/>
      <c r="C654" s="241"/>
      <c r="D654" s="241"/>
      <c r="E654" s="241"/>
      <c r="F654" s="241"/>
      <c r="G654" s="241"/>
      <c r="H654" s="241"/>
      <c r="I654" s="241"/>
      <c r="J654" s="241"/>
      <c r="K654" s="241"/>
      <c r="L654" s="241"/>
      <c r="M654" s="241"/>
      <c r="N654" s="241"/>
      <c r="O654" s="241"/>
      <c r="P654" s="241"/>
      <c r="Q654" s="241"/>
      <c r="R654" s="241"/>
      <c r="S654" s="241"/>
      <c r="T654" s="241"/>
      <c r="U654" s="241"/>
      <c r="V654" s="241"/>
      <c r="W654" s="241"/>
      <c r="X654" s="241"/>
      <c r="Y654" s="241"/>
      <c r="Z654" s="241"/>
    </row>
    <row r="655" spans="1:26" ht="13.5" customHeight="1" x14ac:dyDescent="0.3">
      <c r="A655" s="241"/>
      <c r="B655" s="241"/>
      <c r="C655" s="241"/>
      <c r="D655" s="241"/>
      <c r="E655" s="241"/>
      <c r="F655" s="241"/>
      <c r="G655" s="241"/>
      <c r="H655" s="241"/>
      <c r="I655" s="241"/>
      <c r="J655" s="241"/>
      <c r="K655" s="241"/>
      <c r="L655" s="241"/>
      <c r="M655" s="241"/>
      <c r="N655" s="241"/>
      <c r="O655" s="241"/>
      <c r="P655" s="241"/>
      <c r="Q655" s="241"/>
      <c r="R655" s="241"/>
      <c r="S655" s="241"/>
      <c r="T655" s="241"/>
      <c r="U655" s="241"/>
      <c r="V655" s="241"/>
      <c r="W655" s="241"/>
      <c r="X655" s="241"/>
      <c r="Y655" s="241"/>
      <c r="Z655" s="241"/>
    </row>
    <row r="656" spans="1:26" ht="13.5" customHeight="1" x14ac:dyDescent="0.3">
      <c r="A656" s="241"/>
      <c r="B656" s="241"/>
      <c r="C656" s="241"/>
      <c r="D656" s="241"/>
      <c r="E656" s="241"/>
      <c r="F656" s="241"/>
      <c r="G656" s="241"/>
      <c r="H656" s="241"/>
      <c r="I656" s="241"/>
      <c r="J656" s="241"/>
      <c r="K656" s="241"/>
      <c r="L656" s="241"/>
      <c r="M656" s="241"/>
      <c r="N656" s="241"/>
      <c r="O656" s="241"/>
      <c r="P656" s="241"/>
      <c r="Q656" s="241"/>
      <c r="R656" s="241"/>
      <c r="S656" s="241"/>
      <c r="T656" s="241"/>
      <c r="U656" s="241"/>
      <c r="V656" s="241"/>
      <c r="W656" s="241"/>
      <c r="X656" s="241"/>
      <c r="Y656" s="241"/>
      <c r="Z656" s="241"/>
    </row>
    <row r="657" spans="1:26" ht="13.5" customHeight="1" x14ac:dyDescent="0.3">
      <c r="A657" s="241"/>
      <c r="B657" s="241"/>
      <c r="C657" s="241"/>
      <c r="D657" s="241"/>
      <c r="E657" s="241"/>
      <c r="F657" s="241"/>
      <c r="G657" s="241"/>
      <c r="H657" s="241"/>
      <c r="I657" s="241"/>
      <c r="J657" s="241"/>
      <c r="K657" s="241"/>
      <c r="L657" s="241"/>
      <c r="M657" s="241"/>
      <c r="N657" s="241"/>
      <c r="O657" s="241"/>
      <c r="P657" s="241"/>
      <c r="Q657" s="241"/>
      <c r="R657" s="241"/>
      <c r="S657" s="241"/>
      <c r="T657" s="241"/>
      <c r="U657" s="241"/>
      <c r="V657" s="241"/>
      <c r="W657" s="241"/>
      <c r="X657" s="241"/>
      <c r="Y657" s="241"/>
      <c r="Z657" s="241"/>
    </row>
    <row r="658" spans="1:26" ht="13.5" customHeight="1" x14ac:dyDescent="0.3">
      <c r="A658" s="241"/>
      <c r="B658" s="241"/>
      <c r="C658" s="241"/>
      <c r="D658" s="241"/>
      <c r="E658" s="241"/>
      <c r="F658" s="241"/>
      <c r="G658" s="241"/>
      <c r="H658" s="241"/>
      <c r="I658" s="241"/>
      <c r="J658" s="241"/>
      <c r="K658" s="241"/>
      <c r="L658" s="241"/>
      <c r="M658" s="241"/>
      <c r="N658" s="241"/>
      <c r="O658" s="241"/>
      <c r="P658" s="241"/>
      <c r="Q658" s="241"/>
      <c r="R658" s="241"/>
      <c r="S658" s="241"/>
      <c r="T658" s="241"/>
      <c r="U658" s="241"/>
      <c r="V658" s="241"/>
      <c r="W658" s="241"/>
      <c r="X658" s="241"/>
      <c r="Y658" s="241"/>
      <c r="Z658" s="241"/>
    </row>
    <row r="659" spans="1:26" ht="13.5" customHeight="1" x14ac:dyDescent="0.3">
      <c r="A659" s="241"/>
      <c r="B659" s="241"/>
      <c r="C659" s="241"/>
      <c r="D659" s="241"/>
      <c r="E659" s="241"/>
      <c r="F659" s="241"/>
      <c r="G659" s="241"/>
      <c r="H659" s="241"/>
      <c r="I659" s="241"/>
      <c r="J659" s="241"/>
      <c r="K659" s="241"/>
      <c r="L659" s="241"/>
      <c r="M659" s="241"/>
      <c r="N659" s="241"/>
      <c r="O659" s="241"/>
      <c r="P659" s="241"/>
      <c r="Q659" s="241"/>
      <c r="R659" s="241"/>
      <c r="S659" s="241"/>
      <c r="T659" s="241"/>
      <c r="U659" s="241"/>
      <c r="V659" s="241"/>
      <c r="W659" s="241"/>
      <c r="X659" s="241"/>
      <c r="Y659" s="241"/>
      <c r="Z659" s="241"/>
    </row>
    <row r="660" spans="1:26" ht="13.5" customHeight="1" x14ac:dyDescent="0.3">
      <c r="A660" s="241"/>
      <c r="B660" s="241"/>
      <c r="C660" s="241"/>
      <c r="D660" s="241"/>
      <c r="E660" s="241"/>
      <c r="F660" s="241"/>
      <c r="G660" s="241"/>
      <c r="H660" s="241"/>
      <c r="I660" s="241"/>
      <c r="J660" s="241"/>
      <c r="K660" s="241"/>
      <c r="L660" s="241"/>
      <c r="M660" s="241"/>
      <c r="N660" s="241"/>
      <c r="O660" s="241"/>
      <c r="P660" s="241"/>
      <c r="Q660" s="241"/>
      <c r="R660" s="241"/>
      <c r="S660" s="241"/>
      <c r="T660" s="241"/>
      <c r="U660" s="241"/>
      <c r="V660" s="241"/>
      <c r="W660" s="241"/>
      <c r="X660" s="241"/>
      <c r="Y660" s="241"/>
      <c r="Z660" s="241"/>
    </row>
    <row r="661" spans="1:26" ht="13.5" customHeight="1" x14ac:dyDescent="0.3">
      <c r="A661" s="241"/>
      <c r="B661" s="241"/>
      <c r="C661" s="241"/>
      <c r="D661" s="241"/>
      <c r="E661" s="241"/>
      <c r="F661" s="241"/>
      <c r="G661" s="241"/>
      <c r="H661" s="241"/>
      <c r="I661" s="241"/>
      <c r="J661" s="241"/>
      <c r="K661" s="241"/>
      <c r="L661" s="241"/>
      <c r="M661" s="241"/>
      <c r="N661" s="241"/>
      <c r="O661" s="241"/>
      <c r="P661" s="241"/>
      <c r="Q661" s="241"/>
      <c r="R661" s="241"/>
      <c r="S661" s="241"/>
      <c r="T661" s="241"/>
      <c r="U661" s="241"/>
      <c r="V661" s="241"/>
      <c r="W661" s="241"/>
      <c r="X661" s="241"/>
      <c r="Y661" s="241"/>
      <c r="Z661" s="241"/>
    </row>
    <row r="662" spans="1:26" ht="13.5" customHeight="1" x14ac:dyDescent="0.3">
      <c r="A662" s="241"/>
      <c r="B662" s="241"/>
      <c r="C662" s="241"/>
      <c r="D662" s="241"/>
      <c r="E662" s="241"/>
      <c r="F662" s="241"/>
      <c r="G662" s="241"/>
      <c r="H662" s="241"/>
      <c r="I662" s="241"/>
      <c r="J662" s="241"/>
      <c r="K662" s="241"/>
      <c r="L662" s="241"/>
      <c r="M662" s="241"/>
      <c r="N662" s="241"/>
      <c r="O662" s="241"/>
      <c r="P662" s="241"/>
      <c r="Q662" s="241"/>
      <c r="R662" s="241"/>
      <c r="S662" s="241"/>
      <c r="T662" s="241"/>
      <c r="U662" s="241"/>
      <c r="V662" s="241"/>
      <c r="W662" s="241"/>
      <c r="X662" s="241"/>
      <c r="Y662" s="241"/>
      <c r="Z662" s="241"/>
    </row>
    <row r="663" spans="1:26" ht="13.5" customHeight="1" x14ac:dyDescent="0.3">
      <c r="A663" s="241"/>
      <c r="B663" s="241"/>
      <c r="C663" s="241"/>
      <c r="D663" s="241"/>
      <c r="E663" s="241"/>
      <c r="F663" s="241"/>
      <c r="G663" s="241"/>
      <c r="H663" s="241"/>
      <c r="I663" s="241"/>
      <c r="J663" s="241"/>
      <c r="K663" s="241"/>
      <c r="L663" s="241"/>
      <c r="M663" s="241"/>
      <c r="N663" s="241"/>
      <c r="O663" s="241"/>
      <c r="P663" s="241"/>
      <c r="Q663" s="241"/>
      <c r="R663" s="241"/>
      <c r="S663" s="241"/>
      <c r="T663" s="241"/>
      <c r="U663" s="241"/>
      <c r="V663" s="241"/>
      <c r="W663" s="241"/>
      <c r="X663" s="241"/>
      <c r="Y663" s="241"/>
      <c r="Z663" s="241"/>
    </row>
    <row r="664" spans="1:26" ht="13.5" customHeight="1" x14ac:dyDescent="0.3">
      <c r="A664" s="241"/>
      <c r="B664" s="241"/>
      <c r="C664" s="241"/>
      <c r="D664" s="241"/>
      <c r="E664" s="241"/>
      <c r="F664" s="241"/>
      <c r="G664" s="241"/>
      <c r="H664" s="241"/>
      <c r="I664" s="241"/>
      <c r="J664" s="241"/>
      <c r="K664" s="241"/>
      <c r="L664" s="241"/>
      <c r="M664" s="241"/>
      <c r="N664" s="241"/>
      <c r="O664" s="241"/>
      <c r="P664" s="241"/>
      <c r="Q664" s="241"/>
      <c r="R664" s="241"/>
      <c r="S664" s="241"/>
      <c r="T664" s="241"/>
      <c r="U664" s="241"/>
      <c r="V664" s="241"/>
      <c r="W664" s="241"/>
      <c r="X664" s="241"/>
      <c r="Y664" s="241"/>
      <c r="Z664" s="241"/>
    </row>
    <row r="665" spans="1:26" ht="13.5" customHeight="1" x14ac:dyDescent="0.3">
      <c r="A665" s="241"/>
      <c r="B665" s="241"/>
      <c r="C665" s="241"/>
      <c r="D665" s="241"/>
      <c r="E665" s="241"/>
      <c r="F665" s="241"/>
      <c r="G665" s="241"/>
      <c r="H665" s="241"/>
      <c r="I665" s="241"/>
      <c r="J665" s="241"/>
      <c r="K665" s="241"/>
      <c r="L665" s="241"/>
      <c r="M665" s="241"/>
      <c r="N665" s="241"/>
      <c r="O665" s="241"/>
      <c r="P665" s="241"/>
      <c r="Q665" s="241"/>
      <c r="R665" s="241"/>
      <c r="S665" s="241"/>
      <c r="T665" s="241"/>
      <c r="U665" s="241"/>
      <c r="V665" s="241"/>
      <c r="W665" s="241"/>
      <c r="X665" s="241"/>
      <c r="Y665" s="241"/>
      <c r="Z665" s="241"/>
    </row>
    <row r="666" spans="1:26" ht="13.5" customHeight="1" x14ac:dyDescent="0.3">
      <c r="A666" s="241"/>
      <c r="B666" s="241"/>
      <c r="C666" s="241"/>
      <c r="D666" s="241"/>
      <c r="E666" s="241"/>
      <c r="F666" s="241"/>
      <c r="G666" s="241"/>
      <c r="H666" s="241"/>
      <c r="I666" s="241"/>
      <c r="J666" s="241"/>
      <c r="K666" s="241"/>
      <c r="L666" s="241"/>
      <c r="M666" s="241"/>
      <c r="N666" s="241"/>
      <c r="O666" s="241"/>
      <c r="P666" s="241"/>
      <c r="Q666" s="241"/>
      <c r="R666" s="241"/>
      <c r="S666" s="241"/>
      <c r="T666" s="241"/>
      <c r="U666" s="241"/>
      <c r="V666" s="241"/>
      <c r="W666" s="241"/>
      <c r="X666" s="241"/>
      <c r="Y666" s="241"/>
      <c r="Z666" s="241"/>
    </row>
    <row r="667" spans="1:26" ht="13.5" customHeight="1" x14ac:dyDescent="0.3">
      <c r="A667" s="241"/>
      <c r="B667" s="241"/>
      <c r="C667" s="241"/>
      <c r="D667" s="241"/>
      <c r="E667" s="241"/>
      <c r="F667" s="241"/>
      <c r="G667" s="241"/>
      <c r="H667" s="241"/>
      <c r="I667" s="241"/>
      <c r="J667" s="241"/>
      <c r="K667" s="241"/>
      <c r="L667" s="241"/>
      <c r="M667" s="241"/>
      <c r="N667" s="241"/>
      <c r="O667" s="241"/>
      <c r="P667" s="241"/>
      <c r="Q667" s="241"/>
      <c r="R667" s="241"/>
      <c r="S667" s="241"/>
      <c r="T667" s="241"/>
      <c r="U667" s="241"/>
      <c r="V667" s="241"/>
      <c r="W667" s="241"/>
      <c r="X667" s="241"/>
      <c r="Y667" s="241"/>
      <c r="Z667" s="241"/>
    </row>
    <row r="668" spans="1:26" ht="13.5" customHeight="1" x14ac:dyDescent="0.3">
      <c r="A668" s="241"/>
      <c r="B668" s="241"/>
      <c r="C668" s="241"/>
      <c r="D668" s="241"/>
      <c r="E668" s="241"/>
      <c r="F668" s="241"/>
      <c r="G668" s="241"/>
      <c r="H668" s="241"/>
      <c r="I668" s="241"/>
      <c r="J668" s="241"/>
      <c r="K668" s="241"/>
      <c r="L668" s="241"/>
      <c r="M668" s="241"/>
      <c r="N668" s="241"/>
      <c r="O668" s="241"/>
      <c r="P668" s="241"/>
      <c r="Q668" s="241"/>
      <c r="R668" s="241"/>
      <c r="S668" s="241"/>
      <c r="T668" s="241"/>
      <c r="U668" s="241"/>
      <c r="V668" s="241"/>
      <c r="W668" s="241"/>
      <c r="X668" s="241"/>
      <c r="Y668" s="241"/>
      <c r="Z668" s="241"/>
    </row>
    <row r="669" spans="1:26" ht="13.5" customHeight="1" x14ac:dyDescent="0.3">
      <c r="A669" s="241"/>
      <c r="B669" s="241"/>
      <c r="C669" s="241"/>
      <c r="D669" s="241"/>
      <c r="E669" s="241"/>
      <c r="F669" s="241"/>
      <c r="G669" s="241"/>
      <c r="H669" s="241"/>
      <c r="I669" s="241"/>
      <c r="J669" s="241"/>
      <c r="K669" s="241"/>
      <c r="L669" s="241"/>
      <c r="M669" s="241"/>
      <c r="N669" s="241"/>
      <c r="O669" s="241"/>
      <c r="P669" s="241"/>
      <c r="Q669" s="241"/>
      <c r="R669" s="241"/>
      <c r="S669" s="241"/>
      <c r="T669" s="241"/>
      <c r="U669" s="241"/>
      <c r="V669" s="241"/>
      <c r="W669" s="241"/>
      <c r="X669" s="241"/>
      <c r="Y669" s="241"/>
      <c r="Z669" s="241"/>
    </row>
    <row r="670" spans="1:26" ht="13.5" customHeight="1" x14ac:dyDescent="0.3">
      <c r="A670" s="241"/>
      <c r="B670" s="241"/>
      <c r="C670" s="241"/>
      <c r="D670" s="241"/>
      <c r="E670" s="241"/>
      <c r="F670" s="241"/>
      <c r="G670" s="241"/>
      <c r="H670" s="241"/>
      <c r="I670" s="241"/>
      <c r="J670" s="241"/>
      <c r="K670" s="241"/>
      <c r="L670" s="241"/>
      <c r="M670" s="241"/>
      <c r="N670" s="241"/>
      <c r="O670" s="241"/>
      <c r="P670" s="241"/>
      <c r="Q670" s="241"/>
      <c r="R670" s="241"/>
      <c r="S670" s="241"/>
      <c r="T670" s="241"/>
      <c r="U670" s="241"/>
      <c r="V670" s="241"/>
      <c r="W670" s="241"/>
      <c r="X670" s="241"/>
      <c r="Y670" s="241"/>
      <c r="Z670" s="241"/>
    </row>
    <row r="671" spans="1:26" ht="13.5" customHeight="1" x14ac:dyDescent="0.3">
      <c r="A671" s="241"/>
      <c r="B671" s="241"/>
      <c r="C671" s="241"/>
      <c r="D671" s="241"/>
      <c r="E671" s="241"/>
      <c r="F671" s="241"/>
      <c r="G671" s="241"/>
      <c r="H671" s="241"/>
      <c r="I671" s="241"/>
      <c r="J671" s="241"/>
      <c r="K671" s="241"/>
      <c r="L671" s="241"/>
      <c r="M671" s="241"/>
      <c r="N671" s="241"/>
      <c r="O671" s="241"/>
      <c r="P671" s="241"/>
      <c r="Q671" s="241"/>
      <c r="R671" s="241"/>
      <c r="S671" s="241"/>
      <c r="T671" s="241"/>
      <c r="U671" s="241"/>
      <c r="V671" s="241"/>
      <c r="W671" s="241"/>
      <c r="X671" s="241"/>
      <c r="Y671" s="241"/>
      <c r="Z671" s="241"/>
    </row>
    <row r="672" spans="1:26" ht="13.5" customHeight="1" x14ac:dyDescent="0.3">
      <c r="A672" s="241"/>
      <c r="B672" s="241"/>
      <c r="C672" s="241"/>
      <c r="D672" s="241"/>
      <c r="E672" s="241"/>
      <c r="F672" s="241"/>
      <c r="G672" s="241"/>
      <c r="H672" s="241"/>
      <c r="I672" s="241"/>
      <c r="J672" s="241"/>
      <c r="K672" s="241"/>
      <c r="L672" s="241"/>
      <c r="M672" s="241"/>
      <c r="N672" s="241"/>
      <c r="O672" s="241"/>
      <c r="P672" s="241"/>
      <c r="Q672" s="241"/>
      <c r="R672" s="241"/>
      <c r="S672" s="241"/>
      <c r="T672" s="241"/>
      <c r="U672" s="241"/>
      <c r="V672" s="241"/>
      <c r="W672" s="241"/>
      <c r="X672" s="241"/>
      <c r="Y672" s="241"/>
      <c r="Z672" s="241"/>
    </row>
    <row r="673" spans="1:26" ht="13.5" customHeight="1" x14ac:dyDescent="0.3">
      <c r="A673" s="241"/>
      <c r="B673" s="241"/>
      <c r="C673" s="241"/>
      <c r="D673" s="241"/>
      <c r="E673" s="241"/>
      <c r="F673" s="241"/>
      <c r="G673" s="241"/>
      <c r="H673" s="241"/>
      <c r="I673" s="241"/>
      <c r="J673" s="241"/>
      <c r="K673" s="241"/>
      <c r="L673" s="241"/>
      <c r="M673" s="241"/>
      <c r="N673" s="241"/>
      <c r="O673" s="241"/>
      <c r="P673" s="241"/>
      <c r="Q673" s="241"/>
      <c r="R673" s="241"/>
      <c r="S673" s="241"/>
      <c r="T673" s="241"/>
      <c r="U673" s="241"/>
      <c r="V673" s="241"/>
      <c r="W673" s="241"/>
      <c r="X673" s="241"/>
      <c r="Y673" s="241"/>
      <c r="Z673" s="241"/>
    </row>
    <row r="674" spans="1:26" ht="13.5" customHeight="1" x14ac:dyDescent="0.3">
      <c r="A674" s="241"/>
      <c r="B674" s="241"/>
      <c r="C674" s="241"/>
      <c r="D674" s="241"/>
      <c r="E674" s="241"/>
      <c r="F674" s="241"/>
      <c r="G674" s="241"/>
      <c r="H674" s="241"/>
      <c r="I674" s="241"/>
      <c r="J674" s="241"/>
      <c r="K674" s="241"/>
      <c r="L674" s="241"/>
      <c r="M674" s="241"/>
      <c r="N674" s="241"/>
      <c r="O674" s="241"/>
      <c r="P674" s="241"/>
      <c r="Q674" s="241"/>
      <c r="R674" s="241"/>
      <c r="S674" s="241"/>
      <c r="T674" s="241"/>
      <c r="U674" s="241"/>
      <c r="V674" s="241"/>
      <c r="W674" s="241"/>
      <c r="X674" s="241"/>
      <c r="Y674" s="241"/>
      <c r="Z674" s="241"/>
    </row>
    <row r="675" spans="1:26" ht="13.5" customHeight="1" x14ac:dyDescent="0.3">
      <c r="A675" s="241"/>
      <c r="B675" s="241"/>
      <c r="C675" s="241"/>
      <c r="D675" s="241"/>
      <c r="E675" s="241"/>
      <c r="F675" s="241"/>
      <c r="G675" s="241"/>
      <c r="H675" s="241"/>
      <c r="I675" s="241"/>
      <c r="J675" s="241"/>
      <c r="K675" s="241"/>
      <c r="L675" s="241"/>
      <c r="M675" s="241"/>
      <c r="N675" s="241"/>
      <c r="O675" s="241"/>
      <c r="P675" s="241"/>
      <c r="Q675" s="241"/>
      <c r="R675" s="241"/>
      <c r="S675" s="241"/>
      <c r="T675" s="241"/>
      <c r="U675" s="241"/>
      <c r="V675" s="241"/>
      <c r="W675" s="241"/>
      <c r="X675" s="241"/>
      <c r="Y675" s="241"/>
      <c r="Z675" s="241"/>
    </row>
    <row r="676" spans="1:26" ht="13.5" customHeight="1" x14ac:dyDescent="0.3">
      <c r="A676" s="241"/>
      <c r="B676" s="241"/>
      <c r="C676" s="241"/>
      <c r="D676" s="241"/>
      <c r="E676" s="241"/>
      <c r="F676" s="241"/>
      <c r="G676" s="241"/>
      <c r="H676" s="241"/>
      <c r="I676" s="241"/>
      <c r="J676" s="241"/>
      <c r="K676" s="241"/>
      <c r="L676" s="241"/>
      <c r="M676" s="241"/>
      <c r="N676" s="241"/>
      <c r="O676" s="241"/>
      <c r="P676" s="241"/>
      <c r="Q676" s="241"/>
      <c r="R676" s="241"/>
      <c r="S676" s="241"/>
      <c r="T676" s="241"/>
      <c r="U676" s="241"/>
      <c r="V676" s="241"/>
      <c r="W676" s="241"/>
      <c r="X676" s="241"/>
      <c r="Y676" s="241"/>
      <c r="Z676" s="241"/>
    </row>
    <row r="677" spans="1:26" ht="13.5" customHeight="1" x14ac:dyDescent="0.3">
      <c r="A677" s="241"/>
      <c r="B677" s="241"/>
      <c r="C677" s="241"/>
      <c r="D677" s="241"/>
      <c r="E677" s="241"/>
      <c r="F677" s="241"/>
      <c r="G677" s="241"/>
      <c r="H677" s="241"/>
      <c r="I677" s="241"/>
      <c r="J677" s="241"/>
      <c r="K677" s="241"/>
      <c r="L677" s="241"/>
      <c r="M677" s="241"/>
      <c r="N677" s="241"/>
      <c r="O677" s="241"/>
      <c r="P677" s="241"/>
      <c r="Q677" s="241"/>
      <c r="R677" s="241"/>
      <c r="S677" s="241"/>
      <c r="T677" s="241"/>
      <c r="U677" s="241"/>
      <c r="V677" s="241"/>
      <c r="W677" s="241"/>
      <c r="X677" s="241"/>
      <c r="Y677" s="241"/>
      <c r="Z677" s="241"/>
    </row>
    <row r="678" spans="1:26" ht="13.5" customHeight="1" x14ac:dyDescent="0.3">
      <c r="A678" s="241"/>
      <c r="B678" s="241"/>
      <c r="C678" s="241"/>
      <c r="D678" s="241"/>
      <c r="E678" s="241"/>
      <c r="F678" s="241"/>
      <c r="G678" s="241"/>
      <c r="H678" s="241"/>
      <c r="I678" s="241"/>
      <c r="J678" s="241"/>
      <c r="K678" s="241"/>
      <c r="L678" s="241"/>
      <c r="M678" s="241"/>
      <c r="N678" s="241"/>
      <c r="O678" s="241"/>
      <c r="P678" s="241"/>
      <c r="Q678" s="241"/>
      <c r="R678" s="241"/>
      <c r="S678" s="241"/>
      <c r="T678" s="241"/>
      <c r="U678" s="241"/>
      <c r="V678" s="241"/>
      <c r="W678" s="241"/>
      <c r="X678" s="241"/>
      <c r="Y678" s="241"/>
      <c r="Z678" s="241"/>
    </row>
    <row r="679" spans="1:26" ht="13.5" customHeight="1" x14ac:dyDescent="0.3">
      <c r="A679" s="241"/>
      <c r="B679" s="241"/>
      <c r="C679" s="241"/>
      <c r="D679" s="241"/>
      <c r="E679" s="241"/>
      <c r="F679" s="241"/>
      <c r="G679" s="241"/>
      <c r="H679" s="241"/>
      <c r="I679" s="241"/>
      <c r="J679" s="241"/>
      <c r="K679" s="241"/>
      <c r="L679" s="241"/>
      <c r="M679" s="241"/>
      <c r="N679" s="241"/>
      <c r="O679" s="241"/>
      <c r="P679" s="241"/>
      <c r="Q679" s="241"/>
      <c r="R679" s="241"/>
      <c r="S679" s="241"/>
      <c r="T679" s="241"/>
      <c r="U679" s="241"/>
      <c r="V679" s="241"/>
      <c r="W679" s="241"/>
      <c r="X679" s="241"/>
      <c r="Y679" s="241"/>
      <c r="Z679" s="241"/>
    </row>
    <row r="680" spans="1:26" ht="13.5" customHeight="1" x14ac:dyDescent="0.3">
      <c r="A680" s="241"/>
      <c r="B680" s="241"/>
      <c r="C680" s="241"/>
      <c r="D680" s="241"/>
      <c r="E680" s="241"/>
      <c r="F680" s="241"/>
      <c r="G680" s="241"/>
      <c r="H680" s="241"/>
      <c r="I680" s="241"/>
      <c r="J680" s="241"/>
      <c r="K680" s="241"/>
      <c r="L680" s="241"/>
      <c r="M680" s="241"/>
      <c r="N680" s="241"/>
      <c r="O680" s="241"/>
      <c r="P680" s="241"/>
      <c r="Q680" s="241"/>
      <c r="R680" s="241"/>
      <c r="S680" s="241"/>
      <c r="T680" s="241"/>
      <c r="U680" s="241"/>
      <c r="V680" s="241"/>
      <c r="W680" s="241"/>
      <c r="X680" s="241"/>
      <c r="Y680" s="241"/>
      <c r="Z680" s="241"/>
    </row>
    <row r="681" spans="1:26" ht="13.5" customHeight="1" x14ac:dyDescent="0.3">
      <c r="A681" s="241"/>
      <c r="B681" s="241"/>
      <c r="C681" s="241"/>
      <c r="D681" s="241"/>
      <c r="E681" s="241"/>
      <c r="F681" s="241"/>
      <c r="G681" s="241"/>
      <c r="H681" s="241"/>
      <c r="I681" s="241"/>
      <c r="J681" s="241"/>
      <c r="K681" s="241"/>
      <c r="L681" s="241"/>
      <c r="M681" s="241"/>
      <c r="N681" s="241"/>
      <c r="O681" s="241"/>
      <c r="P681" s="241"/>
      <c r="Q681" s="241"/>
      <c r="R681" s="241"/>
      <c r="S681" s="241"/>
      <c r="T681" s="241"/>
      <c r="U681" s="241"/>
      <c r="V681" s="241"/>
      <c r="W681" s="241"/>
      <c r="X681" s="241"/>
      <c r="Y681" s="241"/>
      <c r="Z681" s="241"/>
    </row>
    <row r="682" spans="1:26" ht="13.5" customHeight="1" x14ac:dyDescent="0.3">
      <c r="A682" s="241"/>
      <c r="B682" s="241"/>
      <c r="C682" s="241"/>
      <c r="D682" s="241"/>
      <c r="E682" s="241"/>
      <c r="F682" s="241"/>
      <c r="G682" s="241"/>
      <c r="H682" s="241"/>
      <c r="I682" s="241"/>
      <c r="J682" s="241"/>
      <c r="K682" s="241"/>
      <c r="L682" s="241"/>
      <c r="M682" s="241"/>
      <c r="N682" s="241"/>
      <c r="O682" s="241"/>
      <c r="P682" s="241"/>
      <c r="Q682" s="241"/>
      <c r="R682" s="241"/>
      <c r="S682" s="241"/>
      <c r="T682" s="241"/>
      <c r="U682" s="241"/>
      <c r="V682" s="241"/>
      <c r="W682" s="241"/>
      <c r="X682" s="241"/>
      <c r="Y682" s="241"/>
      <c r="Z682" s="241"/>
    </row>
    <row r="683" spans="1:26" ht="13.5" customHeight="1" x14ac:dyDescent="0.3">
      <c r="A683" s="241"/>
      <c r="B683" s="241"/>
      <c r="C683" s="241"/>
      <c r="D683" s="241"/>
      <c r="E683" s="241"/>
      <c r="F683" s="241"/>
      <c r="G683" s="241"/>
      <c r="H683" s="241"/>
      <c r="I683" s="241"/>
      <c r="J683" s="241"/>
      <c r="K683" s="241"/>
      <c r="L683" s="241"/>
      <c r="M683" s="241"/>
      <c r="N683" s="241"/>
      <c r="O683" s="241"/>
      <c r="P683" s="241"/>
      <c r="Q683" s="241"/>
      <c r="R683" s="241"/>
      <c r="S683" s="241"/>
      <c r="T683" s="241"/>
      <c r="U683" s="241"/>
      <c r="V683" s="241"/>
      <c r="W683" s="241"/>
      <c r="X683" s="241"/>
      <c r="Y683" s="241"/>
      <c r="Z683" s="241"/>
    </row>
    <row r="684" spans="1:26" ht="13.5" customHeight="1" x14ac:dyDescent="0.3">
      <c r="A684" s="241"/>
      <c r="B684" s="241"/>
      <c r="C684" s="241"/>
      <c r="D684" s="241"/>
      <c r="E684" s="241"/>
      <c r="F684" s="241"/>
      <c r="G684" s="241"/>
      <c r="H684" s="241"/>
      <c r="I684" s="241"/>
      <c r="J684" s="241"/>
      <c r="K684" s="241"/>
      <c r="L684" s="241"/>
      <c r="M684" s="241"/>
      <c r="N684" s="241"/>
      <c r="O684" s="241"/>
      <c r="P684" s="241"/>
      <c r="Q684" s="241"/>
      <c r="R684" s="241"/>
      <c r="S684" s="241"/>
      <c r="T684" s="241"/>
      <c r="U684" s="241"/>
      <c r="V684" s="241"/>
      <c r="W684" s="241"/>
      <c r="X684" s="241"/>
      <c r="Y684" s="241"/>
      <c r="Z684" s="241"/>
    </row>
    <row r="685" spans="1:26" ht="13.5" customHeight="1" x14ac:dyDescent="0.3">
      <c r="A685" s="241"/>
      <c r="B685" s="241"/>
      <c r="C685" s="241"/>
      <c r="D685" s="241"/>
      <c r="E685" s="241"/>
      <c r="F685" s="241"/>
      <c r="G685" s="241"/>
      <c r="H685" s="241"/>
      <c r="I685" s="241"/>
      <c r="J685" s="241"/>
      <c r="K685" s="241"/>
      <c r="L685" s="241"/>
      <c r="M685" s="241"/>
      <c r="N685" s="241"/>
      <c r="O685" s="241"/>
      <c r="P685" s="241"/>
      <c r="Q685" s="241"/>
      <c r="R685" s="241"/>
      <c r="S685" s="241"/>
      <c r="T685" s="241"/>
      <c r="U685" s="241"/>
      <c r="V685" s="241"/>
      <c r="W685" s="241"/>
      <c r="X685" s="241"/>
      <c r="Y685" s="241"/>
      <c r="Z685" s="241"/>
    </row>
    <row r="686" spans="1:26" ht="13.5" customHeight="1" x14ac:dyDescent="0.3">
      <c r="A686" s="241"/>
      <c r="B686" s="241"/>
      <c r="C686" s="241"/>
      <c r="D686" s="241"/>
      <c r="E686" s="241"/>
      <c r="F686" s="241"/>
      <c r="G686" s="241"/>
      <c r="H686" s="241"/>
      <c r="I686" s="241"/>
      <c r="J686" s="241"/>
      <c r="K686" s="241"/>
      <c r="L686" s="241"/>
      <c r="M686" s="241"/>
      <c r="N686" s="241"/>
      <c r="O686" s="241"/>
      <c r="P686" s="241"/>
      <c r="Q686" s="241"/>
      <c r="R686" s="241"/>
      <c r="S686" s="241"/>
      <c r="T686" s="241"/>
      <c r="U686" s="241"/>
      <c r="V686" s="241"/>
      <c r="W686" s="241"/>
      <c r="X686" s="241"/>
      <c r="Y686" s="241"/>
      <c r="Z686" s="241"/>
    </row>
    <row r="687" spans="1:26" ht="13.5" customHeight="1" x14ac:dyDescent="0.3">
      <c r="A687" s="241"/>
      <c r="B687" s="241"/>
      <c r="C687" s="241"/>
      <c r="D687" s="241"/>
      <c r="E687" s="241"/>
      <c r="F687" s="241"/>
      <c r="G687" s="241"/>
      <c r="H687" s="241"/>
      <c r="I687" s="241"/>
      <c r="J687" s="241"/>
      <c r="K687" s="241"/>
      <c r="L687" s="241"/>
      <c r="M687" s="241"/>
      <c r="N687" s="241"/>
      <c r="O687" s="241"/>
      <c r="P687" s="241"/>
      <c r="Q687" s="241"/>
      <c r="R687" s="241"/>
      <c r="S687" s="241"/>
      <c r="T687" s="241"/>
      <c r="U687" s="241"/>
      <c r="V687" s="241"/>
      <c r="W687" s="241"/>
      <c r="X687" s="241"/>
      <c r="Y687" s="241"/>
      <c r="Z687" s="241"/>
    </row>
    <row r="688" spans="1:26" ht="13.5" customHeight="1" x14ac:dyDescent="0.3">
      <c r="A688" s="241"/>
      <c r="B688" s="241"/>
      <c r="C688" s="241"/>
      <c r="D688" s="241"/>
      <c r="E688" s="241"/>
      <c r="F688" s="241"/>
      <c r="G688" s="241"/>
      <c r="H688" s="241"/>
      <c r="I688" s="241"/>
      <c r="J688" s="241"/>
      <c r="K688" s="241"/>
      <c r="L688" s="241"/>
      <c r="M688" s="241"/>
      <c r="N688" s="241"/>
      <c r="O688" s="241"/>
      <c r="P688" s="241"/>
      <c r="Q688" s="241"/>
      <c r="R688" s="241"/>
      <c r="S688" s="241"/>
      <c r="T688" s="241"/>
      <c r="U688" s="241"/>
      <c r="V688" s="241"/>
      <c r="W688" s="241"/>
      <c r="X688" s="241"/>
      <c r="Y688" s="241"/>
      <c r="Z688" s="241"/>
    </row>
    <row r="689" spans="1:26" ht="13.5" customHeight="1" x14ac:dyDescent="0.3">
      <c r="A689" s="241"/>
      <c r="B689" s="241"/>
      <c r="C689" s="241"/>
      <c r="D689" s="241"/>
      <c r="E689" s="241"/>
      <c r="F689" s="241"/>
      <c r="G689" s="241"/>
      <c r="H689" s="241"/>
      <c r="I689" s="241"/>
      <c r="J689" s="241"/>
      <c r="K689" s="241"/>
      <c r="L689" s="241"/>
      <c r="M689" s="241"/>
      <c r="N689" s="241"/>
      <c r="O689" s="241"/>
      <c r="P689" s="241"/>
      <c r="Q689" s="241"/>
      <c r="R689" s="241"/>
      <c r="S689" s="241"/>
      <c r="T689" s="241"/>
      <c r="U689" s="241"/>
      <c r="V689" s="241"/>
      <c r="W689" s="241"/>
      <c r="X689" s="241"/>
      <c r="Y689" s="241"/>
      <c r="Z689" s="241"/>
    </row>
    <row r="690" spans="1:26" ht="13.5" customHeight="1" x14ac:dyDescent="0.3">
      <c r="A690" s="241"/>
      <c r="B690" s="241"/>
      <c r="C690" s="241"/>
      <c r="D690" s="241"/>
      <c r="E690" s="241"/>
      <c r="F690" s="241"/>
      <c r="G690" s="241"/>
      <c r="H690" s="241"/>
      <c r="I690" s="241"/>
      <c r="J690" s="241"/>
      <c r="K690" s="241"/>
      <c r="L690" s="241"/>
      <c r="M690" s="241"/>
      <c r="N690" s="241"/>
      <c r="O690" s="241"/>
      <c r="P690" s="241"/>
      <c r="Q690" s="241"/>
      <c r="R690" s="241"/>
      <c r="S690" s="241"/>
      <c r="T690" s="241"/>
      <c r="U690" s="241"/>
      <c r="V690" s="241"/>
      <c r="W690" s="241"/>
      <c r="X690" s="241"/>
      <c r="Y690" s="241"/>
      <c r="Z690" s="241"/>
    </row>
    <row r="691" spans="1:26" ht="13.5" customHeight="1" x14ac:dyDescent="0.3">
      <c r="A691" s="241"/>
      <c r="B691" s="241"/>
      <c r="C691" s="241"/>
      <c r="D691" s="241"/>
      <c r="E691" s="241"/>
      <c r="F691" s="241"/>
      <c r="G691" s="241"/>
      <c r="H691" s="241"/>
      <c r="I691" s="241"/>
      <c r="J691" s="241"/>
      <c r="K691" s="241"/>
      <c r="L691" s="241"/>
      <c r="M691" s="241"/>
      <c r="N691" s="241"/>
      <c r="O691" s="241"/>
      <c r="P691" s="241"/>
      <c r="Q691" s="241"/>
      <c r="R691" s="241"/>
      <c r="S691" s="241"/>
      <c r="T691" s="241"/>
      <c r="U691" s="241"/>
      <c r="V691" s="241"/>
      <c r="W691" s="241"/>
      <c r="X691" s="241"/>
      <c r="Y691" s="241"/>
      <c r="Z691" s="241"/>
    </row>
    <row r="692" spans="1:26" ht="13.5" customHeight="1" x14ac:dyDescent="0.3">
      <c r="A692" s="241"/>
      <c r="B692" s="241"/>
      <c r="C692" s="241"/>
      <c r="D692" s="241"/>
      <c r="E692" s="241"/>
      <c r="F692" s="241"/>
      <c r="G692" s="241"/>
      <c r="H692" s="241"/>
      <c r="I692" s="241"/>
      <c r="J692" s="241"/>
      <c r="K692" s="241"/>
      <c r="L692" s="241"/>
      <c r="M692" s="241"/>
      <c r="N692" s="241"/>
      <c r="O692" s="241"/>
      <c r="P692" s="241"/>
      <c r="Q692" s="241"/>
      <c r="R692" s="241"/>
      <c r="S692" s="241"/>
      <c r="T692" s="241"/>
      <c r="U692" s="241"/>
      <c r="V692" s="241"/>
      <c r="W692" s="241"/>
      <c r="X692" s="241"/>
      <c r="Y692" s="241"/>
      <c r="Z692" s="241"/>
    </row>
    <row r="693" spans="1:26" ht="13.5" customHeight="1" x14ac:dyDescent="0.3">
      <c r="A693" s="241"/>
      <c r="B693" s="241"/>
      <c r="C693" s="241"/>
      <c r="D693" s="241"/>
      <c r="E693" s="241"/>
      <c r="F693" s="241"/>
      <c r="G693" s="241"/>
      <c r="H693" s="241"/>
      <c r="I693" s="241"/>
      <c r="J693" s="241"/>
      <c r="K693" s="241"/>
      <c r="L693" s="241"/>
      <c r="M693" s="241"/>
      <c r="N693" s="241"/>
      <c r="O693" s="241"/>
      <c r="P693" s="241"/>
      <c r="Q693" s="241"/>
      <c r="R693" s="241"/>
      <c r="S693" s="241"/>
      <c r="T693" s="241"/>
      <c r="U693" s="241"/>
      <c r="V693" s="241"/>
      <c r="W693" s="241"/>
      <c r="X693" s="241"/>
      <c r="Y693" s="241"/>
      <c r="Z693" s="241"/>
    </row>
    <row r="694" spans="1:26" ht="13.5" customHeight="1" x14ac:dyDescent="0.3">
      <c r="A694" s="241"/>
      <c r="B694" s="241"/>
      <c r="C694" s="241"/>
      <c r="D694" s="241"/>
      <c r="E694" s="241"/>
      <c r="F694" s="241"/>
      <c r="G694" s="241"/>
      <c r="H694" s="241"/>
      <c r="I694" s="241"/>
      <c r="J694" s="241"/>
      <c r="K694" s="241"/>
      <c r="L694" s="241"/>
      <c r="M694" s="241"/>
      <c r="N694" s="241"/>
      <c r="O694" s="241"/>
      <c r="P694" s="241"/>
      <c r="Q694" s="241"/>
      <c r="R694" s="241"/>
      <c r="S694" s="241"/>
      <c r="T694" s="241"/>
      <c r="U694" s="241"/>
      <c r="V694" s="241"/>
      <c r="W694" s="241"/>
      <c r="X694" s="241"/>
      <c r="Y694" s="241"/>
      <c r="Z694" s="241"/>
    </row>
    <row r="695" spans="1:26" ht="13.5" customHeight="1" x14ac:dyDescent="0.3">
      <c r="A695" s="241"/>
      <c r="B695" s="241"/>
      <c r="C695" s="241"/>
      <c r="D695" s="241"/>
      <c r="E695" s="241"/>
      <c r="F695" s="241"/>
      <c r="G695" s="241"/>
      <c r="H695" s="241"/>
      <c r="I695" s="241"/>
      <c r="J695" s="241"/>
      <c r="K695" s="241"/>
      <c r="L695" s="241"/>
      <c r="M695" s="241"/>
      <c r="N695" s="241"/>
      <c r="O695" s="241"/>
      <c r="P695" s="241"/>
      <c r="Q695" s="241"/>
      <c r="R695" s="241"/>
      <c r="S695" s="241"/>
      <c r="T695" s="241"/>
      <c r="U695" s="241"/>
      <c r="V695" s="241"/>
      <c r="W695" s="241"/>
      <c r="X695" s="241"/>
      <c r="Y695" s="241"/>
      <c r="Z695" s="241"/>
    </row>
    <row r="696" spans="1:26" ht="13.5" customHeight="1" x14ac:dyDescent="0.3">
      <c r="A696" s="241"/>
      <c r="B696" s="241"/>
      <c r="C696" s="241"/>
      <c r="D696" s="241"/>
      <c r="E696" s="241"/>
      <c r="F696" s="241"/>
      <c r="G696" s="241"/>
      <c r="H696" s="241"/>
      <c r="I696" s="241"/>
      <c r="J696" s="241"/>
      <c r="K696" s="241"/>
      <c r="L696" s="241"/>
      <c r="M696" s="241"/>
      <c r="N696" s="241"/>
      <c r="O696" s="241"/>
      <c r="P696" s="241"/>
      <c r="Q696" s="241"/>
      <c r="R696" s="241"/>
      <c r="S696" s="241"/>
      <c r="T696" s="241"/>
      <c r="U696" s="241"/>
      <c r="V696" s="241"/>
      <c r="W696" s="241"/>
      <c r="X696" s="241"/>
      <c r="Y696" s="241"/>
      <c r="Z696" s="241"/>
    </row>
    <row r="697" spans="1:26" ht="13.5" customHeight="1" x14ac:dyDescent="0.3">
      <c r="A697" s="241"/>
      <c r="B697" s="241"/>
      <c r="C697" s="241"/>
      <c r="D697" s="241"/>
      <c r="E697" s="241"/>
      <c r="F697" s="241"/>
      <c r="G697" s="241"/>
      <c r="H697" s="241"/>
      <c r="I697" s="241"/>
      <c r="J697" s="241"/>
      <c r="K697" s="241"/>
      <c r="L697" s="241"/>
      <c r="M697" s="241"/>
      <c r="N697" s="241"/>
      <c r="O697" s="241"/>
      <c r="P697" s="241"/>
      <c r="Q697" s="241"/>
      <c r="R697" s="241"/>
      <c r="S697" s="241"/>
      <c r="T697" s="241"/>
      <c r="U697" s="241"/>
      <c r="V697" s="241"/>
      <c r="W697" s="241"/>
      <c r="X697" s="241"/>
      <c r="Y697" s="241"/>
      <c r="Z697" s="241"/>
    </row>
    <row r="698" spans="1:26" ht="13.5" customHeight="1" x14ac:dyDescent="0.3">
      <c r="A698" s="241"/>
      <c r="B698" s="241"/>
      <c r="C698" s="241"/>
      <c r="D698" s="241"/>
      <c r="E698" s="241"/>
      <c r="F698" s="241"/>
      <c r="G698" s="241"/>
      <c r="H698" s="241"/>
      <c r="I698" s="241"/>
      <c r="J698" s="241"/>
      <c r="K698" s="241"/>
      <c r="L698" s="241"/>
      <c r="M698" s="241"/>
      <c r="N698" s="241"/>
      <c r="O698" s="241"/>
      <c r="P698" s="241"/>
      <c r="Q698" s="241"/>
      <c r="R698" s="241"/>
      <c r="S698" s="241"/>
      <c r="T698" s="241"/>
      <c r="U698" s="241"/>
      <c r="V698" s="241"/>
      <c r="W698" s="241"/>
      <c r="X698" s="241"/>
      <c r="Y698" s="241"/>
      <c r="Z698" s="241"/>
    </row>
    <row r="699" spans="1:26" ht="13.5" customHeight="1" x14ac:dyDescent="0.3">
      <c r="A699" s="241"/>
      <c r="B699" s="241"/>
      <c r="C699" s="241"/>
      <c r="D699" s="241"/>
      <c r="E699" s="241"/>
      <c r="F699" s="241"/>
      <c r="G699" s="241"/>
      <c r="H699" s="241"/>
      <c r="I699" s="241"/>
      <c r="J699" s="241"/>
      <c r="K699" s="241"/>
      <c r="L699" s="241"/>
      <c r="M699" s="241"/>
      <c r="N699" s="241"/>
      <c r="O699" s="241"/>
      <c r="P699" s="241"/>
      <c r="Q699" s="241"/>
      <c r="R699" s="241"/>
      <c r="S699" s="241"/>
      <c r="T699" s="241"/>
      <c r="U699" s="241"/>
      <c r="V699" s="241"/>
      <c r="W699" s="241"/>
      <c r="X699" s="241"/>
      <c r="Y699" s="241"/>
      <c r="Z699" s="241"/>
    </row>
    <row r="700" spans="1:26" ht="13.5" customHeight="1" x14ac:dyDescent="0.3">
      <c r="A700" s="241"/>
      <c r="B700" s="241"/>
      <c r="C700" s="241"/>
      <c r="D700" s="241"/>
      <c r="E700" s="241"/>
      <c r="F700" s="241"/>
      <c r="G700" s="241"/>
      <c r="H700" s="241"/>
      <c r="I700" s="241"/>
      <c r="J700" s="241"/>
      <c r="K700" s="241"/>
      <c r="L700" s="241"/>
      <c r="M700" s="241"/>
      <c r="N700" s="241"/>
      <c r="O700" s="241"/>
      <c r="P700" s="241"/>
      <c r="Q700" s="241"/>
      <c r="R700" s="241"/>
      <c r="S700" s="241"/>
      <c r="T700" s="241"/>
      <c r="U700" s="241"/>
      <c r="V700" s="241"/>
      <c r="W700" s="241"/>
      <c r="X700" s="241"/>
      <c r="Y700" s="241"/>
      <c r="Z700" s="241"/>
    </row>
    <row r="701" spans="1:26" ht="13.5" customHeight="1" x14ac:dyDescent="0.3">
      <c r="A701" s="241"/>
      <c r="B701" s="241"/>
      <c r="C701" s="241"/>
      <c r="D701" s="241"/>
      <c r="E701" s="241"/>
      <c r="F701" s="241"/>
      <c r="G701" s="241"/>
      <c r="H701" s="241"/>
      <c r="I701" s="241"/>
      <c r="J701" s="241"/>
      <c r="K701" s="241"/>
      <c r="L701" s="241"/>
      <c r="M701" s="241"/>
      <c r="N701" s="241"/>
      <c r="O701" s="241"/>
      <c r="P701" s="241"/>
      <c r="Q701" s="241"/>
      <c r="R701" s="241"/>
      <c r="S701" s="241"/>
      <c r="T701" s="241"/>
      <c r="U701" s="241"/>
      <c r="V701" s="241"/>
      <c r="W701" s="241"/>
      <c r="X701" s="241"/>
      <c r="Y701" s="241"/>
      <c r="Z701" s="241"/>
    </row>
    <row r="702" spans="1:26" ht="13.5" customHeight="1" x14ac:dyDescent="0.3">
      <c r="A702" s="241"/>
      <c r="B702" s="241"/>
      <c r="C702" s="241"/>
      <c r="D702" s="241"/>
      <c r="E702" s="241"/>
      <c r="F702" s="241"/>
      <c r="G702" s="241"/>
      <c r="H702" s="241"/>
      <c r="I702" s="241"/>
      <c r="J702" s="241"/>
      <c r="K702" s="241"/>
      <c r="L702" s="241"/>
      <c r="M702" s="241"/>
      <c r="N702" s="241"/>
      <c r="O702" s="241"/>
      <c r="P702" s="241"/>
      <c r="Q702" s="241"/>
      <c r="R702" s="241"/>
      <c r="S702" s="241"/>
      <c r="T702" s="241"/>
      <c r="U702" s="241"/>
      <c r="V702" s="241"/>
      <c r="W702" s="241"/>
      <c r="X702" s="241"/>
      <c r="Y702" s="241"/>
      <c r="Z702" s="241"/>
    </row>
    <row r="703" spans="1:26" ht="13.5" customHeight="1" x14ac:dyDescent="0.3">
      <c r="A703" s="241"/>
      <c r="B703" s="241"/>
      <c r="C703" s="241"/>
      <c r="D703" s="241"/>
      <c r="E703" s="241"/>
      <c r="F703" s="241"/>
      <c r="G703" s="241"/>
      <c r="H703" s="241"/>
      <c r="I703" s="241"/>
      <c r="J703" s="241"/>
      <c r="K703" s="241"/>
      <c r="L703" s="241"/>
      <c r="M703" s="241"/>
      <c r="N703" s="241"/>
      <c r="O703" s="241"/>
      <c r="P703" s="241"/>
      <c r="Q703" s="241"/>
      <c r="R703" s="241"/>
      <c r="S703" s="241"/>
      <c r="T703" s="241"/>
      <c r="U703" s="241"/>
      <c r="V703" s="241"/>
      <c r="W703" s="241"/>
      <c r="X703" s="241"/>
      <c r="Y703" s="241"/>
      <c r="Z703" s="241"/>
    </row>
    <row r="704" spans="1:26" ht="13.5" customHeight="1" x14ac:dyDescent="0.3">
      <c r="A704" s="241"/>
      <c r="B704" s="241"/>
      <c r="C704" s="241"/>
      <c r="D704" s="241"/>
      <c r="E704" s="241"/>
      <c r="F704" s="241"/>
      <c r="G704" s="241"/>
      <c r="H704" s="241"/>
      <c r="I704" s="241"/>
      <c r="J704" s="241"/>
      <c r="K704" s="241"/>
      <c r="L704" s="241"/>
      <c r="M704" s="241"/>
      <c r="N704" s="241"/>
      <c r="O704" s="241"/>
      <c r="P704" s="241"/>
      <c r="Q704" s="241"/>
      <c r="R704" s="241"/>
      <c r="S704" s="241"/>
      <c r="T704" s="241"/>
      <c r="U704" s="241"/>
      <c r="V704" s="241"/>
      <c r="W704" s="241"/>
      <c r="X704" s="241"/>
      <c r="Y704" s="241"/>
      <c r="Z704" s="241"/>
    </row>
    <row r="705" spans="1:26" ht="13.5" customHeight="1" x14ac:dyDescent="0.3">
      <c r="A705" s="241"/>
      <c r="B705" s="241"/>
      <c r="C705" s="241"/>
      <c r="D705" s="241"/>
      <c r="E705" s="241"/>
      <c r="F705" s="241"/>
      <c r="G705" s="241"/>
      <c r="H705" s="241"/>
      <c r="I705" s="241"/>
      <c r="J705" s="241"/>
      <c r="K705" s="241"/>
      <c r="L705" s="241"/>
      <c r="M705" s="241"/>
      <c r="N705" s="241"/>
      <c r="O705" s="241"/>
      <c r="P705" s="241"/>
      <c r="Q705" s="241"/>
      <c r="R705" s="241"/>
      <c r="S705" s="241"/>
      <c r="T705" s="241"/>
      <c r="U705" s="241"/>
      <c r="V705" s="241"/>
      <c r="W705" s="241"/>
      <c r="X705" s="241"/>
      <c r="Y705" s="241"/>
      <c r="Z705" s="241"/>
    </row>
    <row r="706" spans="1:26" ht="13.5" customHeight="1" x14ac:dyDescent="0.3">
      <c r="A706" s="241"/>
      <c r="B706" s="241"/>
      <c r="C706" s="241"/>
      <c r="D706" s="241"/>
      <c r="E706" s="241"/>
      <c r="F706" s="241"/>
      <c r="G706" s="241"/>
      <c r="H706" s="241"/>
      <c r="I706" s="241"/>
      <c r="J706" s="241"/>
      <c r="K706" s="241"/>
      <c r="L706" s="241"/>
      <c r="M706" s="241"/>
      <c r="N706" s="241"/>
      <c r="O706" s="241"/>
      <c r="P706" s="241"/>
      <c r="Q706" s="241"/>
      <c r="R706" s="241"/>
      <c r="S706" s="241"/>
      <c r="T706" s="241"/>
      <c r="U706" s="241"/>
      <c r="V706" s="241"/>
      <c r="W706" s="241"/>
      <c r="X706" s="241"/>
      <c r="Y706" s="241"/>
      <c r="Z706" s="241"/>
    </row>
    <row r="707" spans="1:26" ht="13.5" customHeight="1" x14ac:dyDescent="0.3">
      <c r="A707" s="241"/>
      <c r="B707" s="241"/>
      <c r="C707" s="241"/>
      <c r="D707" s="241"/>
      <c r="E707" s="241"/>
      <c r="F707" s="241"/>
      <c r="G707" s="241"/>
      <c r="H707" s="241"/>
      <c r="I707" s="241"/>
      <c r="J707" s="241"/>
      <c r="K707" s="241"/>
      <c r="L707" s="241"/>
      <c r="M707" s="241"/>
      <c r="N707" s="241"/>
      <c r="O707" s="241"/>
      <c r="P707" s="241"/>
      <c r="Q707" s="241"/>
      <c r="R707" s="241"/>
      <c r="S707" s="241"/>
      <c r="T707" s="241"/>
      <c r="U707" s="241"/>
      <c r="V707" s="241"/>
      <c r="W707" s="241"/>
      <c r="X707" s="241"/>
      <c r="Y707" s="241"/>
      <c r="Z707" s="241"/>
    </row>
    <row r="708" spans="1:26" ht="13.5" customHeight="1" x14ac:dyDescent="0.3">
      <c r="A708" s="241"/>
      <c r="B708" s="241"/>
      <c r="C708" s="241"/>
      <c r="D708" s="241"/>
      <c r="E708" s="241"/>
      <c r="F708" s="241"/>
      <c r="G708" s="241"/>
      <c r="H708" s="241"/>
      <c r="I708" s="241"/>
      <c r="J708" s="241"/>
      <c r="K708" s="241"/>
      <c r="L708" s="241"/>
      <c r="M708" s="241"/>
      <c r="N708" s="241"/>
      <c r="O708" s="241"/>
      <c r="P708" s="241"/>
      <c r="Q708" s="241"/>
      <c r="R708" s="241"/>
      <c r="S708" s="241"/>
      <c r="T708" s="241"/>
      <c r="U708" s="241"/>
      <c r="V708" s="241"/>
      <c r="W708" s="241"/>
      <c r="X708" s="241"/>
      <c r="Y708" s="241"/>
      <c r="Z708" s="241"/>
    </row>
    <row r="709" spans="1:26" ht="13.5" customHeight="1" x14ac:dyDescent="0.3">
      <c r="A709" s="241"/>
      <c r="B709" s="241"/>
      <c r="C709" s="241"/>
      <c r="D709" s="241"/>
      <c r="E709" s="241"/>
      <c r="F709" s="241"/>
      <c r="G709" s="241"/>
      <c r="H709" s="241"/>
      <c r="I709" s="241"/>
      <c r="J709" s="241"/>
      <c r="K709" s="241"/>
      <c r="L709" s="241"/>
      <c r="M709" s="241"/>
      <c r="N709" s="241"/>
      <c r="O709" s="241"/>
      <c r="P709" s="241"/>
      <c r="Q709" s="241"/>
      <c r="R709" s="241"/>
      <c r="S709" s="241"/>
      <c r="T709" s="241"/>
      <c r="U709" s="241"/>
      <c r="V709" s="241"/>
      <c r="W709" s="241"/>
      <c r="X709" s="241"/>
      <c r="Y709" s="241"/>
      <c r="Z709" s="241"/>
    </row>
    <row r="710" spans="1:26" ht="13.5" customHeight="1" x14ac:dyDescent="0.3">
      <c r="A710" s="241"/>
      <c r="B710" s="241"/>
      <c r="C710" s="241"/>
      <c r="D710" s="241"/>
      <c r="E710" s="241"/>
      <c r="F710" s="241"/>
      <c r="G710" s="241"/>
      <c r="H710" s="241"/>
      <c r="I710" s="241"/>
      <c r="J710" s="241"/>
      <c r="K710" s="241"/>
      <c r="L710" s="241"/>
      <c r="M710" s="241"/>
      <c r="N710" s="241"/>
      <c r="O710" s="241"/>
      <c r="P710" s="241"/>
      <c r="Q710" s="241"/>
      <c r="R710" s="241"/>
      <c r="S710" s="241"/>
      <c r="T710" s="241"/>
      <c r="U710" s="241"/>
      <c r="V710" s="241"/>
      <c r="W710" s="241"/>
      <c r="X710" s="241"/>
      <c r="Y710" s="241"/>
      <c r="Z710" s="241"/>
    </row>
    <row r="711" spans="1:26" ht="13.5" customHeight="1" x14ac:dyDescent="0.3">
      <c r="A711" s="241"/>
      <c r="B711" s="241"/>
      <c r="C711" s="241"/>
      <c r="D711" s="241"/>
      <c r="E711" s="241"/>
      <c r="F711" s="241"/>
      <c r="G711" s="241"/>
      <c r="H711" s="241"/>
      <c r="I711" s="241"/>
      <c r="J711" s="241"/>
      <c r="K711" s="241"/>
      <c r="L711" s="241"/>
      <c r="M711" s="241"/>
      <c r="N711" s="241"/>
      <c r="O711" s="241"/>
      <c r="P711" s="241"/>
      <c r="Q711" s="241"/>
      <c r="R711" s="241"/>
      <c r="S711" s="241"/>
      <c r="T711" s="241"/>
      <c r="U711" s="241"/>
      <c r="V711" s="241"/>
      <c r="W711" s="241"/>
      <c r="X711" s="241"/>
      <c r="Y711" s="241"/>
      <c r="Z711" s="241"/>
    </row>
    <row r="712" spans="1:26" ht="13.5" customHeight="1" x14ac:dyDescent="0.3">
      <c r="A712" s="241"/>
      <c r="B712" s="241"/>
      <c r="C712" s="241"/>
      <c r="D712" s="241"/>
      <c r="E712" s="241"/>
      <c r="F712" s="241"/>
      <c r="G712" s="241"/>
      <c r="H712" s="241"/>
      <c r="I712" s="241"/>
      <c r="J712" s="241"/>
      <c r="K712" s="241"/>
      <c r="L712" s="241"/>
      <c r="M712" s="241"/>
      <c r="N712" s="241"/>
      <c r="O712" s="241"/>
      <c r="P712" s="241"/>
      <c r="Q712" s="241"/>
      <c r="R712" s="241"/>
      <c r="S712" s="241"/>
      <c r="T712" s="241"/>
      <c r="U712" s="241"/>
      <c r="V712" s="241"/>
      <c r="W712" s="241"/>
      <c r="X712" s="241"/>
      <c r="Y712" s="241"/>
      <c r="Z712" s="241"/>
    </row>
    <row r="713" spans="1:26" ht="13.5" customHeight="1" x14ac:dyDescent="0.3">
      <c r="A713" s="241"/>
      <c r="B713" s="241"/>
      <c r="C713" s="241"/>
      <c r="D713" s="241"/>
      <c r="E713" s="241"/>
      <c r="F713" s="241"/>
      <c r="G713" s="241"/>
      <c r="H713" s="241"/>
      <c r="I713" s="241"/>
      <c r="J713" s="241"/>
      <c r="K713" s="241"/>
      <c r="L713" s="241"/>
      <c r="M713" s="241"/>
      <c r="N713" s="241"/>
      <c r="O713" s="241"/>
      <c r="P713" s="241"/>
      <c r="Q713" s="241"/>
      <c r="R713" s="241"/>
      <c r="S713" s="241"/>
      <c r="T713" s="241"/>
      <c r="U713" s="241"/>
      <c r="V713" s="241"/>
      <c r="W713" s="241"/>
      <c r="X713" s="241"/>
      <c r="Y713" s="241"/>
      <c r="Z713" s="241"/>
    </row>
    <row r="714" spans="1:26" ht="13.5" customHeight="1" x14ac:dyDescent="0.3">
      <c r="A714" s="241"/>
      <c r="B714" s="241"/>
      <c r="C714" s="241"/>
      <c r="D714" s="241"/>
      <c r="E714" s="241"/>
      <c r="F714" s="241"/>
      <c r="G714" s="241"/>
      <c r="H714" s="241"/>
      <c r="I714" s="241"/>
      <c r="J714" s="241"/>
      <c r="K714" s="241"/>
      <c r="L714" s="241"/>
      <c r="M714" s="241"/>
      <c r="N714" s="241"/>
      <c r="O714" s="241"/>
      <c r="P714" s="241"/>
      <c r="Q714" s="241"/>
      <c r="R714" s="241"/>
      <c r="S714" s="241"/>
      <c r="T714" s="241"/>
      <c r="U714" s="241"/>
      <c r="V714" s="241"/>
      <c r="W714" s="241"/>
      <c r="X714" s="241"/>
      <c r="Y714" s="241"/>
      <c r="Z714" s="241"/>
    </row>
    <row r="715" spans="1:26" ht="13.5" customHeight="1" x14ac:dyDescent="0.3">
      <c r="A715" s="241"/>
      <c r="B715" s="241"/>
      <c r="C715" s="241"/>
      <c r="D715" s="241"/>
      <c r="E715" s="241"/>
      <c r="F715" s="241"/>
      <c r="G715" s="241"/>
      <c r="H715" s="241"/>
      <c r="I715" s="241"/>
      <c r="J715" s="241"/>
      <c r="K715" s="241"/>
      <c r="L715" s="241"/>
      <c r="M715" s="241"/>
      <c r="N715" s="241"/>
      <c r="O715" s="241"/>
      <c r="P715" s="241"/>
      <c r="Q715" s="241"/>
      <c r="R715" s="241"/>
      <c r="S715" s="241"/>
      <c r="T715" s="241"/>
      <c r="U715" s="241"/>
      <c r="V715" s="241"/>
      <c r="W715" s="241"/>
      <c r="X715" s="241"/>
      <c r="Y715" s="241"/>
      <c r="Z715" s="241"/>
    </row>
    <row r="716" spans="1:26" ht="13.5" customHeight="1" x14ac:dyDescent="0.3">
      <c r="A716" s="241"/>
      <c r="B716" s="241"/>
      <c r="C716" s="241"/>
      <c r="D716" s="241"/>
      <c r="E716" s="241"/>
      <c r="F716" s="241"/>
      <c r="G716" s="241"/>
      <c r="H716" s="241"/>
      <c r="I716" s="241"/>
      <c r="J716" s="241"/>
      <c r="K716" s="241"/>
      <c r="L716" s="241"/>
      <c r="M716" s="241"/>
      <c r="N716" s="241"/>
      <c r="O716" s="241"/>
      <c r="P716" s="241"/>
      <c r="Q716" s="241"/>
      <c r="R716" s="241"/>
      <c r="S716" s="241"/>
      <c r="T716" s="241"/>
      <c r="U716" s="241"/>
      <c r="V716" s="241"/>
      <c r="W716" s="241"/>
      <c r="X716" s="241"/>
      <c r="Y716" s="241"/>
      <c r="Z716" s="241"/>
    </row>
    <row r="717" spans="1:26" ht="13.5" customHeight="1" x14ac:dyDescent="0.3">
      <c r="A717" s="241"/>
      <c r="B717" s="241"/>
      <c r="C717" s="241"/>
      <c r="D717" s="241"/>
      <c r="E717" s="241"/>
      <c r="F717" s="241"/>
      <c r="G717" s="241"/>
      <c r="H717" s="241"/>
      <c r="I717" s="241"/>
      <c r="J717" s="241"/>
      <c r="K717" s="241"/>
      <c r="L717" s="241"/>
      <c r="M717" s="241"/>
      <c r="N717" s="241"/>
      <c r="O717" s="241"/>
      <c r="P717" s="241"/>
      <c r="Q717" s="241"/>
      <c r="R717" s="241"/>
      <c r="S717" s="241"/>
      <c r="T717" s="241"/>
      <c r="U717" s="241"/>
      <c r="V717" s="241"/>
      <c r="W717" s="241"/>
      <c r="X717" s="241"/>
      <c r="Y717" s="241"/>
      <c r="Z717" s="241"/>
    </row>
    <row r="718" spans="1:26" ht="13.5" customHeight="1" x14ac:dyDescent="0.3">
      <c r="A718" s="241"/>
      <c r="B718" s="241"/>
      <c r="C718" s="241"/>
      <c r="D718" s="241"/>
      <c r="E718" s="241"/>
      <c r="F718" s="241"/>
      <c r="G718" s="241"/>
      <c r="H718" s="241"/>
      <c r="I718" s="241"/>
      <c r="J718" s="241"/>
      <c r="K718" s="241"/>
      <c r="L718" s="241"/>
      <c r="M718" s="241"/>
      <c r="N718" s="241"/>
      <c r="O718" s="241"/>
      <c r="P718" s="241"/>
      <c r="Q718" s="241"/>
      <c r="R718" s="241"/>
      <c r="S718" s="241"/>
      <c r="T718" s="241"/>
      <c r="U718" s="241"/>
      <c r="V718" s="241"/>
      <c r="W718" s="241"/>
      <c r="X718" s="241"/>
      <c r="Y718" s="241"/>
      <c r="Z718" s="241"/>
    </row>
    <row r="719" spans="1:26" ht="13.5" customHeight="1" x14ac:dyDescent="0.3">
      <c r="A719" s="241"/>
      <c r="B719" s="241"/>
      <c r="C719" s="241"/>
      <c r="D719" s="241"/>
      <c r="E719" s="241"/>
      <c r="F719" s="241"/>
      <c r="G719" s="241"/>
      <c r="H719" s="241"/>
      <c r="I719" s="241"/>
      <c r="J719" s="241"/>
      <c r="K719" s="241"/>
      <c r="L719" s="241"/>
      <c r="M719" s="241"/>
      <c r="N719" s="241"/>
      <c r="O719" s="241"/>
      <c r="P719" s="241"/>
      <c r="Q719" s="241"/>
      <c r="R719" s="241"/>
      <c r="S719" s="241"/>
      <c r="T719" s="241"/>
      <c r="U719" s="241"/>
      <c r="V719" s="241"/>
      <c r="W719" s="241"/>
      <c r="X719" s="241"/>
      <c r="Y719" s="241"/>
      <c r="Z719" s="241"/>
    </row>
    <row r="720" spans="1:26" ht="13.5" customHeight="1" x14ac:dyDescent="0.3">
      <c r="A720" s="241"/>
      <c r="B720" s="241"/>
      <c r="C720" s="241"/>
      <c r="D720" s="241"/>
      <c r="E720" s="241"/>
      <c r="F720" s="241"/>
      <c r="G720" s="241"/>
      <c r="H720" s="241"/>
      <c r="I720" s="241"/>
      <c r="J720" s="241"/>
      <c r="K720" s="241"/>
      <c r="L720" s="241"/>
      <c r="M720" s="241"/>
      <c r="N720" s="241"/>
      <c r="O720" s="241"/>
      <c r="P720" s="241"/>
      <c r="Q720" s="241"/>
      <c r="R720" s="241"/>
      <c r="S720" s="241"/>
      <c r="T720" s="241"/>
      <c r="U720" s="241"/>
      <c r="V720" s="241"/>
      <c r="W720" s="241"/>
      <c r="X720" s="241"/>
      <c r="Y720" s="241"/>
      <c r="Z720" s="241"/>
    </row>
    <row r="721" spans="1:26" ht="13.5" customHeight="1" x14ac:dyDescent="0.3">
      <c r="A721" s="241"/>
      <c r="B721" s="241"/>
      <c r="C721" s="241"/>
      <c r="D721" s="241"/>
      <c r="E721" s="241"/>
      <c r="F721" s="241"/>
      <c r="G721" s="241"/>
      <c r="H721" s="241"/>
      <c r="I721" s="241"/>
      <c r="J721" s="241"/>
      <c r="K721" s="241"/>
      <c r="L721" s="241"/>
      <c r="M721" s="241"/>
      <c r="N721" s="241"/>
      <c r="O721" s="241"/>
      <c r="P721" s="241"/>
      <c r="Q721" s="241"/>
      <c r="R721" s="241"/>
      <c r="S721" s="241"/>
      <c r="T721" s="241"/>
      <c r="U721" s="241"/>
      <c r="V721" s="241"/>
      <c r="W721" s="241"/>
      <c r="X721" s="241"/>
      <c r="Y721" s="241"/>
      <c r="Z721" s="241"/>
    </row>
    <row r="722" spans="1:26" ht="13.5" customHeight="1" x14ac:dyDescent="0.3">
      <c r="A722" s="241"/>
      <c r="B722" s="241"/>
      <c r="C722" s="241"/>
      <c r="D722" s="241"/>
      <c r="E722" s="241"/>
      <c r="F722" s="241"/>
      <c r="G722" s="241"/>
      <c r="H722" s="241"/>
      <c r="I722" s="241"/>
      <c r="J722" s="241"/>
      <c r="K722" s="241"/>
      <c r="L722" s="241"/>
      <c r="M722" s="241"/>
      <c r="N722" s="241"/>
      <c r="O722" s="241"/>
      <c r="P722" s="241"/>
      <c r="Q722" s="241"/>
      <c r="R722" s="241"/>
      <c r="S722" s="241"/>
      <c r="T722" s="241"/>
      <c r="U722" s="241"/>
      <c r="V722" s="241"/>
      <c r="W722" s="241"/>
      <c r="X722" s="241"/>
      <c r="Y722" s="241"/>
      <c r="Z722" s="241"/>
    </row>
    <row r="723" spans="1:26" ht="13.5" customHeight="1" x14ac:dyDescent="0.3">
      <c r="A723" s="241"/>
      <c r="B723" s="241"/>
      <c r="C723" s="241"/>
      <c r="D723" s="241"/>
      <c r="E723" s="241"/>
      <c r="F723" s="241"/>
      <c r="G723" s="241"/>
      <c r="H723" s="241"/>
      <c r="I723" s="241"/>
      <c r="J723" s="241"/>
      <c r="K723" s="241"/>
      <c r="L723" s="241"/>
      <c r="M723" s="241"/>
      <c r="N723" s="241"/>
      <c r="O723" s="241"/>
      <c r="P723" s="241"/>
      <c r="Q723" s="241"/>
      <c r="R723" s="241"/>
      <c r="S723" s="241"/>
      <c r="T723" s="241"/>
      <c r="U723" s="241"/>
      <c r="V723" s="241"/>
      <c r="W723" s="241"/>
      <c r="X723" s="241"/>
      <c r="Y723" s="241"/>
      <c r="Z723" s="241"/>
    </row>
    <row r="724" spans="1:26" ht="13.5" customHeight="1" x14ac:dyDescent="0.3">
      <c r="A724" s="241"/>
      <c r="B724" s="241"/>
      <c r="C724" s="241"/>
      <c r="D724" s="241"/>
      <c r="E724" s="241"/>
      <c r="F724" s="241"/>
      <c r="G724" s="241"/>
      <c r="H724" s="241"/>
      <c r="I724" s="241"/>
      <c r="J724" s="241"/>
      <c r="K724" s="241"/>
      <c r="L724" s="241"/>
      <c r="M724" s="241"/>
      <c r="N724" s="241"/>
      <c r="O724" s="241"/>
      <c r="P724" s="241"/>
      <c r="Q724" s="241"/>
      <c r="R724" s="241"/>
      <c r="S724" s="241"/>
      <c r="T724" s="241"/>
      <c r="U724" s="241"/>
      <c r="V724" s="241"/>
      <c r="W724" s="241"/>
      <c r="X724" s="241"/>
      <c r="Y724" s="241"/>
      <c r="Z724" s="241"/>
    </row>
    <row r="725" spans="1:26" ht="13.5" customHeight="1" x14ac:dyDescent="0.3">
      <c r="A725" s="241"/>
      <c r="B725" s="241"/>
      <c r="C725" s="241"/>
      <c r="D725" s="241"/>
      <c r="E725" s="241"/>
      <c r="F725" s="241"/>
      <c r="G725" s="241"/>
      <c r="H725" s="241"/>
      <c r="I725" s="241"/>
      <c r="J725" s="241"/>
      <c r="K725" s="241"/>
      <c r="L725" s="241"/>
      <c r="M725" s="241"/>
      <c r="N725" s="241"/>
      <c r="O725" s="241"/>
      <c r="P725" s="241"/>
      <c r="Q725" s="241"/>
      <c r="R725" s="241"/>
      <c r="S725" s="241"/>
      <c r="T725" s="241"/>
      <c r="U725" s="241"/>
      <c r="V725" s="241"/>
      <c r="W725" s="241"/>
      <c r="X725" s="241"/>
      <c r="Y725" s="241"/>
      <c r="Z725" s="241"/>
    </row>
    <row r="726" spans="1:26" ht="13.5" customHeight="1" x14ac:dyDescent="0.3">
      <c r="A726" s="241"/>
      <c r="B726" s="241"/>
      <c r="C726" s="241"/>
      <c r="D726" s="241"/>
      <c r="E726" s="241"/>
      <c r="F726" s="241"/>
      <c r="G726" s="241"/>
      <c r="H726" s="241"/>
      <c r="I726" s="241"/>
      <c r="J726" s="241"/>
      <c r="K726" s="241"/>
      <c r="L726" s="241"/>
      <c r="M726" s="241"/>
      <c r="N726" s="241"/>
      <c r="O726" s="241"/>
      <c r="P726" s="241"/>
      <c r="Q726" s="241"/>
      <c r="R726" s="241"/>
      <c r="S726" s="241"/>
      <c r="T726" s="241"/>
      <c r="U726" s="241"/>
      <c r="V726" s="241"/>
      <c r="W726" s="241"/>
      <c r="X726" s="241"/>
      <c r="Y726" s="241"/>
      <c r="Z726" s="241"/>
    </row>
    <row r="727" spans="1:26" ht="13.5" customHeight="1" x14ac:dyDescent="0.3">
      <c r="A727" s="241"/>
      <c r="B727" s="241"/>
      <c r="C727" s="241"/>
      <c r="D727" s="241"/>
      <c r="E727" s="241"/>
      <c r="F727" s="241"/>
      <c r="G727" s="241"/>
      <c r="H727" s="241"/>
      <c r="I727" s="241"/>
      <c r="J727" s="241"/>
      <c r="K727" s="241"/>
      <c r="L727" s="241"/>
      <c r="M727" s="241"/>
      <c r="N727" s="241"/>
      <c r="O727" s="241"/>
      <c r="P727" s="241"/>
      <c r="Q727" s="241"/>
      <c r="R727" s="241"/>
      <c r="S727" s="241"/>
      <c r="T727" s="241"/>
      <c r="U727" s="241"/>
      <c r="V727" s="241"/>
      <c r="W727" s="241"/>
      <c r="X727" s="241"/>
      <c r="Y727" s="241"/>
      <c r="Z727" s="241"/>
    </row>
    <row r="728" spans="1:26" ht="13.5" customHeight="1" x14ac:dyDescent="0.3">
      <c r="A728" s="241"/>
      <c r="B728" s="241"/>
      <c r="C728" s="241"/>
      <c r="D728" s="241"/>
      <c r="E728" s="241"/>
      <c r="F728" s="241"/>
      <c r="G728" s="241"/>
      <c r="H728" s="241"/>
      <c r="I728" s="241"/>
      <c r="J728" s="241"/>
      <c r="K728" s="241"/>
      <c r="L728" s="241"/>
      <c r="M728" s="241"/>
      <c r="N728" s="241"/>
      <c r="O728" s="241"/>
      <c r="P728" s="241"/>
      <c r="Q728" s="241"/>
      <c r="R728" s="241"/>
      <c r="S728" s="241"/>
      <c r="T728" s="241"/>
      <c r="U728" s="241"/>
      <c r="V728" s="241"/>
      <c r="W728" s="241"/>
      <c r="X728" s="241"/>
      <c r="Y728" s="241"/>
      <c r="Z728" s="241"/>
    </row>
    <row r="729" spans="1:26" ht="13.5" customHeight="1" x14ac:dyDescent="0.3">
      <c r="A729" s="241"/>
      <c r="B729" s="241"/>
      <c r="C729" s="241"/>
      <c r="D729" s="241"/>
      <c r="E729" s="241"/>
      <c r="F729" s="241"/>
      <c r="G729" s="241"/>
      <c r="H729" s="241"/>
      <c r="I729" s="241"/>
      <c r="J729" s="241"/>
      <c r="K729" s="241"/>
      <c r="L729" s="241"/>
      <c r="M729" s="241"/>
      <c r="N729" s="241"/>
      <c r="O729" s="241"/>
      <c r="P729" s="241"/>
      <c r="Q729" s="241"/>
      <c r="R729" s="241"/>
      <c r="S729" s="241"/>
      <c r="T729" s="241"/>
      <c r="U729" s="241"/>
      <c r="V729" s="241"/>
      <c r="W729" s="241"/>
      <c r="X729" s="241"/>
      <c r="Y729" s="241"/>
      <c r="Z729" s="241"/>
    </row>
    <row r="730" spans="1:26" ht="13.5" customHeight="1" x14ac:dyDescent="0.3">
      <c r="A730" s="241"/>
      <c r="B730" s="241"/>
      <c r="C730" s="241"/>
      <c r="D730" s="241"/>
      <c r="E730" s="241"/>
      <c r="F730" s="241"/>
      <c r="G730" s="241"/>
      <c r="H730" s="241"/>
      <c r="I730" s="241"/>
      <c r="J730" s="241"/>
      <c r="K730" s="241"/>
      <c r="L730" s="241"/>
      <c r="M730" s="241"/>
      <c r="N730" s="241"/>
      <c r="O730" s="241"/>
      <c r="P730" s="241"/>
      <c r="Q730" s="241"/>
      <c r="R730" s="241"/>
      <c r="S730" s="241"/>
      <c r="T730" s="241"/>
      <c r="U730" s="241"/>
      <c r="V730" s="241"/>
      <c r="W730" s="241"/>
      <c r="X730" s="241"/>
      <c r="Y730" s="241"/>
      <c r="Z730" s="241"/>
    </row>
    <row r="731" spans="1:26" ht="13.5" customHeight="1" x14ac:dyDescent="0.3">
      <c r="A731" s="241"/>
      <c r="B731" s="241"/>
      <c r="C731" s="241"/>
      <c r="D731" s="241"/>
      <c r="E731" s="241"/>
      <c r="F731" s="241"/>
      <c r="G731" s="241"/>
      <c r="H731" s="241"/>
      <c r="I731" s="241"/>
      <c r="J731" s="241"/>
      <c r="K731" s="241"/>
      <c r="L731" s="241"/>
      <c r="M731" s="241"/>
      <c r="N731" s="241"/>
      <c r="O731" s="241"/>
      <c r="P731" s="241"/>
      <c r="Q731" s="241"/>
      <c r="R731" s="241"/>
      <c r="S731" s="241"/>
      <c r="T731" s="241"/>
      <c r="U731" s="241"/>
      <c r="V731" s="241"/>
      <c r="W731" s="241"/>
      <c r="X731" s="241"/>
      <c r="Y731" s="241"/>
      <c r="Z731" s="241"/>
    </row>
    <row r="732" spans="1:26" ht="13.5" customHeight="1" x14ac:dyDescent="0.3">
      <c r="A732" s="241"/>
      <c r="B732" s="241"/>
      <c r="C732" s="241"/>
      <c r="D732" s="241"/>
      <c r="E732" s="241"/>
      <c r="F732" s="241"/>
      <c r="G732" s="241"/>
      <c r="H732" s="241"/>
      <c r="I732" s="241"/>
      <c r="J732" s="241"/>
      <c r="K732" s="241"/>
      <c r="L732" s="241"/>
      <c r="M732" s="241"/>
      <c r="N732" s="241"/>
      <c r="O732" s="241"/>
      <c r="P732" s="241"/>
      <c r="Q732" s="241"/>
      <c r="R732" s="241"/>
      <c r="S732" s="241"/>
      <c r="T732" s="241"/>
      <c r="U732" s="241"/>
      <c r="V732" s="241"/>
      <c r="W732" s="241"/>
      <c r="X732" s="241"/>
      <c r="Y732" s="241"/>
      <c r="Z732" s="241"/>
    </row>
    <row r="733" spans="1:26" ht="13.5" customHeight="1" x14ac:dyDescent="0.3">
      <c r="A733" s="241"/>
      <c r="B733" s="241"/>
      <c r="C733" s="241"/>
      <c r="D733" s="241"/>
      <c r="E733" s="241"/>
      <c r="F733" s="241"/>
      <c r="G733" s="241"/>
      <c r="H733" s="241"/>
      <c r="I733" s="241"/>
      <c r="J733" s="241"/>
      <c r="K733" s="241"/>
      <c r="L733" s="241"/>
      <c r="M733" s="241"/>
      <c r="N733" s="241"/>
      <c r="O733" s="241"/>
      <c r="P733" s="241"/>
      <c r="Q733" s="241"/>
      <c r="R733" s="241"/>
      <c r="S733" s="241"/>
      <c r="T733" s="241"/>
      <c r="U733" s="241"/>
      <c r="V733" s="241"/>
      <c r="W733" s="241"/>
      <c r="X733" s="241"/>
      <c r="Y733" s="241"/>
      <c r="Z733" s="241"/>
    </row>
    <row r="734" spans="1:26" ht="13.5" customHeight="1" x14ac:dyDescent="0.3">
      <c r="A734" s="241"/>
      <c r="B734" s="241"/>
      <c r="C734" s="241"/>
      <c r="D734" s="241"/>
      <c r="E734" s="241"/>
      <c r="F734" s="241"/>
      <c r="G734" s="241"/>
      <c r="H734" s="241"/>
      <c r="I734" s="241"/>
      <c r="J734" s="241"/>
      <c r="K734" s="241"/>
      <c r="L734" s="241"/>
      <c r="M734" s="241"/>
      <c r="N734" s="241"/>
      <c r="O734" s="241"/>
      <c r="P734" s="241"/>
      <c r="Q734" s="241"/>
      <c r="R734" s="241"/>
      <c r="S734" s="241"/>
      <c r="T734" s="241"/>
      <c r="U734" s="241"/>
      <c r="V734" s="241"/>
      <c r="W734" s="241"/>
      <c r="X734" s="241"/>
      <c r="Y734" s="241"/>
      <c r="Z734" s="241"/>
    </row>
    <row r="735" spans="1:26" ht="13.5" customHeight="1" x14ac:dyDescent="0.3">
      <c r="A735" s="241"/>
      <c r="B735" s="241"/>
      <c r="C735" s="241"/>
      <c r="D735" s="241"/>
      <c r="E735" s="241"/>
      <c r="F735" s="241"/>
      <c r="G735" s="241"/>
      <c r="H735" s="241"/>
      <c r="I735" s="241"/>
      <c r="J735" s="241"/>
      <c r="K735" s="241"/>
      <c r="L735" s="241"/>
      <c r="M735" s="241"/>
      <c r="N735" s="241"/>
      <c r="O735" s="241"/>
      <c r="P735" s="241"/>
      <c r="Q735" s="241"/>
      <c r="R735" s="241"/>
      <c r="S735" s="241"/>
      <c r="T735" s="241"/>
      <c r="U735" s="241"/>
      <c r="V735" s="241"/>
      <c r="W735" s="241"/>
      <c r="X735" s="241"/>
      <c r="Y735" s="241"/>
      <c r="Z735" s="241"/>
    </row>
    <row r="736" spans="1:26" ht="13.5" customHeight="1" x14ac:dyDescent="0.3">
      <c r="A736" s="241"/>
      <c r="B736" s="241"/>
      <c r="C736" s="241"/>
      <c r="D736" s="241"/>
      <c r="E736" s="241"/>
      <c r="F736" s="241"/>
      <c r="G736" s="241"/>
      <c r="H736" s="241"/>
      <c r="I736" s="241"/>
      <c r="J736" s="241"/>
      <c r="K736" s="241"/>
      <c r="L736" s="241"/>
      <c r="M736" s="241"/>
      <c r="N736" s="241"/>
      <c r="O736" s="241"/>
      <c r="P736" s="241"/>
      <c r="Q736" s="241"/>
      <c r="R736" s="241"/>
      <c r="S736" s="241"/>
      <c r="T736" s="241"/>
      <c r="U736" s="241"/>
      <c r="V736" s="241"/>
      <c r="W736" s="241"/>
      <c r="X736" s="241"/>
      <c r="Y736" s="241"/>
      <c r="Z736" s="241"/>
    </row>
    <row r="737" spans="1:26" ht="13.5" customHeight="1" x14ac:dyDescent="0.3">
      <c r="A737" s="241"/>
      <c r="B737" s="241"/>
      <c r="C737" s="241"/>
      <c r="D737" s="241"/>
      <c r="E737" s="241"/>
      <c r="F737" s="241"/>
      <c r="G737" s="241"/>
      <c r="H737" s="241"/>
      <c r="I737" s="241"/>
      <c r="J737" s="241"/>
      <c r="K737" s="241"/>
      <c r="L737" s="241"/>
      <c r="M737" s="241"/>
      <c r="N737" s="241"/>
      <c r="O737" s="241"/>
      <c r="P737" s="241"/>
      <c r="Q737" s="241"/>
      <c r="R737" s="241"/>
      <c r="S737" s="241"/>
      <c r="T737" s="241"/>
      <c r="U737" s="241"/>
      <c r="V737" s="241"/>
      <c r="W737" s="241"/>
      <c r="X737" s="241"/>
      <c r="Y737" s="241"/>
      <c r="Z737" s="241"/>
    </row>
    <row r="738" spans="1:26" ht="13.5" customHeight="1" x14ac:dyDescent="0.3">
      <c r="A738" s="241"/>
      <c r="B738" s="241"/>
      <c r="C738" s="241"/>
      <c r="D738" s="241"/>
      <c r="E738" s="241"/>
      <c r="F738" s="241"/>
      <c r="G738" s="241"/>
      <c r="H738" s="241"/>
      <c r="I738" s="241"/>
      <c r="J738" s="241"/>
      <c r="K738" s="241"/>
      <c r="L738" s="241"/>
      <c r="M738" s="241"/>
      <c r="N738" s="241"/>
      <c r="O738" s="241"/>
      <c r="P738" s="241"/>
      <c r="Q738" s="241"/>
      <c r="R738" s="241"/>
      <c r="S738" s="241"/>
      <c r="T738" s="241"/>
      <c r="U738" s="241"/>
      <c r="V738" s="241"/>
      <c r="W738" s="241"/>
      <c r="X738" s="241"/>
      <c r="Y738" s="241"/>
      <c r="Z738" s="241"/>
    </row>
    <row r="739" spans="1:26" ht="13.5" customHeight="1" x14ac:dyDescent="0.3">
      <c r="A739" s="241"/>
      <c r="B739" s="241"/>
      <c r="C739" s="241"/>
      <c r="D739" s="241"/>
      <c r="E739" s="241"/>
      <c r="F739" s="241"/>
      <c r="G739" s="241"/>
      <c r="H739" s="241"/>
      <c r="I739" s="241"/>
      <c r="J739" s="241"/>
      <c r="K739" s="241"/>
      <c r="L739" s="241"/>
      <c r="M739" s="241"/>
      <c r="N739" s="241"/>
      <c r="O739" s="241"/>
      <c r="P739" s="241"/>
      <c r="Q739" s="241"/>
      <c r="R739" s="241"/>
      <c r="S739" s="241"/>
      <c r="T739" s="241"/>
      <c r="U739" s="241"/>
      <c r="V739" s="241"/>
      <c r="W739" s="241"/>
      <c r="X739" s="241"/>
      <c r="Y739" s="241"/>
      <c r="Z739" s="241"/>
    </row>
    <row r="740" spans="1:26" ht="13.5" customHeight="1" x14ac:dyDescent="0.3">
      <c r="A740" s="241"/>
      <c r="B740" s="241"/>
      <c r="C740" s="241"/>
      <c r="D740" s="241"/>
      <c r="E740" s="241"/>
      <c r="F740" s="241"/>
      <c r="G740" s="241"/>
      <c r="H740" s="241"/>
      <c r="I740" s="241"/>
      <c r="J740" s="241"/>
      <c r="K740" s="241"/>
      <c r="L740" s="241"/>
      <c r="M740" s="241"/>
      <c r="N740" s="241"/>
      <c r="O740" s="241"/>
      <c r="P740" s="241"/>
      <c r="Q740" s="241"/>
      <c r="R740" s="241"/>
      <c r="S740" s="241"/>
      <c r="T740" s="241"/>
      <c r="U740" s="241"/>
      <c r="V740" s="241"/>
      <c r="W740" s="241"/>
      <c r="X740" s="241"/>
      <c r="Y740" s="241"/>
      <c r="Z740" s="241"/>
    </row>
    <row r="741" spans="1:26" ht="13.5" customHeight="1" x14ac:dyDescent="0.3">
      <c r="A741" s="241"/>
      <c r="B741" s="241"/>
      <c r="C741" s="241"/>
      <c r="D741" s="241"/>
      <c r="E741" s="241"/>
      <c r="F741" s="241"/>
      <c r="G741" s="241"/>
      <c r="H741" s="241"/>
      <c r="I741" s="241"/>
      <c r="J741" s="241"/>
      <c r="K741" s="241"/>
      <c r="L741" s="241"/>
      <c r="M741" s="241"/>
      <c r="N741" s="241"/>
      <c r="O741" s="241"/>
      <c r="P741" s="241"/>
      <c r="Q741" s="241"/>
      <c r="R741" s="241"/>
      <c r="S741" s="241"/>
      <c r="T741" s="241"/>
      <c r="U741" s="241"/>
      <c r="V741" s="241"/>
      <c r="W741" s="241"/>
      <c r="X741" s="241"/>
      <c r="Y741" s="241"/>
      <c r="Z741" s="241"/>
    </row>
    <row r="742" spans="1:26" ht="13.5" customHeight="1" x14ac:dyDescent="0.3">
      <c r="A742" s="241"/>
      <c r="B742" s="241"/>
      <c r="C742" s="241"/>
      <c r="D742" s="241"/>
      <c r="E742" s="241"/>
      <c r="F742" s="241"/>
      <c r="G742" s="241"/>
      <c r="H742" s="241"/>
      <c r="I742" s="241"/>
      <c r="J742" s="241"/>
      <c r="K742" s="241"/>
      <c r="L742" s="241"/>
      <c r="M742" s="241"/>
      <c r="N742" s="241"/>
      <c r="O742" s="241"/>
      <c r="P742" s="241"/>
      <c r="Q742" s="241"/>
      <c r="R742" s="241"/>
      <c r="S742" s="241"/>
      <c r="T742" s="241"/>
      <c r="U742" s="241"/>
      <c r="V742" s="241"/>
      <c r="W742" s="241"/>
      <c r="X742" s="241"/>
      <c r="Y742" s="241"/>
      <c r="Z742" s="241"/>
    </row>
    <row r="743" spans="1:26" ht="13.5" customHeight="1" x14ac:dyDescent="0.3">
      <c r="A743" s="241"/>
      <c r="B743" s="241"/>
      <c r="C743" s="241"/>
      <c r="D743" s="241"/>
      <c r="E743" s="241"/>
      <c r="F743" s="241"/>
      <c r="G743" s="241"/>
      <c r="H743" s="241"/>
      <c r="I743" s="241"/>
      <c r="J743" s="241"/>
      <c r="K743" s="241"/>
      <c r="L743" s="241"/>
      <c r="M743" s="241"/>
      <c r="N743" s="241"/>
      <c r="O743" s="241"/>
      <c r="P743" s="241"/>
      <c r="Q743" s="241"/>
      <c r="R743" s="241"/>
      <c r="S743" s="241"/>
      <c r="T743" s="241"/>
      <c r="U743" s="241"/>
      <c r="V743" s="241"/>
      <c r="W743" s="241"/>
      <c r="X743" s="241"/>
      <c r="Y743" s="241"/>
      <c r="Z743" s="241"/>
    </row>
    <row r="744" spans="1:26" ht="13.5" customHeight="1" x14ac:dyDescent="0.3">
      <c r="A744" s="241"/>
      <c r="B744" s="241"/>
      <c r="C744" s="241"/>
      <c r="D744" s="241"/>
      <c r="E744" s="241"/>
      <c r="F744" s="241"/>
      <c r="G744" s="241"/>
      <c r="H744" s="241"/>
      <c r="I744" s="241"/>
      <c r="J744" s="241"/>
      <c r="K744" s="241"/>
      <c r="L744" s="241"/>
      <c r="M744" s="241"/>
      <c r="N744" s="241"/>
      <c r="O744" s="241"/>
      <c r="P744" s="241"/>
      <c r="Q744" s="241"/>
      <c r="R744" s="241"/>
      <c r="S744" s="241"/>
      <c r="T744" s="241"/>
      <c r="U744" s="241"/>
      <c r="V744" s="241"/>
      <c r="W744" s="241"/>
      <c r="X744" s="241"/>
      <c r="Y744" s="241"/>
      <c r="Z744" s="241"/>
    </row>
    <row r="745" spans="1:26" ht="13.5" customHeight="1" x14ac:dyDescent="0.3">
      <c r="A745" s="241"/>
      <c r="B745" s="241"/>
      <c r="C745" s="241"/>
      <c r="D745" s="241"/>
      <c r="E745" s="241"/>
      <c r="F745" s="241"/>
      <c r="G745" s="241"/>
      <c r="H745" s="241"/>
      <c r="I745" s="241"/>
      <c r="J745" s="241"/>
      <c r="K745" s="241"/>
      <c r="L745" s="241"/>
      <c r="M745" s="241"/>
      <c r="N745" s="241"/>
      <c r="O745" s="241"/>
      <c r="P745" s="241"/>
      <c r="Q745" s="241"/>
      <c r="R745" s="241"/>
      <c r="S745" s="241"/>
      <c r="T745" s="241"/>
      <c r="U745" s="241"/>
      <c r="V745" s="241"/>
      <c r="W745" s="241"/>
      <c r="X745" s="241"/>
      <c r="Y745" s="241"/>
      <c r="Z745" s="241"/>
    </row>
    <row r="746" spans="1:26" ht="13.5" customHeight="1" x14ac:dyDescent="0.3">
      <c r="A746" s="241"/>
      <c r="B746" s="241"/>
      <c r="C746" s="241"/>
      <c r="D746" s="241"/>
      <c r="E746" s="241"/>
      <c r="F746" s="241"/>
      <c r="G746" s="241"/>
      <c r="H746" s="241"/>
      <c r="I746" s="241"/>
      <c r="J746" s="241"/>
      <c r="K746" s="241"/>
      <c r="L746" s="241"/>
      <c r="M746" s="241"/>
      <c r="N746" s="241"/>
      <c r="O746" s="241"/>
      <c r="P746" s="241"/>
      <c r="Q746" s="241"/>
      <c r="R746" s="241"/>
      <c r="S746" s="241"/>
      <c r="T746" s="241"/>
      <c r="U746" s="241"/>
      <c r="V746" s="241"/>
      <c r="W746" s="241"/>
      <c r="X746" s="241"/>
      <c r="Y746" s="241"/>
      <c r="Z746" s="241"/>
    </row>
    <row r="747" spans="1:26" ht="13.5" customHeight="1" x14ac:dyDescent="0.3">
      <c r="A747" s="241"/>
      <c r="B747" s="241"/>
      <c r="C747" s="241"/>
      <c r="D747" s="241"/>
      <c r="E747" s="241"/>
      <c r="F747" s="241"/>
      <c r="G747" s="241"/>
      <c r="H747" s="241"/>
      <c r="I747" s="241"/>
      <c r="J747" s="241"/>
      <c r="K747" s="241"/>
      <c r="L747" s="241"/>
      <c r="M747" s="241"/>
      <c r="N747" s="241"/>
      <c r="O747" s="241"/>
      <c r="P747" s="241"/>
      <c r="Q747" s="241"/>
      <c r="R747" s="241"/>
      <c r="S747" s="241"/>
      <c r="T747" s="241"/>
      <c r="U747" s="241"/>
      <c r="V747" s="241"/>
      <c r="W747" s="241"/>
      <c r="X747" s="241"/>
      <c r="Y747" s="241"/>
      <c r="Z747" s="241"/>
    </row>
    <row r="748" spans="1:26" ht="13.5" customHeight="1" x14ac:dyDescent="0.3">
      <c r="A748" s="241"/>
      <c r="B748" s="241"/>
      <c r="C748" s="241"/>
      <c r="D748" s="241"/>
      <c r="E748" s="241"/>
      <c r="F748" s="241"/>
      <c r="G748" s="241"/>
      <c r="H748" s="241"/>
      <c r="I748" s="241"/>
      <c r="J748" s="241"/>
      <c r="K748" s="241"/>
      <c r="L748" s="241"/>
      <c r="M748" s="241"/>
      <c r="N748" s="241"/>
      <c r="O748" s="241"/>
      <c r="P748" s="241"/>
      <c r="Q748" s="241"/>
      <c r="R748" s="241"/>
      <c r="S748" s="241"/>
      <c r="T748" s="241"/>
      <c r="U748" s="241"/>
      <c r="V748" s="241"/>
      <c r="W748" s="241"/>
      <c r="X748" s="241"/>
      <c r="Y748" s="241"/>
      <c r="Z748" s="241"/>
    </row>
    <row r="749" spans="1:26" ht="13.5" customHeight="1" x14ac:dyDescent="0.3">
      <c r="A749" s="241"/>
      <c r="B749" s="241"/>
      <c r="C749" s="241"/>
      <c r="D749" s="241"/>
      <c r="E749" s="241"/>
      <c r="F749" s="241"/>
      <c r="G749" s="241"/>
      <c r="H749" s="241"/>
      <c r="I749" s="241"/>
      <c r="J749" s="241"/>
      <c r="K749" s="241"/>
      <c r="L749" s="241"/>
      <c r="M749" s="241"/>
      <c r="N749" s="241"/>
      <c r="O749" s="241"/>
      <c r="P749" s="241"/>
      <c r="Q749" s="241"/>
      <c r="R749" s="241"/>
      <c r="S749" s="241"/>
      <c r="T749" s="241"/>
      <c r="U749" s="241"/>
      <c r="V749" s="241"/>
      <c r="W749" s="241"/>
      <c r="X749" s="241"/>
      <c r="Y749" s="241"/>
      <c r="Z749" s="241"/>
    </row>
    <row r="750" spans="1:26" ht="13.5" customHeight="1" x14ac:dyDescent="0.3">
      <c r="A750" s="241"/>
      <c r="B750" s="241"/>
      <c r="C750" s="241"/>
      <c r="D750" s="241"/>
      <c r="E750" s="241"/>
      <c r="F750" s="241"/>
      <c r="G750" s="241"/>
      <c r="H750" s="241"/>
      <c r="I750" s="241"/>
      <c r="J750" s="241"/>
      <c r="K750" s="241"/>
      <c r="L750" s="241"/>
      <c r="M750" s="241"/>
      <c r="N750" s="241"/>
      <c r="O750" s="241"/>
      <c r="P750" s="241"/>
      <c r="Q750" s="241"/>
      <c r="R750" s="241"/>
      <c r="S750" s="241"/>
      <c r="T750" s="241"/>
      <c r="U750" s="241"/>
      <c r="V750" s="241"/>
      <c r="W750" s="241"/>
      <c r="X750" s="241"/>
      <c r="Y750" s="241"/>
      <c r="Z750" s="241"/>
    </row>
    <row r="751" spans="1:26" ht="13.5" customHeight="1" x14ac:dyDescent="0.3">
      <c r="A751" s="241"/>
      <c r="B751" s="241"/>
      <c r="C751" s="241"/>
      <c r="D751" s="241"/>
      <c r="E751" s="241"/>
      <c r="F751" s="241"/>
      <c r="G751" s="241"/>
      <c r="H751" s="241"/>
      <c r="I751" s="241"/>
      <c r="J751" s="241"/>
      <c r="K751" s="241"/>
      <c r="L751" s="241"/>
      <c r="M751" s="241"/>
      <c r="N751" s="241"/>
      <c r="O751" s="241"/>
      <c r="P751" s="241"/>
      <c r="Q751" s="241"/>
      <c r="R751" s="241"/>
      <c r="S751" s="241"/>
      <c r="T751" s="241"/>
      <c r="U751" s="241"/>
      <c r="V751" s="241"/>
      <c r="W751" s="241"/>
      <c r="X751" s="241"/>
      <c r="Y751" s="241"/>
      <c r="Z751" s="241"/>
    </row>
    <row r="752" spans="1:26" ht="13.5" customHeight="1" x14ac:dyDescent="0.3">
      <c r="A752" s="241"/>
      <c r="B752" s="241"/>
      <c r="C752" s="241"/>
      <c r="D752" s="241"/>
      <c r="E752" s="241"/>
      <c r="F752" s="241"/>
      <c r="G752" s="241"/>
      <c r="H752" s="241"/>
      <c r="I752" s="241"/>
      <c r="J752" s="241"/>
      <c r="K752" s="241"/>
      <c r="L752" s="241"/>
      <c r="M752" s="241"/>
      <c r="N752" s="241"/>
      <c r="O752" s="241"/>
      <c r="P752" s="241"/>
      <c r="Q752" s="241"/>
      <c r="R752" s="241"/>
      <c r="S752" s="241"/>
      <c r="T752" s="241"/>
      <c r="U752" s="241"/>
      <c r="V752" s="241"/>
      <c r="W752" s="241"/>
      <c r="X752" s="241"/>
      <c r="Y752" s="241"/>
      <c r="Z752" s="241"/>
    </row>
    <row r="753" spans="1:26" ht="13.5" customHeight="1" x14ac:dyDescent="0.3">
      <c r="A753" s="241"/>
      <c r="B753" s="241"/>
      <c r="C753" s="241"/>
      <c r="D753" s="241"/>
      <c r="E753" s="241"/>
      <c r="F753" s="241"/>
      <c r="G753" s="241"/>
      <c r="H753" s="241"/>
      <c r="I753" s="241"/>
      <c r="J753" s="241"/>
      <c r="K753" s="241"/>
      <c r="L753" s="241"/>
      <c r="M753" s="241"/>
      <c r="N753" s="241"/>
      <c r="O753" s="241"/>
      <c r="P753" s="241"/>
      <c r="Q753" s="241"/>
      <c r="R753" s="241"/>
      <c r="S753" s="241"/>
      <c r="T753" s="241"/>
      <c r="U753" s="241"/>
      <c r="V753" s="241"/>
      <c r="W753" s="241"/>
      <c r="X753" s="241"/>
      <c r="Y753" s="241"/>
      <c r="Z753" s="241"/>
    </row>
    <row r="754" spans="1:26" ht="13.5" customHeight="1" x14ac:dyDescent="0.3">
      <c r="A754" s="241"/>
      <c r="B754" s="241"/>
      <c r="C754" s="241"/>
      <c r="D754" s="241"/>
      <c r="E754" s="241"/>
      <c r="F754" s="241"/>
      <c r="G754" s="241"/>
      <c r="H754" s="241"/>
      <c r="I754" s="241"/>
      <c r="J754" s="241"/>
      <c r="K754" s="241"/>
      <c r="L754" s="241"/>
      <c r="M754" s="241"/>
      <c r="N754" s="241"/>
      <c r="O754" s="241"/>
      <c r="P754" s="241"/>
      <c r="Q754" s="241"/>
      <c r="R754" s="241"/>
      <c r="S754" s="241"/>
      <c r="T754" s="241"/>
      <c r="U754" s="241"/>
      <c r="V754" s="241"/>
      <c r="W754" s="241"/>
      <c r="X754" s="241"/>
      <c r="Y754" s="241"/>
      <c r="Z754" s="241"/>
    </row>
    <row r="755" spans="1:26" ht="13.5" customHeight="1" x14ac:dyDescent="0.3">
      <c r="A755" s="241"/>
      <c r="B755" s="241"/>
      <c r="C755" s="241"/>
      <c r="D755" s="241"/>
      <c r="E755" s="241"/>
      <c r="F755" s="241"/>
      <c r="G755" s="241"/>
      <c r="H755" s="241"/>
      <c r="I755" s="241"/>
      <c r="J755" s="241"/>
      <c r="K755" s="241"/>
      <c r="L755" s="241"/>
      <c r="M755" s="241"/>
      <c r="N755" s="241"/>
      <c r="O755" s="241"/>
      <c r="P755" s="241"/>
      <c r="Q755" s="241"/>
      <c r="R755" s="241"/>
      <c r="S755" s="241"/>
      <c r="T755" s="241"/>
      <c r="U755" s="241"/>
      <c r="V755" s="241"/>
      <c r="W755" s="241"/>
      <c r="X755" s="241"/>
      <c r="Y755" s="241"/>
      <c r="Z755" s="241"/>
    </row>
    <row r="756" spans="1:26" ht="13.5" customHeight="1" x14ac:dyDescent="0.3">
      <c r="A756" s="241"/>
      <c r="B756" s="241"/>
      <c r="C756" s="241"/>
      <c r="D756" s="241"/>
      <c r="E756" s="241"/>
      <c r="F756" s="241"/>
      <c r="G756" s="241"/>
      <c r="H756" s="241"/>
      <c r="I756" s="241"/>
      <c r="J756" s="241"/>
      <c r="K756" s="241"/>
      <c r="L756" s="241"/>
      <c r="M756" s="241"/>
      <c r="N756" s="241"/>
      <c r="O756" s="241"/>
      <c r="P756" s="241"/>
      <c r="Q756" s="241"/>
      <c r="R756" s="241"/>
      <c r="S756" s="241"/>
      <c r="T756" s="241"/>
      <c r="U756" s="241"/>
      <c r="V756" s="241"/>
      <c r="W756" s="241"/>
      <c r="X756" s="241"/>
      <c r="Y756" s="241"/>
      <c r="Z756" s="241"/>
    </row>
    <row r="757" spans="1:26" ht="13.5" customHeight="1" x14ac:dyDescent="0.3">
      <c r="A757" s="241"/>
      <c r="B757" s="241"/>
      <c r="C757" s="241"/>
      <c r="D757" s="241"/>
      <c r="E757" s="241"/>
      <c r="F757" s="241"/>
      <c r="G757" s="241"/>
      <c r="H757" s="241"/>
      <c r="I757" s="241"/>
      <c r="J757" s="241"/>
      <c r="K757" s="241"/>
      <c r="L757" s="241"/>
      <c r="M757" s="241"/>
      <c r="N757" s="241"/>
      <c r="O757" s="241"/>
      <c r="P757" s="241"/>
      <c r="Q757" s="241"/>
      <c r="R757" s="241"/>
      <c r="S757" s="241"/>
      <c r="T757" s="241"/>
      <c r="U757" s="241"/>
      <c r="V757" s="241"/>
      <c r="W757" s="241"/>
      <c r="X757" s="241"/>
      <c r="Y757" s="241"/>
      <c r="Z757" s="241"/>
    </row>
    <row r="758" spans="1:26" ht="13.5" customHeight="1" x14ac:dyDescent="0.3">
      <c r="A758" s="241"/>
      <c r="B758" s="241"/>
      <c r="C758" s="241"/>
      <c r="D758" s="241"/>
      <c r="E758" s="241"/>
      <c r="F758" s="241"/>
      <c r="G758" s="241"/>
      <c r="H758" s="241"/>
      <c r="I758" s="241"/>
      <c r="J758" s="241"/>
      <c r="K758" s="241"/>
      <c r="L758" s="241"/>
      <c r="M758" s="241"/>
      <c r="N758" s="241"/>
      <c r="O758" s="241"/>
      <c r="P758" s="241"/>
      <c r="Q758" s="241"/>
      <c r="R758" s="241"/>
      <c r="S758" s="241"/>
      <c r="T758" s="241"/>
      <c r="U758" s="241"/>
      <c r="V758" s="241"/>
      <c r="W758" s="241"/>
      <c r="X758" s="241"/>
      <c r="Y758" s="241"/>
      <c r="Z758" s="241"/>
    </row>
    <row r="759" spans="1:26" ht="13.5" customHeight="1" x14ac:dyDescent="0.3">
      <c r="A759" s="241"/>
      <c r="B759" s="241"/>
      <c r="C759" s="241"/>
      <c r="D759" s="241"/>
      <c r="E759" s="241"/>
      <c r="F759" s="241"/>
      <c r="G759" s="241"/>
      <c r="H759" s="241"/>
      <c r="I759" s="241"/>
      <c r="J759" s="241"/>
      <c r="K759" s="241"/>
      <c r="L759" s="241"/>
      <c r="M759" s="241"/>
      <c r="N759" s="241"/>
      <c r="O759" s="241"/>
      <c r="P759" s="241"/>
      <c r="Q759" s="241"/>
      <c r="R759" s="241"/>
      <c r="S759" s="241"/>
      <c r="T759" s="241"/>
      <c r="U759" s="241"/>
      <c r="V759" s="241"/>
      <c r="W759" s="241"/>
      <c r="X759" s="241"/>
      <c r="Y759" s="241"/>
      <c r="Z759" s="241"/>
    </row>
    <row r="760" spans="1:26" ht="13.5" customHeight="1" x14ac:dyDescent="0.3">
      <c r="A760" s="241"/>
      <c r="B760" s="241"/>
      <c r="C760" s="241"/>
      <c r="D760" s="241"/>
      <c r="E760" s="241"/>
      <c r="F760" s="241"/>
      <c r="G760" s="241"/>
      <c r="H760" s="241"/>
      <c r="I760" s="241"/>
      <c r="J760" s="241"/>
      <c r="K760" s="241"/>
      <c r="L760" s="241"/>
      <c r="M760" s="241"/>
      <c r="N760" s="241"/>
      <c r="O760" s="241"/>
      <c r="P760" s="241"/>
      <c r="Q760" s="241"/>
      <c r="R760" s="241"/>
      <c r="S760" s="241"/>
      <c r="T760" s="241"/>
      <c r="U760" s="241"/>
      <c r="V760" s="241"/>
      <c r="W760" s="241"/>
      <c r="X760" s="241"/>
      <c r="Y760" s="241"/>
      <c r="Z760" s="241"/>
    </row>
    <row r="761" spans="1:26" ht="13.5" customHeight="1" x14ac:dyDescent="0.3">
      <c r="A761" s="241"/>
      <c r="B761" s="241"/>
      <c r="C761" s="241"/>
      <c r="D761" s="241"/>
      <c r="E761" s="241"/>
      <c r="F761" s="241"/>
      <c r="G761" s="241"/>
      <c r="H761" s="241"/>
      <c r="I761" s="241"/>
      <c r="J761" s="241"/>
      <c r="K761" s="241"/>
      <c r="L761" s="241"/>
      <c r="M761" s="241"/>
      <c r="N761" s="241"/>
      <c r="O761" s="241"/>
      <c r="P761" s="241"/>
      <c r="Q761" s="241"/>
      <c r="R761" s="241"/>
      <c r="S761" s="241"/>
      <c r="T761" s="241"/>
      <c r="U761" s="241"/>
      <c r="V761" s="241"/>
      <c r="W761" s="241"/>
      <c r="X761" s="241"/>
      <c r="Y761" s="241"/>
      <c r="Z761" s="241"/>
    </row>
    <row r="762" spans="1:26" ht="13.5" customHeight="1" x14ac:dyDescent="0.3">
      <c r="A762" s="241"/>
      <c r="B762" s="241"/>
      <c r="C762" s="241"/>
      <c r="D762" s="241"/>
      <c r="E762" s="241"/>
      <c r="F762" s="241"/>
      <c r="G762" s="241"/>
      <c r="H762" s="241"/>
      <c r="I762" s="241"/>
      <c r="J762" s="241"/>
      <c r="K762" s="241"/>
      <c r="L762" s="241"/>
      <c r="M762" s="241"/>
      <c r="N762" s="241"/>
      <c r="O762" s="241"/>
      <c r="P762" s="241"/>
      <c r="Q762" s="241"/>
      <c r="R762" s="241"/>
      <c r="S762" s="241"/>
      <c r="T762" s="241"/>
      <c r="U762" s="241"/>
      <c r="V762" s="241"/>
      <c r="W762" s="241"/>
      <c r="X762" s="241"/>
      <c r="Y762" s="241"/>
      <c r="Z762" s="241"/>
    </row>
    <row r="763" spans="1:26" ht="13.5" customHeight="1" x14ac:dyDescent="0.3">
      <c r="A763" s="241"/>
      <c r="B763" s="241"/>
      <c r="C763" s="241"/>
      <c r="D763" s="241"/>
      <c r="E763" s="241"/>
      <c r="F763" s="241"/>
      <c r="G763" s="241"/>
      <c r="H763" s="241"/>
      <c r="I763" s="241"/>
      <c r="J763" s="241"/>
      <c r="K763" s="241"/>
      <c r="L763" s="241"/>
      <c r="M763" s="241"/>
      <c r="N763" s="241"/>
      <c r="O763" s="241"/>
      <c r="P763" s="241"/>
      <c r="Q763" s="241"/>
      <c r="R763" s="241"/>
      <c r="S763" s="241"/>
      <c r="T763" s="241"/>
      <c r="U763" s="241"/>
      <c r="V763" s="241"/>
      <c r="W763" s="241"/>
      <c r="X763" s="241"/>
      <c r="Y763" s="241"/>
      <c r="Z763" s="241"/>
    </row>
    <row r="764" spans="1:26" ht="13.5" customHeight="1" x14ac:dyDescent="0.3">
      <c r="A764" s="241"/>
      <c r="B764" s="241"/>
      <c r="C764" s="241"/>
      <c r="D764" s="241"/>
      <c r="E764" s="241"/>
      <c r="F764" s="241"/>
      <c r="G764" s="241"/>
      <c r="H764" s="241"/>
      <c r="I764" s="241"/>
      <c r="J764" s="241"/>
      <c r="K764" s="241"/>
      <c r="L764" s="241"/>
      <c r="M764" s="241"/>
      <c r="N764" s="241"/>
      <c r="O764" s="241"/>
      <c r="P764" s="241"/>
      <c r="Q764" s="241"/>
      <c r="R764" s="241"/>
      <c r="S764" s="241"/>
      <c r="T764" s="241"/>
      <c r="U764" s="241"/>
      <c r="V764" s="241"/>
      <c r="W764" s="241"/>
      <c r="X764" s="241"/>
      <c r="Y764" s="241"/>
      <c r="Z764" s="241"/>
    </row>
    <row r="765" spans="1:26" ht="13.5" customHeight="1" x14ac:dyDescent="0.3">
      <c r="A765" s="241"/>
      <c r="B765" s="241"/>
      <c r="C765" s="241"/>
      <c r="D765" s="241"/>
      <c r="E765" s="241"/>
      <c r="F765" s="241"/>
      <c r="G765" s="241"/>
      <c r="H765" s="241"/>
      <c r="I765" s="241"/>
      <c r="J765" s="241"/>
      <c r="K765" s="241"/>
      <c r="L765" s="241"/>
      <c r="M765" s="241"/>
      <c r="N765" s="241"/>
      <c r="O765" s="241"/>
      <c r="P765" s="241"/>
      <c r="Q765" s="241"/>
      <c r="R765" s="241"/>
      <c r="S765" s="241"/>
      <c r="T765" s="241"/>
      <c r="U765" s="241"/>
      <c r="V765" s="241"/>
      <c r="W765" s="241"/>
      <c r="X765" s="241"/>
      <c r="Y765" s="241"/>
      <c r="Z765" s="241"/>
    </row>
    <row r="766" spans="1:26" ht="13.5" customHeight="1" x14ac:dyDescent="0.3">
      <c r="A766" s="241"/>
      <c r="B766" s="241"/>
      <c r="C766" s="241"/>
      <c r="D766" s="241"/>
      <c r="E766" s="241"/>
      <c r="F766" s="241"/>
      <c r="G766" s="241"/>
      <c r="H766" s="241"/>
      <c r="I766" s="241"/>
      <c r="J766" s="241"/>
      <c r="K766" s="241"/>
      <c r="L766" s="241"/>
      <c r="M766" s="241"/>
      <c r="N766" s="241"/>
      <c r="O766" s="241"/>
      <c r="P766" s="241"/>
      <c r="Q766" s="241"/>
      <c r="R766" s="241"/>
      <c r="S766" s="241"/>
      <c r="T766" s="241"/>
      <c r="U766" s="241"/>
      <c r="V766" s="241"/>
      <c r="W766" s="241"/>
      <c r="X766" s="241"/>
      <c r="Y766" s="241"/>
      <c r="Z766" s="241"/>
    </row>
    <row r="767" spans="1:26" ht="13.5" customHeight="1" x14ac:dyDescent="0.3">
      <c r="A767" s="241"/>
      <c r="B767" s="241"/>
      <c r="C767" s="241"/>
      <c r="D767" s="241"/>
      <c r="E767" s="241"/>
      <c r="F767" s="241"/>
      <c r="G767" s="241"/>
      <c r="H767" s="241"/>
      <c r="I767" s="241"/>
      <c r="J767" s="241"/>
      <c r="K767" s="241"/>
      <c r="L767" s="241"/>
      <c r="M767" s="241"/>
      <c r="N767" s="241"/>
      <c r="O767" s="241"/>
      <c r="P767" s="241"/>
      <c r="Q767" s="241"/>
      <c r="R767" s="241"/>
      <c r="S767" s="241"/>
      <c r="T767" s="241"/>
      <c r="U767" s="241"/>
      <c r="V767" s="241"/>
      <c r="W767" s="241"/>
      <c r="X767" s="241"/>
      <c r="Y767" s="241"/>
      <c r="Z767" s="241"/>
    </row>
    <row r="768" spans="1:26" ht="13.5" customHeight="1" x14ac:dyDescent="0.3">
      <c r="A768" s="241"/>
      <c r="B768" s="241"/>
      <c r="C768" s="241"/>
      <c r="D768" s="241"/>
      <c r="E768" s="241"/>
      <c r="F768" s="241"/>
      <c r="G768" s="241"/>
      <c r="H768" s="241"/>
      <c r="I768" s="241"/>
      <c r="J768" s="241"/>
      <c r="K768" s="241"/>
      <c r="L768" s="241"/>
      <c r="M768" s="241"/>
      <c r="N768" s="241"/>
      <c r="O768" s="241"/>
      <c r="P768" s="241"/>
      <c r="Q768" s="241"/>
      <c r="R768" s="241"/>
      <c r="S768" s="241"/>
      <c r="T768" s="241"/>
      <c r="U768" s="241"/>
      <c r="V768" s="241"/>
      <c r="W768" s="241"/>
      <c r="X768" s="241"/>
      <c r="Y768" s="241"/>
      <c r="Z768" s="241"/>
    </row>
    <row r="769" spans="1:26" ht="13.5" customHeight="1" x14ac:dyDescent="0.3">
      <c r="A769" s="241"/>
      <c r="B769" s="241"/>
      <c r="C769" s="241"/>
      <c r="D769" s="241"/>
      <c r="E769" s="241"/>
      <c r="F769" s="241"/>
      <c r="G769" s="241"/>
      <c r="H769" s="241"/>
      <c r="I769" s="241"/>
      <c r="J769" s="241"/>
      <c r="K769" s="241"/>
      <c r="L769" s="241"/>
      <c r="M769" s="241"/>
      <c r="N769" s="241"/>
      <c r="O769" s="241"/>
      <c r="P769" s="241"/>
      <c r="Q769" s="241"/>
      <c r="R769" s="241"/>
      <c r="S769" s="241"/>
      <c r="T769" s="241"/>
      <c r="U769" s="241"/>
      <c r="V769" s="241"/>
      <c r="W769" s="241"/>
      <c r="X769" s="241"/>
      <c r="Y769" s="241"/>
      <c r="Z769" s="241"/>
    </row>
    <row r="770" spans="1:26" ht="13.5" customHeight="1" x14ac:dyDescent="0.3">
      <c r="A770" s="241"/>
      <c r="B770" s="241"/>
      <c r="C770" s="241"/>
      <c r="D770" s="241"/>
      <c r="E770" s="241"/>
      <c r="F770" s="241"/>
      <c r="G770" s="241"/>
      <c r="H770" s="241"/>
      <c r="I770" s="241"/>
      <c r="J770" s="241"/>
      <c r="K770" s="241"/>
      <c r="L770" s="241"/>
      <c r="M770" s="241"/>
      <c r="N770" s="241"/>
      <c r="O770" s="241"/>
      <c r="P770" s="241"/>
      <c r="Q770" s="241"/>
      <c r="R770" s="241"/>
      <c r="S770" s="241"/>
      <c r="T770" s="241"/>
      <c r="U770" s="241"/>
      <c r="V770" s="241"/>
      <c r="W770" s="241"/>
      <c r="X770" s="241"/>
      <c r="Y770" s="241"/>
      <c r="Z770" s="241"/>
    </row>
    <row r="771" spans="1:26" ht="13.5" customHeight="1" x14ac:dyDescent="0.3">
      <c r="A771" s="241"/>
      <c r="B771" s="241"/>
      <c r="C771" s="241"/>
      <c r="D771" s="241"/>
      <c r="E771" s="241"/>
      <c r="F771" s="241"/>
      <c r="G771" s="241"/>
      <c r="H771" s="241"/>
      <c r="I771" s="241"/>
      <c r="J771" s="241"/>
      <c r="K771" s="241"/>
      <c r="L771" s="241"/>
      <c r="M771" s="241"/>
      <c r="N771" s="241"/>
      <c r="O771" s="241"/>
      <c r="P771" s="241"/>
      <c r="Q771" s="241"/>
      <c r="R771" s="241"/>
      <c r="S771" s="241"/>
      <c r="T771" s="241"/>
      <c r="U771" s="241"/>
      <c r="V771" s="241"/>
      <c r="W771" s="241"/>
      <c r="X771" s="241"/>
      <c r="Y771" s="241"/>
      <c r="Z771" s="241"/>
    </row>
    <row r="772" spans="1:26" ht="13.5" customHeight="1" x14ac:dyDescent="0.3">
      <c r="A772" s="241"/>
      <c r="B772" s="241"/>
      <c r="C772" s="241"/>
      <c r="D772" s="241"/>
      <c r="E772" s="241"/>
      <c r="F772" s="241"/>
      <c r="G772" s="241"/>
      <c r="H772" s="241"/>
      <c r="I772" s="241"/>
      <c r="J772" s="241"/>
      <c r="K772" s="241"/>
      <c r="L772" s="241"/>
      <c r="M772" s="241"/>
      <c r="N772" s="241"/>
      <c r="O772" s="241"/>
      <c r="P772" s="241"/>
      <c r="Q772" s="241"/>
      <c r="R772" s="241"/>
      <c r="S772" s="241"/>
      <c r="T772" s="241"/>
      <c r="U772" s="241"/>
      <c r="V772" s="241"/>
      <c r="W772" s="241"/>
      <c r="X772" s="241"/>
      <c r="Y772" s="241"/>
      <c r="Z772" s="241"/>
    </row>
    <row r="773" spans="1:26" ht="13.5" customHeight="1" x14ac:dyDescent="0.3">
      <c r="A773" s="241"/>
      <c r="B773" s="241"/>
      <c r="C773" s="241"/>
      <c r="D773" s="241"/>
      <c r="E773" s="241"/>
      <c r="F773" s="241"/>
      <c r="G773" s="241"/>
      <c r="H773" s="241"/>
      <c r="I773" s="241"/>
      <c r="J773" s="241"/>
      <c r="K773" s="241"/>
      <c r="L773" s="241"/>
      <c r="M773" s="241"/>
      <c r="N773" s="241"/>
      <c r="O773" s="241"/>
      <c r="P773" s="241"/>
      <c r="Q773" s="241"/>
      <c r="R773" s="241"/>
      <c r="S773" s="241"/>
      <c r="T773" s="241"/>
      <c r="U773" s="241"/>
      <c r="V773" s="241"/>
      <c r="W773" s="241"/>
      <c r="X773" s="241"/>
      <c r="Y773" s="241"/>
      <c r="Z773" s="241"/>
    </row>
    <row r="774" spans="1:26" ht="13.5" customHeight="1" x14ac:dyDescent="0.3">
      <c r="A774" s="241"/>
      <c r="B774" s="241"/>
      <c r="C774" s="241"/>
      <c r="D774" s="241"/>
      <c r="E774" s="241"/>
      <c r="F774" s="241"/>
      <c r="G774" s="241"/>
      <c r="H774" s="241"/>
      <c r="I774" s="241"/>
      <c r="J774" s="241"/>
      <c r="K774" s="241"/>
      <c r="L774" s="241"/>
      <c r="M774" s="241"/>
      <c r="N774" s="241"/>
      <c r="O774" s="241"/>
      <c r="P774" s="241"/>
      <c r="Q774" s="241"/>
      <c r="R774" s="241"/>
      <c r="S774" s="241"/>
      <c r="T774" s="241"/>
      <c r="U774" s="241"/>
      <c r="V774" s="241"/>
      <c r="W774" s="241"/>
      <c r="X774" s="241"/>
      <c r="Y774" s="241"/>
      <c r="Z774" s="241"/>
    </row>
    <row r="775" spans="1:26" ht="13.5" customHeight="1" x14ac:dyDescent="0.3">
      <c r="A775" s="241"/>
      <c r="B775" s="241"/>
      <c r="C775" s="241"/>
      <c r="D775" s="241"/>
      <c r="E775" s="241"/>
      <c r="F775" s="241"/>
      <c r="G775" s="241"/>
      <c r="H775" s="241"/>
      <c r="I775" s="241"/>
      <c r="J775" s="241"/>
      <c r="K775" s="241"/>
      <c r="L775" s="241"/>
      <c r="M775" s="241"/>
      <c r="N775" s="241"/>
      <c r="O775" s="241"/>
      <c r="P775" s="241"/>
      <c r="Q775" s="241"/>
      <c r="R775" s="241"/>
      <c r="S775" s="241"/>
      <c r="T775" s="241"/>
      <c r="U775" s="241"/>
      <c r="V775" s="241"/>
      <c r="W775" s="241"/>
      <c r="X775" s="241"/>
      <c r="Y775" s="241"/>
      <c r="Z775" s="241"/>
    </row>
    <row r="776" spans="1:26" ht="13.5" customHeight="1" x14ac:dyDescent="0.3">
      <c r="A776" s="241"/>
      <c r="B776" s="241"/>
      <c r="C776" s="241"/>
      <c r="D776" s="241"/>
      <c r="E776" s="241"/>
      <c r="F776" s="241"/>
      <c r="G776" s="241"/>
      <c r="H776" s="241"/>
      <c r="I776" s="241"/>
      <c r="J776" s="241"/>
      <c r="K776" s="241"/>
      <c r="L776" s="241"/>
      <c r="M776" s="241"/>
      <c r="N776" s="241"/>
      <c r="O776" s="241"/>
      <c r="P776" s="241"/>
      <c r="Q776" s="241"/>
      <c r="R776" s="241"/>
      <c r="S776" s="241"/>
      <c r="T776" s="241"/>
      <c r="U776" s="241"/>
      <c r="V776" s="241"/>
      <c r="W776" s="241"/>
      <c r="X776" s="241"/>
      <c r="Y776" s="241"/>
      <c r="Z776" s="241"/>
    </row>
    <row r="777" spans="1:26" ht="13.5" customHeight="1" x14ac:dyDescent="0.3">
      <c r="A777" s="241"/>
      <c r="B777" s="241"/>
      <c r="C777" s="241"/>
      <c r="D777" s="241"/>
      <c r="E777" s="241"/>
      <c r="F777" s="241"/>
      <c r="G777" s="241"/>
      <c r="H777" s="241"/>
      <c r="I777" s="241"/>
      <c r="J777" s="241"/>
      <c r="K777" s="241"/>
      <c r="L777" s="241"/>
      <c r="M777" s="241"/>
      <c r="N777" s="241"/>
      <c r="O777" s="241"/>
      <c r="P777" s="241"/>
      <c r="Q777" s="241"/>
      <c r="R777" s="241"/>
      <c r="S777" s="241"/>
      <c r="T777" s="241"/>
      <c r="U777" s="241"/>
      <c r="V777" s="241"/>
      <c r="W777" s="241"/>
      <c r="X777" s="241"/>
      <c r="Y777" s="241"/>
      <c r="Z777" s="241"/>
    </row>
    <row r="778" spans="1:26" ht="13.5" customHeight="1" x14ac:dyDescent="0.3">
      <c r="A778" s="241"/>
      <c r="B778" s="241"/>
      <c r="C778" s="241"/>
      <c r="D778" s="241"/>
      <c r="E778" s="241"/>
      <c r="F778" s="241"/>
      <c r="G778" s="241"/>
      <c r="H778" s="241"/>
      <c r="I778" s="241"/>
      <c r="J778" s="241"/>
      <c r="K778" s="241"/>
      <c r="L778" s="241"/>
      <c r="M778" s="241"/>
      <c r="N778" s="241"/>
      <c r="O778" s="241"/>
      <c r="P778" s="241"/>
      <c r="Q778" s="241"/>
      <c r="R778" s="241"/>
      <c r="S778" s="241"/>
      <c r="T778" s="241"/>
      <c r="U778" s="241"/>
      <c r="V778" s="241"/>
      <c r="W778" s="241"/>
      <c r="X778" s="241"/>
      <c r="Y778" s="241"/>
      <c r="Z778" s="241"/>
    </row>
    <row r="779" spans="1:26" ht="13.5" customHeight="1" x14ac:dyDescent="0.3">
      <c r="A779" s="241"/>
      <c r="B779" s="241"/>
      <c r="C779" s="241"/>
      <c r="D779" s="241"/>
      <c r="E779" s="241"/>
      <c r="F779" s="241"/>
      <c r="G779" s="241"/>
      <c r="H779" s="241"/>
      <c r="I779" s="241"/>
      <c r="J779" s="241"/>
      <c r="K779" s="241"/>
      <c r="L779" s="241"/>
      <c r="M779" s="241"/>
      <c r="N779" s="241"/>
      <c r="O779" s="241"/>
      <c r="P779" s="241"/>
      <c r="Q779" s="241"/>
      <c r="R779" s="241"/>
      <c r="S779" s="241"/>
      <c r="T779" s="241"/>
      <c r="U779" s="241"/>
      <c r="V779" s="241"/>
      <c r="W779" s="241"/>
      <c r="X779" s="241"/>
      <c r="Y779" s="241"/>
      <c r="Z779" s="241"/>
    </row>
    <row r="780" spans="1:26" ht="13.5" customHeight="1" x14ac:dyDescent="0.3">
      <c r="A780" s="241"/>
      <c r="B780" s="241"/>
      <c r="C780" s="241"/>
      <c r="D780" s="241"/>
      <c r="E780" s="241"/>
      <c r="F780" s="241"/>
      <c r="G780" s="241"/>
      <c r="H780" s="241"/>
      <c r="I780" s="241"/>
      <c r="J780" s="241"/>
      <c r="K780" s="241"/>
      <c r="L780" s="241"/>
      <c r="M780" s="241"/>
      <c r="N780" s="241"/>
      <c r="O780" s="241"/>
      <c r="P780" s="241"/>
      <c r="Q780" s="241"/>
      <c r="R780" s="241"/>
      <c r="S780" s="241"/>
      <c r="T780" s="241"/>
      <c r="U780" s="241"/>
      <c r="V780" s="241"/>
      <c r="W780" s="241"/>
      <c r="X780" s="241"/>
      <c r="Y780" s="241"/>
      <c r="Z780" s="241"/>
    </row>
    <row r="781" spans="1:26" ht="13.5" customHeight="1" x14ac:dyDescent="0.3">
      <c r="A781" s="241"/>
      <c r="B781" s="241"/>
      <c r="C781" s="241"/>
      <c r="D781" s="241"/>
      <c r="E781" s="241"/>
      <c r="F781" s="241"/>
      <c r="G781" s="241"/>
      <c r="H781" s="241"/>
      <c r="I781" s="241"/>
      <c r="J781" s="241"/>
      <c r="K781" s="241"/>
      <c r="L781" s="241"/>
      <c r="M781" s="241"/>
      <c r="N781" s="241"/>
      <c r="O781" s="241"/>
      <c r="P781" s="241"/>
      <c r="Q781" s="241"/>
      <c r="R781" s="241"/>
      <c r="S781" s="241"/>
      <c r="T781" s="241"/>
      <c r="U781" s="241"/>
      <c r="V781" s="241"/>
      <c r="W781" s="241"/>
      <c r="X781" s="241"/>
      <c r="Y781" s="241"/>
      <c r="Z781" s="241"/>
    </row>
    <row r="782" spans="1:26" ht="13.5" customHeight="1" x14ac:dyDescent="0.3">
      <c r="A782" s="241"/>
      <c r="B782" s="241"/>
      <c r="C782" s="241"/>
      <c r="D782" s="241"/>
      <c r="E782" s="241"/>
      <c r="F782" s="241"/>
      <c r="G782" s="241"/>
      <c r="H782" s="241"/>
      <c r="I782" s="241"/>
      <c r="J782" s="241"/>
      <c r="K782" s="241"/>
      <c r="L782" s="241"/>
      <c r="M782" s="241"/>
      <c r="N782" s="241"/>
      <c r="O782" s="241"/>
      <c r="P782" s="241"/>
      <c r="Q782" s="241"/>
      <c r="R782" s="241"/>
      <c r="S782" s="241"/>
      <c r="T782" s="241"/>
      <c r="U782" s="241"/>
      <c r="V782" s="241"/>
      <c r="W782" s="241"/>
      <c r="X782" s="241"/>
      <c r="Y782" s="241"/>
      <c r="Z782" s="241"/>
    </row>
    <row r="783" spans="1:26" ht="13.5" customHeight="1" x14ac:dyDescent="0.3">
      <c r="A783" s="241"/>
      <c r="B783" s="241"/>
      <c r="C783" s="241"/>
      <c r="D783" s="241"/>
      <c r="E783" s="241"/>
      <c r="F783" s="241"/>
      <c r="G783" s="241"/>
      <c r="H783" s="241"/>
      <c r="I783" s="241"/>
      <c r="J783" s="241"/>
      <c r="K783" s="241"/>
      <c r="L783" s="241"/>
      <c r="M783" s="241"/>
      <c r="N783" s="241"/>
      <c r="O783" s="241"/>
      <c r="P783" s="241"/>
      <c r="Q783" s="241"/>
      <c r="R783" s="241"/>
      <c r="S783" s="241"/>
      <c r="T783" s="241"/>
      <c r="U783" s="241"/>
      <c r="V783" s="241"/>
      <c r="W783" s="241"/>
      <c r="X783" s="241"/>
      <c r="Y783" s="241"/>
      <c r="Z783" s="241"/>
    </row>
    <row r="784" spans="1:26" ht="13.5" customHeight="1" x14ac:dyDescent="0.3">
      <c r="A784" s="241"/>
      <c r="B784" s="241"/>
      <c r="C784" s="241"/>
      <c r="D784" s="241"/>
      <c r="E784" s="241"/>
      <c r="F784" s="241"/>
      <c r="G784" s="241"/>
      <c r="H784" s="241"/>
      <c r="I784" s="241"/>
      <c r="J784" s="241"/>
      <c r="K784" s="241"/>
      <c r="L784" s="241"/>
      <c r="M784" s="241"/>
      <c r="N784" s="241"/>
      <c r="O784" s="241"/>
      <c r="P784" s="241"/>
      <c r="Q784" s="241"/>
      <c r="R784" s="241"/>
      <c r="S784" s="241"/>
      <c r="T784" s="241"/>
      <c r="U784" s="241"/>
      <c r="V784" s="241"/>
      <c r="W784" s="241"/>
      <c r="X784" s="241"/>
      <c r="Y784" s="241"/>
      <c r="Z784" s="241"/>
    </row>
    <row r="785" spans="1:26" ht="13.5" customHeight="1" x14ac:dyDescent="0.3">
      <c r="A785" s="241"/>
      <c r="B785" s="241"/>
      <c r="C785" s="241"/>
      <c r="D785" s="241"/>
      <c r="E785" s="241"/>
      <c r="F785" s="241"/>
      <c r="G785" s="241"/>
      <c r="H785" s="241"/>
      <c r="I785" s="241"/>
      <c r="J785" s="241"/>
      <c r="K785" s="241"/>
      <c r="L785" s="241"/>
      <c r="M785" s="241"/>
      <c r="N785" s="241"/>
      <c r="O785" s="241"/>
      <c r="P785" s="241"/>
      <c r="Q785" s="241"/>
      <c r="R785" s="241"/>
      <c r="S785" s="241"/>
      <c r="T785" s="241"/>
      <c r="U785" s="241"/>
      <c r="V785" s="241"/>
      <c r="W785" s="241"/>
      <c r="X785" s="241"/>
      <c r="Y785" s="241"/>
      <c r="Z785" s="241"/>
    </row>
    <row r="786" spans="1:26" ht="13.5" customHeight="1" x14ac:dyDescent="0.3">
      <c r="A786" s="241"/>
      <c r="B786" s="241"/>
      <c r="C786" s="241"/>
      <c r="D786" s="241"/>
      <c r="E786" s="241"/>
      <c r="F786" s="241"/>
      <c r="G786" s="241"/>
      <c r="H786" s="241"/>
      <c r="I786" s="241"/>
      <c r="J786" s="241"/>
      <c r="K786" s="241"/>
      <c r="L786" s="241"/>
      <c r="M786" s="241"/>
      <c r="N786" s="241"/>
      <c r="O786" s="241"/>
      <c r="P786" s="241"/>
      <c r="Q786" s="241"/>
      <c r="R786" s="241"/>
      <c r="S786" s="241"/>
      <c r="T786" s="241"/>
      <c r="U786" s="241"/>
      <c r="V786" s="241"/>
      <c r="W786" s="241"/>
      <c r="X786" s="241"/>
      <c r="Y786" s="241"/>
      <c r="Z786" s="241"/>
    </row>
    <row r="787" spans="1:26" ht="13.5" customHeight="1" x14ac:dyDescent="0.3">
      <c r="A787" s="241"/>
      <c r="B787" s="241"/>
      <c r="C787" s="241"/>
      <c r="D787" s="241"/>
      <c r="E787" s="241"/>
      <c r="F787" s="241"/>
      <c r="G787" s="241"/>
      <c r="H787" s="241"/>
      <c r="I787" s="241"/>
      <c r="J787" s="241"/>
      <c r="K787" s="241"/>
      <c r="L787" s="241"/>
      <c r="M787" s="241"/>
      <c r="N787" s="241"/>
      <c r="O787" s="241"/>
      <c r="P787" s="241"/>
      <c r="Q787" s="241"/>
      <c r="R787" s="241"/>
      <c r="S787" s="241"/>
      <c r="T787" s="241"/>
      <c r="U787" s="241"/>
      <c r="V787" s="241"/>
      <c r="W787" s="241"/>
      <c r="X787" s="241"/>
      <c r="Y787" s="241"/>
      <c r="Z787" s="241"/>
    </row>
    <row r="788" spans="1:26" ht="13.5" customHeight="1" x14ac:dyDescent="0.3">
      <c r="A788" s="241"/>
      <c r="B788" s="241"/>
      <c r="C788" s="241"/>
      <c r="D788" s="241"/>
      <c r="E788" s="241"/>
      <c r="F788" s="241"/>
      <c r="G788" s="241"/>
      <c r="H788" s="241"/>
      <c r="I788" s="241"/>
      <c r="J788" s="241"/>
      <c r="K788" s="241"/>
      <c r="L788" s="241"/>
      <c r="M788" s="241"/>
      <c r="N788" s="241"/>
      <c r="O788" s="241"/>
      <c r="P788" s="241"/>
      <c r="Q788" s="241"/>
      <c r="R788" s="241"/>
      <c r="S788" s="241"/>
      <c r="T788" s="241"/>
      <c r="U788" s="241"/>
      <c r="V788" s="241"/>
      <c r="W788" s="241"/>
      <c r="X788" s="241"/>
      <c r="Y788" s="241"/>
      <c r="Z788" s="241"/>
    </row>
    <row r="789" spans="1:26" ht="13.5" customHeight="1" x14ac:dyDescent="0.3">
      <c r="A789" s="241"/>
      <c r="B789" s="241"/>
      <c r="C789" s="241"/>
      <c r="D789" s="241"/>
      <c r="E789" s="241"/>
      <c r="F789" s="241"/>
      <c r="G789" s="241"/>
      <c r="H789" s="241"/>
      <c r="I789" s="241"/>
      <c r="J789" s="241"/>
      <c r="K789" s="241"/>
      <c r="L789" s="241"/>
      <c r="M789" s="241"/>
      <c r="N789" s="241"/>
      <c r="O789" s="241"/>
      <c r="P789" s="241"/>
      <c r="Q789" s="241"/>
      <c r="R789" s="241"/>
      <c r="S789" s="241"/>
      <c r="T789" s="241"/>
      <c r="U789" s="241"/>
      <c r="V789" s="241"/>
      <c r="W789" s="241"/>
      <c r="X789" s="241"/>
      <c r="Y789" s="241"/>
      <c r="Z789" s="241"/>
    </row>
    <row r="790" spans="1:26" ht="13.5" customHeight="1" x14ac:dyDescent="0.3">
      <c r="A790" s="241"/>
      <c r="B790" s="241"/>
      <c r="C790" s="241"/>
      <c r="D790" s="241"/>
      <c r="E790" s="241"/>
      <c r="F790" s="241"/>
      <c r="G790" s="241"/>
      <c r="H790" s="241"/>
      <c r="I790" s="241"/>
      <c r="J790" s="241"/>
      <c r="K790" s="241"/>
      <c r="L790" s="241"/>
      <c r="M790" s="241"/>
      <c r="N790" s="241"/>
      <c r="O790" s="241"/>
      <c r="P790" s="241"/>
      <c r="Q790" s="241"/>
      <c r="R790" s="241"/>
      <c r="S790" s="241"/>
      <c r="T790" s="241"/>
      <c r="U790" s="241"/>
      <c r="V790" s="241"/>
      <c r="W790" s="241"/>
      <c r="X790" s="241"/>
      <c r="Y790" s="241"/>
      <c r="Z790" s="241"/>
    </row>
    <row r="791" spans="1:26" ht="13.5" customHeight="1" x14ac:dyDescent="0.3">
      <c r="A791" s="241"/>
      <c r="B791" s="241"/>
      <c r="C791" s="241"/>
      <c r="D791" s="241"/>
      <c r="E791" s="241"/>
      <c r="F791" s="241"/>
      <c r="G791" s="241"/>
      <c r="H791" s="241"/>
      <c r="I791" s="241"/>
      <c r="J791" s="241"/>
      <c r="K791" s="241"/>
      <c r="L791" s="241"/>
      <c r="M791" s="241"/>
      <c r="N791" s="241"/>
      <c r="O791" s="241"/>
      <c r="P791" s="241"/>
      <c r="Q791" s="241"/>
      <c r="R791" s="241"/>
      <c r="S791" s="241"/>
      <c r="T791" s="241"/>
      <c r="U791" s="241"/>
      <c r="V791" s="241"/>
      <c r="W791" s="241"/>
      <c r="X791" s="241"/>
      <c r="Y791" s="241"/>
      <c r="Z791" s="241"/>
    </row>
    <row r="792" spans="1:26" ht="13.5" customHeight="1" x14ac:dyDescent="0.3">
      <c r="A792" s="241"/>
      <c r="B792" s="241"/>
      <c r="C792" s="241"/>
      <c r="D792" s="241"/>
      <c r="E792" s="241"/>
      <c r="F792" s="241"/>
      <c r="G792" s="241"/>
      <c r="H792" s="241"/>
      <c r="I792" s="241"/>
      <c r="J792" s="241"/>
      <c r="K792" s="241"/>
      <c r="L792" s="241"/>
      <c r="M792" s="241"/>
      <c r="N792" s="241"/>
      <c r="O792" s="241"/>
      <c r="P792" s="241"/>
      <c r="Q792" s="241"/>
      <c r="R792" s="241"/>
      <c r="S792" s="241"/>
      <c r="T792" s="241"/>
      <c r="U792" s="241"/>
      <c r="V792" s="241"/>
      <c r="W792" s="241"/>
      <c r="X792" s="241"/>
      <c r="Y792" s="241"/>
      <c r="Z792" s="241"/>
    </row>
    <row r="793" spans="1:26" ht="13.5" customHeight="1" x14ac:dyDescent="0.3">
      <c r="A793" s="241"/>
      <c r="B793" s="241"/>
      <c r="C793" s="241"/>
      <c r="D793" s="241"/>
      <c r="E793" s="241"/>
      <c r="F793" s="241"/>
      <c r="G793" s="241"/>
      <c r="H793" s="241"/>
      <c r="I793" s="241"/>
      <c r="J793" s="241"/>
      <c r="K793" s="241"/>
      <c r="L793" s="241"/>
      <c r="M793" s="241"/>
      <c r="N793" s="241"/>
      <c r="O793" s="241"/>
      <c r="P793" s="241"/>
      <c r="Q793" s="241"/>
      <c r="R793" s="241"/>
      <c r="S793" s="241"/>
      <c r="T793" s="241"/>
      <c r="U793" s="241"/>
      <c r="V793" s="241"/>
      <c r="W793" s="241"/>
      <c r="X793" s="241"/>
      <c r="Y793" s="241"/>
      <c r="Z793" s="241"/>
    </row>
    <row r="794" spans="1:26" ht="13.5" customHeight="1" x14ac:dyDescent="0.3">
      <c r="A794" s="241"/>
      <c r="B794" s="241"/>
      <c r="C794" s="241"/>
      <c r="D794" s="241"/>
      <c r="E794" s="241"/>
      <c r="F794" s="241"/>
      <c r="G794" s="241"/>
      <c r="H794" s="241"/>
      <c r="I794" s="241"/>
      <c r="J794" s="241"/>
      <c r="K794" s="241"/>
      <c r="L794" s="241"/>
      <c r="M794" s="241"/>
      <c r="N794" s="241"/>
      <c r="O794" s="241"/>
      <c r="P794" s="241"/>
      <c r="Q794" s="241"/>
      <c r="R794" s="241"/>
      <c r="S794" s="241"/>
      <c r="T794" s="241"/>
      <c r="U794" s="241"/>
      <c r="V794" s="241"/>
      <c r="W794" s="241"/>
      <c r="X794" s="241"/>
      <c r="Y794" s="241"/>
      <c r="Z794" s="241"/>
    </row>
    <row r="795" spans="1:26" ht="13.5" customHeight="1" x14ac:dyDescent="0.3">
      <c r="A795" s="241"/>
      <c r="B795" s="241"/>
      <c r="C795" s="241"/>
      <c r="D795" s="241"/>
      <c r="E795" s="241"/>
      <c r="F795" s="241"/>
      <c r="G795" s="241"/>
      <c r="H795" s="241"/>
      <c r="I795" s="241"/>
      <c r="J795" s="241"/>
      <c r="K795" s="241"/>
      <c r="L795" s="241"/>
      <c r="M795" s="241"/>
      <c r="N795" s="241"/>
      <c r="O795" s="241"/>
      <c r="P795" s="241"/>
      <c r="Q795" s="241"/>
      <c r="R795" s="241"/>
      <c r="S795" s="241"/>
      <c r="T795" s="241"/>
      <c r="U795" s="241"/>
      <c r="V795" s="241"/>
      <c r="W795" s="241"/>
      <c r="X795" s="241"/>
      <c r="Y795" s="241"/>
      <c r="Z795" s="241"/>
    </row>
    <row r="796" spans="1:26" ht="13.5" customHeight="1" x14ac:dyDescent="0.3">
      <c r="A796" s="241"/>
      <c r="B796" s="241"/>
      <c r="C796" s="241"/>
      <c r="D796" s="241"/>
      <c r="E796" s="241"/>
      <c r="F796" s="241"/>
      <c r="G796" s="241"/>
      <c r="H796" s="241"/>
      <c r="I796" s="241"/>
      <c r="J796" s="241"/>
      <c r="K796" s="241"/>
      <c r="L796" s="241"/>
      <c r="M796" s="241"/>
      <c r="N796" s="241"/>
      <c r="O796" s="241"/>
      <c r="P796" s="241"/>
      <c r="Q796" s="241"/>
      <c r="R796" s="241"/>
      <c r="S796" s="241"/>
      <c r="T796" s="241"/>
      <c r="U796" s="241"/>
      <c r="V796" s="241"/>
      <c r="W796" s="241"/>
      <c r="X796" s="241"/>
      <c r="Y796" s="241"/>
      <c r="Z796" s="241"/>
    </row>
    <row r="797" spans="1:26" ht="13.5" customHeight="1" x14ac:dyDescent="0.3">
      <c r="A797" s="241"/>
      <c r="B797" s="241"/>
      <c r="C797" s="241"/>
      <c r="D797" s="241"/>
      <c r="E797" s="241"/>
      <c r="F797" s="241"/>
      <c r="G797" s="241"/>
      <c r="H797" s="241"/>
      <c r="I797" s="241"/>
      <c r="J797" s="241"/>
      <c r="K797" s="241"/>
      <c r="L797" s="241"/>
      <c r="M797" s="241"/>
      <c r="N797" s="241"/>
      <c r="O797" s="241"/>
      <c r="P797" s="241"/>
      <c r="Q797" s="241"/>
      <c r="R797" s="241"/>
      <c r="S797" s="241"/>
      <c r="T797" s="241"/>
      <c r="U797" s="241"/>
      <c r="V797" s="241"/>
      <c r="W797" s="241"/>
      <c r="X797" s="241"/>
      <c r="Y797" s="241"/>
      <c r="Z797" s="241"/>
    </row>
    <row r="798" spans="1:26" ht="13.5" customHeight="1" x14ac:dyDescent="0.3">
      <c r="A798" s="241"/>
      <c r="B798" s="241"/>
      <c r="C798" s="241"/>
      <c r="D798" s="241"/>
      <c r="E798" s="241"/>
      <c r="F798" s="241"/>
      <c r="G798" s="241"/>
      <c r="H798" s="241"/>
      <c r="I798" s="241"/>
      <c r="J798" s="241"/>
      <c r="K798" s="241"/>
      <c r="L798" s="241"/>
      <c r="M798" s="241"/>
      <c r="N798" s="241"/>
      <c r="O798" s="241"/>
      <c r="P798" s="241"/>
      <c r="Q798" s="241"/>
      <c r="R798" s="241"/>
      <c r="S798" s="241"/>
      <c r="T798" s="241"/>
      <c r="U798" s="241"/>
      <c r="V798" s="241"/>
      <c r="W798" s="241"/>
      <c r="X798" s="241"/>
      <c r="Y798" s="241"/>
      <c r="Z798" s="241"/>
    </row>
    <row r="799" spans="1:26" ht="13.5" customHeight="1" x14ac:dyDescent="0.3">
      <c r="A799" s="241"/>
      <c r="B799" s="241"/>
      <c r="C799" s="241"/>
      <c r="D799" s="241"/>
      <c r="E799" s="241"/>
      <c r="F799" s="241"/>
      <c r="G799" s="241"/>
      <c r="H799" s="241"/>
      <c r="I799" s="241"/>
      <c r="J799" s="241"/>
      <c r="K799" s="241"/>
      <c r="L799" s="241"/>
      <c r="M799" s="241"/>
      <c r="N799" s="241"/>
      <c r="O799" s="241"/>
      <c r="P799" s="241"/>
      <c r="Q799" s="241"/>
      <c r="R799" s="241"/>
      <c r="S799" s="241"/>
      <c r="T799" s="241"/>
      <c r="U799" s="241"/>
      <c r="V799" s="241"/>
      <c r="W799" s="241"/>
      <c r="X799" s="241"/>
      <c r="Y799" s="241"/>
      <c r="Z799" s="241"/>
    </row>
    <row r="800" spans="1:26" ht="13.5" customHeight="1" x14ac:dyDescent="0.3">
      <c r="A800" s="241"/>
      <c r="B800" s="241"/>
      <c r="C800" s="241"/>
      <c r="D800" s="241"/>
      <c r="E800" s="241"/>
      <c r="F800" s="241"/>
      <c r="G800" s="241"/>
      <c r="H800" s="241"/>
      <c r="I800" s="241"/>
      <c r="J800" s="241"/>
      <c r="K800" s="241"/>
      <c r="L800" s="241"/>
      <c r="M800" s="241"/>
      <c r="N800" s="241"/>
      <c r="O800" s="241"/>
      <c r="P800" s="241"/>
      <c r="Q800" s="241"/>
      <c r="R800" s="241"/>
      <c r="S800" s="241"/>
      <c r="T800" s="241"/>
      <c r="U800" s="241"/>
      <c r="V800" s="241"/>
      <c r="W800" s="241"/>
      <c r="X800" s="241"/>
      <c r="Y800" s="241"/>
      <c r="Z800" s="241"/>
    </row>
    <row r="801" spans="1:26" ht="13.5" customHeight="1" x14ac:dyDescent="0.3">
      <c r="A801" s="241"/>
      <c r="B801" s="241"/>
      <c r="C801" s="241"/>
      <c r="D801" s="241"/>
      <c r="E801" s="241"/>
      <c r="F801" s="241"/>
      <c r="G801" s="241"/>
      <c r="H801" s="241"/>
      <c r="I801" s="241"/>
      <c r="J801" s="241"/>
      <c r="K801" s="241"/>
      <c r="L801" s="241"/>
      <c r="M801" s="241"/>
      <c r="N801" s="241"/>
      <c r="O801" s="241"/>
      <c r="P801" s="241"/>
      <c r="Q801" s="241"/>
      <c r="R801" s="241"/>
      <c r="S801" s="241"/>
      <c r="T801" s="241"/>
      <c r="U801" s="241"/>
      <c r="V801" s="241"/>
      <c r="W801" s="241"/>
      <c r="X801" s="241"/>
      <c r="Y801" s="241"/>
      <c r="Z801" s="241"/>
    </row>
    <row r="802" spans="1:26" ht="13.5" customHeight="1" x14ac:dyDescent="0.3">
      <c r="A802" s="241"/>
      <c r="B802" s="241"/>
      <c r="C802" s="241"/>
      <c r="D802" s="241"/>
      <c r="E802" s="241"/>
      <c r="F802" s="241"/>
      <c r="G802" s="241"/>
      <c r="H802" s="241"/>
      <c r="I802" s="241"/>
      <c r="J802" s="241"/>
      <c r="K802" s="241"/>
      <c r="L802" s="241"/>
      <c r="M802" s="241"/>
      <c r="N802" s="241"/>
      <c r="O802" s="241"/>
      <c r="P802" s="241"/>
      <c r="Q802" s="241"/>
      <c r="R802" s="241"/>
      <c r="S802" s="241"/>
      <c r="T802" s="241"/>
      <c r="U802" s="241"/>
      <c r="V802" s="241"/>
      <c r="W802" s="241"/>
      <c r="X802" s="241"/>
      <c r="Y802" s="241"/>
      <c r="Z802" s="241"/>
    </row>
    <row r="803" spans="1:26" ht="13.5" customHeight="1" x14ac:dyDescent="0.3">
      <c r="A803" s="241"/>
      <c r="B803" s="241"/>
      <c r="C803" s="241"/>
      <c r="D803" s="241"/>
      <c r="E803" s="241"/>
      <c r="F803" s="241"/>
      <c r="G803" s="241"/>
      <c r="H803" s="241"/>
      <c r="I803" s="241"/>
      <c r="J803" s="241"/>
      <c r="K803" s="241"/>
      <c r="L803" s="241"/>
      <c r="M803" s="241"/>
      <c r="N803" s="241"/>
      <c r="O803" s="241"/>
      <c r="P803" s="241"/>
      <c r="Q803" s="241"/>
      <c r="R803" s="241"/>
      <c r="S803" s="241"/>
      <c r="T803" s="241"/>
      <c r="U803" s="241"/>
      <c r="V803" s="241"/>
      <c r="W803" s="241"/>
      <c r="X803" s="241"/>
      <c r="Y803" s="241"/>
      <c r="Z803" s="241"/>
    </row>
    <row r="804" spans="1:26" ht="13.5" customHeight="1" x14ac:dyDescent="0.3">
      <c r="A804" s="241"/>
      <c r="B804" s="241"/>
      <c r="C804" s="241"/>
      <c r="D804" s="241"/>
      <c r="E804" s="241"/>
      <c r="F804" s="241"/>
      <c r="G804" s="241"/>
      <c r="H804" s="241"/>
      <c r="I804" s="241"/>
      <c r="J804" s="241"/>
      <c r="K804" s="241"/>
      <c r="L804" s="241"/>
      <c r="M804" s="241"/>
      <c r="N804" s="241"/>
      <c r="O804" s="241"/>
      <c r="P804" s="241"/>
      <c r="Q804" s="241"/>
      <c r="R804" s="241"/>
      <c r="S804" s="241"/>
      <c r="T804" s="241"/>
      <c r="U804" s="241"/>
      <c r="V804" s="241"/>
      <c r="W804" s="241"/>
      <c r="X804" s="241"/>
      <c r="Y804" s="241"/>
      <c r="Z804" s="241"/>
    </row>
    <row r="805" spans="1:26" ht="13.5" customHeight="1" x14ac:dyDescent="0.3">
      <c r="A805" s="241"/>
      <c r="B805" s="241"/>
      <c r="C805" s="241"/>
      <c r="D805" s="241"/>
      <c r="E805" s="241"/>
      <c r="F805" s="241"/>
      <c r="G805" s="241"/>
      <c r="H805" s="241"/>
      <c r="I805" s="241"/>
      <c r="J805" s="241"/>
      <c r="K805" s="241"/>
      <c r="L805" s="241"/>
      <c r="M805" s="241"/>
      <c r="N805" s="241"/>
      <c r="O805" s="241"/>
      <c r="P805" s="241"/>
      <c r="Q805" s="241"/>
      <c r="R805" s="241"/>
      <c r="S805" s="241"/>
      <c r="T805" s="241"/>
      <c r="U805" s="241"/>
      <c r="V805" s="241"/>
      <c r="W805" s="241"/>
      <c r="X805" s="241"/>
      <c r="Y805" s="241"/>
      <c r="Z805" s="241"/>
    </row>
    <row r="806" spans="1:26" ht="13.5" customHeight="1" x14ac:dyDescent="0.3">
      <c r="A806" s="241"/>
      <c r="B806" s="241"/>
      <c r="C806" s="241"/>
      <c r="D806" s="241"/>
      <c r="E806" s="241"/>
      <c r="F806" s="241"/>
      <c r="G806" s="241"/>
      <c r="H806" s="241"/>
      <c r="I806" s="241"/>
      <c r="J806" s="241"/>
      <c r="K806" s="241"/>
      <c r="L806" s="241"/>
      <c r="M806" s="241"/>
      <c r="N806" s="241"/>
      <c r="O806" s="241"/>
      <c r="P806" s="241"/>
      <c r="Q806" s="241"/>
      <c r="R806" s="241"/>
      <c r="S806" s="241"/>
      <c r="T806" s="241"/>
      <c r="U806" s="241"/>
      <c r="V806" s="241"/>
      <c r="W806" s="241"/>
      <c r="X806" s="241"/>
      <c r="Y806" s="241"/>
      <c r="Z806" s="241"/>
    </row>
    <row r="807" spans="1:26" ht="13.5" customHeight="1" x14ac:dyDescent="0.3">
      <c r="A807" s="241"/>
      <c r="B807" s="241"/>
      <c r="C807" s="241"/>
      <c r="D807" s="241"/>
      <c r="E807" s="241"/>
      <c r="F807" s="241"/>
      <c r="G807" s="241"/>
      <c r="H807" s="241"/>
      <c r="I807" s="241"/>
      <c r="J807" s="241"/>
      <c r="K807" s="241"/>
      <c r="L807" s="241"/>
      <c r="M807" s="241"/>
      <c r="N807" s="241"/>
      <c r="O807" s="241"/>
      <c r="P807" s="241"/>
      <c r="Q807" s="241"/>
      <c r="R807" s="241"/>
      <c r="S807" s="241"/>
      <c r="T807" s="241"/>
      <c r="U807" s="241"/>
      <c r="V807" s="241"/>
      <c r="W807" s="241"/>
      <c r="X807" s="241"/>
      <c r="Y807" s="241"/>
      <c r="Z807" s="241"/>
    </row>
    <row r="808" spans="1:26" ht="13.5" customHeight="1" x14ac:dyDescent="0.3">
      <c r="A808" s="241"/>
      <c r="B808" s="241"/>
      <c r="C808" s="241"/>
      <c r="D808" s="241"/>
      <c r="E808" s="241"/>
      <c r="F808" s="241"/>
      <c r="G808" s="241"/>
      <c r="H808" s="241"/>
      <c r="I808" s="241"/>
      <c r="J808" s="241"/>
      <c r="K808" s="241"/>
      <c r="L808" s="241"/>
      <c r="M808" s="241"/>
      <c r="N808" s="241"/>
      <c r="O808" s="241"/>
      <c r="P808" s="241"/>
      <c r="Q808" s="241"/>
      <c r="R808" s="241"/>
      <c r="S808" s="241"/>
      <c r="T808" s="241"/>
      <c r="U808" s="241"/>
      <c r="V808" s="241"/>
      <c r="W808" s="241"/>
      <c r="X808" s="241"/>
      <c r="Y808" s="241"/>
      <c r="Z808" s="241"/>
    </row>
    <row r="809" spans="1:26" ht="13.5" customHeight="1" x14ac:dyDescent="0.3">
      <c r="A809" s="241"/>
      <c r="B809" s="241"/>
      <c r="C809" s="241"/>
      <c r="D809" s="241"/>
      <c r="E809" s="241"/>
      <c r="F809" s="241"/>
      <c r="G809" s="241"/>
      <c r="H809" s="241"/>
      <c r="I809" s="241"/>
      <c r="J809" s="241"/>
      <c r="K809" s="241"/>
      <c r="L809" s="241"/>
      <c r="M809" s="241"/>
      <c r="N809" s="241"/>
      <c r="O809" s="241"/>
      <c r="P809" s="241"/>
      <c r="Q809" s="241"/>
      <c r="R809" s="241"/>
      <c r="S809" s="241"/>
      <c r="T809" s="241"/>
      <c r="U809" s="241"/>
      <c r="V809" s="241"/>
      <c r="W809" s="241"/>
      <c r="X809" s="241"/>
      <c r="Y809" s="241"/>
      <c r="Z809" s="241"/>
    </row>
    <row r="810" spans="1:26" ht="13.5" customHeight="1" x14ac:dyDescent="0.3">
      <c r="A810" s="241"/>
      <c r="B810" s="241"/>
      <c r="C810" s="241"/>
      <c r="D810" s="241"/>
      <c r="E810" s="241"/>
      <c r="F810" s="241"/>
      <c r="G810" s="241"/>
      <c r="H810" s="241"/>
      <c r="I810" s="241"/>
      <c r="J810" s="241"/>
      <c r="K810" s="241"/>
      <c r="L810" s="241"/>
      <c r="M810" s="241"/>
      <c r="N810" s="241"/>
      <c r="O810" s="241"/>
      <c r="P810" s="241"/>
      <c r="Q810" s="241"/>
      <c r="R810" s="241"/>
      <c r="S810" s="241"/>
      <c r="T810" s="241"/>
      <c r="U810" s="241"/>
      <c r="V810" s="241"/>
      <c r="W810" s="241"/>
      <c r="X810" s="241"/>
      <c r="Y810" s="241"/>
      <c r="Z810" s="241"/>
    </row>
    <row r="811" spans="1:26" ht="13.5" customHeight="1" x14ac:dyDescent="0.3">
      <c r="A811" s="241"/>
      <c r="B811" s="241"/>
      <c r="C811" s="241"/>
      <c r="D811" s="241"/>
      <c r="E811" s="241"/>
      <c r="F811" s="241"/>
      <c r="G811" s="241"/>
      <c r="H811" s="241"/>
      <c r="I811" s="241"/>
      <c r="J811" s="241"/>
      <c r="K811" s="241"/>
      <c r="L811" s="241"/>
      <c r="M811" s="241"/>
      <c r="N811" s="241"/>
      <c r="O811" s="241"/>
      <c r="P811" s="241"/>
      <c r="Q811" s="241"/>
      <c r="R811" s="241"/>
      <c r="S811" s="241"/>
      <c r="T811" s="241"/>
      <c r="U811" s="241"/>
      <c r="V811" s="241"/>
      <c r="W811" s="241"/>
      <c r="X811" s="241"/>
      <c r="Y811" s="241"/>
      <c r="Z811" s="241"/>
    </row>
    <row r="812" spans="1:26" ht="13.5" customHeight="1" x14ac:dyDescent="0.3">
      <c r="A812" s="241"/>
      <c r="B812" s="241"/>
      <c r="C812" s="241"/>
      <c r="D812" s="241"/>
      <c r="E812" s="241"/>
      <c r="F812" s="241"/>
      <c r="G812" s="241"/>
      <c r="H812" s="241"/>
      <c r="I812" s="241"/>
      <c r="J812" s="241"/>
      <c r="K812" s="241"/>
      <c r="L812" s="241"/>
      <c r="M812" s="241"/>
      <c r="N812" s="241"/>
      <c r="O812" s="241"/>
      <c r="P812" s="241"/>
      <c r="Q812" s="241"/>
      <c r="R812" s="241"/>
      <c r="S812" s="241"/>
      <c r="T812" s="241"/>
      <c r="U812" s="241"/>
      <c r="V812" s="241"/>
      <c r="W812" s="241"/>
      <c r="X812" s="241"/>
      <c r="Y812" s="241"/>
      <c r="Z812" s="241"/>
    </row>
    <row r="813" spans="1:26" ht="13.5" customHeight="1" x14ac:dyDescent="0.3">
      <c r="A813" s="241"/>
      <c r="B813" s="241"/>
      <c r="C813" s="241"/>
      <c r="D813" s="241"/>
      <c r="E813" s="241"/>
      <c r="F813" s="241"/>
      <c r="G813" s="241"/>
      <c r="H813" s="241"/>
      <c r="I813" s="241"/>
      <c r="J813" s="241"/>
      <c r="K813" s="241"/>
      <c r="L813" s="241"/>
      <c r="M813" s="241"/>
      <c r="N813" s="241"/>
      <c r="O813" s="241"/>
      <c r="P813" s="241"/>
      <c r="Q813" s="241"/>
      <c r="R813" s="241"/>
      <c r="S813" s="241"/>
      <c r="T813" s="241"/>
      <c r="U813" s="241"/>
      <c r="V813" s="241"/>
      <c r="W813" s="241"/>
      <c r="X813" s="241"/>
      <c r="Y813" s="241"/>
      <c r="Z813" s="241"/>
    </row>
    <row r="814" spans="1:26" ht="13.5" customHeight="1" x14ac:dyDescent="0.3">
      <c r="A814" s="241"/>
      <c r="B814" s="241"/>
      <c r="C814" s="241"/>
      <c r="D814" s="241"/>
      <c r="E814" s="241"/>
      <c r="F814" s="241"/>
      <c r="G814" s="241"/>
      <c r="H814" s="241"/>
      <c r="I814" s="241"/>
      <c r="J814" s="241"/>
      <c r="K814" s="241"/>
      <c r="L814" s="241"/>
      <c r="M814" s="241"/>
      <c r="N814" s="241"/>
      <c r="O814" s="241"/>
      <c r="P814" s="241"/>
      <c r="Q814" s="241"/>
      <c r="R814" s="241"/>
      <c r="S814" s="241"/>
      <c r="T814" s="241"/>
      <c r="U814" s="241"/>
      <c r="V814" s="241"/>
      <c r="W814" s="241"/>
      <c r="X814" s="241"/>
      <c r="Y814" s="241"/>
      <c r="Z814" s="241"/>
    </row>
    <row r="815" spans="1:26" ht="13.5" customHeight="1" x14ac:dyDescent="0.3">
      <c r="A815" s="241"/>
      <c r="B815" s="241"/>
      <c r="C815" s="241"/>
      <c r="D815" s="241"/>
      <c r="E815" s="241"/>
      <c r="F815" s="241"/>
      <c r="G815" s="241"/>
      <c r="H815" s="241"/>
      <c r="I815" s="241"/>
      <c r="J815" s="241"/>
      <c r="K815" s="241"/>
      <c r="L815" s="241"/>
      <c r="M815" s="241"/>
      <c r="N815" s="241"/>
      <c r="O815" s="241"/>
      <c r="P815" s="241"/>
      <c r="Q815" s="241"/>
      <c r="R815" s="241"/>
      <c r="S815" s="241"/>
      <c r="T815" s="241"/>
      <c r="U815" s="241"/>
      <c r="V815" s="241"/>
      <c r="W815" s="241"/>
      <c r="X815" s="241"/>
      <c r="Y815" s="241"/>
      <c r="Z815" s="241"/>
    </row>
    <row r="816" spans="1:26" ht="13.5" customHeight="1" x14ac:dyDescent="0.3">
      <c r="A816" s="241"/>
      <c r="B816" s="241"/>
      <c r="C816" s="241"/>
      <c r="D816" s="241"/>
      <c r="E816" s="241"/>
      <c r="F816" s="241"/>
      <c r="G816" s="241"/>
      <c r="H816" s="241"/>
      <c r="I816" s="241"/>
      <c r="J816" s="241"/>
      <c r="K816" s="241"/>
      <c r="L816" s="241"/>
      <c r="M816" s="241"/>
      <c r="N816" s="241"/>
      <c r="O816" s="241"/>
      <c r="P816" s="241"/>
      <c r="Q816" s="241"/>
      <c r="R816" s="241"/>
      <c r="S816" s="241"/>
      <c r="T816" s="241"/>
      <c r="U816" s="241"/>
      <c r="V816" s="241"/>
      <c r="W816" s="241"/>
      <c r="X816" s="241"/>
      <c r="Y816" s="241"/>
      <c r="Z816" s="241"/>
    </row>
    <row r="817" spans="1:26" ht="13.5" customHeight="1" x14ac:dyDescent="0.3">
      <c r="A817" s="241"/>
      <c r="B817" s="241"/>
      <c r="C817" s="241"/>
      <c r="D817" s="241"/>
      <c r="E817" s="241"/>
      <c r="F817" s="241"/>
      <c r="G817" s="241"/>
      <c r="H817" s="241"/>
      <c r="I817" s="241"/>
      <c r="J817" s="241"/>
      <c r="K817" s="241"/>
      <c r="L817" s="241"/>
      <c r="M817" s="241"/>
      <c r="N817" s="241"/>
      <c r="O817" s="241"/>
      <c r="P817" s="241"/>
      <c r="Q817" s="241"/>
      <c r="R817" s="241"/>
      <c r="S817" s="241"/>
      <c r="T817" s="241"/>
      <c r="U817" s="241"/>
      <c r="V817" s="241"/>
      <c r="W817" s="241"/>
      <c r="X817" s="241"/>
      <c r="Y817" s="241"/>
      <c r="Z817" s="241"/>
    </row>
    <row r="818" spans="1:26" ht="13.5" customHeight="1" x14ac:dyDescent="0.3">
      <c r="A818" s="241"/>
      <c r="B818" s="241"/>
      <c r="C818" s="241"/>
      <c r="D818" s="241"/>
      <c r="E818" s="241"/>
      <c r="F818" s="241"/>
      <c r="G818" s="241"/>
      <c r="H818" s="241"/>
      <c r="I818" s="241"/>
      <c r="J818" s="241"/>
      <c r="K818" s="241"/>
      <c r="L818" s="241"/>
      <c r="M818" s="241"/>
      <c r="N818" s="241"/>
      <c r="O818" s="241"/>
      <c r="P818" s="241"/>
      <c r="Q818" s="241"/>
      <c r="R818" s="241"/>
      <c r="S818" s="241"/>
      <c r="T818" s="241"/>
      <c r="U818" s="241"/>
      <c r="V818" s="241"/>
      <c r="W818" s="241"/>
      <c r="X818" s="241"/>
      <c r="Y818" s="241"/>
      <c r="Z818" s="241"/>
    </row>
    <row r="819" spans="1:26" ht="13.5" customHeight="1" x14ac:dyDescent="0.3">
      <c r="A819" s="241"/>
      <c r="B819" s="241"/>
      <c r="C819" s="241"/>
      <c r="D819" s="241"/>
      <c r="E819" s="241"/>
      <c r="F819" s="241"/>
      <c r="G819" s="241"/>
      <c r="H819" s="241"/>
      <c r="I819" s="241"/>
      <c r="J819" s="241"/>
      <c r="K819" s="241"/>
      <c r="L819" s="241"/>
      <c r="M819" s="241"/>
      <c r="N819" s="241"/>
      <c r="O819" s="241"/>
      <c r="P819" s="241"/>
      <c r="Q819" s="241"/>
      <c r="R819" s="241"/>
      <c r="S819" s="241"/>
      <c r="T819" s="241"/>
      <c r="U819" s="241"/>
      <c r="V819" s="241"/>
      <c r="W819" s="241"/>
      <c r="X819" s="241"/>
      <c r="Y819" s="241"/>
      <c r="Z819" s="241"/>
    </row>
    <row r="820" spans="1:26" ht="13.5" customHeight="1" x14ac:dyDescent="0.3">
      <c r="A820" s="241"/>
      <c r="B820" s="241"/>
      <c r="C820" s="241"/>
      <c r="D820" s="241"/>
      <c r="E820" s="241"/>
      <c r="F820" s="241"/>
      <c r="G820" s="241"/>
      <c r="H820" s="241"/>
      <c r="I820" s="241"/>
      <c r="J820" s="241"/>
      <c r="K820" s="241"/>
      <c r="L820" s="241"/>
      <c r="M820" s="241"/>
      <c r="N820" s="241"/>
      <c r="O820" s="241"/>
      <c r="P820" s="241"/>
      <c r="Q820" s="241"/>
      <c r="R820" s="241"/>
      <c r="S820" s="241"/>
      <c r="T820" s="241"/>
      <c r="U820" s="241"/>
      <c r="V820" s="241"/>
      <c r="W820" s="241"/>
      <c r="X820" s="241"/>
      <c r="Y820" s="241"/>
      <c r="Z820" s="241"/>
    </row>
    <row r="821" spans="1:26" ht="13.5" customHeight="1" x14ac:dyDescent="0.3">
      <c r="A821" s="241"/>
      <c r="B821" s="241"/>
      <c r="C821" s="241"/>
      <c r="D821" s="241"/>
      <c r="E821" s="241"/>
      <c r="F821" s="241"/>
      <c r="G821" s="241"/>
      <c r="H821" s="241"/>
      <c r="I821" s="241"/>
      <c r="J821" s="241"/>
      <c r="K821" s="241"/>
      <c r="L821" s="241"/>
      <c r="M821" s="241"/>
      <c r="N821" s="241"/>
      <c r="O821" s="241"/>
      <c r="P821" s="241"/>
      <c r="Q821" s="241"/>
      <c r="R821" s="241"/>
      <c r="S821" s="241"/>
      <c r="T821" s="241"/>
      <c r="U821" s="241"/>
      <c r="V821" s="241"/>
      <c r="W821" s="241"/>
      <c r="X821" s="241"/>
      <c r="Y821" s="241"/>
      <c r="Z821" s="241"/>
    </row>
    <row r="822" spans="1:26" ht="13.5" customHeight="1" x14ac:dyDescent="0.3">
      <c r="A822" s="241"/>
      <c r="B822" s="241"/>
      <c r="C822" s="241"/>
      <c r="D822" s="241"/>
      <c r="E822" s="241"/>
      <c r="F822" s="241"/>
      <c r="G822" s="241"/>
      <c r="H822" s="241"/>
      <c r="I822" s="241"/>
      <c r="J822" s="241"/>
      <c r="K822" s="241"/>
      <c r="L822" s="241"/>
      <c r="M822" s="241"/>
      <c r="N822" s="241"/>
      <c r="O822" s="241"/>
      <c r="P822" s="241"/>
      <c r="Q822" s="241"/>
      <c r="R822" s="241"/>
      <c r="S822" s="241"/>
      <c r="T822" s="241"/>
      <c r="U822" s="241"/>
      <c r="V822" s="241"/>
      <c r="W822" s="241"/>
      <c r="X822" s="241"/>
      <c r="Y822" s="241"/>
      <c r="Z822" s="241"/>
    </row>
    <row r="823" spans="1:26" ht="13.5" customHeight="1" x14ac:dyDescent="0.3">
      <c r="A823" s="241"/>
      <c r="B823" s="241"/>
      <c r="C823" s="241"/>
      <c r="D823" s="241"/>
      <c r="E823" s="241"/>
      <c r="F823" s="241"/>
      <c r="G823" s="241"/>
      <c r="H823" s="241"/>
      <c r="I823" s="241"/>
      <c r="J823" s="241"/>
      <c r="K823" s="241"/>
      <c r="L823" s="241"/>
      <c r="M823" s="241"/>
      <c r="N823" s="241"/>
      <c r="O823" s="241"/>
      <c r="P823" s="241"/>
      <c r="Q823" s="241"/>
      <c r="R823" s="241"/>
      <c r="S823" s="241"/>
      <c r="T823" s="241"/>
      <c r="U823" s="241"/>
      <c r="V823" s="241"/>
      <c r="W823" s="241"/>
      <c r="X823" s="241"/>
      <c r="Y823" s="241"/>
      <c r="Z823" s="241"/>
    </row>
    <row r="824" spans="1:26" ht="13.5" customHeight="1" x14ac:dyDescent="0.3">
      <c r="A824" s="241"/>
      <c r="B824" s="241"/>
      <c r="C824" s="241"/>
      <c r="D824" s="241"/>
      <c r="E824" s="241"/>
      <c r="F824" s="241"/>
      <c r="G824" s="241"/>
      <c r="H824" s="241"/>
      <c r="I824" s="241"/>
      <c r="J824" s="241"/>
      <c r="K824" s="241"/>
      <c r="L824" s="241"/>
      <c r="M824" s="241"/>
      <c r="N824" s="241"/>
      <c r="O824" s="241"/>
      <c r="P824" s="241"/>
      <c r="Q824" s="241"/>
      <c r="R824" s="241"/>
      <c r="S824" s="241"/>
      <c r="T824" s="241"/>
      <c r="U824" s="241"/>
      <c r="V824" s="241"/>
      <c r="W824" s="241"/>
      <c r="X824" s="241"/>
      <c r="Y824" s="241"/>
      <c r="Z824" s="241"/>
    </row>
    <row r="825" spans="1:26" ht="13.5" customHeight="1" x14ac:dyDescent="0.3">
      <c r="A825" s="241"/>
      <c r="B825" s="241"/>
      <c r="C825" s="241"/>
      <c r="D825" s="241"/>
      <c r="E825" s="241"/>
      <c r="F825" s="241"/>
      <c r="G825" s="241"/>
      <c r="H825" s="241"/>
      <c r="I825" s="241"/>
      <c r="J825" s="241"/>
      <c r="K825" s="241"/>
      <c r="L825" s="241"/>
      <c r="M825" s="241"/>
      <c r="N825" s="241"/>
      <c r="O825" s="241"/>
      <c r="P825" s="241"/>
      <c r="Q825" s="241"/>
      <c r="R825" s="241"/>
      <c r="S825" s="241"/>
      <c r="T825" s="241"/>
      <c r="U825" s="241"/>
      <c r="V825" s="241"/>
      <c r="W825" s="241"/>
      <c r="X825" s="241"/>
      <c r="Y825" s="241"/>
      <c r="Z825" s="241"/>
    </row>
    <row r="826" spans="1:26" ht="13.5" customHeight="1" x14ac:dyDescent="0.3">
      <c r="A826" s="241"/>
      <c r="B826" s="241"/>
      <c r="C826" s="241"/>
      <c r="D826" s="241"/>
      <c r="E826" s="241"/>
      <c r="F826" s="241"/>
      <c r="G826" s="241"/>
      <c r="H826" s="241"/>
      <c r="I826" s="241"/>
      <c r="J826" s="241"/>
      <c r="K826" s="241"/>
      <c r="L826" s="241"/>
      <c r="M826" s="241"/>
      <c r="N826" s="241"/>
      <c r="O826" s="241"/>
      <c r="P826" s="241"/>
      <c r="Q826" s="241"/>
      <c r="R826" s="241"/>
      <c r="S826" s="241"/>
      <c r="T826" s="241"/>
      <c r="U826" s="241"/>
      <c r="V826" s="241"/>
      <c r="W826" s="241"/>
      <c r="X826" s="241"/>
      <c r="Y826" s="241"/>
      <c r="Z826" s="241"/>
    </row>
    <row r="827" spans="1:26" ht="13.5" customHeight="1" x14ac:dyDescent="0.3">
      <c r="A827" s="241"/>
      <c r="B827" s="241"/>
      <c r="C827" s="241"/>
      <c r="D827" s="241"/>
      <c r="E827" s="241"/>
      <c r="F827" s="241"/>
      <c r="G827" s="241"/>
      <c r="H827" s="241"/>
      <c r="I827" s="241"/>
      <c r="J827" s="241"/>
      <c r="K827" s="241"/>
      <c r="L827" s="241"/>
      <c r="M827" s="241"/>
      <c r="N827" s="241"/>
      <c r="O827" s="241"/>
      <c r="P827" s="241"/>
      <c r="Q827" s="241"/>
      <c r="R827" s="241"/>
      <c r="S827" s="241"/>
      <c r="T827" s="241"/>
      <c r="U827" s="241"/>
      <c r="V827" s="241"/>
      <c r="W827" s="241"/>
      <c r="X827" s="241"/>
      <c r="Y827" s="241"/>
      <c r="Z827" s="241"/>
    </row>
    <row r="828" spans="1:26" ht="13.5" customHeight="1" x14ac:dyDescent="0.3">
      <c r="A828" s="241"/>
      <c r="B828" s="241"/>
      <c r="C828" s="241"/>
      <c r="D828" s="241"/>
      <c r="E828" s="241"/>
      <c r="F828" s="241"/>
      <c r="G828" s="241"/>
      <c r="H828" s="241"/>
      <c r="I828" s="241"/>
      <c r="J828" s="241"/>
      <c r="K828" s="241"/>
      <c r="L828" s="241"/>
      <c r="M828" s="241"/>
      <c r="N828" s="241"/>
      <c r="O828" s="241"/>
      <c r="P828" s="241"/>
      <c r="Q828" s="241"/>
      <c r="R828" s="241"/>
      <c r="S828" s="241"/>
      <c r="T828" s="241"/>
      <c r="U828" s="241"/>
      <c r="V828" s="241"/>
      <c r="W828" s="241"/>
      <c r="X828" s="241"/>
      <c r="Y828" s="241"/>
      <c r="Z828" s="241"/>
    </row>
    <row r="829" spans="1:26" ht="13.5" customHeight="1" x14ac:dyDescent="0.3">
      <c r="A829" s="241"/>
      <c r="B829" s="241"/>
      <c r="C829" s="241"/>
      <c r="D829" s="241"/>
      <c r="E829" s="241"/>
      <c r="F829" s="241"/>
      <c r="G829" s="241"/>
      <c r="H829" s="241"/>
      <c r="I829" s="241"/>
      <c r="J829" s="241"/>
      <c r="K829" s="241"/>
      <c r="L829" s="241"/>
      <c r="M829" s="241"/>
      <c r="N829" s="241"/>
      <c r="O829" s="241"/>
      <c r="P829" s="241"/>
      <c r="Q829" s="241"/>
      <c r="R829" s="241"/>
      <c r="S829" s="241"/>
      <c r="T829" s="241"/>
      <c r="U829" s="241"/>
      <c r="V829" s="241"/>
      <c r="W829" s="241"/>
      <c r="X829" s="241"/>
      <c r="Y829" s="241"/>
      <c r="Z829" s="241"/>
    </row>
    <row r="830" spans="1:26" ht="13.5" customHeight="1" x14ac:dyDescent="0.3">
      <c r="A830" s="241"/>
      <c r="B830" s="241"/>
      <c r="C830" s="241"/>
      <c r="D830" s="241"/>
      <c r="E830" s="241"/>
      <c r="F830" s="241"/>
      <c r="G830" s="241"/>
      <c r="H830" s="241"/>
      <c r="I830" s="241"/>
      <c r="J830" s="241"/>
      <c r="K830" s="241"/>
      <c r="L830" s="241"/>
      <c r="M830" s="241"/>
      <c r="N830" s="241"/>
      <c r="O830" s="241"/>
      <c r="P830" s="241"/>
      <c r="Q830" s="241"/>
      <c r="R830" s="241"/>
      <c r="S830" s="241"/>
      <c r="T830" s="241"/>
      <c r="U830" s="241"/>
      <c r="V830" s="241"/>
      <c r="W830" s="241"/>
      <c r="X830" s="241"/>
      <c r="Y830" s="241"/>
      <c r="Z830" s="241"/>
    </row>
    <row r="831" spans="1:26" ht="13.5" customHeight="1" x14ac:dyDescent="0.3">
      <c r="A831" s="241"/>
      <c r="B831" s="241"/>
      <c r="C831" s="241"/>
      <c r="D831" s="241"/>
      <c r="E831" s="241"/>
      <c r="F831" s="241"/>
      <c r="G831" s="241"/>
      <c r="H831" s="241"/>
      <c r="I831" s="241"/>
      <c r="J831" s="241"/>
      <c r="K831" s="241"/>
      <c r="L831" s="241"/>
      <c r="M831" s="241"/>
      <c r="N831" s="241"/>
      <c r="O831" s="241"/>
      <c r="P831" s="241"/>
      <c r="Q831" s="241"/>
      <c r="R831" s="241"/>
      <c r="S831" s="241"/>
      <c r="T831" s="241"/>
      <c r="U831" s="241"/>
      <c r="V831" s="241"/>
      <c r="W831" s="241"/>
      <c r="X831" s="241"/>
      <c r="Y831" s="241"/>
      <c r="Z831" s="241"/>
    </row>
    <row r="832" spans="1:26" ht="13.5" customHeight="1" x14ac:dyDescent="0.3">
      <c r="A832" s="241"/>
      <c r="B832" s="241"/>
      <c r="C832" s="241"/>
      <c r="D832" s="241"/>
      <c r="E832" s="241"/>
      <c r="F832" s="241"/>
      <c r="G832" s="241"/>
      <c r="H832" s="241"/>
      <c r="I832" s="241"/>
      <c r="J832" s="241"/>
      <c r="K832" s="241"/>
      <c r="L832" s="241"/>
      <c r="M832" s="241"/>
      <c r="N832" s="241"/>
      <c r="O832" s="241"/>
      <c r="P832" s="241"/>
      <c r="Q832" s="241"/>
      <c r="R832" s="241"/>
      <c r="S832" s="241"/>
      <c r="T832" s="241"/>
      <c r="U832" s="241"/>
      <c r="V832" s="241"/>
      <c r="W832" s="241"/>
      <c r="X832" s="241"/>
      <c r="Y832" s="241"/>
      <c r="Z832" s="241"/>
    </row>
    <row r="833" spans="1:26" ht="13.5" customHeight="1" x14ac:dyDescent="0.3">
      <c r="A833" s="241"/>
      <c r="B833" s="241"/>
      <c r="C833" s="241"/>
      <c r="D833" s="241"/>
      <c r="E833" s="241"/>
      <c r="F833" s="241"/>
      <c r="G833" s="241"/>
      <c r="H833" s="241"/>
      <c r="I833" s="241"/>
      <c r="J833" s="241"/>
      <c r="K833" s="241"/>
      <c r="L833" s="241"/>
      <c r="M833" s="241"/>
      <c r="N833" s="241"/>
      <c r="O833" s="241"/>
      <c r="P833" s="241"/>
      <c r="Q833" s="241"/>
      <c r="R833" s="241"/>
      <c r="S833" s="241"/>
      <c r="T833" s="241"/>
      <c r="U833" s="241"/>
      <c r="V833" s="241"/>
      <c r="W833" s="241"/>
      <c r="X833" s="241"/>
      <c r="Y833" s="241"/>
      <c r="Z833" s="241"/>
    </row>
    <row r="834" spans="1:26" ht="13.5" customHeight="1" x14ac:dyDescent="0.3">
      <c r="A834" s="241"/>
      <c r="B834" s="241"/>
      <c r="C834" s="241"/>
      <c r="D834" s="241"/>
      <c r="E834" s="241"/>
      <c r="F834" s="241"/>
      <c r="G834" s="241"/>
      <c r="H834" s="241"/>
      <c r="I834" s="241"/>
      <c r="J834" s="241"/>
      <c r="K834" s="241"/>
      <c r="L834" s="241"/>
      <c r="M834" s="241"/>
      <c r="N834" s="241"/>
      <c r="O834" s="241"/>
      <c r="P834" s="241"/>
      <c r="Q834" s="241"/>
      <c r="R834" s="241"/>
      <c r="S834" s="241"/>
      <c r="T834" s="241"/>
      <c r="U834" s="241"/>
      <c r="V834" s="241"/>
      <c r="W834" s="241"/>
      <c r="X834" s="241"/>
      <c r="Y834" s="241"/>
      <c r="Z834" s="241"/>
    </row>
    <row r="835" spans="1:26" ht="13.5" customHeight="1" x14ac:dyDescent="0.3">
      <c r="A835" s="241"/>
      <c r="B835" s="241"/>
      <c r="C835" s="241"/>
      <c r="D835" s="241"/>
      <c r="E835" s="241"/>
      <c r="F835" s="241"/>
      <c r="G835" s="241"/>
      <c r="H835" s="241"/>
      <c r="I835" s="241"/>
      <c r="J835" s="241"/>
      <c r="K835" s="241"/>
      <c r="L835" s="241"/>
      <c r="M835" s="241"/>
      <c r="N835" s="241"/>
      <c r="O835" s="241"/>
      <c r="P835" s="241"/>
      <c r="Q835" s="241"/>
      <c r="R835" s="241"/>
      <c r="S835" s="241"/>
      <c r="T835" s="241"/>
      <c r="U835" s="241"/>
      <c r="V835" s="241"/>
      <c r="W835" s="241"/>
      <c r="X835" s="241"/>
      <c r="Y835" s="241"/>
      <c r="Z835" s="241"/>
    </row>
    <row r="836" spans="1:26" ht="13.5" customHeight="1" x14ac:dyDescent="0.3">
      <c r="A836" s="241"/>
      <c r="B836" s="241"/>
      <c r="C836" s="241"/>
      <c r="D836" s="241"/>
      <c r="E836" s="241"/>
      <c r="F836" s="241"/>
      <c r="G836" s="241"/>
      <c r="H836" s="241"/>
      <c r="I836" s="241"/>
      <c r="J836" s="241"/>
      <c r="K836" s="241"/>
      <c r="L836" s="241"/>
      <c r="M836" s="241"/>
      <c r="N836" s="241"/>
      <c r="O836" s="241"/>
      <c r="P836" s="241"/>
      <c r="Q836" s="241"/>
      <c r="R836" s="241"/>
      <c r="S836" s="241"/>
      <c r="T836" s="241"/>
      <c r="U836" s="241"/>
      <c r="V836" s="241"/>
      <c r="W836" s="241"/>
      <c r="X836" s="241"/>
      <c r="Y836" s="241"/>
      <c r="Z836" s="241"/>
    </row>
    <row r="837" spans="1:26" ht="13.5" customHeight="1" x14ac:dyDescent="0.3">
      <c r="A837" s="241"/>
      <c r="B837" s="241"/>
      <c r="C837" s="241"/>
      <c r="D837" s="241"/>
      <c r="E837" s="241"/>
      <c r="F837" s="241"/>
      <c r="G837" s="241"/>
      <c r="H837" s="241"/>
      <c r="I837" s="241"/>
      <c r="J837" s="241"/>
      <c r="K837" s="241"/>
      <c r="L837" s="241"/>
      <c r="M837" s="241"/>
      <c r="N837" s="241"/>
      <c r="O837" s="241"/>
      <c r="P837" s="241"/>
      <c r="Q837" s="241"/>
      <c r="R837" s="241"/>
      <c r="S837" s="241"/>
      <c r="T837" s="241"/>
      <c r="U837" s="241"/>
      <c r="V837" s="241"/>
      <c r="W837" s="241"/>
      <c r="X837" s="241"/>
      <c r="Y837" s="241"/>
      <c r="Z837" s="241"/>
    </row>
    <row r="838" spans="1:26" ht="13.5" customHeight="1" x14ac:dyDescent="0.3">
      <c r="A838" s="241"/>
      <c r="B838" s="241"/>
      <c r="C838" s="241"/>
      <c r="D838" s="241"/>
      <c r="E838" s="241"/>
      <c r="F838" s="241"/>
      <c r="G838" s="241"/>
      <c r="H838" s="241"/>
      <c r="I838" s="241"/>
      <c r="J838" s="241"/>
      <c r="K838" s="241"/>
      <c r="L838" s="241"/>
      <c r="M838" s="241"/>
      <c r="N838" s="241"/>
      <c r="O838" s="241"/>
      <c r="P838" s="241"/>
      <c r="Q838" s="241"/>
      <c r="R838" s="241"/>
      <c r="S838" s="241"/>
      <c r="T838" s="241"/>
      <c r="U838" s="241"/>
      <c r="V838" s="241"/>
      <c r="W838" s="241"/>
      <c r="X838" s="241"/>
      <c r="Y838" s="241"/>
      <c r="Z838" s="241"/>
    </row>
    <row r="839" spans="1:26" ht="13.5" customHeight="1" x14ac:dyDescent="0.3">
      <c r="A839" s="241"/>
      <c r="B839" s="241"/>
      <c r="C839" s="241"/>
      <c r="D839" s="241"/>
      <c r="E839" s="241"/>
      <c r="F839" s="241"/>
      <c r="G839" s="241"/>
      <c r="H839" s="241"/>
      <c r="I839" s="241"/>
      <c r="J839" s="241"/>
      <c r="K839" s="241"/>
      <c r="L839" s="241"/>
      <c r="M839" s="241"/>
      <c r="N839" s="241"/>
      <c r="O839" s="241"/>
      <c r="P839" s="241"/>
      <c r="Q839" s="241"/>
      <c r="R839" s="241"/>
      <c r="S839" s="241"/>
      <c r="T839" s="241"/>
      <c r="U839" s="241"/>
      <c r="V839" s="241"/>
      <c r="W839" s="241"/>
      <c r="X839" s="241"/>
      <c r="Y839" s="241"/>
      <c r="Z839" s="241"/>
    </row>
    <row r="840" spans="1:26" ht="13.5" customHeight="1" x14ac:dyDescent="0.3">
      <c r="A840" s="241"/>
      <c r="B840" s="241"/>
      <c r="C840" s="241"/>
      <c r="D840" s="241"/>
      <c r="E840" s="241"/>
      <c r="F840" s="241"/>
      <c r="G840" s="241"/>
      <c r="H840" s="241"/>
      <c r="I840" s="241"/>
      <c r="J840" s="241"/>
      <c r="K840" s="241"/>
      <c r="L840" s="241"/>
      <c r="M840" s="241"/>
      <c r="N840" s="241"/>
      <c r="O840" s="241"/>
      <c r="P840" s="241"/>
      <c r="Q840" s="241"/>
      <c r="R840" s="241"/>
      <c r="S840" s="241"/>
      <c r="T840" s="241"/>
      <c r="U840" s="241"/>
      <c r="V840" s="241"/>
      <c r="W840" s="241"/>
      <c r="X840" s="241"/>
      <c r="Y840" s="241"/>
      <c r="Z840" s="241"/>
    </row>
    <row r="841" spans="1:26" ht="13.5" customHeight="1" x14ac:dyDescent="0.3">
      <c r="A841" s="241"/>
      <c r="B841" s="241"/>
      <c r="C841" s="241"/>
      <c r="D841" s="241"/>
      <c r="E841" s="241"/>
      <c r="F841" s="241"/>
      <c r="G841" s="241"/>
      <c r="H841" s="241"/>
      <c r="I841" s="241"/>
      <c r="J841" s="241"/>
      <c r="K841" s="241"/>
      <c r="L841" s="241"/>
      <c r="M841" s="241"/>
      <c r="N841" s="241"/>
      <c r="O841" s="241"/>
      <c r="P841" s="241"/>
      <c r="Q841" s="241"/>
      <c r="R841" s="241"/>
      <c r="S841" s="241"/>
      <c r="T841" s="241"/>
      <c r="U841" s="241"/>
      <c r="V841" s="241"/>
      <c r="W841" s="241"/>
      <c r="X841" s="241"/>
      <c r="Y841" s="241"/>
      <c r="Z841" s="241"/>
    </row>
    <row r="842" spans="1:26" ht="13.5" customHeight="1" x14ac:dyDescent="0.3">
      <c r="A842" s="241"/>
      <c r="B842" s="241"/>
      <c r="C842" s="241"/>
      <c r="D842" s="241"/>
      <c r="E842" s="241"/>
      <c r="F842" s="241"/>
      <c r="G842" s="241"/>
      <c r="H842" s="241"/>
      <c r="I842" s="241"/>
      <c r="J842" s="241"/>
      <c r="K842" s="241"/>
      <c r="L842" s="241"/>
      <c r="M842" s="241"/>
      <c r="N842" s="241"/>
      <c r="O842" s="241"/>
      <c r="P842" s="241"/>
      <c r="Q842" s="241"/>
      <c r="R842" s="241"/>
      <c r="S842" s="241"/>
      <c r="T842" s="241"/>
      <c r="U842" s="241"/>
      <c r="V842" s="241"/>
      <c r="W842" s="241"/>
      <c r="X842" s="241"/>
      <c r="Y842" s="241"/>
      <c r="Z842" s="241"/>
    </row>
    <row r="843" spans="1:26" ht="13.5" customHeight="1" x14ac:dyDescent="0.3">
      <c r="A843" s="241"/>
      <c r="B843" s="241"/>
      <c r="C843" s="241"/>
      <c r="D843" s="241"/>
      <c r="E843" s="241"/>
      <c r="F843" s="241"/>
      <c r="G843" s="241"/>
      <c r="H843" s="241"/>
      <c r="I843" s="241"/>
      <c r="J843" s="241"/>
      <c r="K843" s="241"/>
      <c r="L843" s="241"/>
      <c r="M843" s="241"/>
      <c r="N843" s="241"/>
      <c r="O843" s="241"/>
      <c r="P843" s="241"/>
      <c r="Q843" s="241"/>
      <c r="R843" s="241"/>
      <c r="S843" s="241"/>
      <c r="T843" s="241"/>
      <c r="U843" s="241"/>
      <c r="V843" s="241"/>
      <c r="W843" s="241"/>
      <c r="X843" s="241"/>
      <c r="Y843" s="241"/>
      <c r="Z843" s="241"/>
    </row>
    <row r="844" spans="1:26" ht="13.5" customHeight="1" x14ac:dyDescent="0.3">
      <c r="A844" s="241"/>
      <c r="B844" s="241"/>
      <c r="C844" s="241"/>
      <c r="D844" s="241"/>
      <c r="E844" s="241"/>
      <c r="F844" s="241"/>
      <c r="G844" s="241"/>
      <c r="H844" s="241"/>
      <c r="I844" s="241"/>
      <c r="J844" s="241"/>
      <c r="K844" s="241"/>
      <c r="L844" s="241"/>
      <c r="M844" s="241"/>
      <c r="N844" s="241"/>
      <c r="O844" s="241"/>
      <c r="P844" s="241"/>
      <c r="Q844" s="241"/>
      <c r="R844" s="241"/>
      <c r="S844" s="241"/>
      <c r="T844" s="241"/>
      <c r="U844" s="241"/>
      <c r="V844" s="241"/>
      <c r="W844" s="241"/>
      <c r="X844" s="241"/>
      <c r="Y844" s="241"/>
      <c r="Z844" s="241"/>
    </row>
    <row r="845" spans="1:26" ht="13.5" customHeight="1" x14ac:dyDescent="0.3">
      <c r="A845" s="241"/>
      <c r="B845" s="241"/>
      <c r="C845" s="241"/>
      <c r="D845" s="241"/>
      <c r="E845" s="241"/>
      <c r="F845" s="241"/>
      <c r="G845" s="241"/>
      <c r="H845" s="241"/>
      <c r="I845" s="241"/>
      <c r="J845" s="241"/>
      <c r="K845" s="241"/>
      <c r="L845" s="241"/>
      <c r="M845" s="241"/>
      <c r="N845" s="241"/>
      <c r="O845" s="241"/>
      <c r="P845" s="241"/>
      <c r="Q845" s="241"/>
      <c r="R845" s="241"/>
      <c r="S845" s="241"/>
      <c r="T845" s="241"/>
      <c r="U845" s="241"/>
      <c r="V845" s="241"/>
      <c r="W845" s="241"/>
      <c r="X845" s="241"/>
      <c r="Y845" s="241"/>
      <c r="Z845" s="241"/>
    </row>
    <row r="846" spans="1:26" ht="13.5" customHeight="1" x14ac:dyDescent="0.3">
      <c r="A846" s="241"/>
      <c r="B846" s="241"/>
      <c r="C846" s="241"/>
      <c r="D846" s="241"/>
      <c r="E846" s="241"/>
      <c r="F846" s="241"/>
      <c r="G846" s="241"/>
      <c r="H846" s="241"/>
      <c r="I846" s="241"/>
      <c r="J846" s="241"/>
      <c r="K846" s="241"/>
      <c r="L846" s="241"/>
      <c r="M846" s="241"/>
      <c r="N846" s="241"/>
      <c r="O846" s="241"/>
      <c r="P846" s="241"/>
      <c r="Q846" s="241"/>
      <c r="R846" s="241"/>
      <c r="S846" s="241"/>
      <c r="T846" s="241"/>
      <c r="U846" s="241"/>
      <c r="V846" s="241"/>
      <c r="W846" s="241"/>
      <c r="X846" s="241"/>
      <c r="Y846" s="241"/>
      <c r="Z846" s="241"/>
    </row>
    <row r="847" spans="1:26" ht="13.5" customHeight="1" x14ac:dyDescent="0.3">
      <c r="A847" s="241"/>
      <c r="B847" s="241"/>
      <c r="C847" s="241"/>
      <c r="D847" s="241"/>
      <c r="E847" s="241"/>
      <c r="F847" s="241"/>
      <c r="G847" s="241"/>
      <c r="H847" s="241"/>
      <c r="I847" s="241"/>
      <c r="J847" s="241"/>
      <c r="K847" s="241"/>
      <c r="L847" s="241"/>
      <c r="M847" s="241"/>
      <c r="N847" s="241"/>
      <c r="O847" s="241"/>
      <c r="P847" s="241"/>
      <c r="Q847" s="241"/>
      <c r="R847" s="241"/>
      <c r="S847" s="241"/>
      <c r="T847" s="241"/>
      <c r="U847" s="241"/>
      <c r="V847" s="241"/>
      <c r="W847" s="241"/>
      <c r="X847" s="241"/>
      <c r="Y847" s="241"/>
      <c r="Z847" s="241"/>
    </row>
    <row r="848" spans="1:26" ht="13.5" customHeight="1" x14ac:dyDescent="0.3">
      <c r="A848" s="241"/>
      <c r="B848" s="241"/>
      <c r="C848" s="241"/>
      <c r="D848" s="241"/>
      <c r="E848" s="241"/>
      <c r="F848" s="241"/>
      <c r="G848" s="241"/>
      <c r="H848" s="241"/>
      <c r="I848" s="241"/>
      <c r="J848" s="241"/>
      <c r="K848" s="241"/>
      <c r="L848" s="241"/>
      <c r="M848" s="241"/>
      <c r="N848" s="241"/>
      <c r="O848" s="241"/>
      <c r="P848" s="241"/>
      <c r="Q848" s="241"/>
      <c r="R848" s="241"/>
      <c r="S848" s="241"/>
      <c r="T848" s="241"/>
      <c r="U848" s="241"/>
      <c r="V848" s="241"/>
      <c r="W848" s="241"/>
      <c r="X848" s="241"/>
      <c r="Y848" s="241"/>
      <c r="Z848" s="241"/>
    </row>
    <row r="849" spans="1:26" ht="13.5" customHeight="1" x14ac:dyDescent="0.3">
      <c r="A849" s="241"/>
      <c r="B849" s="241"/>
      <c r="C849" s="241"/>
      <c r="D849" s="241"/>
      <c r="E849" s="241"/>
      <c r="F849" s="241"/>
      <c r="G849" s="241"/>
      <c r="H849" s="241"/>
      <c r="I849" s="241"/>
      <c r="J849" s="241"/>
      <c r="K849" s="241"/>
      <c r="L849" s="241"/>
      <c r="M849" s="241"/>
      <c r="N849" s="241"/>
      <c r="O849" s="241"/>
      <c r="P849" s="241"/>
      <c r="Q849" s="241"/>
      <c r="R849" s="241"/>
      <c r="S849" s="241"/>
      <c r="T849" s="241"/>
      <c r="U849" s="241"/>
      <c r="V849" s="241"/>
      <c r="W849" s="241"/>
      <c r="X849" s="241"/>
      <c r="Y849" s="241"/>
      <c r="Z849" s="241"/>
    </row>
    <row r="850" spans="1:26" ht="13.5" customHeight="1" x14ac:dyDescent="0.3">
      <c r="A850" s="241"/>
      <c r="B850" s="241"/>
      <c r="C850" s="241"/>
      <c r="D850" s="241"/>
      <c r="E850" s="241"/>
      <c r="F850" s="241"/>
      <c r="G850" s="241"/>
      <c r="H850" s="241"/>
      <c r="I850" s="241"/>
      <c r="J850" s="241"/>
      <c r="K850" s="241"/>
      <c r="L850" s="241"/>
      <c r="M850" s="241"/>
      <c r="N850" s="241"/>
      <c r="O850" s="241"/>
      <c r="P850" s="241"/>
      <c r="Q850" s="241"/>
      <c r="R850" s="241"/>
      <c r="S850" s="241"/>
      <c r="T850" s="241"/>
      <c r="U850" s="241"/>
      <c r="V850" s="241"/>
      <c r="W850" s="241"/>
      <c r="X850" s="241"/>
      <c r="Y850" s="241"/>
      <c r="Z850" s="241"/>
    </row>
    <row r="851" spans="1:26" ht="13.5" customHeight="1" x14ac:dyDescent="0.3">
      <c r="A851" s="241"/>
      <c r="B851" s="241"/>
      <c r="C851" s="241"/>
      <c r="D851" s="241"/>
      <c r="E851" s="241"/>
      <c r="F851" s="241"/>
      <c r="G851" s="241"/>
      <c r="H851" s="241"/>
      <c r="I851" s="241"/>
      <c r="J851" s="241"/>
      <c r="K851" s="241"/>
      <c r="L851" s="241"/>
      <c r="M851" s="241"/>
      <c r="N851" s="241"/>
      <c r="O851" s="241"/>
      <c r="P851" s="241"/>
      <c r="Q851" s="241"/>
      <c r="R851" s="241"/>
      <c r="S851" s="241"/>
      <c r="T851" s="241"/>
      <c r="U851" s="241"/>
      <c r="V851" s="241"/>
      <c r="W851" s="241"/>
      <c r="X851" s="241"/>
      <c r="Y851" s="241"/>
      <c r="Z851" s="241"/>
    </row>
    <row r="852" spans="1:26" ht="13.5" customHeight="1" x14ac:dyDescent="0.3">
      <c r="A852" s="241"/>
      <c r="B852" s="241"/>
      <c r="C852" s="241"/>
      <c r="D852" s="241"/>
      <c r="E852" s="241"/>
      <c r="F852" s="241"/>
      <c r="G852" s="241"/>
      <c r="H852" s="241"/>
      <c r="I852" s="241"/>
      <c r="J852" s="241"/>
      <c r="K852" s="241"/>
      <c r="L852" s="241"/>
      <c r="M852" s="241"/>
      <c r="N852" s="241"/>
      <c r="O852" s="241"/>
      <c r="P852" s="241"/>
      <c r="Q852" s="241"/>
      <c r="R852" s="241"/>
      <c r="S852" s="241"/>
      <c r="T852" s="241"/>
      <c r="U852" s="241"/>
      <c r="V852" s="241"/>
      <c r="W852" s="241"/>
      <c r="X852" s="241"/>
      <c r="Y852" s="241"/>
      <c r="Z852" s="241"/>
    </row>
    <row r="853" spans="1:26" ht="13.5" customHeight="1" x14ac:dyDescent="0.3">
      <c r="A853" s="241"/>
      <c r="B853" s="241"/>
      <c r="C853" s="241"/>
      <c r="D853" s="241"/>
      <c r="E853" s="241"/>
      <c r="F853" s="241"/>
      <c r="G853" s="241"/>
      <c r="H853" s="241"/>
      <c r="I853" s="241"/>
      <c r="J853" s="241"/>
      <c r="K853" s="241"/>
      <c r="L853" s="241"/>
      <c r="M853" s="241"/>
      <c r="N853" s="241"/>
      <c r="O853" s="241"/>
      <c r="P853" s="241"/>
      <c r="Q853" s="241"/>
      <c r="R853" s="241"/>
      <c r="S853" s="241"/>
      <c r="T853" s="241"/>
      <c r="U853" s="241"/>
      <c r="V853" s="241"/>
      <c r="W853" s="241"/>
      <c r="X853" s="241"/>
      <c r="Y853" s="241"/>
      <c r="Z853" s="241"/>
    </row>
    <row r="854" spans="1:26" ht="13.5" customHeight="1" x14ac:dyDescent="0.3">
      <c r="A854" s="241"/>
      <c r="B854" s="241"/>
      <c r="C854" s="241"/>
      <c r="D854" s="241"/>
      <c r="E854" s="241"/>
      <c r="F854" s="241"/>
      <c r="G854" s="241"/>
      <c r="H854" s="241"/>
      <c r="I854" s="241"/>
      <c r="J854" s="241"/>
      <c r="K854" s="241"/>
      <c r="L854" s="241"/>
      <c r="M854" s="241"/>
      <c r="N854" s="241"/>
      <c r="O854" s="241"/>
      <c r="P854" s="241"/>
      <c r="Q854" s="241"/>
      <c r="R854" s="241"/>
      <c r="S854" s="241"/>
      <c r="T854" s="241"/>
      <c r="U854" s="241"/>
      <c r="V854" s="241"/>
      <c r="W854" s="241"/>
      <c r="X854" s="241"/>
      <c r="Y854" s="241"/>
      <c r="Z854" s="241"/>
    </row>
    <row r="855" spans="1:26" ht="13.5" customHeight="1" x14ac:dyDescent="0.3">
      <c r="A855" s="241"/>
      <c r="B855" s="241"/>
      <c r="C855" s="241"/>
      <c r="D855" s="241"/>
      <c r="E855" s="241"/>
      <c r="F855" s="241"/>
      <c r="G855" s="241"/>
      <c r="H855" s="241"/>
      <c r="I855" s="241"/>
      <c r="J855" s="241"/>
      <c r="K855" s="241"/>
      <c r="L855" s="241"/>
      <c r="M855" s="241"/>
      <c r="N855" s="241"/>
      <c r="O855" s="241"/>
      <c r="P855" s="241"/>
      <c r="Q855" s="241"/>
      <c r="R855" s="241"/>
      <c r="S855" s="241"/>
      <c r="T855" s="241"/>
      <c r="U855" s="241"/>
      <c r="V855" s="241"/>
      <c r="W855" s="241"/>
      <c r="X855" s="241"/>
      <c r="Y855" s="241"/>
      <c r="Z855" s="241"/>
    </row>
    <row r="856" spans="1:26" ht="13.5" customHeight="1" x14ac:dyDescent="0.3">
      <c r="A856" s="241"/>
      <c r="B856" s="241"/>
      <c r="C856" s="241"/>
      <c r="D856" s="241"/>
      <c r="E856" s="241"/>
      <c r="F856" s="241"/>
      <c r="G856" s="241"/>
      <c r="H856" s="241"/>
      <c r="I856" s="241"/>
      <c r="J856" s="241"/>
      <c r="K856" s="241"/>
      <c r="L856" s="241"/>
      <c r="M856" s="241"/>
      <c r="N856" s="241"/>
      <c r="O856" s="241"/>
      <c r="P856" s="241"/>
      <c r="Q856" s="241"/>
      <c r="R856" s="241"/>
      <c r="S856" s="241"/>
      <c r="T856" s="241"/>
      <c r="U856" s="241"/>
      <c r="V856" s="241"/>
      <c r="W856" s="241"/>
      <c r="X856" s="241"/>
      <c r="Y856" s="241"/>
      <c r="Z856" s="241"/>
    </row>
    <row r="857" spans="1:26" ht="13.5" customHeight="1" x14ac:dyDescent="0.3">
      <c r="A857" s="241"/>
      <c r="B857" s="241"/>
      <c r="C857" s="241"/>
      <c r="D857" s="241"/>
      <c r="E857" s="241"/>
      <c r="F857" s="241"/>
      <c r="G857" s="241"/>
      <c r="H857" s="241"/>
      <c r="I857" s="241"/>
      <c r="J857" s="241"/>
      <c r="K857" s="241"/>
      <c r="L857" s="241"/>
      <c r="M857" s="241"/>
      <c r="N857" s="241"/>
      <c r="O857" s="241"/>
      <c r="P857" s="241"/>
      <c r="Q857" s="241"/>
      <c r="R857" s="241"/>
      <c r="S857" s="241"/>
      <c r="T857" s="241"/>
      <c r="U857" s="241"/>
      <c r="V857" s="241"/>
      <c r="W857" s="241"/>
      <c r="X857" s="241"/>
      <c r="Y857" s="241"/>
      <c r="Z857" s="241"/>
    </row>
    <row r="858" spans="1:26" ht="13.5" customHeight="1" x14ac:dyDescent="0.3">
      <c r="A858" s="241"/>
      <c r="B858" s="241"/>
      <c r="C858" s="241"/>
      <c r="D858" s="241"/>
      <c r="E858" s="241"/>
      <c r="F858" s="241"/>
      <c r="G858" s="241"/>
      <c r="H858" s="241"/>
      <c r="I858" s="241"/>
      <c r="J858" s="241"/>
      <c r="K858" s="241"/>
      <c r="L858" s="241"/>
      <c r="M858" s="241"/>
      <c r="N858" s="241"/>
      <c r="O858" s="241"/>
      <c r="P858" s="241"/>
      <c r="Q858" s="241"/>
      <c r="R858" s="241"/>
      <c r="S858" s="241"/>
      <c r="T858" s="241"/>
      <c r="U858" s="241"/>
      <c r="V858" s="241"/>
      <c r="W858" s="241"/>
      <c r="X858" s="241"/>
      <c r="Y858" s="241"/>
      <c r="Z858" s="241"/>
    </row>
    <row r="859" spans="1:26" ht="13.5" customHeight="1" x14ac:dyDescent="0.3">
      <c r="A859" s="241"/>
      <c r="B859" s="241"/>
      <c r="C859" s="241"/>
      <c r="D859" s="241"/>
      <c r="E859" s="241"/>
      <c r="F859" s="241"/>
      <c r="G859" s="241"/>
      <c r="H859" s="241"/>
      <c r="I859" s="241"/>
      <c r="J859" s="241"/>
      <c r="K859" s="241"/>
      <c r="L859" s="241"/>
      <c r="M859" s="241"/>
      <c r="N859" s="241"/>
      <c r="O859" s="241"/>
      <c r="P859" s="241"/>
      <c r="Q859" s="241"/>
      <c r="R859" s="241"/>
      <c r="S859" s="241"/>
      <c r="T859" s="241"/>
      <c r="U859" s="241"/>
      <c r="V859" s="241"/>
      <c r="W859" s="241"/>
      <c r="X859" s="241"/>
      <c r="Y859" s="241"/>
      <c r="Z859" s="241"/>
    </row>
    <row r="860" spans="1:26" ht="13.5" customHeight="1" x14ac:dyDescent="0.3">
      <c r="A860" s="241"/>
      <c r="B860" s="241"/>
      <c r="C860" s="241"/>
      <c r="D860" s="241"/>
      <c r="E860" s="241"/>
      <c r="F860" s="241"/>
      <c r="G860" s="241"/>
      <c r="H860" s="241"/>
      <c r="I860" s="241"/>
      <c r="J860" s="241"/>
      <c r="K860" s="241"/>
      <c r="L860" s="241"/>
      <c r="M860" s="241"/>
      <c r="N860" s="241"/>
      <c r="O860" s="241"/>
      <c r="P860" s="241"/>
      <c r="Q860" s="241"/>
      <c r="R860" s="241"/>
      <c r="S860" s="241"/>
      <c r="T860" s="241"/>
      <c r="U860" s="241"/>
      <c r="V860" s="241"/>
      <c r="W860" s="241"/>
      <c r="X860" s="241"/>
      <c r="Y860" s="241"/>
      <c r="Z860" s="241"/>
    </row>
    <row r="861" spans="1:26" ht="13.5" customHeight="1" x14ac:dyDescent="0.3">
      <c r="A861" s="241"/>
      <c r="B861" s="241"/>
      <c r="C861" s="241"/>
      <c r="D861" s="241"/>
      <c r="E861" s="241"/>
      <c r="F861" s="241"/>
      <c r="G861" s="241"/>
      <c r="H861" s="241"/>
      <c r="I861" s="241"/>
      <c r="J861" s="241"/>
      <c r="K861" s="241"/>
      <c r="L861" s="241"/>
      <c r="M861" s="241"/>
      <c r="N861" s="241"/>
      <c r="O861" s="241"/>
      <c r="P861" s="241"/>
      <c r="Q861" s="241"/>
      <c r="R861" s="241"/>
      <c r="S861" s="241"/>
      <c r="T861" s="241"/>
      <c r="U861" s="241"/>
      <c r="V861" s="241"/>
      <c r="W861" s="241"/>
      <c r="X861" s="241"/>
      <c r="Y861" s="241"/>
      <c r="Z861" s="241"/>
    </row>
    <row r="862" spans="1:26" ht="13.5" customHeight="1" x14ac:dyDescent="0.3">
      <c r="A862" s="241"/>
      <c r="B862" s="241"/>
      <c r="C862" s="241"/>
      <c r="D862" s="241"/>
      <c r="E862" s="241"/>
      <c r="F862" s="241"/>
      <c r="G862" s="241"/>
      <c r="H862" s="241"/>
      <c r="I862" s="241"/>
      <c r="J862" s="241"/>
      <c r="K862" s="241"/>
      <c r="L862" s="241"/>
      <c r="M862" s="241"/>
      <c r="N862" s="241"/>
      <c r="O862" s="241"/>
      <c r="P862" s="241"/>
      <c r="Q862" s="241"/>
      <c r="R862" s="241"/>
      <c r="S862" s="241"/>
      <c r="T862" s="241"/>
      <c r="U862" s="241"/>
      <c r="V862" s="241"/>
      <c r="W862" s="241"/>
      <c r="X862" s="241"/>
      <c r="Y862" s="241"/>
      <c r="Z862" s="241"/>
    </row>
    <row r="863" spans="1:26" ht="13.5" customHeight="1" x14ac:dyDescent="0.3">
      <c r="A863" s="241"/>
      <c r="B863" s="241"/>
      <c r="C863" s="241"/>
      <c r="D863" s="241"/>
      <c r="E863" s="241"/>
      <c r="F863" s="241"/>
      <c r="G863" s="241"/>
      <c r="H863" s="241"/>
      <c r="I863" s="241"/>
      <c r="J863" s="241"/>
      <c r="K863" s="241"/>
      <c r="L863" s="241"/>
      <c r="M863" s="241"/>
      <c r="N863" s="241"/>
      <c r="O863" s="241"/>
      <c r="P863" s="241"/>
      <c r="Q863" s="241"/>
      <c r="R863" s="241"/>
      <c r="S863" s="241"/>
      <c r="T863" s="241"/>
      <c r="U863" s="241"/>
      <c r="V863" s="241"/>
      <c r="W863" s="241"/>
      <c r="X863" s="241"/>
      <c r="Y863" s="241"/>
      <c r="Z863" s="241"/>
    </row>
    <row r="864" spans="1:26" ht="13.5" customHeight="1" x14ac:dyDescent="0.3">
      <c r="A864" s="241"/>
      <c r="B864" s="241"/>
      <c r="C864" s="241"/>
      <c r="D864" s="241"/>
      <c r="E864" s="241"/>
      <c r="F864" s="241"/>
      <c r="G864" s="241"/>
      <c r="H864" s="241"/>
      <c r="I864" s="241"/>
      <c r="J864" s="241"/>
      <c r="K864" s="241"/>
      <c r="L864" s="241"/>
      <c r="M864" s="241"/>
      <c r="N864" s="241"/>
      <c r="O864" s="241"/>
      <c r="P864" s="241"/>
      <c r="Q864" s="241"/>
      <c r="R864" s="241"/>
      <c r="S864" s="241"/>
      <c r="T864" s="241"/>
      <c r="U864" s="241"/>
      <c r="V864" s="241"/>
      <c r="W864" s="241"/>
      <c r="X864" s="241"/>
      <c r="Y864" s="241"/>
      <c r="Z864" s="241"/>
    </row>
    <row r="865" spans="1:26" ht="13.5" customHeight="1" x14ac:dyDescent="0.3">
      <c r="A865" s="241"/>
      <c r="B865" s="241"/>
      <c r="C865" s="241"/>
      <c r="D865" s="241"/>
      <c r="E865" s="241"/>
      <c r="F865" s="241"/>
      <c r="G865" s="241"/>
      <c r="H865" s="241"/>
      <c r="I865" s="241"/>
      <c r="J865" s="241"/>
      <c r="K865" s="241"/>
      <c r="L865" s="241"/>
      <c r="M865" s="241"/>
      <c r="N865" s="241"/>
      <c r="O865" s="241"/>
      <c r="P865" s="241"/>
      <c r="Q865" s="241"/>
      <c r="R865" s="241"/>
      <c r="S865" s="241"/>
      <c r="T865" s="241"/>
      <c r="U865" s="241"/>
      <c r="V865" s="241"/>
      <c r="W865" s="241"/>
      <c r="X865" s="241"/>
      <c r="Y865" s="241"/>
      <c r="Z865" s="241"/>
    </row>
    <row r="866" spans="1:26" ht="13.5" customHeight="1" x14ac:dyDescent="0.3">
      <c r="A866" s="241"/>
      <c r="B866" s="241"/>
      <c r="C866" s="241"/>
      <c r="D866" s="241"/>
      <c r="E866" s="241"/>
      <c r="F866" s="241"/>
      <c r="G866" s="241"/>
      <c r="H866" s="241"/>
      <c r="I866" s="241"/>
      <c r="J866" s="241"/>
      <c r="K866" s="241"/>
      <c r="L866" s="241"/>
      <c r="M866" s="241"/>
      <c r="N866" s="241"/>
      <c r="O866" s="241"/>
      <c r="P866" s="241"/>
      <c r="Q866" s="241"/>
      <c r="R866" s="241"/>
      <c r="S866" s="241"/>
      <c r="T866" s="241"/>
      <c r="U866" s="241"/>
      <c r="V866" s="241"/>
      <c r="W866" s="241"/>
      <c r="X866" s="241"/>
      <c r="Y866" s="241"/>
      <c r="Z866" s="241"/>
    </row>
    <row r="867" spans="1:26" ht="13.5" customHeight="1" x14ac:dyDescent="0.3">
      <c r="A867" s="241"/>
      <c r="B867" s="241"/>
      <c r="C867" s="241"/>
      <c r="D867" s="241"/>
      <c r="E867" s="241"/>
      <c r="F867" s="241"/>
      <c r="G867" s="241"/>
      <c r="H867" s="241"/>
      <c r="I867" s="241"/>
      <c r="J867" s="241"/>
      <c r="K867" s="241"/>
      <c r="L867" s="241"/>
      <c r="M867" s="241"/>
      <c r="N867" s="241"/>
      <c r="O867" s="241"/>
      <c r="P867" s="241"/>
      <c r="Q867" s="241"/>
      <c r="R867" s="241"/>
      <c r="S867" s="241"/>
      <c r="T867" s="241"/>
      <c r="U867" s="241"/>
      <c r="V867" s="241"/>
      <c r="W867" s="241"/>
      <c r="X867" s="241"/>
      <c r="Y867" s="241"/>
      <c r="Z867" s="241"/>
    </row>
    <row r="868" spans="1:26" ht="13.5" customHeight="1" x14ac:dyDescent="0.3">
      <c r="A868" s="241"/>
      <c r="B868" s="241"/>
      <c r="C868" s="241"/>
      <c r="D868" s="241"/>
      <c r="E868" s="241"/>
      <c r="F868" s="241"/>
      <c r="G868" s="241"/>
      <c r="H868" s="241"/>
      <c r="I868" s="241"/>
      <c r="J868" s="241"/>
      <c r="K868" s="241"/>
      <c r="L868" s="241"/>
      <c r="M868" s="241"/>
      <c r="N868" s="241"/>
      <c r="O868" s="241"/>
      <c r="P868" s="241"/>
      <c r="Q868" s="241"/>
      <c r="R868" s="241"/>
      <c r="S868" s="241"/>
      <c r="T868" s="241"/>
      <c r="U868" s="241"/>
      <c r="V868" s="241"/>
      <c r="W868" s="241"/>
      <c r="X868" s="241"/>
      <c r="Y868" s="241"/>
      <c r="Z868" s="241"/>
    </row>
    <row r="869" spans="1:26" ht="13.5" customHeight="1" x14ac:dyDescent="0.3">
      <c r="A869" s="241"/>
      <c r="B869" s="241"/>
      <c r="C869" s="241"/>
      <c r="D869" s="241"/>
      <c r="E869" s="241"/>
      <c r="F869" s="241"/>
      <c r="G869" s="241"/>
      <c r="H869" s="241"/>
      <c r="I869" s="241"/>
      <c r="J869" s="241"/>
      <c r="K869" s="241"/>
      <c r="L869" s="241"/>
      <c r="M869" s="241"/>
      <c r="N869" s="241"/>
      <c r="O869" s="241"/>
      <c r="P869" s="241"/>
      <c r="Q869" s="241"/>
      <c r="R869" s="241"/>
      <c r="S869" s="241"/>
      <c r="T869" s="241"/>
      <c r="U869" s="241"/>
      <c r="V869" s="241"/>
      <c r="W869" s="241"/>
      <c r="X869" s="241"/>
      <c r="Y869" s="241"/>
      <c r="Z869" s="241"/>
    </row>
    <row r="870" spans="1:26" ht="13.5" customHeight="1" x14ac:dyDescent="0.3">
      <c r="A870" s="241"/>
      <c r="B870" s="241"/>
      <c r="C870" s="241"/>
      <c r="D870" s="241"/>
      <c r="E870" s="241"/>
      <c r="F870" s="241"/>
      <c r="G870" s="241"/>
      <c r="H870" s="241"/>
      <c r="I870" s="241"/>
      <c r="J870" s="241"/>
      <c r="K870" s="241"/>
      <c r="L870" s="241"/>
      <c r="M870" s="241"/>
      <c r="N870" s="241"/>
      <c r="O870" s="241"/>
      <c r="P870" s="241"/>
      <c r="Q870" s="241"/>
      <c r="R870" s="241"/>
      <c r="S870" s="241"/>
      <c r="T870" s="241"/>
      <c r="U870" s="241"/>
      <c r="V870" s="241"/>
      <c r="W870" s="241"/>
      <c r="X870" s="241"/>
      <c r="Y870" s="241"/>
      <c r="Z870" s="241"/>
    </row>
    <row r="871" spans="1:26" ht="13.5" customHeight="1" x14ac:dyDescent="0.3">
      <c r="A871" s="241"/>
      <c r="B871" s="241"/>
      <c r="C871" s="241"/>
      <c r="D871" s="241"/>
      <c r="E871" s="241"/>
      <c r="F871" s="241"/>
      <c r="G871" s="241"/>
      <c r="H871" s="241"/>
      <c r="I871" s="241"/>
      <c r="J871" s="241"/>
      <c r="K871" s="241"/>
      <c r="L871" s="241"/>
      <c r="M871" s="241"/>
      <c r="N871" s="241"/>
      <c r="O871" s="241"/>
      <c r="P871" s="241"/>
      <c r="Q871" s="241"/>
      <c r="R871" s="241"/>
      <c r="S871" s="241"/>
      <c r="T871" s="241"/>
      <c r="U871" s="241"/>
      <c r="V871" s="241"/>
      <c r="W871" s="241"/>
      <c r="X871" s="241"/>
      <c r="Y871" s="241"/>
      <c r="Z871" s="241"/>
    </row>
    <row r="872" spans="1:26" ht="13.5" customHeight="1" x14ac:dyDescent="0.3">
      <c r="A872" s="241"/>
      <c r="B872" s="241"/>
      <c r="C872" s="241"/>
      <c r="D872" s="241"/>
      <c r="E872" s="241"/>
      <c r="F872" s="241"/>
      <c r="G872" s="241"/>
      <c r="H872" s="241"/>
      <c r="I872" s="241"/>
      <c r="J872" s="241"/>
      <c r="K872" s="241"/>
      <c r="L872" s="241"/>
      <c r="M872" s="241"/>
      <c r="N872" s="241"/>
      <c r="O872" s="241"/>
      <c r="P872" s="241"/>
      <c r="Q872" s="241"/>
      <c r="R872" s="241"/>
      <c r="S872" s="241"/>
      <c r="T872" s="241"/>
      <c r="U872" s="241"/>
      <c r="V872" s="241"/>
      <c r="W872" s="241"/>
      <c r="X872" s="241"/>
      <c r="Y872" s="241"/>
      <c r="Z872" s="241"/>
    </row>
    <row r="873" spans="1:26" ht="13.5" customHeight="1" x14ac:dyDescent="0.3">
      <c r="A873" s="241"/>
      <c r="B873" s="241"/>
      <c r="C873" s="241"/>
      <c r="D873" s="241"/>
      <c r="E873" s="241"/>
      <c r="F873" s="241"/>
      <c r="G873" s="241"/>
      <c r="H873" s="241"/>
      <c r="I873" s="241"/>
      <c r="J873" s="241"/>
      <c r="K873" s="241"/>
      <c r="L873" s="241"/>
      <c r="M873" s="241"/>
      <c r="N873" s="241"/>
      <c r="O873" s="241"/>
      <c r="P873" s="241"/>
      <c r="Q873" s="241"/>
      <c r="R873" s="241"/>
      <c r="S873" s="241"/>
      <c r="T873" s="241"/>
      <c r="U873" s="241"/>
      <c r="V873" s="241"/>
      <c r="W873" s="241"/>
      <c r="X873" s="241"/>
      <c r="Y873" s="241"/>
      <c r="Z873" s="241"/>
    </row>
    <row r="874" spans="1:26" ht="13.5" customHeight="1" x14ac:dyDescent="0.3">
      <c r="A874" s="241"/>
      <c r="B874" s="241"/>
      <c r="C874" s="241"/>
      <c r="D874" s="241"/>
      <c r="E874" s="241"/>
      <c r="F874" s="241"/>
      <c r="G874" s="241"/>
      <c r="H874" s="241"/>
      <c r="I874" s="241"/>
      <c r="J874" s="241"/>
      <c r="K874" s="241"/>
      <c r="L874" s="241"/>
      <c r="M874" s="241"/>
      <c r="N874" s="241"/>
      <c r="O874" s="241"/>
      <c r="P874" s="241"/>
      <c r="Q874" s="241"/>
      <c r="R874" s="241"/>
      <c r="S874" s="241"/>
      <c r="T874" s="241"/>
      <c r="U874" s="241"/>
      <c r="V874" s="241"/>
      <c r="W874" s="241"/>
      <c r="X874" s="241"/>
      <c r="Y874" s="241"/>
      <c r="Z874" s="241"/>
    </row>
    <row r="875" spans="1:26" ht="13.5" customHeight="1" x14ac:dyDescent="0.3">
      <c r="A875" s="241"/>
      <c r="B875" s="241"/>
      <c r="C875" s="241"/>
      <c r="D875" s="241"/>
      <c r="E875" s="241"/>
      <c r="F875" s="241"/>
      <c r="G875" s="241"/>
      <c r="H875" s="241"/>
      <c r="I875" s="241"/>
      <c r="J875" s="241"/>
      <c r="K875" s="241"/>
      <c r="L875" s="241"/>
      <c r="M875" s="241"/>
      <c r="N875" s="241"/>
      <c r="O875" s="241"/>
      <c r="P875" s="241"/>
      <c r="Q875" s="241"/>
      <c r="R875" s="241"/>
      <c r="S875" s="241"/>
      <c r="T875" s="241"/>
      <c r="U875" s="241"/>
      <c r="V875" s="241"/>
      <c r="W875" s="241"/>
      <c r="X875" s="241"/>
      <c r="Y875" s="241"/>
      <c r="Z875" s="241"/>
    </row>
    <row r="876" spans="1:26" ht="13.5" customHeight="1" x14ac:dyDescent="0.3">
      <c r="A876" s="241"/>
      <c r="B876" s="241"/>
      <c r="C876" s="241"/>
      <c r="D876" s="241"/>
      <c r="E876" s="241"/>
      <c r="F876" s="241"/>
      <c r="G876" s="241"/>
      <c r="H876" s="241"/>
      <c r="I876" s="241"/>
      <c r="J876" s="241"/>
      <c r="K876" s="241"/>
      <c r="L876" s="241"/>
      <c r="M876" s="241"/>
      <c r="N876" s="241"/>
      <c r="O876" s="241"/>
      <c r="P876" s="241"/>
      <c r="Q876" s="241"/>
      <c r="R876" s="241"/>
      <c r="S876" s="241"/>
      <c r="T876" s="241"/>
      <c r="U876" s="241"/>
      <c r="V876" s="241"/>
      <c r="W876" s="241"/>
      <c r="X876" s="241"/>
      <c r="Y876" s="241"/>
      <c r="Z876" s="241"/>
    </row>
    <row r="877" spans="1:26" ht="13.5" customHeight="1" x14ac:dyDescent="0.3">
      <c r="A877" s="241"/>
      <c r="B877" s="241"/>
      <c r="C877" s="241"/>
      <c r="D877" s="241"/>
      <c r="E877" s="241"/>
      <c r="F877" s="241"/>
      <c r="G877" s="241"/>
      <c r="H877" s="241"/>
      <c r="I877" s="241"/>
      <c r="J877" s="241"/>
      <c r="K877" s="241"/>
      <c r="L877" s="241"/>
      <c r="M877" s="241"/>
      <c r="N877" s="241"/>
      <c r="O877" s="241"/>
      <c r="P877" s="241"/>
      <c r="Q877" s="241"/>
      <c r="R877" s="241"/>
      <c r="S877" s="241"/>
      <c r="T877" s="241"/>
      <c r="U877" s="241"/>
      <c r="V877" s="241"/>
      <c r="W877" s="241"/>
      <c r="X877" s="241"/>
      <c r="Y877" s="241"/>
      <c r="Z877" s="241"/>
    </row>
    <row r="878" spans="1:26" ht="13.5" customHeight="1" x14ac:dyDescent="0.3">
      <c r="A878" s="241"/>
      <c r="B878" s="241"/>
      <c r="C878" s="241"/>
      <c r="D878" s="241"/>
      <c r="E878" s="241"/>
      <c r="F878" s="241"/>
      <c r="G878" s="241"/>
      <c r="H878" s="241"/>
      <c r="I878" s="241"/>
      <c r="J878" s="241"/>
      <c r="K878" s="241"/>
      <c r="L878" s="241"/>
      <c r="M878" s="241"/>
      <c r="N878" s="241"/>
      <c r="O878" s="241"/>
      <c r="P878" s="241"/>
      <c r="Q878" s="241"/>
      <c r="R878" s="241"/>
      <c r="S878" s="241"/>
      <c r="T878" s="241"/>
      <c r="U878" s="241"/>
      <c r="V878" s="241"/>
      <c r="W878" s="241"/>
      <c r="X878" s="241"/>
      <c r="Y878" s="241"/>
      <c r="Z878" s="241"/>
    </row>
    <row r="879" spans="1:26" ht="13.5" customHeight="1" x14ac:dyDescent="0.3">
      <c r="A879" s="241"/>
      <c r="B879" s="241"/>
      <c r="C879" s="241"/>
      <c r="D879" s="241"/>
      <c r="E879" s="241"/>
      <c r="F879" s="241"/>
      <c r="G879" s="241"/>
      <c r="H879" s="241"/>
      <c r="I879" s="241"/>
      <c r="J879" s="241"/>
      <c r="K879" s="241"/>
      <c r="L879" s="241"/>
      <c r="M879" s="241"/>
      <c r="N879" s="241"/>
      <c r="O879" s="241"/>
      <c r="P879" s="241"/>
      <c r="Q879" s="241"/>
      <c r="R879" s="241"/>
      <c r="S879" s="241"/>
      <c r="T879" s="241"/>
      <c r="U879" s="241"/>
      <c r="V879" s="241"/>
      <c r="W879" s="241"/>
      <c r="X879" s="241"/>
      <c r="Y879" s="241"/>
      <c r="Z879" s="241"/>
    </row>
    <row r="880" spans="1:26" ht="13.5" customHeight="1" x14ac:dyDescent="0.3">
      <c r="A880" s="241"/>
      <c r="B880" s="241"/>
      <c r="C880" s="241"/>
      <c r="D880" s="241"/>
      <c r="E880" s="241"/>
      <c r="F880" s="241"/>
      <c r="G880" s="241"/>
      <c r="H880" s="241"/>
      <c r="I880" s="241"/>
      <c r="J880" s="241"/>
      <c r="K880" s="241"/>
      <c r="L880" s="241"/>
      <c r="M880" s="241"/>
      <c r="N880" s="241"/>
      <c r="O880" s="241"/>
      <c r="P880" s="241"/>
      <c r="Q880" s="241"/>
      <c r="R880" s="241"/>
      <c r="S880" s="241"/>
      <c r="T880" s="241"/>
      <c r="U880" s="241"/>
      <c r="V880" s="241"/>
      <c r="W880" s="241"/>
      <c r="X880" s="241"/>
      <c r="Y880" s="241"/>
      <c r="Z880" s="241"/>
    </row>
    <row r="881" spans="1:26" ht="13.5" customHeight="1" x14ac:dyDescent="0.3">
      <c r="A881" s="241"/>
      <c r="B881" s="241"/>
      <c r="C881" s="241"/>
      <c r="D881" s="241"/>
      <c r="E881" s="241"/>
      <c r="F881" s="241"/>
      <c r="G881" s="241"/>
      <c r="H881" s="241"/>
      <c r="I881" s="241"/>
      <c r="J881" s="241"/>
      <c r="K881" s="241"/>
      <c r="L881" s="241"/>
      <c r="M881" s="241"/>
      <c r="N881" s="241"/>
      <c r="O881" s="241"/>
      <c r="P881" s="241"/>
      <c r="Q881" s="241"/>
      <c r="R881" s="241"/>
      <c r="S881" s="241"/>
      <c r="T881" s="241"/>
      <c r="U881" s="241"/>
      <c r="V881" s="241"/>
      <c r="W881" s="241"/>
      <c r="X881" s="241"/>
      <c r="Y881" s="241"/>
      <c r="Z881" s="241"/>
    </row>
    <row r="882" spans="1:26" ht="13.5" customHeight="1" x14ac:dyDescent="0.3">
      <c r="A882" s="241"/>
      <c r="B882" s="241"/>
      <c r="C882" s="241"/>
      <c r="D882" s="241"/>
      <c r="E882" s="241"/>
      <c r="F882" s="241"/>
      <c r="G882" s="241"/>
      <c r="H882" s="241"/>
      <c r="I882" s="241"/>
      <c r="J882" s="241"/>
      <c r="K882" s="241"/>
      <c r="L882" s="241"/>
      <c r="M882" s="241"/>
      <c r="N882" s="241"/>
      <c r="O882" s="241"/>
      <c r="P882" s="241"/>
      <c r="Q882" s="241"/>
      <c r="R882" s="241"/>
      <c r="S882" s="241"/>
      <c r="T882" s="241"/>
      <c r="U882" s="241"/>
      <c r="V882" s="241"/>
      <c r="W882" s="241"/>
      <c r="X882" s="241"/>
      <c r="Y882" s="241"/>
      <c r="Z882" s="241"/>
    </row>
    <row r="883" spans="1:26" ht="13.5" customHeight="1" x14ac:dyDescent="0.3">
      <c r="A883" s="241"/>
      <c r="B883" s="241"/>
      <c r="C883" s="241"/>
      <c r="D883" s="241"/>
      <c r="E883" s="241"/>
      <c r="F883" s="241"/>
      <c r="G883" s="241"/>
      <c r="H883" s="241"/>
      <c r="I883" s="241"/>
      <c r="J883" s="241"/>
      <c r="K883" s="241"/>
      <c r="L883" s="241"/>
      <c r="M883" s="241"/>
      <c r="N883" s="241"/>
      <c r="O883" s="241"/>
      <c r="P883" s="241"/>
      <c r="Q883" s="241"/>
      <c r="R883" s="241"/>
      <c r="S883" s="241"/>
      <c r="T883" s="241"/>
      <c r="U883" s="241"/>
      <c r="V883" s="241"/>
      <c r="W883" s="241"/>
      <c r="X883" s="241"/>
      <c r="Y883" s="241"/>
      <c r="Z883" s="241"/>
    </row>
    <row r="884" spans="1:26" ht="13.5" customHeight="1" x14ac:dyDescent="0.3">
      <c r="A884" s="241"/>
      <c r="B884" s="241"/>
      <c r="C884" s="241"/>
      <c r="D884" s="241"/>
      <c r="E884" s="241"/>
      <c r="F884" s="241"/>
      <c r="G884" s="241"/>
      <c r="H884" s="241"/>
      <c r="I884" s="241"/>
      <c r="J884" s="241"/>
      <c r="K884" s="241"/>
      <c r="L884" s="241"/>
      <c r="M884" s="241"/>
      <c r="N884" s="241"/>
      <c r="O884" s="241"/>
      <c r="P884" s="241"/>
      <c r="Q884" s="241"/>
      <c r="R884" s="241"/>
      <c r="S884" s="241"/>
      <c r="T884" s="241"/>
      <c r="U884" s="241"/>
      <c r="V884" s="241"/>
      <c r="W884" s="241"/>
      <c r="X884" s="241"/>
      <c r="Y884" s="241"/>
      <c r="Z884" s="241"/>
    </row>
    <row r="885" spans="1:26" ht="13.5" customHeight="1" x14ac:dyDescent="0.3">
      <c r="A885" s="241"/>
      <c r="B885" s="241"/>
      <c r="C885" s="241"/>
      <c r="D885" s="241"/>
      <c r="E885" s="241"/>
      <c r="F885" s="241"/>
      <c r="G885" s="241"/>
      <c r="H885" s="241"/>
      <c r="I885" s="241"/>
      <c r="J885" s="241"/>
      <c r="K885" s="241"/>
      <c r="L885" s="241"/>
      <c r="M885" s="241"/>
      <c r="N885" s="241"/>
      <c r="O885" s="241"/>
      <c r="P885" s="241"/>
      <c r="Q885" s="241"/>
      <c r="R885" s="241"/>
      <c r="S885" s="241"/>
      <c r="T885" s="241"/>
      <c r="U885" s="241"/>
      <c r="V885" s="241"/>
      <c r="W885" s="241"/>
      <c r="X885" s="241"/>
      <c r="Y885" s="241"/>
      <c r="Z885" s="241"/>
    </row>
    <row r="886" spans="1:26" ht="13.5" customHeight="1" x14ac:dyDescent="0.3">
      <c r="A886" s="241"/>
      <c r="B886" s="241"/>
      <c r="C886" s="241"/>
      <c r="D886" s="241"/>
      <c r="E886" s="241"/>
      <c r="F886" s="241"/>
      <c r="G886" s="241"/>
      <c r="H886" s="241"/>
      <c r="I886" s="241"/>
      <c r="J886" s="241"/>
      <c r="K886" s="241"/>
      <c r="L886" s="241"/>
      <c r="M886" s="241"/>
      <c r="N886" s="241"/>
      <c r="O886" s="241"/>
      <c r="P886" s="241"/>
      <c r="Q886" s="241"/>
      <c r="R886" s="241"/>
      <c r="S886" s="241"/>
      <c r="T886" s="241"/>
      <c r="U886" s="241"/>
      <c r="V886" s="241"/>
      <c r="W886" s="241"/>
      <c r="X886" s="241"/>
      <c r="Y886" s="241"/>
      <c r="Z886" s="241"/>
    </row>
    <row r="887" spans="1:26" ht="13.5" customHeight="1" x14ac:dyDescent="0.3">
      <c r="A887" s="241"/>
      <c r="B887" s="241"/>
      <c r="C887" s="241"/>
      <c r="D887" s="241"/>
      <c r="E887" s="241"/>
      <c r="F887" s="241"/>
      <c r="G887" s="241"/>
      <c r="H887" s="241"/>
      <c r="I887" s="241"/>
      <c r="J887" s="241"/>
      <c r="K887" s="241"/>
      <c r="L887" s="241"/>
      <c r="M887" s="241"/>
      <c r="N887" s="241"/>
      <c r="O887" s="241"/>
      <c r="P887" s="241"/>
      <c r="Q887" s="241"/>
      <c r="R887" s="241"/>
      <c r="S887" s="241"/>
      <c r="T887" s="241"/>
      <c r="U887" s="241"/>
      <c r="V887" s="241"/>
      <c r="W887" s="241"/>
      <c r="X887" s="241"/>
      <c r="Y887" s="241"/>
      <c r="Z887" s="241"/>
    </row>
    <row r="888" spans="1:26" ht="13.5" customHeight="1" x14ac:dyDescent="0.3">
      <c r="A888" s="241"/>
      <c r="B888" s="241"/>
      <c r="C888" s="241"/>
      <c r="D888" s="241"/>
      <c r="E888" s="241"/>
      <c r="F888" s="241"/>
      <c r="G888" s="241"/>
      <c r="H888" s="241"/>
      <c r="I888" s="241"/>
      <c r="J888" s="241"/>
      <c r="K888" s="241"/>
      <c r="L888" s="241"/>
      <c r="M888" s="241"/>
      <c r="N888" s="241"/>
      <c r="O888" s="241"/>
      <c r="P888" s="241"/>
      <c r="Q888" s="241"/>
      <c r="R888" s="241"/>
      <c r="S888" s="241"/>
      <c r="T888" s="241"/>
      <c r="U888" s="241"/>
      <c r="V888" s="241"/>
      <c r="W888" s="241"/>
      <c r="X888" s="241"/>
      <c r="Y888" s="241"/>
      <c r="Z888" s="241"/>
    </row>
    <row r="889" spans="1:26" ht="13.5" customHeight="1" x14ac:dyDescent="0.3">
      <c r="A889" s="241"/>
      <c r="B889" s="241"/>
      <c r="C889" s="241"/>
      <c r="D889" s="241"/>
      <c r="E889" s="241"/>
      <c r="F889" s="241"/>
      <c r="G889" s="241"/>
      <c r="H889" s="241"/>
      <c r="I889" s="241"/>
      <c r="J889" s="241"/>
      <c r="K889" s="241"/>
      <c r="L889" s="241"/>
      <c r="M889" s="241"/>
      <c r="N889" s="241"/>
      <c r="O889" s="241"/>
      <c r="P889" s="241"/>
      <c r="Q889" s="241"/>
      <c r="R889" s="241"/>
      <c r="S889" s="241"/>
      <c r="T889" s="241"/>
      <c r="U889" s="241"/>
      <c r="V889" s="241"/>
      <c r="W889" s="241"/>
      <c r="X889" s="241"/>
      <c r="Y889" s="241"/>
      <c r="Z889" s="241"/>
    </row>
    <row r="890" spans="1:26" ht="13.5" customHeight="1" x14ac:dyDescent="0.3">
      <c r="A890" s="241"/>
      <c r="B890" s="241"/>
      <c r="C890" s="241"/>
      <c r="D890" s="241"/>
      <c r="E890" s="241"/>
      <c r="F890" s="241"/>
      <c r="G890" s="241"/>
      <c r="H890" s="241"/>
      <c r="I890" s="241"/>
      <c r="J890" s="241"/>
      <c r="K890" s="241"/>
      <c r="L890" s="241"/>
      <c r="M890" s="241"/>
      <c r="N890" s="241"/>
      <c r="O890" s="241"/>
      <c r="P890" s="241"/>
      <c r="Q890" s="241"/>
      <c r="R890" s="241"/>
      <c r="S890" s="241"/>
      <c r="T890" s="241"/>
      <c r="U890" s="241"/>
      <c r="V890" s="241"/>
      <c r="W890" s="241"/>
      <c r="X890" s="241"/>
      <c r="Y890" s="241"/>
      <c r="Z890" s="241"/>
    </row>
    <row r="891" spans="1:26" ht="13.5" customHeight="1" x14ac:dyDescent="0.3">
      <c r="A891" s="241"/>
      <c r="B891" s="241"/>
      <c r="C891" s="241"/>
      <c r="D891" s="241"/>
      <c r="E891" s="241"/>
      <c r="F891" s="241"/>
      <c r="G891" s="241"/>
      <c r="H891" s="241"/>
      <c r="I891" s="241"/>
      <c r="J891" s="241"/>
      <c r="K891" s="241"/>
      <c r="L891" s="241"/>
      <c r="M891" s="241"/>
      <c r="N891" s="241"/>
      <c r="O891" s="241"/>
      <c r="P891" s="241"/>
      <c r="Q891" s="241"/>
      <c r="R891" s="241"/>
      <c r="S891" s="241"/>
      <c r="T891" s="241"/>
      <c r="U891" s="241"/>
      <c r="V891" s="241"/>
      <c r="W891" s="241"/>
      <c r="X891" s="241"/>
      <c r="Y891" s="241"/>
      <c r="Z891" s="241"/>
    </row>
    <row r="892" spans="1:26" ht="13.5" customHeight="1" x14ac:dyDescent="0.3">
      <c r="A892" s="241"/>
      <c r="B892" s="241"/>
      <c r="C892" s="241"/>
      <c r="D892" s="241"/>
      <c r="E892" s="241"/>
      <c r="F892" s="241"/>
      <c r="G892" s="241"/>
      <c r="H892" s="241"/>
      <c r="I892" s="241"/>
      <c r="J892" s="241"/>
      <c r="K892" s="241"/>
      <c r="L892" s="241"/>
      <c r="M892" s="241"/>
      <c r="N892" s="241"/>
      <c r="O892" s="241"/>
      <c r="P892" s="241"/>
      <c r="Q892" s="241"/>
      <c r="R892" s="241"/>
      <c r="S892" s="241"/>
      <c r="T892" s="241"/>
      <c r="U892" s="241"/>
      <c r="V892" s="241"/>
      <c r="W892" s="241"/>
      <c r="X892" s="241"/>
      <c r="Y892" s="241"/>
      <c r="Z892" s="241"/>
    </row>
    <row r="893" spans="1:26" ht="13.5" customHeight="1" x14ac:dyDescent="0.3">
      <c r="A893" s="241"/>
      <c r="B893" s="241"/>
      <c r="C893" s="241"/>
      <c r="D893" s="241"/>
      <c r="E893" s="241"/>
      <c r="F893" s="241"/>
      <c r="G893" s="241"/>
      <c r="H893" s="241"/>
      <c r="I893" s="241"/>
      <c r="J893" s="241"/>
      <c r="K893" s="241"/>
      <c r="L893" s="241"/>
      <c r="M893" s="241"/>
      <c r="N893" s="241"/>
      <c r="O893" s="241"/>
      <c r="P893" s="241"/>
      <c r="Q893" s="241"/>
      <c r="R893" s="241"/>
      <c r="S893" s="241"/>
      <c r="T893" s="241"/>
      <c r="U893" s="241"/>
      <c r="V893" s="241"/>
      <c r="W893" s="241"/>
      <c r="X893" s="241"/>
      <c r="Y893" s="241"/>
      <c r="Z893" s="241"/>
    </row>
    <row r="894" spans="1:26" ht="13.5" customHeight="1" x14ac:dyDescent="0.3">
      <c r="A894" s="241"/>
      <c r="B894" s="241"/>
      <c r="C894" s="241"/>
      <c r="D894" s="241"/>
      <c r="E894" s="241"/>
      <c r="F894" s="241"/>
      <c r="G894" s="241"/>
      <c r="H894" s="241"/>
      <c r="I894" s="241"/>
      <c r="J894" s="241"/>
      <c r="K894" s="241"/>
      <c r="L894" s="241"/>
      <c r="M894" s="241"/>
      <c r="N894" s="241"/>
      <c r="O894" s="241"/>
      <c r="P894" s="241"/>
      <c r="Q894" s="241"/>
      <c r="R894" s="241"/>
      <c r="S894" s="241"/>
      <c r="T894" s="241"/>
      <c r="U894" s="241"/>
      <c r="V894" s="241"/>
      <c r="W894" s="241"/>
      <c r="X894" s="241"/>
      <c r="Y894" s="241"/>
      <c r="Z894" s="241"/>
    </row>
    <row r="895" spans="1:26" ht="13.5" customHeight="1" x14ac:dyDescent="0.3">
      <c r="A895" s="241"/>
      <c r="B895" s="241"/>
      <c r="C895" s="241"/>
      <c r="D895" s="241"/>
      <c r="E895" s="241"/>
      <c r="F895" s="241"/>
      <c r="G895" s="241"/>
      <c r="H895" s="241"/>
      <c r="I895" s="241"/>
      <c r="J895" s="241"/>
      <c r="K895" s="241"/>
      <c r="L895" s="241"/>
      <c r="M895" s="241"/>
      <c r="N895" s="241"/>
      <c r="O895" s="241"/>
      <c r="P895" s="241"/>
      <c r="Q895" s="241"/>
      <c r="R895" s="241"/>
      <c r="S895" s="241"/>
      <c r="T895" s="241"/>
      <c r="U895" s="241"/>
      <c r="V895" s="241"/>
      <c r="W895" s="241"/>
      <c r="X895" s="241"/>
      <c r="Y895" s="241"/>
      <c r="Z895" s="241"/>
    </row>
    <row r="896" spans="1:26" ht="13.5" customHeight="1" x14ac:dyDescent="0.3">
      <c r="A896" s="241"/>
      <c r="B896" s="241"/>
      <c r="C896" s="241"/>
      <c r="D896" s="241"/>
      <c r="E896" s="241"/>
      <c r="F896" s="241"/>
      <c r="G896" s="241"/>
      <c r="H896" s="241"/>
      <c r="I896" s="241"/>
      <c r="J896" s="241"/>
      <c r="K896" s="241"/>
      <c r="L896" s="241"/>
      <c r="M896" s="241"/>
      <c r="N896" s="241"/>
      <c r="O896" s="241"/>
      <c r="P896" s="241"/>
      <c r="Q896" s="241"/>
      <c r="R896" s="241"/>
      <c r="S896" s="241"/>
      <c r="T896" s="241"/>
      <c r="U896" s="241"/>
      <c r="V896" s="241"/>
      <c r="W896" s="241"/>
      <c r="X896" s="241"/>
      <c r="Y896" s="241"/>
      <c r="Z896" s="241"/>
    </row>
    <row r="897" spans="1:26" ht="13.5" customHeight="1" x14ac:dyDescent="0.3">
      <c r="A897" s="241"/>
      <c r="B897" s="241"/>
      <c r="C897" s="241"/>
      <c r="D897" s="241"/>
      <c r="E897" s="241"/>
      <c r="F897" s="241"/>
      <c r="G897" s="241"/>
      <c r="H897" s="241"/>
      <c r="I897" s="241"/>
      <c r="J897" s="241"/>
      <c r="K897" s="241"/>
      <c r="L897" s="241"/>
      <c r="M897" s="241"/>
      <c r="N897" s="241"/>
      <c r="O897" s="241"/>
      <c r="P897" s="241"/>
      <c r="Q897" s="241"/>
      <c r="R897" s="241"/>
      <c r="S897" s="241"/>
      <c r="T897" s="241"/>
      <c r="U897" s="241"/>
      <c r="V897" s="241"/>
      <c r="W897" s="241"/>
      <c r="X897" s="241"/>
      <c r="Y897" s="241"/>
      <c r="Z897" s="241"/>
    </row>
    <row r="898" spans="1:26" ht="13.5" customHeight="1" x14ac:dyDescent="0.3">
      <c r="A898" s="241"/>
      <c r="B898" s="241"/>
      <c r="C898" s="241"/>
      <c r="D898" s="241"/>
      <c r="E898" s="241"/>
      <c r="F898" s="241"/>
      <c r="G898" s="241"/>
      <c r="H898" s="241"/>
      <c r="I898" s="241"/>
      <c r="J898" s="241"/>
      <c r="K898" s="241"/>
      <c r="L898" s="241"/>
      <c r="M898" s="241"/>
      <c r="N898" s="241"/>
      <c r="O898" s="241"/>
      <c r="P898" s="241"/>
      <c r="Q898" s="241"/>
      <c r="R898" s="241"/>
      <c r="S898" s="241"/>
      <c r="T898" s="241"/>
      <c r="U898" s="241"/>
      <c r="V898" s="241"/>
      <c r="W898" s="241"/>
      <c r="X898" s="241"/>
      <c r="Y898" s="241"/>
      <c r="Z898" s="241"/>
    </row>
    <row r="899" spans="1:26" ht="13.5" customHeight="1" x14ac:dyDescent="0.3">
      <c r="A899" s="241"/>
      <c r="B899" s="241"/>
      <c r="C899" s="241"/>
      <c r="D899" s="241"/>
      <c r="E899" s="241"/>
      <c r="F899" s="241"/>
      <c r="G899" s="241"/>
      <c r="H899" s="241"/>
      <c r="I899" s="241"/>
      <c r="J899" s="241"/>
      <c r="K899" s="241"/>
      <c r="L899" s="241"/>
      <c r="M899" s="241"/>
      <c r="N899" s="241"/>
      <c r="O899" s="241"/>
      <c r="P899" s="241"/>
      <c r="Q899" s="241"/>
      <c r="R899" s="241"/>
      <c r="S899" s="241"/>
      <c r="T899" s="241"/>
      <c r="U899" s="241"/>
      <c r="V899" s="241"/>
      <c r="W899" s="241"/>
      <c r="X899" s="241"/>
      <c r="Y899" s="241"/>
      <c r="Z899" s="241"/>
    </row>
    <row r="900" spans="1:26" ht="13.5" customHeight="1" x14ac:dyDescent="0.3">
      <c r="A900" s="241"/>
      <c r="B900" s="241"/>
      <c r="C900" s="241"/>
      <c r="D900" s="241"/>
      <c r="E900" s="241"/>
      <c r="F900" s="241"/>
      <c r="G900" s="241"/>
      <c r="H900" s="241"/>
      <c r="I900" s="241"/>
      <c r="J900" s="241"/>
      <c r="K900" s="241"/>
      <c r="L900" s="241"/>
      <c r="M900" s="241"/>
      <c r="N900" s="241"/>
      <c r="O900" s="241"/>
      <c r="P900" s="241"/>
      <c r="Q900" s="241"/>
      <c r="R900" s="241"/>
      <c r="S900" s="241"/>
      <c r="T900" s="241"/>
      <c r="U900" s="241"/>
      <c r="V900" s="241"/>
      <c r="W900" s="241"/>
      <c r="X900" s="241"/>
      <c r="Y900" s="241"/>
      <c r="Z900" s="241"/>
    </row>
    <row r="901" spans="1:26" ht="13.5" customHeight="1" x14ac:dyDescent="0.3">
      <c r="A901" s="241"/>
      <c r="B901" s="241"/>
      <c r="C901" s="241"/>
      <c r="D901" s="241"/>
      <c r="E901" s="241"/>
      <c r="F901" s="241"/>
      <c r="G901" s="241"/>
      <c r="H901" s="241"/>
      <c r="I901" s="241"/>
      <c r="J901" s="241"/>
      <c r="K901" s="241"/>
      <c r="L901" s="241"/>
      <c r="M901" s="241"/>
      <c r="N901" s="241"/>
      <c r="O901" s="241"/>
      <c r="P901" s="241"/>
      <c r="Q901" s="241"/>
      <c r="R901" s="241"/>
      <c r="S901" s="241"/>
      <c r="T901" s="241"/>
      <c r="U901" s="241"/>
      <c r="V901" s="241"/>
      <c r="W901" s="241"/>
      <c r="X901" s="241"/>
      <c r="Y901" s="241"/>
      <c r="Z901" s="241"/>
    </row>
    <row r="902" spans="1:26" ht="13.5" customHeight="1" x14ac:dyDescent="0.3">
      <c r="A902" s="241"/>
      <c r="B902" s="241"/>
      <c r="C902" s="241"/>
      <c r="D902" s="241"/>
      <c r="E902" s="241"/>
      <c r="F902" s="241"/>
      <c r="G902" s="241"/>
      <c r="H902" s="241"/>
      <c r="I902" s="241"/>
      <c r="J902" s="241"/>
      <c r="K902" s="241"/>
      <c r="L902" s="241"/>
      <c r="M902" s="241"/>
      <c r="N902" s="241"/>
      <c r="O902" s="241"/>
      <c r="P902" s="241"/>
      <c r="Q902" s="241"/>
      <c r="R902" s="241"/>
      <c r="S902" s="241"/>
      <c r="T902" s="241"/>
      <c r="U902" s="241"/>
      <c r="V902" s="241"/>
      <c r="W902" s="241"/>
      <c r="X902" s="241"/>
      <c r="Y902" s="241"/>
      <c r="Z902" s="241"/>
    </row>
    <row r="903" spans="1:26" ht="13.5" customHeight="1" x14ac:dyDescent="0.3">
      <c r="A903" s="241"/>
      <c r="B903" s="241"/>
      <c r="C903" s="241"/>
      <c r="D903" s="241"/>
      <c r="E903" s="241"/>
      <c r="F903" s="241"/>
      <c r="G903" s="241"/>
      <c r="H903" s="241"/>
      <c r="I903" s="241"/>
      <c r="J903" s="241"/>
      <c r="K903" s="241"/>
      <c r="L903" s="241"/>
      <c r="M903" s="241"/>
      <c r="N903" s="241"/>
      <c r="O903" s="241"/>
      <c r="P903" s="241"/>
      <c r="Q903" s="241"/>
      <c r="R903" s="241"/>
      <c r="S903" s="241"/>
      <c r="T903" s="241"/>
      <c r="U903" s="241"/>
      <c r="V903" s="241"/>
      <c r="W903" s="241"/>
      <c r="X903" s="241"/>
      <c r="Y903" s="241"/>
      <c r="Z903" s="241"/>
    </row>
    <row r="904" spans="1:26" ht="13.5" customHeight="1" x14ac:dyDescent="0.3">
      <c r="A904" s="241"/>
      <c r="B904" s="241"/>
      <c r="C904" s="241"/>
      <c r="D904" s="241"/>
      <c r="E904" s="241"/>
      <c r="F904" s="241"/>
      <c r="G904" s="241"/>
      <c r="H904" s="241"/>
      <c r="I904" s="241"/>
      <c r="J904" s="241"/>
      <c r="K904" s="241"/>
      <c r="L904" s="241"/>
      <c r="M904" s="241"/>
      <c r="N904" s="241"/>
      <c r="O904" s="241"/>
      <c r="P904" s="241"/>
      <c r="Q904" s="241"/>
      <c r="R904" s="241"/>
      <c r="S904" s="241"/>
      <c r="T904" s="241"/>
      <c r="U904" s="241"/>
      <c r="V904" s="241"/>
      <c r="W904" s="241"/>
      <c r="X904" s="241"/>
      <c r="Y904" s="241"/>
      <c r="Z904" s="241"/>
    </row>
    <row r="905" spans="1:26" ht="13.5" customHeight="1" x14ac:dyDescent="0.3">
      <c r="A905" s="241"/>
      <c r="B905" s="241"/>
      <c r="C905" s="241"/>
      <c r="D905" s="241"/>
      <c r="E905" s="241"/>
      <c r="F905" s="241"/>
      <c r="G905" s="241"/>
      <c r="H905" s="241"/>
      <c r="I905" s="241"/>
      <c r="J905" s="241"/>
      <c r="K905" s="241"/>
      <c r="L905" s="241"/>
      <c r="M905" s="241"/>
      <c r="N905" s="241"/>
      <c r="O905" s="241"/>
      <c r="P905" s="241"/>
      <c r="Q905" s="241"/>
      <c r="R905" s="241"/>
      <c r="S905" s="241"/>
      <c r="T905" s="241"/>
      <c r="U905" s="241"/>
      <c r="V905" s="241"/>
      <c r="W905" s="241"/>
      <c r="X905" s="241"/>
      <c r="Y905" s="241"/>
      <c r="Z905" s="241"/>
    </row>
    <row r="906" spans="1:26" ht="13.5" customHeight="1" x14ac:dyDescent="0.3">
      <c r="A906" s="241"/>
      <c r="B906" s="241"/>
      <c r="C906" s="241"/>
      <c r="D906" s="241"/>
      <c r="E906" s="241"/>
      <c r="F906" s="241"/>
      <c r="G906" s="241"/>
      <c r="H906" s="241"/>
      <c r="I906" s="241"/>
      <c r="J906" s="241"/>
      <c r="K906" s="241"/>
      <c r="L906" s="241"/>
      <c r="M906" s="241"/>
      <c r="N906" s="241"/>
      <c r="O906" s="241"/>
      <c r="P906" s="241"/>
      <c r="Q906" s="241"/>
      <c r="R906" s="241"/>
      <c r="S906" s="241"/>
      <c r="T906" s="241"/>
      <c r="U906" s="241"/>
      <c r="V906" s="241"/>
      <c r="W906" s="241"/>
      <c r="X906" s="241"/>
      <c r="Y906" s="241"/>
      <c r="Z906" s="241"/>
    </row>
    <row r="907" spans="1:26" ht="13.5" customHeight="1" x14ac:dyDescent="0.3">
      <c r="A907" s="241"/>
      <c r="B907" s="241"/>
      <c r="C907" s="241"/>
      <c r="D907" s="241"/>
      <c r="E907" s="241"/>
      <c r="F907" s="241"/>
      <c r="G907" s="241"/>
      <c r="H907" s="241"/>
      <c r="I907" s="241"/>
      <c r="J907" s="241"/>
      <c r="K907" s="241"/>
      <c r="L907" s="241"/>
      <c r="M907" s="241"/>
      <c r="N907" s="241"/>
      <c r="O907" s="241"/>
      <c r="P907" s="241"/>
      <c r="Q907" s="241"/>
      <c r="R907" s="241"/>
      <c r="S907" s="241"/>
      <c r="T907" s="241"/>
      <c r="U907" s="241"/>
      <c r="V907" s="241"/>
      <c r="W907" s="241"/>
      <c r="X907" s="241"/>
      <c r="Y907" s="241"/>
      <c r="Z907" s="241"/>
    </row>
    <row r="908" spans="1:26" ht="13.5" customHeight="1" x14ac:dyDescent="0.3">
      <c r="A908" s="241"/>
      <c r="B908" s="241"/>
      <c r="C908" s="241"/>
      <c r="D908" s="241"/>
      <c r="E908" s="241"/>
      <c r="F908" s="241"/>
      <c r="G908" s="241"/>
      <c r="H908" s="241"/>
      <c r="I908" s="241"/>
      <c r="J908" s="241"/>
      <c r="K908" s="241"/>
      <c r="L908" s="241"/>
      <c r="M908" s="241"/>
      <c r="N908" s="241"/>
      <c r="O908" s="241"/>
      <c r="P908" s="241"/>
      <c r="Q908" s="241"/>
      <c r="R908" s="241"/>
      <c r="S908" s="241"/>
      <c r="T908" s="241"/>
      <c r="U908" s="241"/>
      <c r="V908" s="241"/>
      <c r="W908" s="241"/>
      <c r="X908" s="241"/>
      <c r="Y908" s="241"/>
      <c r="Z908" s="241"/>
    </row>
    <row r="909" spans="1:26" ht="13.5" customHeight="1" x14ac:dyDescent="0.3">
      <c r="A909" s="241"/>
      <c r="B909" s="241"/>
      <c r="C909" s="241"/>
      <c r="D909" s="241"/>
      <c r="E909" s="241"/>
      <c r="F909" s="241"/>
      <c r="G909" s="241"/>
      <c r="H909" s="241"/>
      <c r="I909" s="241"/>
      <c r="J909" s="241"/>
      <c r="K909" s="241"/>
      <c r="L909" s="241"/>
      <c r="M909" s="241"/>
      <c r="N909" s="241"/>
      <c r="O909" s="241"/>
      <c r="P909" s="241"/>
      <c r="Q909" s="241"/>
      <c r="R909" s="241"/>
      <c r="S909" s="241"/>
      <c r="T909" s="241"/>
      <c r="U909" s="241"/>
      <c r="V909" s="241"/>
      <c r="W909" s="241"/>
      <c r="X909" s="241"/>
      <c r="Y909" s="241"/>
      <c r="Z909" s="241"/>
    </row>
    <row r="910" spans="1:26" ht="13.5" customHeight="1" x14ac:dyDescent="0.3">
      <c r="A910" s="241"/>
      <c r="B910" s="241"/>
      <c r="C910" s="241"/>
      <c r="D910" s="241"/>
      <c r="E910" s="241"/>
      <c r="F910" s="241"/>
      <c r="G910" s="241"/>
      <c r="H910" s="241"/>
      <c r="I910" s="241"/>
      <c r="J910" s="241"/>
      <c r="K910" s="241"/>
      <c r="L910" s="241"/>
      <c r="M910" s="241"/>
      <c r="N910" s="241"/>
      <c r="O910" s="241"/>
      <c r="P910" s="241"/>
      <c r="Q910" s="241"/>
      <c r="R910" s="241"/>
      <c r="S910" s="241"/>
      <c r="T910" s="241"/>
      <c r="U910" s="241"/>
      <c r="V910" s="241"/>
      <c r="W910" s="241"/>
      <c r="X910" s="241"/>
      <c r="Y910" s="241"/>
      <c r="Z910" s="241"/>
    </row>
    <row r="911" spans="1:26" ht="13.5" customHeight="1" x14ac:dyDescent="0.3">
      <c r="A911" s="241"/>
      <c r="B911" s="241"/>
      <c r="C911" s="241"/>
      <c r="D911" s="241"/>
      <c r="E911" s="241"/>
      <c r="F911" s="241"/>
      <c r="G911" s="241"/>
      <c r="H911" s="241"/>
      <c r="I911" s="241"/>
      <c r="J911" s="241"/>
      <c r="K911" s="241"/>
      <c r="L911" s="241"/>
      <c r="M911" s="241"/>
      <c r="N911" s="241"/>
      <c r="O911" s="241"/>
      <c r="P911" s="241"/>
      <c r="Q911" s="241"/>
      <c r="R911" s="241"/>
      <c r="S911" s="241"/>
      <c r="T911" s="241"/>
      <c r="U911" s="241"/>
      <c r="V911" s="241"/>
      <c r="W911" s="241"/>
      <c r="X911" s="241"/>
      <c r="Y911" s="241"/>
      <c r="Z911" s="241"/>
    </row>
    <row r="912" spans="1:26" ht="13.5" customHeight="1" x14ac:dyDescent="0.3">
      <c r="A912" s="241"/>
      <c r="B912" s="241"/>
      <c r="C912" s="241"/>
      <c r="D912" s="241"/>
      <c r="E912" s="241"/>
      <c r="F912" s="241"/>
      <c r="G912" s="241"/>
      <c r="H912" s="241"/>
      <c r="I912" s="241"/>
      <c r="J912" s="241"/>
      <c r="K912" s="241"/>
      <c r="L912" s="241"/>
      <c r="M912" s="241"/>
      <c r="N912" s="241"/>
      <c r="O912" s="241"/>
      <c r="P912" s="241"/>
      <c r="Q912" s="241"/>
      <c r="R912" s="241"/>
      <c r="S912" s="241"/>
      <c r="T912" s="241"/>
      <c r="U912" s="241"/>
      <c r="V912" s="241"/>
      <c r="W912" s="241"/>
      <c r="X912" s="241"/>
      <c r="Y912" s="241"/>
      <c r="Z912" s="241"/>
    </row>
    <row r="913" spans="1:26" ht="13.5" customHeight="1" x14ac:dyDescent="0.3">
      <c r="A913" s="241"/>
      <c r="B913" s="241"/>
      <c r="C913" s="241"/>
      <c r="D913" s="241"/>
      <c r="E913" s="241"/>
      <c r="F913" s="241"/>
      <c r="G913" s="241"/>
      <c r="H913" s="241"/>
      <c r="I913" s="241"/>
      <c r="J913" s="241"/>
      <c r="K913" s="241"/>
      <c r="L913" s="241"/>
      <c r="M913" s="241"/>
      <c r="N913" s="241"/>
      <c r="O913" s="241"/>
      <c r="P913" s="241"/>
      <c r="Q913" s="241"/>
      <c r="R913" s="241"/>
      <c r="S913" s="241"/>
      <c r="T913" s="241"/>
      <c r="U913" s="241"/>
      <c r="V913" s="241"/>
      <c r="W913" s="241"/>
      <c r="X913" s="241"/>
      <c r="Y913" s="241"/>
      <c r="Z913" s="241"/>
    </row>
    <row r="914" spans="1:26" ht="13.5" customHeight="1" x14ac:dyDescent="0.3">
      <c r="A914" s="241"/>
      <c r="B914" s="241"/>
      <c r="C914" s="241"/>
      <c r="D914" s="241"/>
      <c r="E914" s="241"/>
      <c r="F914" s="241"/>
      <c r="G914" s="241"/>
      <c r="H914" s="241"/>
      <c r="I914" s="241"/>
      <c r="J914" s="241"/>
      <c r="K914" s="241"/>
      <c r="L914" s="241"/>
      <c r="M914" s="241"/>
      <c r="N914" s="241"/>
      <c r="O914" s="241"/>
      <c r="P914" s="241"/>
      <c r="Q914" s="241"/>
      <c r="R914" s="241"/>
      <c r="S914" s="241"/>
      <c r="T914" s="241"/>
      <c r="U914" s="241"/>
      <c r="V914" s="241"/>
      <c r="W914" s="241"/>
      <c r="X914" s="241"/>
      <c r="Y914" s="241"/>
      <c r="Z914" s="241"/>
    </row>
    <row r="915" spans="1:26" ht="13.5" customHeight="1" x14ac:dyDescent="0.3">
      <c r="A915" s="241"/>
      <c r="B915" s="241"/>
      <c r="C915" s="241"/>
      <c r="D915" s="241"/>
      <c r="E915" s="241"/>
      <c r="F915" s="241"/>
      <c r="G915" s="241"/>
      <c r="H915" s="241"/>
      <c r="I915" s="241"/>
      <c r="J915" s="241"/>
      <c r="K915" s="241"/>
      <c r="L915" s="241"/>
      <c r="M915" s="241"/>
      <c r="N915" s="241"/>
      <c r="O915" s="241"/>
      <c r="P915" s="241"/>
      <c r="Q915" s="241"/>
      <c r="R915" s="241"/>
      <c r="S915" s="241"/>
      <c r="T915" s="241"/>
      <c r="U915" s="241"/>
      <c r="V915" s="241"/>
      <c r="W915" s="241"/>
      <c r="X915" s="241"/>
      <c r="Y915" s="241"/>
      <c r="Z915" s="241"/>
    </row>
    <row r="916" spans="1:26" ht="13.5" customHeight="1" x14ac:dyDescent="0.3">
      <c r="A916" s="241"/>
      <c r="B916" s="241"/>
      <c r="C916" s="241"/>
      <c r="D916" s="241"/>
      <c r="E916" s="241"/>
      <c r="F916" s="241"/>
      <c r="G916" s="241"/>
      <c r="H916" s="241"/>
      <c r="I916" s="241"/>
      <c r="J916" s="241"/>
      <c r="K916" s="241"/>
      <c r="L916" s="241"/>
      <c r="M916" s="241"/>
      <c r="N916" s="241"/>
      <c r="O916" s="241"/>
      <c r="P916" s="241"/>
      <c r="Q916" s="241"/>
      <c r="R916" s="241"/>
      <c r="S916" s="241"/>
      <c r="T916" s="241"/>
      <c r="U916" s="241"/>
      <c r="V916" s="241"/>
      <c r="W916" s="241"/>
      <c r="X916" s="241"/>
      <c r="Y916" s="241"/>
      <c r="Z916" s="241"/>
    </row>
    <row r="917" spans="1:26" ht="13.5" customHeight="1" x14ac:dyDescent="0.3">
      <c r="A917" s="241"/>
      <c r="B917" s="241"/>
      <c r="C917" s="241"/>
      <c r="D917" s="241"/>
      <c r="E917" s="241"/>
      <c r="F917" s="241"/>
      <c r="G917" s="241"/>
      <c r="H917" s="241"/>
      <c r="I917" s="241"/>
      <c r="J917" s="241"/>
      <c r="K917" s="241"/>
      <c r="L917" s="241"/>
      <c r="M917" s="241"/>
      <c r="N917" s="241"/>
      <c r="O917" s="241"/>
      <c r="P917" s="241"/>
      <c r="Q917" s="241"/>
      <c r="R917" s="241"/>
      <c r="S917" s="241"/>
      <c r="T917" s="241"/>
      <c r="U917" s="241"/>
      <c r="V917" s="241"/>
      <c r="W917" s="241"/>
      <c r="X917" s="241"/>
      <c r="Y917" s="241"/>
      <c r="Z917" s="241"/>
    </row>
    <row r="918" spans="1:26" ht="13.5" customHeight="1" x14ac:dyDescent="0.3">
      <c r="A918" s="241"/>
      <c r="B918" s="241"/>
      <c r="C918" s="241"/>
      <c r="D918" s="241"/>
      <c r="E918" s="241"/>
      <c r="F918" s="241"/>
      <c r="G918" s="241"/>
      <c r="H918" s="241"/>
      <c r="I918" s="241"/>
      <c r="J918" s="241"/>
      <c r="K918" s="241"/>
      <c r="L918" s="241"/>
      <c r="M918" s="241"/>
      <c r="N918" s="241"/>
      <c r="O918" s="241"/>
      <c r="P918" s="241"/>
      <c r="Q918" s="241"/>
      <c r="R918" s="241"/>
      <c r="S918" s="241"/>
      <c r="T918" s="241"/>
      <c r="U918" s="241"/>
      <c r="V918" s="241"/>
      <c r="W918" s="241"/>
      <c r="X918" s="241"/>
      <c r="Y918" s="241"/>
      <c r="Z918" s="241"/>
    </row>
    <row r="919" spans="1:26" ht="13.5" customHeight="1" x14ac:dyDescent="0.3">
      <c r="A919" s="241"/>
      <c r="B919" s="241"/>
      <c r="C919" s="241"/>
      <c r="D919" s="241"/>
      <c r="E919" s="241"/>
      <c r="F919" s="241"/>
      <c r="G919" s="241"/>
      <c r="H919" s="241"/>
      <c r="I919" s="241"/>
      <c r="J919" s="241"/>
      <c r="K919" s="241"/>
      <c r="L919" s="241"/>
      <c r="M919" s="241"/>
      <c r="N919" s="241"/>
      <c r="O919" s="241"/>
      <c r="P919" s="241"/>
      <c r="Q919" s="241"/>
      <c r="R919" s="241"/>
      <c r="S919" s="241"/>
      <c r="T919" s="241"/>
      <c r="U919" s="241"/>
      <c r="V919" s="241"/>
      <c r="W919" s="241"/>
      <c r="X919" s="241"/>
      <c r="Y919" s="241"/>
      <c r="Z919" s="241"/>
    </row>
    <row r="920" spans="1:26" ht="13.5" customHeight="1" x14ac:dyDescent="0.3">
      <c r="A920" s="241"/>
      <c r="B920" s="241"/>
      <c r="C920" s="241"/>
      <c r="D920" s="241"/>
      <c r="E920" s="241"/>
      <c r="F920" s="241"/>
      <c r="G920" s="241"/>
      <c r="H920" s="241"/>
      <c r="I920" s="241"/>
      <c r="J920" s="241"/>
      <c r="K920" s="241"/>
      <c r="L920" s="241"/>
      <c r="M920" s="241"/>
      <c r="N920" s="241"/>
      <c r="O920" s="241"/>
      <c r="P920" s="241"/>
      <c r="Q920" s="241"/>
      <c r="R920" s="241"/>
      <c r="S920" s="241"/>
      <c r="T920" s="241"/>
      <c r="U920" s="241"/>
      <c r="V920" s="241"/>
      <c r="W920" s="241"/>
      <c r="X920" s="241"/>
      <c r="Y920" s="241"/>
      <c r="Z920" s="241"/>
    </row>
    <row r="921" spans="1:26" ht="13.5" customHeight="1" x14ac:dyDescent="0.3">
      <c r="A921" s="241"/>
      <c r="B921" s="241"/>
      <c r="C921" s="241"/>
      <c r="D921" s="241"/>
      <c r="E921" s="241"/>
      <c r="F921" s="241"/>
      <c r="G921" s="241"/>
      <c r="H921" s="241"/>
      <c r="I921" s="241"/>
      <c r="J921" s="241"/>
      <c r="K921" s="241"/>
      <c r="L921" s="241"/>
      <c r="M921" s="241"/>
      <c r="N921" s="241"/>
      <c r="O921" s="241"/>
      <c r="P921" s="241"/>
      <c r="Q921" s="241"/>
      <c r="R921" s="241"/>
      <c r="S921" s="241"/>
      <c r="T921" s="241"/>
      <c r="U921" s="241"/>
      <c r="V921" s="241"/>
      <c r="W921" s="241"/>
      <c r="X921" s="241"/>
      <c r="Y921" s="241"/>
      <c r="Z921" s="241"/>
    </row>
    <row r="922" spans="1:26" ht="13.5" customHeight="1" x14ac:dyDescent="0.3">
      <c r="A922" s="241"/>
      <c r="B922" s="241"/>
      <c r="C922" s="241"/>
      <c r="D922" s="241"/>
      <c r="E922" s="241"/>
      <c r="F922" s="241"/>
      <c r="G922" s="241"/>
      <c r="H922" s="241"/>
      <c r="I922" s="241"/>
      <c r="J922" s="241"/>
      <c r="K922" s="241"/>
      <c r="L922" s="241"/>
      <c r="M922" s="241"/>
      <c r="N922" s="241"/>
      <c r="O922" s="241"/>
      <c r="P922" s="241"/>
      <c r="Q922" s="241"/>
      <c r="R922" s="241"/>
      <c r="S922" s="241"/>
      <c r="T922" s="241"/>
      <c r="U922" s="241"/>
      <c r="V922" s="241"/>
      <c r="W922" s="241"/>
      <c r="X922" s="241"/>
      <c r="Y922" s="241"/>
      <c r="Z922" s="241"/>
    </row>
    <row r="923" spans="1:26" ht="13.5" customHeight="1" x14ac:dyDescent="0.3">
      <c r="A923" s="241"/>
      <c r="B923" s="241"/>
      <c r="C923" s="241"/>
      <c r="D923" s="241"/>
      <c r="E923" s="241"/>
      <c r="F923" s="241"/>
      <c r="G923" s="241"/>
      <c r="H923" s="241"/>
      <c r="I923" s="241"/>
      <c r="J923" s="241"/>
      <c r="K923" s="241"/>
      <c r="L923" s="241"/>
      <c r="M923" s="241"/>
      <c r="N923" s="241"/>
      <c r="O923" s="241"/>
      <c r="P923" s="241"/>
      <c r="Q923" s="241"/>
      <c r="R923" s="241"/>
      <c r="S923" s="241"/>
      <c r="T923" s="241"/>
      <c r="U923" s="241"/>
      <c r="V923" s="241"/>
      <c r="W923" s="241"/>
      <c r="X923" s="241"/>
      <c r="Y923" s="241"/>
      <c r="Z923" s="241"/>
    </row>
    <row r="924" spans="1:26" ht="13.5" customHeight="1" x14ac:dyDescent="0.3">
      <c r="A924" s="241"/>
      <c r="B924" s="241"/>
      <c r="C924" s="241"/>
      <c r="D924" s="241"/>
      <c r="E924" s="241"/>
      <c r="F924" s="241"/>
      <c r="G924" s="241"/>
      <c r="H924" s="241"/>
      <c r="I924" s="241"/>
      <c r="J924" s="241"/>
      <c r="K924" s="241"/>
      <c r="L924" s="241"/>
      <c r="M924" s="241"/>
      <c r="N924" s="241"/>
      <c r="O924" s="241"/>
      <c r="P924" s="241"/>
      <c r="Q924" s="241"/>
      <c r="R924" s="241"/>
      <c r="S924" s="241"/>
      <c r="T924" s="241"/>
      <c r="U924" s="241"/>
      <c r="V924" s="241"/>
      <c r="W924" s="241"/>
      <c r="X924" s="241"/>
      <c r="Y924" s="241"/>
      <c r="Z924" s="241"/>
    </row>
    <row r="925" spans="1:26" ht="13.5" customHeight="1" x14ac:dyDescent="0.3">
      <c r="A925" s="241"/>
      <c r="B925" s="241"/>
      <c r="C925" s="241"/>
      <c r="D925" s="241"/>
      <c r="E925" s="241"/>
      <c r="F925" s="241"/>
      <c r="G925" s="241"/>
      <c r="H925" s="241"/>
      <c r="I925" s="241"/>
      <c r="J925" s="241"/>
      <c r="K925" s="241"/>
      <c r="L925" s="241"/>
      <c r="M925" s="241"/>
      <c r="N925" s="241"/>
      <c r="O925" s="241"/>
      <c r="P925" s="241"/>
      <c r="Q925" s="241"/>
      <c r="R925" s="241"/>
      <c r="S925" s="241"/>
      <c r="T925" s="241"/>
      <c r="U925" s="241"/>
      <c r="V925" s="241"/>
      <c r="W925" s="241"/>
      <c r="X925" s="241"/>
      <c r="Y925" s="241"/>
      <c r="Z925" s="241"/>
    </row>
    <row r="926" spans="1:26" ht="13.5" customHeight="1" x14ac:dyDescent="0.3">
      <c r="A926" s="241"/>
      <c r="B926" s="241"/>
      <c r="C926" s="241"/>
      <c r="D926" s="241"/>
      <c r="E926" s="241"/>
      <c r="F926" s="241"/>
      <c r="G926" s="241"/>
      <c r="H926" s="241"/>
      <c r="I926" s="241"/>
      <c r="J926" s="241"/>
      <c r="K926" s="241"/>
      <c r="L926" s="241"/>
      <c r="M926" s="241"/>
      <c r="N926" s="241"/>
      <c r="O926" s="241"/>
      <c r="P926" s="241"/>
      <c r="Q926" s="241"/>
      <c r="R926" s="241"/>
      <c r="S926" s="241"/>
      <c r="T926" s="241"/>
      <c r="U926" s="241"/>
      <c r="V926" s="241"/>
      <c r="W926" s="241"/>
      <c r="X926" s="241"/>
      <c r="Y926" s="241"/>
      <c r="Z926" s="241"/>
    </row>
    <row r="927" spans="1:26" ht="13.5" customHeight="1" x14ac:dyDescent="0.3">
      <c r="A927" s="241"/>
      <c r="B927" s="241"/>
      <c r="C927" s="241"/>
      <c r="D927" s="241"/>
      <c r="E927" s="241"/>
      <c r="F927" s="241"/>
      <c r="G927" s="241"/>
      <c r="H927" s="241"/>
      <c r="I927" s="241"/>
      <c r="J927" s="241"/>
      <c r="K927" s="241"/>
      <c r="L927" s="241"/>
      <c r="M927" s="241"/>
      <c r="N927" s="241"/>
      <c r="O927" s="241"/>
      <c r="P927" s="241"/>
      <c r="Q927" s="241"/>
      <c r="R927" s="241"/>
      <c r="S927" s="241"/>
      <c r="T927" s="241"/>
      <c r="U927" s="241"/>
      <c r="V927" s="241"/>
      <c r="W927" s="241"/>
      <c r="X927" s="241"/>
      <c r="Y927" s="241"/>
      <c r="Z927" s="241"/>
    </row>
    <row r="928" spans="1:26" ht="13.5" customHeight="1" x14ac:dyDescent="0.3">
      <c r="A928" s="241"/>
      <c r="B928" s="241"/>
      <c r="C928" s="241"/>
      <c r="D928" s="241"/>
      <c r="E928" s="241"/>
      <c r="F928" s="241"/>
      <c r="G928" s="241"/>
      <c r="H928" s="241"/>
      <c r="I928" s="241"/>
      <c r="J928" s="241"/>
      <c r="K928" s="241"/>
      <c r="L928" s="241"/>
      <c r="M928" s="241"/>
      <c r="N928" s="241"/>
      <c r="O928" s="241"/>
      <c r="P928" s="241"/>
      <c r="Q928" s="241"/>
      <c r="R928" s="241"/>
      <c r="S928" s="241"/>
      <c r="T928" s="241"/>
      <c r="U928" s="241"/>
      <c r="V928" s="241"/>
      <c r="W928" s="241"/>
      <c r="X928" s="241"/>
      <c r="Y928" s="241"/>
      <c r="Z928" s="241"/>
    </row>
    <row r="929" spans="1:26" ht="13.5" customHeight="1" x14ac:dyDescent="0.3">
      <c r="A929" s="241"/>
      <c r="B929" s="241"/>
      <c r="C929" s="241"/>
      <c r="D929" s="241"/>
      <c r="E929" s="241"/>
      <c r="F929" s="241"/>
      <c r="G929" s="241"/>
      <c r="H929" s="241"/>
      <c r="I929" s="241"/>
      <c r="J929" s="241"/>
      <c r="K929" s="241"/>
      <c r="L929" s="241"/>
      <c r="M929" s="241"/>
      <c r="N929" s="241"/>
      <c r="O929" s="241"/>
      <c r="P929" s="241"/>
      <c r="Q929" s="241"/>
      <c r="R929" s="241"/>
      <c r="S929" s="241"/>
      <c r="T929" s="241"/>
      <c r="U929" s="241"/>
      <c r="V929" s="241"/>
      <c r="W929" s="241"/>
      <c r="X929" s="241"/>
      <c r="Y929" s="241"/>
      <c r="Z929" s="241"/>
    </row>
    <row r="930" spans="1:26" ht="13.5" customHeight="1" x14ac:dyDescent="0.3">
      <c r="A930" s="241"/>
      <c r="B930" s="241"/>
      <c r="C930" s="241"/>
      <c r="D930" s="241"/>
      <c r="E930" s="241"/>
      <c r="F930" s="241"/>
      <c r="G930" s="241"/>
      <c r="H930" s="241"/>
      <c r="I930" s="241"/>
      <c r="J930" s="241"/>
      <c r="K930" s="241"/>
      <c r="L930" s="241"/>
      <c r="M930" s="241"/>
      <c r="N930" s="241"/>
      <c r="O930" s="241"/>
      <c r="P930" s="241"/>
      <c r="Q930" s="241"/>
      <c r="R930" s="241"/>
      <c r="S930" s="241"/>
      <c r="T930" s="241"/>
      <c r="U930" s="241"/>
      <c r="V930" s="241"/>
      <c r="W930" s="241"/>
      <c r="X930" s="241"/>
      <c r="Y930" s="241"/>
      <c r="Z930" s="241"/>
    </row>
    <row r="931" spans="1:26" ht="13.5" customHeight="1" x14ac:dyDescent="0.3">
      <c r="A931" s="241"/>
      <c r="B931" s="241"/>
      <c r="C931" s="241"/>
      <c r="D931" s="241"/>
      <c r="E931" s="241"/>
      <c r="F931" s="241"/>
      <c r="G931" s="241"/>
      <c r="H931" s="241"/>
      <c r="I931" s="241"/>
      <c r="J931" s="241"/>
      <c r="K931" s="241"/>
      <c r="L931" s="241"/>
      <c r="M931" s="241"/>
      <c r="N931" s="241"/>
      <c r="O931" s="241"/>
      <c r="P931" s="241"/>
      <c r="Q931" s="241"/>
      <c r="R931" s="241"/>
      <c r="S931" s="241"/>
      <c r="T931" s="241"/>
      <c r="U931" s="241"/>
      <c r="V931" s="241"/>
      <c r="W931" s="241"/>
      <c r="X931" s="241"/>
      <c r="Y931" s="241"/>
      <c r="Z931" s="241"/>
    </row>
    <row r="932" spans="1:26" ht="13.5" customHeight="1" x14ac:dyDescent="0.3">
      <c r="A932" s="241"/>
      <c r="B932" s="241"/>
      <c r="C932" s="241"/>
      <c r="D932" s="241"/>
      <c r="E932" s="241"/>
      <c r="F932" s="241"/>
      <c r="G932" s="241"/>
      <c r="H932" s="241"/>
      <c r="I932" s="241"/>
      <c r="J932" s="241"/>
      <c r="K932" s="241"/>
      <c r="L932" s="241"/>
      <c r="M932" s="241"/>
      <c r="N932" s="241"/>
      <c r="O932" s="241"/>
      <c r="P932" s="241"/>
      <c r="Q932" s="241"/>
      <c r="R932" s="241"/>
      <c r="S932" s="241"/>
      <c r="T932" s="241"/>
      <c r="U932" s="241"/>
      <c r="V932" s="241"/>
      <c r="W932" s="241"/>
      <c r="X932" s="241"/>
      <c r="Y932" s="241"/>
      <c r="Z932" s="241"/>
    </row>
    <row r="933" spans="1:26" ht="13.5" customHeight="1" x14ac:dyDescent="0.3">
      <c r="A933" s="241"/>
      <c r="B933" s="241"/>
      <c r="C933" s="241"/>
      <c r="D933" s="241"/>
      <c r="E933" s="241"/>
      <c r="F933" s="241"/>
      <c r="G933" s="241"/>
      <c r="H933" s="241"/>
      <c r="I933" s="241"/>
      <c r="J933" s="241"/>
      <c r="K933" s="241"/>
      <c r="L933" s="241"/>
      <c r="M933" s="241"/>
      <c r="N933" s="241"/>
      <c r="O933" s="241"/>
      <c r="P933" s="241"/>
      <c r="Q933" s="241"/>
      <c r="R933" s="241"/>
      <c r="S933" s="241"/>
      <c r="T933" s="241"/>
      <c r="U933" s="241"/>
      <c r="V933" s="241"/>
      <c r="W933" s="241"/>
      <c r="X933" s="241"/>
      <c r="Y933" s="241"/>
      <c r="Z933" s="241"/>
    </row>
    <row r="934" spans="1:26" ht="13.5" customHeight="1" x14ac:dyDescent="0.3">
      <c r="A934" s="241"/>
      <c r="B934" s="241"/>
      <c r="C934" s="241"/>
      <c r="D934" s="241"/>
      <c r="E934" s="241"/>
      <c r="F934" s="241"/>
      <c r="G934" s="241"/>
      <c r="H934" s="241"/>
      <c r="I934" s="241"/>
      <c r="J934" s="241"/>
      <c r="K934" s="241"/>
      <c r="L934" s="241"/>
      <c r="M934" s="241"/>
      <c r="N934" s="241"/>
      <c r="O934" s="241"/>
      <c r="P934" s="241"/>
      <c r="Q934" s="241"/>
      <c r="R934" s="241"/>
      <c r="S934" s="241"/>
      <c r="T934" s="241"/>
      <c r="U934" s="241"/>
      <c r="V934" s="241"/>
      <c r="W934" s="241"/>
      <c r="X934" s="241"/>
      <c r="Y934" s="241"/>
      <c r="Z934" s="241"/>
    </row>
    <row r="935" spans="1:26" ht="13.5" customHeight="1" x14ac:dyDescent="0.3">
      <c r="A935" s="241"/>
      <c r="B935" s="241"/>
      <c r="C935" s="241"/>
      <c r="D935" s="241"/>
      <c r="E935" s="241"/>
      <c r="F935" s="241"/>
      <c r="G935" s="241"/>
      <c r="H935" s="241"/>
      <c r="I935" s="241"/>
      <c r="J935" s="241"/>
      <c r="K935" s="241"/>
      <c r="L935" s="241"/>
      <c r="M935" s="241"/>
      <c r="N935" s="241"/>
      <c r="O935" s="241"/>
      <c r="P935" s="241"/>
      <c r="Q935" s="241"/>
      <c r="R935" s="241"/>
      <c r="S935" s="241"/>
      <c r="T935" s="241"/>
      <c r="U935" s="241"/>
      <c r="V935" s="241"/>
      <c r="W935" s="241"/>
      <c r="X935" s="241"/>
      <c r="Y935" s="241"/>
      <c r="Z935" s="241"/>
    </row>
    <row r="936" spans="1:26" ht="13.5" customHeight="1" x14ac:dyDescent="0.3">
      <c r="A936" s="241"/>
      <c r="B936" s="241"/>
      <c r="C936" s="241"/>
      <c r="D936" s="241"/>
      <c r="E936" s="241"/>
      <c r="F936" s="241"/>
      <c r="G936" s="241"/>
      <c r="H936" s="241"/>
      <c r="I936" s="241"/>
      <c r="J936" s="241"/>
      <c r="K936" s="241"/>
      <c r="L936" s="241"/>
      <c r="M936" s="241"/>
      <c r="N936" s="241"/>
      <c r="O936" s="241"/>
      <c r="P936" s="241"/>
      <c r="Q936" s="241"/>
      <c r="R936" s="241"/>
      <c r="S936" s="241"/>
      <c r="T936" s="241"/>
      <c r="U936" s="241"/>
      <c r="V936" s="241"/>
      <c r="W936" s="241"/>
      <c r="X936" s="241"/>
      <c r="Y936" s="241"/>
      <c r="Z936" s="241"/>
    </row>
    <row r="937" spans="1:26" ht="13.5" customHeight="1" x14ac:dyDescent="0.3">
      <c r="A937" s="241"/>
      <c r="B937" s="241"/>
      <c r="C937" s="241"/>
      <c r="D937" s="241"/>
      <c r="E937" s="241"/>
      <c r="F937" s="241"/>
      <c r="G937" s="241"/>
      <c r="H937" s="241"/>
      <c r="I937" s="241"/>
      <c r="J937" s="241"/>
      <c r="K937" s="241"/>
      <c r="L937" s="241"/>
      <c r="M937" s="241"/>
      <c r="N937" s="241"/>
      <c r="O937" s="241"/>
      <c r="P937" s="241"/>
      <c r="Q937" s="241"/>
      <c r="R937" s="241"/>
      <c r="S937" s="241"/>
      <c r="T937" s="241"/>
      <c r="U937" s="241"/>
      <c r="V937" s="241"/>
      <c r="W937" s="241"/>
      <c r="X937" s="241"/>
      <c r="Y937" s="241"/>
      <c r="Z937" s="241"/>
    </row>
    <row r="938" spans="1:26" ht="13.5" customHeight="1" x14ac:dyDescent="0.3">
      <c r="A938" s="241"/>
      <c r="B938" s="241"/>
      <c r="C938" s="241"/>
      <c r="D938" s="241"/>
      <c r="E938" s="241"/>
      <c r="F938" s="241"/>
      <c r="G938" s="241"/>
      <c r="H938" s="241"/>
      <c r="I938" s="241"/>
      <c r="J938" s="241"/>
      <c r="K938" s="241"/>
      <c r="L938" s="241"/>
      <c r="M938" s="241"/>
      <c r="N938" s="241"/>
      <c r="O938" s="241"/>
      <c r="P938" s="241"/>
      <c r="Q938" s="241"/>
      <c r="R938" s="241"/>
      <c r="S938" s="241"/>
      <c r="T938" s="241"/>
      <c r="U938" s="241"/>
      <c r="V938" s="241"/>
      <c r="W938" s="241"/>
      <c r="X938" s="241"/>
      <c r="Y938" s="241"/>
      <c r="Z938" s="241"/>
    </row>
    <row r="939" spans="1:26" ht="13.5" customHeight="1" x14ac:dyDescent="0.3">
      <c r="A939" s="241"/>
      <c r="B939" s="241"/>
      <c r="C939" s="241"/>
      <c r="D939" s="241"/>
      <c r="E939" s="241"/>
      <c r="F939" s="241"/>
      <c r="G939" s="241"/>
      <c r="H939" s="241"/>
      <c r="I939" s="241"/>
      <c r="J939" s="241"/>
      <c r="K939" s="241"/>
      <c r="L939" s="241"/>
      <c r="M939" s="241"/>
      <c r="N939" s="241"/>
      <c r="O939" s="241"/>
      <c r="P939" s="241"/>
      <c r="Q939" s="241"/>
      <c r="R939" s="241"/>
      <c r="S939" s="241"/>
      <c r="T939" s="241"/>
      <c r="U939" s="241"/>
      <c r="V939" s="241"/>
      <c r="W939" s="241"/>
      <c r="X939" s="241"/>
      <c r="Y939" s="241"/>
      <c r="Z939" s="241"/>
    </row>
    <row r="940" spans="1:26" ht="13.5" customHeight="1" x14ac:dyDescent="0.3">
      <c r="A940" s="241"/>
      <c r="B940" s="241"/>
      <c r="C940" s="241"/>
      <c r="D940" s="241"/>
      <c r="E940" s="241"/>
      <c r="F940" s="241"/>
      <c r="G940" s="241"/>
      <c r="H940" s="241"/>
      <c r="I940" s="241"/>
      <c r="J940" s="241"/>
      <c r="K940" s="241"/>
      <c r="L940" s="241"/>
      <c r="M940" s="241"/>
      <c r="N940" s="241"/>
      <c r="O940" s="241"/>
      <c r="P940" s="241"/>
      <c r="Q940" s="241"/>
      <c r="R940" s="241"/>
      <c r="S940" s="241"/>
      <c r="T940" s="241"/>
      <c r="U940" s="241"/>
      <c r="V940" s="241"/>
      <c r="W940" s="241"/>
      <c r="X940" s="241"/>
      <c r="Y940" s="241"/>
      <c r="Z940" s="241"/>
    </row>
    <row r="941" spans="1:26" ht="13.5" customHeight="1" x14ac:dyDescent="0.3">
      <c r="A941" s="241"/>
      <c r="B941" s="241"/>
      <c r="C941" s="241"/>
      <c r="D941" s="241"/>
      <c r="E941" s="241"/>
      <c r="F941" s="241"/>
      <c r="G941" s="241"/>
      <c r="H941" s="241"/>
      <c r="I941" s="241"/>
      <c r="J941" s="241"/>
      <c r="K941" s="241"/>
      <c r="L941" s="241"/>
      <c r="M941" s="241"/>
      <c r="N941" s="241"/>
      <c r="O941" s="241"/>
      <c r="P941" s="241"/>
      <c r="Q941" s="241"/>
      <c r="R941" s="241"/>
      <c r="S941" s="241"/>
      <c r="T941" s="241"/>
      <c r="U941" s="241"/>
      <c r="V941" s="241"/>
      <c r="W941" s="241"/>
      <c r="X941" s="241"/>
      <c r="Y941" s="241"/>
      <c r="Z941" s="241"/>
    </row>
    <row r="942" spans="1:26" ht="13.5" customHeight="1" x14ac:dyDescent="0.3">
      <c r="A942" s="241"/>
      <c r="B942" s="241"/>
      <c r="C942" s="241"/>
      <c r="D942" s="241"/>
      <c r="E942" s="241"/>
      <c r="F942" s="241"/>
      <c r="G942" s="241"/>
      <c r="H942" s="241"/>
      <c r="I942" s="241"/>
      <c r="J942" s="241"/>
      <c r="K942" s="241"/>
      <c r="L942" s="241"/>
      <c r="M942" s="241"/>
      <c r="N942" s="241"/>
      <c r="O942" s="241"/>
      <c r="P942" s="241"/>
      <c r="Q942" s="241"/>
      <c r="R942" s="241"/>
      <c r="S942" s="241"/>
      <c r="T942" s="241"/>
      <c r="U942" s="241"/>
      <c r="V942" s="241"/>
      <c r="W942" s="241"/>
      <c r="X942" s="241"/>
      <c r="Y942" s="241"/>
      <c r="Z942" s="241"/>
    </row>
    <row r="943" spans="1:26" ht="13.5" customHeight="1" x14ac:dyDescent="0.3">
      <c r="A943" s="241"/>
      <c r="B943" s="241"/>
      <c r="C943" s="241"/>
      <c r="D943" s="241"/>
      <c r="E943" s="241"/>
      <c r="F943" s="241"/>
      <c r="G943" s="241"/>
      <c r="H943" s="241"/>
      <c r="I943" s="241"/>
      <c r="J943" s="241"/>
      <c r="K943" s="241"/>
      <c r="L943" s="241"/>
      <c r="M943" s="241"/>
      <c r="N943" s="241"/>
      <c r="O943" s="241"/>
      <c r="P943" s="241"/>
      <c r="Q943" s="241"/>
      <c r="R943" s="241"/>
      <c r="S943" s="241"/>
      <c r="T943" s="241"/>
      <c r="U943" s="241"/>
      <c r="V943" s="241"/>
      <c r="W943" s="241"/>
      <c r="X943" s="241"/>
      <c r="Y943" s="241"/>
      <c r="Z943" s="241"/>
    </row>
    <row r="944" spans="1:26" ht="13.5" customHeight="1" x14ac:dyDescent="0.3">
      <c r="A944" s="241"/>
      <c r="B944" s="241"/>
      <c r="C944" s="241"/>
      <c r="D944" s="241"/>
      <c r="E944" s="241"/>
      <c r="F944" s="241"/>
      <c r="G944" s="241"/>
      <c r="H944" s="241"/>
      <c r="I944" s="241"/>
      <c r="J944" s="241"/>
      <c r="K944" s="241"/>
      <c r="L944" s="241"/>
      <c r="M944" s="241"/>
      <c r="N944" s="241"/>
      <c r="O944" s="241"/>
      <c r="P944" s="241"/>
      <c r="Q944" s="241"/>
      <c r="R944" s="241"/>
      <c r="S944" s="241"/>
      <c r="T944" s="241"/>
      <c r="U944" s="241"/>
      <c r="V944" s="241"/>
      <c r="W944" s="241"/>
      <c r="X944" s="241"/>
      <c r="Y944" s="241"/>
      <c r="Z944" s="241"/>
    </row>
    <row r="945" spans="1:26" ht="13.5" customHeight="1" x14ac:dyDescent="0.3">
      <c r="A945" s="241"/>
      <c r="B945" s="241"/>
      <c r="C945" s="241"/>
      <c r="D945" s="241"/>
      <c r="E945" s="241"/>
      <c r="F945" s="241"/>
      <c r="G945" s="241"/>
      <c r="H945" s="241"/>
      <c r="I945" s="241"/>
      <c r="J945" s="241"/>
      <c r="K945" s="241"/>
      <c r="L945" s="241"/>
      <c r="M945" s="241"/>
      <c r="N945" s="241"/>
      <c r="O945" s="241"/>
      <c r="P945" s="241"/>
      <c r="Q945" s="241"/>
      <c r="R945" s="241"/>
      <c r="S945" s="241"/>
      <c r="T945" s="241"/>
      <c r="U945" s="241"/>
      <c r="V945" s="241"/>
      <c r="W945" s="241"/>
      <c r="X945" s="241"/>
      <c r="Y945" s="241"/>
      <c r="Z945" s="241"/>
    </row>
    <row r="946" spans="1:26" ht="13.5" customHeight="1" x14ac:dyDescent="0.3">
      <c r="A946" s="241"/>
      <c r="B946" s="241"/>
      <c r="C946" s="241"/>
      <c r="D946" s="241"/>
      <c r="E946" s="241"/>
      <c r="F946" s="241"/>
      <c r="G946" s="241"/>
      <c r="H946" s="241"/>
      <c r="I946" s="241"/>
      <c r="J946" s="241"/>
      <c r="K946" s="241"/>
      <c r="L946" s="241"/>
      <c r="M946" s="241"/>
      <c r="N946" s="241"/>
      <c r="O946" s="241"/>
      <c r="P946" s="241"/>
      <c r="Q946" s="241"/>
      <c r="R946" s="241"/>
      <c r="S946" s="241"/>
      <c r="T946" s="241"/>
      <c r="U946" s="241"/>
      <c r="V946" s="241"/>
      <c r="W946" s="241"/>
      <c r="X946" s="241"/>
      <c r="Y946" s="241"/>
      <c r="Z946" s="241"/>
    </row>
    <row r="947" spans="1:26" ht="13.5" customHeight="1" x14ac:dyDescent="0.3">
      <c r="A947" s="241"/>
      <c r="B947" s="241"/>
      <c r="C947" s="241"/>
      <c r="D947" s="241"/>
      <c r="E947" s="241"/>
      <c r="F947" s="241"/>
      <c r="G947" s="241"/>
      <c r="H947" s="241"/>
      <c r="I947" s="241"/>
      <c r="J947" s="241"/>
      <c r="K947" s="241"/>
      <c r="L947" s="241"/>
      <c r="M947" s="241"/>
      <c r="N947" s="241"/>
      <c r="O947" s="241"/>
      <c r="P947" s="241"/>
      <c r="Q947" s="241"/>
      <c r="R947" s="241"/>
      <c r="S947" s="241"/>
      <c r="T947" s="241"/>
      <c r="U947" s="241"/>
      <c r="V947" s="241"/>
      <c r="W947" s="241"/>
      <c r="X947" s="241"/>
      <c r="Y947" s="241"/>
      <c r="Z947" s="241"/>
    </row>
    <row r="948" spans="1:26" ht="13.5" customHeight="1" x14ac:dyDescent="0.3">
      <c r="A948" s="241"/>
      <c r="B948" s="241"/>
      <c r="C948" s="241"/>
      <c r="D948" s="241"/>
      <c r="E948" s="241"/>
      <c r="F948" s="241"/>
      <c r="G948" s="241"/>
      <c r="H948" s="241"/>
      <c r="I948" s="241"/>
      <c r="J948" s="241"/>
      <c r="K948" s="241"/>
      <c r="L948" s="241"/>
      <c r="M948" s="241"/>
      <c r="N948" s="241"/>
      <c r="O948" s="241"/>
      <c r="P948" s="241"/>
      <c r="Q948" s="241"/>
      <c r="R948" s="241"/>
      <c r="S948" s="241"/>
      <c r="T948" s="241"/>
      <c r="U948" s="241"/>
      <c r="V948" s="241"/>
      <c r="W948" s="241"/>
      <c r="X948" s="241"/>
      <c r="Y948" s="241"/>
      <c r="Z948" s="241"/>
    </row>
    <row r="949" spans="1:26" ht="13.5" customHeight="1" x14ac:dyDescent="0.3">
      <c r="A949" s="241"/>
      <c r="B949" s="241"/>
      <c r="C949" s="241"/>
      <c r="D949" s="241"/>
      <c r="E949" s="241"/>
      <c r="F949" s="241"/>
      <c r="G949" s="241"/>
      <c r="H949" s="241"/>
      <c r="I949" s="241"/>
      <c r="J949" s="241"/>
      <c r="K949" s="241"/>
      <c r="L949" s="241"/>
      <c r="M949" s="241"/>
      <c r="N949" s="241"/>
      <c r="O949" s="241"/>
      <c r="P949" s="241"/>
      <c r="Q949" s="241"/>
      <c r="R949" s="241"/>
      <c r="S949" s="241"/>
      <c r="T949" s="241"/>
      <c r="U949" s="241"/>
      <c r="V949" s="241"/>
      <c r="W949" s="241"/>
      <c r="X949" s="241"/>
      <c r="Y949" s="241"/>
      <c r="Z949" s="241"/>
    </row>
    <row r="950" spans="1:26" ht="13.5" customHeight="1" x14ac:dyDescent="0.3">
      <c r="A950" s="241"/>
      <c r="B950" s="241"/>
      <c r="C950" s="241"/>
      <c r="D950" s="241"/>
      <c r="E950" s="241"/>
      <c r="F950" s="241"/>
      <c r="G950" s="241"/>
      <c r="H950" s="241"/>
      <c r="I950" s="241"/>
      <c r="J950" s="241"/>
      <c r="K950" s="241"/>
      <c r="L950" s="241"/>
      <c r="M950" s="241"/>
      <c r="N950" s="241"/>
      <c r="O950" s="241"/>
      <c r="P950" s="241"/>
      <c r="Q950" s="241"/>
      <c r="R950" s="241"/>
      <c r="S950" s="241"/>
      <c r="T950" s="241"/>
      <c r="U950" s="241"/>
      <c r="V950" s="241"/>
      <c r="W950" s="241"/>
      <c r="X950" s="241"/>
      <c r="Y950" s="241"/>
      <c r="Z950" s="241"/>
    </row>
    <row r="951" spans="1:26" ht="13.5" customHeight="1" x14ac:dyDescent="0.3">
      <c r="A951" s="241"/>
      <c r="B951" s="241"/>
      <c r="C951" s="241"/>
      <c r="D951" s="241"/>
      <c r="E951" s="241"/>
      <c r="F951" s="241"/>
      <c r="G951" s="241"/>
      <c r="H951" s="241"/>
      <c r="I951" s="241"/>
      <c r="J951" s="241"/>
      <c r="K951" s="241"/>
      <c r="L951" s="241"/>
      <c r="M951" s="241"/>
      <c r="N951" s="241"/>
      <c r="O951" s="241"/>
      <c r="P951" s="241"/>
      <c r="Q951" s="241"/>
      <c r="R951" s="241"/>
      <c r="S951" s="241"/>
      <c r="T951" s="241"/>
      <c r="U951" s="241"/>
      <c r="V951" s="241"/>
      <c r="W951" s="241"/>
      <c r="X951" s="241"/>
      <c r="Y951" s="241"/>
      <c r="Z951" s="241"/>
    </row>
    <row r="952" spans="1:26" ht="13.5" customHeight="1" x14ac:dyDescent="0.3">
      <c r="A952" s="241"/>
      <c r="B952" s="241"/>
      <c r="C952" s="241"/>
      <c r="D952" s="241"/>
      <c r="E952" s="241"/>
      <c r="F952" s="241"/>
      <c r="G952" s="241"/>
      <c r="H952" s="241"/>
      <c r="I952" s="241"/>
      <c r="J952" s="241"/>
      <c r="K952" s="241"/>
      <c r="L952" s="241"/>
      <c r="M952" s="241"/>
      <c r="N952" s="241"/>
      <c r="O952" s="241"/>
      <c r="P952" s="241"/>
      <c r="Q952" s="241"/>
      <c r="R952" s="241"/>
      <c r="S952" s="241"/>
      <c r="T952" s="241"/>
      <c r="U952" s="241"/>
      <c r="V952" s="241"/>
      <c r="W952" s="241"/>
      <c r="X952" s="241"/>
      <c r="Y952" s="241"/>
      <c r="Z952" s="241"/>
    </row>
    <row r="953" spans="1:26" ht="13.5" customHeight="1" x14ac:dyDescent="0.3">
      <c r="A953" s="241"/>
      <c r="B953" s="241"/>
      <c r="C953" s="241"/>
      <c r="D953" s="241"/>
      <c r="E953" s="241"/>
      <c r="F953" s="241"/>
      <c r="G953" s="241"/>
      <c r="H953" s="241"/>
      <c r="I953" s="241"/>
      <c r="J953" s="241"/>
      <c r="K953" s="241"/>
      <c r="L953" s="241"/>
      <c r="M953" s="241"/>
      <c r="N953" s="241"/>
      <c r="O953" s="241"/>
      <c r="P953" s="241"/>
      <c r="Q953" s="241"/>
      <c r="R953" s="241"/>
      <c r="S953" s="241"/>
      <c r="T953" s="241"/>
      <c r="U953" s="241"/>
      <c r="V953" s="241"/>
      <c r="W953" s="241"/>
      <c r="X953" s="241"/>
      <c r="Y953" s="241"/>
      <c r="Z953" s="241"/>
    </row>
    <row r="954" spans="1:26" ht="13.5" customHeight="1" x14ac:dyDescent="0.3">
      <c r="A954" s="241"/>
      <c r="B954" s="241"/>
      <c r="C954" s="241"/>
      <c r="D954" s="241"/>
      <c r="E954" s="241"/>
      <c r="F954" s="241"/>
      <c r="G954" s="241"/>
      <c r="H954" s="241"/>
      <c r="I954" s="241"/>
      <c r="J954" s="241"/>
      <c r="K954" s="241"/>
      <c r="L954" s="241"/>
      <c r="M954" s="241"/>
      <c r="N954" s="241"/>
      <c r="O954" s="241"/>
      <c r="P954" s="241"/>
      <c r="Q954" s="241"/>
      <c r="R954" s="241"/>
      <c r="S954" s="241"/>
      <c r="T954" s="241"/>
      <c r="U954" s="241"/>
      <c r="V954" s="241"/>
      <c r="W954" s="241"/>
      <c r="X954" s="241"/>
      <c r="Y954" s="241"/>
      <c r="Z954" s="241"/>
    </row>
    <row r="955" spans="1:26" ht="13.5" customHeight="1" x14ac:dyDescent="0.3">
      <c r="A955" s="241"/>
      <c r="B955" s="241"/>
      <c r="C955" s="241"/>
      <c r="D955" s="241"/>
      <c r="E955" s="241"/>
      <c r="F955" s="241"/>
      <c r="G955" s="241"/>
      <c r="H955" s="241"/>
      <c r="I955" s="241"/>
      <c r="J955" s="241"/>
      <c r="K955" s="241"/>
      <c r="L955" s="241"/>
      <c r="M955" s="241"/>
      <c r="N955" s="241"/>
      <c r="O955" s="241"/>
      <c r="P955" s="241"/>
      <c r="Q955" s="241"/>
      <c r="R955" s="241"/>
      <c r="S955" s="241"/>
      <c r="T955" s="241"/>
      <c r="U955" s="241"/>
      <c r="V955" s="241"/>
      <c r="W955" s="241"/>
      <c r="X955" s="241"/>
      <c r="Y955" s="241"/>
      <c r="Z955" s="241"/>
    </row>
    <row r="956" spans="1:26" ht="13.5" customHeight="1" x14ac:dyDescent="0.3">
      <c r="A956" s="241"/>
      <c r="B956" s="241"/>
      <c r="C956" s="241"/>
      <c r="D956" s="241"/>
      <c r="E956" s="241"/>
      <c r="F956" s="241"/>
      <c r="G956" s="241"/>
      <c r="H956" s="241"/>
      <c r="I956" s="241"/>
      <c r="J956" s="241"/>
      <c r="K956" s="241"/>
      <c r="L956" s="241"/>
      <c r="M956" s="241"/>
      <c r="N956" s="241"/>
      <c r="O956" s="241"/>
      <c r="P956" s="241"/>
      <c r="Q956" s="241"/>
      <c r="R956" s="241"/>
      <c r="S956" s="241"/>
      <c r="T956" s="241"/>
      <c r="U956" s="241"/>
      <c r="V956" s="241"/>
      <c r="W956" s="241"/>
      <c r="X956" s="241"/>
      <c r="Y956" s="241"/>
      <c r="Z956" s="241"/>
    </row>
    <row r="957" spans="1:26" ht="13.5" customHeight="1" x14ac:dyDescent="0.3">
      <c r="A957" s="241"/>
      <c r="B957" s="241"/>
      <c r="C957" s="241"/>
      <c r="D957" s="241"/>
      <c r="E957" s="241"/>
      <c r="F957" s="241"/>
      <c r="G957" s="241"/>
      <c r="H957" s="241"/>
      <c r="I957" s="241"/>
      <c r="J957" s="241"/>
      <c r="K957" s="241"/>
      <c r="L957" s="241"/>
      <c r="M957" s="241"/>
      <c r="N957" s="241"/>
      <c r="O957" s="241"/>
      <c r="P957" s="241"/>
      <c r="Q957" s="241"/>
      <c r="R957" s="241"/>
      <c r="S957" s="241"/>
      <c r="T957" s="241"/>
      <c r="U957" s="241"/>
      <c r="V957" s="241"/>
      <c r="W957" s="241"/>
      <c r="X957" s="241"/>
      <c r="Y957" s="241"/>
      <c r="Z957" s="241"/>
    </row>
    <row r="958" spans="1:26" ht="13.5" customHeight="1" x14ac:dyDescent="0.3">
      <c r="A958" s="241"/>
      <c r="B958" s="241"/>
      <c r="C958" s="241"/>
      <c r="D958" s="241"/>
      <c r="E958" s="241"/>
      <c r="F958" s="241"/>
      <c r="G958" s="241"/>
      <c r="H958" s="241"/>
      <c r="I958" s="241"/>
      <c r="J958" s="241"/>
      <c r="K958" s="241"/>
      <c r="L958" s="241"/>
      <c r="M958" s="241"/>
      <c r="N958" s="241"/>
      <c r="O958" s="241"/>
      <c r="P958" s="241"/>
      <c r="Q958" s="241"/>
      <c r="R958" s="241"/>
      <c r="S958" s="241"/>
      <c r="T958" s="241"/>
      <c r="U958" s="241"/>
      <c r="V958" s="241"/>
      <c r="W958" s="241"/>
      <c r="X958" s="241"/>
      <c r="Y958" s="241"/>
      <c r="Z958" s="241"/>
    </row>
    <row r="959" spans="1:26" ht="13.5" customHeight="1" x14ac:dyDescent="0.3">
      <c r="A959" s="241"/>
      <c r="B959" s="241"/>
      <c r="C959" s="241"/>
      <c r="D959" s="241"/>
      <c r="E959" s="241"/>
      <c r="F959" s="241"/>
      <c r="G959" s="241"/>
      <c r="H959" s="241"/>
      <c r="I959" s="241"/>
      <c r="J959" s="241"/>
      <c r="K959" s="241"/>
      <c r="L959" s="241"/>
      <c r="M959" s="241"/>
      <c r="N959" s="241"/>
      <c r="O959" s="241"/>
      <c r="P959" s="241"/>
      <c r="Q959" s="241"/>
      <c r="R959" s="241"/>
      <c r="S959" s="241"/>
      <c r="T959" s="241"/>
      <c r="U959" s="241"/>
      <c r="V959" s="241"/>
      <c r="W959" s="241"/>
      <c r="X959" s="241"/>
      <c r="Y959" s="241"/>
      <c r="Z959" s="241"/>
    </row>
    <row r="960" spans="1:26" ht="13.5" customHeight="1" x14ac:dyDescent="0.3">
      <c r="A960" s="241"/>
      <c r="B960" s="241"/>
      <c r="C960" s="241"/>
      <c r="D960" s="241"/>
      <c r="E960" s="241"/>
      <c r="F960" s="241"/>
      <c r="G960" s="241"/>
      <c r="H960" s="241"/>
      <c r="I960" s="241"/>
      <c r="J960" s="241"/>
      <c r="K960" s="241"/>
      <c r="L960" s="241"/>
      <c r="M960" s="241"/>
      <c r="N960" s="241"/>
      <c r="O960" s="241"/>
      <c r="P960" s="241"/>
      <c r="Q960" s="241"/>
      <c r="R960" s="241"/>
      <c r="S960" s="241"/>
      <c r="T960" s="241"/>
      <c r="U960" s="241"/>
      <c r="V960" s="241"/>
      <c r="W960" s="241"/>
      <c r="X960" s="241"/>
      <c r="Y960" s="241"/>
      <c r="Z960" s="241"/>
    </row>
    <row r="961" spans="1:26" ht="13.5" customHeight="1" x14ac:dyDescent="0.3">
      <c r="A961" s="241"/>
      <c r="B961" s="241"/>
      <c r="C961" s="241"/>
      <c r="D961" s="241"/>
      <c r="E961" s="241"/>
      <c r="F961" s="241"/>
      <c r="G961" s="241"/>
      <c r="H961" s="241"/>
      <c r="I961" s="241"/>
      <c r="J961" s="241"/>
      <c r="K961" s="241"/>
      <c r="L961" s="241"/>
      <c r="M961" s="241"/>
      <c r="N961" s="241"/>
      <c r="O961" s="241"/>
      <c r="P961" s="241"/>
      <c r="Q961" s="241"/>
      <c r="R961" s="241"/>
      <c r="S961" s="241"/>
      <c r="T961" s="241"/>
      <c r="U961" s="241"/>
      <c r="V961" s="241"/>
      <c r="W961" s="241"/>
      <c r="X961" s="241"/>
      <c r="Y961" s="241"/>
      <c r="Z961" s="241"/>
    </row>
    <row r="962" spans="1:26" ht="13.5" customHeight="1" x14ac:dyDescent="0.3">
      <c r="A962" s="241"/>
      <c r="B962" s="241"/>
      <c r="C962" s="241"/>
      <c r="D962" s="241"/>
      <c r="E962" s="241"/>
      <c r="F962" s="241"/>
      <c r="G962" s="241"/>
      <c r="H962" s="241"/>
      <c r="I962" s="241"/>
      <c r="J962" s="241"/>
      <c r="K962" s="241"/>
      <c r="L962" s="241"/>
      <c r="M962" s="241"/>
      <c r="N962" s="241"/>
      <c r="O962" s="241"/>
      <c r="P962" s="241"/>
      <c r="Q962" s="241"/>
      <c r="R962" s="241"/>
      <c r="S962" s="241"/>
      <c r="T962" s="241"/>
      <c r="U962" s="241"/>
      <c r="V962" s="241"/>
      <c r="W962" s="241"/>
      <c r="X962" s="241"/>
      <c r="Y962" s="241"/>
      <c r="Z962" s="241"/>
    </row>
    <row r="963" spans="1:26" ht="13.5" customHeight="1" x14ac:dyDescent="0.3">
      <c r="A963" s="241"/>
      <c r="B963" s="241"/>
      <c r="C963" s="241"/>
      <c r="D963" s="241"/>
      <c r="E963" s="241"/>
      <c r="F963" s="241"/>
      <c r="G963" s="241"/>
      <c r="H963" s="241"/>
      <c r="I963" s="241"/>
      <c r="J963" s="241"/>
      <c r="K963" s="241"/>
      <c r="L963" s="241"/>
      <c r="M963" s="241"/>
      <c r="N963" s="241"/>
      <c r="O963" s="241"/>
      <c r="P963" s="241"/>
      <c r="Q963" s="241"/>
      <c r="R963" s="241"/>
      <c r="S963" s="241"/>
      <c r="T963" s="241"/>
      <c r="U963" s="241"/>
      <c r="V963" s="241"/>
      <c r="W963" s="241"/>
      <c r="X963" s="241"/>
      <c r="Y963" s="241"/>
      <c r="Z963" s="241"/>
    </row>
    <row r="964" spans="1:26" ht="13.5" customHeight="1" x14ac:dyDescent="0.3">
      <c r="A964" s="241"/>
      <c r="B964" s="241"/>
      <c r="C964" s="241"/>
      <c r="D964" s="241"/>
      <c r="E964" s="241"/>
      <c r="F964" s="241"/>
      <c r="G964" s="241"/>
      <c r="H964" s="241"/>
      <c r="I964" s="241"/>
      <c r="J964" s="241"/>
      <c r="K964" s="241"/>
      <c r="L964" s="241"/>
      <c r="M964" s="241"/>
      <c r="N964" s="241"/>
      <c r="O964" s="241"/>
      <c r="P964" s="241"/>
      <c r="Q964" s="241"/>
      <c r="R964" s="241"/>
      <c r="S964" s="241"/>
      <c r="T964" s="241"/>
      <c r="U964" s="241"/>
      <c r="V964" s="241"/>
      <c r="W964" s="241"/>
      <c r="X964" s="241"/>
      <c r="Y964" s="241"/>
      <c r="Z964" s="241"/>
    </row>
    <row r="965" spans="1:26" ht="13.5" customHeight="1" x14ac:dyDescent="0.3">
      <c r="A965" s="241"/>
      <c r="B965" s="241"/>
      <c r="C965" s="241"/>
      <c r="D965" s="241"/>
      <c r="E965" s="241"/>
      <c r="F965" s="241"/>
      <c r="G965" s="241"/>
      <c r="H965" s="241"/>
      <c r="I965" s="241"/>
      <c r="J965" s="241"/>
      <c r="K965" s="241"/>
      <c r="L965" s="241"/>
      <c r="M965" s="241"/>
      <c r="N965" s="241"/>
      <c r="O965" s="241"/>
      <c r="P965" s="241"/>
      <c r="Q965" s="241"/>
      <c r="R965" s="241"/>
      <c r="S965" s="241"/>
      <c r="T965" s="241"/>
      <c r="U965" s="241"/>
      <c r="V965" s="241"/>
      <c r="W965" s="241"/>
      <c r="X965" s="241"/>
      <c r="Y965" s="241"/>
      <c r="Z965" s="241"/>
    </row>
    <row r="966" spans="1:26" ht="13.5" customHeight="1" x14ac:dyDescent="0.3">
      <c r="A966" s="241"/>
      <c r="B966" s="241"/>
      <c r="C966" s="241"/>
      <c r="D966" s="241"/>
      <c r="E966" s="241"/>
      <c r="F966" s="241"/>
      <c r="G966" s="241"/>
      <c r="H966" s="241"/>
      <c r="I966" s="241"/>
      <c r="J966" s="241"/>
      <c r="K966" s="241"/>
      <c r="L966" s="241"/>
      <c r="M966" s="241"/>
      <c r="N966" s="241"/>
      <c r="O966" s="241"/>
      <c r="P966" s="241"/>
      <c r="Q966" s="241"/>
      <c r="R966" s="241"/>
      <c r="S966" s="241"/>
      <c r="T966" s="241"/>
      <c r="U966" s="241"/>
      <c r="V966" s="241"/>
      <c r="W966" s="241"/>
      <c r="X966" s="241"/>
      <c r="Y966" s="241"/>
      <c r="Z966" s="241"/>
    </row>
    <row r="967" spans="1:26" ht="13.5" customHeight="1" x14ac:dyDescent="0.3">
      <c r="A967" s="241"/>
      <c r="B967" s="241"/>
      <c r="C967" s="241"/>
      <c r="D967" s="241"/>
      <c r="E967" s="241"/>
      <c r="F967" s="241"/>
      <c r="G967" s="241"/>
      <c r="H967" s="241"/>
      <c r="I967" s="241"/>
      <c r="J967" s="241"/>
      <c r="K967" s="241"/>
      <c r="L967" s="241"/>
      <c r="M967" s="241"/>
      <c r="N967" s="241"/>
      <c r="O967" s="241"/>
      <c r="P967" s="241"/>
      <c r="Q967" s="241"/>
      <c r="R967" s="241"/>
      <c r="S967" s="241"/>
      <c r="T967" s="241"/>
      <c r="U967" s="241"/>
      <c r="V967" s="241"/>
      <c r="W967" s="241"/>
      <c r="X967" s="241"/>
      <c r="Y967" s="241"/>
      <c r="Z967" s="241"/>
    </row>
    <row r="968" spans="1:26" ht="13.5" customHeight="1" x14ac:dyDescent="0.3">
      <c r="A968" s="241"/>
      <c r="B968" s="241"/>
      <c r="C968" s="241"/>
      <c r="D968" s="241"/>
      <c r="E968" s="241"/>
      <c r="F968" s="241"/>
      <c r="G968" s="241"/>
      <c r="H968" s="241"/>
      <c r="I968" s="241"/>
      <c r="J968" s="241"/>
      <c r="K968" s="241"/>
      <c r="L968" s="241"/>
      <c r="M968" s="241"/>
      <c r="N968" s="241"/>
      <c r="O968" s="241"/>
      <c r="P968" s="241"/>
      <c r="Q968" s="241"/>
      <c r="R968" s="241"/>
      <c r="S968" s="241"/>
      <c r="T968" s="241"/>
      <c r="U968" s="241"/>
      <c r="V968" s="241"/>
      <c r="W968" s="241"/>
      <c r="X968" s="241"/>
      <c r="Y968" s="241"/>
      <c r="Z968" s="241"/>
    </row>
    <row r="969" spans="1:26" ht="13.5" customHeight="1" x14ac:dyDescent="0.3">
      <c r="A969" s="241"/>
      <c r="B969" s="241"/>
      <c r="C969" s="241"/>
      <c r="D969" s="241"/>
      <c r="E969" s="241"/>
      <c r="F969" s="241"/>
      <c r="G969" s="241"/>
      <c r="H969" s="241"/>
      <c r="I969" s="241"/>
      <c r="J969" s="241"/>
      <c r="K969" s="241"/>
      <c r="L969" s="241"/>
      <c r="M969" s="241"/>
      <c r="N969" s="241"/>
      <c r="O969" s="241"/>
      <c r="P969" s="241"/>
      <c r="Q969" s="241"/>
      <c r="R969" s="241"/>
      <c r="S969" s="241"/>
      <c r="T969" s="241"/>
      <c r="U969" s="241"/>
      <c r="V969" s="241"/>
      <c r="W969" s="241"/>
      <c r="X969" s="241"/>
      <c r="Y969" s="241"/>
      <c r="Z969" s="241"/>
    </row>
    <row r="970" spans="1:26" ht="13.5" customHeight="1" x14ac:dyDescent="0.3">
      <c r="A970" s="241"/>
      <c r="B970" s="241"/>
      <c r="C970" s="241"/>
      <c r="D970" s="241"/>
      <c r="E970" s="241"/>
      <c r="F970" s="241"/>
      <c r="G970" s="241"/>
      <c r="H970" s="241"/>
      <c r="I970" s="241"/>
      <c r="J970" s="241"/>
      <c r="K970" s="241"/>
      <c r="L970" s="241"/>
      <c r="M970" s="241"/>
      <c r="N970" s="241"/>
      <c r="O970" s="241"/>
      <c r="P970" s="241"/>
      <c r="Q970" s="241"/>
      <c r="R970" s="241"/>
      <c r="S970" s="241"/>
      <c r="T970" s="241"/>
      <c r="U970" s="241"/>
      <c r="V970" s="241"/>
      <c r="W970" s="241"/>
      <c r="X970" s="241"/>
      <c r="Y970" s="241"/>
      <c r="Z970" s="241"/>
    </row>
    <row r="971" spans="1:26" ht="13.5" customHeight="1" x14ac:dyDescent="0.3">
      <c r="A971" s="241"/>
      <c r="B971" s="241"/>
      <c r="C971" s="241"/>
      <c r="D971" s="241"/>
      <c r="E971" s="241"/>
      <c r="F971" s="241"/>
      <c r="G971" s="241"/>
      <c r="H971" s="241"/>
      <c r="I971" s="241"/>
      <c r="J971" s="241"/>
      <c r="K971" s="241"/>
      <c r="L971" s="241"/>
      <c r="M971" s="241"/>
      <c r="N971" s="241"/>
      <c r="O971" s="241"/>
      <c r="P971" s="241"/>
      <c r="Q971" s="241"/>
      <c r="R971" s="241"/>
      <c r="S971" s="241"/>
      <c r="T971" s="241"/>
      <c r="U971" s="241"/>
      <c r="V971" s="241"/>
      <c r="W971" s="241"/>
      <c r="X971" s="241"/>
      <c r="Y971" s="241"/>
      <c r="Z971" s="241"/>
    </row>
    <row r="972" spans="1:26" ht="13.5" customHeight="1" x14ac:dyDescent="0.3">
      <c r="A972" s="241"/>
      <c r="B972" s="241"/>
      <c r="C972" s="241"/>
      <c r="D972" s="241"/>
      <c r="E972" s="241"/>
      <c r="F972" s="241"/>
      <c r="G972" s="241"/>
      <c r="H972" s="241"/>
      <c r="I972" s="241"/>
      <c r="J972" s="241"/>
      <c r="K972" s="241"/>
      <c r="L972" s="241"/>
      <c r="M972" s="241"/>
      <c r="N972" s="241"/>
      <c r="O972" s="241"/>
      <c r="P972" s="241"/>
      <c r="Q972" s="241"/>
      <c r="R972" s="241"/>
      <c r="S972" s="241"/>
      <c r="T972" s="241"/>
      <c r="U972" s="241"/>
      <c r="V972" s="241"/>
      <c r="W972" s="241"/>
      <c r="X972" s="241"/>
      <c r="Y972" s="241"/>
      <c r="Z972" s="241"/>
    </row>
    <row r="973" spans="1:26" ht="13.5" customHeight="1" x14ac:dyDescent="0.3">
      <c r="A973" s="241"/>
      <c r="B973" s="241"/>
      <c r="C973" s="241"/>
      <c r="D973" s="241"/>
      <c r="E973" s="241"/>
      <c r="F973" s="241"/>
      <c r="G973" s="241"/>
      <c r="H973" s="241"/>
      <c r="I973" s="241"/>
      <c r="J973" s="241"/>
      <c r="K973" s="241"/>
      <c r="L973" s="241"/>
      <c r="M973" s="241"/>
      <c r="N973" s="241"/>
      <c r="O973" s="241"/>
      <c r="P973" s="241"/>
      <c r="Q973" s="241"/>
      <c r="R973" s="241"/>
      <c r="S973" s="241"/>
      <c r="T973" s="241"/>
      <c r="U973" s="241"/>
      <c r="V973" s="241"/>
      <c r="W973" s="241"/>
      <c r="X973" s="241"/>
      <c r="Y973" s="241"/>
      <c r="Z973" s="241"/>
    </row>
    <row r="974" spans="1:26" ht="13.5" customHeight="1" x14ac:dyDescent="0.3">
      <c r="A974" s="241"/>
      <c r="B974" s="241"/>
      <c r="C974" s="241"/>
      <c r="D974" s="241"/>
      <c r="E974" s="241"/>
      <c r="F974" s="241"/>
      <c r="G974" s="241"/>
      <c r="H974" s="241"/>
      <c r="I974" s="241"/>
      <c r="J974" s="241"/>
      <c r="K974" s="241"/>
      <c r="L974" s="241"/>
      <c r="M974" s="241"/>
      <c r="N974" s="241"/>
      <c r="O974" s="241"/>
      <c r="P974" s="241"/>
      <c r="Q974" s="241"/>
      <c r="R974" s="241"/>
      <c r="S974" s="241"/>
      <c r="T974" s="241"/>
      <c r="U974" s="241"/>
      <c r="V974" s="241"/>
      <c r="W974" s="241"/>
      <c r="X974" s="241"/>
      <c r="Y974" s="241"/>
      <c r="Z974" s="241"/>
    </row>
    <row r="975" spans="1:26" ht="13.5" customHeight="1" x14ac:dyDescent="0.3">
      <c r="A975" s="241"/>
      <c r="B975" s="241"/>
      <c r="C975" s="241"/>
      <c r="D975" s="241"/>
      <c r="E975" s="241"/>
      <c r="F975" s="241"/>
      <c r="G975" s="241"/>
      <c r="H975" s="241"/>
      <c r="I975" s="241"/>
      <c r="J975" s="241"/>
      <c r="K975" s="241"/>
      <c r="L975" s="241"/>
      <c r="M975" s="241"/>
      <c r="N975" s="241"/>
      <c r="O975" s="241"/>
      <c r="P975" s="241"/>
      <c r="Q975" s="241"/>
      <c r="R975" s="241"/>
      <c r="S975" s="241"/>
      <c r="T975" s="241"/>
      <c r="U975" s="241"/>
      <c r="V975" s="241"/>
      <c r="W975" s="241"/>
      <c r="X975" s="241"/>
      <c r="Y975" s="241"/>
      <c r="Z975" s="241"/>
    </row>
    <row r="976" spans="1:26" ht="13.5" customHeight="1" x14ac:dyDescent="0.3">
      <c r="A976" s="241"/>
      <c r="B976" s="241"/>
      <c r="C976" s="241"/>
      <c r="D976" s="241"/>
      <c r="E976" s="241"/>
      <c r="F976" s="241"/>
      <c r="G976" s="241"/>
      <c r="H976" s="241"/>
      <c r="I976" s="241"/>
      <c r="J976" s="241"/>
      <c r="K976" s="241"/>
      <c r="L976" s="241"/>
      <c r="M976" s="241"/>
      <c r="N976" s="241"/>
      <c r="O976" s="241"/>
      <c r="P976" s="241"/>
      <c r="Q976" s="241"/>
      <c r="R976" s="241"/>
      <c r="S976" s="241"/>
      <c r="T976" s="241"/>
      <c r="U976" s="241"/>
      <c r="V976" s="241"/>
      <c r="W976" s="241"/>
      <c r="X976" s="241"/>
      <c r="Y976" s="241"/>
      <c r="Z976" s="241"/>
    </row>
    <row r="977" spans="1:26" ht="13.5" customHeight="1" x14ac:dyDescent="0.3">
      <c r="A977" s="241"/>
      <c r="B977" s="241"/>
      <c r="C977" s="241"/>
      <c r="D977" s="241"/>
      <c r="E977" s="241"/>
      <c r="F977" s="241"/>
      <c r="G977" s="241"/>
      <c r="H977" s="241"/>
      <c r="I977" s="241"/>
      <c r="J977" s="241"/>
      <c r="K977" s="241"/>
      <c r="L977" s="241"/>
      <c r="M977" s="241"/>
      <c r="N977" s="241"/>
      <c r="O977" s="241"/>
      <c r="P977" s="241"/>
      <c r="Q977" s="241"/>
      <c r="R977" s="241"/>
      <c r="S977" s="241"/>
      <c r="T977" s="241"/>
      <c r="U977" s="241"/>
      <c r="V977" s="241"/>
      <c r="W977" s="241"/>
      <c r="X977" s="241"/>
      <c r="Y977" s="241"/>
      <c r="Z977" s="241"/>
    </row>
    <row r="978" spans="1:26" ht="13.5" customHeight="1" x14ac:dyDescent="0.3">
      <c r="A978" s="241"/>
      <c r="B978" s="241"/>
      <c r="C978" s="241"/>
      <c r="D978" s="241"/>
      <c r="E978" s="241"/>
      <c r="F978" s="241"/>
      <c r="G978" s="241"/>
      <c r="H978" s="241"/>
      <c r="I978" s="241"/>
      <c r="J978" s="241"/>
      <c r="K978" s="241"/>
      <c r="L978" s="241"/>
      <c r="M978" s="241"/>
      <c r="N978" s="241"/>
      <c r="O978" s="241"/>
      <c r="P978" s="241"/>
      <c r="Q978" s="241"/>
      <c r="R978" s="241"/>
      <c r="S978" s="241"/>
      <c r="T978" s="241"/>
      <c r="U978" s="241"/>
      <c r="V978" s="241"/>
      <c r="W978" s="241"/>
      <c r="X978" s="241"/>
      <c r="Y978" s="241"/>
      <c r="Z978" s="241"/>
    </row>
    <row r="979" spans="1:26" ht="13.5" customHeight="1" x14ac:dyDescent="0.3">
      <c r="A979" s="241"/>
      <c r="B979" s="241"/>
      <c r="C979" s="241"/>
      <c r="D979" s="241"/>
      <c r="E979" s="241"/>
      <c r="F979" s="241"/>
      <c r="G979" s="241"/>
      <c r="H979" s="241"/>
      <c r="I979" s="241"/>
      <c r="J979" s="241"/>
      <c r="K979" s="241"/>
      <c r="L979" s="241"/>
      <c r="M979" s="241"/>
      <c r="N979" s="241"/>
      <c r="O979" s="241"/>
      <c r="P979" s="241"/>
      <c r="Q979" s="241"/>
      <c r="R979" s="241"/>
      <c r="S979" s="241"/>
      <c r="T979" s="241"/>
      <c r="U979" s="241"/>
      <c r="V979" s="241"/>
      <c r="W979" s="241"/>
      <c r="X979" s="241"/>
      <c r="Y979" s="241"/>
      <c r="Z979" s="241"/>
    </row>
    <row r="980" spans="1:26" ht="13.5" customHeight="1" x14ac:dyDescent="0.3">
      <c r="A980" s="241"/>
      <c r="B980" s="241"/>
      <c r="C980" s="241"/>
      <c r="D980" s="241"/>
      <c r="E980" s="241"/>
      <c r="F980" s="241"/>
      <c r="G980" s="241"/>
      <c r="H980" s="241"/>
      <c r="I980" s="241"/>
      <c r="J980" s="241"/>
      <c r="K980" s="241"/>
      <c r="L980" s="241"/>
      <c r="M980" s="241"/>
      <c r="N980" s="241"/>
      <c r="O980" s="241"/>
      <c r="P980" s="241"/>
      <c r="Q980" s="241"/>
      <c r="R980" s="241"/>
      <c r="S980" s="241"/>
      <c r="T980" s="241"/>
      <c r="U980" s="241"/>
      <c r="V980" s="241"/>
      <c r="W980" s="241"/>
      <c r="X980" s="241"/>
      <c r="Y980" s="241"/>
      <c r="Z980" s="241"/>
    </row>
    <row r="981" spans="1:26" ht="13.5" customHeight="1" x14ac:dyDescent="0.3">
      <c r="A981" s="241"/>
      <c r="B981" s="241"/>
      <c r="C981" s="241"/>
      <c r="D981" s="241"/>
      <c r="E981" s="241"/>
      <c r="F981" s="241"/>
      <c r="G981" s="241"/>
      <c r="H981" s="241"/>
      <c r="I981" s="241"/>
      <c r="J981" s="241"/>
      <c r="K981" s="241"/>
      <c r="L981" s="241"/>
      <c r="M981" s="241"/>
      <c r="N981" s="241"/>
      <c r="O981" s="241"/>
      <c r="P981" s="241"/>
      <c r="Q981" s="241"/>
      <c r="R981" s="241"/>
      <c r="S981" s="241"/>
      <c r="T981" s="241"/>
      <c r="U981" s="241"/>
      <c r="V981" s="241"/>
      <c r="W981" s="241"/>
      <c r="X981" s="241"/>
      <c r="Y981" s="241"/>
      <c r="Z981" s="241"/>
    </row>
    <row r="982" spans="1:26" ht="13.5" customHeight="1" x14ac:dyDescent="0.3">
      <c r="A982" s="241"/>
      <c r="B982" s="241"/>
      <c r="C982" s="241"/>
      <c r="D982" s="241"/>
      <c r="E982" s="241"/>
      <c r="F982" s="241"/>
      <c r="G982" s="241"/>
      <c r="H982" s="241"/>
      <c r="I982" s="241"/>
      <c r="J982" s="241"/>
      <c r="K982" s="241"/>
      <c r="L982" s="241"/>
      <c r="M982" s="241"/>
      <c r="N982" s="241"/>
      <c r="O982" s="241"/>
      <c r="P982" s="241"/>
      <c r="Q982" s="241"/>
      <c r="R982" s="241"/>
      <c r="S982" s="241"/>
      <c r="T982" s="241"/>
      <c r="U982" s="241"/>
      <c r="V982" s="241"/>
      <c r="W982" s="241"/>
      <c r="X982" s="241"/>
      <c r="Y982" s="241"/>
      <c r="Z982" s="241"/>
    </row>
    <row r="983" spans="1:26" ht="13.5" customHeight="1" x14ac:dyDescent="0.3">
      <c r="A983" s="241"/>
      <c r="B983" s="241"/>
      <c r="C983" s="241"/>
      <c r="D983" s="241"/>
      <c r="E983" s="241"/>
      <c r="F983" s="241"/>
      <c r="G983" s="241"/>
      <c r="H983" s="241"/>
      <c r="I983" s="241"/>
      <c r="J983" s="241"/>
      <c r="K983" s="241"/>
      <c r="L983" s="241"/>
      <c r="M983" s="241"/>
      <c r="N983" s="241"/>
      <c r="O983" s="241"/>
      <c r="P983" s="241"/>
      <c r="Q983" s="241"/>
      <c r="R983" s="241"/>
      <c r="S983" s="241"/>
      <c r="T983" s="241"/>
      <c r="U983" s="241"/>
      <c r="V983" s="241"/>
      <c r="W983" s="241"/>
      <c r="X983" s="241"/>
      <c r="Y983" s="241"/>
      <c r="Z983" s="241"/>
    </row>
    <row r="984" spans="1:26" ht="13.5" customHeight="1" x14ac:dyDescent="0.3">
      <c r="A984" s="241"/>
      <c r="B984" s="241"/>
      <c r="C984" s="241"/>
      <c r="D984" s="241"/>
      <c r="E984" s="241"/>
      <c r="F984" s="241"/>
      <c r="G984" s="241"/>
      <c r="H984" s="241"/>
      <c r="I984" s="241"/>
      <c r="J984" s="241"/>
      <c r="K984" s="241"/>
      <c r="L984" s="241"/>
      <c r="M984" s="241"/>
      <c r="N984" s="241"/>
      <c r="O984" s="241"/>
      <c r="P984" s="241"/>
      <c r="Q984" s="241"/>
      <c r="R984" s="241"/>
      <c r="S984" s="241"/>
      <c r="T984" s="241"/>
      <c r="U984" s="241"/>
      <c r="V984" s="241"/>
      <c r="W984" s="241"/>
      <c r="X984" s="241"/>
      <c r="Y984" s="241"/>
      <c r="Z984" s="241"/>
    </row>
    <row r="985" spans="1:26" ht="13.5" customHeight="1" x14ac:dyDescent="0.3">
      <c r="A985" s="241"/>
      <c r="B985" s="241"/>
      <c r="C985" s="241"/>
      <c r="D985" s="241"/>
      <c r="E985" s="241"/>
      <c r="F985" s="241"/>
      <c r="G985" s="241"/>
      <c r="H985" s="241"/>
      <c r="I985" s="241"/>
      <c r="J985" s="241"/>
      <c r="K985" s="241"/>
      <c r="L985" s="241"/>
      <c r="M985" s="241"/>
      <c r="N985" s="241"/>
      <c r="O985" s="241"/>
      <c r="P985" s="241"/>
      <c r="Q985" s="241"/>
      <c r="R985" s="241"/>
      <c r="S985" s="241"/>
      <c r="T985" s="241"/>
      <c r="U985" s="241"/>
      <c r="V985" s="241"/>
      <c r="W985" s="241"/>
      <c r="X985" s="241"/>
      <c r="Y985" s="241"/>
      <c r="Z985" s="241"/>
    </row>
    <row r="986" spans="1:26" ht="13.5" customHeight="1" x14ac:dyDescent="0.3">
      <c r="A986" s="241"/>
      <c r="B986" s="241"/>
      <c r="C986" s="241"/>
      <c r="D986" s="241"/>
      <c r="E986" s="241"/>
      <c r="F986" s="241"/>
      <c r="G986" s="241"/>
      <c r="H986" s="241"/>
      <c r="I986" s="241"/>
      <c r="J986" s="241"/>
      <c r="K986" s="241"/>
      <c r="L986" s="241"/>
      <c r="M986" s="241"/>
      <c r="N986" s="241"/>
      <c r="O986" s="241"/>
      <c r="P986" s="241"/>
      <c r="Q986" s="241"/>
      <c r="R986" s="241"/>
      <c r="S986" s="241"/>
      <c r="T986" s="241"/>
      <c r="U986" s="241"/>
      <c r="V986" s="241"/>
      <c r="W986" s="241"/>
      <c r="X986" s="241"/>
      <c r="Y986" s="241"/>
      <c r="Z986" s="241"/>
    </row>
    <row r="987" spans="1:26" ht="13.5" customHeight="1" x14ac:dyDescent="0.3">
      <c r="A987" s="241"/>
      <c r="B987" s="241"/>
      <c r="C987" s="241"/>
      <c r="D987" s="241"/>
      <c r="E987" s="241"/>
      <c r="F987" s="241"/>
      <c r="G987" s="241"/>
      <c r="H987" s="241"/>
      <c r="I987" s="241"/>
      <c r="J987" s="241"/>
      <c r="K987" s="241"/>
      <c r="L987" s="241"/>
      <c r="M987" s="241"/>
      <c r="N987" s="241"/>
      <c r="O987" s="241"/>
      <c r="P987" s="241"/>
      <c r="Q987" s="241"/>
      <c r="R987" s="241"/>
      <c r="S987" s="241"/>
      <c r="T987" s="241"/>
      <c r="U987" s="241"/>
      <c r="V987" s="241"/>
      <c r="W987" s="241"/>
      <c r="X987" s="241"/>
      <c r="Y987" s="241"/>
      <c r="Z987" s="241"/>
    </row>
    <row r="988" spans="1:26" ht="13.5" customHeight="1" x14ac:dyDescent="0.3">
      <c r="A988" s="241"/>
      <c r="B988" s="241"/>
      <c r="C988" s="241"/>
      <c r="D988" s="241"/>
      <c r="E988" s="241"/>
      <c r="F988" s="241"/>
      <c r="G988" s="241"/>
      <c r="H988" s="241"/>
      <c r="I988" s="241"/>
      <c r="J988" s="241"/>
      <c r="K988" s="241"/>
      <c r="L988" s="241"/>
      <c r="M988" s="241"/>
      <c r="N988" s="241"/>
      <c r="O988" s="241"/>
      <c r="P988" s="241"/>
      <c r="Q988" s="241"/>
      <c r="R988" s="241"/>
      <c r="S988" s="241"/>
      <c r="T988" s="241"/>
      <c r="U988" s="241"/>
      <c r="V988" s="241"/>
      <c r="W988" s="241"/>
      <c r="X988" s="241"/>
      <c r="Y988" s="241"/>
      <c r="Z988" s="241"/>
    </row>
    <row r="989" spans="1:26" ht="13.5" customHeight="1" x14ac:dyDescent="0.3">
      <c r="A989" s="241"/>
      <c r="B989" s="241"/>
      <c r="C989" s="241"/>
      <c r="D989" s="241"/>
      <c r="E989" s="241"/>
      <c r="F989" s="241"/>
      <c r="G989" s="241"/>
      <c r="H989" s="241"/>
      <c r="I989" s="241"/>
      <c r="J989" s="241"/>
      <c r="K989" s="241"/>
      <c r="L989" s="241"/>
      <c r="M989" s="241"/>
      <c r="N989" s="241"/>
      <c r="O989" s="241"/>
      <c r="P989" s="241"/>
      <c r="Q989" s="241"/>
      <c r="R989" s="241"/>
      <c r="S989" s="241"/>
      <c r="T989" s="241"/>
      <c r="U989" s="241"/>
      <c r="V989" s="241"/>
      <c r="W989" s="241"/>
      <c r="X989" s="241"/>
      <c r="Y989" s="241"/>
      <c r="Z989" s="241"/>
    </row>
    <row r="990" spans="1:26" ht="13.5" customHeight="1" x14ac:dyDescent="0.3">
      <c r="A990" s="241"/>
      <c r="B990" s="241"/>
      <c r="C990" s="241"/>
      <c r="D990" s="241"/>
      <c r="E990" s="241"/>
      <c r="F990" s="241"/>
      <c r="G990" s="241"/>
      <c r="H990" s="241"/>
      <c r="I990" s="241"/>
      <c r="J990" s="241"/>
      <c r="K990" s="241"/>
      <c r="L990" s="241"/>
      <c r="M990" s="241"/>
      <c r="N990" s="241"/>
      <c r="O990" s="241"/>
      <c r="P990" s="241"/>
      <c r="Q990" s="241"/>
      <c r="R990" s="241"/>
      <c r="S990" s="241"/>
      <c r="T990" s="241"/>
      <c r="U990" s="241"/>
      <c r="V990" s="241"/>
      <c r="W990" s="241"/>
      <c r="X990" s="241"/>
      <c r="Y990" s="241"/>
      <c r="Z990" s="241"/>
    </row>
    <row r="991" spans="1:26" ht="13.5" customHeight="1" x14ac:dyDescent="0.3">
      <c r="A991" s="241"/>
      <c r="B991" s="241"/>
      <c r="C991" s="241"/>
      <c r="D991" s="241"/>
      <c r="E991" s="241"/>
      <c r="F991" s="241"/>
      <c r="G991" s="241"/>
      <c r="H991" s="241"/>
      <c r="I991" s="241"/>
      <c r="J991" s="241"/>
      <c r="K991" s="241"/>
      <c r="L991" s="241"/>
      <c r="M991" s="241"/>
      <c r="N991" s="241"/>
      <c r="O991" s="241"/>
      <c r="P991" s="241"/>
      <c r="Q991" s="241"/>
      <c r="R991" s="241"/>
      <c r="S991" s="241"/>
      <c r="T991" s="241"/>
      <c r="U991" s="241"/>
      <c r="V991" s="241"/>
      <c r="W991" s="241"/>
      <c r="X991" s="241"/>
      <c r="Y991" s="241"/>
      <c r="Z991" s="241"/>
    </row>
    <row r="992" spans="1:26" ht="13.5" customHeight="1" x14ac:dyDescent="0.3">
      <c r="A992" s="241"/>
      <c r="B992" s="241"/>
      <c r="C992" s="241"/>
      <c r="D992" s="241"/>
      <c r="E992" s="241"/>
      <c r="F992" s="241"/>
      <c r="G992" s="241"/>
      <c r="H992" s="241"/>
      <c r="I992" s="241"/>
      <c r="J992" s="241"/>
      <c r="K992" s="241"/>
      <c r="L992" s="241"/>
      <c r="M992" s="241"/>
      <c r="N992" s="241"/>
      <c r="O992" s="241"/>
      <c r="P992" s="241"/>
      <c r="Q992" s="241"/>
      <c r="R992" s="241"/>
      <c r="S992" s="241"/>
      <c r="T992" s="241"/>
      <c r="U992" s="241"/>
      <c r="V992" s="241"/>
      <c r="W992" s="241"/>
      <c r="X992" s="241"/>
      <c r="Y992" s="241"/>
      <c r="Z992" s="241"/>
    </row>
    <row r="993" spans="1:26" ht="13.5" customHeight="1" x14ac:dyDescent="0.3">
      <c r="A993" s="241"/>
      <c r="B993" s="241"/>
      <c r="C993" s="241"/>
      <c r="D993" s="241"/>
      <c r="E993" s="241"/>
      <c r="F993" s="241"/>
      <c r="G993" s="241"/>
      <c r="H993" s="241"/>
      <c r="I993" s="241"/>
      <c r="J993" s="241"/>
      <c r="K993" s="241"/>
      <c r="L993" s="241"/>
      <c r="M993" s="241"/>
      <c r="N993" s="241"/>
      <c r="O993" s="241"/>
      <c r="P993" s="241"/>
      <c r="Q993" s="241"/>
      <c r="R993" s="241"/>
      <c r="S993" s="241"/>
      <c r="T993" s="241"/>
      <c r="U993" s="241"/>
      <c r="V993" s="241"/>
      <c r="W993" s="241"/>
      <c r="X993" s="241"/>
      <c r="Y993" s="241"/>
      <c r="Z993" s="241"/>
    </row>
    <row r="994" spans="1:26" ht="13.5" customHeight="1" x14ac:dyDescent="0.3">
      <c r="A994" s="241"/>
      <c r="B994" s="241"/>
      <c r="C994" s="241"/>
      <c r="D994" s="241"/>
      <c r="E994" s="241"/>
      <c r="F994" s="241"/>
      <c r="G994" s="241"/>
      <c r="H994" s="241"/>
      <c r="I994" s="241"/>
      <c r="J994" s="241"/>
      <c r="K994" s="241"/>
      <c r="L994" s="241"/>
      <c r="M994" s="241"/>
      <c r="N994" s="241"/>
      <c r="O994" s="241"/>
      <c r="P994" s="241"/>
      <c r="Q994" s="241"/>
      <c r="R994" s="241"/>
      <c r="S994" s="241"/>
      <c r="T994" s="241"/>
      <c r="U994" s="241"/>
      <c r="V994" s="241"/>
      <c r="W994" s="241"/>
      <c r="X994" s="241"/>
      <c r="Y994" s="241"/>
      <c r="Z994" s="241"/>
    </row>
    <row r="995" spans="1:26" ht="13.5" customHeight="1" x14ac:dyDescent="0.3">
      <c r="A995" s="241"/>
      <c r="B995" s="241"/>
      <c r="C995" s="241"/>
      <c r="D995" s="241"/>
      <c r="E995" s="241"/>
      <c r="F995" s="241"/>
      <c r="G995" s="241"/>
      <c r="H995" s="241"/>
      <c r="I995" s="241"/>
      <c r="J995" s="241"/>
      <c r="K995" s="241"/>
      <c r="L995" s="241"/>
      <c r="M995" s="241"/>
      <c r="N995" s="241"/>
      <c r="O995" s="241"/>
      <c r="P995" s="241"/>
      <c r="Q995" s="241"/>
      <c r="R995" s="241"/>
      <c r="S995" s="241"/>
      <c r="T995" s="241"/>
      <c r="U995" s="241"/>
      <c r="V995" s="241"/>
      <c r="W995" s="241"/>
      <c r="X995" s="241"/>
      <c r="Y995" s="241"/>
      <c r="Z995" s="241"/>
    </row>
    <row r="996" spans="1:26" ht="13.5" customHeight="1" x14ac:dyDescent="0.3">
      <c r="A996" s="241"/>
      <c r="B996" s="241"/>
      <c r="C996" s="241"/>
      <c r="D996" s="241"/>
      <c r="E996" s="241"/>
      <c r="F996" s="241"/>
      <c r="G996" s="241"/>
      <c r="H996" s="241"/>
      <c r="I996" s="241"/>
      <c r="J996" s="241"/>
      <c r="K996" s="241"/>
      <c r="L996" s="241"/>
      <c r="M996" s="241"/>
      <c r="N996" s="241"/>
      <c r="O996" s="241"/>
      <c r="P996" s="241"/>
      <c r="Q996" s="241"/>
      <c r="R996" s="241"/>
      <c r="S996" s="241"/>
      <c r="T996" s="241"/>
      <c r="U996" s="241"/>
      <c r="V996" s="241"/>
      <c r="W996" s="241"/>
      <c r="X996" s="241"/>
      <c r="Y996" s="241"/>
      <c r="Z996" s="241"/>
    </row>
    <row r="997" spans="1:26" ht="13.5" customHeight="1" x14ac:dyDescent="0.3">
      <c r="A997" s="241"/>
      <c r="B997" s="241"/>
      <c r="C997" s="241"/>
      <c r="D997" s="241"/>
      <c r="E997" s="241"/>
      <c r="F997" s="241"/>
      <c r="G997" s="241"/>
      <c r="H997" s="241"/>
      <c r="I997" s="241"/>
      <c r="J997" s="241"/>
      <c r="K997" s="241"/>
      <c r="L997" s="241"/>
      <c r="M997" s="241"/>
      <c r="N997" s="241"/>
      <c r="O997" s="241"/>
      <c r="P997" s="241"/>
      <c r="Q997" s="241"/>
      <c r="R997" s="241"/>
      <c r="S997" s="241"/>
      <c r="T997" s="241"/>
      <c r="U997" s="241"/>
      <c r="V997" s="241"/>
      <c r="W997" s="241"/>
      <c r="X997" s="241"/>
      <c r="Y997" s="241"/>
      <c r="Z997" s="241"/>
    </row>
    <row r="998" spans="1:26" ht="13.5" customHeight="1" x14ac:dyDescent="0.3">
      <c r="A998" s="241"/>
      <c r="B998" s="241"/>
      <c r="C998" s="241"/>
      <c r="D998" s="241"/>
      <c r="E998" s="241"/>
      <c r="F998" s="241"/>
      <c r="G998" s="241"/>
      <c r="H998" s="241"/>
      <c r="I998" s="241"/>
      <c r="J998" s="241"/>
      <c r="K998" s="241"/>
      <c r="L998" s="241"/>
      <c r="M998" s="241"/>
      <c r="N998" s="241"/>
      <c r="O998" s="241"/>
      <c r="P998" s="241"/>
      <c r="Q998" s="241"/>
      <c r="R998" s="241"/>
      <c r="S998" s="241"/>
      <c r="T998" s="241"/>
      <c r="U998" s="241"/>
      <c r="V998" s="241"/>
      <c r="W998" s="241"/>
      <c r="X998" s="241"/>
      <c r="Y998" s="241"/>
      <c r="Z998" s="241"/>
    </row>
    <row r="999" spans="1:26" ht="13.5" customHeight="1" x14ac:dyDescent="0.3">
      <c r="A999" s="241"/>
      <c r="B999" s="241"/>
      <c r="C999" s="241"/>
      <c r="D999" s="241"/>
      <c r="E999" s="241"/>
      <c r="F999" s="241"/>
      <c r="G999" s="241"/>
      <c r="H999" s="241"/>
      <c r="I999" s="241"/>
      <c r="J999" s="241"/>
      <c r="K999" s="241"/>
      <c r="L999" s="241"/>
      <c r="M999" s="241"/>
      <c r="N999" s="241"/>
      <c r="O999" s="241"/>
      <c r="P999" s="241"/>
      <c r="Q999" s="241"/>
      <c r="R999" s="241"/>
      <c r="S999" s="241"/>
      <c r="T999" s="241"/>
      <c r="U999" s="241"/>
      <c r="V999" s="241"/>
      <c r="W999" s="241"/>
      <c r="X999" s="241"/>
      <c r="Y999" s="241"/>
      <c r="Z999" s="241"/>
    </row>
    <row r="1000" spans="1:26" ht="13.5" customHeight="1" x14ac:dyDescent="0.3">
      <c r="A1000" s="241"/>
      <c r="B1000" s="241"/>
      <c r="C1000" s="241"/>
      <c r="D1000" s="241"/>
      <c r="E1000" s="241"/>
      <c r="F1000" s="241"/>
      <c r="G1000" s="241"/>
      <c r="H1000" s="241"/>
      <c r="I1000" s="241"/>
      <c r="J1000" s="241"/>
      <c r="K1000" s="241"/>
      <c r="L1000" s="241"/>
      <c r="M1000" s="241"/>
      <c r="N1000" s="241"/>
      <c r="O1000" s="241"/>
      <c r="P1000" s="241"/>
      <c r="Q1000" s="241"/>
      <c r="R1000" s="241"/>
      <c r="S1000" s="241"/>
      <c r="T1000" s="241"/>
      <c r="U1000" s="241"/>
      <c r="V1000" s="241"/>
      <c r="W1000" s="241"/>
      <c r="X1000" s="241"/>
      <c r="Y1000" s="241"/>
      <c r="Z1000" s="241"/>
    </row>
  </sheetData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95882-A6FB-416B-B78A-763D45B3B8F5}">
  <sheetPr>
    <tabColor rgb="FF8FD7DC"/>
  </sheetPr>
  <dimension ref="A1:Z983"/>
  <sheetViews>
    <sheetView workbookViewId="0">
      <selection activeCell="A8" sqref="A8"/>
    </sheetView>
  </sheetViews>
  <sheetFormatPr defaultColWidth="12.6328125" defaultRowHeight="15" customHeight="1" x14ac:dyDescent="0.25"/>
  <cols>
    <col min="1" max="1" width="19.6328125" style="295" customWidth="1"/>
    <col min="2" max="2" width="13.08984375" style="295" customWidth="1"/>
    <col min="3" max="3" width="14" style="295" customWidth="1"/>
    <col min="4" max="4" width="11.36328125" style="295" customWidth="1"/>
    <col min="5" max="5" width="39.453125" style="295" customWidth="1"/>
    <col min="6" max="6" width="13.6328125" style="295" customWidth="1"/>
    <col min="7" max="7" width="14.90625" style="295" customWidth="1"/>
    <col min="8" max="8" width="13.90625" style="295" customWidth="1"/>
    <col min="9" max="9" width="14.90625" style="295" customWidth="1"/>
    <col min="10" max="10" width="7.36328125" style="295" customWidth="1"/>
    <col min="11" max="11" width="13.90625" style="295" customWidth="1"/>
    <col min="12" max="13" width="18.6328125" style="295" customWidth="1"/>
    <col min="14" max="15" width="16.453125" style="295" customWidth="1"/>
    <col min="16" max="16" width="18.453125" style="295" customWidth="1"/>
    <col min="17" max="17" width="11.453125" style="295" customWidth="1"/>
    <col min="18" max="26" width="10.6328125" style="295" customWidth="1"/>
    <col min="27" max="16384" width="12.6328125" style="295"/>
  </cols>
  <sheetData>
    <row r="1" spans="1:26" ht="12.75" customHeight="1" x14ac:dyDescent="0.3">
      <c r="A1" s="292"/>
      <c r="B1" s="336" t="s">
        <v>1984</v>
      </c>
      <c r="C1" s="337" t="s">
        <v>1994</v>
      </c>
      <c r="D1" s="292"/>
      <c r="E1" s="293"/>
      <c r="F1" s="293"/>
      <c r="G1" s="294" t="s">
        <v>3098</v>
      </c>
      <c r="H1" s="292"/>
      <c r="I1" s="292"/>
      <c r="J1" s="292"/>
      <c r="K1" s="292"/>
      <c r="L1" s="294" t="s">
        <v>3099</v>
      </c>
      <c r="M1" s="292"/>
      <c r="N1" s="292"/>
      <c r="O1" s="292"/>
      <c r="P1" s="292" t="s">
        <v>3100</v>
      </c>
      <c r="Q1" s="292"/>
      <c r="R1" s="292"/>
      <c r="S1" s="292"/>
      <c r="T1" s="292"/>
      <c r="U1" s="292"/>
      <c r="V1" s="292"/>
      <c r="W1" s="292"/>
      <c r="X1" s="292"/>
      <c r="Y1" s="292"/>
      <c r="Z1" s="292"/>
    </row>
    <row r="2" spans="1:26" ht="12.75" customHeight="1" x14ac:dyDescent="0.25">
      <c r="A2" s="292"/>
      <c r="B2" s="292"/>
      <c r="C2" s="292"/>
      <c r="D2" s="292"/>
      <c r="E2" s="293"/>
      <c r="F2" s="293"/>
      <c r="G2" s="293"/>
      <c r="H2" s="292"/>
      <c r="I2" s="292"/>
      <c r="J2" s="292"/>
      <c r="K2" s="292"/>
      <c r="L2" s="292"/>
      <c r="M2" s="292"/>
      <c r="N2" s="292"/>
      <c r="O2" s="292"/>
      <c r="P2" s="292"/>
      <c r="Q2" s="292"/>
      <c r="R2" s="292"/>
      <c r="S2" s="292"/>
      <c r="T2" s="292"/>
      <c r="U2" s="292"/>
      <c r="V2" s="292"/>
      <c r="W2" s="292"/>
      <c r="X2" s="292"/>
      <c r="Y2" s="292"/>
      <c r="Z2" s="292"/>
    </row>
    <row r="3" spans="1:26" ht="12.75" customHeight="1" x14ac:dyDescent="0.3">
      <c r="A3" s="292"/>
      <c r="B3" s="328" t="s">
        <v>1983</v>
      </c>
      <c r="C3" s="328" t="s">
        <v>12</v>
      </c>
      <c r="D3" s="328" t="s">
        <v>10</v>
      </c>
      <c r="E3" s="329" t="s">
        <v>3092</v>
      </c>
      <c r="F3" s="296"/>
      <c r="G3" s="297" t="s">
        <v>3093</v>
      </c>
      <c r="H3" s="297" t="s">
        <v>3094</v>
      </c>
      <c r="I3" s="297" t="s">
        <v>3095</v>
      </c>
      <c r="J3" s="292"/>
      <c r="K3" s="292"/>
      <c r="L3" s="297" t="s">
        <v>3096</v>
      </c>
      <c r="M3" s="297" t="s">
        <v>3097</v>
      </c>
      <c r="N3" s="292"/>
      <c r="O3" s="292"/>
      <c r="P3" s="292"/>
      <c r="Q3" s="292"/>
      <c r="R3" s="292"/>
      <c r="S3" s="292"/>
      <c r="T3" s="292"/>
      <c r="U3" s="292"/>
      <c r="V3" s="292"/>
      <c r="W3" s="292"/>
      <c r="X3" s="292"/>
      <c r="Y3" s="292"/>
      <c r="Z3" s="292"/>
    </row>
    <row r="4" spans="1:26" ht="12.75" customHeight="1" x14ac:dyDescent="0.25">
      <c r="A4" s="292" t="s">
        <v>436</v>
      </c>
      <c r="B4" s="340" t="s">
        <v>1993</v>
      </c>
      <c r="C4" s="340" t="s">
        <v>93</v>
      </c>
      <c r="D4" s="330" t="s">
        <v>111</v>
      </c>
      <c r="E4" s="345">
        <v>-218351697.13999996</v>
      </c>
      <c r="F4" s="296">
        <f>IF(C4="Twitter",0.15,0.08)+IF(B4="IARG",0.07,0)</f>
        <v>0.22</v>
      </c>
      <c r="G4" s="298">
        <f t="shared" ref="G4:G6" si="0">+E4*(1-F4)</f>
        <v>-170314323.76919997</v>
      </c>
      <c r="H4" s="300">
        <v>166382512.4278</v>
      </c>
      <c r="I4" s="298">
        <f t="shared" ref="I4:I5" si="1">+G4+H4</f>
        <v>-3931811.3413999677</v>
      </c>
      <c r="J4" s="296">
        <f t="shared" ref="J4:J5" si="2">+I4/E4</f>
        <v>1.8006781687064329E-2</v>
      </c>
      <c r="K4" s="299">
        <f>SUMIFS(sf!AN:AN,sf!Q:Q,IF(C4="Twitter","Twitter rep",C4),sf!U:U,A4,sf!K:K,"Supply deal",sf!AA:AA,D4)+SUMIFS(CRM_PREV_M!AL:AL,CRM_PREV_M!O:O,"Twitter rep",CRM_PREV_M!S:S,A4,CRM_PREV_M!I:I,"Supply deal",CRM_PREV_M!X:X,D4)</f>
        <v>0</v>
      </c>
      <c r="L4" s="301" t="s">
        <v>3101</v>
      </c>
      <c r="M4" s="302" t="s">
        <v>3102</v>
      </c>
      <c r="N4" s="299"/>
      <c r="O4" s="300"/>
      <c r="P4" s="299"/>
      <c r="Q4" s="299"/>
      <c r="R4" s="292"/>
      <c r="S4" s="292"/>
      <c r="T4" s="292"/>
      <c r="U4" s="292"/>
      <c r="V4" s="292"/>
      <c r="W4" s="292"/>
      <c r="X4" s="292"/>
      <c r="Y4" s="292"/>
      <c r="Z4" s="292"/>
    </row>
    <row r="5" spans="1:26" ht="12.75" customHeight="1" x14ac:dyDescent="0.25">
      <c r="A5" s="292" t="s">
        <v>436</v>
      </c>
      <c r="B5" s="332" t="s">
        <v>1993</v>
      </c>
      <c r="C5" s="340" t="s">
        <v>100</v>
      </c>
      <c r="D5" s="330" t="s">
        <v>111</v>
      </c>
      <c r="E5" s="345">
        <v>-62330166.560000002</v>
      </c>
      <c r="F5" s="296">
        <f t="shared" ref="F5:F6" si="3">IF(C5="Twitter",0.15,0.08)+IF(B5="IARG",0.07,0)</f>
        <v>0.15000000000000002</v>
      </c>
      <c r="G5" s="298">
        <f t="shared" si="0"/>
        <v>-52980641.575999998</v>
      </c>
      <c r="H5" s="298">
        <v>53164961.575999998</v>
      </c>
      <c r="I5" s="298">
        <f t="shared" si="1"/>
        <v>184320</v>
      </c>
      <c r="J5" s="296">
        <f t="shared" si="2"/>
        <v>-2.9571555824830127E-3</v>
      </c>
      <c r="K5" s="299">
        <f>SUMIFS(sf!AN:AN,sf!Q:Q,IF(C5="Twitter","Twitter rep",C5),sf!U:U,A5,sf!K:K,"Supply deal",sf!AA:AA,D5)+SUMIFS(CRM_PREV_M!AL:AL,CRM_PREV_M!O:O,"Twitter rep",CRM_PREV_M!S:S,A5,CRM_PREV_M!I:I,"Supply deal",CRM_PREV_M!X:X,D5)</f>
        <v>0</v>
      </c>
      <c r="L5" s="301" t="s">
        <v>3103</v>
      </c>
      <c r="M5" s="302" t="s">
        <v>3104</v>
      </c>
      <c r="N5" s="299"/>
      <c r="O5" s="299"/>
      <c r="P5" s="299"/>
      <c r="Q5" s="299"/>
      <c r="R5" s="292"/>
      <c r="S5" s="292"/>
      <c r="T5" s="292"/>
      <c r="U5" s="292"/>
      <c r="V5" s="292"/>
      <c r="W5" s="292"/>
      <c r="X5" s="292"/>
      <c r="Y5" s="292"/>
      <c r="Z5" s="292"/>
    </row>
    <row r="6" spans="1:26" ht="12.75" customHeight="1" x14ac:dyDescent="0.25">
      <c r="A6" s="292" t="s">
        <v>433</v>
      </c>
      <c r="B6" s="340" t="s">
        <v>1964</v>
      </c>
      <c r="C6" s="340" t="s">
        <v>93</v>
      </c>
      <c r="D6" s="330" t="s">
        <v>95</v>
      </c>
      <c r="E6" s="345">
        <v>-902.75</v>
      </c>
      <c r="F6" s="296">
        <f t="shared" si="3"/>
        <v>0.15</v>
      </c>
      <c r="G6" s="298">
        <f t="shared" si="0"/>
        <v>-767.33749999999998</v>
      </c>
      <c r="H6" s="298">
        <f ca="1">711256.7436/er!D53</f>
        <v>509.13152727272728</v>
      </c>
      <c r="I6" s="298">
        <f t="shared" ref="I6" ca="1" si="4">+G6+H6</f>
        <v>-258.20597272727269</v>
      </c>
      <c r="J6" s="296">
        <f t="shared" ref="J6" ca="1" si="5">+I6/E6</f>
        <v>0.28602157045391602</v>
      </c>
      <c r="K6" s="299"/>
      <c r="L6" s="301" t="s">
        <v>3105</v>
      </c>
      <c r="M6" s="302" t="s">
        <v>3106</v>
      </c>
      <c r="N6" s="299"/>
      <c r="O6" s="299"/>
      <c r="P6" s="299"/>
      <c r="Q6" s="299"/>
      <c r="R6" s="292"/>
      <c r="S6" s="292"/>
      <c r="T6" s="292"/>
      <c r="U6" s="292"/>
      <c r="V6" s="292"/>
      <c r="W6" s="292"/>
      <c r="X6" s="292"/>
      <c r="Y6" s="292"/>
      <c r="Z6" s="292"/>
    </row>
    <row r="7" spans="1:26" ht="12.75" customHeight="1" x14ac:dyDescent="0.25">
      <c r="A7" s="292"/>
      <c r="B7" s="343" t="s">
        <v>3107</v>
      </c>
      <c r="C7" s="334"/>
      <c r="D7" s="334"/>
      <c r="E7" s="346">
        <v>-280682766.44999993</v>
      </c>
      <c r="F7" s="296"/>
      <c r="G7" s="298"/>
      <c r="H7" s="298"/>
      <c r="I7" s="298"/>
      <c r="J7" s="296"/>
      <c r="K7" s="299"/>
      <c r="L7" s="292"/>
      <c r="M7" s="292"/>
      <c r="N7" s="299"/>
      <c r="O7" s="299"/>
      <c r="P7" s="299"/>
      <c r="Q7" s="299"/>
      <c r="R7" s="292"/>
      <c r="S7" s="292"/>
      <c r="T7" s="292"/>
      <c r="U7" s="292"/>
      <c r="V7" s="292"/>
      <c r="W7" s="292"/>
      <c r="X7" s="292"/>
      <c r="Y7" s="292"/>
      <c r="Z7" s="292"/>
    </row>
    <row r="8" spans="1:26" ht="12.75" customHeight="1" x14ac:dyDescent="0.25">
      <c r="A8" s="292"/>
      <c r="B8"/>
      <c r="C8"/>
      <c r="D8"/>
      <c r="E8"/>
      <c r="F8" s="296"/>
      <c r="G8" s="298"/>
      <c r="H8" s="298"/>
      <c r="I8" s="298"/>
      <c r="J8" s="296"/>
      <c r="K8" s="299"/>
      <c r="L8" s="301"/>
      <c r="M8" s="292"/>
      <c r="N8" s="299"/>
      <c r="O8" s="299"/>
      <c r="P8" s="299"/>
      <c r="Q8" s="299"/>
      <c r="R8" s="292"/>
      <c r="S8" s="292"/>
      <c r="T8" s="292"/>
      <c r="U8" s="292"/>
      <c r="V8" s="292"/>
      <c r="W8" s="292"/>
      <c r="X8" s="292"/>
      <c r="Y8" s="292"/>
      <c r="Z8" s="292"/>
    </row>
    <row r="9" spans="1:26" ht="12.75" customHeight="1" x14ac:dyDescent="0.25">
      <c r="A9" s="292"/>
      <c r="B9"/>
      <c r="C9"/>
      <c r="D9"/>
      <c r="E9"/>
      <c r="F9" s="296"/>
      <c r="G9" s="298"/>
      <c r="H9" s="298"/>
      <c r="I9" s="298"/>
      <c r="J9" s="296"/>
      <c r="K9" s="299"/>
      <c r="L9" s="301"/>
      <c r="M9" s="292"/>
      <c r="N9" s="299"/>
      <c r="O9" s="299"/>
      <c r="P9" s="299"/>
      <c r="Q9" s="299"/>
      <c r="R9" s="292"/>
      <c r="S9" s="292"/>
      <c r="T9" s="292"/>
      <c r="U9" s="292"/>
      <c r="V9" s="292"/>
      <c r="W9" s="292"/>
      <c r="X9" s="292"/>
      <c r="Y9" s="292"/>
      <c r="Z9" s="292"/>
    </row>
    <row r="10" spans="1:26" ht="12.75" customHeight="1" x14ac:dyDescent="0.25">
      <c r="A10" s="292"/>
      <c r="B10"/>
      <c r="C10"/>
      <c r="D10"/>
      <c r="E10"/>
      <c r="F10" s="296"/>
      <c r="G10" s="298"/>
      <c r="H10" s="298"/>
      <c r="I10" s="298"/>
      <c r="J10" s="296"/>
      <c r="K10" s="299"/>
      <c r="L10" s="301"/>
      <c r="M10" s="292"/>
      <c r="N10" s="299"/>
      <c r="O10" s="299"/>
      <c r="P10" s="299"/>
      <c r="Q10" s="299"/>
      <c r="R10" s="292"/>
      <c r="S10" s="292"/>
      <c r="T10" s="292"/>
      <c r="U10" s="292"/>
      <c r="V10" s="292"/>
      <c r="W10" s="292"/>
      <c r="X10" s="292"/>
      <c r="Y10" s="292"/>
      <c r="Z10" s="292"/>
    </row>
    <row r="11" spans="1:26" ht="12.75" customHeight="1" x14ac:dyDescent="0.25">
      <c r="A11" s="292"/>
      <c r="B11"/>
      <c r="C11"/>
      <c r="D11"/>
      <c r="E11"/>
      <c r="F11" s="296"/>
      <c r="G11" s="298"/>
      <c r="H11" s="298"/>
      <c r="I11" s="298"/>
      <c r="J11" s="296"/>
      <c r="K11" s="299"/>
      <c r="L11" s="301"/>
      <c r="M11" s="292"/>
      <c r="N11" s="299"/>
      <c r="O11" s="299"/>
      <c r="P11" s="299"/>
      <c r="Q11" s="299"/>
      <c r="R11" s="292"/>
      <c r="S11" s="292"/>
      <c r="T11" s="292"/>
      <c r="U11" s="292"/>
      <c r="V11" s="292"/>
      <c r="W11" s="292"/>
      <c r="X11" s="292"/>
      <c r="Y11" s="292"/>
      <c r="Z11" s="292"/>
    </row>
    <row r="12" spans="1:26" ht="12.75" customHeight="1" x14ac:dyDescent="0.25">
      <c r="A12" s="292"/>
      <c r="B12"/>
      <c r="C12"/>
      <c r="D12"/>
      <c r="E12"/>
      <c r="F12" s="296"/>
      <c r="G12" s="298"/>
      <c r="H12" s="298"/>
      <c r="I12" s="298"/>
      <c r="J12" s="296"/>
      <c r="K12" s="299"/>
      <c r="L12" s="292"/>
      <c r="M12" s="292"/>
      <c r="N12" s="299"/>
      <c r="O12" s="299"/>
      <c r="P12" s="299"/>
      <c r="Q12" s="299"/>
      <c r="R12" s="292"/>
      <c r="S12" s="292"/>
      <c r="T12" s="292"/>
      <c r="U12" s="292"/>
      <c r="V12" s="292"/>
      <c r="W12" s="292"/>
      <c r="X12" s="292"/>
      <c r="Y12" s="292"/>
      <c r="Z12" s="292"/>
    </row>
    <row r="13" spans="1:26" ht="12.75" customHeight="1" x14ac:dyDescent="0.25">
      <c r="A13" s="292"/>
      <c r="B13"/>
      <c r="C13"/>
      <c r="D13"/>
      <c r="E13"/>
      <c r="F13" s="296"/>
      <c r="G13" s="298"/>
      <c r="H13" s="298"/>
      <c r="I13" s="298"/>
      <c r="J13" s="296"/>
      <c r="K13" s="299"/>
      <c r="L13" s="292"/>
      <c r="M13" s="292"/>
      <c r="N13" s="299"/>
      <c r="O13" s="299"/>
      <c r="P13" s="299"/>
      <c r="Q13" s="299"/>
      <c r="R13" s="292"/>
      <c r="S13" s="292"/>
      <c r="T13" s="292"/>
      <c r="U13" s="292"/>
      <c r="V13" s="292"/>
      <c r="W13" s="292"/>
      <c r="X13" s="292"/>
      <c r="Y13" s="292"/>
      <c r="Z13" s="292"/>
    </row>
    <row r="14" spans="1:26" ht="12.75" customHeight="1" x14ac:dyDescent="0.25">
      <c r="A14" s="292"/>
      <c r="B14"/>
      <c r="C14"/>
      <c r="D14"/>
      <c r="E14"/>
      <c r="F14" s="296"/>
      <c r="G14" s="298"/>
      <c r="H14" s="298"/>
      <c r="I14" s="298"/>
      <c r="J14" s="296"/>
      <c r="K14" s="299"/>
      <c r="L14" s="301"/>
      <c r="M14" s="292"/>
      <c r="N14" s="299"/>
      <c r="O14" s="299"/>
      <c r="P14" s="299"/>
      <c r="Q14" s="299"/>
      <c r="R14" s="292"/>
      <c r="S14" s="292"/>
      <c r="T14" s="292"/>
      <c r="U14" s="292"/>
      <c r="V14" s="292"/>
      <c r="W14" s="292"/>
      <c r="X14" s="292"/>
      <c r="Y14" s="292"/>
      <c r="Z14" s="292"/>
    </row>
    <row r="15" spans="1:26" ht="12.75" customHeight="1" x14ac:dyDescent="0.25">
      <c r="A15" s="292"/>
      <c r="B15" s="292"/>
      <c r="C15" s="292"/>
      <c r="D15" s="292"/>
      <c r="E15" s="292"/>
      <c r="F15" s="292"/>
      <c r="G15" s="292"/>
      <c r="H15" s="292"/>
      <c r="I15" s="292"/>
      <c r="J15" s="292"/>
      <c r="K15" s="292"/>
      <c r="L15" s="292"/>
      <c r="M15" s="292"/>
      <c r="N15" s="292"/>
      <c r="O15" s="292"/>
      <c r="P15" s="292"/>
      <c r="Q15" s="292"/>
      <c r="R15" s="292"/>
      <c r="S15" s="292"/>
      <c r="T15" s="292"/>
      <c r="U15" s="292"/>
      <c r="V15" s="292"/>
      <c r="W15" s="292"/>
      <c r="X15" s="292"/>
      <c r="Y15" s="292"/>
      <c r="Z15" s="292"/>
    </row>
    <row r="16" spans="1:26" ht="12.75" customHeight="1" x14ac:dyDescent="0.25">
      <c r="A16" s="292"/>
      <c r="B16" s="292"/>
      <c r="C16" s="292"/>
      <c r="D16" s="292"/>
      <c r="E16" s="292"/>
      <c r="F16" s="292"/>
      <c r="G16" s="292"/>
      <c r="H16" s="292"/>
      <c r="I16" s="292"/>
      <c r="J16" s="292"/>
      <c r="K16" s="292"/>
      <c r="L16" s="292"/>
      <c r="M16" s="292"/>
      <c r="N16" s="292"/>
      <c r="O16" s="292"/>
      <c r="P16" s="292"/>
      <c r="Q16" s="292"/>
      <c r="R16" s="292"/>
      <c r="S16" s="292"/>
      <c r="T16" s="292"/>
      <c r="U16" s="292"/>
      <c r="V16" s="292"/>
      <c r="W16" s="292"/>
      <c r="X16" s="292"/>
      <c r="Y16" s="292"/>
      <c r="Z16" s="292"/>
    </row>
    <row r="17" spans="1:26" ht="12.75" customHeight="1" x14ac:dyDescent="0.25">
      <c r="A17" s="292"/>
      <c r="B17" s="292"/>
      <c r="C17" s="292"/>
      <c r="D17" s="292"/>
      <c r="E17" s="292"/>
      <c r="F17" s="292"/>
      <c r="G17" s="292"/>
      <c r="H17" s="292"/>
      <c r="I17" s="292"/>
      <c r="J17" s="292"/>
      <c r="K17" s="292"/>
      <c r="L17" s="292"/>
      <c r="M17" s="292"/>
      <c r="N17" s="292"/>
      <c r="O17" s="292"/>
      <c r="P17" s="292"/>
      <c r="Q17" s="292"/>
      <c r="R17" s="292"/>
      <c r="S17" s="292"/>
      <c r="T17" s="292"/>
      <c r="U17" s="292"/>
      <c r="V17" s="292"/>
      <c r="W17" s="292"/>
      <c r="X17" s="292"/>
      <c r="Y17" s="292"/>
      <c r="Z17" s="292"/>
    </row>
    <row r="18" spans="1:26" ht="12.75" customHeight="1" x14ac:dyDescent="0.25">
      <c r="A18" s="292"/>
      <c r="B18" s="292"/>
      <c r="C18" s="292"/>
      <c r="D18" s="292"/>
      <c r="E18" s="292"/>
      <c r="F18" s="292"/>
      <c r="G18" s="292"/>
      <c r="H18" s="292"/>
      <c r="I18" s="292"/>
      <c r="J18" s="292"/>
      <c r="K18" s="292"/>
      <c r="L18" s="292"/>
      <c r="M18" s="292"/>
      <c r="N18" s="292"/>
      <c r="O18" s="292"/>
      <c r="P18" s="292"/>
      <c r="Q18" s="292"/>
      <c r="R18" s="292"/>
      <c r="S18" s="292"/>
      <c r="T18" s="292"/>
      <c r="U18" s="292"/>
      <c r="V18" s="292"/>
      <c r="W18" s="292"/>
      <c r="X18" s="292"/>
      <c r="Y18" s="292"/>
      <c r="Z18" s="292"/>
    </row>
    <row r="19" spans="1:26" ht="12.75" customHeight="1" x14ac:dyDescent="0.25">
      <c r="A19" s="292"/>
      <c r="B19" s="292"/>
      <c r="C19" s="292"/>
      <c r="D19" s="292"/>
      <c r="E19" s="292"/>
      <c r="F19" s="292"/>
      <c r="G19" s="292"/>
      <c r="H19" s="292"/>
      <c r="I19" s="292"/>
      <c r="J19" s="292"/>
      <c r="K19" s="292"/>
      <c r="L19" s="292"/>
      <c r="M19" s="292"/>
      <c r="N19" s="292"/>
      <c r="O19" s="292"/>
      <c r="P19" s="292"/>
      <c r="Q19" s="292"/>
      <c r="R19" s="292"/>
      <c r="S19" s="292"/>
      <c r="T19" s="292"/>
      <c r="U19" s="292"/>
      <c r="V19" s="292"/>
      <c r="W19" s="292"/>
      <c r="X19" s="292"/>
      <c r="Y19" s="292"/>
      <c r="Z19" s="292"/>
    </row>
    <row r="20" spans="1:26" ht="12.75" customHeight="1" x14ac:dyDescent="0.25">
      <c r="A20" s="292"/>
      <c r="B20" s="292"/>
      <c r="C20" s="292"/>
      <c r="D20" s="292"/>
      <c r="E20" s="292"/>
      <c r="F20" s="292"/>
      <c r="G20" s="292"/>
      <c r="H20" s="292"/>
      <c r="I20" s="292"/>
      <c r="J20" s="292"/>
      <c r="K20" s="292"/>
      <c r="L20" s="292"/>
      <c r="M20" s="292"/>
      <c r="N20" s="292"/>
      <c r="O20" s="292"/>
      <c r="P20" s="292"/>
      <c r="Q20" s="292"/>
      <c r="R20" s="292"/>
      <c r="S20" s="292"/>
      <c r="T20" s="292"/>
      <c r="U20" s="292"/>
      <c r="V20" s="292"/>
      <c r="W20" s="292"/>
      <c r="X20" s="292"/>
      <c r="Y20" s="292"/>
      <c r="Z20" s="292"/>
    </row>
    <row r="21" spans="1:26" ht="12.75" customHeight="1" x14ac:dyDescent="0.25">
      <c r="A21" s="292"/>
      <c r="B21" s="292"/>
      <c r="C21" s="292"/>
      <c r="D21" s="292"/>
      <c r="E21" s="292"/>
      <c r="F21" s="292"/>
      <c r="G21" s="292"/>
      <c r="H21" s="292"/>
      <c r="I21" s="292"/>
      <c r="J21" s="292"/>
      <c r="K21" s="292"/>
      <c r="L21" s="292"/>
      <c r="M21" s="292"/>
      <c r="N21" s="292"/>
      <c r="O21" s="292"/>
      <c r="P21" s="292"/>
      <c r="Q21" s="292"/>
      <c r="R21" s="292"/>
      <c r="S21" s="292"/>
      <c r="T21" s="292"/>
      <c r="U21" s="292"/>
      <c r="V21" s="292"/>
      <c r="W21" s="292"/>
      <c r="X21" s="292"/>
      <c r="Y21" s="292"/>
      <c r="Z21" s="292"/>
    </row>
    <row r="22" spans="1:26" ht="12.75" customHeight="1" x14ac:dyDescent="0.25">
      <c r="A22" s="292"/>
      <c r="B22" s="292"/>
      <c r="C22" s="292"/>
      <c r="D22" s="292"/>
      <c r="E22" s="292"/>
      <c r="F22" s="292"/>
      <c r="G22" s="292"/>
      <c r="H22" s="292"/>
      <c r="I22" s="292"/>
      <c r="J22" s="292"/>
      <c r="K22" s="292"/>
      <c r="L22" s="292"/>
      <c r="M22" s="292"/>
      <c r="N22" s="292"/>
      <c r="O22" s="292"/>
      <c r="P22" s="292"/>
      <c r="Q22" s="292"/>
      <c r="R22" s="292"/>
      <c r="S22" s="292"/>
      <c r="T22" s="292"/>
      <c r="U22" s="292"/>
      <c r="V22" s="292"/>
      <c r="W22" s="292"/>
      <c r="X22" s="292"/>
      <c r="Y22" s="292"/>
      <c r="Z22" s="292"/>
    </row>
    <row r="23" spans="1:26" ht="12.75" customHeight="1" x14ac:dyDescent="0.25">
      <c r="A23" s="292"/>
      <c r="B23" s="292"/>
      <c r="C23" s="292"/>
      <c r="D23" s="292"/>
      <c r="E23" s="292"/>
      <c r="F23" s="292"/>
      <c r="G23" s="292"/>
      <c r="H23" s="292"/>
      <c r="I23" s="292"/>
      <c r="J23" s="292"/>
      <c r="K23" s="292"/>
      <c r="L23" s="292"/>
      <c r="M23" s="292"/>
      <c r="N23" s="292"/>
      <c r="O23" s="292"/>
      <c r="P23" s="292"/>
      <c r="Q23" s="292"/>
      <c r="R23" s="292"/>
      <c r="S23" s="292"/>
      <c r="T23" s="292"/>
      <c r="U23" s="292"/>
      <c r="V23" s="292"/>
      <c r="W23" s="292"/>
      <c r="X23" s="292"/>
      <c r="Y23" s="292"/>
      <c r="Z23" s="292"/>
    </row>
    <row r="24" spans="1:26" ht="12.75" customHeight="1" x14ac:dyDescent="0.25">
      <c r="A24" s="292"/>
      <c r="B24" s="292"/>
      <c r="C24" s="292"/>
      <c r="D24" s="292"/>
      <c r="E24" s="292"/>
      <c r="F24" s="292"/>
      <c r="G24" s="292"/>
      <c r="H24" s="292"/>
      <c r="I24" s="292"/>
      <c r="J24" s="292"/>
      <c r="K24" s="292"/>
      <c r="L24" s="292"/>
      <c r="M24" s="292"/>
      <c r="N24" s="292"/>
      <c r="O24" s="292"/>
      <c r="P24" s="292"/>
      <c r="Q24" s="292"/>
      <c r="R24" s="292"/>
      <c r="S24" s="292"/>
      <c r="T24" s="292"/>
      <c r="U24" s="292"/>
      <c r="V24" s="292"/>
      <c r="W24" s="292"/>
      <c r="X24" s="292"/>
      <c r="Y24" s="292"/>
      <c r="Z24" s="292"/>
    </row>
    <row r="25" spans="1:26" ht="12.75" customHeight="1" x14ac:dyDescent="0.25">
      <c r="A25" s="292"/>
      <c r="B25" s="292"/>
      <c r="C25" s="292"/>
      <c r="D25" s="292"/>
      <c r="E25" s="292"/>
      <c r="F25" s="292"/>
      <c r="G25" s="292"/>
      <c r="H25" s="292"/>
      <c r="I25" s="292"/>
      <c r="J25" s="292"/>
      <c r="K25" s="292"/>
      <c r="L25" s="292"/>
      <c r="M25" s="292"/>
      <c r="N25" s="292"/>
      <c r="O25" s="292"/>
      <c r="P25" s="292"/>
      <c r="Q25" s="292"/>
      <c r="R25" s="292"/>
      <c r="S25" s="292"/>
      <c r="T25" s="292"/>
      <c r="U25" s="292"/>
      <c r="V25" s="292"/>
      <c r="W25" s="292"/>
      <c r="X25" s="292"/>
      <c r="Y25" s="292"/>
      <c r="Z25" s="292"/>
    </row>
    <row r="26" spans="1:26" ht="12.75" customHeight="1" x14ac:dyDescent="0.25">
      <c r="A26" s="292"/>
      <c r="B26" s="292"/>
      <c r="C26" s="292"/>
      <c r="D26" s="292"/>
      <c r="E26" s="292"/>
      <c r="F26" s="292"/>
      <c r="G26" s="292"/>
      <c r="H26" s="292"/>
      <c r="I26" s="292"/>
      <c r="J26" s="292"/>
      <c r="K26" s="292"/>
      <c r="L26" s="292"/>
      <c r="M26" s="292"/>
      <c r="N26" s="292"/>
      <c r="O26" s="292"/>
      <c r="P26" s="292"/>
      <c r="Q26" s="292"/>
      <c r="R26" s="292"/>
      <c r="S26" s="292"/>
      <c r="T26" s="292"/>
      <c r="U26" s="292"/>
      <c r="V26" s="292"/>
      <c r="W26" s="292"/>
      <c r="X26" s="292"/>
      <c r="Y26" s="292"/>
      <c r="Z26" s="292"/>
    </row>
    <row r="27" spans="1:26" ht="12.75" customHeight="1" x14ac:dyDescent="0.25">
      <c r="A27" s="292"/>
      <c r="B27" s="292"/>
      <c r="C27" s="292"/>
      <c r="D27" s="292"/>
      <c r="E27" s="292"/>
      <c r="F27" s="292"/>
      <c r="G27" s="292"/>
      <c r="H27" s="292"/>
      <c r="I27" s="292"/>
      <c r="J27" s="292"/>
      <c r="K27" s="292"/>
      <c r="L27" s="292"/>
      <c r="M27" s="292"/>
      <c r="N27" s="292"/>
      <c r="O27" s="292"/>
      <c r="P27" s="292"/>
      <c r="Q27" s="292"/>
      <c r="R27" s="292"/>
      <c r="S27" s="292"/>
      <c r="T27" s="292"/>
      <c r="U27" s="292"/>
      <c r="V27" s="292"/>
      <c r="W27" s="292"/>
      <c r="X27" s="292"/>
      <c r="Y27" s="292"/>
      <c r="Z27" s="292"/>
    </row>
    <row r="28" spans="1:26" ht="12.75" customHeight="1" x14ac:dyDescent="0.25">
      <c r="A28" s="292"/>
      <c r="B28" s="292"/>
      <c r="C28" s="292"/>
      <c r="D28" s="292"/>
      <c r="E28" s="292"/>
      <c r="F28" s="292"/>
      <c r="G28" s="292"/>
      <c r="H28" s="292"/>
      <c r="I28" s="292"/>
      <c r="J28" s="292"/>
      <c r="K28" s="292"/>
      <c r="L28" s="292"/>
      <c r="M28" s="292"/>
      <c r="N28" s="292"/>
      <c r="O28" s="292"/>
      <c r="P28" s="292"/>
      <c r="Q28" s="292"/>
      <c r="R28" s="292"/>
      <c r="S28" s="292"/>
      <c r="T28" s="292"/>
      <c r="U28" s="292"/>
      <c r="V28" s="292"/>
      <c r="W28" s="292"/>
      <c r="X28" s="292"/>
      <c r="Y28" s="292"/>
      <c r="Z28" s="292"/>
    </row>
    <row r="29" spans="1:26" ht="12.75" customHeight="1" x14ac:dyDescent="0.25">
      <c r="A29" s="292"/>
      <c r="B29" s="292"/>
      <c r="C29" s="292"/>
      <c r="D29" s="292"/>
      <c r="E29" s="292"/>
      <c r="F29" s="292"/>
      <c r="G29" s="292"/>
      <c r="H29" s="292"/>
      <c r="I29" s="292"/>
      <c r="J29" s="292"/>
      <c r="K29" s="292"/>
      <c r="L29" s="292"/>
      <c r="M29" s="292"/>
      <c r="N29" s="292"/>
      <c r="O29" s="292"/>
      <c r="P29" s="292"/>
      <c r="Q29" s="292"/>
      <c r="R29" s="292"/>
      <c r="S29" s="292"/>
      <c r="T29" s="292"/>
      <c r="U29" s="292"/>
      <c r="V29" s="292"/>
      <c r="W29" s="292"/>
      <c r="X29" s="292"/>
      <c r="Y29" s="292"/>
      <c r="Z29" s="292"/>
    </row>
    <row r="30" spans="1:26" ht="12.75" customHeight="1" x14ac:dyDescent="0.25">
      <c r="A30" s="292"/>
      <c r="B30" s="292"/>
      <c r="C30" s="292"/>
      <c r="D30" s="292"/>
      <c r="E30" s="292"/>
      <c r="F30" s="292"/>
      <c r="G30" s="292"/>
      <c r="H30" s="292"/>
      <c r="I30" s="292"/>
      <c r="J30" s="292"/>
      <c r="K30" s="292"/>
      <c r="L30" s="292"/>
      <c r="M30" s="292"/>
      <c r="N30" s="292"/>
      <c r="O30" s="292"/>
      <c r="P30" s="292"/>
      <c r="Q30" s="292"/>
      <c r="R30" s="292"/>
      <c r="S30" s="292"/>
      <c r="T30" s="292"/>
      <c r="U30" s="292"/>
      <c r="V30" s="292"/>
      <c r="W30" s="292"/>
      <c r="X30" s="292"/>
      <c r="Y30" s="292"/>
      <c r="Z30" s="292"/>
    </row>
    <row r="31" spans="1:26" ht="12.75" customHeight="1" x14ac:dyDescent="0.25">
      <c r="A31" s="292"/>
      <c r="B31" s="292"/>
      <c r="C31" s="292"/>
      <c r="D31" s="292"/>
      <c r="E31" s="292"/>
      <c r="F31" s="292"/>
      <c r="G31" s="292"/>
      <c r="H31" s="292"/>
      <c r="I31" s="292"/>
      <c r="J31" s="292"/>
      <c r="K31" s="292"/>
      <c r="L31" s="292"/>
      <c r="M31" s="292"/>
      <c r="N31" s="292"/>
      <c r="O31" s="292"/>
      <c r="P31" s="292"/>
      <c r="Q31" s="292"/>
      <c r="R31" s="292"/>
      <c r="S31" s="292"/>
      <c r="T31" s="292"/>
      <c r="U31" s="292"/>
      <c r="V31" s="292"/>
      <c r="W31" s="292"/>
      <c r="X31" s="292"/>
      <c r="Y31" s="292"/>
      <c r="Z31" s="292"/>
    </row>
    <row r="32" spans="1:26" ht="12.75" customHeight="1" x14ac:dyDescent="0.25">
      <c r="A32" s="292"/>
      <c r="B32" s="292"/>
      <c r="C32" s="292"/>
      <c r="D32" s="292"/>
      <c r="E32" s="292"/>
      <c r="F32" s="292"/>
      <c r="G32" s="292"/>
      <c r="H32" s="292"/>
      <c r="I32" s="292"/>
      <c r="J32" s="292"/>
      <c r="K32" s="292"/>
      <c r="L32" s="292"/>
      <c r="M32" s="292"/>
      <c r="N32" s="292"/>
      <c r="O32" s="292"/>
      <c r="P32" s="292"/>
      <c r="Q32" s="292"/>
      <c r="R32" s="292"/>
      <c r="S32" s="292"/>
      <c r="T32" s="292"/>
      <c r="U32" s="292"/>
      <c r="V32" s="292"/>
      <c r="W32" s="292"/>
      <c r="X32" s="292"/>
      <c r="Y32" s="292"/>
      <c r="Z32" s="292"/>
    </row>
    <row r="33" spans="1:26" ht="12.75" customHeight="1" x14ac:dyDescent="0.25">
      <c r="A33" s="292"/>
      <c r="B33" s="292"/>
      <c r="C33" s="292"/>
      <c r="D33" s="292"/>
      <c r="E33" s="292"/>
      <c r="F33" s="292"/>
      <c r="G33" s="292"/>
      <c r="H33" s="292"/>
      <c r="I33" s="292"/>
      <c r="J33" s="292"/>
      <c r="K33" s="292"/>
      <c r="L33" s="292"/>
      <c r="M33" s="292"/>
      <c r="N33" s="292"/>
      <c r="O33" s="292"/>
      <c r="P33" s="292"/>
      <c r="Q33" s="292"/>
      <c r="R33" s="292"/>
      <c r="S33" s="292"/>
      <c r="T33" s="292"/>
      <c r="U33" s="292"/>
      <c r="V33" s="292"/>
      <c r="W33" s="292"/>
      <c r="X33" s="292"/>
      <c r="Y33" s="292"/>
      <c r="Z33" s="292"/>
    </row>
    <row r="34" spans="1:26" ht="12.75" customHeight="1" x14ac:dyDescent="0.25">
      <c r="A34" s="292"/>
      <c r="B34" s="292"/>
      <c r="C34" s="292"/>
      <c r="D34" s="292"/>
      <c r="E34" s="292"/>
      <c r="F34" s="292"/>
      <c r="G34" s="292"/>
      <c r="H34" s="292"/>
      <c r="I34" s="292"/>
      <c r="J34" s="292"/>
      <c r="K34" s="292"/>
      <c r="L34" s="292"/>
      <c r="M34" s="292"/>
      <c r="N34" s="292"/>
      <c r="O34" s="292"/>
      <c r="P34" s="292"/>
      <c r="Q34" s="292"/>
      <c r="R34" s="292"/>
      <c r="S34" s="292"/>
      <c r="T34" s="292"/>
      <c r="U34" s="292"/>
      <c r="V34" s="292"/>
      <c r="W34" s="292"/>
      <c r="X34" s="292"/>
      <c r="Y34" s="292"/>
      <c r="Z34" s="292"/>
    </row>
    <row r="35" spans="1:26" ht="12.75" customHeight="1" x14ac:dyDescent="0.25">
      <c r="A35" s="292"/>
      <c r="B35" s="292"/>
      <c r="C35" s="292"/>
      <c r="D35" s="292"/>
      <c r="E35" s="292"/>
      <c r="F35" s="292"/>
      <c r="G35" s="292"/>
      <c r="H35" s="292"/>
      <c r="I35" s="292"/>
      <c r="J35" s="292"/>
      <c r="K35" s="292"/>
      <c r="L35" s="292"/>
      <c r="M35" s="292"/>
      <c r="N35" s="292"/>
      <c r="O35" s="292"/>
      <c r="P35" s="292"/>
      <c r="Q35" s="292"/>
      <c r="R35" s="292"/>
      <c r="S35" s="292"/>
      <c r="T35" s="292"/>
      <c r="U35" s="292"/>
      <c r="V35" s="292"/>
      <c r="W35" s="292"/>
      <c r="X35" s="292"/>
      <c r="Y35" s="292"/>
      <c r="Z35" s="292"/>
    </row>
    <row r="36" spans="1:26" ht="12.75" customHeight="1" x14ac:dyDescent="0.25">
      <c r="A36" s="292"/>
      <c r="B36" s="292"/>
      <c r="C36" s="292"/>
      <c r="D36" s="292"/>
      <c r="E36" s="292"/>
      <c r="F36" s="292"/>
      <c r="G36" s="292"/>
      <c r="H36" s="292"/>
      <c r="I36" s="292"/>
      <c r="J36" s="292"/>
      <c r="K36" s="292"/>
      <c r="L36" s="292"/>
      <c r="M36" s="292"/>
      <c r="N36" s="292"/>
      <c r="O36" s="292"/>
      <c r="P36" s="292"/>
      <c r="Q36" s="292"/>
      <c r="R36" s="292"/>
      <c r="S36" s="292"/>
      <c r="T36" s="292"/>
      <c r="U36" s="292"/>
      <c r="V36" s="292"/>
      <c r="W36" s="292"/>
      <c r="X36" s="292"/>
      <c r="Y36" s="292"/>
      <c r="Z36" s="292"/>
    </row>
    <row r="37" spans="1:26" ht="12.75" customHeight="1" x14ac:dyDescent="0.25">
      <c r="A37" s="292"/>
      <c r="B37" s="292"/>
      <c r="C37" s="292"/>
      <c r="D37" s="292"/>
      <c r="E37" s="292"/>
      <c r="F37" s="292"/>
      <c r="G37" s="292"/>
      <c r="H37" s="292"/>
      <c r="I37" s="292"/>
      <c r="J37" s="292"/>
      <c r="K37" s="292"/>
      <c r="L37" s="292"/>
      <c r="M37" s="292"/>
      <c r="N37" s="292"/>
      <c r="O37" s="292"/>
      <c r="P37" s="292"/>
      <c r="Q37" s="292"/>
      <c r="R37" s="292"/>
      <c r="S37" s="292"/>
      <c r="T37" s="292"/>
      <c r="U37" s="292"/>
      <c r="V37" s="292"/>
      <c r="W37" s="292"/>
      <c r="X37" s="292"/>
      <c r="Y37" s="292"/>
      <c r="Z37" s="292"/>
    </row>
    <row r="38" spans="1:26" ht="12.75" customHeight="1" x14ac:dyDescent="0.25">
      <c r="A38" s="292"/>
      <c r="B38" s="292"/>
      <c r="C38" s="292"/>
      <c r="D38" s="292"/>
      <c r="E38" s="292"/>
      <c r="F38" s="292"/>
      <c r="G38" s="292"/>
      <c r="H38" s="292"/>
      <c r="I38" s="292"/>
      <c r="J38" s="292"/>
      <c r="K38" s="292"/>
      <c r="L38" s="292"/>
      <c r="M38" s="292"/>
      <c r="N38" s="292"/>
      <c r="O38" s="292"/>
      <c r="P38" s="292"/>
      <c r="Q38" s="292"/>
      <c r="R38" s="292"/>
      <c r="S38" s="292"/>
      <c r="T38" s="292"/>
      <c r="U38" s="292"/>
      <c r="V38" s="292"/>
      <c r="W38" s="292"/>
      <c r="X38" s="292"/>
      <c r="Y38" s="292"/>
      <c r="Z38" s="292"/>
    </row>
    <row r="39" spans="1:26" ht="12.75" customHeight="1" x14ac:dyDescent="0.25">
      <c r="A39" s="292"/>
      <c r="B39" s="292"/>
      <c r="C39" s="292"/>
      <c r="D39" s="292"/>
      <c r="E39" s="292"/>
      <c r="F39" s="292"/>
      <c r="G39" s="292"/>
      <c r="H39" s="292"/>
      <c r="I39" s="292"/>
      <c r="J39" s="292"/>
      <c r="K39" s="292"/>
      <c r="L39" s="292"/>
      <c r="M39" s="292"/>
      <c r="N39" s="292"/>
      <c r="O39" s="292"/>
      <c r="P39" s="292"/>
      <c r="Q39" s="292"/>
      <c r="R39" s="292"/>
      <c r="S39" s="292"/>
      <c r="T39" s="292"/>
      <c r="U39" s="292"/>
      <c r="V39" s="292"/>
      <c r="W39" s="292"/>
      <c r="X39" s="292"/>
      <c r="Y39" s="292"/>
      <c r="Z39" s="292"/>
    </row>
    <row r="40" spans="1:26" ht="12.75" customHeight="1" x14ac:dyDescent="0.25">
      <c r="A40" s="292"/>
      <c r="B40" s="292"/>
      <c r="C40" s="292"/>
      <c r="D40" s="292"/>
      <c r="E40" s="292"/>
      <c r="F40" s="292"/>
      <c r="G40" s="292"/>
      <c r="H40" s="292"/>
      <c r="I40" s="292"/>
      <c r="J40" s="292"/>
      <c r="K40" s="292"/>
      <c r="L40" s="292"/>
      <c r="M40" s="292"/>
      <c r="N40" s="292"/>
      <c r="O40" s="292"/>
      <c r="P40" s="292"/>
      <c r="Q40" s="292"/>
      <c r="R40" s="292"/>
      <c r="S40" s="292"/>
      <c r="T40" s="292"/>
      <c r="U40" s="292"/>
      <c r="V40" s="292"/>
      <c r="W40" s="292"/>
      <c r="X40" s="292"/>
      <c r="Y40" s="292"/>
      <c r="Z40" s="292"/>
    </row>
    <row r="41" spans="1:26" ht="12.75" customHeight="1" x14ac:dyDescent="0.25">
      <c r="A41" s="292"/>
      <c r="B41" s="292"/>
      <c r="C41" s="292"/>
      <c r="D41" s="292"/>
      <c r="E41" s="292"/>
      <c r="F41" s="292"/>
      <c r="G41" s="292"/>
      <c r="H41" s="292"/>
      <c r="I41" s="292"/>
      <c r="J41" s="292"/>
      <c r="K41" s="292"/>
      <c r="L41" s="292"/>
      <c r="M41" s="292"/>
      <c r="N41" s="292"/>
      <c r="O41" s="292"/>
      <c r="P41" s="292"/>
      <c r="Q41" s="292"/>
      <c r="R41" s="292"/>
      <c r="S41" s="292"/>
      <c r="T41" s="292"/>
      <c r="U41" s="292"/>
      <c r="V41" s="292"/>
      <c r="W41" s="292"/>
      <c r="X41" s="292"/>
      <c r="Y41" s="292"/>
      <c r="Z41" s="292"/>
    </row>
    <row r="42" spans="1:26" ht="12.75" customHeight="1" x14ac:dyDescent="0.25">
      <c r="A42" s="292"/>
      <c r="B42" s="292"/>
      <c r="C42" s="292"/>
      <c r="D42" s="292"/>
      <c r="E42" s="292"/>
      <c r="F42" s="292"/>
      <c r="G42" s="292"/>
      <c r="H42" s="292"/>
      <c r="I42" s="292"/>
      <c r="J42" s="292"/>
      <c r="K42" s="292"/>
      <c r="L42" s="292"/>
      <c r="M42" s="292"/>
      <c r="N42" s="292"/>
      <c r="O42" s="292"/>
      <c r="P42" s="292"/>
      <c r="Q42" s="292"/>
      <c r="R42" s="292"/>
      <c r="S42" s="292"/>
      <c r="T42" s="292"/>
      <c r="U42" s="292"/>
      <c r="V42" s="292"/>
      <c r="W42" s="292"/>
      <c r="X42" s="292"/>
      <c r="Y42" s="292"/>
      <c r="Z42" s="292"/>
    </row>
    <row r="43" spans="1:26" ht="12.75" customHeight="1" x14ac:dyDescent="0.25">
      <c r="A43" s="292"/>
      <c r="B43" s="292"/>
      <c r="C43" s="292"/>
      <c r="D43" s="292"/>
      <c r="E43" s="292"/>
      <c r="F43" s="292"/>
      <c r="G43" s="292"/>
      <c r="H43" s="292"/>
      <c r="I43" s="292"/>
      <c r="J43" s="292"/>
      <c r="K43" s="292"/>
      <c r="L43" s="292"/>
      <c r="M43" s="292"/>
      <c r="N43" s="292"/>
      <c r="O43" s="292"/>
      <c r="P43" s="292"/>
      <c r="Q43" s="292"/>
      <c r="R43" s="292"/>
      <c r="S43" s="292"/>
      <c r="T43" s="292"/>
      <c r="U43" s="292"/>
      <c r="V43" s="292"/>
      <c r="W43" s="292"/>
      <c r="X43" s="292"/>
      <c r="Y43" s="292"/>
      <c r="Z43" s="292"/>
    </row>
    <row r="44" spans="1:26" ht="12.75" customHeight="1" x14ac:dyDescent="0.25">
      <c r="A44" s="292"/>
      <c r="B44" s="292"/>
      <c r="C44" s="292"/>
      <c r="D44" s="292"/>
      <c r="E44" s="292"/>
      <c r="F44" s="292"/>
      <c r="G44" s="292"/>
      <c r="H44" s="292"/>
      <c r="I44" s="292"/>
      <c r="J44" s="292"/>
      <c r="K44" s="292"/>
      <c r="L44" s="292"/>
      <c r="M44" s="292"/>
      <c r="N44" s="292"/>
      <c r="O44" s="292"/>
      <c r="P44" s="292"/>
      <c r="Q44" s="292"/>
      <c r="R44" s="292"/>
      <c r="S44" s="292"/>
      <c r="T44" s="292"/>
      <c r="U44" s="292"/>
      <c r="V44" s="292"/>
      <c r="W44" s="292"/>
      <c r="X44" s="292"/>
      <c r="Y44" s="292"/>
      <c r="Z44" s="292"/>
    </row>
    <row r="45" spans="1:26" ht="12.75" customHeight="1" x14ac:dyDescent="0.25">
      <c r="A45" s="292"/>
      <c r="B45" s="292"/>
      <c r="C45" s="292"/>
      <c r="D45" s="292"/>
      <c r="E45" s="292"/>
      <c r="F45" s="292"/>
      <c r="G45" s="292"/>
      <c r="H45" s="292"/>
      <c r="I45" s="292"/>
      <c r="J45" s="292"/>
      <c r="K45" s="292"/>
      <c r="L45" s="292"/>
      <c r="M45" s="292"/>
      <c r="N45" s="292"/>
      <c r="O45" s="292"/>
      <c r="P45" s="292"/>
      <c r="Q45" s="292"/>
      <c r="R45" s="292"/>
      <c r="S45" s="292"/>
      <c r="T45" s="292"/>
      <c r="U45" s="292"/>
      <c r="V45" s="292"/>
      <c r="W45" s="292"/>
      <c r="X45" s="292"/>
      <c r="Y45" s="292"/>
      <c r="Z45" s="292"/>
    </row>
    <row r="46" spans="1:26" ht="12.75" customHeight="1" x14ac:dyDescent="0.25">
      <c r="A46" s="292"/>
      <c r="B46" s="292"/>
      <c r="C46" s="292"/>
      <c r="D46" s="292"/>
      <c r="E46" s="292"/>
      <c r="F46" s="292"/>
      <c r="G46" s="292"/>
      <c r="H46" s="292"/>
      <c r="I46" s="292"/>
      <c r="J46" s="292"/>
      <c r="K46" s="292"/>
      <c r="L46" s="292"/>
      <c r="M46" s="292"/>
      <c r="N46" s="292"/>
      <c r="O46" s="292"/>
      <c r="P46" s="292"/>
      <c r="Q46" s="292"/>
      <c r="R46" s="292"/>
      <c r="S46" s="292"/>
      <c r="T46" s="292"/>
      <c r="U46" s="292"/>
      <c r="V46" s="292"/>
      <c r="W46" s="292"/>
      <c r="X46" s="292"/>
      <c r="Y46" s="292"/>
      <c r="Z46" s="292"/>
    </row>
    <row r="47" spans="1:26" ht="12.75" customHeight="1" x14ac:dyDescent="0.25">
      <c r="A47" s="292"/>
      <c r="B47" s="292"/>
      <c r="C47" s="292"/>
      <c r="D47" s="292"/>
      <c r="E47" s="292"/>
      <c r="F47" s="292"/>
      <c r="G47" s="292"/>
      <c r="H47" s="292"/>
      <c r="I47" s="292"/>
      <c r="J47" s="292"/>
      <c r="K47" s="292"/>
      <c r="L47" s="292"/>
      <c r="M47" s="292"/>
      <c r="N47" s="292"/>
      <c r="O47" s="292"/>
      <c r="P47" s="292"/>
      <c r="Q47" s="292"/>
      <c r="R47" s="292"/>
      <c r="S47" s="292"/>
      <c r="T47" s="292"/>
      <c r="U47" s="292"/>
      <c r="V47" s="292"/>
      <c r="W47" s="292"/>
      <c r="X47" s="292"/>
      <c r="Y47" s="292"/>
      <c r="Z47" s="292"/>
    </row>
    <row r="48" spans="1:26" ht="12.75" customHeight="1" x14ac:dyDescent="0.25">
      <c r="A48" s="292"/>
      <c r="B48" s="292"/>
      <c r="C48" s="292"/>
      <c r="D48" s="292"/>
      <c r="E48" s="292"/>
      <c r="F48" s="292"/>
      <c r="G48" s="292"/>
      <c r="H48" s="292"/>
      <c r="I48" s="292"/>
      <c r="J48" s="292"/>
      <c r="K48" s="292"/>
      <c r="L48" s="292"/>
      <c r="M48" s="292"/>
      <c r="N48" s="292"/>
      <c r="O48" s="292"/>
      <c r="P48" s="292"/>
      <c r="Q48" s="292"/>
      <c r="R48" s="292"/>
      <c r="S48" s="292"/>
      <c r="T48" s="292"/>
      <c r="U48" s="292"/>
      <c r="V48" s="292"/>
      <c r="W48" s="292"/>
      <c r="X48" s="292"/>
      <c r="Y48" s="292"/>
      <c r="Z48" s="292"/>
    </row>
    <row r="49" spans="1:26" ht="12.75" customHeight="1" x14ac:dyDescent="0.25">
      <c r="A49" s="292"/>
      <c r="B49" s="292"/>
      <c r="C49" s="292"/>
      <c r="D49" s="292"/>
      <c r="E49" s="292"/>
      <c r="F49" s="292"/>
      <c r="G49" s="292"/>
      <c r="H49" s="292"/>
      <c r="I49" s="292"/>
      <c r="J49" s="292"/>
      <c r="K49" s="292"/>
      <c r="L49" s="292"/>
      <c r="M49" s="292"/>
      <c r="N49" s="292"/>
      <c r="O49" s="292"/>
      <c r="P49" s="292"/>
      <c r="Q49" s="292"/>
      <c r="R49" s="292"/>
      <c r="S49" s="292"/>
      <c r="T49" s="292"/>
      <c r="U49" s="292"/>
      <c r="V49" s="292"/>
      <c r="W49" s="292"/>
      <c r="X49" s="292"/>
      <c r="Y49" s="292"/>
      <c r="Z49" s="292"/>
    </row>
    <row r="50" spans="1:26" ht="12.75" customHeight="1" x14ac:dyDescent="0.25">
      <c r="A50" s="292"/>
      <c r="B50" s="292"/>
      <c r="C50" s="292"/>
      <c r="D50" s="292"/>
      <c r="E50" s="292"/>
      <c r="F50" s="292"/>
      <c r="G50" s="292"/>
      <c r="H50" s="292"/>
      <c r="I50" s="292"/>
      <c r="J50" s="292"/>
      <c r="K50" s="292"/>
      <c r="L50" s="292"/>
      <c r="M50" s="292"/>
      <c r="N50" s="292"/>
      <c r="O50" s="292"/>
      <c r="P50" s="292"/>
      <c r="Q50" s="292"/>
      <c r="R50" s="292"/>
      <c r="S50" s="292"/>
      <c r="T50" s="292"/>
      <c r="U50" s="292"/>
      <c r="V50" s="292"/>
      <c r="W50" s="292"/>
      <c r="X50" s="292"/>
      <c r="Y50" s="292"/>
      <c r="Z50" s="292"/>
    </row>
    <row r="51" spans="1:26" ht="12.75" customHeight="1" x14ac:dyDescent="0.25">
      <c r="A51" s="292"/>
      <c r="B51" s="292"/>
      <c r="C51" s="292"/>
      <c r="D51" s="292"/>
      <c r="E51" s="292"/>
      <c r="F51" s="292"/>
      <c r="G51" s="292"/>
      <c r="H51" s="292"/>
      <c r="I51" s="292"/>
      <c r="J51" s="292"/>
      <c r="K51" s="292"/>
      <c r="L51" s="292"/>
      <c r="M51" s="292"/>
      <c r="N51" s="292"/>
      <c r="O51" s="292"/>
      <c r="P51" s="292"/>
      <c r="Q51" s="292"/>
      <c r="R51" s="292"/>
      <c r="S51" s="292"/>
      <c r="T51" s="292"/>
      <c r="U51" s="292"/>
      <c r="V51" s="292"/>
      <c r="W51" s="292"/>
      <c r="X51" s="292"/>
      <c r="Y51" s="292"/>
      <c r="Z51" s="292"/>
    </row>
    <row r="52" spans="1:26" ht="12.75" customHeight="1" x14ac:dyDescent="0.25">
      <c r="A52" s="292"/>
      <c r="B52" s="292"/>
      <c r="C52" s="292"/>
      <c r="D52" s="292"/>
      <c r="E52" s="292"/>
      <c r="F52" s="292"/>
      <c r="G52" s="292"/>
      <c r="H52" s="292"/>
      <c r="I52" s="292"/>
      <c r="J52" s="292"/>
      <c r="K52" s="292"/>
      <c r="L52" s="292"/>
      <c r="M52" s="292"/>
      <c r="N52" s="292"/>
      <c r="O52" s="292"/>
      <c r="P52" s="292"/>
      <c r="Q52" s="292"/>
      <c r="R52" s="292"/>
      <c r="S52" s="292"/>
      <c r="T52" s="292"/>
      <c r="U52" s="292"/>
      <c r="V52" s="292"/>
      <c r="W52" s="292"/>
      <c r="X52" s="292"/>
      <c r="Y52" s="292"/>
      <c r="Z52" s="292"/>
    </row>
    <row r="53" spans="1:26" ht="12.75" customHeight="1" x14ac:dyDescent="0.25">
      <c r="A53" s="292"/>
      <c r="B53" s="292"/>
      <c r="C53" s="292"/>
      <c r="D53" s="292"/>
      <c r="E53" s="292"/>
      <c r="F53" s="292"/>
      <c r="G53" s="292"/>
      <c r="H53" s="292"/>
      <c r="I53" s="292"/>
      <c r="J53" s="292"/>
      <c r="K53" s="292"/>
      <c r="L53" s="292"/>
      <c r="M53" s="292"/>
      <c r="N53" s="292"/>
      <c r="O53" s="292"/>
      <c r="P53" s="292"/>
      <c r="Q53" s="292"/>
      <c r="R53" s="292"/>
      <c r="S53" s="292"/>
      <c r="T53" s="292"/>
      <c r="U53" s="292"/>
      <c r="V53" s="292"/>
      <c r="W53" s="292"/>
      <c r="X53" s="292"/>
      <c r="Y53" s="292"/>
      <c r="Z53" s="292"/>
    </row>
    <row r="54" spans="1:26" ht="12.75" customHeight="1" x14ac:dyDescent="0.25">
      <c r="A54" s="292"/>
      <c r="B54" s="292"/>
      <c r="C54" s="292"/>
      <c r="D54" s="292"/>
      <c r="E54" s="292"/>
      <c r="F54" s="292"/>
      <c r="G54" s="292"/>
      <c r="H54" s="292"/>
      <c r="I54" s="292"/>
      <c r="J54" s="292"/>
      <c r="K54" s="292"/>
      <c r="L54" s="292"/>
      <c r="M54" s="292"/>
      <c r="N54" s="292"/>
      <c r="O54" s="292"/>
      <c r="P54" s="292"/>
      <c r="Q54" s="292"/>
      <c r="R54" s="292"/>
      <c r="S54" s="292"/>
      <c r="T54" s="292"/>
      <c r="U54" s="292"/>
      <c r="V54" s="292"/>
      <c r="W54" s="292"/>
      <c r="X54" s="292"/>
      <c r="Y54" s="292"/>
      <c r="Z54" s="292"/>
    </row>
    <row r="55" spans="1:26" ht="12.75" customHeight="1" x14ac:dyDescent="0.25">
      <c r="A55" s="292"/>
      <c r="B55" s="292"/>
      <c r="C55" s="292"/>
      <c r="D55" s="292"/>
      <c r="E55" s="292"/>
      <c r="F55" s="292"/>
      <c r="G55" s="292"/>
      <c r="H55" s="292"/>
      <c r="I55" s="292"/>
      <c r="J55" s="292"/>
      <c r="K55" s="292"/>
      <c r="L55" s="292"/>
      <c r="M55" s="292"/>
      <c r="N55" s="292"/>
      <c r="O55" s="292"/>
      <c r="P55" s="292"/>
      <c r="Q55" s="292"/>
      <c r="R55" s="292"/>
      <c r="S55" s="292"/>
      <c r="T55" s="292"/>
      <c r="U55" s="292"/>
      <c r="V55" s="292"/>
      <c r="W55" s="292"/>
      <c r="X55" s="292"/>
      <c r="Y55" s="292"/>
      <c r="Z55" s="292"/>
    </row>
    <row r="56" spans="1:26" ht="12.75" customHeight="1" x14ac:dyDescent="0.25">
      <c r="A56" s="292"/>
      <c r="B56" s="292"/>
      <c r="C56" s="292"/>
      <c r="D56" s="292"/>
      <c r="E56" s="292"/>
      <c r="F56" s="292"/>
      <c r="G56" s="292"/>
      <c r="H56" s="292"/>
      <c r="I56" s="292"/>
      <c r="J56" s="292"/>
      <c r="K56" s="292"/>
      <c r="L56" s="292"/>
      <c r="M56" s="292"/>
      <c r="N56" s="292"/>
      <c r="O56" s="292"/>
      <c r="P56" s="292"/>
      <c r="Q56" s="292"/>
      <c r="R56" s="292"/>
      <c r="S56" s="292"/>
      <c r="T56" s="292"/>
      <c r="U56" s="292"/>
      <c r="V56" s="292"/>
      <c r="W56" s="292"/>
      <c r="X56" s="292"/>
      <c r="Y56" s="292"/>
      <c r="Z56" s="292"/>
    </row>
    <row r="57" spans="1:26" ht="12.75" customHeight="1" x14ac:dyDescent="0.25">
      <c r="A57" s="292"/>
      <c r="B57" s="292"/>
      <c r="C57" s="292"/>
      <c r="D57" s="292"/>
      <c r="E57" s="292"/>
      <c r="F57" s="292"/>
      <c r="G57" s="292"/>
      <c r="H57" s="292"/>
      <c r="I57" s="292"/>
      <c r="J57" s="292"/>
      <c r="K57" s="292"/>
      <c r="L57" s="292"/>
      <c r="M57" s="292"/>
      <c r="N57" s="292"/>
      <c r="O57" s="292"/>
      <c r="P57" s="292"/>
      <c r="Q57" s="292"/>
      <c r="R57" s="292"/>
      <c r="S57" s="292"/>
      <c r="T57" s="292"/>
      <c r="U57" s="292"/>
      <c r="V57" s="292"/>
      <c r="W57" s="292"/>
      <c r="X57" s="292"/>
      <c r="Y57" s="292"/>
      <c r="Z57" s="292"/>
    </row>
    <row r="58" spans="1:26" ht="12.75" customHeight="1" x14ac:dyDescent="0.25">
      <c r="A58" s="292"/>
      <c r="B58" s="292"/>
      <c r="C58" s="292"/>
      <c r="D58" s="292"/>
      <c r="E58" s="292"/>
      <c r="F58" s="292"/>
      <c r="G58" s="292"/>
      <c r="H58" s="292"/>
      <c r="I58" s="292"/>
      <c r="J58" s="292"/>
      <c r="K58" s="292"/>
      <c r="L58" s="292"/>
      <c r="M58" s="292"/>
      <c r="N58" s="292"/>
      <c r="O58" s="292"/>
      <c r="P58" s="292"/>
      <c r="Q58" s="292"/>
      <c r="R58" s="292"/>
      <c r="S58" s="292"/>
      <c r="T58" s="292"/>
      <c r="U58" s="292"/>
      <c r="V58" s="292"/>
      <c r="W58" s="292"/>
      <c r="X58" s="292"/>
      <c r="Y58" s="292"/>
      <c r="Z58" s="292"/>
    </row>
    <row r="59" spans="1:26" ht="12.75" customHeight="1" x14ac:dyDescent="0.25">
      <c r="A59" s="292"/>
      <c r="B59" s="292"/>
      <c r="C59" s="292"/>
      <c r="D59" s="292"/>
      <c r="E59" s="292"/>
      <c r="F59" s="292"/>
      <c r="G59" s="292"/>
      <c r="H59" s="292"/>
      <c r="I59" s="292"/>
      <c r="J59" s="292"/>
      <c r="K59" s="292"/>
      <c r="L59" s="292"/>
      <c r="M59" s="292"/>
      <c r="N59" s="292"/>
      <c r="O59" s="292"/>
      <c r="P59" s="292"/>
      <c r="Q59" s="292"/>
      <c r="R59" s="292"/>
      <c r="S59" s="292"/>
      <c r="T59" s="292"/>
      <c r="U59" s="292"/>
      <c r="V59" s="292"/>
      <c r="W59" s="292"/>
      <c r="X59" s="292"/>
      <c r="Y59" s="292"/>
      <c r="Z59" s="292"/>
    </row>
    <row r="60" spans="1:26" ht="12.75" customHeight="1" x14ac:dyDescent="0.25">
      <c r="A60" s="292"/>
      <c r="B60" s="292"/>
      <c r="C60" s="292"/>
      <c r="D60" s="292"/>
      <c r="E60" s="292"/>
      <c r="F60" s="292"/>
      <c r="G60" s="292"/>
      <c r="H60" s="292"/>
      <c r="I60" s="292"/>
      <c r="J60" s="292"/>
      <c r="K60" s="292"/>
      <c r="L60" s="292"/>
      <c r="M60" s="292"/>
      <c r="N60" s="292"/>
      <c r="O60" s="292"/>
      <c r="P60" s="292"/>
      <c r="Q60" s="292"/>
      <c r="R60" s="292"/>
      <c r="S60" s="292"/>
      <c r="T60" s="292"/>
      <c r="U60" s="292"/>
      <c r="V60" s="292"/>
      <c r="W60" s="292"/>
      <c r="X60" s="292"/>
      <c r="Y60" s="292"/>
      <c r="Z60" s="292"/>
    </row>
    <row r="61" spans="1:26" ht="12.75" customHeight="1" x14ac:dyDescent="0.25">
      <c r="A61" s="292"/>
      <c r="B61" s="292"/>
      <c r="C61" s="292"/>
      <c r="D61" s="292"/>
      <c r="E61" s="292"/>
      <c r="F61" s="292"/>
      <c r="G61" s="292"/>
      <c r="H61" s="292"/>
      <c r="I61" s="292"/>
      <c r="J61" s="292"/>
      <c r="K61" s="292"/>
      <c r="L61" s="292"/>
      <c r="M61" s="292"/>
      <c r="N61" s="292"/>
      <c r="O61" s="292"/>
      <c r="P61" s="292"/>
      <c r="Q61" s="292"/>
      <c r="R61" s="292"/>
      <c r="S61" s="292"/>
      <c r="T61" s="292"/>
      <c r="U61" s="292"/>
      <c r="V61" s="292"/>
      <c r="W61" s="292"/>
      <c r="X61" s="292"/>
      <c r="Y61" s="292"/>
      <c r="Z61" s="292"/>
    </row>
    <row r="62" spans="1:26" ht="12.75" customHeight="1" x14ac:dyDescent="0.25">
      <c r="A62" s="292"/>
      <c r="B62" s="292"/>
      <c r="C62" s="292"/>
      <c r="D62" s="292"/>
      <c r="E62" s="292"/>
      <c r="F62" s="292"/>
      <c r="G62" s="292"/>
      <c r="H62" s="292"/>
      <c r="I62" s="292"/>
      <c r="J62" s="292"/>
      <c r="K62" s="292"/>
      <c r="L62" s="292"/>
      <c r="M62" s="292"/>
      <c r="N62" s="292"/>
      <c r="O62" s="292"/>
      <c r="P62" s="292"/>
      <c r="Q62" s="292"/>
      <c r="R62" s="292"/>
      <c r="S62" s="292"/>
      <c r="T62" s="292"/>
      <c r="U62" s="292"/>
      <c r="V62" s="292"/>
      <c r="W62" s="292"/>
      <c r="X62" s="292"/>
      <c r="Y62" s="292"/>
      <c r="Z62" s="292"/>
    </row>
    <row r="63" spans="1:26" ht="12.75" customHeight="1" x14ac:dyDescent="0.25">
      <c r="A63" s="292"/>
      <c r="B63" s="292"/>
      <c r="C63" s="292"/>
      <c r="D63" s="292"/>
      <c r="E63" s="292"/>
      <c r="F63" s="292"/>
      <c r="G63" s="292"/>
      <c r="H63" s="292"/>
      <c r="I63" s="292"/>
      <c r="J63" s="292"/>
      <c r="K63" s="292"/>
      <c r="L63" s="292"/>
      <c r="M63" s="292"/>
      <c r="N63" s="292"/>
      <c r="O63" s="292"/>
      <c r="P63" s="292"/>
      <c r="Q63" s="292"/>
      <c r="R63" s="292"/>
      <c r="S63" s="292"/>
      <c r="T63" s="292"/>
      <c r="U63" s="292"/>
      <c r="V63" s="292"/>
      <c r="W63" s="292"/>
      <c r="X63" s="292"/>
      <c r="Y63" s="292"/>
      <c r="Z63" s="292"/>
    </row>
    <row r="64" spans="1:26" ht="12.75" customHeight="1" x14ac:dyDescent="0.25">
      <c r="A64" s="292"/>
      <c r="B64" s="292"/>
      <c r="C64" s="292"/>
      <c r="D64" s="292"/>
      <c r="E64" s="292"/>
      <c r="F64" s="292"/>
      <c r="G64" s="292"/>
      <c r="H64" s="292"/>
      <c r="I64" s="292"/>
      <c r="J64" s="292"/>
      <c r="K64" s="292"/>
      <c r="L64" s="292"/>
      <c r="M64" s="292"/>
      <c r="N64" s="292"/>
      <c r="O64" s="292"/>
      <c r="P64" s="292"/>
      <c r="Q64" s="292"/>
      <c r="R64" s="292"/>
      <c r="S64" s="292"/>
      <c r="T64" s="292"/>
      <c r="U64" s="292"/>
      <c r="V64" s="292"/>
      <c r="W64" s="292"/>
      <c r="X64" s="292"/>
      <c r="Y64" s="292"/>
      <c r="Z64" s="292"/>
    </row>
    <row r="65" spans="1:26" ht="12.75" customHeight="1" x14ac:dyDescent="0.25">
      <c r="A65" s="292"/>
      <c r="B65" s="292"/>
      <c r="C65" s="292"/>
      <c r="D65" s="292"/>
      <c r="E65" s="292"/>
      <c r="F65" s="292"/>
      <c r="G65" s="292"/>
      <c r="H65" s="292"/>
      <c r="I65" s="292"/>
      <c r="J65" s="292"/>
      <c r="K65" s="292"/>
      <c r="L65" s="292"/>
      <c r="M65" s="292"/>
      <c r="N65" s="292"/>
      <c r="O65" s="292"/>
      <c r="P65" s="292"/>
      <c r="Q65" s="292"/>
      <c r="R65" s="292"/>
      <c r="S65" s="292"/>
      <c r="T65" s="292"/>
      <c r="U65" s="292"/>
      <c r="V65" s="292"/>
      <c r="W65" s="292"/>
      <c r="X65" s="292"/>
      <c r="Y65" s="292"/>
      <c r="Z65" s="292"/>
    </row>
    <row r="66" spans="1:26" ht="12.75" customHeight="1" x14ac:dyDescent="0.25">
      <c r="A66" s="292"/>
      <c r="B66" s="292"/>
      <c r="C66" s="292"/>
      <c r="D66" s="292"/>
      <c r="E66" s="292"/>
      <c r="F66" s="292"/>
      <c r="G66" s="292"/>
      <c r="H66" s="292"/>
      <c r="I66" s="292"/>
      <c r="J66" s="292"/>
      <c r="K66" s="292"/>
      <c r="L66" s="292"/>
      <c r="M66" s="292"/>
      <c r="N66" s="292"/>
      <c r="O66" s="292"/>
      <c r="P66" s="292"/>
      <c r="Q66" s="292"/>
      <c r="R66" s="292"/>
      <c r="S66" s="292"/>
      <c r="T66" s="292"/>
      <c r="U66" s="292"/>
      <c r="V66" s="292"/>
      <c r="W66" s="292"/>
      <c r="X66" s="292"/>
      <c r="Y66" s="292"/>
      <c r="Z66" s="292"/>
    </row>
    <row r="67" spans="1:26" ht="12.75" customHeight="1" x14ac:dyDescent="0.25">
      <c r="A67" s="292"/>
      <c r="B67" s="292"/>
      <c r="C67" s="292"/>
      <c r="D67" s="292"/>
      <c r="E67" s="292"/>
      <c r="F67" s="292"/>
      <c r="G67" s="292"/>
      <c r="H67" s="292"/>
      <c r="I67" s="292"/>
      <c r="J67" s="292"/>
      <c r="K67" s="292"/>
      <c r="L67" s="292"/>
      <c r="M67" s="292"/>
      <c r="N67" s="292"/>
      <c r="O67" s="292"/>
      <c r="P67" s="292"/>
      <c r="Q67" s="292"/>
      <c r="R67" s="292"/>
      <c r="S67" s="292"/>
      <c r="T67" s="292"/>
      <c r="U67" s="292"/>
      <c r="V67" s="292"/>
      <c r="W67" s="292"/>
      <c r="X67" s="292"/>
      <c r="Y67" s="292"/>
      <c r="Z67" s="292"/>
    </row>
    <row r="68" spans="1:26" ht="12.75" customHeight="1" x14ac:dyDescent="0.25">
      <c r="A68" s="292"/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2"/>
      <c r="Q68" s="292"/>
      <c r="R68" s="292"/>
      <c r="S68" s="292"/>
      <c r="T68" s="292"/>
      <c r="U68" s="292"/>
      <c r="V68" s="292"/>
      <c r="W68" s="292"/>
      <c r="X68" s="292"/>
      <c r="Y68" s="292"/>
      <c r="Z68" s="292"/>
    </row>
    <row r="69" spans="1:26" ht="12.75" customHeight="1" x14ac:dyDescent="0.25">
      <c r="A69" s="292"/>
      <c r="B69" s="292"/>
      <c r="C69" s="292"/>
      <c r="D69" s="292"/>
      <c r="E69" s="292"/>
      <c r="F69" s="292"/>
      <c r="G69" s="292"/>
      <c r="H69" s="292"/>
      <c r="I69" s="292"/>
      <c r="J69" s="292"/>
      <c r="K69" s="292"/>
      <c r="L69" s="292"/>
      <c r="M69" s="292"/>
      <c r="N69" s="292"/>
      <c r="O69" s="292"/>
      <c r="P69" s="292"/>
      <c r="Q69" s="292"/>
      <c r="R69" s="292"/>
      <c r="S69" s="292"/>
      <c r="T69" s="292"/>
      <c r="U69" s="292"/>
      <c r="V69" s="292"/>
      <c r="W69" s="292"/>
      <c r="X69" s="292"/>
      <c r="Y69" s="292"/>
      <c r="Z69" s="292"/>
    </row>
    <row r="70" spans="1:26" ht="12.75" customHeight="1" x14ac:dyDescent="0.25">
      <c r="A70" s="292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2"/>
      <c r="Q70" s="292"/>
      <c r="R70" s="292"/>
      <c r="S70" s="292"/>
      <c r="T70" s="292"/>
      <c r="U70" s="292"/>
      <c r="V70" s="292"/>
      <c r="W70" s="292"/>
      <c r="X70" s="292"/>
      <c r="Y70" s="292"/>
      <c r="Z70" s="292"/>
    </row>
    <row r="71" spans="1:26" ht="12.75" customHeight="1" x14ac:dyDescent="0.25">
      <c r="A71" s="292"/>
      <c r="B71" s="292"/>
      <c r="C71" s="292"/>
      <c r="D71" s="292"/>
      <c r="E71" s="292"/>
      <c r="F71" s="292"/>
      <c r="G71" s="292"/>
      <c r="H71" s="292"/>
      <c r="I71" s="292"/>
      <c r="J71" s="292"/>
      <c r="K71" s="292"/>
      <c r="L71" s="292"/>
      <c r="M71" s="292"/>
      <c r="N71" s="292"/>
      <c r="O71" s="292"/>
      <c r="P71" s="292"/>
      <c r="Q71" s="292"/>
      <c r="R71" s="292"/>
      <c r="S71" s="292"/>
      <c r="T71" s="292"/>
      <c r="U71" s="292"/>
      <c r="V71" s="292"/>
      <c r="W71" s="292"/>
      <c r="X71" s="292"/>
      <c r="Y71" s="292"/>
      <c r="Z71" s="292"/>
    </row>
    <row r="72" spans="1:26" ht="12.75" customHeight="1" x14ac:dyDescent="0.25">
      <c r="A72" s="292"/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2"/>
      <c r="Q72" s="292"/>
      <c r="R72" s="292"/>
      <c r="S72" s="292"/>
      <c r="T72" s="292"/>
      <c r="U72" s="292"/>
      <c r="V72" s="292"/>
      <c r="W72" s="292"/>
      <c r="X72" s="292"/>
      <c r="Y72" s="292"/>
      <c r="Z72" s="292"/>
    </row>
    <row r="73" spans="1:26" ht="12.75" customHeight="1" x14ac:dyDescent="0.25">
      <c r="A73" s="292"/>
      <c r="B73" s="292"/>
      <c r="C73" s="292"/>
      <c r="D73" s="292"/>
      <c r="E73" s="292"/>
      <c r="F73" s="292"/>
      <c r="G73" s="292"/>
      <c r="H73" s="292"/>
      <c r="I73" s="292"/>
      <c r="J73" s="292"/>
      <c r="K73" s="292"/>
      <c r="L73" s="292"/>
      <c r="M73" s="292"/>
      <c r="N73" s="292"/>
      <c r="O73" s="292"/>
      <c r="P73" s="292"/>
      <c r="Q73" s="292"/>
      <c r="R73" s="292"/>
      <c r="S73" s="292"/>
      <c r="T73" s="292"/>
      <c r="U73" s="292"/>
      <c r="V73" s="292"/>
      <c r="W73" s="292"/>
      <c r="X73" s="292"/>
      <c r="Y73" s="292"/>
      <c r="Z73" s="292"/>
    </row>
    <row r="74" spans="1:26" ht="12.75" customHeight="1" x14ac:dyDescent="0.25">
      <c r="A74" s="292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2"/>
      <c r="Q74" s="292"/>
      <c r="R74" s="292"/>
      <c r="S74" s="292"/>
      <c r="T74" s="292"/>
      <c r="U74" s="292"/>
      <c r="V74" s="292"/>
      <c r="W74" s="292"/>
      <c r="X74" s="292"/>
      <c r="Y74" s="292"/>
      <c r="Z74" s="292"/>
    </row>
    <row r="75" spans="1:26" ht="12.75" customHeight="1" x14ac:dyDescent="0.25">
      <c r="A75" s="292"/>
      <c r="B75" s="292"/>
      <c r="C75" s="292"/>
      <c r="D75" s="292"/>
      <c r="E75" s="292"/>
      <c r="F75" s="292"/>
      <c r="G75" s="292"/>
      <c r="H75" s="292"/>
      <c r="I75" s="292"/>
      <c r="J75" s="292"/>
      <c r="K75" s="292"/>
      <c r="L75" s="292"/>
      <c r="M75" s="292"/>
      <c r="N75" s="292"/>
      <c r="O75" s="292"/>
      <c r="P75" s="292"/>
      <c r="Q75" s="292"/>
      <c r="R75" s="292"/>
      <c r="S75" s="292"/>
      <c r="T75" s="292"/>
      <c r="U75" s="292"/>
      <c r="V75" s="292"/>
      <c r="W75" s="292"/>
      <c r="X75" s="292"/>
      <c r="Y75" s="292"/>
      <c r="Z75" s="292"/>
    </row>
    <row r="76" spans="1:26" ht="12.75" customHeight="1" x14ac:dyDescent="0.25">
      <c r="A76" s="292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2"/>
      <c r="Q76" s="292"/>
      <c r="R76" s="292"/>
      <c r="S76" s="292"/>
      <c r="T76" s="292"/>
      <c r="U76" s="292"/>
      <c r="V76" s="292"/>
      <c r="W76" s="292"/>
      <c r="X76" s="292"/>
      <c r="Y76" s="292"/>
      <c r="Z76" s="292"/>
    </row>
    <row r="77" spans="1:26" ht="12.75" customHeight="1" x14ac:dyDescent="0.25">
      <c r="A77" s="292"/>
      <c r="B77" s="292"/>
      <c r="C77" s="292"/>
      <c r="D77" s="292"/>
      <c r="E77" s="292"/>
      <c r="F77" s="292"/>
      <c r="G77" s="292"/>
      <c r="H77" s="292"/>
      <c r="I77" s="292"/>
      <c r="J77" s="292"/>
      <c r="K77" s="292"/>
      <c r="L77" s="292"/>
      <c r="M77" s="292"/>
      <c r="N77" s="292"/>
      <c r="O77" s="292"/>
      <c r="P77" s="292"/>
      <c r="Q77" s="292"/>
      <c r="R77" s="292"/>
      <c r="S77" s="292"/>
      <c r="T77" s="292"/>
      <c r="U77" s="292"/>
      <c r="V77" s="292"/>
      <c r="W77" s="292"/>
      <c r="X77" s="292"/>
      <c r="Y77" s="292"/>
      <c r="Z77" s="292"/>
    </row>
    <row r="78" spans="1:26" ht="12.75" customHeight="1" x14ac:dyDescent="0.25">
      <c r="A78" s="292"/>
      <c r="B78" s="292"/>
      <c r="C78" s="292"/>
      <c r="D78" s="292"/>
      <c r="E78" s="292"/>
      <c r="F78" s="292"/>
      <c r="G78" s="292"/>
      <c r="H78" s="292"/>
      <c r="I78" s="292"/>
      <c r="J78" s="292"/>
      <c r="K78" s="292"/>
      <c r="L78" s="292"/>
      <c r="M78" s="292"/>
      <c r="N78" s="292"/>
      <c r="O78" s="292"/>
      <c r="P78" s="292"/>
      <c r="Q78" s="292"/>
      <c r="R78" s="292"/>
      <c r="S78" s="292"/>
      <c r="T78" s="292"/>
      <c r="U78" s="292"/>
      <c r="V78" s="292"/>
      <c r="W78" s="292"/>
      <c r="X78" s="292"/>
      <c r="Y78" s="292"/>
      <c r="Z78" s="292"/>
    </row>
    <row r="79" spans="1:26" ht="12.75" customHeight="1" x14ac:dyDescent="0.25">
      <c r="A79" s="292"/>
      <c r="B79" s="292"/>
      <c r="C79" s="292"/>
      <c r="D79" s="292"/>
      <c r="E79" s="292"/>
      <c r="F79" s="292"/>
      <c r="G79" s="292"/>
      <c r="H79" s="292"/>
      <c r="I79" s="292"/>
      <c r="J79" s="292"/>
      <c r="K79" s="292"/>
      <c r="L79" s="292"/>
      <c r="M79" s="292"/>
      <c r="N79" s="292"/>
      <c r="O79" s="292"/>
      <c r="P79" s="292"/>
      <c r="Q79" s="292"/>
      <c r="R79" s="292"/>
      <c r="S79" s="292"/>
      <c r="T79" s="292"/>
      <c r="U79" s="292"/>
      <c r="V79" s="292"/>
      <c r="W79" s="292"/>
      <c r="X79" s="292"/>
      <c r="Y79" s="292"/>
      <c r="Z79" s="292"/>
    </row>
    <row r="80" spans="1:26" ht="12.75" customHeight="1" x14ac:dyDescent="0.25">
      <c r="A80" s="292"/>
      <c r="B80" s="292"/>
      <c r="C80" s="292"/>
      <c r="D80" s="292"/>
      <c r="E80" s="292"/>
      <c r="F80" s="292"/>
      <c r="G80" s="292"/>
      <c r="H80" s="292"/>
      <c r="I80" s="292"/>
      <c r="J80" s="292"/>
      <c r="K80" s="292"/>
      <c r="L80" s="292"/>
      <c r="M80" s="292"/>
      <c r="N80" s="292"/>
      <c r="O80" s="292"/>
      <c r="P80" s="292"/>
      <c r="Q80" s="292"/>
      <c r="R80" s="292"/>
      <c r="S80" s="292"/>
      <c r="T80" s="292"/>
      <c r="U80" s="292"/>
      <c r="V80" s="292"/>
      <c r="W80" s="292"/>
      <c r="X80" s="292"/>
      <c r="Y80" s="292"/>
      <c r="Z80" s="292"/>
    </row>
    <row r="81" spans="1:26" ht="12.75" customHeight="1" x14ac:dyDescent="0.25">
      <c r="A81" s="292"/>
      <c r="B81" s="292"/>
      <c r="C81" s="292"/>
      <c r="D81" s="292"/>
      <c r="E81" s="292"/>
      <c r="F81" s="292"/>
      <c r="G81" s="292"/>
      <c r="H81" s="292"/>
      <c r="I81" s="292"/>
      <c r="J81" s="292"/>
      <c r="K81" s="292"/>
      <c r="L81" s="292"/>
      <c r="M81" s="292"/>
      <c r="N81" s="292"/>
      <c r="O81" s="292"/>
      <c r="P81" s="292"/>
      <c r="Q81" s="292"/>
      <c r="R81" s="292"/>
      <c r="S81" s="292"/>
      <c r="T81" s="292"/>
      <c r="U81" s="292"/>
      <c r="V81" s="292"/>
      <c r="W81" s="292"/>
      <c r="X81" s="292"/>
      <c r="Y81" s="292"/>
      <c r="Z81" s="292"/>
    </row>
    <row r="82" spans="1:26" ht="12.75" customHeight="1" x14ac:dyDescent="0.25">
      <c r="A82" s="292"/>
      <c r="B82" s="292"/>
      <c r="C82" s="292"/>
      <c r="D82" s="292"/>
      <c r="E82" s="292"/>
      <c r="F82" s="292"/>
      <c r="G82" s="292"/>
      <c r="H82" s="292"/>
      <c r="I82" s="292"/>
      <c r="J82" s="292"/>
      <c r="K82" s="292"/>
      <c r="L82" s="292"/>
      <c r="M82" s="292"/>
      <c r="N82" s="292"/>
      <c r="O82" s="292"/>
      <c r="P82" s="292"/>
      <c r="Q82" s="292"/>
      <c r="R82" s="292"/>
      <c r="S82" s="292"/>
      <c r="T82" s="292"/>
      <c r="U82" s="292"/>
      <c r="V82" s="292"/>
      <c r="W82" s="292"/>
      <c r="X82" s="292"/>
      <c r="Y82" s="292"/>
      <c r="Z82" s="292"/>
    </row>
    <row r="83" spans="1:26" ht="12.75" customHeight="1" x14ac:dyDescent="0.25">
      <c r="A83" s="292"/>
      <c r="B83" s="292"/>
      <c r="C83" s="292"/>
      <c r="D83" s="292"/>
      <c r="E83" s="292"/>
      <c r="F83" s="292"/>
      <c r="G83" s="292"/>
      <c r="H83" s="292"/>
      <c r="I83" s="292"/>
      <c r="J83" s="292"/>
      <c r="K83" s="292"/>
      <c r="L83" s="292"/>
      <c r="M83" s="292"/>
      <c r="N83" s="292"/>
      <c r="O83" s="292"/>
      <c r="P83" s="292"/>
      <c r="Q83" s="292"/>
      <c r="R83" s="292"/>
      <c r="S83" s="292"/>
      <c r="T83" s="292"/>
      <c r="U83" s="292"/>
      <c r="V83" s="292"/>
      <c r="W83" s="292"/>
      <c r="X83" s="292"/>
      <c r="Y83" s="292"/>
      <c r="Z83" s="292"/>
    </row>
    <row r="84" spans="1:26" ht="12.75" customHeight="1" x14ac:dyDescent="0.25">
      <c r="A84" s="292"/>
      <c r="B84" s="292"/>
      <c r="C84" s="292"/>
      <c r="D84" s="292"/>
      <c r="E84" s="292"/>
      <c r="F84" s="292"/>
      <c r="G84" s="292"/>
      <c r="H84" s="292"/>
      <c r="I84" s="292"/>
      <c r="J84" s="292"/>
      <c r="K84" s="292"/>
      <c r="L84" s="292"/>
      <c r="M84" s="292"/>
      <c r="N84" s="292"/>
      <c r="O84" s="292"/>
      <c r="P84" s="292"/>
      <c r="Q84" s="292"/>
      <c r="R84" s="292"/>
      <c r="S84" s="292"/>
      <c r="T84" s="292"/>
      <c r="U84" s="292"/>
      <c r="V84" s="292"/>
      <c r="W84" s="292"/>
      <c r="X84" s="292"/>
      <c r="Y84" s="292"/>
      <c r="Z84" s="292"/>
    </row>
    <row r="85" spans="1:26" ht="12.75" customHeight="1" x14ac:dyDescent="0.25">
      <c r="A85" s="292"/>
      <c r="B85" s="292"/>
      <c r="C85" s="292"/>
      <c r="D85" s="292"/>
      <c r="E85" s="292"/>
      <c r="F85" s="292"/>
      <c r="G85" s="292"/>
      <c r="H85" s="292"/>
      <c r="I85" s="292"/>
      <c r="J85" s="292"/>
      <c r="K85" s="292"/>
      <c r="L85" s="292"/>
      <c r="M85" s="292"/>
      <c r="N85" s="292"/>
      <c r="O85" s="292"/>
      <c r="P85" s="292"/>
      <c r="Q85" s="292"/>
      <c r="R85" s="292"/>
      <c r="S85" s="292"/>
      <c r="T85" s="292"/>
      <c r="U85" s="292"/>
      <c r="V85" s="292"/>
      <c r="W85" s="292"/>
      <c r="X85" s="292"/>
      <c r="Y85" s="292"/>
      <c r="Z85" s="292"/>
    </row>
    <row r="86" spans="1:26" ht="12.75" customHeight="1" x14ac:dyDescent="0.25">
      <c r="A86" s="292"/>
      <c r="B86" s="292"/>
      <c r="C86" s="292"/>
      <c r="D86" s="292"/>
      <c r="E86" s="292"/>
      <c r="F86" s="292"/>
      <c r="G86" s="292"/>
      <c r="H86" s="292"/>
      <c r="I86" s="292"/>
      <c r="J86" s="292"/>
      <c r="K86" s="292"/>
      <c r="L86" s="292"/>
      <c r="M86" s="292"/>
      <c r="N86" s="292"/>
      <c r="O86" s="292"/>
      <c r="P86" s="292"/>
      <c r="Q86" s="292"/>
      <c r="R86" s="292"/>
      <c r="S86" s="292"/>
      <c r="T86" s="292"/>
      <c r="U86" s="292"/>
      <c r="V86" s="292"/>
      <c r="W86" s="292"/>
      <c r="X86" s="292"/>
      <c r="Y86" s="292"/>
      <c r="Z86" s="292"/>
    </row>
    <row r="87" spans="1:26" ht="12.75" customHeight="1" x14ac:dyDescent="0.25">
      <c r="A87" s="292"/>
      <c r="B87" s="292"/>
      <c r="C87" s="292"/>
      <c r="D87" s="292"/>
      <c r="E87" s="292"/>
      <c r="F87" s="292"/>
      <c r="G87" s="292"/>
      <c r="H87" s="292"/>
      <c r="I87" s="292"/>
      <c r="J87" s="292"/>
      <c r="K87" s="292"/>
      <c r="L87" s="292"/>
      <c r="M87" s="292"/>
      <c r="N87" s="292"/>
      <c r="O87" s="292"/>
      <c r="P87" s="292"/>
      <c r="Q87" s="292"/>
      <c r="R87" s="292"/>
      <c r="S87" s="292"/>
      <c r="T87" s="292"/>
      <c r="U87" s="292"/>
      <c r="V87" s="292"/>
      <c r="W87" s="292"/>
      <c r="X87" s="292"/>
      <c r="Y87" s="292"/>
      <c r="Z87" s="292"/>
    </row>
    <row r="88" spans="1:26" ht="12.75" customHeight="1" x14ac:dyDescent="0.25">
      <c r="A88" s="292"/>
      <c r="B88" s="292"/>
      <c r="C88" s="292"/>
      <c r="D88" s="292"/>
      <c r="E88" s="292"/>
      <c r="F88" s="292"/>
      <c r="G88" s="292"/>
      <c r="H88" s="292"/>
      <c r="I88" s="292"/>
      <c r="J88" s="292"/>
      <c r="K88" s="292"/>
      <c r="L88" s="292"/>
      <c r="M88" s="292"/>
      <c r="N88" s="292"/>
      <c r="O88" s="292"/>
      <c r="P88" s="292"/>
      <c r="Q88" s="292"/>
      <c r="R88" s="292"/>
      <c r="S88" s="292"/>
      <c r="T88" s="292"/>
      <c r="U88" s="292"/>
      <c r="V88" s="292"/>
      <c r="W88" s="292"/>
      <c r="X88" s="292"/>
      <c r="Y88" s="292"/>
      <c r="Z88" s="292"/>
    </row>
    <row r="89" spans="1:26" ht="12.75" customHeight="1" x14ac:dyDescent="0.25">
      <c r="A89" s="292"/>
      <c r="B89" s="292"/>
      <c r="C89" s="292"/>
      <c r="D89" s="292"/>
      <c r="E89" s="292"/>
      <c r="F89" s="292"/>
      <c r="G89" s="292"/>
      <c r="H89" s="292"/>
      <c r="I89" s="292"/>
      <c r="J89" s="292"/>
      <c r="K89" s="292"/>
      <c r="L89" s="292"/>
      <c r="M89" s="292"/>
      <c r="N89" s="292"/>
      <c r="O89" s="292"/>
      <c r="P89" s="292"/>
      <c r="Q89" s="292"/>
      <c r="R89" s="292"/>
      <c r="S89" s="292"/>
      <c r="T89" s="292"/>
      <c r="U89" s="292"/>
      <c r="V89" s="292"/>
      <c r="W89" s="292"/>
      <c r="X89" s="292"/>
      <c r="Y89" s="292"/>
      <c r="Z89" s="292"/>
    </row>
    <row r="90" spans="1:26" ht="12.75" customHeight="1" x14ac:dyDescent="0.25">
      <c r="A90" s="292"/>
      <c r="B90" s="292"/>
      <c r="C90" s="292"/>
      <c r="D90" s="292"/>
      <c r="E90" s="292"/>
      <c r="F90" s="292"/>
      <c r="G90" s="292"/>
      <c r="H90" s="292"/>
      <c r="I90" s="292"/>
      <c r="J90" s="292"/>
      <c r="K90" s="292"/>
      <c r="L90" s="292"/>
      <c r="M90" s="292"/>
      <c r="N90" s="292"/>
      <c r="O90" s="292"/>
      <c r="P90" s="292"/>
      <c r="Q90" s="292"/>
      <c r="R90" s="292"/>
      <c r="S90" s="292"/>
      <c r="T90" s="292"/>
      <c r="U90" s="292"/>
      <c r="V90" s="292"/>
      <c r="W90" s="292"/>
      <c r="X90" s="292"/>
      <c r="Y90" s="292"/>
      <c r="Z90" s="292"/>
    </row>
    <row r="91" spans="1:26" ht="12.75" customHeight="1" x14ac:dyDescent="0.25">
      <c r="A91" s="292"/>
      <c r="B91" s="292"/>
      <c r="C91" s="292"/>
      <c r="D91" s="292"/>
      <c r="E91" s="292"/>
      <c r="F91" s="292"/>
      <c r="G91" s="292"/>
      <c r="H91" s="292"/>
      <c r="I91" s="292"/>
      <c r="J91" s="292"/>
      <c r="K91" s="292"/>
      <c r="L91" s="292"/>
      <c r="M91" s="292"/>
      <c r="N91" s="292"/>
      <c r="O91" s="292"/>
      <c r="P91" s="292"/>
      <c r="Q91" s="292"/>
      <c r="R91" s="292"/>
      <c r="S91" s="292"/>
      <c r="T91" s="292"/>
      <c r="U91" s="292"/>
      <c r="V91" s="292"/>
      <c r="W91" s="292"/>
      <c r="X91" s="292"/>
      <c r="Y91" s="292"/>
      <c r="Z91" s="292"/>
    </row>
    <row r="92" spans="1:26" ht="12.75" customHeight="1" x14ac:dyDescent="0.25">
      <c r="A92" s="292"/>
      <c r="B92" s="292"/>
      <c r="C92" s="292"/>
      <c r="D92" s="292"/>
      <c r="E92" s="292"/>
      <c r="F92" s="292"/>
      <c r="G92" s="292"/>
      <c r="H92" s="292"/>
      <c r="I92" s="292"/>
      <c r="J92" s="292"/>
      <c r="K92" s="292"/>
      <c r="L92" s="292"/>
      <c r="M92" s="292"/>
      <c r="N92" s="292"/>
      <c r="O92" s="292"/>
      <c r="P92" s="292"/>
      <c r="Q92" s="292"/>
      <c r="R92" s="292"/>
      <c r="S92" s="292"/>
      <c r="T92" s="292"/>
      <c r="U92" s="292"/>
      <c r="V92" s="292"/>
      <c r="W92" s="292"/>
      <c r="X92" s="292"/>
      <c r="Y92" s="292"/>
      <c r="Z92" s="292"/>
    </row>
    <row r="93" spans="1:26" ht="12.75" customHeight="1" x14ac:dyDescent="0.25">
      <c r="A93" s="292"/>
      <c r="B93" s="292"/>
      <c r="C93" s="292"/>
      <c r="D93" s="292"/>
      <c r="E93" s="292"/>
      <c r="F93" s="292"/>
      <c r="G93" s="292"/>
      <c r="H93" s="292"/>
      <c r="I93" s="292"/>
      <c r="J93" s="292"/>
      <c r="K93" s="292"/>
      <c r="L93" s="292"/>
      <c r="M93" s="292"/>
      <c r="N93" s="292"/>
      <c r="O93" s="292"/>
      <c r="P93" s="292"/>
      <c r="Q93" s="292"/>
      <c r="R93" s="292"/>
      <c r="S93" s="292"/>
      <c r="T93" s="292"/>
      <c r="U93" s="292"/>
      <c r="V93" s="292"/>
      <c r="W93" s="292"/>
      <c r="X93" s="292"/>
      <c r="Y93" s="292"/>
      <c r="Z93" s="292"/>
    </row>
    <row r="94" spans="1:26" ht="12.75" customHeight="1" x14ac:dyDescent="0.25">
      <c r="A94" s="292"/>
      <c r="B94" s="292"/>
      <c r="C94" s="292"/>
      <c r="D94" s="292"/>
      <c r="E94" s="292"/>
      <c r="F94" s="292"/>
      <c r="G94" s="292"/>
      <c r="H94" s="292"/>
      <c r="I94" s="292"/>
      <c r="J94" s="292"/>
      <c r="K94" s="292"/>
      <c r="L94" s="292"/>
      <c r="M94" s="292"/>
      <c r="N94" s="292"/>
      <c r="O94" s="292"/>
      <c r="P94" s="292"/>
      <c r="Q94" s="292"/>
      <c r="R94" s="292"/>
      <c r="S94" s="292"/>
      <c r="T94" s="292"/>
      <c r="U94" s="292"/>
      <c r="V94" s="292"/>
      <c r="W94" s="292"/>
      <c r="X94" s="292"/>
      <c r="Y94" s="292"/>
      <c r="Z94" s="292"/>
    </row>
    <row r="95" spans="1:26" ht="12.75" customHeight="1" x14ac:dyDescent="0.25">
      <c r="A95" s="292"/>
      <c r="B95" s="292"/>
      <c r="C95" s="292"/>
      <c r="D95" s="292"/>
      <c r="E95" s="292"/>
      <c r="F95" s="292"/>
      <c r="G95" s="292"/>
      <c r="H95" s="292"/>
      <c r="I95" s="292"/>
      <c r="J95" s="292"/>
      <c r="K95" s="292"/>
      <c r="L95" s="292"/>
      <c r="M95" s="292"/>
      <c r="N95" s="292"/>
      <c r="O95" s="292"/>
      <c r="P95" s="292"/>
      <c r="Q95" s="292"/>
      <c r="R95" s="292"/>
      <c r="S95" s="292"/>
      <c r="T95" s="292"/>
      <c r="U95" s="292"/>
      <c r="V95" s="292"/>
      <c r="W95" s="292"/>
      <c r="X95" s="292"/>
      <c r="Y95" s="292"/>
      <c r="Z95" s="292"/>
    </row>
    <row r="96" spans="1:26" ht="12.75" customHeight="1" x14ac:dyDescent="0.25">
      <c r="A96" s="292"/>
      <c r="B96" s="292"/>
      <c r="C96" s="292"/>
      <c r="D96" s="292"/>
      <c r="E96" s="292"/>
      <c r="F96" s="292"/>
      <c r="G96" s="292"/>
      <c r="H96" s="292"/>
      <c r="I96" s="292"/>
      <c r="J96" s="292"/>
      <c r="K96" s="292"/>
      <c r="L96" s="292"/>
      <c r="M96" s="292"/>
      <c r="N96" s="292"/>
      <c r="O96" s="292"/>
      <c r="P96" s="292"/>
      <c r="Q96" s="292"/>
      <c r="R96" s="292"/>
      <c r="S96" s="292"/>
      <c r="T96" s="292"/>
      <c r="U96" s="292"/>
      <c r="V96" s="292"/>
      <c r="W96" s="292"/>
      <c r="X96" s="292"/>
      <c r="Y96" s="292"/>
      <c r="Z96" s="292"/>
    </row>
    <row r="97" spans="1:26" ht="12.75" customHeight="1" x14ac:dyDescent="0.25">
      <c r="A97" s="292"/>
      <c r="B97" s="292"/>
      <c r="C97" s="292"/>
      <c r="D97" s="292"/>
      <c r="E97" s="292"/>
      <c r="F97" s="292"/>
      <c r="G97" s="292"/>
      <c r="H97" s="292"/>
      <c r="I97" s="292"/>
      <c r="J97" s="292"/>
      <c r="K97" s="292"/>
      <c r="L97" s="292"/>
      <c r="M97" s="292"/>
      <c r="N97" s="292"/>
      <c r="O97" s="292"/>
      <c r="P97" s="292"/>
      <c r="Q97" s="292"/>
      <c r="R97" s="292"/>
      <c r="S97" s="292"/>
      <c r="T97" s="292"/>
      <c r="U97" s="292"/>
      <c r="V97" s="292"/>
      <c r="W97" s="292"/>
      <c r="X97" s="292"/>
      <c r="Y97" s="292"/>
      <c r="Z97" s="292"/>
    </row>
    <row r="98" spans="1:26" ht="12.75" customHeight="1" x14ac:dyDescent="0.25">
      <c r="A98" s="292"/>
      <c r="B98" s="292"/>
      <c r="C98" s="292"/>
      <c r="D98" s="292"/>
      <c r="E98" s="292"/>
      <c r="F98" s="292"/>
      <c r="G98" s="292"/>
      <c r="H98" s="292"/>
      <c r="I98" s="292"/>
      <c r="J98" s="292"/>
      <c r="K98" s="292"/>
      <c r="L98" s="292"/>
      <c r="M98" s="292"/>
      <c r="N98" s="292"/>
      <c r="O98" s="292"/>
      <c r="P98" s="292"/>
      <c r="Q98" s="292"/>
      <c r="R98" s="292"/>
      <c r="S98" s="292"/>
      <c r="T98" s="292"/>
      <c r="U98" s="292"/>
      <c r="V98" s="292"/>
      <c r="W98" s="292"/>
      <c r="X98" s="292"/>
      <c r="Y98" s="292"/>
      <c r="Z98" s="292"/>
    </row>
    <row r="99" spans="1:26" ht="12.75" customHeight="1" x14ac:dyDescent="0.25">
      <c r="A99" s="292"/>
      <c r="B99" s="292"/>
      <c r="C99" s="292"/>
      <c r="D99" s="292"/>
      <c r="E99" s="292"/>
      <c r="F99" s="292"/>
      <c r="G99" s="292"/>
      <c r="H99" s="292"/>
      <c r="I99" s="292"/>
      <c r="J99" s="292"/>
      <c r="K99" s="292"/>
      <c r="L99" s="292"/>
      <c r="M99" s="292"/>
      <c r="N99" s="292"/>
      <c r="O99" s="292"/>
      <c r="P99" s="292"/>
      <c r="Q99" s="292"/>
      <c r="R99" s="292"/>
      <c r="S99" s="292"/>
      <c r="T99" s="292"/>
      <c r="U99" s="292"/>
      <c r="V99" s="292"/>
      <c r="W99" s="292"/>
      <c r="X99" s="292"/>
      <c r="Y99" s="292"/>
      <c r="Z99" s="292"/>
    </row>
    <row r="100" spans="1:26" ht="12.75" customHeight="1" x14ac:dyDescent="0.25">
      <c r="A100" s="292"/>
      <c r="B100" s="292"/>
      <c r="C100" s="292"/>
      <c r="D100" s="292"/>
      <c r="E100" s="292"/>
      <c r="F100" s="292"/>
      <c r="G100" s="292"/>
      <c r="H100" s="292"/>
      <c r="I100" s="292"/>
      <c r="J100" s="292"/>
      <c r="K100" s="292"/>
      <c r="L100" s="292"/>
      <c r="M100" s="292"/>
      <c r="N100" s="292"/>
      <c r="O100" s="292"/>
      <c r="P100" s="292"/>
      <c r="Q100" s="292"/>
      <c r="R100" s="292"/>
      <c r="S100" s="292"/>
      <c r="T100" s="292"/>
      <c r="U100" s="292"/>
      <c r="V100" s="292"/>
      <c r="W100" s="292"/>
      <c r="X100" s="292"/>
      <c r="Y100" s="292"/>
      <c r="Z100" s="292"/>
    </row>
    <row r="101" spans="1:26" ht="12.75" customHeight="1" x14ac:dyDescent="0.25">
      <c r="A101" s="292"/>
      <c r="B101" s="292"/>
      <c r="C101" s="292"/>
      <c r="D101" s="292"/>
      <c r="E101" s="292"/>
      <c r="F101" s="292"/>
      <c r="G101" s="292"/>
      <c r="H101" s="292"/>
      <c r="I101" s="292"/>
      <c r="J101" s="292"/>
      <c r="K101" s="292"/>
      <c r="L101" s="292"/>
      <c r="M101" s="292"/>
      <c r="N101" s="292"/>
      <c r="O101" s="292"/>
      <c r="P101" s="292"/>
      <c r="Q101" s="292"/>
      <c r="R101" s="292"/>
      <c r="S101" s="292"/>
      <c r="T101" s="292"/>
      <c r="U101" s="292"/>
      <c r="V101" s="292"/>
      <c r="W101" s="292"/>
      <c r="X101" s="292"/>
      <c r="Y101" s="292"/>
      <c r="Z101" s="292"/>
    </row>
    <row r="102" spans="1:26" ht="12.75" customHeight="1" x14ac:dyDescent="0.25">
      <c r="A102" s="292"/>
      <c r="B102" s="292"/>
      <c r="C102" s="292"/>
      <c r="D102" s="292"/>
      <c r="E102" s="292"/>
      <c r="F102" s="292"/>
      <c r="G102" s="292"/>
      <c r="H102" s="292"/>
      <c r="I102" s="292"/>
      <c r="J102" s="292"/>
      <c r="K102" s="292"/>
      <c r="L102" s="292"/>
      <c r="M102" s="292"/>
      <c r="N102" s="292"/>
      <c r="O102" s="292"/>
      <c r="P102" s="292"/>
      <c r="Q102" s="292"/>
      <c r="R102" s="292"/>
      <c r="S102" s="292"/>
      <c r="T102" s="292"/>
      <c r="U102" s="292"/>
      <c r="V102" s="292"/>
      <c r="W102" s="292"/>
      <c r="X102" s="292"/>
      <c r="Y102" s="292"/>
      <c r="Z102" s="292"/>
    </row>
    <row r="103" spans="1:26" ht="12.75" customHeight="1" x14ac:dyDescent="0.25">
      <c r="A103" s="292"/>
      <c r="B103" s="292"/>
      <c r="C103" s="292"/>
      <c r="D103" s="292"/>
      <c r="E103" s="292"/>
      <c r="F103" s="292"/>
      <c r="G103" s="292"/>
      <c r="H103" s="292"/>
      <c r="I103" s="292"/>
      <c r="J103" s="292"/>
      <c r="K103" s="292"/>
      <c r="L103" s="292"/>
      <c r="M103" s="292"/>
      <c r="N103" s="292"/>
      <c r="O103" s="292"/>
      <c r="P103" s="292"/>
      <c r="Q103" s="292"/>
      <c r="R103" s="292"/>
      <c r="S103" s="292"/>
      <c r="T103" s="292"/>
      <c r="U103" s="292"/>
      <c r="V103" s="292"/>
      <c r="W103" s="292"/>
      <c r="X103" s="292"/>
      <c r="Y103" s="292"/>
      <c r="Z103" s="292"/>
    </row>
    <row r="104" spans="1:26" ht="12.75" customHeight="1" x14ac:dyDescent="0.25">
      <c r="A104" s="292"/>
      <c r="B104" s="292"/>
      <c r="C104" s="292"/>
      <c r="D104" s="292"/>
      <c r="E104" s="292"/>
      <c r="F104" s="292"/>
      <c r="G104" s="292"/>
      <c r="H104" s="292"/>
      <c r="I104" s="292"/>
      <c r="J104" s="292"/>
      <c r="K104" s="292"/>
      <c r="L104" s="292"/>
      <c r="M104" s="292"/>
      <c r="N104" s="292"/>
      <c r="O104" s="292"/>
      <c r="P104" s="292"/>
      <c r="Q104" s="292"/>
      <c r="R104" s="292"/>
      <c r="S104" s="292"/>
      <c r="T104" s="292"/>
      <c r="U104" s="292"/>
      <c r="V104" s="292"/>
      <c r="W104" s="292"/>
      <c r="X104" s="292"/>
      <c r="Y104" s="292"/>
      <c r="Z104" s="292"/>
    </row>
    <row r="105" spans="1:26" ht="12.75" customHeight="1" x14ac:dyDescent="0.25">
      <c r="A105" s="292"/>
      <c r="B105" s="292"/>
      <c r="C105" s="292"/>
      <c r="D105" s="292"/>
      <c r="E105" s="292"/>
      <c r="F105" s="292"/>
      <c r="G105" s="292"/>
      <c r="H105" s="292"/>
      <c r="I105" s="292"/>
      <c r="J105" s="292"/>
      <c r="K105" s="292"/>
      <c r="L105" s="292"/>
      <c r="M105" s="292"/>
      <c r="N105" s="292"/>
      <c r="O105" s="292"/>
      <c r="P105" s="292"/>
      <c r="Q105" s="292"/>
      <c r="R105" s="292"/>
      <c r="S105" s="292"/>
      <c r="T105" s="292"/>
      <c r="U105" s="292"/>
      <c r="V105" s="292"/>
      <c r="W105" s="292"/>
      <c r="X105" s="292"/>
      <c r="Y105" s="292"/>
      <c r="Z105" s="292"/>
    </row>
    <row r="106" spans="1:26" ht="12.75" customHeight="1" x14ac:dyDescent="0.25">
      <c r="A106" s="292"/>
      <c r="B106" s="292"/>
      <c r="C106" s="292"/>
      <c r="D106" s="292"/>
      <c r="E106" s="292"/>
      <c r="F106" s="292"/>
      <c r="G106" s="292"/>
      <c r="H106" s="292"/>
      <c r="I106" s="292"/>
      <c r="J106" s="292"/>
      <c r="K106" s="292"/>
      <c r="L106" s="292"/>
      <c r="M106" s="292"/>
      <c r="N106" s="292"/>
      <c r="O106" s="292"/>
      <c r="P106" s="292"/>
      <c r="Q106" s="292"/>
      <c r="R106" s="292"/>
      <c r="S106" s="292"/>
      <c r="T106" s="292"/>
      <c r="U106" s="292"/>
      <c r="V106" s="292"/>
      <c r="W106" s="292"/>
      <c r="X106" s="292"/>
      <c r="Y106" s="292"/>
      <c r="Z106" s="292"/>
    </row>
    <row r="107" spans="1:26" ht="12.75" customHeight="1" x14ac:dyDescent="0.25">
      <c r="A107" s="292"/>
      <c r="B107" s="292"/>
      <c r="C107" s="292"/>
      <c r="D107" s="292"/>
      <c r="E107" s="292"/>
      <c r="F107" s="292"/>
      <c r="G107" s="292"/>
      <c r="H107" s="292"/>
      <c r="I107" s="292"/>
      <c r="J107" s="292"/>
      <c r="K107" s="292"/>
      <c r="L107" s="292"/>
      <c r="M107" s="292"/>
      <c r="N107" s="292"/>
      <c r="O107" s="292"/>
      <c r="P107" s="292"/>
      <c r="Q107" s="292"/>
      <c r="R107" s="292"/>
      <c r="S107" s="292"/>
      <c r="T107" s="292"/>
      <c r="U107" s="292"/>
      <c r="V107" s="292"/>
      <c r="W107" s="292"/>
      <c r="X107" s="292"/>
      <c r="Y107" s="292"/>
      <c r="Z107" s="292"/>
    </row>
    <row r="108" spans="1:26" ht="12.75" customHeight="1" x14ac:dyDescent="0.25">
      <c r="A108" s="292"/>
      <c r="B108" s="292"/>
      <c r="C108" s="292"/>
      <c r="D108" s="292"/>
      <c r="E108" s="292"/>
      <c r="F108" s="292"/>
      <c r="G108" s="292"/>
      <c r="H108" s="292"/>
      <c r="I108" s="292"/>
      <c r="J108" s="292"/>
      <c r="K108" s="292"/>
      <c r="L108" s="292"/>
      <c r="M108" s="292"/>
      <c r="N108" s="292"/>
      <c r="O108" s="292"/>
      <c r="P108" s="292"/>
      <c r="Q108" s="292"/>
      <c r="R108" s="292"/>
      <c r="S108" s="292"/>
      <c r="T108" s="292"/>
      <c r="U108" s="292"/>
      <c r="V108" s="292"/>
      <c r="W108" s="292"/>
      <c r="X108" s="292"/>
      <c r="Y108" s="292"/>
      <c r="Z108" s="292"/>
    </row>
    <row r="109" spans="1:26" ht="12.75" customHeight="1" x14ac:dyDescent="0.25">
      <c r="A109" s="292"/>
      <c r="B109" s="292"/>
      <c r="C109" s="292"/>
      <c r="D109" s="292"/>
      <c r="E109" s="292"/>
      <c r="F109" s="292"/>
      <c r="G109" s="292"/>
      <c r="H109" s="292"/>
      <c r="I109" s="292"/>
      <c r="J109" s="292"/>
      <c r="K109" s="292"/>
      <c r="L109" s="292"/>
      <c r="M109" s="292"/>
      <c r="N109" s="292"/>
      <c r="O109" s="292"/>
      <c r="P109" s="292"/>
      <c r="Q109" s="292"/>
      <c r="R109" s="292"/>
      <c r="S109" s="292"/>
      <c r="T109" s="292"/>
      <c r="U109" s="292"/>
      <c r="V109" s="292"/>
      <c r="W109" s="292"/>
      <c r="X109" s="292"/>
      <c r="Y109" s="292"/>
      <c r="Z109" s="292"/>
    </row>
    <row r="110" spans="1:26" ht="12.75" customHeight="1" x14ac:dyDescent="0.25">
      <c r="A110" s="292"/>
      <c r="B110" s="292"/>
      <c r="C110" s="292"/>
      <c r="D110" s="292"/>
      <c r="E110" s="292"/>
      <c r="F110" s="292"/>
      <c r="G110" s="292"/>
      <c r="H110" s="292"/>
      <c r="I110" s="292"/>
      <c r="J110" s="292"/>
      <c r="K110" s="292"/>
      <c r="L110" s="292"/>
      <c r="M110" s="292"/>
      <c r="N110" s="292"/>
      <c r="O110" s="292"/>
      <c r="P110" s="292"/>
      <c r="Q110" s="292"/>
      <c r="R110" s="292"/>
      <c r="S110" s="292"/>
      <c r="T110" s="292"/>
      <c r="U110" s="292"/>
      <c r="V110" s="292"/>
      <c r="W110" s="292"/>
      <c r="X110" s="292"/>
      <c r="Y110" s="292"/>
      <c r="Z110" s="292"/>
    </row>
    <row r="111" spans="1:26" ht="12.75" customHeight="1" x14ac:dyDescent="0.25">
      <c r="A111" s="292"/>
      <c r="B111" s="292"/>
      <c r="C111" s="292"/>
      <c r="D111" s="292"/>
      <c r="E111" s="292"/>
      <c r="F111" s="292"/>
      <c r="G111" s="292"/>
      <c r="H111" s="292"/>
      <c r="I111" s="292"/>
      <c r="J111" s="292"/>
      <c r="K111" s="292"/>
      <c r="L111" s="292"/>
      <c r="M111" s="292"/>
      <c r="N111" s="292"/>
      <c r="O111" s="292"/>
      <c r="P111" s="292"/>
      <c r="Q111" s="292"/>
      <c r="R111" s="292"/>
      <c r="S111" s="292"/>
      <c r="T111" s="292"/>
      <c r="U111" s="292"/>
      <c r="V111" s="292"/>
      <c r="W111" s="292"/>
      <c r="X111" s="292"/>
      <c r="Y111" s="292"/>
      <c r="Z111" s="292"/>
    </row>
    <row r="112" spans="1:26" ht="12.75" customHeight="1" x14ac:dyDescent="0.25">
      <c r="A112" s="292"/>
      <c r="B112" s="292"/>
      <c r="C112" s="292"/>
      <c r="D112" s="292"/>
      <c r="E112" s="292"/>
      <c r="F112" s="292"/>
      <c r="G112" s="292"/>
      <c r="H112" s="292"/>
      <c r="I112" s="292"/>
      <c r="J112" s="292"/>
      <c r="K112" s="292"/>
      <c r="L112" s="292"/>
      <c r="M112" s="292"/>
      <c r="N112" s="292"/>
      <c r="O112" s="292"/>
      <c r="P112" s="292"/>
      <c r="Q112" s="292"/>
      <c r="R112" s="292"/>
      <c r="S112" s="292"/>
      <c r="T112" s="292"/>
      <c r="U112" s="292"/>
      <c r="V112" s="292"/>
      <c r="W112" s="292"/>
      <c r="X112" s="292"/>
      <c r="Y112" s="292"/>
      <c r="Z112" s="292"/>
    </row>
    <row r="113" spans="1:26" ht="12.75" customHeight="1" x14ac:dyDescent="0.25">
      <c r="A113" s="292"/>
      <c r="B113" s="292"/>
      <c r="C113" s="292"/>
      <c r="D113" s="292"/>
      <c r="E113" s="292"/>
      <c r="F113" s="292"/>
      <c r="G113" s="292"/>
      <c r="H113" s="292"/>
      <c r="I113" s="292"/>
      <c r="J113" s="292"/>
      <c r="K113" s="292"/>
      <c r="L113" s="292"/>
      <c r="M113" s="292"/>
      <c r="N113" s="292"/>
      <c r="O113" s="292"/>
      <c r="P113" s="292"/>
      <c r="Q113" s="292"/>
      <c r="R113" s="292"/>
      <c r="S113" s="292"/>
      <c r="T113" s="292"/>
      <c r="U113" s="292"/>
      <c r="V113" s="292"/>
      <c r="W113" s="292"/>
      <c r="X113" s="292"/>
      <c r="Y113" s="292"/>
      <c r="Z113" s="292"/>
    </row>
    <row r="114" spans="1:26" ht="12.75" customHeight="1" x14ac:dyDescent="0.25">
      <c r="A114" s="292"/>
      <c r="B114" s="292"/>
      <c r="C114" s="292"/>
      <c r="D114" s="292"/>
      <c r="E114" s="292"/>
      <c r="F114" s="292"/>
      <c r="G114" s="292"/>
      <c r="H114" s="292"/>
      <c r="I114" s="292"/>
      <c r="J114" s="292"/>
      <c r="K114" s="292"/>
      <c r="L114" s="292"/>
      <c r="M114" s="292"/>
      <c r="N114" s="292"/>
      <c r="O114" s="292"/>
      <c r="P114" s="292"/>
      <c r="Q114" s="292"/>
      <c r="R114" s="292"/>
      <c r="S114" s="292"/>
      <c r="T114" s="292"/>
      <c r="U114" s="292"/>
      <c r="V114" s="292"/>
      <c r="W114" s="292"/>
      <c r="X114" s="292"/>
      <c r="Y114" s="292"/>
      <c r="Z114" s="292"/>
    </row>
    <row r="115" spans="1:26" ht="12.75" customHeight="1" x14ac:dyDescent="0.25">
      <c r="A115" s="292"/>
      <c r="B115" s="292"/>
      <c r="C115" s="292"/>
      <c r="D115" s="292"/>
      <c r="E115" s="292"/>
      <c r="F115" s="292"/>
      <c r="G115" s="292"/>
      <c r="H115" s="292"/>
      <c r="I115" s="292"/>
      <c r="J115" s="292"/>
      <c r="K115" s="292"/>
      <c r="L115" s="292"/>
      <c r="M115" s="292"/>
      <c r="N115" s="292"/>
      <c r="O115" s="292"/>
      <c r="P115" s="292"/>
      <c r="Q115" s="292"/>
      <c r="R115" s="292"/>
      <c r="S115" s="292"/>
      <c r="T115" s="292"/>
      <c r="U115" s="292"/>
      <c r="V115" s="292"/>
      <c r="W115" s="292"/>
      <c r="X115" s="292"/>
      <c r="Y115" s="292"/>
      <c r="Z115" s="292"/>
    </row>
    <row r="116" spans="1:26" ht="12.75" customHeight="1" x14ac:dyDescent="0.25">
      <c r="A116" s="292"/>
      <c r="B116" s="292"/>
      <c r="C116" s="292"/>
      <c r="D116" s="292"/>
      <c r="E116" s="292"/>
      <c r="F116" s="292"/>
      <c r="G116" s="292"/>
      <c r="H116" s="292"/>
      <c r="I116" s="292"/>
      <c r="J116" s="292"/>
      <c r="K116" s="292"/>
      <c r="L116" s="292"/>
      <c r="M116" s="292"/>
      <c r="N116" s="292"/>
      <c r="O116" s="292"/>
      <c r="P116" s="292"/>
      <c r="Q116" s="292"/>
      <c r="R116" s="292"/>
      <c r="S116" s="292"/>
      <c r="T116" s="292"/>
      <c r="U116" s="292"/>
      <c r="V116" s="292"/>
      <c r="W116" s="292"/>
      <c r="X116" s="292"/>
      <c r="Y116" s="292"/>
      <c r="Z116" s="292"/>
    </row>
    <row r="117" spans="1:26" ht="12.75" customHeight="1" x14ac:dyDescent="0.25">
      <c r="A117" s="292"/>
      <c r="B117" s="292"/>
      <c r="C117" s="292"/>
      <c r="D117" s="292"/>
      <c r="E117" s="292"/>
      <c r="F117" s="292"/>
      <c r="G117" s="292"/>
      <c r="H117" s="292"/>
      <c r="I117" s="292"/>
      <c r="J117" s="292"/>
      <c r="K117" s="292"/>
      <c r="L117" s="292"/>
      <c r="M117" s="292"/>
      <c r="N117" s="292"/>
      <c r="O117" s="292"/>
      <c r="P117" s="292"/>
      <c r="Q117" s="292"/>
      <c r="R117" s="292"/>
      <c r="S117" s="292"/>
      <c r="T117" s="292"/>
      <c r="U117" s="292"/>
      <c r="V117" s="292"/>
      <c r="W117" s="292"/>
      <c r="X117" s="292"/>
      <c r="Y117" s="292"/>
      <c r="Z117" s="292"/>
    </row>
    <row r="118" spans="1:26" ht="12.75" customHeight="1" x14ac:dyDescent="0.25">
      <c r="A118" s="292"/>
      <c r="B118" s="292"/>
      <c r="C118" s="292"/>
      <c r="D118" s="292"/>
      <c r="E118" s="292"/>
      <c r="F118" s="292"/>
      <c r="G118" s="292"/>
      <c r="H118" s="292"/>
      <c r="I118" s="292"/>
      <c r="J118" s="292"/>
      <c r="K118" s="292"/>
      <c r="L118" s="292"/>
      <c r="M118" s="292"/>
      <c r="N118" s="292"/>
      <c r="O118" s="292"/>
      <c r="P118" s="292"/>
      <c r="Q118" s="292"/>
      <c r="R118" s="292"/>
      <c r="S118" s="292"/>
      <c r="T118" s="292"/>
      <c r="U118" s="292"/>
      <c r="V118" s="292"/>
      <c r="W118" s="292"/>
      <c r="X118" s="292"/>
      <c r="Y118" s="292"/>
      <c r="Z118" s="292"/>
    </row>
    <row r="119" spans="1:26" ht="12.75" customHeight="1" x14ac:dyDescent="0.25">
      <c r="A119" s="292"/>
      <c r="B119" s="292"/>
      <c r="C119" s="292"/>
      <c r="D119" s="292"/>
      <c r="E119" s="292"/>
      <c r="F119" s="292"/>
      <c r="G119" s="292"/>
      <c r="H119" s="292"/>
      <c r="I119" s="292"/>
      <c r="J119" s="292"/>
      <c r="K119" s="292"/>
      <c r="L119" s="292"/>
      <c r="M119" s="292"/>
      <c r="N119" s="292"/>
      <c r="O119" s="292"/>
      <c r="P119" s="292"/>
      <c r="Q119" s="292"/>
      <c r="R119" s="292"/>
      <c r="S119" s="292"/>
      <c r="T119" s="292"/>
      <c r="U119" s="292"/>
      <c r="V119" s="292"/>
      <c r="W119" s="292"/>
      <c r="X119" s="292"/>
      <c r="Y119" s="292"/>
      <c r="Z119" s="292"/>
    </row>
    <row r="120" spans="1:26" ht="12.75" customHeight="1" x14ac:dyDescent="0.25">
      <c r="A120" s="292"/>
      <c r="B120" s="292"/>
      <c r="C120" s="292"/>
      <c r="D120" s="292"/>
      <c r="E120" s="292"/>
      <c r="F120" s="292"/>
      <c r="G120" s="292"/>
      <c r="H120" s="292"/>
      <c r="I120" s="292"/>
      <c r="J120" s="292"/>
      <c r="K120" s="292"/>
      <c r="L120" s="292"/>
      <c r="M120" s="292"/>
      <c r="N120" s="292"/>
      <c r="O120" s="292"/>
      <c r="P120" s="292"/>
      <c r="Q120" s="292"/>
      <c r="R120" s="292"/>
      <c r="S120" s="292"/>
      <c r="T120" s="292"/>
      <c r="U120" s="292"/>
      <c r="V120" s="292"/>
      <c r="W120" s="292"/>
      <c r="X120" s="292"/>
      <c r="Y120" s="292"/>
      <c r="Z120" s="292"/>
    </row>
    <row r="121" spans="1:26" ht="12.75" customHeight="1" x14ac:dyDescent="0.25">
      <c r="A121" s="292"/>
      <c r="B121" s="292"/>
      <c r="C121" s="292"/>
      <c r="D121" s="292"/>
      <c r="E121" s="292"/>
      <c r="F121" s="292"/>
      <c r="G121" s="292"/>
      <c r="H121" s="292"/>
      <c r="I121" s="292"/>
      <c r="J121" s="292"/>
      <c r="K121" s="292"/>
      <c r="L121" s="292"/>
      <c r="M121" s="292"/>
      <c r="N121" s="292"/>
      <c r="O121" s="292"/>
      <c r="P121" s="292"/>
      <c r="Q121" s="292"/>
      <c r="R121" s="292"/>
      <c r="S121" s="292"/>
      <c r="T121" s="292"/>
      <c r="U121" s="292"/>
      <c r="V121" s="292"/>
      <c r="W121" s="292"/>
      <c r="X121" s="292"/>
      <c r="Y121" s="292"/>
      <c r="Z121" s="292"/>
    </row>
    <row r="122" spans="1:26" ht="12.75" customHeight="1" x14ac:dyDescent="0.25">
      <c r="A122" s="292"/>
      <c r="B122" s="292"/>
      <c r="C122" s="292"/>
      <c r="D122" s="292"/>
      <c r="E122" s="292"/>
      <c r="F122" s="292"/>
      <c r="G122" s="292"/>
      <c r="H122" s="292"/>
      <c r="I122" s="292"/>
      <c r="J122" s="292"/>
      <c r="K122" s="292"/>
      <c r="L122" s="292"/>
      <c r="M122" s="292"/>
      <c r="N122" s="292"/>
      <c r="O122" s="292"/>
      <c r="P122" s="292"/>
      <c r="Q122" s="292"/>
      <c r="R122" s="292"/>
      <c r="S122" s="292"/>
      <c r="T122" s="292"/>
      <c r="U122" s="292"/>
      <c r="V122" s="292"/>
      <c r="W122" s="292"/>
      <c r="X122" s="292"/>
      <c r="Y122" s="292"/>
      <c r="Z122" s="292"/>
    </row>
    <row r="123" spans="1:26" ht="12.75" customHeight="1" x14ac:dyDescent="0.25">
      <c r="A123" s="292"/>
      <c r="B123" s="292"/>
      <c r="C123" s="292"/>
      <c r="D123" s="292"/>
      <c r="E123" s="292"/>
      <c r="F123" s="292"/>
      <c r="G123" s="292"/>
      <c r="H123" s="292"/>
      <c r="I123" s="292"/>
      <c r="J123" s="292"/>
      <c r="K123" s="292"/>
      <c r="L123" s="292"/>
      <c r="M123" s="292"/>
      <c r="N123" s="292"/>
      <c r="O123" s="292"/>
      <c r="P123" s="292"/>
      <c r="Q123" s="292"/>
      <c r="R123" s="292"/>
      <c r="S123" s="292"/>
      <c r="T123" s="292"/>
      <c r="U123" s="292"/>
      <c r="V123" s="292"/>
      <c r="W123" s="292"/>
      <c r="X123" s="292"/>
      <c r="Y123" s="292"/>
      <c r="Z123" s="292"/>
    </row>
    <row r="124" spans="1:26" ht="12.75" customHeight="1" x14ac:dyDescent="0.25">
      <c r="A124" s="292"/>
      <c r="B124" s="292"/>
      <c r="C124" s="292"/>
      <c r="D124" s="292"/>
      <c r="E124" s="292"/>
      <c r="F124" s="292"/>
      <c r="G124" s="292"/>
      <c r="H124" s="292"/>
      <c r="I124" s="292"/>
      <c r="J124" s="292"/>
      <c r="K124" s="292"/>
      <c r="L124" s="292"/>
      <c r="M124" s="292"/>
      <c r="N124" s="292"/>
      <c r="O124" s="292"/>
      <c r="P124" s="292"/>
      <c r="Q124" s="292"/>
      <c r="R124" s="292"/>
      <c r="S124" s="292"/>
      <c r="T124" s="292"/>
      <c r="U124" s="292"/>
      <c r="V124" s="292"/>
      <c r="W124" s="292"/>
      <c r="X124" s="292"/>
      <c r="Y124" s="292"/>
      <c r="Z124" s="292"/>
    </row>
    <row r="125" spans="1:26" ht="12.75" customHeight="1" x14ac:dyDescent="0.25">
      <c r="A125" s="292"/>
      <c r="B125" s="292"/>
      <c r="C125" s="292"/>
      <c r="D125" s="292"/>
      <c r="E125" s="292"/>
      <c r="F125" s="292"/>
      <c r="G125" s="292"/>
      <c r="H125" s="292"/>
      <c r="I125" s="292"/>
      <c r="J125" s="292"/>
      <c r="K125" s="292"/>
      <c r="L125" s="292"/>
      <c r="M125" s="292"/>
      <c r="N125" s="292"/>
      <c r="O125" s="292"/>
      <c r="P125" s="292"/>
      <c r="Q125" s="292"/>
      <c r="R125" s="292"/>
      <c r="S125" s="292"/>
      <c r="T125" s="292"/>
      <c r="U125" s="292"/>
      <c r="V125" s="292"/>
      <c r="W125" s="292"/>
      <c r="X125" s="292"/>
      <c r="Y125" s="292"/>
      <c r="Z125" s="292"/>
    </row>
    <row r="126" spans="1:26" ht="12.75" customHeight="1" x14ac:dyDescent="0.25">
      <c r="A126" s="292"/>
      <c r="B126" s="292"/>
      <c r="C126" s="292"/>
      <c r="D126" s="292"/>
      <c r="E126" s="292"/>
      <c r="F126" s="292"/>
      <c r="G126" s="292"/>
      <c r="H126" s="292"/>
      <c r="I126" s="292"/>
      <c r="J126" s="292"/>
      <c r="K126" s="292"/>
      <c r="L126" s="292"/>
      <c r="M126" s="292"/>
      <c r="N126" s="292"/>
      <c r="O126" s="292"/>
      <c r="P126" s="292"/>
      <c r="Q126" s="292"/>
      <c r="R126" s="292"/>
      <c r="S126" s="292"/>
      <c r="T126" s="292"/>
      <c r="U126" s="292"/>
      <c r="V126" s="292"/>
      <c r="W126" s="292"/>
      <c r="X126" s="292"/>
      <c r="Y126" s="292"/>
      <c r="Z126" s="292"/>
    </row>
    <row r="127" spans="1:26" ht="12.75" customHeight="1" x14ac:dyDescent="0.25">
      <c r="A127" s="292"/>
      <c r="B127" s="292"/>
      <c r="C127" s="292"/>
      <c r="D127" s="292"/>
      <c r="E127" s="292"/>
      <c r="F127" s="292"/>
      <c r="G127" s="292"/>
      <c r="H127" s="292"/>
      <c r="I127" s="292"/>
      <c r="J127" s="292"/>
      <c r="K127" s="292"/>
      <c r="L127" s="292"/>
      <c r="M127" s="292"/>
      <c r="N127" s="292"/>
      <c r="O127" s="292"/>
      <c r="P127" s="292"/>
      <c r="Q127" s="292"/>
      <c r="R127" s="292"/>
      <c r="S127" s="292"/>
      <c r="T127" s="292"/>
      <c r="U127" s="292"/>
      <c r="V127" s="292"/>
      <c r="W127" s="292"/>
      <c r="X127" s="292"/>
      <c r="Y127" s="292"/>
      <c r="Z127" s="292"/>
    </row>
    <row r="128" spans="1:26" ht="12.75" customHeight="1" x14ac:dyDescent="0.25">
      <c r="A128" s="292"/>
      <c r="B128" s="292"/>
      <c r="C128" s="292"/>
      <c r="D128" s="292"/>
      <c r="E128" s="292"/>
      <c r="F128" s="292"/>
      <c r="G128" s="292"/>
      <c r="H128" s="292"/>
      <c r="I128" s="292"/>
      <c r="J128" s="292"/>
      <c r="K128" s="292"/>
      <c r="L128" s="292"/>
      <c r="M128" s="292"/>
      <c r="N128" s="292"/>
      <c r="O128" s="292"/>
      <c r="P128" s="292"/>
      <c r="Q128" s="292"/>
      <c r="R128" s="292"/>
      <c r="S128" s="292"/>
      <c r="T128" s="292"/>
      <c r="U128" s="292"/>
      <c r="V128" s="292"/>
      <c r="W128" s="292"/>
      <c r="X128" s="292"/>
      <c r="Y128" s="292"/>
      <c r="Z128" s="292"/>
    </row>
    <row r="129" spans="1:26" ht="12.75" customHeight="1" x14ac:dyDescent="0.25">
      <c r="A129" s="292"/>
      <c r="B129" s="292"/>
      <c r="C129" s="292"/>
      <c r="D129" s="292"/>
      <c r="E129" s="292"/>
      <c r="F129" s="292"/>
      <c r="G129" s="292"/>
      <c r="H129" s="292"/>
      <c r="I129" s="292"/>
      <c r="J129" s="292"/>
      <c r="K129" s="292"/>
      <c r="L129" s="292"/>
      <c r="M129" s="292"/>
      <c r="N129" s="292"/>
      <c r="O129" s="292"/>
      <c r="P129" s="292"/>
      <c r="Q129" s="292"/>
      <c r="R129" s="292"/>
      <c r="S129" s="292"/>
      <c r="T129" s="292"/>
      <c r="U129" s="292"/>
      <c r="V129" s="292"/>
      <c r="W129" s="292"/>
      <c r="X129" s="292"/>
      <c r="Y129" s="292"/>
      <c r="Z129" s="292"/>
    </row>
    <row r="130" spans="1:26" ht="12.75" customHeight="1" x14ac:dyDescent="0.25">
      <c r="A130" s="292"/>
      <c r="B130" s="292"/>
      <c r="C130" s="292"/>
      <c r="D130" s="292"/>
      <c r="E130" s="292"/>
      <c r="F130" s="292"/>
      <c r="G130" s="292"/>
      <c r="H130" s="292"/>
      <c r="I130" s="292"/>
      <c r="J130" s="292"/>
      <c r="K130" s="292"/>
      <c r="L130" s="292"/>
      <c r="M130" s="292"/>
      <c r="N130" s="292"/>
      <c r="O130" s="292"/>
      <c r="P130" s="292"/>
      <c r="Q130" s="292"/>
      <c r="R130" s="292"/>
      <c r="S130" s="292"/>
      <c r="T130" s="292"/>
      <c r="U130" s="292"/>
      <c r="V130" s="292"/>
      <c r="W130" s="292"/>
      <c r="X130" s="292"/>
      <c r="Y130" s="292"/>
      <c r="Z130" s="292"/>
    </row>
    <row r="131" spans="1:26" ht="12.75" customHeight="1" x14ac:dyDescent="0.25">
      <c r="A131" s="292"/>
      <c r="B131" s="292"/>
      <c r="C131" s="292"/>
      <c r="D131" s="292"/>
      <c r="E131" s="292"/>
      <c r="F131" s="292"/>
      <c r="G131" s="292"/>
      <c r="H131" s="292"/>
      <c r="I131" s="292"/>
      <c r="J131" s="292"/>
      <c r="K131" s="292"/>
      <c r="L131" s="292"/>
      <c r="M131" s="292"/>
      <c r="N131" s="292"/>
      <c r="O131" s="292"/>
      <c r="P131" s="292"/>
      <c r="Q131" s="292"/>
      <c r="R131" s="292"/>
      <c r="S131" s="292"/>
      <c r="T131" s="292"/>
      <c r="U131" s="292"/>
      <c r="V131" s="292"/>
      <c r="W131" s="292"/>
      <c r="X131" s="292"/>
      <c r="Y131" s="292"/>
      <c r="Z131" s="292"/>
    </row>
    <row r="132" spans="1:26" ht="12.75" customHeight="1" x14ac:dyDescent="0.25">
      <c r="A132" s="292"/>
      <c r="B132" s="292"/>
      <c r="C132" s="292"/>
      <c r="D132" s="292"/>
      <c r="E132" s="292"/>
      <c r="F132" s="292"/>
      <c r="G132" s="292"/>
      <c r="H132" s="292"/>
      <c r="I132" s="292"/>
      <c r="J132" s="292"/>
      <c r="K132" s="292"/>
      <c r="L132" s="292"/>
      <c r="M132" s="292"/>
      <c r="N132" s="292"/>
      <c r="O132" s="292"/>
      <c r="P132" s="292"/>
      <c r="Q132" s="292"/>
      <c r="R132" s="292"/>
      <c r="S132" s="292"/>
      <c r="T132" s="292"/>
      <c r="U132" s="292"/>
      <c r="V132" s="292"/>
      <c r="W132" s="292"/>
      <c r="X132" s="292"/>
      <c r="Y132" s="292"/>
      <c r="Z132" s="292"/>
    </row>
    <row r="133" spans="1:26" ht="12.75" customHeight="1" x14ac:dyDescent="0.25">
      <c r="A133" s="292"/>
      <c r="B133" s="292"/>
      <c r="C133" s="292"/>
      <c r="D133" s="292"/>
      <c r="E133" s="292"/>
      <c r="F133" s="292"/>
      <c r="G133" s="292"/>
      <c r="H133" s="292"/>
      <c r="I133" s="292"/>
      <c r="J133" s="292"/>
      <c r="K133" s="292"/>
      <c r="L133" s="292"/>
      <c r="M133" s="292"/>
      <c r="N133" s="292"/>
      <c r="O133" s="292"/>
      <c r="P133" s="292"/>
      <c r="Q133" s="292"/>
      <c r="R133" s="292"/>
      <c r="S133" s="292"/>
      <c r="T133" s="292"/>
      <c r="U133" s="292"/>
      <c r="V133" s="292"/>
      <c r="W133" s="292"/>
      <c r="X133" s="292"/>
      <c r="Y133" s="292"/>
      <c r="Z133" s="292"/>
    </row>
    <row r="134" spans="1:26" ht="12.75" customHeight="1" x14ac:dyDescent="0.25">
      <c r="A134" s="292"/>
      <c r="B134" s="292"/>
      <c r="C134" s="292"/>
      <c r="D134" s="292"/>
      <c r="E134" s="292"/>
      <c r="F134" s="292"/>
      <c r="G134" s="292"/>
      <c r="H134" s="292"/>
      <c r="I134" s="292"/>
      <c r="J134" s="292"/>
      <c r="K134" s="292"/>
      <c r="L134" s="292"/>
      <c r="M134" s="292"/>
      <c r="N134" s="292"/>
      <c r="O134" s="292"/>
      <c r="P134" s="292"/>
      <c r="Q134" s="292"/>
      <c r="R134" s="292"/>
      <c r="S134" s="292"/>
      <c r="T134" s="292"/>
      <c r="U134" s="292"/>
      <c r="V134" s="292"/>
      <c r="W134" s="292"/>
      <c r="X134" s="292"/>
      <c r="Y134" s="292"/>
      <c r="Z134" s="292"/>
    </row>
    <row r="135" spans="1:26" ht="12.75" customHeight="1" x14ac:dyDescent="0.25">
      <c r="A135" s="292"/>
      <c r="B135" s="292"/>
      <c r="C135" s="292"/>
      <c r="D135" s="292"/>
      <c r="E135" s="292"/>
      <c r="F135" s="292"/>
      <c r="G135" s="292"/>
      <c r="H135" s="292"/>
      <c r="I135" s="292"/>
      <c r="J135" s="292"/>
      <c r="K135" s="292"/>
      <c r="L135" s="292"/>
      <c r="M135" s="292"/>
      <c r="N135" s="292"/>
      <c r="O135" s="292"/>
      <c r="P135" s="292"/>
      <c r="Q135" s="292"/>
      <c r="R135" s="292"/>
      <c r="S135" s="292"/>
      <c r="T135" s="292"/>
      <c r="U135" s="292"/>
      <c r="V135" s="292"/>
      <c r="W135" s="292"/>
      <c r="X135" s="292"/>
      <c r="Y135" s="292"/>
      <c r="Z135" s="292"/>
    </row>
    <row r="136" spans="1:26" ht="12.75" customHeight="1" x14ac:dyDescent="0.25">
      <c r="A136" s="292"/>
      <c r="B136" s="292"/>
      <c r="C136" s="292"/>
      <c r="D136" s="292"/>
      <c r="E136" s="292"/>
      <c r="F136" s="292"/>
      <c r="G136" s="292"/>
      <c r="H136" s="292"/>
      <c r="I136" s="292"/>
      <c r="J136" s="292"/>
      <c r="K136" s="292"/>
      <c r="L136" s="292"/>
      <c r="M136" s="292"/>
      <c r="N136" s="292"/>
      <c r="O136" s="292"/>
      <c r="P136" s="292"/>
      <c r="Q136" s="292"/>
      <c r="R136" s="292"/>
      <c r="S136" s="292"/>
      <c r="T136" s="292"/>
      <c r="U136" s="292"/>
      <c r="V136" s="292"/>
      <c r="W136" s="292"/>
      <c r="X136" s="292"/>
      <c r="Y136" s="292"/>
      <c r="Z136" s="292"/>
    </row>
    <row r="137" spans="1:26" ht="12.75" customHeight="1" x14ac:dyDescent="0.25">
      <c r="A137" s="292"/>
      <c r="B137" s="292"/>
      <c r="C137" s="292"/>
      <c r="D137" s="292"/>
      <c r="E137" s="292"/>
      <c r="F137" s="292"/>
      <c r="G137" s="292"/>
      <c r="H137" s="292"/>
      <c r="I137" s="292"/>
      <c r="J137" s="292"/>
      <c r="K137" s="292"/>
      <c r="L137" s="292"/>
      <c r="M137" s="292"/>
      <c r="N137" s="292"/>
      <c r="O137" s="292"/>
      <c r="P137" s="292"/>
      <c r="Q137" s="292"/>
      <c r="R137" s="292"/>
      <c r="S137" s="292"/>
      <c r="T137" s="292"/>
      <c r="U137" s="292"/>
      <c r="V137" s="292"/>
      <c r="W137" s="292"/>
      <c r="X137" s="292"/>
      <c r="Y137" s="292"/>
      <c r="Z137" s="292"/>
    </row>
    <row r="138" spans="1:26" ht="12.75" customHeight="1" x14ac:dyDescent="0.25">
      <c r="A138" s="292"/>
      <c r="B138" s="292"/>
      <c r="C138" s="292"/>
      <c r="D138" s="292"/>
      <c r="E138" s="292"/>
      <c r="F138" s="292"/>
      <c r="G138" s="292"/>
      <c r="H138" s="292"/>
      <c r="I138" s="292"/>
      <c r="J138" s="292"/>
      <c r="K138" s="292"/>
      <c r="L138" s="292"/>
      <c r="M138" s="292"/>
      <c r="N138" s="292"/>
      <c r="O138" s="292"/>
      <c r="P138" s="292"/>
      <c r="Q138" s="292"/>
      <c r="R138" s="292"/>
      <c r="S138" s="292"/>
      <c r="T138" s="292"/>
      <c r="U138" s="292"/>
      <c r="V138" s="292"/>
      <c r="W138" s="292"/>
      <c r="X138" s="292"/>
      <c r="Y138" s="292"/>
      <c r="Z138" s="292"/>
    </row>
    <row r="139" spans="1:26" ht="12.75" customHeight="1" x14ac:dyDescent="0.25">
      <c r="A139" s="292"/>
      <c r="B139" s="292"/>
      <c r="C139" s="292"/>
      <c r="D139" s="292"/>
      <c r="E139" s="292"/>
      <c r="F139" s="292"/>
      <c r="G139" s="292"/>
      <c r="H139" s="292"/>
      <c r="I139" s="292"/>
      <c r="J139" s="292"/>
      <c r="K139" s="292"/>
      <c r="L139" s="292"/>
      <c r="M139" s="292"/>
      <c r="N139" s="292"/>
      <c r="O139" s="292"/>
      <c r="P139" s="292"/>
      <c r="Q139" s="292"/>
      <c r="R139" s="292"/>
      <c r="S139" s="292"/>
      <c r="T139" s="292"/>
      <c r="U139" s="292"/>
      <c r="V139" s="292"/>
      <c r="W139" s="292"/>
      <c r="X139" s="292"/>
      <c r="Y139" s="292"/>
      <c r="Z139" s="292"/>
    </row>
    <row r="140" spans="1:26" ht="12.75" customHeight="1" x14ac:dyDescent="0.25">
      <c r="A140" s="292"/>
      <c r="B140" s="292"/>
      <c r="C140" s="292"/>
      <c r="D140" s="292"/>
      <c r="E140" s="292"/>
      <c r="F140" s="292"/>
      <c r="G140" s="292"/>
      <c r="H140" s="292"/>
      <c r="I140" s="292"/>
      <c r="J140" s="292"/>
      <c r="K140" s="292"/>
      <c r="L140" s="292"/>
      <c r="M140" s="292"/>
      <c r="N140" s="292"/>
      <c r="O140" s="292"/>
      <c r="P140" s="292"/>
      <c r="Q140" s="292"/>
      <c r="R140" s="292"/>
      <c r="S140" s="292"/>
      <c r="T140" s="292"/>
      <c r="U140" s="292"/>
      <c r="V140" s="292"/>
      <c r="W140" s="292"/>
      <c r="X140" s="292"/>
      <c r="Y140" s="292"/>
      <c r="Z140" s="292"/>
    </row>
    <row r="141" spans="1:26" ht="12.75" customHeight="1" x14ac:dyDescent="0.25">
      <c r="A141" s="292"/>
      <c r="B141" s="292"/>
      <c r="C141" s="292"/>
      <c r="D141" s="292"/>
      <c r="E141" s="292"/>
      <c r="F141" s="292"/>
      <c r="G141" s="292"/>
      <c r="H141" s="292"/>
      <c r="I141" s="292"/>
      <c r="J141" s="292"/>
      <c r="K141" s="292"/>
      <c r="L141" s="292"/>
      <c r="M141" s="292"/>
      <c r="N141" s="292"/>
      <c r="O141" s="292"/>
      <c r="P141" s="292"/>
      <c r="Q141" s="292"/>
      <c r="R141" s="292"/>
      <c r="S141" s="292"/>
      <c r="T141" s="292"/>
      <c r="U141" s="292"/>
      <c r="V141" s="292"/>
      <c r="W141" s="292"/>
      <c r="X141" s="292"/>
      <c r="Y141" s="292"/>
      <c r="Z141" s="292"/>
    </row>
    <row r="142" spans="1:26" ht="12.75" customHeight="1" x14ac:dyDescent="0.25">
      <c r="A142" s="292"/>
      <c r="B142" s="292"/>
      <c r="C142" s="292"/>
      <c r="D142" s="292"/>
      <c r="E142" s="292"/>
      <c r="F142" s="292"/>
      <c r="G142" s="292"/>
      <c r="H142" s="292"/>
      <c r="I142" s="292"/>
      <c r="J142" s="292"/>
      <c r="K142" s="292"/>
      <c r="L142" s="292"/>
      <c r="M142" s="292"/>
      <c r="N142" s="292"/>
      <c r="O142" s="292"/>
      <c r="P142" s="292"/>
      <c r="Q142" s="292"/>
      <c r="R142" s="292"/>
      <c r="S142" s="292"/>
      <c r="T142" s="292"/>
      <c r="U142" s="292"/>
      <c r="V142" s="292"/>
      <c r="W142" s="292"/>
      <c r="X142" s="292"/>
      <c r="Y142" s="292"/>
      <c r="Z142" s="292"/>
    </row>
    <row r="143" spans="1:26" ht="12.75" customHeight="1" x14ac:dyDescent="0.25">
      <c r="A143" s="292"/>
      <c r="B143" s="292"/>
      <c r="C143" s="292"/>
      <c r="D143" s="292"/>
      <c r="E143" s="292"/>
      <c r="F143" s="292"/>
      <c r="G143" s="292"/>
      <c r="H143" s="292"/>
      <c r="I143" s="292"/>
      <c r="J143" s="292"/>
      <c r="K143" s="292"/>
      <c r="L143" s="292"/>
      <c r="M143" s="292"/>
      <c r="N143" s="292"/>
      <c r="O143" s="292"/>
      <c r="P143" s="292"/>
      <c r="Q143" s="292"/>
      <c r="R143" s="292"/>
      <c r="S143" s="292"/>
      <c r="T143" s="292"/>
      <c r="U143" s="292"/>
      <c r="V143" s="292"/>
      <c r="W143" s="292"/>
      <c r="X143" s="292"/>
      <c r="Y143" s="292"/>
      <c r="Z143" s="292"/>
    </row>
    <row r="144" spans="1:26" ht="12.75" customHeight="1" x14ac:dyDescent="0.25">
      <c r="A144" s="292"/>
      <c r="B144" s="292"/>
      <c r="C144" s="292"/>
      <c r="D144" s="292"/>
      <c r="E144" s="292"/>
      <c r="F144" s="292"/>
      <c r="G144" s="292"/>
      <c r="H144" s="292"/>
      <c r="I144" s="292"/>
      <c r="J144" s="292"/>
      <c r="K144" s="292"/>
      <c r="L144" s="292"/>
      <c r="M144" s="292"/>
      <c r="N144" s="292"/>
      <c r="O144" s="292"/>
      <c r="P144" s="292"/>
      <c r="Q144" s="292"/>
      <c r="R144" s="292"/>
      <c r="S144" s="292"/>
      <c r="T144" s="292"/>
      <c r="U144" s="292"/>
      <c r="V144" s="292"/>
      <c r="W144" s="292"/>
      <c r="X144" s="292"/>
      <c r="Y144" s="292"/>
      <c r="Z144" s="292"/>
    </row>
    <row r="145" spans="1:26" ht="12.75" customHeight="1" x14ac:dyDescent="0.25">
      <c r="A145" s="292"/>
      <c r="B145" s="292"/>
      <c r="C145" s="292"/>
      <c r="D145" s="292"/>
      <c r="E145" s="292"/>
      <c r="F145" s="292"/>
      <c r="G145" s="292"/>
      <c r="H145" s="292"/>
      <c r="I145" s="292"/>
      <c r="J145" s="292"/>
      <c r="K145" s="292"/>
      <c r="L145" s="292"/>
      <c r="M145" s="292"/>
      <c r="N145" s="292"/>
      <c r="O145" s="292"/>
      <c r="P145" s="292"/>
      <c r="Q145" s="292"/>
      <c r="R145" s="292"/>
      <c r="S145" s="292"/>
      <c r="T145" s="292"/>
      <c r="U145" s="292"/>
      <c r="V145" s="292"/>
      <c r="W145" s="292"/>
      <c r="X145" s="292"/>
      <c r="Y145" s="292"/>
      <c r="Z145" s="292"/>
    </row>
    <row r="146" spans="1:26" ht="12.75" customHeight="1" x14ac:dyDescent="0.25">
      <c r="A146" s="292"/>
      <c r="B146" s="292"/>
      <c r="C146" s="292"/>
      <c r="D146" s="292"/>
      <c r="E146" s="292"/>
      <c r="F146" s="292"/>
      <c r="G146" s="292"/>
      <c r="H146" s="292"/>
      <c r="I146" s="292"/>
      <c r="J146" s="292"/>
      <c r="K146" s="292"/>
      <c r="L146" s="292"/>
      <c r="M146" s="292"/>
      <c r="N146" s="292"/>
      <c r="O146" s="292"/>
      <c r="P146" s="292"/>
      <c r="Q146" s="292"/>
      <c r="R146" s="292"/>
      <c r="S146" s="292"/>
      <c r="T146" s="292"/>
      <c r="U146" s="292"/>
      <c r="V146" s="292"/>
      <c r="W146" s="292"/>
      <c r="X146" s="292"/>
      <c r="Y146" s="292"/>
      <c r="Z146" s="292"/>
    </row>
    <row r="147" spans="1:26" ht="12.75" customHeight="1" x14ac:dyDescent="0.25">
      <c r="A147" s="292"/>
      <c r="B147" s="292"/>
      <c r="C147" s="292"/>
      <c r="D147" s="292"/>
      <c r="E147" s="292"/>
      <c r="F147" s="292"/>
      <c r="G147" s="292"/>
      <c r="H147" s="292"/>
      <c r="I147" s="292"/>
      <c r="J147" s="292"/>
      <c r="K147" s="292"/>
      <c r="L147" s="292"/>
      <c r="M147" s="292"/>
      <c r="N147" s="292"/>
      <c r="O147" s="292"/>
      <c r="P147" s="292"/>
      <c r="Q147" s="292"/>
      <c r="R147" s="292"/>
      <c r="S147" s="292"/>
      <c r="T147" s="292"/>
      <c r="U147" s="292"/>
      <c r="V147" s="292"/>
      <c r="W147" s="292"/>
      <c r="X147" s="292"/>
      <c r="Y147" s="292"/>
      <c r="Z147" s="292"/>
    </row>
    <row r="148" spans="1:26" ht="12.75" customHeight="1" x14ac:dyDescent="0.25">
      <c r="A148" s="292"/>
      <c r="B148" s="292"/>
      <c r="C148" s="292"/>
      <c r="D148" s="292"/>
      <c r="E148" s="292"/>
      <c r="F148" s="292"/>
      <c r="G148" s="292"/>
      <c r="H148" s="292"/>
      <c r="I148" s="292"/>
      <c r="J148" s="292"/>
      <c r="K148" s="292"/>
      <c r="L148" s="292"/>
      <c r="M148" s="292"/>
      <c r="N148" s="292"/>
      <c r="O148" s="292"/>
      <c r="P148" s="292"/>
      <c r="Q148" s="292"/>
      <c r="R148" s="292"/>
      <c r="S148" s="292"/>
      <c r="T148" s="292"/>
      <c r="U148" s="292"/>
      <c r="V148" s="292"/>
      <c r="W148" s="292"/>
      <c r="X148" s="292"/>
      <c r="Y148" s="292"/>
      <c r="Z148" s="292"/>
    </row>
    <row r="149" spans="1:26" ht="12.75" customHeight="1" x14ac:dyDescent="0.25">
      <c r="A149" s="292"/>
      <c r="B149" s="292"/>
      <c r="C149" s="292"/>
      <c r="D149" s="292"/>
      <c r="E149" s="292"/>
      <c r="F149" s="292"/>
      <c r="G149" s="292"/>
      <c r="H149" s="292"/>
      <c r="I149" s="292"/>
      <c r="J149" s="292"/>
      <c r="K149" s="292"/>
      <c r="L149" s="292"/>
      <c r="M149" s="292"/>
      <c r="N149" s="292"/>
      <c r="O149" s="292"/>
      <c r="P149" s="292"/>
      <c r="Q149" s="292"/>
      <c r="R149" s="292"/>
      <c r="S149" s="292"/>
      <c r="T149" s="292"/>
      <c r="U149" s="292"/>
      <c r="V149" s="292"/>
      <c r="W149" s="292"/>
      <c r="X149" s="292"/>
      <c r="Y149" s="292"/>
      <c r="Z149" s="292"/>
    </row>
    <row r="150" spans="1:26" ht="12.75" customHeight="1" x14ac:dyDescent="0.25">
      <c r="A150" s="292"/>
      <c r="B150" s="292"/>
      <c r="C150" s="292"/>
      <c r="D150" s="292"/>
      <c r="E150" s="292"/>
      <c r="F150" s="292"/>
      <c r="G150" s="292"/>
      <c r="H150" s="292"/>
      <c r="I150" s="292"/>
      <c r="J150" s="292"/>
      <c r="K150" s="292"/>
      <c r="L150" s="292"/>
      <c r="M150" s="292"/>
      <c r="N150" s="292"/>
      <c r="O150" s="292"/>
      <c r="P150" s="292"/>
      <c r="Q150" s="292"/>
      <c r="R150" s="292"/>
      <c r="S150" s="292"/>
      <c r="T150" s="292"/>
      <c r="U150" s="292"/>
      <c r="V150" s="292"/>
      <c r="W150" s="292"/>
      <c r="X150" s="292"/>
      <c r="Y150" s="292"/>
      <c r="Z150" s="292"/>
    </row>
    <row r="151" spans="1:26" ht="12.75" customHeight="1" x14ac:dyDescent="0.25">
      <c r="A151" s="292"/>
      <c r="B151" s="292"/>
      <c r="C151" s="292"/>
      <c r="D151" s="292"/>
      <c r="E151" s="292"/>
      <c r="F151" s="292"/>
      <c r="G151" s="292"/>
      <c r="H151" s="292"/>
      <c r="I151" s="292"/>
      <c r="J151" s="292"/>
      <c r="K151" s="292"/>
      <c r="L151" s="292"/>
      <c r="M151" s="292"/>
      <c r="N151" s="292"/>
      <c r="O151" s="292"/>
      <c r="P151" s="292"/>
      <c r="Q151" s="292"/>
      <c r="R151" s="292"/>
      <c r="S151" s="292"/>
      <c r="T151" s="292"/>
      <c r="U151" s="292"/>
      <c r="V151" s="292"/>
      <c r="W151" s="292"/>
      <c r="X151" s="292"/>
      <c r="Y151" s="292"/>
      <c r="Z151" s="292"/>
    </row>
    <row r="152" spans="1:26" ht="12.75" customHeight="1" x14ac:dyDescent="0.25">
      <c r="A152" s="292"/>
      <c r="B152" s="292"/>
      <c r="C152" s="292"/>
      <c r="D152" s="292"/>
      <c r="E152" s="292"/>
      <c r="F152" s="292"/>
      <c r="G152" s="292"/>
      <c r="H152" s="292"/>
      <c r="I152" s="292"/>
      <c r="J152" s="292"/>
      <c r="K152" s="292"/>
      <c r="L152" s="292"/>
      <c r="M152" s="292"/>
      <c r="N152" s="292"/>
      <c r="O152" s="292"/>
      <c r="P152" s="292"/>
      <c r="Q152" s="292"/>
      <c r="R152" s="292"/>
      <c r="S152" s="292"/>
      <c r="T152" s="292"/>
      <c r="U152" s="292"/>
      <c r="V152" s="292"/>
      <c r="W152" s="292"/>
      <c r="X152" s="292"/>
      <c r="Y152" s="292"/>
      <c r="Z152" s="292"/>
    </row>
    <row r="153" spans="1:26" ht="12.75" customHeight="1" x14ac:dyDescent="0.25">
      <c r="A153" s="292"/>
      <c r="B153" s="292"/>
      <c r="C153" s="292"/>
      <c r="D153" s="292"/>
      <c r="E153" s="292"/>
      <c r="F153" s="292"/>
      <c r="G153" s="292"/>
      <c r="H153" s="292"/>
      <c r="I153" s="292"/>
      <c r="J153" s="292"/>
      <c r="K153" s="292"/>
      <c r="L153" s="292"/>
      <c r="M153" s="292"/>
      <c r="N153" s="292"/>
      <c r="O153" s="292"/>
      <c r="P153" s="292"/>
      <c r="Q153" s="292"/>
      <c r="R153" s="292"/>
      <c r="S153" s="292"/>
      <c r="T153" s="292"/>
      <c r="U153" s="292"/>
      <c r="V153" s="292"/>
      <c r="W153" s="292"/>
      <c r="X153" s="292"/>
      <c r="Y153" s="292"/>
      <c r="Z153" s="292"/>
    </row>
    <row r="154" spans="1:26" ht="12.75" customHeight="1" x14ac:dyDescent="0.25">
      <c r="A154" s="292"/>
      <c r="B154" s="292"/>
      <c r="C154" s="292"/>
      <c r="D154" s="292"/>
      <c r="E154" s="292"/>
      <c r="F154" s="292"/>
      <c r="G154" s="292"/>
      <c r="H154" s="292"/>
      <c r="I154" s="292"/>
      <c r="J154" s="292"/>
      <c r="K154" s="292"/>
      <c r="L154" s="292"/>
      <c r="M154" s="292"/>
      <c r="N154" s="292"/>
      <c r="O154" s="292"/>
      <c r="P154" s="292"/>
      <c r="Q154" s="292"/>
      <c r="R154" s="292"/>
      <c r="S154" s="292"/>
      <c r="T154" s="292"/>
      <c r="U154" s="292"/>
      <c r="V154" s="292"/>
      <c r="W154" s="292"/>
      <c r="X154" s="292"/>
      <c r="Y154" s="292"/>
      <c r="Z154" s="292"/>
    </row>
    <row r="155" spans="1:26" ht="12.75" customHeight="1" x14ac:dyDescent="0.25">
      <c r="A155" s="292"/>
      <c r="B155" s="292"/>
      <c r="C155" s="292"/>
      <c r="D155" s="292"/>
      <c r="E155" s="292"/>
      <c r="F155" s="292"/>
      <c r="G155" s="292"/>
      <c r="H155" s="292"/>
      <c r="I155" s="292"/>
      <c r="J155" s="292"/>
      <c r="K155" s="292"/>
      <c r="L155" s="292"/>
      <c r="M155" s="292"/>
      <c r="N155" s="292"/>
      <c r="O155" s="292"/>
      <c r="P155" s="292"/>
      <c r="Q155" s="292"/>
      <c r="R155" s="292"/>
      <c r="S155" s="292"/>
      <c r="T155" s="292"/>
      <c r="U155" s="292"/>
      <c r="V155" s="292"/>
      <c r="W155" s="292"/>
      <c r="X155" s="292"/>
      <c r="Y155" s="292"/>
      <c r="Z155" s="292"/>
    </row>
    <row r="156" spans="1:26" ht="12.75" customHeight="1" x14ac:dyDescent="0.25">
      <c r="A156" s="292"/>
      <c r="B156" s="292"/>
      <c r="C156" s="292"/>
      <c r="D156" s="292"/>
      <c r="E156" s="292"/>
      <c r="F156" s="292"/>
      <c r="G156" s="292"/>
      <c r="H156" s="292"/>
      <c r="I156" s="292"/>
      <c r="J156" s="292"/>
      <c r="K156" s="292"/>
      <c r="L156" s="292"/>
      <c r="M156" s="292"/>
      <c r="N156" s="292"/>
      <c r="O156" s="292"/>
      <c r="P156" s="292"/>
      <c r="Q156" s="292"/>
      <c r="R156" s="292"/>
      <c r="S156" s="292"/>
      <c r="T156" s="292"/>
      <c r="U156" s="292"/>
      <c r="V156" s="292"/>
      <c r="W156" s="292"/>
      <c r="X156" s="292"/>
      <c r="Y156" s="292"/>
      <c r="Z156" s="292"/>
    </row>
    <row r="157" spans="1:26" ht="12.75" customHeight="1" x14ac:dyDescent="0.25">
      <c r="A157" s="292"/>
      <c r="B157" s="292"/>
      <c r="C157" s="292"/>
      <c r="D157" s="292"/>
      <c r="E157" s="292"/>
      <c r="F157" s="292"/>
      <c r="G157" s="292"/>
      <c r="H157" s="292"/>
      <c r="I157" s="292"/>
      <c r="J157" s="292"/>
      <c r="K157" s="292"/>
      <c r="L157" s="292"/>
      <c r="M157" s="292"/>
      <c r="N157" s="292"/>
      <c r="O157" s="292"/>
      <c r="P157" s="292"/>
      <c r="Q157" s="292"/>
      <c r="R157" s="292"/>
      <c r="S157" s="292"/>
      <c r="T157" s="292"/>
      <c r="U157" s="292"/>
      <c r="V157" s="292"/>
      <c r="W157" s="292"/>
      <c r="X157" s="292"/>
      <c r="Y157" s="292"/>
      <c r="Z157" s="292"/>
    </row>
    <row r="158" spans="1:26" ht="12.75" customHeight="1" x14ac:dyDescent="0.25">
      <c r="A158" s="292"/>
      <c r="B158" s="292"/>
      <c r="C158" s="292"/>
      <c r="D158" s="292"/>
      <c r="E158" s="292"/>
      <c r="F158" s="292"/>
      <c r="G158" s="292"/>
      <c r="H158" s="292"/>
      <c r="I158" s="292"/>
      <c r="J158" s="292"/>
      <c r="K158" s="292"/>
      <c r="L158" s="292"/>
      <c r="M158" s="292"/>
      <c r="N158" s="292"/>
      <c r="O158" s="292"/>
      <c r="P158" s="292"/>
      <c r="Q158" s="292"/>
      <c r="R158" s="292"/>
      <c r="S158" s="292"/>
      <c r="T158" s="292"/>
      <c r="U158" s="292"/>
      <c r="V158" s="292"/>
      <c r="W158" s="292"/>
      <c r="X158" s="292"/>
      <c r="Y158" s="292"/>
      <c r="Z158" s="292"/>
    </row>
    <row r="159" spans="1:26" ht="12.75" customHeight="1" x14ac:dyDescent="0.25">
      <c r="A159" s="292"/>
      <c r="B159" s="292"/>
      <c r="C159" s="292"/>
      <c r="D159" s="292"/>
      <c r="E159" s="292"/>
      <c r="F159" s="292"/>
      <c r="G159" s="292"/>
      <c r="H159" s="292"/>
      <c r="I159" s="292"/>
      <c r="J159" s="292"/>
      <c r="K159" s="292"/>
      <c r="L159" s="292"/>
      <c r="M159" s="292"/>
      <c r="N159" s="292"/>
      <c r="O159" s="292"/>
      <c r="P159" s="292"/>
      <c r="Q159" s="292"/>
      <c r="R159" s="292"/>
      <c r="S159" s="292"/>
      <c r="T159" s="292"/>
      <c r="U159" s="292"/>
      <c r="V159" s="292"/>
      <c r="W159" s="292"/>
      <c r="X159" s="292"/>
      <c r="Y159" s="292"/>
      <c r="Z159" s="292"/>
    </row>
    <row r="160" spans="1:26" ht="12.75" customHeight="1" x14ac:dyDescent="0.25">
      <c r="A160" s="292"/>
      <c r="B160" s="292"/>
      <c r="C160" s="292"/>
      <c r="D160" s="292"/>
      <c r="E160" s="292"/>
      <c r="F160" s="292"/>
      <c r="G160" s="292"/>
      <c r="H160" s="292"/>
      <c r="I160" s="292"/>
      <c r="J160" s="292"/>
      <c r="K160" s="292"/>
      <c r="L160" s="292"/>
      <c r="M160" s="292"/>
      <c r="N160" s="292"/>
      <c r="O160" s="292"/>
      <c r="P160" s="292"/>
      <c r="Q160" s="292"/>
      <c r="R160" s="292"/>
      <c r="S160" s="292"/>
      <c r="T160" s="292"/>
      <c r="U160" s="292"/>
      <c r="V160" s="292"/>
      <c r="W160" s="292"/>
      <c r="X160" s="292"/>
      <c r="Y160" s="292"/>
      <c r="Z160" s="292"/>
    </row>
    <row r="161" spans="1:26" ht="12.75" customHeight="1" x14ac:dyDescent="0.25">
      <c r="A161" s="292"/>
      <c r="B161" s="292"/>
      <c r="C161" s="292"/>
      <c r="D161" s="292"/>
      <c r="E161" s="292"/>
      <c r="F161" s="292"/>
      <c r="G161" s="292"/>
      <c r="H161" s="292"/>
      <c r="I161" s="292"/>
      <c r="J161" s="292"/>
      <c r="K161" s="292"/>
      <c r="L161" s="292"/>
      <c r="M161" s="292"/>
      <c r="N161" s="292"/>
      <c r="O161" s="292"/>
      <c r="P161" s="292"/>
      <c r="Q161" s="292"/>
      <c r="R161" s="292"/>
      <c r="S161" s="292"/>
      <c r="T161" s="292"/>
      <c r="U161" s="292"/>
      <c r="V161" s="292"/>
      <c r="W161" s="292"/>
      <c r="X161" s="292"/>
      <c r="Y161" s="292"/>
      <c r="Z161" s="292"/>
    </row>
    <row r="162" spans="1:26" ht="12.75" customHeight="1" x14ac:dyDescent="0.25">
      <c r="A162" s="292"/>
      <c r="B162" s="292"/>
      <c r="C162" s="292"/>
      <c r="D162" s="292"/>
      <c r="E162" s="292"/>
      <c r="F162" s="292"/>
      <c r="G162" s="292"/>
      <c r="H162" s="292"/>
      <c r="I162" s="292"/>
      <c r="J162" s="292"/>
      <c r="K162" s="292"/>
      <c r="L162" s="292"/>
      <c r="M162" s="292"/>
      <c r="N162" s="292"/>
      <c r="O162" s="292"/>
      <c r="P162" s="292"/>
      <c r="Q162" s="292"/>
      <c r="R162" s="292"/>
      <c r="S162" s="292"/>
      <c r="T162" s="292"/>
      <c r="U162" s="292"/>
      <c r="V162" s="292"/>
      <c r="W162" s="292"/>
      <c r="X162" s="292"/>
      <c r="Y162" s="292"/>
      <c r="Z162" s="292"/>
    </row>
    <row r="163" spans="1:26" ht="12.75" customHeight="1" x14ac:dyDescent="0.25">
      <c r="A163" s="292"/>
      <c r="B163" s="292"/>
      <c r="C163" s="292"/>
      <c r="D163" s="292"/>
      <c r="E163" s="292"/>
      <c r="F163" s="292"/>
      <c r="G163" s="292"/>
      <c r="H163" s="292"/>
      <c r="I163" s="292"/>
      <c r="J163" s="292"/>
      <c r="K163" s="292"/>
      <c r="L163" s="292"/>
      <c r="M163" s="292"/>
      <c r="N163" s="292"/>
      <c r="O163" s="292"/>
      <c r="P163" s="292"/>
      <c r="Q163" s="292"/>
      <c r="R163" s="292"/>
      <c r="S163" s="292"/>
      <c r="T163" s="292"/>
      <c r="U163" s="292"/>
      <c r="V163" s="292"/>
      <c r="W163" s="292"/>
      <c r="X163" s="292"/>
      <c r="Y163" s="292"/>
      <c r="Z163" s="292"/>
    </row>
    <row r="164" spans="1:26" ht="12.75" customHeight="1" x14ac:dyDescent="0.25">
      <c r="A164" s="292"/>
      <c r="B164" s="292"/>
      <c r="C164" s="292"/>
      <c r="D164" s="292"/>
      <c r="E164" s="292"/>
      <c r="F164" s="292"/>
      <c r="G164" s="292"/>
      <c r="H164" s="292"/>
      <c r="I164" s="292"/>
      <c r="J164" s="292"/>
      <c r="K164" s="292"/>
      <c r="L164" s="292"/>
      <c r="M164" s="292"/>
      <c r="N164" s="292"/>
      <c r="O164" s="292"/>
      <c r="P164" s="292"/>
      <c r="Q164" s="292"/>
      <c r="R164" s="292"/>
      <c r="S164" s="292"/>
      <c r="T164" s="292"/>
      <c r="U164" s="292"/>
      <c r="V164" s="292"/>
      <c r="W164" s="292"/>
      <c r="X164" s="292"/>
      <c r="Y164" s="292"/>
      <c r="Z164" s="292"/>
    </row>
    <row r="165" spans="1:26" ht="12.75" customHeight="1" x14ac:dyDescent="0.25">
      <c r="A165" s="292"/>
      <c r="B165" s="292"/>
      <c r="C165" s="292"/>
      <c r="D165" s="292"/>
      <c r="E165" s="292"/>
      <c r="F165" s="292"/>
      <c r="G165" s="292"/>
      <c r="H165" s="292"/>
      <c r="I165" s="292"/>
      <c r="J165" s="292"/>
      <c r="K165" s="292"/>
      <c r="L165" s="292"/>
      <c r="M165" s="292"/>
      <c r="N165" s="292"/>
      <c r="O165" s="292"/>
      <c r="P165" s="292"/>
      <c r="Q165" s="292"/>
      <c r="R165" s="292"/>
      <c r="S165" s="292"/>
      <c r="T165" s="292"/>
      <c r="U165" s="292"/>
      <c r="V165" s="292"/>
      <c r="W165" s="292"/>
      <c r="X165" s="292"/>
      <c r="Y165" s="292"/>
      <c r="Z165" s="292"/>
    </row>
    <row r="166" spans="1:26" ht="12.75" customHeight="1" x14ac:dyDescent="0.25">
      <c r="A166" s="292"/>
      <c r="B166" s="292"/>
      <c r="C166" s="292"/>
      <c r="D166" s="292"/>
      <c r="E166" s="292"/>
      <c r="F166" s="292"/>
      <c r="G166" s="292"/>
      <c r="H166" s="292"/>
      <c r="I166" s="292"/>
      <c r="J166" s="292"/>
      <c r="K166" s="292"/>
      <c r="L166" s="292"/>
      <c r="M166" s="292"/>
      <c r="N166" s="292"/>
      <c r="O166" s="292"/>
      <c r="P166" s="292"/>
      <c r="Q166" s="292"/>
      <c r="R166" s="292"/>
      <c r="S166" s="292"/>
      <c r="T166" s="292"/>
      <c r="U166" s="292"/>
      <c r="V166" s="292"/>
      <c r="W166" s="292"/>
      <c r="X166" s="292"/>
      <c r="Y166" s="292"/>
      <c r="Z166" s="292"/>
    </row>
    <row r="167" spans="1:26" ht="12.75" customHeight="1" x14ac:dyDescent="0.25">
      <c r="A167" s="292"/>
      <c r="B167" s="292"/>
      <c r="C167" s="292"/>
      <c r="D167" s="292"/>
      <c r="E167" s="292"/>
      <c r="F167" s="292"/>
      <c r="G167" s="292"/>
      <c r="H167" s="292"/>
      <c r="I167" s="292"/>
      <c r="J167" s="292"/>
      <c r="K167" s="292"/>
      <c r="L167" s="292"/>
      <c r="M167" s="292"/>
      <c r="N167" s="292"/>
      <c r="O167" s="292"/>
      <c r="P167" s="292"/>
      <c r="Q167" s="292"/>
      <c r="R167" s="292"/>
      <c r="S167" s="292"/>
      <c r="T167" s="292"/>
      <c r="U167" s="292"/>
      <c r="V167" s="292"/>
      <c r="W167" s="292"/>
      <c r="X167" s="292"/>
      <c r="Y167" s="292"/>
      <c r="Z167" s="292"/>
    </row>
    <row r="168" spans="1:26" ht="12.75" customHeight="1" x14ac:dyDescent="0.25">
      <c r="A168" s="292"/>
      <c r="B168" s="292"/>
      <c r="C168" s="292"/>
      <c r="D168" s="292"/>
      <c r="E168" s="292"/>
      <c r="F168" s="292"/>
      <c r="G168" s="292"/>
      <c r="H168" s="292"/>
      <c r="I168" s="292"/>
      <c r="J168" s="292"/>
      <c r="K168" s="292"/>
      <c r="L168" s="292"/>
      <c r="M168" s="292"/>
      <c r="N168" s="292"/>
      <c r="O168" s="292"/>
      <c r="P168" s="292"/>
      <c r="Q168" s="292"/>
      <c r="R168" s="292"/>
      <c r="S168" s="292"/>
      <c r="T168" s="292"/>
      <c r="U168" s="292"/>
      <c r="V168" s="292"/>
      <c r="W168" s="292"/>
      <c r="X168" s="292"/>
      <c r="Y168" s="292"/>
      <c r="Z168" s="292"/>
    </row>
    <row r="169" spans="1:26" ht="12.75" customHeight="1" x14ac:dyDescent="0.25">
      <c r="A169" s="292"/>
      <c r="B169" s="292"/>
      <c r="C169" s="292"/>
      <c r="D169" s="292"/>
      <c r="E169" s="292"/>
      <c r="F169" s="292"/>
      <c r="G169" s="292"/>
      <c r="H169" s="292"/>
      <c r="I169" s="292"/>
      <c r="J169" s="292"/>
      <c r="K169" s="292"/>
      <c r="L169" s="292"/>
      <c r="M169" s="292"/>
      <c r="N169" s="292"/>
      <c r="O169" s="292"/>
      <c r="P169" s="292"/>
      <c r="Q169" s="292"/>
      <c r="R169" s="292"/>
      <c r="S169" s="292"/>
      <c r="T169" s="292"/>
      <c r="U169" s="292"/>
      <c r="V169" s="292"/>
      <c r="W169" s="292"/>
      <c r="X169" s="292"/>
      <c r="Y169" s="292"/>
      <c r="Z169" s="292"/>
    </row>
    <row r="170" spans="1:26" ht="12.75" customHeight="1" x14ac:dyDescent="0.25">
      <c r="A170" s="292"/>
      <c r="B170" s="292"/>
      <c r="C170" s="292"/>
      <c r="D170" s="292"/>
      <c r="E170" s="292"/>
      <c r="F170" s="292"/>
      <c r="G170" s="292"/>
      <c r="H170" s="292"/>
      <c r="I170" s="292"/>
      <c r="J170" s="292"/>
      <c r="K170" s="292"/>
      <c r="L170" s="292"/>
      <c r="M170" s="292"/>
      <c r="N170" s="292"/>
      <c r="O170" s="292"/>
      <c r="P170" s="292"/>
      <c r="Q170" s="292"/>
      <c r="R170" s="292"/>
      <c r="S170" s="292"/>
      <c r="T170" s="292"/>
      <c r="U170" s="292"/>
      <c r="V170" s="292"/>
      <c r="W170" s="292"/>
      <c r="X170" s="292"/>
      <c r="Y170" s="292"/>
      <c r="Z170" s="292"/>
    </row>
    <row r="171" spans="1:26" ht="12.75" customHeight="1" x14ac:dyDescent="0.25">
      <c r="A171" s="292"/>
      <c r="B171" s="292"/>
      <c r="C171" s="292"/>
      <c r="D171" s="292"/>
      <c r="E171" s="292"/>
      <c r="F171" s="292"/>
      <c r="G171" s="292"/>
      <c r="H171" s="292"/>
      <c r="I171" s="292"/>
      <c r="J171" s="292"/>
      <c r="K171" s="292"/>
      <c r="L171" s="292"/>
      <c r="M171" s="292"/>
      <c r="N171" s="292"/>
      <c r="O171" s="292"/>
      <c r="P171" s="292"/>
      <c r="Q171" s="292"/>
      <c r="R171" s="292"/>
      <c r="S171" s="292"/>
      <c r="T171" s="292"/>
      <c r="U171" s="292"/>
      <c r="V171" s="292"/>
      <c r="W171" s="292"/>
      <c r="X171" s="292"/>
      <c r="Y171" s="292"/>
      <c r="Z171" s="292"/>
    </row>
    <row r="172" spans="1:26" ht="12.75" customHeight="1" x14ac:dyDescent="0.25">
      <c r="A172" s="292"/>
      <c r="B172" s="292"/>
      <c r="C172" s="292"/>
      <c r="D172" s="292"/>
      <c r="E172" s="292"/>
      <c r="F172" s="292"/>
      <c r="G172" s="292"/>
      <c r="H172" s="292"/>
      <c r="I172" s="292"/>
      <c r="J172" s="292"/>
      <c r="K172" s="292"/>
      <c r="L172" s="292"/>
      <c r="M172" s="292"/>
      <c r="N172" s="292"/>
      <c r="O172" s="292"/>
      <c r="P172" s="292"/>
      <c r="Q172" s="292"/>
      <c r="R172" s="292"/>
      <c r="S172" s="292"/>
      <c r="T172" s="292"/>
      <c r="U172" s="292"/>
      <c r="V172" s="292"/>
      <c r="W172" s="292"/>
      <c r="X172" s="292"/>
      <c r="Y172" s="292"/>
      <c r="Z172" s="292"/>
    </row>
    <row r="173" spans="1:26" ht="12.75" customHeight="1" x14ac:dyDescent="0.25">
      <c r="A173" s="292"/>
      <c r="B173" s="292"/>
      <c r="C173" s="292"/>
      <c r="D173" s="292"/>
      <c r="E173" s="292"/>
      <c r="F173" s="292"/>
      <c r="G173" s="292"/>
      <c r="H173" s="292"/>
      <c r="I173" s="292"/>
      <c r="J173" s="292"/>
      <c r="K173" s="292"/>
      <c r="L173" s="292"/>
      <c r="M173" s="292"/>
      <c r="N173" s="292"/>
      <c r="O173" s="292"/>
      <c r="P173" s="292"/>
      <c r="Q173" s="292"/>
      <c r="R173" s="292"/>
      <c r="S173" s="292"/>
      <c r="T173" s="292"/>
      <c r="U173" s="292"/>
      <c r="V173" s="292"/>
      <c r="W173" s="292"/>
      <c r="X173" s="292"/>
      <c r="Y173" s="292"/>
      <c r="Z173" s="292"/>
    </row>
    <row r="174" spans="1:26" ht="12.75" customHeight="1" x14ac:dyDescent="0.25">
      <c r="A174" s="292"/>
      <c r="B174" s="292"/>
      <c r="C174" s="292"/>
      <c r="D174" s="292"/>
      <c r="E174" s="292"/>
      <c r="F174" s="292"/>
      <c r="G174" s="292"/>
      <c r="H174" s="292"/>
      <c r="I174" s="292"/>
      <c r="J174" s="292"/>
      <c r="K174" s="292"/>
      <c r="L174" s="292"/>
      <c r="M174" s="292"/>
      <c r="N174" s="292"/>
      <c r="O174" s="292"/>
      <c r="P174" s="292"/>
      <c r="Q174" s="292"/>
      <c r="R174" s="292"/>
      <c r="S174" s="292"/>
      <c r="T174" s="292"/>
      <c r="U174" s="292"/>
      <c r="V174" s="292"/>
      <c r="W174" s="292"/>
      <c r="X174" s="292"/>
      <c r="Y174" s="292"/>
      <c r="Z174" s="292"/>
    </row>
    <row r="175" spans="1:26" ht="12.75" customHeight="1" x14ac:dyDescent="0.25">
      <c r="A175" s="292"/>
      <c r="B175" s="292"/>
      <c r="C175" s="292"/>
      <c r="D175" s="292"/>
      <c r="E175" s="292"/>
      <c r="F175" s="292"/>
      <c r="G175" s="292"/>
      <c r="H175" s="292"/>
      <c r="I175" s="292"/>
      <c r="J175" s="292"/>
      <c r="K175" s="292"/>
      <c r="L175" s="292"/>
      <c r="M175" s="292"/>
      <c r="N175" s="292"/>
      <c r="O175" s="292"/>
      <c r="P175" s="292"/>
      <c r="Q175" s="292"/>
      <c r="R175" s="292"/>
      <c r="S175" s="292"/>
      <c r="T175" s="292"/>
      <c r="U175" s="292"/>
      <c r="V175" s="292"/>
      <c r="W175" s="292"/>
      <c r="X175" s="292"/>
      <c r="Y175" s="292"/>
      <c r="Z175" s="292"/>
    </row>
    <row r="176" spans="1:26" ht="12.75" customHeight="1" x14ac:dyDescent="0.25">
      <c r="A176" s="292"/>
      <c r="B176" s="292"/>
      <c r="C176" s="292"/>
      <c r="D176" s="292"/>
      <c r="E176" s="292"/>
      <c r="F176" s="292"/>
      <c r="G176" s="292"/>
      <c r="H176" s="292"/>
      <c r="I176" s="292"/>
      <c r="J176" s="292"/>
      <c r="K176" s="292"/>
      <c r="L176" s="292"/>
      <c r="M176" s="292"/>
      <c r="N176" s="292"/>
      <c r="O176" s="292"/>
      <c r="P176" s="292"/>
      <c r="Q176" s="292"/>
      <c r="R176" s="292"/>
      <c r="S176" s="292"/>
      <c r="T176" s="292"/>
      <c r="U176" s="292"/>
      <c r="V176" s="292"/>
      <c r="W176" s="292"/>
      <c r="X176" s="292"/>
      <c r="Y176" s="292"/>
      <c r="Z176" s="292"/>
    </row>
    <row r="177" spans="1:26" ht="12.75" customHeight="1" x14ac:dyDescent="0.25">
      <c r="A177" s="292"/>
      <c r="B177" s="292"/>
      <c r="C177" s="292"/>
      <c r="D177" s="292"/>
      <c r="E177" s="292"/>
      <c r="F177" s="292"/>
      <c r="G177" s="292"/>
      <c r="H177" s="292"/>
      <c r="I177" s="292"/>
      <c r="J177" s="292"/>
      <c r="K177" s="292"/>
      <c r="L177" s="292"/>
      <c r="M177" s="292"/>
      <c r="N177" s="292"/>
      <c r="O177" s="292"/>
      <c r="P177" s="292"/>
      <c r="Q177" s="292"/>
      <c r="R177" s="292"/>
      <c r="S177" s="292"/>
      <c r="T177" s="292"/>
      <c r="U177" s="292"/>
      <c r="V177" s="292"/>
      <c r="W177" s="292"/>
      <c r="X177" s="292"/>
      <c r="Y177" s="292"/>
      <c r="Z177" s="292"/>
    </row>
    <row r="178" spans="1:26" ht="12.75" customHeight="1" x14ac:dyDescent="0.25">
      <c r="A178" s="292"/>
      <c r="B178" s="292"/>
      <c r="C178" s="292"/>
      <c r="D178" s="292"/>
      <c r="E178" s="292"/>
      <c r="F178" s="292"/>
      <c r="G178" s="292"/>
      <c r="H178" s="292"/>
      <c r="I178" s="292"/>
      <c r="J178" s="292"/>
      <c r="K178" s="292"/>
      <c r="L178" s="292"/>
      <c r="M178" s="292"/>
      <c r="N178" s="292"/>
      <c r="O178" s="292"/>
      <c r="P178" s="292"/>
      <c r="Q178" s="292"/>
      <c r="R178" s="292"/>
      <c r="S178" s="292"/>
      <c r="T178" s="292"/>
      <c r="U178" s="292"/>
      <c r="V178" s="292"/>
      <c r="W178" s="292"/>
      <c r="X178" s="292"/>
      <c r="Y178" s="292"/>
      <c r="Z178" s="292"/>
    </row>
    <row r="179" spans="1:26" ht="12.75" customHeight="1" x14ac:dyDescent="0.25">
      <c r="A179" s="292"/>
      <c r="B179" s="292"/>
      <c r="C179" s="292"/>
      <c r="D179" s="292"/>
      <c r="E179" s="292"/>
      <c r="F179" s="292"/>
      <c r="G179" s="292"/>
      <c r="H179" s="292"/>
      <c r="I179" s="292"/>
      <c r="J179" s="292"/>
      <c r="K179" s="292"/>
      <c r="L179" s="292"/>
      <c r="M179" s="292"/>
      <c r="N179" s="292"/>
      <c r="O179" s="292"/>
      <c r="P179" s="292"/>
      <c r="Q179" s="292"/>
      <c r="R179" s="292"/>
      <c r="S179" s="292"/>
      <c r="T179" s="292"/>
      <c r="U179" s="292"/>
      <c r="V179" s="292"/>
      <c r="W179" s="292"/>
      <c r="X179" s="292"/>
      <c r="Y179" s="292"/>
      <c r="Z179" s="292"/>
    </row>
    <row r="180" spans="1:26" ht="12.75" customHeight="1" x14ac:dyDescent="0.25">
      <c r="A180" s="292"/>
      <c r="B180" s="292"/>
      <c r="C180" s="292"/>
      <c r="D180" s="292"/>
      <c r="E180" s="292"/>
      <c r="F180" s="292"/>
      <c r="G180" s="292"/>
      <c r="H180" s="292"/>
      <c r="I180" s="292"/>
      <c r="J180" s="292"/>
      <c r="K180" s="292"/>
      <c r="L180" s="292"/>
      <c r="M180" s="292"/>
      <c r="N180" s="292"/>
      <c r="O180" s="292"/>
      <c r="P180" s="292"/>
      <c r="Q180" s="292"/>
      <c r="R180" s="292"/>
      <c r="S180" s="292"/>
      <c r="T180" s="292"/>
      <c r="U180" s="292"/>
      <c r="V180" s="292"/>
      <c r="W180" s="292"/>
      <c r="X180" s="292"/>
      <c r="Y180" s="292"/>
      <c r="Z180" s="292"/>
    </row>
    <row r="181" spans="1:26" ht="12.75" customHeight="1" x14ac:dyDescent="0.25">
      <c r="A181" s="292"/>
      <c r="B181" s="292"/>
      <c r="C181" s="292"/>
      <c r="D181" s="292"/>
      <c r="E181" s="292"/>
      <c r="F181" s="292"/>
      <c r="G181" s="292"/>
      <c r="H181" s="292"/>
      <c r="I181" s="292"/>
      <c r="J181" s="292"/>
      <c r="K181" s="292"/>
      <c r="L181" s="292"/>
      <c r="M181" s="292"/>
      <c r="N181" s="292"/>
      <c r="O181" s="292"/>
      <c r="P181" s="292"/>
      <c r="Q181" s="292"/>
      <c r="R181" s="292"/>
      <c r="S181" s="292"/>
      <c r="T181" s="292"/>
      <c r="U181" s="292"/>
      <c r="V181" s="292"/>
      <c r="W181" s="292"/>
      <c r="X181" s="292"/>
      <c r="Y181" s="292"/>
      <c r="Z181" s="292"/>
    </row>
    <row r="182" spans="1:26" ht="12.75" customHeight="1" x14ac:dyDescent="0.25">
      <c r="A182" s="292"/>
      <c r="B182" s="292"/>
      <c r="C182" s="292"/>
      <c r="D182" s="292"/>
      <c r="E182" s="292"/>
      <c r="F182" s="292"/>
      <c r="G182" s="292"/>
      <c r="H182" s="292"/>
      <c r="I182" s="292"/>
      <c r="J182" s="292"/>
      <c r="K182" s="292"/>
      <c r="L182" s="292"/>
      <c r="M182" s="292"/>
      <c r="N182" s="292"/>
      <c r="O182" s="292"/>
      <c r="P182" s="292"/>
      <c r="Q182" s="292"/>
      <c r="R182" s="292"/>
      <c r="S182" s="292"/>
      <c r="T182" s="292"/>
      <c r="U182" s="292"/>
      <c r="V182" s="292"/>
      <c r="W182" s="292"/>
      <c r="X182" s="292"/>
      <c r="Y182" s="292"/>
      <c r="Z182" s="292"/>
    </row>
    <row r="183" spans="1:26" ht="12.75" customHeight="1" x14ac:dyDescent="0.25">
      <c r="A183" s="292"/>
      <c r="B183" s="292"/>
      <c r="C183" s="292"/>
      <c r="D183" s="292"/>
      <c r="E183" s="292"/>
      <c r="F183" s="292"/>
      <c r="G183" s="292"/>
      <c r="H183" s="292"/>
      <c r="I183" s="292"/>
      <c r="J183" s="292"/>
      <c r="K183" s="292"/>
      <c r="L183" s="292"/>
      <c r="M183" s="292"/>
      <c r="N183" s="292"/>
      <c r="O183" s="292"/>
      <c r="P183" s="292"/>
      <c r="Q183" s="292"/>
      <c r="R183" s="292"/>
      <c r="S183" s="292"/>
      <c r="T183" s="292"/>
      <c r="U183" s="292"/>
      <c r="V183" s="292"/>
      <c r="W183" s="292"/>
      <c r="X183" s="292"/>
      <c r="Y183" s="292"/>
      <c r="Z183" s="292"/>
    </row>
    <row r="184" spans="1:26" ht="12.75" customHeight="1" x14ac:dyDescent="0.25">
      <c r="A184" s="292"/>
      <c r="B184" s="292"/>
      <c r="C184" s="292"/>
      <c r="D184" s="292"/>
      <c r="E184" s="292"/>
      <c r="F184" s="292"/>
      <c r="G184" s="292"/>
      <c r="H184" s="292"/>
      <c r="I184" s="292"/>
      <c r="J184" s="292"/>
      <c r="K184" s="292"/>
      <c r="L184" s="292"/>
      <c r="M184" s="292"/>
      <c r="N184" s="292"/>
      <c r="O184" s="292"/>
      <c r="P184" s="292"/>
      <c r="Q184" s="292"/>
      <c r="R184" s="292"/>
      <c r="S184" s="292"/>
      <c r="T184" s="292"/>
      <c r="U184" s="292"/>
      <c r="V184" s="292"/>
      <c r="W184" s="292"/>
      <c r="X184" s="292"/>
      <c r="Y184" s="292"/>
      <c r="Z184" s="292"/>
    </row>
    <row r="185" spans="1:26" ht="12.75" customHeight="1" x14ac:dyDescent="0.25">
      <c r="A185" s="292"/>
      <c r="B185" s="292"/>
      <c r="C185" s="292"/>
      <c r="D185" s="292"/>
      <c r="E185" s="292"/>
      <c r="F185" s="292"/>
      <c r="G185" s="292"/>
      <c r="H185" s="292"/>
      <c r="I185" s="292"/>
      <c r="J185" s="292"/>
      <c r="K185" s="292"/>
      <c r="L185" s="292"/>
      <c r="M185" s="292"/>
      <c r="N185" s="292"/>
      <c r="O185" s="292"/>
      <c r="P185" s="292"/>
      <c r="Q185" s="292"/>
      <c r="R185" s="292"/>
      <c r="S185" s="292"/>
      <c r="T185" s="292"/>
      <c r="U185" s="292"/>
      <c r="V185" s="292"/>
      <c r="W185" s="292"/>
      <c r="X185" s="292"/>
      <c r="Y185" s="292"/>
      <c r="Z185" s="292"/>
    </row>
    <row r="186" spans="1:26" ht="12.75" customHeight="1" x14ac:dyDescent="0.25">
      <c r="A186" s="292"/>
      <c r="B186" s="292"/>
      <c r="C186" s="292"/>
      <c r="D186" s="292"/>
      <c r="E186" s="292"/>
      <c r="F186" s="292"/>
      <c r="G186" s="292"/>
      <c r="H186" s="292"/>
      <c r="I186" s="292"/>
      <c r="J186" s="292"/>
      <c r="K186" s="292"/>
      <c r="L186" s="292"/>
      <c r="M186" s="292"/>
      <c r="N186" s="292"/>
      <c r="O186" s="292"/>
      <c r="P186" s="292"/>
      <c r="Q186" s="292"/>
      <c r="R186" s="292"/>
      <c r="S186" s="292"/>
      <c r="T186" s="292"/>
      <c r="U186" s="292"/>
      <c r="V186" s="292"/>
      <c r="W186" s="292"/>
      <c r="X186" s="292"/>
      <c r="Y186" s="292"/>
      <c r="Z186" s="292"/>
    </row>
    <row r="187" spans="1:26" ht="12.75" customHeight="1" x14ac:dyDescent="0.25">
      <c r="A187" s="292"/>
      <c r="B187" s="292"/>
      <c r="C187" s="292"/>
      <c r="D187" s="292"/>
      <c r="E187" s="292"/>
      <c r="F187" s="292"/>
      <c r="G187" s="292"/>
      <c r="H187" s="292"/>
      <c r="I187" s="292"/>
      <c r="J187" s="292"/>
      <c r="K187" s="292"/>
      <c r="L187" s="292"/>
      <c r="M187" s="292"/>
      <c r="N187" s="292"/>
      <c r="O187" s="292"/>
      <c r="P187" s="292"/>
      <c r="Q187" s="292"/>
      <c r="R187" s="292"/>
      <c r="S187" s="292"/>
      <c r="T187" s="292"/>
      <c r="U187" s="292"/>
      <c r="V187" s="292"/>
      <c r="W187" s="292"/>
      <c r="X187" s="292"/>
      <c r="Y187" s="292"/>
      <c r="Z187" s="292"/>
    </row>
    <row r="188" spans="1:26" ht="12.75" customHeight="1" x14ac:dyDescent="0.25">
      <c r="A188" s="292"/>
      <c r="B188" s="292"/>
      <c r="C188" s="292"/>
      <c r="D188" s="292"/>
      <c r="E188" s="292"/>
      <c r="F188" s="292"/>
      <c r="G188" s="292"/>
      <c r="H188" s="292"/>
      <c r="I188" s="292"/>
      <c r="J188" s="292"/>
      <c r="K188" s="292"/>
      <c r="L188" s="292"/>
      <c r="M188" s="292"/>
      <c r="N188" s="292"/>
      <c r="O188" s="292"/>
      <c r="P188" s="292"/>
      <c r="Q188" s="292"/>
      <c r="R188" s="292"/>
      <c r="S188" s="292"/>
      <c r="T188" s="292"/>
      <c r="U188" s="292"/>
      <c r="V188" s="292"/>
      <c r="W188" s="292"/>
      <c r="X188" s="292"/>
      <c r="Y188" s="292"/>
      <c r="Z188" s="292"/>
    </row>
    <row r="189" spans="1:26" ht="12.75" customHeight="1" x14ac:dyDescent="0.25">
      <c r="A189" s="292"/>
      <c r="B189" s="292"/>
      <c r="C189" s="292"/>
      <c r="D189" s="292"/>
      <c r="E189" s="292"/>
      <c r="F189" s="292"/>
      <c r="G189" s="292"/>
      <c r="H189" s="292"/>
      <c r="I189" s="292"/>
      <c r="J189" s="292"/>
      <c r="K189" s="292"/>
      <c r="L189" s="292"/>
      <c r="M189" s="292"/>
      <c r="N189" s="292"/>
      <c r="O189" s="292"/>
      <c r="P189" s="292"/>
      <c r="Q189" s="292"/>
      <c r="R189" s="292"/>
      <c r="S189" s="292"/>
      <c r="T189" s="292"/>
      <c r="U189" s="292"/>
      <c r="V189" s="292"/>
      <c r="W189" s="292"/>
      <c r="X189" s="292"/>
      <c r="Y189" s="292"/>
      <c r="Z189" s="292"/>
    </row>
    <row r="190" spans="1:26" ht="12.75" customHeight="1" x14ac:dyDescent="0.25">
      <c r="A190" s="292"/>
      <c r="B190" s="292"/>
      <c r="C190" s="292"/>
      <c r="D190" s="292"/>
      <c r="E190" s="292"/>
      <c r="F190" s="292"/>
      <c r="G190" s="292"/>
      <c r="H190" s="292"/>
      <c r="I190" s="292"/>
      <c r="J190" s="292"/>
      <c r="K190" s="292"/>
      <c r="L190" s="292"/>
      <c r="M190" s="292"/>
      <c r="N190" s="292"/>
      <c r="O190" s="292"/>
      <c r="P190" s="292"/>
      <c r="Q190" s="292"/>
      <c r="R190" s="292"/>
      <c r="S190" s="292"/>
      <c r="T190" s="292"/>
      <c r="U190" s="292"/>
      <c r="V190" s="292"/>
      <c r="W190" s="292"/>
      <c r="X190" s="292"/>
      <c r="Y190" s="292"/>
      <c r="Z190" s="292"/>
    </row>
    <row r="191" spans="1:26" ht="12.75" customHeight="1" x14ac:dyDescent="0.25">
      <c r="A191" s="292"/>
      <c r="B191" s="292"/>
      <c r="C191" s="292"/>
      <c r="D191" s="292"/>
      <c r="E191" s="292"/>
      <c r="F191" s="292"/>
      <c r="G191" s="292"/>
      <c r="H191" s="292"/>
      <c r="I191" s="292"/>
      <c r="J191" s="292"/>
      <c r="K191" s="292"/>
      <c r="L191" s="292"/>
      <c r="M191" s="292"/>
      <c r="N191" s="292"/>
      <c r="O191" s="292"/>
      <c r="P191" s="292"/>
      <c r="Q191" s="292"/>
      <c r="R191" s="292"/>
      <c r="S191" s="292"/>
      <c r="T191" s="292"/>
      <c r="U191" s="292"/>
      <c r="V191" s="292"/>
      <c r="W191" s="292"/>
      <c r="X191" s="292"/>
      <c r="Y191" s="292"/>
      <c r="Z191" s="292"/>
    </row>
    <row r="192" spans="1:26" ht="12.75" customHeight="1" x14ac:dyDescent="0.25">
      <c r="A192" s="292"/>
      <c r="B192" s="292"/>
      <c r="C192" s="292"/>
      <c r="D192" s="292"/>
      <c r="E192" s="292"/>
      <c r="F192" s="292"/>
      <c r="G192" s="292"/>
      <c r="H192" s="292"/>
      <c r="I192" s="292"/>
      <c r="J192" s="292"/>
      <c r="K192" s="292"/>
      <c r="L192" s="292"/>
      <c r="M192" s="292"/>
      <c r="N192" s="292"/>
      <c r="O192" s="292"/>
      <c r="P192" s="292"/>
      <c r="Q192" s="292"/>
      <c r="R192" s="292"/>
      <c r="S192" s="292"/>
      <c r="T192" s="292"/>
      <c r="U192" s="292"/>
      <c r="V192" s="292"/>
      <c r="W192" s="292"/>
      <c r="X192" s="292"/>
      <c r="Y192" s="292"/>
      <c r="Z192" s="292"/>
    </row>
    <row r="193" spans="1:26" ht="12.75" customHeight="1" x14ac:dyDescent="0.25">
      <c r="A193" s="292"/>
      <c r="B193" s="292"/>
      <c r="C193" s="292"/>
      <c r="D193" s="292"/>
      <c r="E193" s="292"/>
      <c r="F193" s="292"/>
      <c r="G193" s="292"/>
      <c r="H193" s="292"/>
      <c r="I193" s="292"/>
      <c r="J193" s="292"/>
      <c r="K193" s="292"/>
      <c r="L193" s="292"/>
      <c r="M193" s="292"/>
      <c r="N193" s="292"/>
      <c r="O193" s="292"/>
      <c r="P193" s="292"/>
      <c r="Q193" s="292"/>
      <c r="R193" s="292"/>
      <c r="S193" s="292"/>
      <c r="T193" s="292"/>
      <c r="U193" s="292"/>
      <c r="V193" s="292"/>
      <c r="W193" s="292"/>
      <c r="X193" s="292"/>
      <c r="Y193" s="292"/>
      <c r="Z193" s="292"/>
    </row>
    <row r="194" spans="1:26" ht="12.75" customHeight="1" x14ac:dyDescent="0.25">
      <c r="A194" s="292"/>
      <c r="B194" s="292"/>
      <c r="C194" s="292"/>
      <c r="D194" s="292"/>
      <c r="E194" s="292"/>
      <c r="F194" s="292"/>
      <c r="G194" s="292"/>
      <c r="H194" s="292"/>
      <c r="I194" s="292"/>
      <c r="J194" s="292"/>
      <c r="K194" s="292"/>
      <c r="L194" s="292"/>
      <c r="M194" s="292"/>
      <c r="N194" s="292"/>
      <c r="O194" s="292"/>
      <c r="P194" s="292"/>
      <c r="Q194" s="292"/>
      <c r="R194" s="292"/>
      <c r="S194" s="292"/>
      <c r="T194" s="292"/>
      <c r="U194" s="292"/>
      <c r="V194" s="292"/>
      <c r="W194" s="292"/>
      <c r="X194" s="292"/>
      <c r="Y194" s="292"/>
      <c r="Z194" s="292"/>
    </row>
    <row r="195" spans="1:26" ht="12.75" customHeight="1" x14ac:dyDescent="0.25">
      <c r="A195" s="292"/>
      <c r="B195" s="292"/>
      <c r="C195" s="292"/>
      <c r="D195" s="292"/>
      <c r="E195" s="292"/>
      <c r="F195" s="292"/>
      <c r="G195" s="292"/>
      <c r="H195" s="292"/>
      <c r="I195" s="292"/>
      <c r="J195" s="292"/>
      <c r="K195" s="292"/>
      <c r="L195" s="292"/>
      <c r="M195" s="292"/>
      <c r="N195" s="292"/>
      <c r="O195" s="292"/>
      <c r="P195" s="292"/>
      <c r="Q195" s="292"/>
      <c r="R195" s="292"/>
      <c r="S195" s="292"/>
      <c r="T195" s="292"/>
      <c r="U195" s="292"/>
      <c r="V195" s="292"/>
      <c r="W195" s="292"/>
      <c r="X195" s="292"/>
      <c r="Y195" s="292"/>
      <c r="Z195" s="292"/>
    </row>
    <row r="196" spans="1:26" ht="12.75" customHeight="1" x14ac:dyDescent="0.25">
      <c r="A196" s="292"/>
      <c r="B196" s="292"/>
      <c r="C196" s="292"/>
      <c r="D196" s="292"/>
      <c r="E196" s="292"/>
      <c r="F196" s="292"/>
      <c r="G196" s="292"/>
      <c r="H196" s="292"/>
      <c r="I196" s="292"/>
      <c r="J196" s="292"/>
      <c r="K196" s="292"/>
      <c r="L196" s="292"/>
      <c r="M196" s="292"/>
      <c r="N196" s="292"/>
      <c r="O196" s="292"/>
      <c r="P196" s="292"/>
      <c r="Q196" s="292"/>
      <c r="R196" s="292"/>
      <c r="S196" s="292"/>
      <c r="T196" s="292"/>
      <c r="U196" s="292"/>
      <c r="V196" s="292"/>
      <c r="W196" s="292"/>
      <c r="X196" s="292"/>
      <c r="Y196" s="292"/>
      <c r="Z196" s="292"/>
    </row>
    <row r="197" spans="1:26" ht="12.75" customHeight="1" x14ac:dyDescent="0.25">
      <c r="A197" s="292"/>
      <c r="B197" s="292"/>
      <c r="C197" s="292"/>
      <c r="D197" s="292"/>
      <c r="E197" s="292"/>
      <c r="F197" s="292"/>
      <c r="G197" s="292"/>
      <c r="H197" s="292"/>
      <c r="I197" s="292"/>
      <c r="J197" s="292"/>
      <c r="K197" s="292"/>
      <c r="L197" s="292"/>
      <c r="M197" s="292"/>
      <c r="N197" s="292"/>
      <c r="O197" s="292"/>
      <c r="P197" s="292"/>
      <c r="Q197" s="292"/>
      <c r="R197" s="292"/>
      <c r="S197" s="292"/>
      <c r="T197" s="292"/>
      <c r="U197" s="292"/>
      <c r="V197" s="292"/>
      <c r="W197" s="292"/>
      <c r="X197" s="292"/>
      <c r="Y197" s="292"/>
      <c r="Z197" s="292"/>
    </row>
    <row r="198" spans="1:26" ht="12.75" customHeight="1" x14ac:dyDescent="0.25">
      <c r="A198" s="292"/>
      <c r="B198" s="292"/>
      <c r="C198" s="292"/>
      <c r="D198" s="292"/>
      <c r="E198" s="292"/>
      <c r="F198" s="292"/>
      <c r="G198" s="292"/>
      <c r="H198" s="292"/>
      <c r="I198" s="292"/>
      <c r="J198" s="292"/>
      <c r="K198" s="292"/>
      <c r="L198" s="292"/>
      <c r="M198" s="292"/>
      <c r="N198" s="292"/>
      <c r="O198" s="292"/>
      <c r="P198" s="292"/>
      <c r="Q198" s="292"/>
      <c r="R198" s="292"/>
      <c r="S198" s="292"/>
      <c r="T198" s="292"/>
      <c r="U198" s="292"/>
      <c r="V198" s="292"/>
      <c r="W198" s="292"/>
      <c r="X198" s="292"/>
      <c r="Y198" s="292"/>
      <c r="Z198" s="292"/>
    </row>
    <row r="199" spans="1:26" ht="12.75" customHeight="1" x14ac:dyDescent="0.25">
      <c r="A199" s="292"/>
      <c r="B199" s="292"/>
      <c r="C199" s="292"/>
      <c r="D199" s="292"/>
      <c r="E199" s="292"/>
      <c r="F199" s="292"/>
      <c r="G199" s="292"/>
      <c r="H199" s="292"/>
      <c r="I199" s="292"/>
      <c r="J199" s="292"/>
      <c r="K199" s="292"/>
      <c r="L199" s="292"/>
      <c r="M199" s="292"/>
      <c r="N199" s="292"/>
      <c r="O199" s="292"/>
      <c r="P199" s="292"/>
      <c r="Q199" s="292"/>
      <c r="R199" s="292"/>
      <c r="S199" s="292"/>
      <c r="T199" s="292"/>
      <c r="U199" s="292"/>
      <c r="V199" s="292"/>
      <c r="W199" s="292"/>
      <c r="X199" s="292"/>
      <c r="Y199" s="292"/>
      <c r="Z199" s="292"/>
    </row>
    <row r="200" spans="1:26" ht="12.75" customHeight="1" x14ac:dyDescent="0.25">
      <c r="A200" s="292"/>
      <c r="B200" s="292"/>
      <c r="C200" s="292"/>
      <c r="D200" s="292"/>
      <c r="E200" s="292"/>
      <c r="F200" s="292"/>
      <c r="G200" s="292"/>
      <c r="H200" s="292"/>
      <c r="I200" s="292"/>
      <c r="J200" s="292"/>
      <c r="K200" s="292"/>
      <c r="L200" s="292"/>
      <c r="M200" s="292"/>
      <c r="N200" s="292"/>
      <c r="O200" s="292"/>
      <c r="P200" s="292"/>
      <c r="Q200" s="292"/>
      <c r="R200" s="292"/>
      <c r="S200" s="292"/>
      <c r="T200" s="292"/>
      <c r="U200" s="292"/>
      <c r="V200" s="292"/>
      <c r="W200" s="292"/>
      <c r="X200" s="292"/>
      <c r="Y200" s="292"/>
      <c r="Z200" s="292"/>
    </row>
    <row r="201" spans="1:26" ht="12.75" customHeight="1" x14ac:dyDescent="0.25">
      <c r="A201" s="292"/>
      <c r="B201" s="292"/>
      <c r="C201" s="292"/>
      <c r="D201" s="292"/>
      <c r="E201" s="292"/>
      <c r="F201" s="292"/>
      <c r="G201" s="292"/>
      <c r="H201" s="292"/>
      <c r="I201" s="292"/>
      <c r="J201" s="292"/>
      <c r="K201" s="292"/>
      <c r="L201" s="292"/>
      <c r="M201" s="292"/>
      <c r="N201" s="292"/>
      <c r="O201" s="292"/>
      <c r="P201" s="292"/>
      <c r="Q201" s="292"/>
      <c r="R201" s="292"/>
      <c r="S201" s="292"/>
      <c r="T201" s="292"/>
      <c r="U201" s="292"/>
      <c r="V201" s="292"/>
      <c r="W201" s="292"/>
      <c r="X201" s="292"/>
      <c r="Y201" s="292"/>
      <c r="Z201" s="292"/>
    </row>
    <row r="202" spans="1:26" ht="12.75" customHeight="1" x14ac:dyDescent="0.25">
      <c r="A202" s="292"/>
      <c r="B202" s="292"/>
      <c r="C202" s="292"/>
      <c r="D202" s="292"/>
      <c r="E202" s="292"/>
      <c r="F202" s="292"/>
      <c r="G202" s="292"/>
      <c r="H202" s="292"/>
      <c r="I202" s="292"/>
      <c r="J202" s="292"/>
      <c r="K202" s="292"/>
      <c r="L202" s="292"/>
      <c r="M202" s="292"/>
      <c r="N202" s="292"/>
      <c r="O202" s="292"/>
      <c r="P202" s="292"/>
      <c r="Q202" s="292"/>
      <c r="R202" s="292"/>
      <c r="S202" s="292"/>
      <c r="T202" s="292"/>
      <c r="U202" s="292"/>
      <c r="V202" s="292"/>
      <c r="W202" s="292"/>
      <c r="X202" s="292"/>
      <c r="Y202" s="292"/>
      <c r="Z202" s="292"/>
    </row>
    <row r="203" spans="1:26" ht="12.75" customHeight="1" x14ac:dyDescent="0.25">
      <c r="A203" s="292"/>
      <c r="B203" s="292"/>
      <c r="C203" s="292"/>
      <c r="D203" s="292"/>
      <c r="E203" s="292"/>
      <c r="F203" s="292"/>
      <c r="G203" s="292"/>
      <c r="H203" s="292"/>
      <c r="I203" s="292"/>
      <c r="J203" s="292"/>
      <c r="K203" s="292"/>
      <c r="L203" s="292"/>
      <c r="M203" s="292"/>
      <c r="N203" s="292"/>
      <c r="O203" s="292"/>
      <c r="P203" s="292"/>
      <c r="Q203" s="292"/>
      <c r="R203" s="292"/>
      <c r="S203" s="292"/>
      <c r="T203" s="292"/>
      <c r="U203" s="292"/>
      <c r="V203" s="292"/>
      <c r="W203" s="292"/>
      <c r="X203" s="292"/>
      <c r="Y203" s="292"/>
      <c r="Z203" s="292"/>
    </row>
    <row r="204" spans="1:26" ht="12.75" customHeight="1" x14ac:dyDescent="0.25">
      <c r="A204" s="292"/>
      <c r="B204" s="292"/>
      <c r="C204" s="292"/>
      <c r="D204" s="292"/>
      <c r="E204" s="292"/>
      <c r="F204" s="292"/>
      <c r="G204" s="292"/>
      <c r="H204" s="292"/>
      <c r="I204" s="292"/>
      <c r="J204" s="292"/>
      <c r="K204" s="292"/>
      <c r="L204" s="292"/>
      <c r="M204" s="292"/>
      <c r="N204" s="292"/>
      <c r="O204" s="292"/>
      <c r="P204" s="292"/>
      <c r="Q204" s="292"/>
      <c r="R204" s="292"/>
      <c r="S204" s="292"/>
      <c r="T204" s="292"/>
      <c r="U204" s="292"/>
      <c r="V204" s="292"/>
      <c r="W204" s="292"/>
      <c r="X204" s="292"/>
      <c r="Y204" s="292"/>
      <c r="Z204" s="292"/>
    </row>
    <row r="205" spans="1:26" ht="12.75" customHeight="1" x14ac:dyDescent="0.25">
      <c r="A205" s="292"/>
      <c r="B205" s="292"/>
      <c r="C205" s="292"/>
      <c r="D205" s="292"/>
      <c r="E205" s="292"/>
      <c r="F205" s="292"/>
      <c r="G205" s="292"/>
      <c r="H205" s="292"/>
      <c r="I205" s="292"/>
      <c r="J205" s="292"/>
      <c r="K205" s="292"/>
      <c r="L205" s="292"/>
      <c r="M205" s="292"/>
      <c r="N205" s="292"/>
      <c r="O205" s="292"/>
      <c r="P205" s="292"/>
      <c r="Q205" s="292"/>
      <c r="R205" s="292"/>
      <c r="S205" s="292"/>
      <c r="T205" s="292"/>
      <c r="U205" s="292"/>
      <c r="V205" s="292"/>
      <c r="W205" s="292"/>
      <c r="X205" s="292"/>
      <c r="Y205" s="292"/>
      <c r="Z205" s="292"/>
    </row>
    <row r="206" spans="1:26" ht="12.75" customHeight="1" x14ac:dyDescent="0.25">
      <c r="A206" s="292"/>
      <c r="B206" s="292"/>
      <c r="C206" s="292"/>
      <c r="D206" s="292"/>
      <c r="E206" s="292"/>
      <c r="F206" s="292"/>
      <c r="G206" s="292"/>
      <c r="H206" s="292"/>
      <c r="I206" s="292"/>
      <c r="J206" s="292"/>
      <c r="K206" s="292"/>
      <c r="L206" s="292"/>
      <c r="M206" s="292"/>
      <c r="N206" s="292"/>
      <c r="O206" s="292"/>
      <c r="P206" s="292"/>
      <c r="Q206" s="292"/>
      <c r="R206" s="292"/>
      <c r="S206" s="292"/>
      <c r="T206" s="292"/>
      <c r="U206" s="292"/>
      <c r="V206" s="292"/>
      <c r="W206" s="292"/>
      <c r="X206" s="292"/>
      <c r="Y206" s="292"/>
      <c r="Z206" s="292"/>
    </row>
    <row r="207" spans="1:26" ht="12.75" customHeight="1" x14ac:dyDescent="0.25">
      <c r="A207" s="292"/>
      <c r="B207" s="292"/>
      <c r="C207" s="292"/>
      <c r="D207" s="292"/>
      <c r="E207" s="292"/>
      <c r="F207" s="292"/>
      <c r="G207" s="292"/>
      <c r="H207" s="292"/>
      <c r="I207" s="292"/>
      <c r="J207" s="292"/>
      <c r="K207" s="292"/>
      <c r="L207" s="292"/>
      <c r="M207" s="292"/>
      <c r="N207" s="292"/>
      <c r="O207" s="292"/>
      <c r="P207" s="292"/>
      <c r="Q207" s="292"/>
      <c r="R207" s="292"/>
      <c r="S207" s="292"/>
      <c r="T207" s="292"/>
      <c r="U207" s="292"/>
      <c r="V207" s="292"/>
      <c r="W207" s="292"/>
      <c r="X207" s="292"/>
      <c r="Y207" s="292"/>
      <c r="Z207" s="292"/>
    </row>
    <row r="208" spans="1:26" ht="12.75" customHeight="1" x14ac:dyDescent="0.25">
      <c r="A208" s="292"/>
      <c r="B208" s="292"/>
      <c r="C208" s="292"/>
      <c r="D208" s="292"/>
      <c r="E208" s="292"/>
      <c r="F208" s="292"/>
      <c r="G208" s="292"/>
      <c r="H208" s="292"/>
      <c r="I208" s="292"/>
      <c r="J208" s="292"/>
      <c r="K208" s="292"/>
      <c r="L208" s="292"/>
      <c r="M208" s="292"/>
      <c r="N208" s="292"/>
      <c r="O208" s="292"/>
      <c r="P208" s="292"/>
      <c r="Q208" s="292"/>
      <c r="R208" s="292"/>
      <c r="S208" s="292"/>
      <c r="T208" s="292"/>
      <c r="U208" s="292"/>
      <c r="V208" s="292"/>
      <c r="W208" s="292"/>
      <c r="X208" s="292"/>
      <c r="Y208" s="292"/>
      <c r="Z208" s="292"/>
    </row>
    <row r="209" spans="1:26" ht="12.75" customHeight="1" x14ac:dyDescent="0.25">
      <c r="A209" s="292"/>
      <c r="B209" s="292"/>
      <c r="C209" s="292"/>
      <c r="D209" s="292"/>
      <c r="E209" s="292"/>
      <c r="F209" s="292"/>
      <c r="G209" s="292"/>
      <c r="H209" s="292"/>
      <c r="I209" s="292"/>
      <c r="J209" s="292"/>
      <c r="K209" s="292"/>
      <c r="L209" s="292"/>
      <c r="M209" s="292"/>
      <c r="N209" s="292"/>
      <c r="O209" s="292"/>
      <c r="P209" s="292"/>
      <c r="Q209" s="292"/>
      <c r="R209" s="292"/>
      <c r="S209" s="292"/>
      <c r="T209" s="292"/>
      <c r="U209" s="292"/>
      <c r="V209" s="292"/>
      <c r="W209" s="292"/>
      <c r="X209" s="292"/>
      <c r="Y209" s="292"/>
      <c r="Z209" s="292"/>
    </row>
    <row r="210" spans="1:26" ht="12.75" customHeight="1" x14ac:dyDescent="0.25">
      <c r="A210" s="292"/>
      <c r="B210" s="292"/>
      <c r="C210" s="292"/>
      <c r="D210" s="292"/>
      <c r="E210" s="292"/>
      <c r="F210" s="292"/>
      <c r="G210" s="292"/>
      <c r="H210" s="292"/>
      <c r="I210" s="292"/>
      <c r="J210" s="292"/>
      <c r="K210" s="292"/>
      <c r="L210" s="292"/>
      <c r="M210" s="292"/>
      <c r="N210" s="292"/>
      <c r="O210" s="292"/>
      <c r="P210" s="292"/>
      <c r="Q210" s="292"/>
      <c r="R210" s="292"/>
      <c r="S210" s="292"/>
      <c r="T210" s="292"/>
      <c r="U210" s="292"/>
      <c r="V210" s="292"/>
      <c r="W210" s="292"/>
      <c r="X210" s="292"/>
      <c r="Y210" s="292"/>
      <c r="Z210" s="292"/>
    </row>
    <row r="211" spans="1:26" ht="12.75" customHeight="1" x14ac:dyDescent="0.25">
      <c r="A211" s="292"/>
      <c r="B211" s="292"/>
      <c r="C211" s="292"/>
      <c r="D211" s="292"/>
      <c r="E211" s="292"/>
      <c r="F211" s="292"/>
      <c r="G211" s="292"/>
      <c r="H211" s="292"/>
      <c r="I211" s="292"/>
      <c r="J211" s="292"/>
      <c r="K211" s="292"/>
      <c r="L211" s="292"/>
      <c r="M211" s="292"/>
      <c r="N211" s="292"/>
      <c r="O211" s="292"/>
      <c r="P211" s="292"/>
      <c r="Q211" s="292"/>
      <c r="R211" s="292"/>
      <c r="S211" s="292"/>
      <c r="T211" s="292"/>
      <c r="U211" s="292"/>
      <c r="V211" s="292"/>
      <c r="W211" s="292"/>
      <c r="X211" s="292"/>
      <c r="Y211" s="292"/>
      <c r="Z211" s="292"/>
    </row>
    <row r="212" spans="1:26" ht="12.75" customHeight="1" x14ac:dyDescent="0.25">
      <c r="A212" s="292"/>
      <c r="B212" s="292"/>
      <c r="C212" s="292"/>
      <c r="D212" s="292"/>
      <c r="E212" s="292"/>
      <c r="F212" s="292"/>
      <c r="G212" s="292"/>
      <c r="H212" s="292"/>
      <c r="I212" s="292"/>
      <c r="J212" s="292"/>
      <c r="K212" s="292"/>
      <c r="L212" s="292"/>
      <c r="M212" s="292"/>
      <c r="N212" s="292"/>
      <c r="O212" s="292"/>
      <c r="P212" s="292"/>
      <c r="Q212" s="292"/>
      <c r="R212" s="292"/>
      <c r="S212" s="292"/>
      <c r="T212" s="292"/>
      <c r="U212" s="292"/>
      <c r="V212" s="292"/>
      <c r="W212" s="292"/>
      <c r="X212" s="292"/>
      <c r="Y212" s="292"/>
      <c r="Z212" s="292"/>
    </row>
    <row r="213" spans="1:26" ht="12.75" customHeight="1" x14ac:dyDescent="0.25">
      <c r="A213" s="292"/>
      <c r="B213" s="292"/>
      <c r="C213" s="292"/>
      <c r="D213" s="292"/>
      <c r="E213" s="292"/>
      <c r="F213" s="292"/>
      <c r="G213" s="292"/>
      <c r="H213" s="292"/>
      <c r="I213" s="292"/>
      <c r="J213" s="292"/>
      <c r="K213" s="292"/>
      <c r="L213" s="292"/>
      <c r="M213" s="292"/>
      <c r="N213" s="292"/>
      <c r="O213" s="292"/>
      <c r="P213" s="292"/>
      <c r="Q213" s="292"/>
      <c r="R213" s="292"/>
      <c r="S213" s="292"/>
      <c r="T213" s="292"/>
      <c r="U213" s="292"/>
      <c r="V213" s="292"/>
      <c r="W213" s="292"/>
      <c r="X213" s="292"/>
      <c r="Y213" s="292"/>
      <c r="Z213" s="292"/>
    </row>
    <row r="214" spans="1:26" ht="12.75" customHeight="1" x14ac:dyDescent="0.25">
      <c r="A214" s="292"/>
      <c r="B214" s="292"/>
      <c r="C214" s="292"/>
      <c r="D214" s="292"/>
      <c r="E214" s="292"/>
      <c r="F214" s="292"/>
      <c r="G214" s="292"/>
      <c r="H214" s="292"/>
      <c r="I214" s="292"/>
      <c r="J214" s="292"/>
      <c r="K214" s="292"/>
      <c r="L214" s="292"/>
      <c r="M214" s="292"/>
      <c r="N214" s="292"/>
      <c r="O214" s="292"/>
      <c r="P214" s="292"/>
      <c r="Q214" s="292"/>
      <c r="R214" s="292"/>
      <c r="S214" s="292"/>
      <c r="T214" s="292"/>
      <c r="U214" s="292"/>
      <c r="V214" s="292"/>
      <c r="W214" s="292"/>
      <c r="X214" s="292"/>
      <c r="Y214" s="292"/>
      <c r="Z214" s="292"/>
    </row>
    <row r="215" spans="1:26" ht="12.75" customHeight="1" x14ac:dyDescent="0.25">
      <c r="A215" s="292"/>
      <c r="B215" s="292"/>
      <c r="C215" s="292"/>
      <c r="D215" s="292"/>
      <c r="E215" s="292"/>
      <c r="F215" s="292"/>
      <c r="G215" s="292"/>
      <c r="H215" s="292"/>
      <c r="I215" s="292"/>
      <c r="J215" s="292"/>
      <c r="K215" s="292"/>
      <c r="L215" s="292"/>
      <c r="M215" s="292"/>
      <c r="N215" s="292"/>
      <c r="O215" s="292"/>
      <c r="P215" s="292"/>
      <c r="Q215" s="292"/>
      <c r="R215" s="292"/>
      <c r="S215" s="292"/>
      <c r="T215" s="292"/>
      <c r="U215" s="292"/>
      <c r="V215" s="292"/>
      <c r="W215" s="292"/>
      <c r="X215" s="292"/>
      <c r="Y215" s="292"/>
      <c r="Z215" s="292"/>
    </row>
    <row r="216" spans="1:26" ht="12.75" customHeight="1" x14ac:dyDescent="0.25">
      <c r="A216" s="292"/>
      <c r="B216" s="292"/>
      <c r="C216" s="292"/>
      <c r="D216" s="292"/>
      <c r="E216" s="292"/>
      <c r="F216" s="292"/>
      <c r="G216" s="292"/>
      <c r="H216" s="292"/>
      <c r="I216" s="292"/>
      <c r="J216" s="292"/>
      <c r="K216" s="292"/>
      <c r="L216" s="292"/>
      <c r="M216" s="292"/>
      <c r="N216" s="292"/>
      <c r="O216" s="292"/>
      <c r="P216" s="292"/>
      <c r="Q216" s="292"/>
      <c r="R216" s="292"/>
      <c r="S216" s="292"/>
      <c r="T216" s="292"/>
      <c r="U216" s="292"/>
      <c r="V216" s="292"/>
      <c r="W216" s="292"/>
      <c r="X216" s="292"/>
      <c r="Y216" s="292"/>
      <c r="Z216" s="292"/>
    </row>
    <row r="217" spans="1:26" ht="12.75" customHeight="1" x14ac:dyDescent="0.25">
      <c r="A217" s="292"/>
      <c r="B217" s="292"/>
      <c r="C217" s="292"/>
      <c r="D217" s="292"/>
      <c r="E217" s="292"/>
      <c r="F217" s="292"/>
      <c r="G217" s="292"/>
      <c r="H217" s="292"/>
      <c r="I217" s="292"/>
      <c r="J217" s="292"/>
      <c r="K217" s="292"/>
      <c r="L217" s="292"/>
      <c r="M217" s="292"/>
      <c r="N217" s="292"/>
      <c r="O217" s="292"/>
      <c r="P217" s="292"/>
      <c r="Q217" s="292"/>
      <c r="R217" s="292"/>
      <c r="S217" s="292"/>
      <c r="T217" s="292"/>
      <c r="U217" s="292"/>
      <c r="V217" s="292"/>
      <c r="W217" s="292"/>
      <c r="X217" s="292"/>
      <c r="Y217" s="292"/>
      <c r="Z217" s="292"/>
    </row>
    <row r="218" spans="1:26" ht="12.75" customHeight="1" x14ac:dyDescent="0.25">
      <c r="A218" s="292"/>
      <c r="B218" s="292"/>
      <c r="C218" s="292"/>
      <c r="D218" s="292"/>
      <c r="E218" s="292"/>
      <c r="F218" s="292"/>
      <c r="G218" s="292"/>
      <c r="H218" s="292"/>
      <c r="I218" s="292"/>
      <c r="J218" s="292"/>
      <c r="K218" s="292"/>
      <c r="L218" s="292"/>
      <c r="M218" s="292"/>
      <c r="N218" s="292"/>
      <c r="O218" s="292"/>
      <c r="P218" s="292"/>
      <c r="Q218" s="292"/>
      <c r="R218" s="292"/>
      <c r="S218" s="292"/>
      <c r="T218" s="292"/>
      <c r="U218" s="292"/>
      <c r="V218" s="292"/>
      <c r="W218" s="292"/>
      <c r="X218" s="292"/>
      <c r="Y218" s="292"/>
      <c r="Z218" s="292"/>
    </row>
    <row r="219" spans="1:26" ht="12.75" customHeight="1" x14ac:dyDescent="0.25">
      <c r="A219" s="292"/>
      <c r="B219" s="292"/>
      <c r="C219" s="292"/>
      <c r="D219" s="292"/>
      <c r="E219" s="292"/>
      <c r="F219" s="292"/>
      <c r="G219" s="292"/>
      <c r="H219" s="292"/>
      <c r="I219" s="292"/>
      <c r="J219" s="292"/>
      <c r="K219" s="292"/>
      <c r="L219" s="292"/>
      <c r="M219" s="292"/>
      <c r="N219" s="292"/>
      <c r="O219" s="292"/>
      <c r="P219" s="292"/>
      <c r="Q219" s="292"/>
      <c r="R219" s="292"/>
      <c r="S219" s="292"/>
      <c r="T219" s="292"/>
      <c r="U219" s="292"/>
      <c r="V219" s="292"/>
      <c r="W219" s="292"/>
      <c r="X219" s="292"/>
      <c r="Y219" s="292"/>
      <c r="Z219" s="292"/>
    </row>
    <row r="220" spans="1:26" ht="12.75" customHeight="1" x14ac:dyDescent="0.25">
      <c r="A220" s="292"/>
      <c r="B220" s="292"/>
      <c r="C220" s="292"/>
      <c r="D220" s="292"/>
      <c r="E220" s="292"/>
      <c r="F220" s="292"/>
      <c r="G220" s="292"/>
      <c r="H220" s="292"/>
      <c r="I220" s="292"/>
      <c r="J220" s="292"/>
      <c r="K220" s="292"/>
      <c r="L220" s="292"/>
      <c r="M220" s="292"/>
      <c r="N220" s="292"/>
      <c r="O220" s="292"/>
      <c r="P220" s="292"/>
      <c r="Q220" s="292"/>
      <c r="R220" s="292"/>
      <c r="S220" s="292"/>
      <c r="T220" s="292"/>
      <c r="U220" s="292"/>
      <c r="V220" s="292"/>
      <c r="W220" s="292"/>
      <c r="X220" s="292"/>
      <c r="Y220" s="292"/>
      <c r="Z220" s="292"/>
    </row>
    <row r="221" spans="1:26" ht="12.75" customHeight="1" x14ac:dyDescent="0.25">
      <c r="A221" s="292"/>
      <c r="B221" s="292"/>
      <c r="C221" s="292"/>
      <c r="D221" s="292"/>
      <c r="E221" s="292"/>
      <c r="F221" s="292"/>
      <c r="G221" s="292"/>
      <c r="H221" s="292"/>
      <c r="I221" s="292"/>
      <c r="J221" s="292"/>
      <c r="K221" s="292"/>
      <c r="L221" s="292"/>
      <c r="M221" s="292"/>
      <c r="N221" s="292"/>
      <c r="O221" s="292"/>
      <c r="P221" s="292"/>
      <c r="Q221" s="292"/>
      <c r="R221" s="292"/>
      <c r="S221" s="292"/>
      <c r="T221" s="292"/>
      <c r="U221" s="292"/>
      <c r="V221" s="292"/>
      <c r="W221" s="292"/>
      <c r="X221" s="292"/>
      <c r="Y221" s="292"/>
      <c r="Z221" s="292"/>
    </row>
    <row r="222" spans="1:26" ht="12.75" customHeight="1" x14ac:dyDescent="0.25">
      <c r="A222" s="292"/>
      <c r="B222" s="292"/>
      <c r="C222" s="292"/>
      <c r="D222" s="292"/>
      <c r="E222" s="292"/>
      <c r="F222" s="292"/>
      <c r="G222" s="292"/>
      <c r="H222" s="292"/>
      <c r="I222" s="292"/>
      <c r="J222" s="292"/>
      <c r="K222" s="292"/>
      <c r="L222" s="292"/>
      <c r="M222" s="292"/>
      <c r="N222" s="292"/>
      <c r="O222" s="292"/>
      <c r="P222" s="292"/>
      <c r="Q222" s="292"/>
      <c r="R222" s="292"/>
      <c r="S222" s="292"/>
      <c r="T222" s="292"/>
      <c r="U222" s="292"/>
      <c r="V222" s="292"/>
      <c r="W222" s="292"/>
      <c r="X222" s="292"/>
      <c r="Y222" s="292"/>
      <c r="Z222" s="292"/>
    </row>
    <row r="223" spans="1:26" ht="12.75" customHeight="1" x14ac:dyDescent="0.25">
      <c r="A223" s="292"/>
      <c r="B223" s="292"/>
      <c r="C223" s="292"/>
      <c r="D223" s="292"/>
      <c r="E223" s="292"/>
      <c r="F223" s="292"/>
      <c r="G223" s="292"/>
      <c r="H223" s="292"/>
      <c r="I223" s="292"/>
      <c r="J223" s="292"/>
      <c r="K223" s="292"/>
      <c r="L223" s="292"/>
      <c r="M223" s="292"/>
      <c r="N223" s="292"/>
      <c r="O223" s="292"/>
      <c r="P223" s="292"/>
      <c r="Q223" s="292"/>
      <c r="R223" s="292"/>
      <c r="S223" s="292"/>
      <c r="T223" s="292"/>
      <c r="U223" s="292"/>
      <c r="V223" s="292"/>
      <c r="W223" s="292"/>
      <c r="X223" s="292"/>
      <c r="Y223" s="292"/>
      <c r="Z223" s="292"/>
    </row>
    <row r="224" spans="1:26" ht="12.75" customHeight="1" x14ac:dyDescent="0.25">
      <c r="A224" s="292"/>
      <c r="B224" s="292"/>
      <c r="C224" s="292"/>
      <c r="D224" s="292"/>
      <c r="E224" s="292"/>
      <c r="F224" s="292"/>
      <c r="G224" s="292"/>
      <c r="H224" s="292"/>
      <c r="I224" s="292"/>
      <c r="J224" s="292"/>
      <c r="K224" s="292"/>
      <c r="L224" s="292"/>
      <c r="M224" s="292"/>
      <c r="N224" s="292"/>
      <c r="O224" s="292"/>
      <c r="P224" s="292"/>
      <c r="Q224" s="292"/>
      <c r="R224" s="292"/>
      <c r="S224" s="292"/>
      <c r="T224" s="292"/>
      <c r="U224" s="292"/>
      <c r="V224" s="292"/>
      <c r="W224" s="292"/>
      <c r="X224" s="292"/>
      <c r="Y224" s="292"/>
      <c r="Z224" s="292"/>
    </row>
    <row r="225" spans="1:26" ht="12.75" customHeight="1" x14ac:dyDescent="0.25">
      <c r="A225" s="292"/>
      <c r="B225" s="292"/>
      <c r="C225" s="292"/>
      <c r="D225" s="292"/>
      <c r="E225" s="292"/>
      <c r="F225" s="292"/>
      <c r="G225" s="292"/>
      <c r="H225" s="292"/>
      <c r="I225" s="292"/>
      <c r="J225" s="292"/>
      <c r="K225" s="292"/>
      <c r="L225" s="292"/>
      <c r="M225" s="292"/>
      <c r="N225" s="292"/>
      <c r="O225" s="292"/>
      <c r="P225" s="292"/>
      <c r="Q225" s="292"/>
      <c r="R225" s="292"/>
      <c r="S225" s="292"/>
      <c r="T225" s="292"/>
      <c r="U225" s="292"/>
      <c r="V225" s="292"/>
      <c r="W225" s="292"/>
      <c r="X225" s="292"/>
      <c r="Y225" s="292"/>
      <c r="Z225" s="292"/>
    </row>
    <row r="226" spans="1:26" ht="12.75" customHeight="1" x14ac:dyDescent="0.25">
      <c r="A226" s="292"/>
      <c r="B226" s="292"/>
      <c r="C226" s="292"/>
      <c r="D226" s="292"/>
      <c r="E226" s="292"/>
      <c r="F226" s="292"/>
      <c r="G226" s="292"/>
      <c r="H226" s="292"/>
      <c r="I226" s="292"/>
      <c r="J226" s="292"/>
      <c r="K226" s="292"/>
      <c r="L226" s="292"/>
      <c r="M226" s="292"/>
      <c r="N226" s="292"/>
      <c r="O226" s="292"/>
      <c r="P226" s="292"/>
      <c r="Q226" s="292"/>
      <c r="R226" s="292"/>
      <c r="S226" s="292"/>
      <c r="T226" s="292"/>
      <c r="U226" s="292"/>
      <c r="V226" s="292"/>
      <c r="W226" s="292"/>
      <c r="X226" s="292"/>
      <c r="Y226" s="292"/>
      <c r="Z226" s="292"/>
    </row>
    <row r="227" spans="1:26" ht="12.75" customHeight="1" x14ac:dyDescent="0.25">
      <c r="A227" s="292"/>
      <c r="B227" s="292"/>
      <c r="C227" s="292"/>
      <c r="D227" s="292"/>
      <c r="E227" s="292"/>
      <c r="F227" s="292"/>
      <c r="G227" s="292"/>
      <c r="H227" s="292"/>
      <c r="I227" s="292"/>
      <c r="J227" s="292"/>
      <c r="K227" s="292"/>
      <c r="L227" s="292"/>
      <c r="M227" s="292"/>
      <c r="N227" s="292"/>
      <c r="O227" s="292"/>
      <c r="P227" s="292"/>
      <c r="Q227" s="292"/>
      <c r="R227" s="292"/>
      <c r="S227" s="292"/>
      <c r="T227" s="292"/>
      <c r="U227" s="292"/>
      <c r="V227" s="292"/>
      <c r="W227" s="292"/>
      <c r="X227" s="292"/>
      <c r="Y227" s="292"/>
      <c r="Z227" s="292"/>
    </row>
    <row r="228" spans="1:26" ht="12.75" customHeight="1" x14ac:dyDescent="0.25">
      <c r="A228" s="292"/>
      <c r="B228" s="292"/>
      <c r="C228" s="292"/>
      <c r="D228" s="292"/>
      <c r="E228" s="292"/>
      <c r="F228" s="292"/>
      <c r="G228" s="292"/>
      <c r="H228" s="292"/>
      <c r="I228" s="292"/>
      <c r="J228" s="292"/>
      <c r="K228" s="292"/>
      <c r="L228" s="292"/>
      <c r="M228" s="292"/>
      <c r="N228" s="292"/>
      <c r="O228" s="292"/>
      <c r="P228" s="292"/>
      <c r="Q228" s="292"/>
      <c r="R228" s="292"/>
      <c r="S228" s="292"/>
      <c r="T228" s="292"/>
      <c r="U228" s="292"/>
      <c r="V228" s="292"/>
      <c r="W228" s="292"/>
      <c r="X228" s="292"/>
      <c r="Y228" s="292"/>
      <c r="Z228" s="292"/>
    </row>
    <row r="229" spans="1:26" ht="12.75" customHeight="1" x14ac:dyDescent="0.25">
      <c r="A229" s="292"/>
      <c r="B229" s="292"/>
      <c r="C229" s="292"/>
      <c r="D229" s="292"/>
      <c r="E229" s="292"/>
      <c r="F229" s="292"/>
      <c r="G229" s="292"/>
      <c r="H229" s="292"/>
      <c r="I229" s="292"/>
      <c r="J229" s="292"/>
      <c r="K229" s="292"/>
      <c r="L229" s="292"/>
      <c r="M229" s="292"/>
      <c r="N229" s="292"/>
      <c r="O229" s="292"/>
      <c r="P229" s="292"/>
      <c r="Q229" s="292"/>
      <c r="R229" s="292"/>
      <c r="S229" s="292"/>
      <c r="T229" s="292"/>
      <c r="U229" s="292"/>
      <c r="V229" s="292"/>
      <c r="W229" s="292"/>
      <c r="X229" s="292"/>
      <c r="Y229" s="292"/>
      <c r="Z229" s="292"/>
    </row>
    <row r="230" spans="1:26" ht="12.75" customHeight="1" x14ac:dyDescent="0.25">
      <c r="A230" s="292"/>
      <c r="B230" s="292"/>
      <c r="C230" s="292"/>
      <c r="D230" s="292"/>
      <c r="E230" s="292"/>
      <c r="F230" s="292"/>
      <c r="G230" s="292"/>
      <c r="H230" s="292"/>
      <c r="I230" s="292"/>
      <c r="J230" s="292"/>
      <c r="K230" s="292"/>
      <c r="L230" s="292"/>
      <c r="M230" s="292"/>
      <c r="N230" s="292"/>
      <c r="O230" s="292"/>
      <c r="P230" s="292"/>
      <c r="Q230" s="292"/>
      <c r="R230" s="292"/>
      <c r="S230" s="292"/>
      <c r="T230" s="292"/>
      <c r="U230" s="292"/>
      <c r="V230" s="292"/>
      <c r="W230" s="292"/>
      <c r="X230" s="292"/>
      <c r="Y230" s="292"/>
      <c r="Z230" s="292"/>
    </row>
    <row r="231" spans="1:26" ht="12.75" customHeight="1" x14ac:dyDescent="0.25">
      <c r="A231" s="292"/>
      <c r="B231" s="292"/>
      <c r="C231" s="292"/>
      <c r="D231" s="292"/>
      <c r="E231" s="292"/>
      <c r="F231" s="292"/>
      <c r="G231" s="292"/>
      <c r="H231" s="292"/>
      <c r="I231" s="292"/>
      <c r="J231" s="292"/>
      <c r="K231" s="292"/>
      <c r="L231" s="292"/>
      <c r="M231" s="292"/>
      <c r="N231" s="292"/>
      <c r="O231" s="292"/>
      <c r="P231" s="292"/>
      <c r="Q231" s="292"/>
      <c r="R231" s="292"/>
      <c r="S231" s="292"/>
      <c r="T231" s="292"/>
      <c r="U231" s="292"/>
      <c r="V231" s="292"/>
      <c r="W231" s="292"/>
      <c r="X231" s="292"/>
      <c r="Y231" s="292"/>
      <c r="Z231" s="292"/>
    </row>
    <row r="232" spans="1:26" ht="12.75" customHeight="1" x14ac:dyDescent="0.25">
      <c r="A232" s="292"/>
      <c r="B232" s="292"/>
      <c r="C232" s="292"/>
      <c r="D232" s="292"/>
      <c r="E232" s="292"/>
      <c r="F232" s="292"/>
      <c r="G232" s="292"/>
      <c r="H232" s="292"/>
      <c r="I232" s="292"/>
      <c r="J232" s="292"/>
      <c r="K232" s="292"/>
      <c r="L232" s="292"/>
      <c r="M232" s="292"/>
      <c r="N232" s="292"/>
      <c r="O232" s="292"/>
      <c r="P232" s="292"/>
      <c r="Q232" s="292"/>
      <c r="R232" s="292"/>
      <c r="S232" s="292"/>
      <c r="T232" s="292"/>
      <c r="U232" s="292"/>
      <c r="V232" s="292"/>
      <c r="W232" s="292"/>
      <c r="X232" s="292"/>
      <c r="Y232" s="292"/>
      <c r="Z232" s="292"/>
    </row>
    <row r="233" spans="1:26" ht="12.75" customHeight="1" x14ac:dyDescent="0.25">
      <c r="A233" s="292"/>
      <c r="B233" s="292"/>
      <c r="C233" s="292"/>
      <c r="D233" s="292"/>
      <c r="E233" s="292"/>
      <c r="F233" s="292"/>
      <c r="G233" s="292"/>
      <c r="H233" s="292"/>
      <c r="I233" s="292"/>
      <c r="J233" s="292"/>
      <c r="K233" s="292"/>
      <c r="L233" s="292"/>
      <c r="M233" s="292"/>
      <c r="N233" s="292"/>
      <c r="O233" s="292"/>
      <c r="P233" s="292"/>
      <c r="Q233" s="292"/>
      <c r="R233" s="292"/>
      <c r="S233" s="292"/>
      <c r="T233" s="292"/>
      <c r="U233" s="292"/>
      <c r="V233" s="292"/>
      <c r="W233" s="292"/>
      <c r="X233" s="292"/>
      <c r="Y233" s="292"/>
      <c r="Z233" s="292"/>
    </row>
    <row r="234" spans="1:26" ht="12.75" customHeight="1" x14ac:dyDescent="0.25">
      <c r="A234" s="292"/>
      <c r="B234" s="292"/>
      <c r="C234" s="292"/>
      <c r="D234" s="292"/>
      <c r="E234" s="292"/>
      <c r="F234" s="292"/>
      <c r="G234" s="292"/>
      <c r="H234" s="292"/>
      <c r="I234" s="292"/>
      <c r="J234" s="292"/>
      <c r="K234" s="292"/>
      <c r="L234" s="292"/>
      <c r="M234" s="292"/>
      <c r="N234" s="292"/>
      <c r="O234" s="292"/>
      <c r="P234" s="292"/>
      <c r="Q234" s="292"/>
      <c r="R234" s="292"/>
      <c r="S234" s="292"/>
      <c r="T234" s="292"/>
      <c r="U234" s="292"/>
      <c r="V234" s="292"/>
      <c r="W234" s="292"/>
      <c r="X234" s="292"/>
      <c r="Y234" s="292"/>
      <c r="Z234" s="292"/>
    </row>
    <row r="235" spans="1:26" ht="12.75" customHeight="1" x14ac:dyDescent="0.25">
      <c r="A235" s="292"/>
      <c r="B235" s="292"/>
      <c r="C235" s="292"/>
      <c r="D235" s="292"/>
      <c r="E235" s="292"/>
      <c r="F235" s="292"/>
      <c r="G235" s="292"/>
      <c r="H235" s="292"/>
      <c r="I235" s="292"/>
      <c r="J235" s="292"/>
      <c r="K235" s="292"/>
      <c r="L235" s="292"/>
      <c r="M235" s="292"/>
      <c r="N235" s="292"/>
      <c r="O235" s="292"/>
      <c r="P235" s="292"/>
      <c r="Q235" s="292"/>
      <c r="R235" s="292"/>
      <c r="S235" s="292"/>
      <c r="T235" s="292"/>
      <c r="U235" s="292"/>
      <c r="V235" s="292"/>
      <c r="W235" s="292"/>
      <c r="X235" s="292"/>
      <c r="Y235" s="292"/>
      <c r="Z235" s="292"/>
    </row>
    <row r="236" spans="1:26" ht="12.75" customHeight="1" x14ac:dyDescent="0.25">
      <c r="A236" s="292"/>
      <c r="B236" s="292"/>
      <c r="C236" s="292"/>
      <c r="D236" s="292"/>
      <c r="E236" s="292"/>
      <c r="F236" s="292"/>
      <c r="G236" s="292"/>
      <c r="H236" s="292"/>
      <c r="I236" s="292"/>
      <c r="J236" s="292"/>
      <c r="K236" s="292"/>
      <c r="L236" s="292"/>
      <c r="M236" s="292"/>
      <c r="N236" s="292"/>
      <c r="O236" s="292"/>
      <c r="P236" s="292"/>
      <c r="Q236" s="292"/>
      <c r="R236" s="292"/>
      <c r="S236" s="292"/>
      <c r="T236" s="292"/>
      <c r="U236" s="292"/>
      <c r="V236" s="292"/>
      <c r="W236" s="292"/>
      <c r="X236" s="292"/>
      <c r="Y236" s="292"/>
      <c r="Z236" s="292"/>
    </row>
    <row r="237" spans="1:26" ht="12.75" customHeight="1" x14ac:dyDescent="0.25">
      <c r="A237" s="292"/>
      <c r="B237" s="292"/>
      <c r="C237" s="292"/>
      <c r="D237" s="292"/>
      <c r="E237" s="292"/>
      <c r="F237" s="292"/>
      <c r="G237" s="292"/>
      <c r="H237" s="292"/>
      <c r="I237" s="292"/>
      <c r="J237" s="292"/>
      <c r="K237" s="292"/>
      <c r="L237" s="292"/>
      <c r="M237" s="292"/>
      <c r="N237" s="292"/>
      <c r="O237" s="292"/>
      <c r="P237" s="292"/>
      <c r="Q237" s="292"/>
      <c r="R237" s="292"/>
      <c r="S237" s="292"/>
      <c r="T237" s="292"/>
      <c r="U237" s="292"/>
      <c r="V237" s="292"/>
      <c r="W237" s="292"/>
      <c r="X237" s="292"/>
      <c r="Y237" s="292"/>
      <c r="Z237" s="292"/>
    </row>
    <row r="238" spans="1:26" ht="12.75" customHeight="1" x14ac:dyDescent="0.25">
      <c r="A238" s="292"/>
      <c r="B238" s="292"/>
      <c r="C238" s="292"/>
      <c r="D238" s="292"/>
      <c r="E238" s="292"/>
      <c r="F238" s="292"/>
      <c r="G238" s="292"/>
      <c r="H238" s="292"/>
      <c r="I238" s="292"/>
      <c r="J238" s="292"/>
      <c r="K238" s="292"/>
      <c r="L238" s="292"/>
      <c r="M238" s="292"/>
      <c r="N238" s="292"/>
      <c r="O238" s="292"/>
      <c r="P238" s="292"/>
      <c r="Q238" s="292"/>
      <c r="R238" s="292"/>
      <c r="S238" s="292"/>
      <c r="T238" s="292"/>
      <c r="U238" s="292"/>
      <c r="V238" s="292"/>
      <c r="W238" s="292"/>
      <c r="X238" s="292"/>
      <c r="Y238" s="292"/>
      <c r="Z238" s="292"/>
    </row>
    <row r="239" spans="1:26" ht="12.75" customHeight="1" x14ac:dyDescent="0.25">
      <c r="A239" s="292"/>
      <c r="B239" s="292"/>
      <c r="C239" s="292"/>
      <c r="D239" s="292"/>
      <c r="E239" s="292"/>
      <c r="F239" s="292"/>
      <c r="G239" s="292"/>
      <c r="H239" s="292"/>
      <c r="I239" s="292"/>
      <c r="J239" s="292"/>
      <c r="K239" s="292"/>
      <c r="L239" s="292"/>
      <c r="M239" s="292"/>
      <c r="N239" s="292"/>
      <c r="O239" s="292"/>
      <c r="P239" s="292"/>
      <c r="Q239" s="292"/>
      <c r="R239" s="292"/>
      <c r="S239" s="292"/>
      <c r="T239" s="292"/>
      <c r="U239" s="292"/>
      <c r="V239" s="292"/>
      <c r="W239" s="292"/>
      <c r="X239" s="292"/>
      <c r="Y239" s="292"/>
      <c r="Z239" s="292"/>
    </row>
    <row r="240" spans="1:26" ht="12.75" customHeight="1" x14ac:dyDescent="0.25">
      <c r="A240" s="292"/>
      <c r="B240" s="292"/>
      <c r="C240" s="292"/>
      <c r="D240" s="292"/>
      <c r="E240" s="292"/>
      <c r="F240" s="292"/>
      <c r="G240" s="292"/>
      <c r="H240" s="292"/>
      <c r="I240" s="292"/>
      <c r="J240" s="292"/>
      <c r="K240" s="292"/>
      <c r="L240" s="292"/>
      <c r="M240" s="292"/>
      <c r="N240" s="292"/>
      <c r="O240" s="292"/>
      <c r="P240" s="292"/>
      <c r="Q240" s="292"/>
      <c r="R240" s="292"/>
      <c r="S240" s="292"/>
      <c r="T240" s="292"/>
      <c r="U240" s="292"/>
      <c r="V240" s="292"/>
      <c r="W240" s="292"/>
      <c r="X240" s="292"/>
      <c r="Y240" s="292"/>
      <c r="Z240" s="292"/>
    </row>
    <row r="241" spans="1:26" ht="12.75" customHeight="1" x14ac:dyDescent="0.25">
      <c r="A241" s="292"/>
      <c r="B241" s="292"/>
      <c r="C241" s="292"/>
      <c r="D241" s="292"/>
      <c r="E241" s="292"/>
      <c r="F241" s="292"/>
      <c r="G241" s="292"/>
      <c r="H241" s="292"/>
      <c r="I241" s="292"/>
      <c r="J241" s="292"/>
      <c r="K241" s="292"/>
      <c r="L241" s="292"/>
      <c r="M241" s="292"/>
      <c r="N241" s="292"/>
      <c r="O241" s="292"/>
      <c r="P241" s="292"/>
      <c r="Q241" s="292"/>
      <c r="R241" s="292"/>
      <c r="S241" s="292"/>
      <c r="T241" s="292"/>
      <c r="U241" s="292"/>
      <c r="V241" s="292"/>
      <c r="W241" s="292"/>
      <c r="X241" s="292"/>
      <c r="Y241" s="292"/>
      <c r="Z241" s="292"/>
    </row>
    <row r="242" spans="1:26" ht="12.75" customHeight="1" x14ac:dyDescent="0.25">
      <c r="A242" s="292"/>
      <c r="B242" s="292"/>
      <c r="C242" s="292"/>
      <c r="D242" s="292"/>
      <c r="E242" s="292"/>
      <c r="F242" s="292"/>
      <c r="G242" s="292"/>
      <c r="H242" s="292"/>
      <c r="I242" s="292"/>
      <c r="J242" s="292"/>
      <c r="K242" s="292"/>
      <c r="L242" s="292"/>
      <c r="M242" s="292"/>
      <c r="N242" s="292"/>
      <c r="O242" s="292"/>
      <c r="P242" s="292"/>
      <c r="Q242" s="292"/>
      <c r="R242" s="292"/>
      <c r="S242" s="292"/>
      <c r="T242" s="292"/>
      <c r="U242" s="292"/>
      <c r="V242" s="292"/>
      <c r="W242" s="292"/>
      <c r="X242" s="292"/>
      <c r="Y242" s="292"/>
      <c r="Z242" s="292"/>
    </row>
    <row r="243" spans="1:26" ht="12.75" customHeight="1" x14ac:dyDescent="0.25">
      <c r="A243" s="292"/>
      <c r="B243" s="292"/>
      <c r="C243" s="292"/>
      <c r="D243" s="292"/>
      <c r="E243" s="292"/>
      <c r="F243" s="292"/>
      <c r="G243" s="292"/>
      <c r="H243" s="292"/>
      <c r="I243" s="292"/>
      <c r="J243" s="292"/>
      <c r="K243" s="292"/>
      <c r="L243" s="292"/>
      <c r="M243" s="292"/>
      <c r="N243" s="292"/>
      <c r="O243" s="292"/>
      <c r="P243" s="292"/>
      <c r="Q243" s="292"/>
      <c r="R243" s="292"/>
      <c r="S243" s="292"/>
      <c r="T243" s="292"/>
      <c r="U243" s="292"/>
      <c r="V243" s="292"/>
      <c r="W243" s="292"/>
      <c r="X243" s="292"/>
      <c r="Y243" s="292"/>
      <c r="Z243" s="292"/>
    </row>
    <row r="244" spans="1:26" ht="12.75" customHeight="1" x14ac:dyDescent="0.25">
      <c r="A244" s="292"/>
      <c r="B244" s="292"/>
      <c r="C244" s="292"/>
      <c r="D244" s="292"/>
      <c r="E244" s="292"/>
      <c r="F244" s="292"/>
      <c r="G244" s="292"/>
      <c r="H244" s="292"/>
      <c r="I244" s="292"/>
      <c r="J244" s="292"/>
      <c r="K244" s="292"/>
      <c r="L244" s="292"/>
      <c r="M244" s="292"/>
      <c r="N244" s="292"/>
      <c r="O244" s="292"/>
      <c r="P244" s="292"/>
      <c r="Q244" s="292"/>
      <c r="R244" s="292"/>
      <c r="S244" s="292"/>
      <c r="T244" s="292"/>
      <c r="U244" s="292"/>
      <c r="V244" s="292"/>
      <c r="W244" s="292"/>
      <c r="X244" s="292"/>
      <c r="Y244" s="292"/>
      <c r="Z244" s="292"/>
    </row>
    <row r="245" spans="1:26" ht="12.75" customHeight="1" x14ac:dyDescent="0.25">
      <c r="A245" s="292"/>
      <c r="B245" s="292"/>
      <c r="C245" s="292"/>
      <c r="D245" s="292"/>
      <c r="E245" s="292"/>
      <c r="F245" s="292"/>
      <c r="G245" s="292"/>
      <c r="H245" s="292"/>
      <c r="I245" s="292"/>
      <c r="J245" s="292"/>
      <c r="K245" s="292"/>
      <c r="L245" s="292"/>
      <c r="M245" s="292"/>
      <c r="N245" s="292"/>
      <c r="O245" s="292"/>
      <c r="P245" s="292"/>
      <c r="Q245" s="292"/>
      <c r="R245" s="292"/>
      <c r="S245" s="292"/>
      <c r="T245" s="292"/>
      <c r="U245" s="292"/>
      <c r="V245" s="292"/>
      <c r="W245" s="292"/>
      <c r="X245" s="292"/>
      <c r="Y245" s="292"/>
      <c r="Z245" s="292"/>
    </row>
    <row r="246" spans="1:26" ht="12.75" customHeight="1" x14ac:dyDescent="0.25">
      <c r="A246" s="292"/>
      <c r="B246" s="292"/>
      <c r="C246" s="292"/>
      <c r="D246" s="292"/>
      <c r="E246" s="292"/>
      <c r="F246" s="292"/>
      <c r="G246" s="292"/>
      <c r="H246" s="292"/>
      <c r="I246" s="292"/>
      <c r="J246" s="292"/>
      <c r="K246" s="292"/>
      <c r="L246" s="292"/>
      <c r="M246" s="292"/>
      <c r="N246" s="292"/>
      <c r="O246" s="292"/>
      <c r="P246" s="292"/>
      <c r="Q246" s="292"/>
      <c r="R246" s="292"/>
      <c r="S246" s="292"/>
      <c r="T246" s="292"/>
      <c r="U246" s="292"/>
      <c r="V246" s="292"/>
      <c r="W246" s="292"/>
      <c r="X246" s="292"/>
      <c r="Y246" s="292"/>
      <c r="Z246" s="292"/>
    </row>
    <row r="247" spans="1:26" ht="12.75" customHeight="1" x14ac:dyDescent="0.25">
      <c r="A247" s="292"/>
      <c r="B247" s="292"/>
      <c r="C247" s="292"/>
      <c r="D247" s="292"/>
      <c r="E247" s="292"/>
      <c r="F247" s="292"/>
      <c r="G247" s="292"/>
      <c r="H247" s="292"/>
      <c r="I247" s="292"/>
      <c r="J247" s="292"/>
      <c r="K247" s="292"/>
      <c r="L247" s="292"/>
      <c r="M247" s="292"/>
      <c r="N247" s="292"/>
      <c r="O247" s="292"/>
      <c r="P247" s="292"/>
      <c r="Q247" s="292"/>
      <c r="R247" s="292"/>
      <c r="S247" s="292"/>
      <c r="T247" s="292"/>
      <c r="U247" s="292"/>
      <c r="V247" s="292"/>
      <c r="W247" s="292"/>
      <c r="X247" s="292"/>
      <c r="Y247" s="292"/>
      <c r="Z247" s="292"/>
    </row>
    <row r="248" spans="1:26" ht="12.75" customHeight="1" x14ac:dyDescent="0.25">
      <c r="A248" s="292"/>
      <c r="B248" s="292"/>
      <c r="C248" s="292"/>
      <c r="D248" s="292"/>
      <c r="E248" s="292"/>
      <c r="F248" s="292"/>
      <c r="G248" s="292"/>
      <c r="H248" s="292"/>
      <c r="I248" s="292"/>
      <c r="J248" s="292"/>
      <c r="K248" s="292"/>
      <c r="L248" s="292"/>
      <c r="M248" s="292"/>
      <c r="N248" s="292"/>
      <c r="O248" s="292"/>
      <c r="P248" s="292"/>
      <c r="Q248" s="292"/>
      <c r="R248" s="292"/>
      <c r="S248" s="292"/>
      <c r="T248" s="292"/>
      <c r="U248" s="292"/>
      <c r="V248" s="292"/>
      <c r="W248" s="292"/>
      <c r="X248" s="292"/>
      <c r="Y248" s="292"/>
      <c r="Z248" s="292"/>
    </row>
    <row r="249" spans="1:26" ht="12.75" customHeight="1" x14ac:dyDescent="0.25">
      <c r="A249" s="292"/>
      <c r="B249" s="292"/>
      <c r="C249" s="292"/>
      <c r="D249" s="292"/>
      <c r="E249" s="292"/>
      <c r="F249" s="292"/>
      <c r="G249" s="292"/>
      <c r="H249" s="292"/>
      <c r="I249" s="292"/>
      <c r="J249" s="292"/>
      <c r="K249" s="292"/>
      <c r="L249" s="292"/>
      <c r="M249" s="292"/>
      <c r="N249" s="292"/>
      <c r="O249" s="292"/>
      <c r="P249" s="292"/>
      <c r="Q249" s="292"/>
      <c r="R249" s="292"/>
      <c r="S249" s="292"/>
      <c r="T249" s="292"/>
      <c r="U249" s="292"/>
      <c r="V249" s="292"/>
      <c r="W249" s="292"/>
      <c r="X249" s="292"/>
      <c r="Y249" s="292"/>
      <c r="Z249" s="292"/>
    </row>
    <row r="250" spans="1:26" ht="12.75" customHeight="1" x14ac:dyDescent="0.25">
      <c r="A250" s="292"/>
      <c r="B250" s="292"/>
      <c r="C250" s="292"/>
      <c r="D250" s="292"/>
      <c r="E250" s="292"/>
      <c r="F250" s="292"/>
      <c r="G250" s="292"/>
      <c r="H250" s="292"/>
      <c r="I250" s="292"/>
      <c r="J250" s="292"/>
      <c r="K250" s="292"/>
      <c r="L250" s="292"/>
      <c r="M250" s="292"/>
      <c r="N250" s="292"/>
      <c r="O250" s="292"/>
      <c r="P250" s="292"/>
      <c r="Q250" s="292"/>
      <c r="R250" s="292"/>
      <c r="S250" s="292"/>
      <c r="T250" s="292"/>
      <c r="U250" s="292"/>
      <c r="V250" s="292"/>
      <c r="W250" s="292"/>
      <c r="X250" s="292"/>
      <c r="Y250" s="292"/>
      <c r="Z250" s="292"/>
    </row>
    <row r="251" spans="1:26" ht="12.75" customHeight="1" x14ac:dyDescent="0.25">
      <c r="A251" s="292"/>
      <c r="B251" s="292"/>
      <c r="C251" s="292"/>
      <c r="D251" s="292"/>
      <c r="E251" s="292"/>
      <c r="F251" s="292"/>
      <c r="G251" s="292"/>
      <c r="H251" s="292"/>
      <c r="I251" s="292"/>
      <c r="J251" s="292"/>
      <c r="K251" s="292"/>
      <c r="L251" s="292"/>
      <c r="M251" s="292"/>
      <c r="N251" s="292"/>
      <c r="O251" s="292"/>
      <c r="P251" s="292"/>
      <c r="Q251" s="292"/>
      <c r="R251" s="292"/>
      <c r="S251" s="292"/>
      <c r="T251" s="292"/>
      <c r="U251" s="292"/>
      <c r="V251" s="292"/>
      <c r="W251" s="292"/>
      <c r="X251" s="292"/>
      <c r="Y251" s="292"/>
      <c r="Z251" s="292"/>
    </row>
    <row r="252" spans="1:26" ht="12.75" customHeight="1" x14ac:dyDescent="0.25">
      <c r="A252" s="292"/>
      <c r="B252" s="292"/>
      <c r="C252" s="292"/>
      <c r="D252" s="292"/>
      <c r="E252" s="292"/>
      <c r="F252" s="292"/>
      <c r="G252" s="292"/>
      <c r="H252" s="292"/>
      <c r="I252" s="292"/>
      <c r="J252" s="292"/>
      <c r="K252" s="292"/>
      <c r="L252" s="292"/>
      <c r="M252" s="292"/>
      <c r="N252" s="292"/>
      <c r="O252" s="292"/>
      <c r="P252" s="292"/>
      <c r="Q252" s="292"/>
      <c r="R252" s="292"/>
      <c r="S252" s="292"/>
      <c r="T252" s="292"/>
      <c r="U252" s="292"/>
      <c r="V252" s="292"/>
      <c r="W252" s="292"/>
      <c r="X252" s="292"/>
      <c r="Y252" s="292"/>
      <c r="Z252" s="292"/>
    </row>
    <row r="253" spans="1:26" ht="12.75" customHeight="1" x14ac:dyDescent="0.25">
      <c r="A253" s="292"/>
      <c r="B253" s="292"/>
      <c r="C253" s="292"/>
      <c r="D253" s="292"/>
      <c r="E253" s="292"/>
      <c r="F253" s="292"/>
      <c r="G253" s="292"/>
      <c r="H253" s="292"/>
      <c r="I253" s="292"/>
      <c r="J253" s="292"/>
      <c r="K253" s="292"/>
      <c r="L253" s="292"/>
      <c r="M253" s="292"/>
      <c r="N253" s="292"/>
      <c r="O253" s="292"/>
      <c r="P253" s="292"/>
      <c r="Q253" s="292"/>
      <c r="R253" s="292"/>
      <c r="S253" s="292"/>
      <c r="T253" s="292"/>
      <c r="U253" s="292"/>
      <c r="V253" s="292"/>
      <c r="W253" s="292"/>
      <c r="X253" s="292"/>
      <c r="Y253" s="292"/>
      <c r="Z253" s="292"/>
    </row>
    <row r="254" spans="1:26" ht="12.75" customHeight="1" x14ac:dyDescent="0.25">
      <c r="A254" s="292"/>
      <c r="B254" s="292"/>
      <c r="C254" s="292"/>
      <c r="D254" s="292"/>
      <c r="E254" s="292"/>
      <c r="F254" s="292"/>
      <c r="G254" s="292"/>
      <c r="H254" s="292"/>
      <c r="I254" s="292"/>
      <c r="J254" s="292"/>
      <c r="K254" s="292"/>
      <c r="L254" s="292"/>
      <c r="M254" s="292"/>
      <c r="N254" s="292"/>
      <c r="O254" s="292"/>
      <c r="P254" s="292"/>
      <c r="Q254" s="292"/>
      <c r="R254" s="292"/>
      <c r="S254" s="292"/>
      <c r="T254" s="292"/>
      <c r="U254" s="292"/>
      <c r="V254" s="292"/>
      <c r="W254" s="292"/>
      <c r="X254" s="292"/>
      <c r="Y254" s="292"/>
      <c r="Z254" s="292"/>
    </row>
    <row r="255" spans="1:26" ht="12.75" customHeight="1" x14ac:dyDescent="0.25">
      <c r="A255" s="292"/>
      <c r="B255" s="292"/>
      <c r="C255" s="292"/>
      <c r="D255" s="292"/>
      <c r="E255" s="292"/>
      <c r="F255" s="292"/>
      <c r="G255" s="292"/>
      <c r="H255" s="292"/>
      <c r="I255" s="292"/>
      <c r="J255" s="292"/>
      <c r="K255" s="292"/>
      <c r="L255" s="292"/>
      <c r="M255" s="292"/>
      <c r="N255" s="292"/>
      <c r="O255" s="292"/>
      <c r="P255" s="292"/>
      <c r="Q255" s="292"/>
      <c r="R255" s="292"/>
      <c r="S255" s="292"/>
      <c r="T255" s="292"/>
      <c r="U255" s="292"/>
      <c r="V255" s="292"/>
      <c r="W255" s="292"/>
      <c r="X255" s="292"/>
      <c r="Y255" s="292"/>
      <c r="Z255" s="292"/>
    </row>
    <row r="256" spans="1:26" ht="12.75" customHeight="1" x14ac:dyDescent="0.25">
      <c r="A256" s="292"/>
      <c r="B256" s="292"/>
      <c r="C256" s="292"/>
      <c r="D256" s="292"/>
      <c r="E256" s="292"/>
      <c r="F256" s="292"/>
      <c r="G256" s="292"/>
      <c r="H256" s="292"/>
      <c r="I256" s="292"/>
      <c r="J256" s="292"/>
      <c r="K256" s="292"/>
      <c r="L256" s="292"/>
      <c r="M256" s="292"/>
      <c r="N256" s="292"/>
      <c r="O256" s="292"/>
      <c r="P256" s="292"/>
      <c r="Q256" s="292"/>
      <c r="R256" s="292"/>
      <c r="S256" s="292"/>
      <c r="T256" s="292"/>
      <c r="U256" s="292"/>
      <c r="V256" s="292"/>
      <c r="W256" s="292"/>
      <c r="X256" s="292"/>
      <c r="Y256" s="292"/>
      <c r="Z256" s="292"/>
    </row>
    <row r="257" spans="1:26" ht="12.75" customHeight="1" x14ac:dyDescent="0.25">
      <c r="A257" s="292"/>
      <c r="B257" s="292"/>
      <c r="C257" s="292"/>
      <c r="D257" s="292"/>
      <c r="E257" s="292"/>
      <c r="F257" s="292"/>
      <c r="G257" s="292"/>
      <c r="H257" s="292"/>
      <c r="I257" s="292"/>
      <c r="J257" s="292"/>
      <c r="K257" s="292"/>
      <c r="L257" s="292"/>
      <c r="M257" s="292"/>
      <c r="N257" s="292"/>
      <c r="O257" s="292"/>
      <c r="P257" s="292"/>
      <c r="Q257" s="292"/>
      <c r="R257" s="292"/>
      <c r="S257" s="292"/>
      <c r="T257" s="292"/>
      <c r="U257" s="292"/>
      <c r="V257" s="292"/>
      <c r="W257" s="292"/>
      <c r="X257" s="292"/>
      <c r="Y257" s="292"/>
      <c r="Z257" s="292"/>
    </row>
    <row r="258" spans="1:26" ht="12.75" customHeight="1" x14ac:dyDescent="0.25">
      <c r="A258" s="292"/>
      <c r="B258" s="292"/>
      <c r="C258" s="292"/>
      <c r="D258" s="292"/>
      <c r="E258" s="292"/>
      <c r="F258" s="292"/>
      <c r="G258" s="292"/>
      <c r="H258" s="292"/>
      <c r="I258" s="292"/>
      <c r="J258" s="292"/>
      <c r="K258" s="292"/>
      <c r="L258" s="292"/>
      <c r="M258" s="292"/>
      <c r="N258" s="292"/>
      <c r="O258" s="292"/>
      <c r="P258" s="292"/>
      <c r="Q258" s="292"/>
      <c r="R258" s="292"/>
      <c r="S258" s="292"/>
      <c r="T258" s="292"/>
      <c r="U258" s="292"/>
      <c r="V258" s="292"/>
      <c r="W258" s="292"/>
      <c r="X258" s="292"/>
      <c r="Y258" s="292"/>
      <c r="Z258" s="292"/>
    </row>
    <row r="259" spans="1:26" ht="12.75" customHeight="1" x14ac:dyDescent="0.25">
      <c r="A259" s="292"/>
      <c r="B259" s="292"/>
      <c r="C259" s="292"/>
      <c r="D259" s="292"/>
      <c r="E259" s="292"/>
      <c r="F259" s="292"/>
      <c r="G259" s="292"/>
      <c r="H259" s="292"/>
      <c r="I259" s="292"/>
      <c r="J259" s="292"/>
      <c r="K259" s="292"/>
      <c r="L259" s="292"/>
      <c r="M259" s="292"/>
      <c r="N259" s="292"/>
      <c r="O259" s="292"/>
      <c r="P259" s="292"/>
      <c r="Q259" s="292"/>
      <c r="R259" s="292"/>
      <c r="S259" s="292"/>
      <c r="T259" s="292"/>
      <c r="U259" s="292"/>
      <c r="V259" s="292"/>
      <c r="W259" s="292"/>
      <c r="X259" s="292"/>
      <c r="Y259" s="292"/>
      <c r="Z259" s="292"/>
    </row>
    <row r="260" spans="1:26" ht="12.75" customHeight="1" x14ac:dyDescent="0.25">
      <c r="A260" s="292"/>
      <c r="B260" s="292"/>
      <c r="C260" s="292"/>
      <c r="D260" s="292"/>
      <c r="E260" s="292"/>
      <c r="F260" s="292"/>
      <c r="G260" s="292"/>
      <c r="H260" s="292"/>
      <c r="I260" s="292"/>
      <c r="J260" s="292"/>
      <c r="K260" s="292"/>
      <c r="L260" s="292"/>
      <c r="M260" s="292"/>
      <c r="N260" s="292"/>
      <c r="O260" s="292"/>
      <c r="P260" s="292"/>
      <c r="Q260" s="292"/>
      <c r="R260" s="292"/>
      <c r="S260" s="292"/>
      <c r="T260" s="292"/>
      <c r="U260" s="292"/>
      <c r="V260" s="292"/>
      <c r="W260" s="292"/>
      <c r="X260" s="292"/>
      <c r="Y260" s="292"/>
      <c r="Z260" s="292"/>
    </row>
    <row r="261" spans="1:26" ht="12.75" customHeight="1" x14ac:dyDescent="0.25">
      <c r="A261" s="292"/>
      <c r="B261" s="292"/>
      <c r="C261" s="292"/>
      <c r="D261" s="292"/>
      <c r="E261" s="292"/>
      <c r="F261" s="292"/>
      <c r="G261" s="292"/>
      <c r="H261" s="292"/>
      <c r="I261" s="292"/>
      <c r="J261" s="292"/>
      <c r="K261" s="292"/>
      <c r="L261" s="292"/>
      <c r="M261" s="292"/>
      <c r="N261" s="292"/>
      <c r="O261" s="292"/>
      <c r="P261" s="292"/>
      <c r="Q261" s="292"/>
      <c r="R261" s="292"/>
      <c r="S261" s="292"/>
      <c r="T261" s="292"/>
      <c r="U261" s="292"/>
      <c r="V261" s="292"/>
      <c r="W261" s="292"/>
      <c r="X261" s="292"/>
      <c r="Y261" s="292"/>
      <c r="Z261" s="292"/>
    </row>
    <row r="262" spans="1:26" ht="12.75" customHeight="1" x14ac:dyDescent="0.25">
      <c r="A262" s="292"/>
      <c r="B262" s="292"/>
      <c r="C262" s="292"/>
      <c r="D262" s="292"/>
      <c r="E262" s="292"/>
      <c r="F262" s="292"/>
      <c r="G262" s="292"/>
      <c r="H262" s="292"/>
      <c r="I262" s="292"/>
      <c r="J262" s="292"/>
      <c r="K262" s="292"/>
      <c r="L262" s="292"/>
      <c r="M262" s="292"/>
      <c r="N262" s="292"/>
      <c r="O262" s="292"/>
      <c r="P262" s="292"/>
      <c r="Q262" s="292"/>
      <c r="R262" s="292"/>
      <c r="S262" s="292"/>
      <c r="T262" s="292"/>
      <c r="U262" s="292"/>
      <c r="V262" s="292"/>
      <c r="W262" s="292"/>
      <c r="X262" s="292"/>
      <c r="Y262" s="292"/>
      <c r="Z262" s="292"/>
    </row>
    <row r="263" spans="1:26" ht="12.75" customHeight="1" x14ac:dyDescent="0.25">
      <c r="A263" s="292"/>
      <c r="B263" s="292"/>
      <c r="C263" s="292"/>
      <c r="D263" s="292"/>
      <c r="E263" s="292"/>
      <c r="F263" s="292"/>
      <c r="G263" s="292"/>
      <c r="H263" s="292"/>
      <c r="I263" s="292"/>
      <c r="J263" s="292"/>
      <c r="K263" s="292"/>
      <c r="L263" s="292"/>
      <c r="M263" s="292"/>
      <c r="N263" s="292"/>
      <c r="O263" s="292"/>
      <c r="P263" s="292"/>
      <c r="Q263" s="292"/>
      <c r="R263" s="292"/>
      <c r="S263" s="292"/>
      <c r="T263" s="292"/>
      <c r="U263" s="292"/>
      <c r="V263" s="292"/>
      <c r="W263" s="292"/>
      <c r="X263" s="292"/>
      <c r="Y263" s="292"/>
      <c r="Z263" s="292"/>
    </row>
    <row r="264" spans="1:26" ht="12.75" customHeight="1" x14ac:dyDescent="0.25">
      <c r="A264" s="292"/>
      <c r="B264" s="292"/>
      <c r="C264" s="292"/>
      <c r="D264" s="292"/>
      <c r="E264" s="292"/>
      <c r="F264" s="292"/>
      <c r="G264" s="292"/>
      <c r="H264" s="292"/>
      <c r="I264" s="292"/>
      <c r="J264" s="292"/>
      <c r="K264" s="292"/>
      <c r="L264" s="292"/>
      <c r="M264" s="292"/>
      <c r="N264" s="292"/>
      <c r="O264" s="292"/>
      <c r="P264" s="292"/>
      <c r="Q264" s="292"/>
      <c r="R264" s="292"/>
      <c r="S264" s="292"/>
      <c r="T264" s="292"/>
      <c r="U264" s="292"/>
      <c r="V264" s="292"/>
      <c r="W264" s="292"/>
      <c r="X264" s="292"/>
      <c r="Y264" s="292"/>
      <c r="Z264" s="292"/>
    </row>
    <row r="265" spans="1:26" ht="12.75" customHeight="1" x14ac:dyDescent="0.25">
      <c r="A265" s="292"/>
      <c r="B265" s="292"/>
      <c r="C265" s="292"/>
      <c r="D265" s="292"/>
      <c r="E265" s="292"/>
      <c r="F265" s="292"/>
      <c r="G265" s="292"/>
      <c r="H265" s="292"/>
      <c r="I265" s="292"/>
      <c r="J265" s="292"/>
      <c r="K265" s="292"/>
      <c r="L265" s="292"/>
      <c r="M265" s="292"/>
      <c r="N265" s="292"/>
      <c r="O265" s="292"/>
      <c r="P265" s="292"/>
      <c r="Q265" s="292"/>
      <c r="R265" s="292"/>
      <c r="S265" s="292"/>
      <c r="T265" s="292"/>
      <c r="U265" s="292"/>
      <c r="V265" s="292"/>
      <c r="W265" s="292"/>
      <c r="X265" s="292"/>
      <c r="Y265" s="292"/>
      <c r="Z265" s="292"/>
    </row>
    <row r="266" spans="1:26" ht="12.75" customHeight="1" x14ac:dyDescent="0.25">
      <c r="A266" s="292"/>
      <c r="B266" s="292"/>
      <c r="C266" s="292"/>
      <c r="D266" s="292"/>
      <c r="E266" s="292"/>
      <c r="F266" s="292"/>
      <c r="G266" s="292"/>
      <c r="H266" s="292"/>
      <c r="I266" s="292"/>
      <c r="J266" s="292"/>
      <c r="K266" s="292"/>
      <c r="L266" s="292"/>
      <c r="M266" s="292"/>
      <c r="N266" s="292"/>
      <c r="O266" s="292"/>
      <c r="P266" s="292"/>
      <c r="Q266" s="292"/>
      <c r="R266" s="292"/>
      <c r="S266" s="292"/>
      <c r="T266" s="292"/>
      <c r="U266" s="292"/>
      <c r="V266" s="292"/>
      <c r="W266" s="292"/>
      <c r="X266" s="292"/>
      <c r="Y266" s="292"/>
      <c r="Z266" s="292"/>
    </row>
    <row r="267" spans="1:26" ht="12.75" customHeight="1" x14ac:dyDescent="0.25">
      <c r="A267" s="292"/>
      <c r="B267" s="292"/>
      <c r="C267" s="292"/>
      <c r="D267" s="292"/>
      <c r="E267" s="292"/>
      <c r="F267" s="292"/>
      <c r="G267" s="292"/>
      <c r="H267" s="292"/>
      <c r="I267" s="292"/>
      <c r="J267" s="292"/>
      <c r="K267" s="292"/>
      <c r="L267" s="292"/>
      <c r="M267" s="292"/>
      <c r="N267" s="292"/>
      <c r="O267" s="292"/>
      <c r="P267" s="292"/>
      <c r="Q267" s="292"/>
      <c r="R267" s="292"/>
      <c r="S267" s="292"/>
      <c r="T267" s="292"/>
      <c r="U267" s="292"/>
      <c r="V267" s="292"/>
      <c r="W267" s="292"/>
      <c r="X267" s="292"/>
      <c r="Y267" s="292"/>
      <c r="Z267" s="292"/>
    </row>
    <row r="268" spans="1:26" ht="12.75" customHeight="1" x14ac:dyDescent="0.25">
      <c r="A268" s="292"/>
      <c r="B268" s="292"/>
      <c r="C268" s="292"/>
      <c r="D268" s="292"/>
      <c r="E268" s="292"/>
      <c r="F268" s="292"/>
      <c r="G268" s="292"/>
      <c r="H268" s="292"/>
      <c r="I268" s="292"/>
      <c r="J268" s="292"/>
      <c r="K268" s="292"/>
      <c r="L268" s="292"/>
      <c r="M268" s="292"/>
      <c r="N268" s="292"/>
      <c r="O268" s="292"/>
      <c r="P268" s="292"/>
      <c r="Q268" s="292"/>
      <c r="R268" s="292"/>
      <c r="S268" s="292"/>
      <c r="T268" s="292"/>
      <c r="U268" s="292"/>
      <c r="V268" s="292"/>
      <c r="W268" s="292"/>
      <c r="X268" s="292"/>
      <c r="Y268" s="292"/>
      <c r="Z268" s="292"/>
    </row>
    <row r="269" spans="1:26" ht="12.75" customHeight="1" x14ac:dyDescent="0.25">
      <c r="A269" s="292"/>
      <c r="B269" s="292"/>
      <c r="C269" s="292"/>
      <c r="D269" s="292"/>
      <c r="E269" s="292"/>
      <c r="F269" s="292"/>
      <c r="G269" s="292"/>
      <c r="H269" s="292"/>
      <c r="I269" s="292"/>
      <c r="J269" s="292"/>
      <c r="K269" s="292"/>
      <c r="L269" s="292"/>
      <c r="M269" s="292"/>
      <c r="N269" s="292"/>
      <c r="O269" s="292"/>
      <c r="P269" s="292"/>
      <c r="Q269" s="292"/>
      <c r="R269" s="292"/>
      <c r="S269" s="292"/>
      <c r="T269" s="292"/>
      <c r="U269" s="292"/>
      <c r="V269" s="292"/>
      <c r="W269" s="292"/>
      <c r="X269" s="292"/>
      <c r="Y269" s="292"/>
      <c r="Z269" s="292"/>
    </row>
    <row r="270" spans="1:26" ht="12.75" customHeight="1" x14ac:dyDescent="0.25">
      <c r="A270" s="292"/>
      <c r="B270" s="292"/>
      <c r="C270" s="292"/>
      <c r="D270" s="292"/>
      <c r="E270" s="292"/>
      <c r="F270" s="292"/>
      <c r="G270" s="292"/>
      <c r="H270" s="292"/>
      <c r="I270" s="292"/>
      <c r="J270" s="292"/>
      <c r="K270" s="292"/>
      <c r="L270" s="292"/>
      <c r="M270" s="292"/>
      <c r="N270" s="292"/>
      <c r="O270" s="292"/>
      <c r="P270" s="292"/>
      <c r="Q270" s="292"/>
      <c r="R270" s="292"/>
      <c r="S270" s="292"/>
      <c r="T270" s="292"/>
      <c r="U270" s="292"/>
      <c r="V270" s="292"/>
      <c r="W270" s="292"/>
      <c r="X270" s="292"/>
      <c r="Y270" s="292"/>
      <c r="Z270" s="292"/>
    </row>
    <row r="271" spans="1:26" ht="12.75" customHeight="1" x14ac:dyDescent="0.25">
      <c r="A271" s="292"/>
      <c r="B271" s="292"/>
      <c r="C271" s="292"/>
      <c r="D271" s="292"/>
      <c r="E271" s="292"/>
      <c r="F271" s="292"/>
      <c r="G271" s="292"/>
      <c r="H271" s="292"/>
      <c r="I271" s="292"/>
      <c r="J271" s="292"/>
      <c r="K271" s="292"/>
      <c r="L271" s="292"/>
      <c r="M271" s="292"/>
      <c r="N271" s="292"/>
      <c r="O271" s="292"/>
      <c r="P271" s="292"/>
      <c r="Q271" s="292"/>
      <c r="R271" s="292"/>
      <c r="S271" s="292"/>
      <c r="T271" s="292"/>
      <c r="U271" s="292"/>
      <c r="V271" s="292"/>
      <c r="W271" s="292"/>
      <c r="X271" s="292"/>
      <c r="Y271" s="292"/>
      <c r="Z271" s="292"/>
    </row>
    <row r="272" spans="1:26" ht="12.75" customHeight="1" x14ac:dyDescent="0.25">
      <c r="A272" s="292"/>
      <c r="B272" s="292"/>
      <c r="C272" s="292"/>
      <c r="D272" s="292"/>
      <c r="E272" s="292"/>
      <c r="F272" s="292"/>
      <c r="G272" s="292"/>
      <c r="H272" s="292"/>
      <c r="I272" s="292"/>
      <c r="J272" s="292"/>
      <c r="K272" s="292"/>
      <c r="L272" s="292"/>
      <c r="M272" s="292"/>
      <c r="N272" s="292"/>
      <c r="O272" s="292"/>
      <c r="P272" s="292"/>
      <c r="Q272" s="292"/>
      <c r="R272" s="292"/>
      <c r="S272" s="292"/>
      <c r="T272" s="292"/>
      <c r="U272" s="292"/>
      <c r="V272" s="292"/>
      <c r="W272" s="292"/>
      <c r="X272" s="292"/>
      <c r="Y272" s="292"/>
      <c r="Z272" s="292"/>
    </row>
    <row r="273" spans="1:26" ht="12.75" customHeight="1" x14ac:dyDescent="0.25">
      <c r="A273" s="292"/>
      <c r="B273" s="292"/>
      <c r="C273" s="292"/>
      <c r="D273" s="292"/>
      <c r="E273" s="292"/>
      <c r="F273" s="292"/>
      <c r="G273" s="292"/>
      <c r="H273" s="292"/>
      <c r="I273" s="292"/>
      <c r="J273" s="292"/>
      <c r="K273" s="292"/>
      <c r="L273" s="292"/>
      <c r="M273" s="292"/>
      <c r="N273" s="292"/>
      <c r="O273" s="292"/>
      <c r="P273" s="292"/>
      <c r="Q273" s="292"/>
      <c r="R273" s="292"/>
      <c r="S273" s="292"/>
      <c r="T273" s="292"/>
      <c r="U273" s="292"/>
      <c r="V273" s="292"/>
      <c r="W273" s="292"/>
      <c r="X273" s="292"/>
      <c r="Y273" s="292"/>
      <c r="Z273" s="292"/>
    </row>
    <row r="274" spans="1:26" ht="12.75" customHeight="1" x14ac:dyDescent="0.25">
      <c r="A274" s="292"/>
      <c r="B274" s="292"/>
      <c r="C274" s="292"/>
      <c r="D274" s="292"/>
      <c r="E274" s="292"/>
      <c r="F274" s="292"/>
      <c r="G274" s="292"/>
      <c r="H274" s="292"/>
      <c r="I274" s="292"/>
      <c r="J274" s="292"/>
      <c r="K274" s="292"/>
      <c r="L274" s="292"/>
      <c r="M274" s="292"/>
      <c r="N274" s="292"/>
      <c r="O274" s="292"/>
      <c r="P274" s="292"/>
      <c r="Q274" s="292"/>
      <c r="R274" s="292"/>
      <c r="S274" s="292"/>
      <c r="T274" s="292"/>
      <c r="U274" s="292"/>
      <c r="V274" s="292"/>
      <c r="W274" s="292"/>
      <c r="X274" s="292"/>
      <c r="Y274" s="292"/>
      <c r="Z274" s="292"/>
    </row>
    <row r="275" spans="1:26" ht="12.75" customHeight="1" x14ac:dyDescent="0.25">
      <c r="A275" s="292"/>
      <c r="B275" s="292"/>
      <c r="C275" s="292"/>
      <c r="D275" s="292"/>
      <c r="E275" s="292"/>
      <c r="F275" s="292"/>
      <c r="G275" s="292"/>
      <c r="H275" s="292"/>
      <c r="I275" s="292"/>
      <c r="J275" s="292"/>
      <c r="K275" s="292"/>
      <c r="L275" s="292"/>
      <c r="M275" s="292"/>
      <c r="N275" s="292"/>
      <c r="O275" s="292"/>
      <c r="P275" s="292"/>
      <c r="Q275" s="292"/>
      <c r="R275" s="292"/>
      <c r="S275" s="292"/>
      <c r="T275" s="292"/>
      <c r="U275" s="292"/>
      <c r="V275" s="292"/>
      <c r="W275" s="292"/>
      <c r="X275" s="292"/>
      <c r="Y275" s="292"/>
      <c r="Z275" s="292"/>
    </row>
    <row r="276" spans="1:26" ht="12.75" customHeight="1" x14ac:dyDescent="0.25">
      <c r="A276" s="292"/>
      <c r="B276" s="292"/>
      <c r="C276" s="292"/>
      <c r="D276" s="292"/>
      <c r="E276" s="292"/>
      <c r="F276" s="292"/>
      <c r="G276" s="292"/>
      <c r="H276" s="292"/>
      <c r="I276" s="292"/>
      <c r="J276" s="292"/>
      <c r="K276" s="292"/>
      <c r="L276" s="292"/>
      <c r="M276" s="292"/>
      <c r="N276" s="292"/>
      <c r="O276" s="292"/>
      <c r="P276" s="292"/>
      <c r="Q276" s="292"/>
      <c r="R276" s="292"/>
      <c r="S276" s="292"/>
      <c r="T276" s="292"/>
      <c r="U276" s="292"/>
      <c r="V276" s="292"/>
      <c r="W276" s="292"/>
      <c r="X276" s="292"/>
      <c r="Y276" s="292"/>
      <c r="Z276" s="292"/>
    </row>
    <row r="277" spans="1:26" ht="12.75" customHeight="1" x14ac:dyDescent="0.25">
      <c r="A277" s="292"/>
      <c r="B277" s="292"/>
      <c r="C277" s="292"/>
      <c r="D277" s="292"/>
      <c r="E277" s="292"/>
      <c r="F277" s="292"/>
      <c r="G277" s="292"/>
      <c r="H277" s="292"/>
      <c r="I277" s="292"/>
      <c r="J277" s="292"/>
      <c r="K277" s="292"/>
      <c r="L277" s="292"/>
      <c r="M277" s="292"/>
      <c r="N277" s="292"/>
      <c r="O277" s="292"/>
      <c r="P277" s="292"/>
      <c r="Q277" s="292"/>
      <c r="R277" s="292"/>
      <c r="S277" s="292"/>
      <c r="T277" s="292"/>
      <c r="U277" s="292"/>
      <c r="V277" s="292"/>
      <c r="W277" s="292"/>
      <c r="X277" s="292"/>
      <c r="Y277" s="292"/>
      <c r="Z277" s="292"/>
    </row>
    <row r="278" spans="1:26" ht="12.75" customHeight="1" x14ac:dyDescent="0.25">
      <c r="A278" s="292"/>
      <c r="B278" s="292"/>
      <c r="C278" s="292"/>
      <c r="D278" s="292"/>
      <c r="E278" s="292"/>
      <c r="F278" s="292"/>
      <c r="G278" s="292"/>
      <c r="H278" s="292"/>
      <c r="I278" s="292"/>
      <c r="J278" s="292"/>
      <c r="K278" s="292"/>
      <c r="L278" s="292"/>
      <c r="M278" s="292"/>
      <c r="N278" s="292"/>
      <c r="O278" s="292"/>
      <c r="P278" s="292"/>
      <c r="Q278" s="292"/>
      <c r="R278" s="292"/>
      <c r="S278" s="292"/>
      <c r="T278" s="292"/>
      <c r="U278" s="292"/>
      <c r="V278" s="292"/>
      <c r="W278" s="292"/>
      <c r="X278" s="292"/>
      <c r="Y278" s="292"/>
      <c r="Z278" s="292"/>
    </row>
    <row r="279" spans="1:26" ht="12.75" customHeight="1" x14ac:dyDescent="0.25">
      <c r="A279" s="292"/>
      <c r="B279" s="292"/>
      <c r="C279" s="292"/>
      <c r="D279" s="292"/>
      <c r="E279" s="292"/>
      <c r="F279" s="292"/>
      <c r="G279" s="292"/>
      <c r="H279" s="292"/>
      <c r="I279" s="292"/>
      <c r="J279" s="292"/>
      <c r="K279" s="292"/>
      <c r="L279" s="292"/>
      <c r="M279" s="292"/>
      <c r="N279" s="292"/>
      <c r="O279" s="292"/>
      <c r="P279" s="292"/>
      <c r="Q279" s="292"/>
      <c r="R279" s="292"/>
      <c r="S279" s="292"/>
      <c r="T279" s="292"/>
      <c r="U279" s="292"/>
      <c r="V279" s="292"/>
      <c r="W279" s="292"/>
      <c r="X279" s="292"/>
      <c r="Y279" s="292"/>
      <c r="Z279" s="292"/>
    </row>
    <row r="280" spans="1:26" ht="12.75" customHeight="1" x14ac:dyDescent="0.25">
      <c r="A280" s="292"/>
      <c r="B280" s="292"/>
      <c r="C280" s="292"/>
      <c r="D280" s="292"/>
      <c r="E280" s="292"/>
      <c r="F280" s="292"/>
      <c r="G280" s="292"/>
      <c r="H280" s="292"/>
      <c r="I280" s="292"/>
      <c r="J280" s="292"/>
      <c r="K280" s="292"/>
      <c r="L280" s="292"/>
      <c r="M280" s="292"/>
      <c r="N280" s="292"/>
      <c r="O280" s="292"/>
      <c r="P280" s="292"/>
      <c r="Q280" s="292"/>
      <c r="R280" s="292"/>
      <c r="S280" s="292"/>
      <c r="T280" s="292"/>
      <c r="U280" s="292"/>
      <c r="V280" s="292"/>
      <c r="W280" s="292"/>
      <c r="X280" s="292"/>
      <c r="Y280" s="292"/>
      <c r="Z280" s="292"/>
    </row>
    <row r="281" spans="1:26" ht="12.75" customHeight="1" x14ac:dyDescent="0.25">
      <c r="A281" s="292"/>
      <c r="B281" s="292"/>
      <c r="C281" s="292"/>
      <c r="D281" s="292"/>
      <c r="E281" s="292"/>
      <c r="F281" s="292"/>
      <c r="G281" s="292"/>
      <c r="H281" s="292"/>
      <c r="I281" s="292"/>
      <c r="J281" s="292"/>
      <c r="K281" s="292"/>
      <c r="L281" s="292"/>
      <c r="M281" s="292"/>
      <c r="N281" s="292"/>
      <c r="O281" s="292"/>
      <c r="P281" s="292"/>
      <c r="Q281" s="292"/>
      <c r="R281" s="292"/>
      <c r="S281" s="292"/>
      <c r="T281" s="292"/>
      <c r="U281" s="292"/>
      <c r="V281" s="292"/>
      <c r="W281" s="292"/>
      <c r="X281" s="292"/>
      <c r="Y281" s="292"/>
      <c r="Z281" s="292"/>
    </row>
    <row r="282" spans="1:26" ht="12.75" customHeight="1" x14ac:dyDescent="0.25">
      <c r="A282" s="292"/>
      <c r="B282" s="292"/>
      <c r="C282" s="292"/>
      <c r="D282" s="292"/>
      <c r="E282" s="292"/>
      <c r="F282" s="292"/>
      <c r="G282" s="292"/>
      <c r="H282" s="292"/>
      <c r="I282" s="292"/>
      <c r="J282" s="292"/>
      <c r="K282" s="292"/>
      <c r="L282" s="292"/>
      <c r="M282" s="292"/>
      <c r="N282" s="292"/>
      <c r="O282" s="292"/>
      <c r="P282" s="292"/>
      <c r="Q282" s="292"/>
      <c r="R282" s="292"/>
      <c r="S282" s="292"/>
      <c r="T282" s="292"/>
      <c r="U282" s="292"/>
      <c r="V282" s="292"/>
      <c r="W282" s="292"/>
      <c r="X282" s="292"/>
      <c r="Y282" s="292"/>
      <c r="Z282" s="292"/>
    </row>
    <row r="283" spans="1:26" ht="12.75" customHeight="1" x14ac:dyDescent="0.25">
      <c r="A283" s="292"/>
      <c r="B283" s="292"/>
      <c r="C283" s="292"/>
      <c r="D283" s="292"/>
      <c r="E283" s="292"/>
      <c r="F283" s="292"/>
      <c r="G283" s="292"/>
      <c r="H283" s="292"/>
      <c r="I283" s="292"/>
      <c r="J283" s="292"/>
      <c r="K283" s="292"/>
      <c r="L283" s="292"/>
      <c r="M283" s="292"/>
      <c r="N283" s="292"/>
      <c r="O283" s="292"/>
      <c r="P283" s="292"/>
      <c r="Q283" s="292"/>
      <c r="R283" s="292"/>
      <c r="S283" s="292"/>
      <c r="T283" s="292"/>
      <c r="U283" s="292"/>
      <c r="V283" s="292"/>
      <c r="W283" s="292"/>
      <c r="X283" s="292"/>
      <c r="Y283" s="292"/>
      <c r="Z283" s="292"/>
    </row>
    <row r="284" spans="1:26" ht="12.75" customHeight="1" x14ac:dyDescent="0.25">
      <c r="A284" s="292"/>
      <c r="B284" s="292"/>
      <c r="C284" s="292"/>
      <c r="D284" s="292"/>
      <c r="E284" s="292"/>
      <c r="F284" s="292"/>
      <c r="G284" s="292"/>
      <c r="H284" s="292"/>
      <c r="I284" s="292"/>
      <c r="J284" s="292"/>
      <c r="K284" s="292"/>
      <c r="L284" s="292"/>
      <c r="M284" s="292"/>
      <c r="N284" s="292"/>
      <c r="O284" s="292"/>
      <c r="P284" s="292"/>
      <c r="Q284" s="292"/>
      <c r="R284" s="292"/>
      <c r="S284" s="292"/>
      <c r="T284" s="292"/>
      <c r="U284" s="292"/>
      <c r="V284" s="292"/>
      <c r="W284" s="292"/>
      <c r="X284" s="292"/>
      <c r="Y284" s="292"/>
      <c r="Z284" s="292"/>
    </row>
    <row r="285" spans="1:26" ht="12.75" customHeight="1" x14ac:dyDescent="0.25">
      <c r="A285" s="292"/>
      <c r="B285" s="292"/>
      <c r="C285" s="292"/>
      <c r="D285" s="292"/>
      <c r="E285" s="292"/>
      <c r="F285" s="292"/>
      <c r="G285" s="292"/>
      <c r="H285" s="292"/>
      <c r="I285" s="292"/>
      <c r="J285" s="292"/>
      <c r="K285" s="292"/>
      <c r="L285" s="292"/>
      <c r="M285" s="292"/>
      <c r="N285" s="292"/>
      <c r="O285" s="292"/>
      <c r="P285" s="292"/>
      <c r="Q285" s="292"/>
      <c r="R285" s="292"/>
      <c r="S285" s="292"/>
      <c r="T285" s="292"/>
      <c r="U285" s="292"/>
      <c r="V285" s="292"/>
      <c r="W285" s="292"/>
      <c r="X285" s="292"/>
      <c r="Y285" s="292"/>
      <c r="Z285" s="292"/>
    </row>
    <row r="286" spans="1:26" ht="12.75" customHeight="1" x14ac:dyDescent="0.25">
      <c r="A286" s="292"/>
      <c r="B286" s="292"/>
      <c r="C286" s="292"/>
      <c r="D286" s="292"/>
      <c r="E286" s="292"/>
      <c r="F286" s="292"/>
      <c r="G286" s="292"/>
      <c r="H286" s="292"/>
      <c r="I286" s="292"/>
      <c r="J286" s="292"/>
      <c r="K286" s="292"/>
      <c r="L286" s="292"/>
      <c r="M286" s="292"/>
      <c r="N286" s="292"/>
      <c r="O286" s="292"/>
      <c r="P286" s="292"/>
      <c r="Q286" s="292"/>
      <c r="R286" s="292"/>
      <c r="S286" s="292"/>
      <c r="T286" s="292"/>
      <c r="U286" s="292"/>
      <c r="V286" s="292"/>
      <c r="W286" s="292"/>
      <c r="X286" s="292"/>
      <c r="Y286" s="292"/>
      <c r="Z286" s="292"/>
    </row>
    <row r="287" spans="1:26" ht="12.75" customHeight="1" x14ac:dyDescent="0.25">
      <c r="A287" s="292"/>
      <c r="B287" s="292"/>
      <c r="C287" s="292"/>
      <c r="D287" s="292"/>
      <c r="E287" s="292"/>
      <c r="F287" s="292"/>
      <c r="G287" s="292"/>
      <c r="H287" s="292"/>
      <c r="I287" s="292"/>
      <c r="J287" s="292"/>
      <c r="K287" s="292"/>
      <c r="L287" s="292"/>
      <c r="M287" s="292"/>
      <c r="N287" s="292"/>
      <c r="O287" s="292"/>
      <c r="P287" s="292"/>
      <c r="Q287" s="292"/>
      <c r="R287" s="292"/>
      <c r="S287" s="292"/>
      <c r="T287" s="292"/>
      <c r="U287" s="292"/>
      <c r="V287" s="292"/>
      <c r="W287" s="292"/>
      <c r="X287" s="292"/>
      <c r="Y287" s="292"/>
      <c r="Z287" s="292"/>
    </row>
    <row r="288" spans="1:26" ht="12.75" customHeight="1" x14ac:dyDescent="0.25">
      <c r="A288" s="292"/>
      <c r="B288" s="292"/>
      <c r="C288" s="292"/>
      <c r="D288" s="292"/>
      <c r="E288" s="292"/>
      <c r="F288" s="292"/>
      <c r="G288" s="292"/>
      <c r="H288" s="292"/>
      <c r="I288" s="292"/>
      <c r="J288" s="292"/>
      <c r="K288" s="292"/>
      <c r="L288" s="292"/>
      <c r="M288" s="292"/>
      <c r="N288" s="292"/>
      <c r="O288" s="292"/>
      <c r="P288" s="292"/>
      <c r="Q288" s="292"/>
      <c r="R288" s="292"/>
      <c r="S288" s="292"/>
      <c r="T288" s="292"/>
      <c r="U288" s="292"/>
      <c r="V288" s="292"/>
      <c r="W288" s="292"/>
      <c r="X288" s="292"/>
      <c r="Y288" s="292"/>
      <c r="Z288" s="292"/>
    </row>
    <row r="289" spans="1:26" ht="12.75" customHeight="1" x14ac:dyDescent="0.25">
      <c r="A289" s="292"/>
      <c r="B289" s="292"/>
      <c r="C289" s="292"/>
      <c r="D289" s="292"/>
      <c r="E289" s="292"/>
      <c r="F289" s="292"/>
      <c r="G289" s="292"/>
      <c r="H289" s="292"/>
      <c r="I289" s="292"/>
      <c r="J289" s="292"/>
      <c r="K289" s="292"/>
      <c r="L289" s="292"/>
      <c r="M289" s="292"/>
      <c r="N289" s="292"/>
      <c r="O289" s="292"/>
      <c r="P289" s="292"/>
      <c r="Q289" s="292"/>
      <c r="R289" s="292"/>
      <c r="S289" s="292"/>
      <c r="T289" s="292"/>
      <c r="U289" s="292"/>
      <c r="V289" s="292"/>
      <c r="W289" s="292"/>
      <c r="X289" s="292"/>
      <c r="Y289" s="292"/>
      <c r="Z289" s="292"/>
    </row>
    <row r="290" spans="1:26" ht="12.75" customHeight="1" x14ac:dyDescent="0.25">
      <c r="A290" s="292"/>
      <c r="B290" s="292"/>
      <c r="C290" s="292"/>
      <c r="D290" s="292"/>
      <c r="E290" s="292"/>
      <c r="F290" s="292"/>
      <c r="G290" s="292"/>
      <c r="H290" s="292"/>
      <c r="I290" s="292"/>
      <c r="J290" s="292"/>
      <c r="K290" s="292"/>
      <c r="L290" s="292"/>
      <c r="M290" s="292"/>
      <c r="N290" s="292"/>
      <c r="O290" s="292"/>
      <c r="P290" s="292"/>
      <c r="Q290" s="292"/>
      <c r="R290" s="292"/>
      <c r="S290" s="292"/>
      <c r="T290" s="292"/>
      <c r="U290" s="292"/>
      <c r="V290" s="292"/>
      <c r="W290" s="292"/>
      <c r="X290" s="292"/>
      <c r="Y290" s="292"/>
      <c r="Z290" s="292"/>
    </row>
    <row r="291" spans="1:26" ht="12.75" customHeight="1" x14ac:dyDescent="0.25">
      <c r="A291" s="292"/>
      <c r="B291" s="292"/>
      <c r="C291" s="292"/>
      <c r="D291" s="292"/>
      <c r="E291" s="292"/>
      <c r="F291" s="292"/>
      <c r="G291" s="292"/>
      <c r="H291" s="292"/>
      <c r="I291" s="292"/>
      <c r="J291" s="292"/>
      <c r="K291" s="292"/>
      <c r="L291" s="292"/>
      <c r="M291" s="292"/>
      <c r="N291" s="292"/>
      <c r="O291" s="292"/>
      <c r="P291" s="292"/>
      <c r="Q291" s="292"/>
      <c r="R291" s="292"/>
      <c r="S291" s="292"/>
      <c r="T291" s="292"/>
      <c r="U291" s="292"/>
      <c r="V291" s="292"/>
      <c r="W291" s="292"/>
      <c r="X291" s="292"/>
      <c r="Y291" s="292"/>
      <c r="Z291" s="292"/>
    </row>
    <row r="292" spans="1:26" ht="12.75" customHeight="1" x14ac:dyDescent="0.25">
      <c r="A292" s="292"/>
      <c r="B292" s="292"/>
      <c r="C292" s="292"/>
      <c r="D292" s="292"/>
      <c r="E292" s="292"/>
      <c r="F292" s="292"/>
      <c r="G292" s="292"/>
      <c r="H292" s="292"/>
      <c r="I292" s="292"/>
      <c r="J292" s="292"/>
      <c r="K292" s="292"/>
      <c r="L292" s="292"/>
      <c r="M292" s="292"/>
      <c r="N292" s="292"/>
      <c r="O292" s="292"/>
      <c r="P292" s="292"/>
      <c r="Q292" s="292"/>
      <c r="R292" s="292"/>
      <c r="S292" s="292"/>
      <c r="T292" s="292"/>
      <c r="U292" s="292"/>
      <c r="V292" s="292"/>
      <c r="W292" s="292"/>
      <c r="X292" s="292"/>
      <c r="Y292" s="292"/>
      <c r="Z292" s="292"/>
    </row>
    <row r="293" spans="1:26" ht="12.75" customHeight="1" x14ac:dyDescent="0.25">
      <c r="A293" s="292"/>
      <c r="B293" s="292"/>
      <c r="C293" s="292"/>
      <c r="D293" s="292"/>
      <c r="E293" s="292"/>
      <c r="F293" s="292"/>
      <c r="G293" s="292"/>
      <c r="H293" s="292"/>
      <c r="I293" s="292"/>
      <c r="J293" s="292"/>
      <c r="K293" s="292"/>
      <c r="L293" s="292"/>
      <c r="M293" s="292"/>
      <c r="N293" s="292"/>
      <c r="O293" s="292"/>
      <c r="P293" s="292"/>
      <c r="Q293" s="292"/>
      <c r="R293" s="292"/>
      <c r="S293" s="292"/>
      <c r="T293" s="292"/>
      <c r="U293" s="292"/>
      <c r="V293" s="292"/>
      <c r="W293" s="292"/>
      <c r="X293" s="292"/>
      <c r="Y293" s="292"/>
      <c r="Z293" s="292"/>
    </row>
    <row r="294" spans="1:26" ht="12.75" customHeight="1" x14ac:dyDescent="0.25">
      <c r="A294" s="292"/>
      <c r="B294" s="292"/>
      <c r="C294" s="292"/>
      <c r="D294" s="292"/>
      <c r="E294" s="292"/>
      <c r="F294" s="292"/>
      <c r="G294" s="292"/>
      <c r="H294" s="292"/>
      <c r="I294" s="292"/>
      <c r="J294" s="292"/>
      <c r="K294" s="292"/>
      <c r="L294" s="292"/>
      <c r="M294" s="292"/>
      <c r="N294" s="292"/>
      <c r="O294" s="292"/>
      <c r="P294" s="292"/>
      <c r="Q294" s="292"/>
      <c r="R294" s="292"/>
      <c r="S294" s="292"/>
      <c r="T294" s="292"/>
      <c r="U294" s="292"/>
      <c r="V294" s="292"/>
      <c r="W294" s="292"/>
      <c r="X294" s="292"/>
      <c r="Y294" s="292"/>
      <c r="Z294" s="292"/>
    </row>
    <row r="295" spans="1:26" ht="12.75" customHeight="1" x14ac:dyDescent="0.25">
      <c r="A295" s="292"/>
      <c r="B295" s="292"/>
      <c r="C295" s="292"/>
      <c r="D295" s="292"/>
      <c r="E295" s="292"/>
      <c r="F295" s="292"/>
      <c r="G295" s="292"/>
      <c r="H295" s="292"/>
      <c r="I295" s="292"/>
      <c r="J295" s="292"/>
      <c r="K295" s="292"/>
      <c r="L295" s="292"/>
      <c r="M295" s="292"/>
      <c r="N295" s="292"/>
      <c r="O295" s="292"/>
      <c r="P295" s="292"/>
      <c r="Q295" s="292"/>
      <c r="R295" s="292"/>
      <c r="S295" s="292"/>
      <c r="T295" s="292"/>
      <c r="U295" s="292"/>
      <c r="V295" s="292"/>
      <c r="W295" s="292"/>
      <c r="X295" s="292"/>
      <c r="Y295" s="292"/>
      <c r="Z295" s="292"/>
    </row>
    <row r="296" spans="1:26" ht="12.75" customHeight="1" x14ac:dyDescent="0.25">
      <c r="A296" s="292"/>
      <c r="B296" s="292"/>
      <c r="C296" s="292"/>
      <c r="D296" s="292"/>
      <c r="E296" s="292"/>
      <c r="F296" s="292"/>
      <c r="G296" s="292"/>
      <c r="H296" s="292"/>
      <c r="I296" s="292"/>
      <c r="J296" s="292"/>
      <c r="K296" s="292"/>
      <c r="L296" s="292"/>
      <c r="M296" s="292"/>
      <c r="N296" s="292"/>
      <c r="O296" s="292"/>
      <c r="P296" s="292"/>
      <c r="Q296" s="292"/>
      <c r="R296" s="292"/>
      <c r="S296" s="292"/>
      <c r="T296" s="292"/>
      <c r="U296" s="292"/>
      <c r="V296" s="292"/>
      <c r="W296" s="292"/>
      <c r="X296" s="292"/>
      <c r="Y296" s="292"/>
      <c r="Z296" s="292"/>
    </row>
    <row r="297" spans="1:26" ht="12.75" customHeight="1" x14ac:dyDescent="0.25">
      <c r="A297" s="292"/>
      <c r="B297" s="292"/>
      <c r="C297" s="292"/>
      <c r="D297" s="292"/>
      <c r="E297" s="292"/>
      <c r="F297" s="292"/>
      <c r="G297" s="292"/>
      <c r="H297" s="292"/>
      <c r="I297" s="292"/>
      <c r="J297" s="292"/>
      <c r="K297" s="292"/>
      <c r="L297" s="292"/>
      <c r="M297" s="292"/>
      <c r="N297" s="292"/>
      <c r="O297" s="292"/>
      <c r="P297" s="292"/>
      <c r="Q297" s="292"/>
      <c r="R297" s="292"/>
      <c r="S297" s="292"/>
      <c r="T297" s="292"/>
      <c r="U297" s="292"/>
      <c r="V297" s="292"/>
      <c r="W297" s="292"/>
      <c r="X297" s="292"/>
      <c r="Y297" s="292"/>
      <c r="Z297" s="292"/>
    </row>
    <row r="298" spans="1:26" ht="12.75" customHeight="1" x14ac:dyDescent="0.25">
      <c r="A298" s="292"/>
      <c r="B298" s="292"/>
      <c r="C298" s="292"/>
      <c r="D298" s="292"/>
      <c r="E298" s="292"/>
      <c r="F298" s="292"/>
      <c r="G298" s="292"/>
      <c r="H298" s="292"/>
      <c r="I298" s="292"/>
      <c r="J298" s="292"/>
      <c r="K298" s="292"/>
      <c r="L298" s="292"/>
      <c r="M298" s="292"/>
      <c r="N298" s="292"/>
      <c r="O298" s="292"/>
      <c r="P298" s="292"/>
      <c r="Q298" s="292"/>
      <c r="R298" s="292"/>
      <c r="S298" s="292"/>
      <c r="T298" s="292"/>
      <c r="U298" s="292"/>
      <c r="V298" s="292"/>
      <c r="W298" s="292"/>
      <c r="X298" s="292"/>
      <c r="Y298" s="292"/>
      <c r="Z298" s="292"/>
    </row>
    <row r="299" spans="1:26" ht="12.75" customHeight="1" x14ac:dyDescent="0.25">
      <c r="A299" s="292"/>
      <c r="B299" s="292"/>
      <c r="C299" s="292"/>
      <c r="D299" s="292"/>
      <c r="E299" s="292"/>
      <c r="F299" s="292"/>
      <c r="G299" s="292"/>
      <c r="H299" s="292"/>
      <c r="I299" s="292"/>
      <c r="J299" s="292"/>
      <c r="K299" s="292"/>
      <c r="L299" s="292"/>
      <c r="M299" s="292"/>
      <c r="N299" s="292"/>
      <c r="O299" s="292"/>
      <c r="P299" s="292"/>
      <c r="Q299" s="292"/>
      <c r="R299" s="292"/>
      <c r="S299" s="292"/>
      <c r="T299" s="292"/>
      <c r="U299" s="292"/>
      <c r="V299" s="292"/>
      <c r="W299" s="292"/>
      <c r="X299" s="292"/>
      <c r="Y299" s="292"/>
      <c r="Z299" s="292"/>
    </row>
    <row r="300" spans="1:26" ht="12.75" customHeight="1" x14ac:dyDescent="0.25">
      <c r="A300" s="292"/>
      <c r="B300" s="292"/>
      <c r="C300" s="292"/>
      <c r="D300" s="292"/>
      <c r="E300" s="292"/>
      <c r="F300" s="292"/>
      <c r="G300" s="292"/>
      <c r="H300" s="292"/>
      <c r="I300" s="292"/>
      <c r="J300" s="292"/>
      <c r="K300" s="292"/>
      <c r="L300" s="292"/>
      <c r="M300" s="292"/>
      <c r="N300" s="292"/>
      <c r="O300" s="292"/>
      <c r="P300" s="292"/>
      <c r="Q300" s="292"/>
      <c r="R300" s="292"/>
      <c r="S300" s="292"/>
      <c r="T300" s="292"/>
      <c r="U300" s="292"/>
      <c r="V300" s="292"/>
      <c r="W300" s="292"/>
      <c r="X300" s="292"/>
      <c r="Y300" s="292"/>
      <c r="Z300" s="292"/>
    </row>
    <row r="301" spans="1:26" ht="12.75" customHeight="1" x14ac:dyDescent="0.25">
      <c r="A301" s="292"/>
      <c r="B301" s="292"/>
      <c r="C301" s="292"/>
      <c r="D301" s="292"/>
      <c r="E301" s="292"/>
      <c r="F301" s="292"/>
      <c r="G301" s="292"/>
      <c r="H301" s="292"/>
      <c r="I301" s="292"/>
      <c r="J301" s="292"/>
      <c r="K301" s="292"/>
      <c r="L301" s="292"/>
      <c r="M301" s="292"/>
      <c r="N301" s="292"/>
      <c r="O301" s="292"/>
      <c r="P301" s="292"/>
      <c r="Q301" s="292"/>
      <c r="R301" s="292"/>
      <c r="S301" s="292"/>
      <c r="T301" s="292"/>
      <c r="U301" s="292"/>
      <c r="V301" s="292"/>
      <c r="W301" s="292"/>
      <c r="X301" s="292"/>
      <c r="Y301" s="292"/>
      <c r="Z301" s="292"/>
    </row>
    <row r="302" spans="1:26" ht="12.75" customHeight="1" x14ac:dyDescent="0.25">
      <c r="A302" s="292"/>
      <c r="B302" s="292"/>
      <c r="C302" s="292"/>
      <c r="D302" s="292"/>
      <c r="E302" s="292"/>
      <c r="F302" s="292"/>
      <c r="G302" s="292"/>
      <c r="H302" s="292"/>
      <c r="I302" s="292"/>
      <c r="J302" s="292"/>
      <c r="K302" s="292"/>
      <c r="L302" s="292"/>
      <c r="M302" s="292"/>
      <c r="N302" s="292"/>
      <c r="O302" s="292"/>
      <c r="P302" s="292"/>
      <c r="Q302" s="292"/>
      <c r="R302" s="292"/>
      <c r="S302" s="292"/>
      <c r="T302" s="292"/>
      <c r="U302" s="292"/>
      <c r="V302" s="292"/>
      <c r="W302" s="292"/>
      <c r="X302" s="292"/>
      <c r="Y302" s="292"/>
      <c r="Z302" s="292"/>
    </row>
    <row r="303" spans="1:26" ht="12.75" customHeight="1" x14ac:dyDescent="0.25">
      <c r="A303" s="292"/>
      <c r="B303" s="292"/>
      <c r="C303" s="292"/>
      <c r="D303" s="292"/>
      <c r="E303" s="292"/>
      <c r="F303" s="292"/>
      <c r="G303" s="292"/>
      <c r="H303" s="292"/>
      <c r="I303" s="292"/>
      <c r="J303" s="292"/>
      <c r="K303" s="292"/>
      <c r="L303" s="292"/>
      <c r="M303" s="292"/>
      <c r="N303" s="292"/>
      <c r="O303" s="292"/>
      <c r="P303" s="292"/>
      <c r="Q303" s="292"/>
      <c r="R303" s="292"/>
      <c r="S303" s="292"/>
      <c r="T303" s="292"/>
      <c r="U303" s="292"/>
      <c r="V303" s="292"/>
      <c r="W303" s="292"/>
      <c r="X303" s="292"/>
      <c r="Y303" s="292"/>
      <c r="Z303" s="292"/>
    </row>
    <row r="304" spans="1:26" ht="12.75" customHeight="1" x14ac:dyDescent="0.25">
      <c r="A304" s="292"/>
      <c r="B304" s="292"/>
      <c r="C304" s="292"/>
      <c r="D304" s="292"/>
      <c r="E304" s="292"/>
      <c r="F304" s="292"/>
      <c r="G304" s="292"/>
      <c r="H304" s="292"/>
      <c r="I304" s="292"/>
      <c r="J304" s="292"/>
      <c r="K304" s="292"/>
      <c r="L304" s="292"/>
      <c r="M304" s="292"/>
      <c r="N304" s="292"/>
      <c r="O304" s="292"/>
      <c r="P304" s="292"/>
      <c r="Q304" s="292"/>
      <c r="R304" s="292"/>
      <c r="S304" s="292"/>
      <c r="T304" s="292"/>
      <c r="U304" s="292"/>
      <c r="V304" s="292"/>
      <c r="W304" s="292"/>
      <c r="X304" s="292"/>
      <c r="Y304" s="292"/>
      <c r="Z304" s="292"/>
    </row>
    <row r="305" spans="1:26" ht="12.75" customHeight="1" x14ac:dyDescent="0.25">
      <c r="A305" s="292"/>
      <c r="B305" s="292"/>
      <c r="C305" s="292"/>
      <c r="D305" s="292"/>
      <c r="E305" s="292"/>
      <c r="F305" s="292"/>
      <c r="G305" s="292"/>
      <c r="H305" s="292"/>
      <c r="I305" s="292"/>
      <c r="J305" s="292"/>
      <c r="K305" s="292"/>
      <c r="L305" s="292"/>
      <c r="M305" s="292"/>
      <c r="N305" s="292"/>
      <c r="O305" s="292"/>
      <c r="P305" s="292"/>
      <c r="Q305" s="292"/>
      <c r="R305" s="292"/>
      <c r="S305" s="292"/>
      <c r="T305" s="292"/>
      <c r="U305" s="292"/>
      <c r="V305" s="292"/>
      <c r="W305" s="292"/>
      <c r="X305" s="292"/>
      <c r="Y305" s="292"/>
      <c r="Z305" s="292"/>
    </row>
    <row r="306" spans="1:26" ht="12.75" customHeight="1" x14ac:dyDescent="0.25">
      <c r="A306" s="292"/>
      <c r="B306" s="292"/>
      <c r="C306" s="292"/>
      <c r="D306" s="292"/>
      <c r="E306" s="292"/>
      <c r="F306" s="292"/>
      <c r="G306" s="292"/>
      <c r="H306" s="292"/>
      <c r="I306" s="292"/>
      <c r="J306" s="292"/>
      <c r="K306" s="292"/>
      <c r="L306" s="292"/>
      <c r="M306" s="292"/>
      <c r="N306" s="292"/>
      <c r="O306" s="292"/>
      <c r="P306" s="292"/>
      <c r="Q306" s="292"/>
      <c r="R306" s="292"/>
      <c r="S306" s="292"/>
      <c r="T306" s="292"/>
      <c r="U306" s="292"/>
      <c r="V306" s="292"/>
      <c r="W306" s="292"/>
      <c r="X306" s="292"/>
      <c r="Y306" s="292"/>
      <c r="Z306" s="292"/>
    </row>
    <row r="307" spans="1:26" ht="12.75" customHeight="1" x14ac:dyDescent="0.25">
      <c r="A307" s="292"/>
      <c r="B307" s="292"/>
      <c r="C307" s="292"/>
      <c r="D307" s="292"/>
      <c r="E307" s="292"/>
      <c r="F307" s="292"/>
      <c r="G307" s="292"/>
      <c r="H307" s="292"/>
      <c r="I307" s="292"/>
      <c r="J307" s="292"/>
      <c r="K307" s="292"/>
      <c r="L307" s="292"/>
      <c r="M307" s="292"/>
      <c r="N307" s="292"/>
      <c r="O307" s="292"/>
      <c r="P307" s="292"/>
      <c r="Q307" s="292"/>
      <c r="R307" s="292"/>
      <c r="S307" s="292"/>
      <c r="T307" s="292"/>
      <c r="U307" s="292"/>
      <c r="V307" s="292"/>
      <c r="W307" s="292"/>
      <c r="X307" s="292"/>
      <c r="Y307" s="292"/>
      <c r="Z307" s="292"/>
    </row>
    <row r="308" spans="1:26" ht="12.75" customHeight="1" x14ac:dyDescent="0.25">
      <c r="A308" s="292"/>
      <c r="B308" s="292"/>
      <c r="C308" s="292"/>
      <c r="D308" s="292"/>
      <c r="E308" s="292"/>
      <c r="F308" s="292"/>
      <c r="G308" s="292"/>
      <c r="H308" s="292"/>
      <c r="I308" s="292"/>
      <c r="J308" s="292"/>
      <c r="K308" s="292"/>
      <c r="L308" s="292"/>
      <c r="M308" s="292"/>
      <c r="N308" s="292"/>
      <c r="O308" s="292"/>
      <c r="P308" s="292"/>
      <c r="Q308" s="292"/>
      <c r="R308" s="292"/>
      <c r="S308" s="292"/>
      <c r="T308" s="292"/>
      <c r="U308" s="292"/>
      <c r="V308" s="292"/>
      <c r="W308" s="292"/>
      <c r="X308" s="292"/>
      <c r="Y308" s="292"/>
      <c r="Z308" s="292"/>
    </row>
    <row r="309" spans="1:26" ht="12.75" customHeight="1" x14ac:dyDescent="0.25">
      <c r="A309" s="292"/>
      <c r="B309" s="292"/>
      <c r="C309" s="292"/>
      <c r="D309" s="292"/>
      <c r="E309" s="292"/>
      <c r="F309" s="292"/>
      <c r="G309" s="292"/>
      <c r="H309" s="292"/>
      <c r="I309" s="292"/>
      <c r="J309" s="292"/>
      <c r="K309" s="292"/>
      <c r="L309" s="292"/>
      <c r="M309" s="292"/>
      <c r="N309" s="292"/>
      <c r="O309" s="292"/>
      <c r="P309" s="292"/>
      <c r="Q309" s="292"/>
      <c r="R309" s="292"/>
      <c r="S309" s="292"/>
      <c r="T309" s="292"/>
      <c r="U309" s="292"/>
      <c r="V309" s="292"/>
      <c r="W309" s="292"/>
      <c r="X309" s="292"/>
      <c r="Y309" s="292"/>
      <c r="Z309" s="292"/>
    </row>
    <row r="310" spans="1:26" ht="12.75" customHeight="1" x14ac:dyDescent="0.25">
      <c r="A310" s="292"/>
      <c r="B310" s="292"/>
      <c r="C310" s="292"/>
      <c r="D310" s="292"/>
      <c r="E310" s="292"/>
      <c r="F310" s="292"/>
      <c r="G310" s="292"/>
      <c r="H310" s="292"/>
      <c r="I310" s="292"/>
      <c r="J310" s="292"/>
      <c r="K310" s="292"/>
      <c r="L310" s="292"/>
      <c r="M310" s="292"/>
      <c r="N310" s="292"/>
      <c r="O310" s="292"/>
      <c r="P310" s="292"/>
      <c r="Q310" s="292"/>
      <c r="R310" s="292"/>
      <c r="S310" s="292"/>
      <c r="T310" s="292"/>
      <c r="U310" s="292"/>
      <c r="V310" s="292"/>
      <c r="W310" s="292"/>
      <c r="X310" s="292"/>
      <c r="Y310" s="292"/>
      <c r="Z310" s="292"/>
    </row>
    <row r="311" spans="1:26" ht="12.75" customHeight="1" x14ac:dyDescent="0.25">
      <c r="A311" s="292"/>
      <c r="B311" s="292"/>
      <c r="C311" s="292"/>
      <c r="D311" s="292"/>
      <c r="E311" s="292"/>
      <c r="F311" s="292"/>
      <c r="G311" s="292"/>
      <c r="H311" s="292"/>
      <c r="I311" s="292"/>
      <c r="J311" s="292"/>
      <c r="K311" s="292"/>
      <c r="L311" s="292"/>
      <c r="M311" s="292"/>
      <c r="N311" s="292"/>
      <c r="O311" s="292"/>
      <c r="P311" s="292"/>
      <c r="Q311" s="292"/>
      <c r="R311" s="292"/>
      <c r="S311" s="292"/>
      <c r="T311" s="292"/>
      <c r="U311" s="292"/>
      <c r="V311" s="292"/>
      <c r="W311" s="292"/>
      <c r="X311" s="292"/>
      <c r="Y311" s="292"/>
      <c r="Z311" s="292"/>
    </row>
    <row r="312" spans="1:26" ht="12.75" customHeight="1" x14ac:dyDescent="0.25">
      <c r="A312" s="292"/>
      <c r="B312" s="292"/>
      <c r="C312" s="292"/>
      <c r="D312" s="292"/>
      <c r="E312" s="292"/>
      <c r="F312" s="292"/>
      <c r="G312" s="292"/>
      <c r="H312" s="292"/>
      <c r="I312" s="292"/>
      <c r="J312" s="292"/>
      <c r="K312" s="292"/>
      <c r="L312" s="292"/>
      <c r="M312" s="292"/>
      <c r="N312" s="292"/>
      <c r="O312" s="292"/>
      <c r="P312" s="292"/>
      <c r="Q312" s="292"/>
      <c r="R312" s="292"/>
      <c r="S312" s="292"/>
      <c r="T312" s="292"/>
      <c r="U312" s="292"/>
      <c r="V312" s="292"/>
      <c r="W312" s="292"/>
      <c r="X312" s="292"/>
      <c r="Y312" s="292"/>
      <c r="Z312" s="292"/>
    </row>
    <row r="313" spans="1:26" ht="12.75" customHeight="1" x14ac:dyDescent="0.25">
      <c r="A313" s="292"/>
      <c r="B313" s="292"/>
      <c r="C313" s="292"/>
      <c r="D313" s="292"/>
      <c r="E313" s="292"/>
      <c r="F313" s="292"/>
      <c r="G313" s="292"/>
      <c r="H313" s="292"/>
      <c r="I313" s="292"/>
      <c r="J313" s="292"/>
      <c r="K313" s="292"/>
      <c r="L313" s="292"/>
      <c r="M313" s="292"/>
      <c r="N313" s="292"/>
      <c r="O313" s="292"/>
      <c r="P313" s="292"/>
      <c r="Q313" s="292"/>
      <c r="R313" s="292"/>
      <c r="S313" s="292"/>
      <c r="T313" s="292"/>
      <c r="U313" s="292"/>
      <c r="V313" s="292"/>
      <c r="W313" s="292"/>
      <c r="X313" s="292"/>
      <c r="Y313" s="292"/>
      <c r="Z313" s="292"/>
    </row>
    <row r="314" spans="1:26" ht="12.75" customHeight="1" x14ac:dyDescent="0.25">
      <c r="A314" s="292"/>
      <c r="B314" s="292"/>
      <c r="C314" s="292"/>
      <c r="D314" s="292"/>
      <c r="E314" s="292"/>
      <c r="F314" s="292"/>
      <c r="G314" s="292"/>
      <c r="H314" s="292"/>
      <c r="I314" s="292"/>
      <c r="J314" s="292"/>
      <c r="K314" s="292"/>
      <c r="L314" s="292"/>
      <c r="M314" s="292"/>
      <c r="N314" s="292"/>
      <c r="O314" s="292"/>
      <c r="P314" s="292"/>
      <c r="Q314" s="292"/>
      <c r="R314" s="292"/>
      <c r="S314" s="292"/>
      <c r="T314" s="292"/>
      <c r="U314" s="292"/>
      <c r="V314" s="292"/>
      <c r="W314" s="292"/>
      <c r="X314" s="292"/>
      <c r="Y314" s="292"/>
      <c r="Z314" s="292"/>
    </row>
    <row r="315" spans="1:26" ht="12.75" customHeight="1" x14ac:dyDescent="0.25">
      <c r="A315" s="292"/>
      <c r="B315" s="292"/>
      <c r="C315" s="292"/>
      <c r="D315" s="292"/>
      <c r="E315" s="292"/>
      <c r="F315" s="292"/>
      <c r="G315" s="292"/>
      <c r="H315" s="292"/>
      <c r="I315" s="292"/>
      <c r="J315" s="292"/>
      <c r="K315" s="292"/>
      <c r="L315" s="292"/>
      <c r="M315" s="292"/>
      <c r="N315" s="292"/>
      <c r="O315" s="292"/>
      <c r="P315" s="292"/>
      <c r="Q315" s="292"/>
      <c r="R315" s="292"/>
      <c r="S315" s="292"/>
      <c r="T315" s="292"/>
      <c r="U315" s="292"/>
      <c r="V315" s="292"/>
      <c r="W315" s="292"/>
      <c r="X315" s="292"/>
      <c r="Y315" s="292"/>
      <c r="Z315" s="292"/>
    </row>
    <row r="316" spans="1:26" ht="12.75" customHeight="1" x14ac:dyDescent="0.25">
      <c r="A316" s="292"/>
      <c r="B316" s="292"/>
      <c r="C316" s="292"/>
      <c r="D316" s="292"/>
      <c r="E316" s="292"/>
      <c r="F316" s="292"/>
      <c r="G316" s="292"/>
      <c r="H316" s="292"/>
      <c r="I316" s="292"/>
      <c r="J316" s="292"/>
      <c r="K316" s="292"/>
      <c r="L316" s="292"/>
      <c r="M316" s="292"/>
      <c r="N316" s="292"/>
      <c r="O316" s="292"/>
      <c r="P316" s="292"/>
      <c r="Q316" s="292"/>
      <c r="R316" s="292"/>
      <c r="S316" s="292"/>
      <c r="T316" s="292"/>
      <c r="U316" s="292"/>
      <c r="V316" s="292"/>
      <c r="W316" s="292"/>
      <c r="X316" s="292"/>
      <c r="Y316" s="292"/>
      <c r="Z316" s="292"/>
    </row>
    <row r="317" spans="1:26" ht="12.75" customHeight="1" x14ac:dyDescent="0.25">
      <c r="A317" s="292"/>
      <c r="B317" s="292"/>
      <c r="C317" s="292"/>
      <c r="D317" s="292"/>
      <c r="E317" s="292"/>
      <c r="F317" s="292"/>
      <c r="G317" s="292"/>
      <c r="H317" s="292"/>
      <c r="I317" s="292"/>
      <c r="J317" s="292"/>
      <c r="K317" s="292"/>
      <c r="L317" s="292"/>
      <c r="M317" s="292"/>
      <c r="N317" s="292"/>
      <c r="O317" s="292"/>
      <c r="P317" s="292"/>
      <c r="Q317" s="292"/>
      <c r="R317" s="292"/>
      <c r="S317" s="292"/>
      <c r="T317" s="292"/>
      <c r="U317" s="292"/>
      <c r="V317" s="292"/>
      <c r="W317" s="292"/>
      <c r="X317" s="292"/>
      <c r="Y317" s="292"/>
      <c r="Z317" s="292"/>
    </row>
    <row r="318" spans="1:26" ht="12.75" customHeight="1" x14ac:dyDescent="0.25">
      <c r="A318" s="292"/>
      <c r="B318" s="292"/>
      <c r="C318" s="292"/>
      <c r="D318" s="292"/>
      <c r="E318" s="292"/>
      <c r="F318" s="292"/>
      <c r="G318" s="292"/>
      <c r="H318" s="292"/>
      <c r="I318" s="292"/>
      <c r="J318" s="292"/>
      <c r="K318" s="292"/>
      <c r="L318" s="292"/>
      <c r="M318" s="292"/>
      <c r="N318" s="292"/>
      <c r="O318" s="292"/>
      <c r="P318" s="292"/>
      <c r="Q318" s="292"/>
      <c r="R318" s="292"/>
      <c r="S318" s="292"/>
      <c r="T318" s="292"/>
      <c r="U318" s="292"/>
      <c r="V318" s="292"/>
      <c r="W318" s="292"/>
      <c r="X318" s="292"/>
      <c r="Y318" s="292"/>
      <c r="Z318" s="292"/>
    </row>
    <row r="319" spans="1:26" ht="12.75" customHeight="1" x14ac:dyDescent="0.25">
      <c r="A319" s="292"/>
      <c r="B319" s="292"/>
      <c r="C319" s="292"/>
      <c r="D319" s="292"/>
      <c r="E319" s="292"/>
      <c r="F319" s="292"/>
      <c r="G319" s="292"/>
      <c r="H319" s="292"/>
      <c r="I319" s="292"/>
      <c r="J319" s="292"/>
      <c r="K319" s="292"/>
      <c r="L319" s="292"/>
      <c r="M319" s="292"/>
      <c r="N319" s="292"/>
      <c r="O319" s="292"/>
      <c r="P319" s="292"/>
      <c r="Q319" s="292"/>
      <c r="R319" s="292"/>
      <c r="S319" s="292"/>
      <c r="T319" s="292"/>
      <c r="U319" s="292"/>
      <c r="V319" s="292"/>
      <c r="W319" s="292"/>
      <c r="X319" s="292"/>
      <c r="Y319" s="292"/>
      <c r="Z319" s="292"/>
    </row>
    <row r="320" spans="1:26" ht="12.75" customHeight="1" x14ac:dyDescent="0.25">
      <c r="A320" s="292"/>
      <c r="B320" s="292"/>
      <c r="C320" s="292"/>
      <c r="D320" s="292"/>
      <c r="E320" s="292"/>
      <c r="F320" s="292"/>
      <c r="G320" s="292"/>
      <c r="H320" s="292"/>
      <c r="I320" s="292"/>
      <c r="J320" s="292"/>
      <c r="K320" s="292"/>
      <c r="L320" s="292"/>
      <c r="M320" s="292"/>
      <c r="N320" s="292"/>
      <c r="O320" s="292"/>
      <c r="P320" s="292"/>
      <c r="Q320" s="292"/>
      <c r="R320" s="292"/>
      <c r="S320" s="292"/>
      <c r="T320" s="292"/>
      <c r="U320" s="292"/>
      <c r="V320" s="292"/>
      <c r="W320" s="292"/>
      <c r="X320" s="292"/>
      <c r="Y320" s="292"/>
      <c r="Z320" s="292"/>
    </row>
    <row r="321" spans="1:26" ht="12.75" customHeight="1" x14ac:dyDescent="0.25">
      <c r="A321" s="292"/>
      <c r="B321" s="292"/>
      <c r="C321" s="292"/>
      <c r="D321" s="292"/>
      <c r="E321" s="292"/>
      <c r="F321" s="292"/>
      <c r="G321" s="292"/>
      <c r="H321" s="292"/>
      <c r="I321" s="292"/>
      <c r="J321" s="292"/>
      <c r="K321" s="292"/>
      <c r="L321" s="292"/>
      <c r="M321" s="292"/>
      <c r="N321" s="292"/>
      <c r="O321" s="292"/>
      <c r="P321" s="292"/>
      <c r="Q321" s="292"/>
      <c r="R321" s="292"/>
      <c r="S321" s="292"/>
      <c r="T321" s="292"/>
      <c r="U321" s="292"/>
      <c r="V321" s="292"/>
      <c r="W321" s="292"/>
      <c r="X321" s="292"/>
      <c r="Y321" s="292"/>
      <c r="Z321" s="292"/>
    </row>
    <row r="322" spans="1:26" ht="12.75" customHeight="1" x14ac:dyDescent="0.25">
      <c r="A322" s="292"/>
      <c r="B322" s="292"/>
      <c r="C322" s="292"/>
      <c r="D322" s="292"/>
      <c r="E322" s="292"/>
      <c r="F322" s="292"/>
      <c r="G322" s="292"/>
      <c r="H322" s="292"/>
      <c r="I322" s="292"/>
      <c r="J322" s="292"/>
      <c r="K322" s="292"/>
      <c r="L322" s="292"/>
      <c r="M322" s="292"/>
      <c r="N322" s="292"/>
      <c r="O322" s="292"/>
      <c r="P322" s="292"/>
      <c r="Q322" s="292"/>
      <c r="R322" s="292"/>
      <c r="S322" s="292"/>
      <c r="T322" s="292"/>
      <c r="U322" s="292"/>
      <c r="V322" s="292"/>
      <c r="W322" s="292"/>
      <c r="X322" s="292"/>
      <c r="Y322" s="292"/>
      <c r="Z322" s="292"/>
    </row>
    <row r="323" spans="1:26" ht="12.75" customHeight="1" x14ac:dyDescent="0.25">
      <c r="A323" s="292"/>
      <c r="B323" s="292"/>
      <c r="C323" s="292"/>
      <c r="D323" s="292"/>
      <c r="E323" s="292"/>
      <c r="F323" s="292"/>
      <c r="G323" s="292"/>
      <c r="H323" s="292"/>
      <c r="I323" s="292"/>
      <c r="J323" s="292"/>
      <c r="K323" s="292"/>
      <c r="L323" s="292"/>
      <c r="M323" s="292"/>
      <c r="N323" s="292"/>
      <c r="O323" s="292"/>
      <c r="P323" s="292"/>
      <c r="Q323" s="292"/>
      <c r="R323" s="292"/>
      <c r="S323" s="292"/>
      <c r="T323" s="292"/>
      <c r="U323" s="292"/>
      <c r="V323" s="292"/>
      <c r="W323" s="292"/>
      <c r="X323" s="292"/>
      <c r="Y323" s="292"/>
      <c r="Z323" s="292"/>
    </row>
    <row r="324" spans="1:26" ht="12.75" customHeight="1" x14ac:dyDescent="0.25">
      <c r="A324" s="292"/>
      <c r="B324" s="292"/>
      <c r="C324" s="292"/>
      <c r="D324" s="292"/>
      <c r="E324" s="292"/>
      <c r="F324" s="292"/>
      <c r="G324" s="292"/>
      <c r="H324" s="292"/>
      <c r="I324" s="292"/>
      <c r="J324" s="292"/>
      <c r="K324" s="292"/>
      <c r="L324" s="292"/>
      <c r="M324" s="292"/>
      <c r="N324" s="292"/>
      <c r="O324" s="292"/>
      <c r="P324" s="292"/>
      <c r="Q324" s="292"/>
      <c r="R324" s="292"/>
      <c r="S324" s="292"/>
      <c r="T324" s="292"/>
      <c r="U324" s="292"/>
      <c r="V324" s="292"/>
      <c r="W324" s="292"/>
      <c r="X324" s="292"/>
      <c r="Y324" s="292"/>
      <c r="Z324" s="292"/>
    </row>
    <row r="325" spans="1:26" ht="12.75" customHeight="1" x14ac:dyDescent="0.25">
      <c r="A325" s="292"/>
      <c r="B325" s="292"/>
      <c r="C325" s="292"/>
      <c r="D325" s="292"/>
      <c r="E325" s="292"/>
      <c r="F325" s="292"/>
      <c r="G325" s="292"/>
      <c r="H325" s="292"/>
      <c r="I325" s="292"/>
      <c r="J325" s="292"/>
      <c r="K325" s="292"/>
      <c r="L325" s="292"/>
      <c r="M325" s="292"/>
      <c r="N325" s="292"/>
      <c r="O325" s="292"/>
      <c r="P325" s="292"/>
      <c r="Q325" s="292"/>
      <c r="R325" s="292"/>
      <c r="S325" s="292"/>
      <c r="T325" s="292"/>
      <c r="U325" s="292"/>
      <c r="V325" s="292"/>
      <c r="W325" s="292"/>
      <c r="X325" s="292"/>
      <c r="Y325" s="292"/>
      <c r="Z325" s="292"/>
    </row>
    <row r="326" spans="1:26" ht="12.75" customHeight="1" x14ac:dyDescent="0.25">
      <c r="A326" s="292"/>
      <c r="B326" s="292"/>
      <c r="C326" s="292"/>
      <c r="D326" s="292"/>
      <c r="E326" s="292"/>
      <c r="F326" s="292"/>
      <c r="G326" s="292"/>
      <c r="H326" s="292"/>
      <c r="I326" s="292"/>
      <c r="J326" s="292"/>
      <c r="K326" s="292"/>
      <c r="L326" s="292"/>
      <c r="M326" s="292"/>
      <c r="N326" s="292"/>
      <c r="O326" s="292"/>
      <c r="P326" s="292"/>
      <c r="Q326" s="292"/>
      <c r="R326" s="292"/>
      <c r="S326" s="292"/>
      <c r="T326" s="292"/>
      <c r="U326" s="292"/>
      <c r="V326" s="292"/>
      <c r="W326" s="292"/>
      <c r="X326" s="292"/>
      <c r="Y326" s="292"/>
      <c r="Z326" s="292"/>
    </row>
    <row r="327" spans="1:26" ht="12.75" customHeight="1" x14ac:dyDescent="0.25">
      <c r="A327" s="292"/>
      <c r="B327" s="292"/>
      <c r="C327" s="292"/>
      <c r="D327" s="292"/>
      <c r="E327" s="292"/>
      <c r="F327" s="292"/>
      <c r="G327" s="292"/>
      <c r="H327" s="292"/>
      <c r="I327" s="292"/>
      <c r="J327" s="292"/>
      <c r="K327" s="292"/>
      <c r="L327" s="292"/>
      <c r="M327" s="292"/>
      <c r="N327" s="292"/>
      <c r="O327" s="292"/>
      <c r="P327" s="292"/>
      <c r="Q327" s="292"/>
      <c r="R327" s="292"/>
      <c r="S327" s="292"/>
      <c r="T327" s="292"/>
      <c r="U327" s="292"/>
      <c r="V327" s="292"/>
      <c r="W327" s="292"/>
      <c r="X327" s="292"/>
      <c r="Y327" s="292"/>
      <c r="Z327" s="292"/>
    </row>
    <row r="328" spans="1:26" ht="12.75" customHeight="1" x14ac:dyDescent="0.25">
      <c r="A328" s="292"/>
      <c r="B328" s="292"/>
      <c r="C328" s="292"/>
      <c r="D328" s="292"/>
      <c r="E328" s="292"/>
      <c r="F328" s="292"/>
      <c r="G328" s="292"/>
      <c r="H328" s="292"/>
      <c r="I328" s="292"/>
      <c r="J328" s="292"/>
      <c r="K328" s="292"/>
      <c r="L328" s="292"/>
      <c r="M328" s="292"/>
      <c r="N328" s="292"/>
      <c r="O328" s="292"/>
      <c r="P328" s="292"/>
      <c r="Q328" s="292"/>
      <c r="R328" s="292"/>
      <c r="S328" s="292"/>
      <c r="T328" s="292"/>
      <c r="U328" s="292"/>
      <c r="V328" s="292"/>
      <c r="W328" s="292"/>
      <c r="X328" s="292"/>
      <c r="Y328" s="292"/>
      <c r="Z328" s="292"/>
    </row>
    <row r="329" spans="1:26" ht="12.75" customHeight="1" x14ac:dyDescent="0.25">
      <c r="A329" s="292"/>
      <c r="B329" s="292"/>
      <c r="C329" s="292"/>
      <c r="D329" s="292"/>
      <c r="E329" s="292"/>
      <c r="F329" s="292"/>
      <c r="G329" s="292"/>
      <c r="H329" s="292"/>
      <c r="I329" s="292"/>
      <c r="J329" s="292"/>
      <c r="K329" s="292"/>
      <c r="L329" s="292"/>
      <c r="M329" s="292"/>
      <c r="N329" s="292"/>
      <c r="O329" s="292"/>
      <c r="P329" s="292"/>
      <c r="Q329" s="292"/>
      <c r="R329" s="292"/>
      <c r="S329" s="292"/>
      <c r="T329" s="292"/>
      <c r="U329" s="292"/>
      <c r="V329" s="292"/>
      <c r="W329" s="292"/>
      <c r="X329" s="292"/>
      <c r="Y329" s="292"/>
      <c r="Z329" s="292"/>
    </row>
    <row r="330" spans="1:26" ht="12.75" customHeight="1" x14ac:dyDescent="0.25">
      <c r="A330" s="292"/>
      <c r="B330" s="292"/>
      <c r="C330" s="292"/>
      <c r="D330" s="292"/>
      <c r="E330" s="292"/>
      <c r="F330" s="292"/>
      <c r="G330" s="292"/>
      <c r="H330" s="292"/>
      <c r="I330" s="292"/>
      <c r="J330" s="292"/>
      <c r="K330" s="292"/>
      <c r="L330" s="292"/>
      <c r="M330" s="292"/>
      <c r="N330" s="292"/>
      <c r="O330" s="292"/>
      <c r="P330" s="292"/>
      <c r="Q330" s="292"/>
      <c r="R330" s="292"/>
      <c r="S330" s="292"/>
      <c r="T330" s="292"/>
      <c r="U330" s="292"/>
      <c r="V330" s="292"/>
      <c r="W330" s="292"/>
      <c r="X330" s="292"/>
      <c r="Y330" s="292"/>
      <c r="Z330" s="292"/>
    </row>
    <row r="331" spans="1:26" ht="12.75" customHeight="1" x14ac:dyDescent="0.25">
      <c r="A331" s="292"/>
      <c r="B331" s="292"/>
      <c r="C331" s="292"/>
      <c r="D331" s="292"/>
      <c r="E331" s="292"/>
      <c r="F331" s="292"/>
      <c r="G331" s="292"/>
      <c r="H331" s="292"/>
      <c r="I331" s="292"/>
      <c r="J331" s="292"/>
      <c r="K331" s="292"/>
      <c r="L331" s="292"/>
      <c r="M331" s="292"/>
      <c r="N331" s="292"/>
      <c r="O331" s="292"/>
      <c r="P331" s="292"/>
      <c r="Q331" s="292"/>
      <c r="R331" s="292"/>
      <c r="S331" s="292"/>
      <c r="T331" s="292"/>
      <c r="U331" s="292"/>
      <c r="V331" s="292"/>
      <c r="W331" s="292"/>
      <c r="X331" s="292"/>
      <c r="Y331" s="292"/>
      <c r="Z331" s="292"/>
    </row>
    <row r="332" spans="1:26" ht="12.75" customHeight="1" x14ac:dyDescent="0.25">
      <c r="A332" s="292"/>
      <c r="B332" s="292"/>
      <c r="C332" s="292"/>
      <c r="D332" s="292"/>
      <c r="E332" s="292"/>
      <c r="F332" s="292"/>
      <c r="G332" s="292"/>
      <c r="H332" s="292"/>
      <c r="I332" s="292"/>
      <c r="J332" s="292"/>
      <c r="K332" s="292"/>
      <c r="L332" s="292"/>
      <c r="M332" s="292"/>
      <c r="N332" s="292"/>
      <c r="O332" s="292"/>
      <c r="P332" s="292"/>
      <c r="Q332" s="292"/>
      <c r="R332" s="292"/>
      <c r="S332" s="292"/>
      <c r="T332" s="292"/>
      <c r="U332" s="292"/>
      <c r="V332" s="292"/>
      <c r="W332" s="292"/>
      <c r="X332" s="292"/>
      <c r="Y332" s="292"/>
      <c r="Z332" s="292"/>
    </row>
    <row r="333" spans="1:26" ht="12.75" customHeight="1" x14ac:dyDescent="0.25">
      <c r="A333" s="292"/>
      <c r="B333" s="292"/>
      <c r="C333" s="292"/>
      <c r="D333" s="292"/>
      <c r="E333" s="292"/>
      <c r="F333" s="292"/>
      <c r="G333" s="292"/>
      <c r="H333" s="292"/>
      <c r="I333" s="292"/>
      <c r="J333" s="292"/>
      <c r="K333" s="292"/>
      <c r="L333" s="292"/>
      <c r="M333" s="292"/>
      <c r="N333" s="292"/>
      <c r="O333" s="292"/>
      <c r="P333" s="292"/>
      <c r="Q333" s="292"/>
      <c r="R333" s="292"/>
      <c r="S333" s="292"/>
      <c r="T333" s="292"/>
      <c r="U333" s="292"/>
      <c r="V333" s="292"/>
      <c r="W333" s="292"/>
      <c r="X333" s="292"/>
      <c r="Y333" s="292"/>
      <c r="Z333" s="292"/>
    </row>
    <row r="334" spans="1:26" ht="12.75" customHeight="1" x14ac:dyDescent="0.25">
      <c r="A334" s="292"/>
      <c r="B334" s="292"/>
      <c r="C334" s="292"/>
      <c r="D334" s="292"/>
      <c r="E334" s="292"/>
      <c r="F334" s="292"/>
      <c r="G334" s="292"/>
      <c r="H334" s="292"/>
      <c r="I334" s="292"/>
      <c r="J334" s="292"/>
      <c r="K334" s="292"/>
      <c r="L334" s="292"/>
      <c r="M334" s="292"/>
      <c r="N334" s="292"/>
      <c r="O334" s="292"/>
      <c r="P334" s="292"/>
      <c r="Q334" s="292"/>
      <c r="R334" s="292"/>
      <c r="S334" s="292"/>
      <c r="T334" s="292"/>
      <c r="U334" s="292"/>
      <c r="V334" s="292"/>
      <c r="W334" s="292"/>
      <c r="X334" s="292"/>
      <c r="Y334" s="292"/>
      <c r="Z334" s="292"/>
    </row>
    <row r="335" spans="1:26" ht="12.75" customHeight="1" x14ac:dyDescent="0.25">
      <c r="A335" s="292"/>
      <c r="B335" s="292"/>
      <c r="C335" s="292"/>
      <c r="D335" s="292"/>
      <c r="E335" s="292"/>
      <c r="F335" s="292"/>
      <c r="G335" s="292"/>
      <c r="H335" s="292"/>
      <c r="I335" s="292"/>
      <c r="J335" s="292"/>
      <c r="K335" s="292"/>
      <c r="L335" s="292"/>
      <c r="M335" s="292"/>
      <c r="N335" s="292"/>
      <c r="O335" s="292"/>
      <c r="P335" s="292"/>
      <c r="Q335" s="292"/>
      <c r="R335" s="292"/>
      <c r="S335" s="292"/>
      <c r="T335" s="292"/>
      <c r="U335" s="292"/>
      <c r="V335" s="292"/>
      <c r="W335" s="292"/>
      <c r="X335" s="292"/>
      <c r="Y335" s="292"/>
      <c r="Z335" s="292"/>
    </row>
    <row r="336" spans="1:26" ht="12.75" customHeight="1" x14ac:dyDescent="0.25">
      <c r="A336" s="292"/>
      <c r="B336" s="292"/>
      <c r="C336" s="292"/>
      <c r="D336" s="292"/>
      <c r="E336" s="292"/>
      <c r="F336" s="292"/>
      <c r="G336" s="292"/>
      <c r="H336" s="292"/>
      <c r="I336" s="292"/>
      <c r="J336" s="292"/>
      <c r="K336" s="292"/>
      <c r="L336" s="292"/>
      <c r="M336" s="292"/>
      <c r="N336" s="292"/>
      <c r="O336" s="292"/>
      <c r="P336" s="292"/>
      <c r="Q336" s="292"/>
      <c r="R336" s="292"/>
      <c r="S336" s="292"/>
      <c r="T336" s="292"/>
      <c r="U336" s="292"/>
      <c r="V336" s="292"/>
      <c r="W336" s="292"/>
      <c r="X336" s="292"/>
      <c r="Y336" s="292"/>
      <c r="Z336" s="292"/>
    </row>
    <row r="337" spans="1:26" ht="12.75" customHeight="1" x14ac:dyDescent="0.25">
      <c r="A337" s="292"/>
      <c r="B337" s="292"/>
      <c r="C337" s="292"/>
      <c r="D337" s="292"/>
      <c r="E337" s="292"/>
      <c r="F337" s="292"/>
      <c r="G337" s="292"/>
      <c r="H337" s="292"/>
      <c r="I337" s="292"/>
      <c r="J337" s="292"/>
      <c r="K337" s="292"/>
      <c r="L337" s="292"/>
      <c r="M337" s="292"/>
      <c r="N337" s="292"/>
      <c r="O337" s="292"/>
      <c r="P337" s="292"/>
      <c r="Q337" s="292"/>
      <c r="R337" s="292"/>
      <c r="S337" s="292"/>
      <c r="T337" s="292"/>
      <c r="U337" s="292"/>
      <c r="V337" s="292"/>
      <c r="W337" s="292"/>
      <c r="X337" s="292"/>
      <c r="Y337" s="292"/>
      <c r="Z337" s="292"/>
    </row>
    <row r="338" spans="1:26" ht="12.75" customHeight="1" x14ac:dyDescent="0.25">
      <c r="A338" s="292"/>
      <c r="B338" s="292"/>
      <c r="C338" s="292"/>
      <c r="D338" s="292"/>
      <c r="E338" s="292"/>
      <c r="F338" s="292"/>
      <c r="G338" s="292"/>
      <c r="H338" s="292"/>
      <c r="I338" s="292"/>
      <c r="J338" s="292"/>
      <c r="K338" s="292"/>
      <c r="L338" s="292"/>
      <c r="M338" s="292"/>
      <c r="N338" s="292"/>
      <c r="O338" s="292"/>
      <c r="P338" s="292"/>
      <c r="Q338" s="292"/>
      <c r="R338" s="292"/>
      <c r="S338" s="292"/>
      <c r="T338" s="292"/>
      <c r="U338" s="292"/>
      <c r="V338" s="292"/>
      <c r="W338" s="292"/>
      <c r="X338" s="292"/>
      <c r="Y338" s="292"/>
      <c r="Z338" s="292"/>
    </row>
    <row r="339" spans="1:26" ht="12.75" customHeight="1" x14ac:dyDescent="0.25">
      <c r="A339" s="292"/>
      <c r="B339" s="292"/>
      <c r="C339" s="292"/>
      <c r="D339" s="292"/>
      <c r="E339" s="292"/>
      <c r="F339" s="292"/>
      <c r="G339" s="292"/>
      <c r="H339" s="292"/>
      <c r="I339" s="292"/>
      <c r="J339" s="292"/>
      <c r="K339" s="292"/>
      <c r="L339" s="292"/>
      <c r="M339" s="292"/>
      <c r="N339" s="292"/>
      <c r="O339" s="292"/>
      <c r="P339" s="292"/>
      <c r="Q339" s="292"/>
      <c r="R339" s="292"/>
      <c r="S339" s="292"/>
      <c r="T339" s="292"/>
      <c r="U339" s="292"/>
      <c r="V339" s="292"/>
      <c r="W339" s="292"/>
      <c r="X339" s="292"/>
      <c r="Y339" s="292"/>
      <c r="Z339" s="292"/>
    </row>
    <row r="340" spans="1:26" ht="12.75" customHeight="1" x14ac:dyDescent="0.25">
      <c r="A340" s="292"/>
      <c r="B340" s="292"/>
      <c r="C340" s="292"/>
      <c r="D340" s="292"/>
      <c r="E340" s="292"/>
      <c r="F340" s="292"/>
      <c r="G340" s="292"/>
      <c r="H340" s="292"/>
      <c r="I340" s="292"/>
      <c r="J340" s="292"/>
      <c r="K340" s="292"/>
      <c r="L340" s="292"/>
      <c r="M340" s="292"/>
      <c r="N340" s="292"/>
      <c r="O340" s="292"/>
      <c r="P340" s="292"/>
      <c r="Q340" s="292"/>
      <c r="R340" s="292"/>
      <c r="S340" s="292"/>
      <c r="T340" s="292"/>
      <c r="U340" s="292"/>
      <c r="V340" s="292"/>
      <c r="W340" s="292"/>
      <c r="X340" s="292"/>
      <c r="Y340" s="292"/>
      <c r="Z340" s="292"/>
    </row>
    <row r="341" spans="1:26" ht="12.75" customHeight="1" x14ac:dyDescent="0.25">
      <c r="A341" s="292"/>
      <c r="B341" s="292"/>
      <c r="C341" s="292"/>
      <c r="D341" s="292"/>
      <c r="E341" s="292"/>
      <c r="F341" s="292"/>
      <c r="G341" s="292"/>
      <c r="H341" s="292"/>
      <c r="I341" s="292"/>
      <c r="J341" s="292"/>
      <c r="K341" s="292"/>
      <c r="L341" s="292"/>
      <c r="M341" s="292"/>
      <c r="N341" s="292"/>
      <c r="O341" s="292"/>
      <c r="P341" s="292"/>
      <c r="Q341" s="292"/>
      <c r="R341" s="292"/>
      <c r="S341" s="292"/>
      <c r="T341" s="292"/>
      <c r="U341" s="292"/>
      <c r="V341" s="292"/>
      <c r="W341" s="292"/>
      <c r="X341" s="292"/>
      <c r="Y341" s="292"/>
      <c r="Z341" s="292"/>
    </row>
    <row r="342" spans="1:26" ht="12.75" customHeight="1" x14ac:dyDescent="0.25">
      <c r="A342" s="292"/>
      <c r="B342" s="292"/>
      <c r="C342" s="292"/>
      <c r="D342" s="292"/>
      <c r="E342" s="292"/>
      <c r="F342" s="292"/>
      <c r="G342" s="292"/>
      <c r="H342" s="292"/>
      <c r="I342" s="292"/>
      <c r="J342" s="292"/>
      <c r="K342" s="292"/>
      <c r="L342" s="292"/>
      <c r="M342" s="292"/>
      <c r="N342" s="292"/>
      <c r="O342" s="292"/>
      <c r="P342" s="292"/>
      <c r="Q342" s="292"/>
      <c r="R342" s="292"/>
      <c r="S342" s="292"/>
      <c r="T342" s="292"/>
      <c r="U342" s="292"/>
      <c r="V342" s="292"/>
      <c r="W342" s="292"/>
      <c r="X342" s="292"/>
      <c r="Y342" s="292"/>
      <c r="Z342" s="292"/>
    </row>
    <row r="343" spans="1:26" ht="12.75" customHeight="1" x14ac:dyDescent="0.25">
      <c r="A343" s="292"/>
      <c r="B343" s="292"/>
      <c r="C343" s="292"/>
      <c r="D343" s="292"/>
      <c r="E343" s="292"/>
      <c r="F343" s="292"/>
      <c r="G343" s="292"/>
      <c r="H343" s="292"/>
      <c r="I343" s="292"/>
      <c r="J343" s="292"/>
      <c r="K343" s="292"/>
      <c r="L343" s="292"/>
      <c r="M343" s="292"/>
      <c r="N343" s="292"/>
      <c r="O343" s="292"/>
      <c r="P343" s="292"/>
      <c r="Q343" s="292"/>
      <c r="R343" s="292"/>
      <c r="S343" s="292"/>
      <c r="T343" s="292"/>
      <c r="U343" s="292"/>
      <c r="V343" s="292"/>
      <c r="W343" s="292"/>
      <c r="X343" s="292"/>
      <c r="Y343" s="292"/>
      <c r="Z343" s="292"/>
    </row>
    <row r="344" spans="1:26" ht="12.75" customHeight="1" x14ac:dyDescent="0.25">
      <c r="A344" s="292"/>
      <c r="B344" s="292"/>
      <c r="C344" s="292"/>
      <c r="D344" s="292"/>
      <c r="E344" s="292"/>
      <c r="F344" s="292"/>
      <c r="G344" s="292"/>
      <c r="H344" s="292"/>
      <c r="I344" s="292"/>
      <c r="J344" s="292"/>
      <c r="K344" s="292"/>
      <c r="L344" s="292"/>
      <c r="M344" s="292"/>
      <c r="N344" s="292"/>
      <c r="O344" s="292"/>
      <c r="P344" s="292"/>
      <c r="Q344" s="292"/>
      <c r="R344" s="292"/>
      <c r="S344" s="292"/>
      <c r="T344" s="292"/>
      <c r="U344" s="292"/>
      <c r="V344" s="292"/>
      <c r="W344" s="292"/>
      <c r="X344" s="292"/>
      <c r="Y344" s="292"/>
      <c r="Z344" s="292"/>
    </row>
    <row r="345" spans="1:26" ht="12.75" customHeight="1" x14ac:dyDescent="0.25">
      <c r="A345" s="292"/>
      <c r="B345" s="292"/>
      <c r="C345" s="292"/>
      <c r="D345" s="292"/>
      <c r="E345" s="292"/>
      <c r="F345" s="292"/>
      <c r="G345" s="292"/>
      <c r="H345" s="292"/>
      <c r="I345" s="292"/>
      <c r="J345" s="292"/>
      <c r="K345" s="292"/>
      <c r="L345" s="292"/>
      <c r="M345" s="292"/>
      <c r="N345" s="292"/>
      <c r="O345" s="292"/>
      <c r="P345" s="292"/>
      <c r="Q345" s="292"/>
      <c r="R345" s="292"/>
      <c r="S345" s="292"/>
      <c r="T345" s="292"/>
      <c r="U345" s="292"/>
      <c r="V345" s="292"/>
      <c r="W345" s="292"/>
      <c r="X345" s="292"/>
      <c r="Y345" s="292"/>
      <c r="Z345" s="292"/>
    </row>
    <row r="346" spans="1:26" ht="12.75" customHeight="1" x14ac:dyDescent="0.25">
      <c r="A346" s="292"/>
      <c r="B346" s="292"/>
      <c r="C346" s="292"/>
      <c r="D346" s="292"/>
      <c r="E346" s="292"/>
      <c r="F346" s="292"/>
      <c r="G346" s="292"/>
      <c r="H346" s="292"/>
      <c r="I346" s="292"/>
      <c r="J346" s="292"/>
      <c r="K346" s="292"/>
      <c r="L346" s="292"/>
      <c r="M346" s="292"/>
      <c r="N346" s="292"/>
      <c r="O346" s="292"/>
      <c r="P346" s="292"/>
      <c r="Q346" s="292"/>
      <c r="R346" s="292"/>
      <c r="S346" s="292"/>
      <c r="T346" s="292"/>
      <c r="U346" s="292"/>
      <c r="V346" s="292"/>
      <c r="W346" s="292"/>
      <c r="X346" s="292"/>
      <c r="Y346" s="292"/>
      <c r="Z346" s="292"/>
    </row>
    <row r="347" spans="1:26" ht="12.75" customHeight="1" x14ac:dyDescent="0.25">
      <c r="A347" s="292"/>
      <c r="B347" s="292"/>
      <c r="C347" s="292"/>
      <c r="D347" s="292"/>
      <c r="E347" s="292"/>
      <c r="F347" s="292"/>
      <c r="G347" s="292"/>
      <c r="H347" s="292"/>
      <c r="I347" s="292"/>
      <c r="J347" s="292"/>
      <c r="K347" s="292"/>
      <c r="L347" s="292"/>
      <c r="M347" s="292"/>
      <c r="N347" s="292"/>
      <c r="O347" s="292"/>
      <c r="P347" s="292"/>
      <c r="Q347" s="292"/>
      <c r="R347" s="292"/>
      <c r="S347" s="292"/>
      <c r="T347" s="292"/>
      <c r="U347" s="292"/>
      <c r="V347" s="292"/>
      <c r="W347" s="292"/>
      <c r="X347" s="292"/>
      <c r="Y347" s="292"/>
      <c r="Z347" s="292"/>
    </row>
    <row r="348" spans="1:26" ht="12.75" customHeight="1" x14ac:dyDescent="0.25">
      <c r="A348" s="292"/>
      <c r="B348" s="292"/>
      <c r="C348" s="292"/>
      <c r="D348" s="292"/>
      <c r="E348" s="292"/>
      <c r="F348" s="292"/>
      <c r="G348" s="292"/>
      <c r="H348" s="292"/>
      <c r="I348" s="292"/>
      <c r="J348" s="292"/>
      <c r="K348" s="292"/>
      <c r="L348" s="292"/>
      <c r="M348" s="292"/>
      <c r="N348" s="292"/>
      <c r="O348" s="292"/>
      <c r="P348" s="292"/>
      <c r="Q348" s="292"/>
      <c r="R348" s="292"/>
      <c r="S348" s="292"/>
      <c r="T348" s="292"/>
      <c r="U348" s="292"/>
      <c r="V348" s="292"/>
      <c r="W348" s="292"/>
      <c r="X348" s="292"/>
      <c r="Y348" s="292"/>
      <c r="Z348" s="292"/>
    </row>
    <row r="349" spans="1:26" ht="12.75" customHeight="1" x14ac:dyDescent="0.25">
      <c r="A349" s="292"/>
      <c r="B349" s="292"/>
      <c r="C349" s="292"/>
      <c r="D349" s="292"/>
      <c r="E349" s="292"/>
      <c r="F349" s="292"/>
      <c r="G349" s="292"/>
      <c r="H349" s="292"/>
      <c r="I349" s="292"/>
      <c r="J349" s="292"/>
      <c r="K349" s="292"/>
      <c r="L349" s="292"/>
      <c r="M349" s="292"/>
      <c r="N349" s="292"/>
      <c r="O349" s="292"/>
      <c r="P349" s="292"/>
      <c r="Q349" s="292"/>
      <c r="R349" s="292"/>
      <c r="S349" s="292"/>
      <c r="T349" s="292"/>
      <c r="U349" s="292"/>
      <c r="V349" s="292"/>
      <c r="W349" s="292"/>
      <c r="X349" s="292"/>
      <c r="Y349" s="292"/>
      <c r="Z349" s="292"/>
    </row>
    <row r="350" spans="1:26" ht="12.75" customHeight="1" x14ac:dyDescent="0.25">
      <c r="A350" s="292"/>
      <c r="B350" s="292"/>
      <c r="C350" s="292"/>
      <c r="D350" s="292"/>
      <c r="E350" s="292"/>
      <c r="F350" s="292"/>
      <c r="G350" s="292"/>
      <c r="H350" s="292"/>
      <c r="I350" s="292"/>
      <c r="J350" s="292"/>
      <c r="K350" s="292"/>
      <c r="L350" s="292"/>
      <c r="M350" s="292"/>
      <c r="N350" s="292"/>
      <c r="O350" s="292"/>
      <c r="P350" s="292"/>
      <c r="Q350" s="292"/>
      <c r="R350" s="292"/>
      <c r="S350" s="292"/>
      <c r="T350" s="292"/>
      <c r="U350" s="292"/>
      <c r="V350" s="292"/>
      <c r="W350" s="292"/>
      <c r="X350" s="292"/>
      <c r="Y350" s="292"/>
      <c r="Z350" s="292"/>
    </row>
    <row r="351" spans="1:26" ht="12.75" customHeight="1" x14ac:dyDescent="0.25">
      <c r="A351" s="292"/>
      <c r="B351" s="292"/>
      <c r="C351" s="292"/>
      <c r="D351" s="292"/>
      <c r="E351" s="292"/>
      <c r="F351" s="292"/>
      <c r="G351" s="292"/>
      <c r="H351" s="292"/>
      <c r="I351" s="292"/>
      <c r="J351" s="292"/>
      <c r="K351" s="292"/>
      <c r="L351" s="292"/>
      <c r="M351" s="292"/>
      <c r="N351" s="292"/>
      <c r="O351" s="292"/>
      <c r="P351" s="292"/>
      <c r="Q351" s="292"/>
      <c r="R351" s="292"/>
      <c r="S351" s="292"/>
      <c r="T351" s="292"/>
      <c r="U351" s="292"/>
      <c r="V351" s="292"/>
      <c r="W351" s="292"/>
      <c r="X351" s="292"/>
      <c r="Y351" s="292"/>
      <c r="Z351" s="292"/>
    </row>
    <row r="352" spans="1:26" ht="12.75" customHeight="1" x14ac:dyDescent="0.25">
      <c r="A352" s="292"/>
      <c r="B352" s="292"/>
      <c r="C352" s="292"/>
      <c r="D352" s="292"/>
      <c r="E352" s="292"/>
      <c r="F352" s="292"/>
      <c r="G352" s="292"/>
      <c r="H352" s="292"/>
      <c r="I352" s="292"/>
      <c r="J352" s="292"/>
      <c r="K352" s="292"/>
      <c r="L352" s="292"/>
      <c r="M352" s="292"/>
      <c r="N352" s="292"/>
      <c r="O352" s="292"/>
      <c r="P352" s="292"/>
      <c r="Q352" s="292"/>
      <c r="R352" s="292"/>
      <c r="S352" s="292"/>
      <c r="T352" s="292"/>
      <c r="U352" s="292"/>
      <c r="V352" s="292"/>
      <c r="W352" s="292"/>
      <c r="X352" s="292"/>
      <c r="Y352" s="292"/>
      <c r="Z352" s="292"/>
    </row>
    <row r="353" spans="1:26" ht="12.75" customHeight="1" x14ac:dyDescent="0.25">
      <c r="A353" s="292"/>
      <c r="B353" s="292"/>
      <c r="C353" s="292"/>
      <c r="D353" s="292"/>
      <c r="E353" s="292"/>
      <c r="F353" s="292"/>
      <c r="G353" s="292"/>
      <c r="H353" s="292"/>
      <c r="I353" s="292"/>
      <c r="J353" s="292"/>
      <c r="K353" s="292"/>
      <c r="L353" s="292"/>
      <c r="M353" s="292"/>
      <c r="N353" s="292"/>
      <c r="O353" s="292"/>
      <c r="P353" s="292"/>
      <c r="Q353" s="292"/>
      <c r="R353" s="292"/>
      <c r="S353" s="292"/>
      <c r="T353" s="292"/>
      <c r="U353" s="292"/>
      <c r="V353" s="292"/>
      <c r="W353" s="292"/>
      <c r="X353" s="292"/>
      <c r="Y353" s="292"/>
      <c r="Z353" s="292"/>
    </row>
    <row r="354" spans="1:26" ht="12.75" customHeight="1" x14ac:dyDescent="0.25">
      <c r="A354" s="292"/>
      <c r="B354" s="292"/>
      <c r="C354" s="292"/>
      <c r="D354" s="292"/>
      <c r="E354" s="292"/>
      <c r="F354" s="292"/>
      <c r="G354" s="292"/>
      <c r="H354" s="292"/>
      <c r="I354" s="292"/>
      <c r="J354" s="292"/>
      <c r="K354" s="292"/>
      <c r="L354" s="292"/>
      <c r="M354" s="292"/>
      <c r="N354" s="292"/>
      <c r="O354" s="292"/>
      <c r="P354" s="292"/>
      <c r="Q354" s="292"/>
      <c r="R354" s="292"/>
      <c r="S354" s="292"/>
      <c r="T354" s="292"/>
      <c r="U354" s="292"/>
      <c r="V354" s="292"/>
      <c r="W354" s="292"/>
      <c r="X354" s="292"/>
      <c r="Y354" s="292"/>
      <c r="Z354" s="292"/>
    </row>
    <row r="355" spans="1:26" ht="12.75" customHeight="1" x14ac:dyDescent="0.25">
      <c r="A355" s="292"/>
      <c r="B355" s="292"/>
      <c r="C355" s="292"/>
      <c r="D355" s="292"/>
      <c r="E355" s="292"/>
      <c r="F355" s="292"/>
      <c r="G355" s="292"/>
      <c r="H355" s="292"/>
      <c r="I355" s="292"/>
      <c r="J355" s="292"/>
      <c r="K355" s="292"/>
      <c r="L355" s="292"/>
      <c r="M355" s="292"/>
      <c r="N355" s="292"/>
      <c r="O355" s="292"/>
      <c r="P355" s="292"/>
      <c r="Q355" s="292"/>
      <c r="R355" s="292"/>
      <c r="S355" s="292"/>
      <c r="T355" s="292"/>
      <c r="U355" s="292"/>
      <c r="V355" s="292"/>
      <c r="W355" s="292"/>
      <c r="X355" s="292"/>
      <c r="Y355" s="292"/>
      <c r="Z355" s="292"/>
    </row>
    <row r="356" spans="1:26" ht="12.75" customHeight="1" x14ac:dyDescent="0.25">
      <c r="A356" s="292"/>
      <c r="B356" s="292"/>
      <c r="C356" s="292"/>
      <c r="D356" s="292"/>
      <c r="E356" s="292"/>
      <c r="F356" s="292"/>
      <c r="G356" s="292"/>
      <c r="H356" s="292"/>
      <c r="I356" s="292"/>
      <c r="J356" s="292"/>
      <c r="K356" s="292"/>
      <c r="L356" s="292"/>
      <c r="M356" s="292"/>
      <c r="N356" s="292"/>
      <c r="O356" s="292"/>
      <c r="P356" s="292"/>
      <c r="Q356" s="292"/>
      <c r="R356" s="292"/>
      <c r="S356" s="292"/>
      <c r="T356" s="292"/>
      <c r="U356" s="292"/>
      <c r="V356" s="292"/>
      <c r="W356" s="292"/>
      <c r="X356" s="292"/>
      <c r="Y356" s="292"/>
      <c r="Z356" s="292"/>
    </row>
    <row r="357" spans="1:26" ht="12.75" customHeight="1" x14ac:dyDescent="0.25">
      <c r="A357" s="292"/>
      <c r="B357" s="292"/>
      <c r="C357" s="292"/>
      <c r="D357" s="292"/>
      <c r="E357" s="292"/>
      <c r="F357" s="292"/>
      <c r="G357" s="292"/>
      <c r="H357" s="292"/>
      <c r="I357" s="292"/>
      <c r="J357" s="292"/>
      <c r="K357" s="292"/>
      <c r="L357" s="292"/>
      <c r="M357" s="292"/>
      <c r="N357" s="292"/>
      <c r="O357" s="292"/>
      <c r="P357" s="292"/>
      <c r="Q357" s="292"/>
      <c r="R357" s="292"/>
      <c r="S357" s="292"/>
      <c r="T357" s="292"/>
      <c r="U357" s="292"/>
      <c r="V357" s="292"/>
      <c r="W357" s="292"/>
      <c r="X357" s="292"/>
      <c r="Y357" s="292"/>
      <c r="Z357" s="292"/>
    </row>
    <row r="358" spans="1:26" ht="12.75" customHeight="1" x14ac:dyDescent="0.25">
      <c r="A358" s="292"/>
      <c r="B358" s="292"/>
      <c r="C358" s="292"/>
      <c r="D358" s="292"/>
      <c r="E358" s="292"/>
      <c r="F358" s="292"/>
      <c r="G358" s="292"/>
      <c r="H358" s="292"/>
      <c r="I358" s="292"/>
      <c r="J358" s="292"/>
      <c r="K358" s="292"/>
      <c r="L358" s="292"/>
      <c r="M358" s="292"/>
      <c r="N358" s="292"/>
      <c r="O358" s="292"/>
      <c r="P358" s="292"/>
      <c r="Q358" s="292"/>
      <c r="R358" s="292"/>
      <c r="S358" s="292"/>
      <c r="T358" s="292"/>
      <c r="U358" s="292"/>
      <c r="V358" s="292"/>
      <c r="W358" s="292"/>
      <c r="X358" s="292"/>
      <c r="Y358" s="292"/>
      <c r="Z358" s="292"/>
    </row>
    <row r="359" spans="1:26" ht="12.75" customHeight="1" x14ac:dyDescent="0.25">
      <c r="A359" s="292"/>
      <c r="B359" s="292"/>
      <c r="C359" s="292"/>
      <c r="D359" s="292"/>
      <c r="E359" s="292"/>
      <c r="F359" s="292"/>
      <c r="G359" s="292"/>
      <c r="H359" s="292"/>
      <c r="I359" s="292"/>
      <c r="J359" s="292"/>
      <c r="K359" s="292"/>
      <c r="L359" s="292"/>
      <c r="M359" s="292"/>
      <c r="N359" s="292"/>
      <c r="O359" s="292"/>
      <c r="P359" s="292"/>
      <c r="Q359" s="292"/>
      <c r="R359" s="292"/>
      <c r="S359" s="292"/>
      <c r="T359" s="292"/>
      <c r="U359" s="292"/>
      <c r="V359" s="292"/>
      <c r="W359" s="292"/>
      <c r="X359" s="292"/>
      <c r="Y359" s="292"/>
      <c r="Z359" s="292"/>
    </row>
    <row r="360" spans="1:26" ht="12.75" customHeight="1" x14ac:dyDescent="0.25">
      <c r="A360" s="292"/>
      <c r="B360" s="292"/>
      <c r="C360" s="292"/>
      <c r="D360" s="292"/>
      <c r="E360" s="292"/>
      <c r="F360" s="292"/>
      <c r="G360" s="292"/>
      <c r="H360" s="292"/>
      <c r="I360" s="292"/>
      <c r="J360" s="292"/>
      <c r="K360" s="292"/>
      <c r="L360" s="292"/>
      <c r="M360" s="292"/>
      <c r="N360" s="292"/>
      <c r="O360" s="292"/>
      <c r="P360" s="292"/>
      <c r="Q360" s="292"/>
      <c r="R360" s="292"/>
      <c r="S360" s="292"/>
      <c r="T360" s="292"/>
      <c r="U360" s="292"/>
      <c r="V360" s="292"/>
      <c r="W360" s="292"/>
      <c r="X360" s="292"/>
      <c r="Y360" s="292"/>
      <c r="Z360" s="292"/>
    </row>
    <row r="361" spans="1:26" ht="12.75" customHeight="1" x14ac:dyDescent="0.25">
      <c r="A361" s="292"/>
      <c r="B361" s="292"/>
      <c r="C361" s="292"/>
      <c r="D361" s="292"/>
      <c r="E361" s="292"/>
      <c r="F361" s="292"/>
      <c r="G361" s="292"/>
      <c r="H361" s="292"/>
      <c r="I361" s="292"/>
      <c r="J361" s="292"/>
      <c r="K361" s="292"/>
      <c r="L361" s="292"/>
      <c r="M361" s="292"/>
      <c r="N361" s="292"/>
      <c r="O361" s="292"/>
      <c r="P361" s="292"/>
      <c r="Q361" s="292"/>
      <c r="R361" s="292"/>
      <c r="S361" s="292"/>
      <c r="T361" s="292"/>
      <c r="U361" s="292"/>
      <c r="V361" s="292"/>
      <c r="W361" s="292"/>
      <c r="X361" s="292"/>
      <c r="Y361" s="292"/>
      <c r="Z361" s="292"/>
    </row>
    <row r="362" spans="1:26" ht="12.75" customHeight="1" x14ac:dyDescent="0.25">
      <c r="A362" s="292"/>
      <c r="B362" s="292"/>
      <c r="C362" s="292"/>
      <c r="D362" s="292"/>
      <c r="E362" s="292"/>
      <c r="F362" s="292"/>
      <c r="G362" s="292"/>
      <c r="H362" s="292"/>
      <c r="I362" s="292"/>
      <c r="J362" s="292"/>
      <c r="K362" s="292"/>
      <c r="L362" s="292"/>
      <c r="M362" s="292"/>
      <c r="N362" s="292"/>
      <c r="O362" s="292"/>
      <c r="P362" s="292"/>
      <c r="Q362" s="292"/>
      <c r="R362" s="292"/>
      <c r="S362" s="292"/>
      <c r="T362" s="292"/>
      <c r="U362" s="292"/>
      <c r="V362" s="292"/>
      <c r="W362" s="292"/>
      <c r="X362" s="292"/>
      <c r="Y362" s="292"/>
      <c r="Z362" s="292"/>
    </row>
    <row r="363" spans="1:26" ht="12.75" customHeight="1" x14ac:dyDescent="0.25">
      <c r="A363" s="292"/>
      <c r="B363" s="292"/>
      <c r="C363" s="292"/>
      <c r="D363" s="292"/>
      <c r="E363" s="292"/>
      <c r="F363" s="292"/>
      <c r="G363" s="292"/>
      <c r="H363" s="292"/>
      <c r="I363" s="292"/>
      <c r="J363" s="292"/>
      <c r="K363" s="292"/>
      <c r="L363" s="292"/>
      <c r="M363" s="292"/>
      <c r="N363" s="292"/>
      <c r="O363" s="292"/>
      <c r="P363" s="292"/>
      <c r="Q363" s="292"/>
      <c r="R363" s="292"/>
      <c r="S363" s="292"/>
      <c r="T363" s="292"/>
      <c r="U363" s="292"/>
      <c r="V363" s="292"/>
      <c r="W363" s="292"/>
      <c r="X363" s="292"/>
      <c r="Y363" s="292"/>
      <c r="Z363" s="292"/>
    </row>
    <row r="364" spans="1:26" ht="12.75" customHeight="1" x14ac:dyDescent="0.25">
      <c r="A364" s="292"/>
      <c r="B364" s="292"/>
      <c r="C364" s="292"/>
      <c r="D364" s="292"/>
      <c r="E364" s="292"/>
      <c r="F364" s="292"/>
      <c r="G364" s="292"/>
      <c r="H364" s="292"/>
      <c r="I364" s="292"/>
      <c r="J364" s="292"/>
      <c r="K364" s="292"/>
      <c r="L364" s="292"/>
      <c r="M364" s="292"/>
      <c r="N364" s="292"/>
      <c r="O364" s="292"/>
      <c r="P364" s="292"/>
      <c r="Q364" s="292"/>
      <c r="R364" s="292"/>
      <c r="S364" s="292"/>
      <c r="T364" s="292"/>
      <c r="U364" s="292"/>
      <c r="V364" s="292"/>
      <c r="W364" s="292"/>
      <c r="X364" s="292"/>
      <c r="Y364" s="292"/>
      <c r="Z364" s="292"/>
    </row>
    <row r="365" spans="1:26" ht="12.75" customHeight="1" x14ac:dyDescent="0.25">
      <c r="A365" s="292"/>
      <c r="B365" s="292"/>
      <c r="C365" s="292"/>
      <c r="D365" s="292"/>
      <c r="E365" s="292"/>
      <c r="F365" s="292"/>
      <c r="G365" s="292"/>
      <c r="H365" s="292"/>
      <c r="I365" s="292"/>
      <c r="J365" s="292"/>
      <c r="K365" s="292"/>
      <c r="L365" s="292"/>
      <c r="M365" s="292"/>
      <c r="N365" s="292"/>
      <c r="O365" s="292"/>
      <c r="P365" s="292"/>
      <c r="Q365" s="292"/>
      <c r="R365" s="292"/>
      <c r="S365" s="292"/>
      <c r="T365" s="292"/>
      <c r="U365" s="292"/>
      <c r="V365" s="292"/>
      <c r="W365" s="292"/>
      <c r="X365" s="292"/>
      <c r="Y365" s="292"/>
      <c r="Z365" s="292"/>
    </row>
    <row r="366" spans="1:26" ht="12.75" customHeight="1" x14ac:dyDescent="0.25">
      <c r="A366" s="292"/>
      <c r="B366" s="292"/>
      <c r="C366" s="292"/>
      <c r="D366" s="292"/>
      <c r="E366" s="292"/>
      <c r="F366" s="292"/>
      <c r="G366" s="292"/>
      <c r="H366" s="292"/>
      <c r="I366" s="292"/>
      <c r="J366" s="292"/>
      <c r="K366" s="292"/>
      <c r="L366" s="292"/>
      <c r="M366" s="292"/>
      <c r="N366" s="292"/>
      <c r="O366" s="292"/>
      <c r="P366" s="292"/>
      <c r="Q366" s="292"/>
      <c r="R366" s="292"/>
      <c r="S366" s="292"/>
      <c r="T366" s="292"/>
      <c r="U366" s="292"/>
      <c r="V366" s="292"/>
      <c r="W366" s="292"/>
      <c r="X366" s="292"/>
      <c r="Y366" s="292"/>
      <c r="Z366" s="292"/>
    </row>
    <row r="367" spans="1:26" ht="12.75" customHeight="1" x14ac:dyDescent="0.25">
      <c r="A367" s="292"/>
      <c r="B367" s="292"/>
      <c r="C367" s="292"/>
      <c r="D367" s="292"/>
      <c r="E367" s="292"/>
      <c r="F367" s="292"/>
      <c r="G367" s="292"/>
      <c r="H367" s="292"/>
      <c r="I367" s="292"/>
      <c r="J367" s="292"/>
      <c r="K367" s="292"/>
      <c r="L367" s="292"/>
      <c r="M367" s="292"/>
      <c r="N367" s="292"/>
      <c r="O367" s="292"/>
      <c r="P367" s="292"/>
      <c r="Q367" s="292"/>
      <c r="R367" s="292"/>
      <c r="S367" s="292"/>
      <c r="T367" s="292"/>
      <c r="U367" s="292"/>
      <c r="V367" s="292"/>
      <c r="W367" s="292"/>
      <c r="X367" s="292"/>
      <c r="Y367" s="292"/>
      <c r="Z367" s="292"/>
    </row>
    <row r="368" spans="1:26" ht="12.75" customHeight="1" x14ac:dyDescent="0.25">
      <c r="A368" s="292"/>
      <c r="B368" s="292"/>
      <c r="C368" s="292"/>
      <c r="D368" s="292"/>
      <c r="E368" s="292"/>
      <c r="F368" s="292"/>
      <c r="G368" s="292"/>
      <c r="H368" s="292"/>
      <c r="I368" s="292"/>
      <c r="J368" s="292"/>
      <c r="K368" s="292"/>
      <c r="L368" s="292"/>
      <c r="M368" s="292"/>
      <c r="N368" s="292"/>
      <c r="O368" s="292"/>
      <c r="P368" s="292"/>
      <c r="Q368" s="292"/>
      <c r="R368" s="292"/>
      <c r="S368" s="292"/>
      <c r="T368" s="292"/>
      <c r="U368" s="292"/>
      <c r="V368" s="292"/>
      <c r="W368" s="292"/>
      <c r="X368" s="292"/>
      <c r="Y368" s="292"/>
      <c r="Z368" s="292"/>
    </row>
    <row r="369" spans="1:26" ht="12.75" customHeight="1" x14ac:dyDescent="0.25">
      <c r="A369" s="292"/>
      <c r="B369" s="292"/>
      <c r="C369" s="292"/>
      <c r="D369" s="292"/>
      <c r="E369" s="292"/>
      <c r="F369" s="292"/>
      <c r="G369" s="292"/>
      <c r="H369" s="292"/>
      <c r="I369" s="292"/>
      <c r="J369" s="292"/>
      <c r="K369" s="292"/>
      <c r="L369" s="292"/>
      <c r="M369" s="292"/>
      <c r="N369" s="292"/>
      <c r="O369" s="292"/>
      <c r="P369" s="292"/>
      <c r="Q369" s="292"/>
      <c r="R369" s="292"/>
      <c r="S369" s="292"/>
      <c r="T369" s="292"/>
      <c r="U369" s="292"/>
      <c r="V369" s="292"/>
      <c r="W369" s="292"/>
      <c r="X369" s="292"/>
      <c r="Y369" s="292"/>
      <c r="Z369" s="292"/>
    </row>
    <row r="370" spans="1:26" ht="12.75" customHeight="1" x14ac:dyDescent="0.25">
      <c r="A370" s="292"/>
      <c r="B370" s="292"/>
      <c r="C370" s="292"/>
      <c r="D370" s="292"/>
      <c r="E370" s="292"/>
      <c r="F370" s="292"/>
      <c r="G370" s="292"/>
      <c r="H370" s="292"/>
      <c r="I370" s="292"/>
      <c r="J370" s="292"/>
      <c r="K370" s="292"/>
      <c r="L370" s="292"/>
      <c r="M370" s="292"/>
      <c r="N370" s="292"/>
      <c r="O370" s="292"/>
      <c r="P370" s="292"/>
      <c r="Q370" s="292"/>
      <c r="R370" s="292"/>
      <c r="S370" s="292"/>
      <c r="T370" s="292"/>
      <c r="U370" s="292"/>
      <c r="V370" s="292"/>
      <c r="W370" s="292"/>
      <c r="X370" s="292"/>
      <c r="Y370" s="292"/>
      <c r="Z370" s="292"/>
    </row>
    <row r="371" spans="1:26" ht="12.75" customHeight="1" x14ac:dyDescent="0.25">
      <c r="A371" s="292"/>
      <c r="B371" s="292"/>
      <c r="C371" s="292"/>
      <c r="D371" s="292"/>
      <c r="E371" s="292"/>
      <c r="F371" s="292"/>
      <c r="G371" s="292"/>
      <c r="H371" s="292"/>
      <c r="I371" s="292"/>
      <c r="J371" s="292"/>
      <c r="K371" s="292"/>
      <c r="L371" s="292"/>
      <c r="M371" s="292"/>
      <c r="N371" s="292"/>
      <c r="O371" s="292"/>
      <c r="P371" s="292"/>
      <c r="Q371" s="292"/>
      <c r="R371" s="292"/>
      <c r="S371" s="292"/>
      <c r="T371" s="292"/>
      <c r="U371" s="292"/>
      <c r="V371" s="292"/>
      <c r="W371" s="292"/>
      <c r="X371" s="292"/>
      <c r="Y371" s="292"/>
      <c r="Z371" s="292"/>
    </row>
    <row r="372" spans="1:26" ht="12.75" customHeight="1" x14ac:dyDescent="0.25">
      <c r="A372" s="292"/>
      <c r="B372" s="292"/>
      <c r="C372" s="292"/>
      <c r="D372" s="292"/>
      <c r="E372" s="292"/>
      <c r="F372" s="292"/>
      <c r="G372" s="292"/>
      <c r="H372" s="292"/>
      <c r="I372" s="292"/>
      <c r="J372" s="292"/>
      <c r="K372" s="292"/>
      <c r="L372" s="292"/>
      <c r="M372" s="292"/>
      <c r="N372" s="292"/>
      <c r="O372" s="292"/>
      <c r="P372" s="292"/>
      <c r="Q372" s="292"/>
      <c r="R372" s="292"/>
      <c r="S372" s="292"/>
      <c r="T372" s="292"/>
      <c r="U372" s="292"/>
      <c r="V372" s="292"/>
      <c r="W372" s="292"/>
      <c r="X372" s="292"/>
      <c r="Y372" s="292"/>
      <c r="Z372" s="292"/>
    </row>
    <row r="373" spans="1:26" ht="12.75" customHeight="1" x14ac:dyDescent="0.25">
      <c r="A373" s="292"/>
      <c r="B373" s="292"/>
      <c r="C373" s="292"/>
      <c r="D373" s="292"/>
      <c r="E373" s="292"/>
      <c r="F373" s="292"/>
      <c r="G373" s="292"/>
      <c r="H373" s="292"/>
      <c r="I373" s="292"/>
      <c r="J373" s="292"/>
      <c r="K373" s="292"/>
      <c r="L373" s="292"/>
      <c r="M373" s="292"/>
      <c r="N373" s="292"/>
      <c r="O373" s="292"/>
      <c r="P373" s="292"/>
      <c r="Q373" s="292"/>
      <c r="R373" s="292"/>
      <c r="S373" s="292"/>
      <c r="T373" s="292"/>
      <c r="U373" s="292"/>
      <c r="V373" s="292"/>
      <c r="W373" s="292"/>
      <c r="X373" s="292"/>
      <c r="Y373" s="292"/>
      <c r="Z373" s="292"/>
    </row>
    <row r="374" spans="1:26" ht="12.75" customHeight="1" x14ac:dyDescent="0.25">
      <c r="A374" s="292"/>
      <c r="B374" s="292"/>
      <c r="C374" s="292"/>
      <c r="D374" s="292"/>
      <c r="E374" s="292"/>
      <c r="F374" s="292"/>
      <c r="G374" s="292"/>
      <c r="H374" s="292"/>
      <c r="I374" s="292"/>
      <c r="J374" s="292"/>
      <c r="K374" s="292"/>
      <c r="L374" s="292"/>
      <c r="M374" s="292"/>
      <c r="N374" s="292"/>
      <c r="O374" s="292"/>
      <c r="P374" s="292"/>
      <c r="Q374" s="292"/>
      <c r="R374" s="292"/>
      <c r="S374" s="292"/>
      <c r="T374" s="292"/>
      <c r="U374" s="292"/>
      <c r="V374" s="292"/>
      <c r="W374" s="292"/>
      <c r="X374" s="292"/>
      <c r="Y374" s="292"/>
      <c r="Z374" s="292"/>
    </row>
    <row r="375" spans="1:26" ht="12.75" customHeight="1" x14ac:dyDescent="0.25">
      <c r="A375" s="292"/>
      <c r="B375" s="292"/>
      <c r="C375" s="292"/>
      <c r="D375" s="292"/>
      <c r="E375" s="292"/>
      <c r="F375" s="292"/>
      <c r="G375" s="292"/>
      <c r="H375" s="292"/>
      <c r="I375" s="292"/>
      <c r="J375" s="292"/>
      <c r="K375" s="292"/>
      <c r="L375" s="292"/>
      <c r="M375" s="292"/>
      <c r="N375" s="292"/>
      <c r="O375" s="292"/>
      <c r="P375" s="292"/>
      <c r="Q375" s="292"/>
      <c r="R375" s="292"/>
      <c r="S375" s="292"/>
      <c r="T375" s="292"/>
      <c r="U375" s="292"/>
      <c r="V375" s="292"/>
      <c r="W375" s="292"/>
      <c r="X375" s="292"/>
      <c r="Y375" s="292"/>
      <c r="Z375" s="292"/>
    </row>
    <row r="376" spans="1:26" ht="12.75" customHeight="1" x14ac:dyDescent="0.25">
      <c r="A376" s="292"/>
      <c r="B376" s="292"/>
      <c r="C376" s="292"/>
      <c r="D376" s="292"/>
      <c r="E376" s="292"/>
      <c r="F376" s="292"/>
      <c r="G376" s="292"/>
      <c r="H376" s="292"/>
      <c r="I376" s="292"/>
      <c r="J376" s="292"/>
      <c r="K376" s="292"/>
      <c r="L376" s="292"/>
      <c r="M376" s="292"/>
      <c r="N376" s="292"/>
      <c r="O376" s="292"/>
      <c r="P376" s="292"/>
      <c r="Q376" s="292"/>
      <c r="R376" s="292"/>
      <c r="S376" s="292"/>
      <c r="T376" s="292"/>
      <c r="U376" s="292"/>
      <c r="V376" s="292"/>
      <c r="W376" s="292"/>
      <c r="X376" s="292"/>
      <c r="Y376" s="292"/>
      <c r="Z376" s="292"/>
    </row>
    <row r="377" spans="1:26" ht="12.75" customHeight="1" x14ac:dyDescent="0.25">
      <c r="A377" s="292"/>
      <c r="B377" s="292"/>
      <c r="C377" s="292"/>
      <c r="D377" s="292"/>
      <c r="E377" s="292"/>
      <c r="F377" s="292"/>
      <c r="G377" s="292"/>
      <c r="H377" s="292"/>
      <c r="I377" s="292"/>
      <c r="J377" s="292"/>
      <c r="K377" s="292"/>
      <c r="L377" s="292"/>
      <c r="M377" s="292"/>
      <c r="N377" s="292"/>
      <c r="O377" s="292"/>
      <c r="P377" s="292"/>
      <c r="Q377" s="292"/>
      <c r="R377" s="292"/>
      <c r="S377" s="292"/>
      <c r="T377" s="292"/>
      <c r="U377" s="292"/>
      <c r="V377" s="292"/>
      <c r="W377" s="292"/>
      <c r="X377" s="292"/>
      <c r="Y377" s="292"/>
      <c r="Z377" s="292"/>
    </row>
    <row r="378" spans="1:26" ht="12.75" customHeight="1" x14ac:dyDescent="0.25">
      <c r="A378" s="292"/>
      <c r="B378" s="292"/>
      <c r="C378" s="292"/>
      <c r="D378" s="292"/>
      <c r="E378" s="292"/>
      <c r="F378" s="292"/>
      <c r="G378" s="292"/>
      <c r="H378" s="292"/>
      <c r="I378" s="292"/>
      <c r="J378" s="292"/>
      <c r="K378" s="292"/>
      <c r="L378" s="292"/>
      <c r="M378" s="292"/>
      <c r="N378" s="292"/>
      <c r="O378" s="292"/>
      <c r="P378" s="292"/>
      <c r="Q378" s="292"/>
      <c r="R378" s="292"/>
      <c r="S378" s="292"/>
      <c r="T378" s="292"/>
      <c r="U378" s="292"/>
      <c r="V378" s="292"/>
      <c r="W378" s="292"/>
      <c r="X378" s="292"/>
      <c r="Y378" s="292"/>
      <c r="Z378" s="292"/>
    </row>
    <row r="379" spans="1:26" ht="12.75" customHeight="1" x14ac:dyDescent="0.25">
      <c r="A379" s="292"/>
      <c r="B379" s="292"/>
      <c r="C379" s="292"/>
      <c r="D379" s="292"/>
      <c r="E379" s="292"/>
      <c r="F379" s="292"/>
      <c r="G379" s="292"/>
      <c r="H379" s="292"/>
      <c r="I379" s="292"/>
      <c r="J379" s="292"/>
      <c r="K379" s="292"/>
      <c r="L379" s="292"/>
      <c r="M379" s="292"/>
      <c r="N379" s="292"/>
      <c r="O379" s="292"/>
      <c r="P379" s="292"/>
      <c r="Q379" s="292"/>
      <c r="R379" s="292"/>
      <c r="S379" s="292"/>
      <c r="T379" s="292"/>
      <c r="U379" s="292"/>
      <c r="V379" s="292"/>
      <c r="W379" s="292"/>
      <c r="X379" s="292"/>
      <c r="Y379" s="292"/>
      <c r="Z379" s="292"/>
    </row>
    <row r="380" spans="1:26" ht="12.75" customHeight="1" x14ac:dyDescent="0.25">
      <c r="A380" s="292"/>
      <c r="B380" s="292"/>
      <c r="C380" s="292"/>
      <c r="D380" s="292"/>
      <c r="E380" s="292"/>
      <c r="F380" s="292"/>
      <c r="G380" s="292"/>
      <c r="H380" s="292"/>
      <c r="I380" s="292"/>
      <c r="J380" s="292"/>
      <c r="K380" s="292"/>
      <c r="L380" s="292"/>
      <c r="M380" s="292"/>
      <c r="N380" s="292"/>
      <c r="O380" s="292"/>
      <c r="P380" s="292"/>
      <c r="Q380" s="292"/>
      <c r="R380" s="292"/>
      <c r="S380" s="292"/>
      <c r="T380" s="292"/>
      <c r="U380" s="292"/>
      <c r="V380" s="292"/>
      <c r="W380" s="292"/>
      <c r="X380" s="292"/>
      <c r="Y380" s="292"/>
      <c r="Z380" s="292"/>
    </row>
    <row r="381" spans="1:26" ht="12.75" customHeight="1" x14ac:dyDescent="0.25">
      <c r="A381" s="292"/>
      <c r="B381" s="292"/>
      <c r="C381" s="292"/>
      <c r="D381" s="292"/>
      <c r="E381" s="292"/>
      <c r="F381" s="292"/>
      <c r="G381" s="292"/>
      <c r="H381" s="292"/>
      <c r="I381" s="292"/>
      <c r="J381" s="292"/>
      <c r="K381" s="292"/>
      <c r="L381" s="292"/>
      <c r="M381" s="292"/>
      <c r="N381" s="292"/>
      <c r="O381" s="292"/>
      <c r="P381" s="292"/>
      <c r="Q381" s="292"/>
      <c r="R381" s="292"/>
      <c r="S381" s="292"/>
      <c r="T381" s="292"/>
      <c r="U381" s="292"/>
      <c r="V381" s="292"/>
      <c r="W381" s="292"/>
      <c r="X381" s="292"/>
      <c r="Y381" s="292"/>
      <c r="Z381" s="292"/>
    </row>
    <row r="382" spans="1:26" ht="12.75" customHeight="1" x14ac:dyDescent="0.25">
      <c r="A382" s="292"/>
      <c r="B382" s="292"/>
      <c r="C382" s="292"/>
      <c r="D382" s="292"/>
      <c r="E382" s="292"/>
      <c r="F382" s="292"/>
      <c r="G382" s="292"/>
      <c r="H382" s="292"/>
      <c r="I382" s="292"/>
      <c r="J382" s="292"/>
      <c r="K382" s="292"/>
      <c r="L382" s="292"/>
      <c r="M382" s="292"/>
      <c r="N382" s="292"/>
      <c r="O382" s="292"/>
      <c r="P382" s="292"/>
      <c r="Q382" s="292"/>
      <c r="R382" s="292"/>
      <c r="S382" s="292"/>
      <c r="T382" s="292"/>
      <c r="U382" s="292"/>
      <c r="V382" s="292"/>
      <c r="W382" s="292"/>
      <c r="X382" s="292"/>
      <c r="Y382" s="292"/>
      <c r="Z382" s="292"/>
    </row>
    <row r="383" spans="1:26" ht="12.75" customHeight="1" x14ac:dyDescent="0.25">
      <c r="A383" s="292"/>
      <c r="B383" s="292"/>
      <c r="C383" s="292"/>
      <c r="D383" s="292"/>
      <c r="E383" s="292"/>
      <c r="F383" s="292"/>
      <c r="G383" s="292"/>
      <c r="H383" s="292"/>
      <c r="I383" s="292"/>
      <c r="J383" s="292"/>
      <c r="K383" s="292"/>
      <c r="L383" s="292"/>
      <c r="M383" s="292"/>
      <c r="N383" s="292"/>
      <c r="O383" s="292"/>
      <c r="P383" s="292"/>
      <c r="Q383" s="292"/>
      <c r="R383" s="292"/>
      <c r="S383" s="292"/>
      <c r="T383" s="292"/>
      <c r="U383" s="292"/>
      <c r="V383" s="292"/>
      <c r="W383" s="292"/>
      <c r="X383" s="292"/>
      <c r="Y383" s="292"/>
      <c r="Z383" s="292"/>
    </row>
    <row r="384" spans="1:26" ht="12.75" customHeight="1" x14ac:dyDescent="0.25">
      <c r="A384" s="292"/>
      <c r="B384" s="292"/>
      <c r="C384" s="292"/>
      <c r="D384" s="292"/>
      <c r="E384" s="292"/>
      <c r="F384" s="292"/>
      <c r="G384" s="292"/>
      <c r="H384" s="292"/>
      <c r="I384" s="292"/>
      <c r="J384" s="292"/>
      <c r="K384" s="292"/>
      <c r="L384" s="292"/>
      <c r="M384" s="292"/>
      <c r="N384" s="292"/>
      <c r="O384" s="292"/>
      <c r="P384" s="292"/>
      <c r="Q384" s="292"/>
      <c r="R384" s="292"/>
      <c r="S384" s="292"/>
      <c r="T384" s="292"/>
      <c r="U384" s="292"/>
      <c r="V384" s="292"/>
      <c r="W384" s="292"/>
      <c r="X384" s="292"/>
      <c r="Y384" s="292"/>
      <c r="Z384" s="292"/>
    </row>
    <row r="385" spans="1:26" ht="12.75" customHeight="1" x14ac:dyDescent="0.25">
      <c r="A385" s="292"/>
      <c r="B385" s="292"/>
      <c r="C385" s="292"/>
      <c r="D385" s="292"/>
      <c r="E385" s="292"/>
      <c r="F385" s="292"/>
      <c r="G385" s="292"/>
      <c r="H385" s="292"/>
      <c r="I385" s="292"/>
      <c r="J385" s="292"/>
      <c r="K385" s="292"/>
      <c r="L385" s="292"/>
      <c r="M385" s="292"/>
      <c r="N385" s="292"/>
      <c r="O385" s="292"/>
      <c r="P385" s="292"/>
      <c r="Q385" s="292"/>
      <c r="R385" s="292"/>
      <c r="S385" s="292"/>
      <c r="T385" s="292"/>
      <c r="U385" s="292"/>
      <c r="V385" s="292"/>
      <c r="W385" s="292"/>
      <c r="X385" s="292"/>
      <c r="Y385" s="292"/>
      <c r="Z385" s="292"/>
    </row>
    <row r="386" spans="1:26" ht="12.75" customHeight="1" x14ac:dyDescent="0.25">
      <c r="A386" s="292"/>
      <c r="B386" s="292"/>
      <c r="C386" s="292"/>
      <c r="D386" s="292"/>
      <c r="E386" s="292"/>
      <c r="F386" s="292"/>
      <c r="G386" s="292"/>
      <c r="H386" s="292"/>
      <c r="I386" s="292"/>
      <c r="J386" s="292"/>
      <c r="K386" s="292"/>
      <c r="L386" s="292"/>
      <c r="M386" s="292"/>
      <c r="N386" s="292"/>
      <c r="O386" s="292"/>
      <c r="P386" s="292"/>
      <c r="Q386" s="292"/>
      <c r="R386" s="292"/>
      <c r="S386" s="292"/>
      <c r="T386" s="292"/>
      <c r="U386" s="292"/>
      <c r="V386" s="292"/>
      <c r="W386" s="292"/>
      <c r="X386" s="292"/>
      <c r="Y386" s="292"/>
      <c r="Z386" s="292"/>
    </row>
    <row r="387" spans="1:26" ht="12.75" customHeight="1" x14ac:dyDescent="0.25">
      <c r="A387" s="292"/>
      <c r="B387" s="292"/>
      <c r="C387" s="292"/>
      <c r="D387" s="292"/>
      <c r="E387" s="292"/>
      <c r="F387" s="292"/>
      <c r="G387" s="292"/>
      <c r="H387" s="292"/>
      <c r="I387" s="292"/>
      <c r="J387" s="292"/>
      <c r="K387" s="292"/>
      <c r="L387" s="292"/>
      <c r="M387" s="292"/>
      <c r="N387" s="292"/>
      <c r="O387" s="292"/>
      <c r="P387" s="292"/>
      <c r="Q387" s="292"/>
      <c r="R387" s="292"/>
      <c r="S387" s="292"/>
      <c r="T387" s="292"/>
      <c r="U387" s="292"/>
      <c r="V387" s="292"/>
      <c r="W387" s="292"/>
      <c r="X387" s="292"/>
      <c r="Y387" s="292"/>
      <c r="Z387" s="292"/>
    </row>
    <row r="388" spans="1:26" ht="12.75" customHeight="1" x14ac:dyDescent="0.25">
      <c r="A388" s="292"/>
      <c r="B388" s="292"/>
      <c r="C388" s="292"/>
      <c r="D388" s="292"/>
      <c r="E388" s="292"/>
      <c r="F388" s="292"/>
      <c r="G388" s="292"/>
      <c r="H388" s="292"/>
      <c r="I388" s="292"/>
      <c r="J388" s="292"/>
      <c r="K388" s="292"/>
      <c r="L388" s="292"/>
      <c r="M388" s="292"/>
      <c r="N388" s="292"/>
      <c r="O388" s="292"/>
      <c r="P388" s="292"/>
      <c r="Q388" s="292"/>
      <c r="R388" s="292"/>
      <c r="S388" s="292"/>
      <c r="T388" s="292"/>
      <c r="U388" s="292"/>
      <c r="V388" s="292"/>
      <c r="W388" s="292"/>
      <c r="X388" s="292"/>
      <c r="Y388" s="292"/>
      <c r="Z388" s="292"/>
    </row>
    <row r="389" spans="1:26" ht="12.75" customHeight="1" x14ac:dyDescent="0.25">
      <c r="A389" s="292"/>
      <c r="B389" s="292"/>
      <c r="C389" s="292"/>
      <c r="D389" s="292"/>
      <c r="E389" s="292"/>
      <c r="F389" s="292"/>
      <c r="G389" s="292"/>
      <c r="H389" s="292"/>
      <c r="I389" s="292"/>
      <c r="J389" s="292"/>
      <c r="K389" s="292"/>
      <c r="L389" s="292"/>
      <c r="M389" s="292"/>
      <c r="N389" s="292"/>
      <c r="O389" s="292"/>
      <c r="P389" s="292"/>
      <c r="Q389" s="292"/>
      <c r="R389" s="292"/>
      <c r="S389" s="292"/>
      <c r="T389" s="292"/>
      <c r="U389" s="292"/>
      <c r="V389" s="292"/>
      <c r="W389" s="292"/>
      <c r="X389" s="292"/>
      <c r="Y389" s="292"/>
      <c r="Z389" s="292"/>
    </row>
    <row r="390" spans="1:26" ht="12.75" customHeight="1" x14ac:dyDescent="0.25">
      <c r="A390" s="292"/>
      <c r="B390" s="292"/>
      <c r="C390" s="292"/>
      <c r="D390" s="292"/>
      <c r="E390" s="292"/>
      <c r="F390" s="292"/>
      <c r="G390" s="292"/>
      <c r="H390" s="292"/>
      <c r="I390" s="292"/>
      <c r="J390" s="292"/>
      <c r="K390" s="292"/>
      <c r="L390" s="292"/>
      <c r="M390" s="292"/>
      <c r="N390" s="292"/>
      <c r="O390" s="292"/>
      <c r="P390" s="292"/>
      <c r="Q390" s="292"/>
      <c r="R390" s="292"/>
      <c r="S390" s="292"/>
      <c r="T390" s="292"/>
      <c r="U390" s="292"/>
      <c r="V390" s="292"/>
      <c r="W390" s="292"/>
      <c r="X390" s="292"/>
      <c r="Y390" s="292"/>
      <c r="Z390" s="292"/>
    </row>
    <row r="391" spans="1:26" ht="12.75" customHeight="1" x14ac:dyDescent="0.25">
      <c r="A391" s="292"/>
      <c r="B391" s="292"/>
      <c r="C391" s="292"/>
      <c r="D391" s="292"/>
      <c r="E391" s="292"/>
      <c r="F391" s="292"/>
      <c r="G391" s="292"/>
      <c r="H391" s="292"/>
      <c r="I391" s="292"/>
      <c r="J391" s="292"/>
      <c r="K391" s="292"/>
      <c r="L391" s="292"/>
      <c r="M391" s="292"/>
      <c r="N391" s="292"/>
      <c r="O391" s="292"/>
      <c r="P391" s="292"/>
      <c r="Q391" s="292"/>
      <c r="R391" s="292"/>
      <c r="S391" s="292"/>
      <c r="T391" s="292"/>
      <c r="U391" s="292"/>
      <c r="V391" s="292"/>
      <c r="W391" s="292"/>
      <c r="X391" s="292"/>
      <c r="Y391" s="292"/>
      <c r="Z391" s="292"/>
    </row>
    <row r="392" spans="1:26" ht="12.75" customHeight="1" x14ac:dyDescent="0.25">
      <c r="A392" s="292"/>
      <c r="B392" s="292"/>
      <c r="C392" s="292"/>
      <c r="D392" s="292"/>
      <c r="E392" s="292"/>
      <c r="F392" s="292"/>
      <c r="G392" s="292"/>
      <c r="H392" s="292"/>
      <c r="I392" s="292"/>
      <c r="J392" s="292"/>
      <c r="K392" s="292"/>
      <c r="L392" s="292"/>
      <c r="M392" s="292"/>
      <c r="N392" s="292"/>
      <c r="O392" s="292"/>
      <c r="P392" s="292"/>
      <c r="Q392" s="292"/>
      <c r="R392" s="292"/>
      <c r="S392" s="292"/>
      <c r="T392" s="292"/>
      <c r="U392" s="292"/>
      <c r="V392" s="292"/>
      <c r="W392" s="292"/>
      <c r="X392" s="292"/>
      <c r="Y392" s="292"/>
      <c r="Z392" s="292"/>
    </row>
    <row r="393" spans="1:26" ht="12.75" customHeight="1" x14ac:dyDescent="0.25">
      <c r="A393" s="292"/>
      <c r="B393" s="292"/>
      <c r="C393" s="292"/>
      <c r="D393" s="292"/>
      <c r="E393" s="292"/>
      <c r="F393" s="292"/>
      <c r="G393" s="292"/>
      <c r="H393" s="292"/>
      <c r="I393" s="292"/>
      <c r="J393" s="292"/>
      <c r="K393" s="292"/>
      <c r="L393" s="292"/>
      <c r="M393" s="292"/>
      <c r="N393" s="292"/>
      <c r="O393" s="292"/>
      <c r="P393" s="292"/>
      <c r="Q393" s="292"/>
      <c r="R393" s="292"/>
      <c r="S393" s="292"/>
      <c r="T393" s="292"/>
      <c r="U393" s="292"/>
      <c r="V393" s="292"/>
      <c r="W393" s="292"/>
      <c r="X393" s="292"/>
      <c r="Y393" s="292"/>
      <c r="Z393" s="292"/>
    </row>
    <row r="394" spans="1:26" ht="12.75" customHeight="1" x14ac:dyDescent="0.25">
      <c r="A394" s="292"/>
      <c r="B394" s="292"/>
      <c r="C394" s="292"/>
      <c r="D394" s="292"/>
      <c r="E394" s="292"/>
      <c r="F394" s="292"/>
      <c r="G394" s="292"/>
      <c r="H394" s="292"/>
      <c r="I394" s="292"/>
      <c r="J394" s="292"/>
      <c r="K394" s="292"/>
      <c r="L394" s="292"/>
      <c r="M394" s="292"/>
      <c r="N394" s="292"/>
      <c r="O394" s="292"/>
      <c r="P394" s="292"/>
      <c r="Q394" s="292"/>
      <c r="R394" s="292"/>
      <c r="S394" s="292"/>
      <c r="T394" s="292"/>
      <c r="U394" s="292"/>
      <c r="V394" s="292"/>
      <c r="W394" s="292"/>
      <c r="X394" s="292"/>
      <c r="Y394" s="292"/>
      <c r="Z394" s="292"/>
    </row>
    <row r="395" spans="1:26" ht="12.75" customHeight="1" x14ac:dyDescent="0.25">
      <c r="A395" s="292"/>
      <c r="B395" s="292"/>
      <c r="C395" s="292"/>
      <c r="D395" s="292"/>
      <c r="E395" s="292"/>
      <c r="F395" s="292"/>
      <c r="G395" s="292"/>
      <c r="H395" s="292"/>
      <c r="I395" s="292"/>
      <c r="J395" s="292"/>
      <c r="K395" s="292"/>
      <c r="L395" s="292"/>
      <c r="M395" s="292"/>
      <c r="N395" s="292"/>
      <c r="O395" s="292"/>
      <c r="P395" s="292"/>
      <c r="Q395" s="292"/>
      <c r="R395" s="292"/>
      <c r="S395" s="292"/>
      <c r="T395" s="292"/>
      <c r="U395" s="292"/>
      <c r="V395" s="292"/>
      <c r="W395" s="292"/>
      <c r="X395" s="292"/>
      <c r="Y395" s="292"/>
      <c r="Z395" s="292"/>
    </row>
    <row r="396" spans="1:26" ht="12.75" customHeight="1" x14ac:dyDescent="0.25">
      <c r="A396" s="292"/>
      <c r="B396" s="292"/>
      <c r="C396" s="292"/>
      <c r="D396" s="292"/>
      <c r="E396" s="292"/>
      <c r="F396" s="292"/>
      <c r="G396" s="292"/>
      <c r="H396" s="292"/>
      <c r="I396" s="292"/>
      <c r="J396" s="292"/>
      <c r="K396" s="292"/>
      <c r="L396" s="292"/>
      <c r="M396" s="292"/>
      <c r="N396" s="292"/>
      <c r="O396" s="292"/>
      <c r="P396" s="292"/>
      <c r="Q396" s="292"/>
      <c r="R396" s="292"/>
      <c r="S396" s="292"/>
      <c r="T396" s="292"/>
      <c r="U396" s="292"/>
      <c r="V396" s="292"/>
      <c r="W396" s="292"/>
      <c r="X396" s="292"/>
      <c r="Y396" s="292"/>
      <c r="Z396" s="292"/>
    </row>
    <row r="397" spans="1:26" ht="12.75" customHeight="1" x14ac:dyDescent="0.25">
      <c r="A397" s="292"/>
      <c r="B397" s="292"/>
      <c r="C397" s="292"/>
      <c r="D397" s="292"/>
      <c r="E397" s="292"/>
      <c r="F397" s="292"/>
      <c r="G397" s="292"/>
      <c r="H397" s="292"/>
      <c r="I397" s="292"/>
      <c r="J397" s="292"/>
      <c r="K397" s="292"/>
      <c r="L397" s="292"/>
      <c r="M397" s="292"/>
      <c r="N397" s="292"/>
      <c r="O397" s="292"/>
      <c r="P397" s="292"/>
      <c r="Q397" s="292"/>
      <c r="R397" s="292"/>
      <c r="S397" s="292"/>
      <c r="T397" s="292"/>
      <c r="U397" s="292"/>
      <c r="V397" s="292"/>
      <c r="W397" s="292"/>
      <c r="X397" s="292"/>
      <c r="Y397" s="292"/>
      <c r="Z397" s="292"/>
    </row>
    <row r="398" spans="1:26" ht="12.75" customHeight="1" x14ac:dyDescent="0.25">
      <c r="A398" s="292"/>
      <c r="B398" s="292"/>
      <c r="C398" s="292"/>
      <c r="D398" s="292"/>
      <c r="E398" s="292"/>
      <c r="F398" s="292"/>
      <c r="G398" s="292"/>
      <c r="H398" s="292"/>
      <c r="I398" s="292"/>
      <c r="J398" s="292"/>
      <c r="K398" s="292"/>
      <c r="L398" s="292"/>
      <c r="M398" s="292"/>
      <c r="N398" s="292"/>
      <c r="O398" s="292"/>
      <c r="P398" s="292"/>
      <c r="Q398" s="292"/>
      <c r="R398" s="292"/>
      <c r="S398" s="292"/>
      <c r="T398" s="292"/>
      <c r="U398" s="292"/>
      <c r="V398" s="292"/>
      <c r="W398" s="292"/>
      <c r="X398" s="292"/>
      <c r="Y398" s="292"/>
      <c r="Z398" s="292"/>
    </row>
    <row r="399" spans="1:26" ht="12.75" customHeight="1" x14ac:dyDescent="0.25">
      <c r="A399" s="292"/>
      <c r="B399" s="292"/>
      <c r="C399" s="292"/>
      <c r="D399" s="292"/>
      <c r="E399" s="292"/>
      <c r="F399" s="292"/>
      <c r="G399" s="292"/>
      <c r="H399" s="292"/>
      <c r="I399" s="292"/>
      <c r="J399" s="292"/>
      <c r="K399" s="292"/>
      <c r="L399" s="292"/>
      <c r="M399" s="292"/>
      <c r="N399" s="292"/>
      <c r="O399" s="292"/>
      <c r="P399" s="292"/>
      <c r="Q399" s="292"/>
      <c r="R399" s="292"/>
      <c r="S399" s="292"/>
      <c r="T399" s="292"/>
      <c r="U399" s="292"/>
      <c r="V399" s="292"/>
      <c r="W399" s="292"/>
      <c r="X399" s="292"/>
      <c r="Y399" s="292"/>
      <c r="Z399" s="292"/>
    </row>
    <row r="400" spans="1:26" ht="12.75" customHeight="1" x14ac:dyDescent="0.25">
      <c r="A400" s="292"/>
      <c r="B400" s="292"/>
      <c r="C400" s="292"/>
      <c r="D400" s="292"/>
      <c r="E400" s="292"/>
      <c r="F400" s="292"/>
      <c r="G400" s="292"/>
      <c r="H400" s="292"/>
      <c r="I400" s="292"/>
      <c r="J400" s="292"/>
      <c r="K400" s="292"/>
      <c r="L400" s="292"/>
      <c r="M400" s="292"/>
      <c r="N400" s="292"/>
      <c r="O400" s="292"/>
      <c r="P400" s="292"/>
      <c r="Q400" s="292"/>
      <c r="R400" s="292"/>
      <c r="S400" s="292"/>
      <c r="T400" s="292"/>
      <c r="U400" s="292"/>
      <c r="V400" s="292"/>
      <c r="W400" s="292"/>
      <c r="X400" s="292"/>
      <c r="Y400" s="292"/>
      <c r="Z400" s="292"/>
    </row>
    <row r="401" spans="1:26" ht="12.75" customHeight="1" x14ac:dyDescent="0.25">
      <c r="A401" s="292"/>
      <c r="B401" s="292"/>
      <c r="C401" s="292"/>
      <c r="D401" s="292"/>
      <c r="E401" s="292"/>
      <c r="F401" s="292"/>
      <c r="G401" s="292"/>
      <c r="H401" s="292"/>
      <c r="I401" s="292"/>
      <c r="J401" s="292"/>
      <c r="K401" s="292"/>
      <c r="L401" s="292"/>
      <c r="M401" s="292"/>
      <c r="N401" s="292"/>
      <c r="O401" s="292"/>
      <c r="P401" s="292"/>
      <c r="Q401" s="292"/>
      <c r="R401" s="292"/>
      <c r="S401" s="292"/>
      <c r="T401" s="292"/>
      <c r="U401" s="292"/>
      <c r="V401" s="292"/>
      <c r="W401" s="292"/>
      <c r="X401" s="292"/>
      <c r="Y401" s="292"/>
      <c r="Z401" s="292"/>
    </row>
    <row r="402" spans="1:26" ht="12.75" customHeight="1" x14ac:dyDescent="0.25">
      <c r="A402" s="292"/>
      <c r="B402" s="292"/>
      <c r="C402" s="292"/>
      <c r="D402" s="292"/>
      <c r="E402" s="292"/>
      <c r="F402" s="292"/>
      <c r="G402" s="292"/>
      <c r="H402" s="292"/>
      <c r="I402" s="292"/>
      <c r="J402" s="292"/>
      <c r="K402" s="292"/>
      <c r="L402" s="292"/>
      <c r="M402" s="292"/>
      <c r="N402" s="292"/>
      <c r="O402" s="292"/>
      <c r="P402" s="292"/>
      <c r="Q402" s="292"/>
      <c r="R402" s="292"/>
      <c r="S402" s="292"/>
      <c r="T402" s="292"/>
      <c r="U402" s="292"/>
      <c r="V402" s="292"/>
      <c r="W402" s="292"/>
      <c r="X402" s="292"/>
      <c r="Y402" s="292"/>
      <c r="Z402" s="292"/>
    </row>
    <row r="403" spans="1:26" ht="12.75" customHeight="1" x14ac:dyDescent="0.25">
      <c r="A403" s="292"/>
      <c r="B403" s="292"/>
      <c r="C403" s="292"/>
      <c r="D403" s="292"/>
      <c r="E403" s="292"/>
      <c r="F403" s="292"/>
      <c r="G403" s="292"/>
      <c r="H403" s="292"/>
      <c r="I403" s="292"/>
      <c r="J403" s="292"/>
      <c r="K403" s="292"/>
      <c r="L403" s="292"/>
      <c r="M403" s="292"/>
      <c r="N403" s="292"/>
      <c r="O403" s="292"/>
      <c r="P403" s="292"/>
      <c r="Q403" s="292"/>
      <c r="R403" s="292"/>
      <c r="S403" s="292"/>
      <c r="T403" s="292"/>
      <c r="U403" s="292"/>
      <c r="V403" s="292"/>
      <c r="W403" s="292"/>
      <c r="X403" s="292"/>
      <c r="Y403" s="292"/>
      <c r="Z403" s="292"/>
    </row>
    <row r="404" spans="1:26" ht="12.75" customHeight="1" x14ac:dyDescent="0.25">
      <c r="A404" s="292"/>
      <c r="B404" s="292"/>
      <c r="C404" s="292"/>
      <c r="D404" s="292"/>
      <c r="E404" s="292"/>
      <c r="F404" s="292"/>
      <c r="G404" s="292"/>
      <c r="H404" s="292"/>
      <c r="I404" s="292"/>
      <c r="J404" s="292"/>
      <c r="K404" s="292"/>
      <c r="L404" s="292"/>
      <c r="M404" s="292"/>
      <c r="N404" s="292"/>
      <c r="O404" s="292"/>
      <c r="P404" s="292"/>
      <c r="Q404" s="292"/>
      <c r="R404" s="292"/>
      <c r="S404" s="292"/>
      <c r="T404" s="292"/>
      <c r="U404" s="292"/>
      <c r="V404" s="292"/>
      <c r="W404" s="292"/>
      <c r="X404" s="292"/>
      <c r="Y404" s="292"/>
      <c r="Z404" s="292"/>
    </row>
    <row r="405" spans="1:26" ht="12.75" customHeight="1" x14ac:dyDescent="0.25">
      <c r="A405" s="292"/>
      <c r="B405" s="292"/>
      <c r="C405" s="292"/>
      <c r="D405" s="292"/>
      <c r="E405" s="292"/>
      <c r="F405" s="292"/>
      <c r="G405" s="292"/>
      <c r="H405" s="292"/>
      <c r="I405" s="292"/>
      <c r="J405" s="292"/>
      <c r="K405" s="292"/>
      <c r="L405" s="292"/>
      <c r="M405" s="292"/>
      <c r="N405" s="292"/>
      <c r="O405" s="292"/>
      <c r="P405" s="292"/>
      <c r="Q405" s="292"/>
      <c r="R405" s="292"/>
      <c r="S405" s="292"/>
      <c r="T405" s="292"/>
      <c r="U405" s="292"/>
      <c r="V405" s="292"/>
      <c r="W405" s="292"/>
      <c r="X405" s="292"/>
      <c r="Y405" s="292"/>
      <c r="Z405" s="292"/>
    </row>
    <row r="406" spans="1:26" ht="12.75" customHeight="1" x14ac:dyDescent="0.25">
      <c r="A406" s="292"/>
      <c r="B406" s="292"/>
      <c r="C406" s="292"/>
      <c r="D406" s="292"/>
      <c r="E406" s="292"/>
      <c r="F406" s="292"/>
      <c r="G406" s="292"/>
      <c r="H406" s="292"/>
      <c r="I406" s="292"/>
      <c r="J406" s="292"/>
      <c r="K406" s="292"/>
      <c r="L406" s="292"/>
      <c r="M406" s="292"/>
      <c r="N406" s="292"/>
      <c r="O406" s="292"/>
      <c r="P406" s="292"/>
      <c r="Q406" s="292"/>
      <c r="R406" s="292"/>
      <c r="S406" s="292"/>
      <c r="T406" s="292"/>
      <c r="U406" s="292"/>
      <c r="V406" s="292"/>
      <c r="W406" s="292"/>
      <c r="X406" s="292"/>
      <c r="Y406" s="292"/>
      <c r="Z406" s="292"/>
    </row>
    <row r="407" spans="1:26" ht="12.75" customHeight="1" x14ac:dyDescent="0.25">
      <c r="A407" s="292"/>
      <c r="B407" s="292"/>
      <c r="C407" s="292"/>
      <c r="D407" s="292"/>
      <c r="E407" s="292"/>
      <c r="F407" s="292"/>
      <c r="G407" s="292"/>
      <c r="H407" s="292"/>
      <c r="I407" s="292"/>
      <c r="J407" s="292"/>
      <c r="K407" s="292"/>
      <c r="L407" s="292"/>
      <c r="M407" s="292"/>
      <c r="N407" s="292"/>
      <c r="O407" s="292"/>
      <c r="P407" s="292"/>
      <c r="Q407" s="292"/>
      <c r="R407" s="292"/>
      <c r="S407" s="292"/>
      <c r="T407" s="292"/>
      <c r="U407" s="292"/>
      <c r="V407" s="292"/>
      <c r="W407" s="292"/>
      <c r="X407" s="292"/>
      <c r="Y407" s="292"/>
      <c r="Z407" s="292"/>
    </row>
    <row r="408" spans="1:26" ht="12.75" customHeight="1" x14ac:dyDescent="0.25">
      <c r="A408" s="292"/>
      <c r="B408" s="292"/>
      <c r="C408" s="292"/>
      <c r="D408" s="292"/>
      <c r="E408" s="292"/>
      <c r="F408" s="292"/>
      <c r="G408" s="292"/>
      <c r="H408" s="292"/>
      <c r="I408" s="292"/>
      <c r="J408" s="292"/>
      <c r="K408" s="292"/>
      <c r="L408" s="292"/>
      <c r="M408" s="292"/>
      <c r="N408" s="292"/>
      <c r="O408" s="292"/>
      <c r="P408" s="292"/>
      <c r="Q408" s="292"/>
      <c r="R408" s="292"/>
      <c r="S408" s="292"/>
      <c r="T408" s="292"/>
      <c r="U408" s="292"/>
      <c r="V408" s="292"/>
      <c r="W408" s="292"/>
      <c r="X408" s="292"/>
      <c r="Y408" s="292"/>
      <c r="Z408" s="292"/>
    </row>
    <row r="409" spans="1:26" ht="12.75" customHeight="1" x14ac:dyDescent="0.25">
      <c r="A409" s="292"/>
      <c r="B409" s="292"/>
      <c r="C409" s="292"/>
      <c r="D409" s="292"/>
      <c r="E409" s="292"/>
      <c r="F409" s="292"/>
      <c r="G409" s="292"/>
      <c r="H409" s="292"/>
      <c r="I409" s="292"/>
      <c r="J409" s="292"/>
      <c r="K409" s="292"/>
      <c r="L409" s="292"/>
      <c r="M409" s="292"/>
      <c r="N409" s="292"/>
      <c r="O409" s="292"/>
      <c r="P409" s="292"/>
      <c r="Q409" s="292"/>
      <c r="R409" s="292"/>
      <c r="S409" s="292"/>
      <c r="T409" s="292"/>
      <c r="U409" s="292"/>
      <c r="V409" s="292"/>
      <c r="W409" s="292"/>
      <c r="X409" s="292"/>
      <c r="Y409" s="292"/>
      <c r="Z409" s="292"/>
    </row>
    <row r="410" spans="1:26" ht="12.75" customHeight="1" x14ac:dyDescent="0.25">
      <c r="A410" s="292"/>
      <c r="B410" s="292"/>
      <c r="C410" s="292"/>
      <c r="D410" s="292"/>
      <c r="E410" s="292"/>
      <c r="F410" s="292"/>
      <c r="G410" s="292"/>
      <c r="H410" s="292"/>
      <c r="I410" s="292"/>
      <c r="J410" s="292"/>
      <c r="K410" s="292"/>
      <c r="L410" s="292"/>
      <c r="M410" s="292"/>
      <c r="N410" s="292"/>
      <c r="O410" s="292"/>
      <c r="P410" s="292"/>
      <c r="Q410" s="292"/>
      <c r="R410" s="292"/>
      <c r="S410" s="292"/>
      <c r="T410" s="292"/>
      <c r="U410" s="292"/>
      <c r="V410" s="292"/>
      <c r="W410" s="292"/>
      <c r="X410" s="292"/>
      <c r="Y410" s="292"/>
      <c r="Z410" s="292"/>
    </row>
    <row r="411" spans="1:26" ht="12.75" customHeight="1" x14ac:dyDescent="0.25">
      <c r="A411" s="292"/>
      <c r="B411" s="292"/>
      <c r="C411" s="292"/>
      <c r="D411" s="292"/>
      <c r="E411" s="292"/>
      <c r="F411" s="292"/>
      <c r="G411" s="292"/>
      <c r="H411" s="292"/>
      <c r="I411" s="292"/>
      <c r="J411" s="292"/>
      <c r="K411" s="292"/>
      <c r="L411" s="292"/>
      <c r="M411" s="292"/>
      <c r="N411" s="292"/>
      <c r="O411" s="292"/>
      <c r="P411" s="292"/>
      <c r="Q411" s="292"/>
      <c r="R411" s="292"/>
      <c r="S411" s="292"/>
      <c r="T411" s="292"/>
      <c r="U411" s="292"/>
      <c r="V411" s="292"/>
      <c r="W411" s="292"/>
      <c r="X411" s="292"/>
      <c r="Y411" s="292"/>
      <c r="Z411" s="292"/>
    </row>
    <row r="412" spans="1:26" ht="12.75" customHeight="1" x14ac:dyDescent="0.25">
      <c r="A412" s="292"/>
      <c r="B412" s="292"/>
      <c r="C412" s="292"/>
      <c r="D412" s="292"/>
      <c r="E412" s="292"/>
      <c r="F412" s="292"/>
      <c r="G412" s="292"/>
      <c r="H412" s="292"/>
      <c r="I412" s="292"/>
      <c r="J412" s="292"/>
      <c r="K412" s="292"/>
      <c r="L412" s="292"/>
      <c r="M412" s="292"/>
      <c r="N412" s="292"/>
      <c r="O412" s="292"/>
      <c r="P412" s="292"/>
      <c r="Q412" s="292"/>
      <c r="R412" s="292"/>
      <c r="S412" s="292"/>
      <c r="T412" s="292"/>
      <c r="U412" s="292"/>
      <c r="V412" s="292"/>
      <c r="W412" s="292"/>
      <c r="X412" s="292"/>
      <c r="Y412" s="292"/>
      <c r="Z412" s="292"/>
    </row>
    <row r="413" spans="1:26" ht="12.75" customHeight="1" x14ac:dyDescent="0.25">
      <c r="A413" s="292"/>
      <c r="B413" s="292"/>
      <c r="C413" s="292"/>
      <c r="D413" s="292"/>
      <c r="E413" s="292"/>
      <c r="F413" s="292"/>
      <c r="G413" s="292"/>
      <c r="H413" s="292"/>
      <c r="I413" s="292"/>
      <c r="J413" s="292"/>
      <c r="K413" s="292"/>
      <c r="L413" s="292"/>
      <c r="M413" s="292"/>
      <c r="N413" s="292"/>
      <c r="O413" s="292"/>
      <c r="P413" s="292"/>
      <c r="Q413" s="292"/>
      <c r="R413" s="292"/>
      <c r="S413" s="292"/>
      <c r="T413" s="292"/>
      <c r="U413" s="292"/>
      <c r="V413" s="292"/>
      <c r="W413" s="292"/>
      <c r="X413" s="292"/>
      <c r="Y413" s="292"/>
      <c r="Z413" s="292"/>
    </row>
    <row r="414" spans="1:26" ht="12.75" customHeight="1" x14ac:dyDescent="0.25">
      <c r="A414" s="292"/>
      <c r="B414" s="292"/>
      <c r="C414" s="292"/>
      <c r="D414" s="292"/>
      <c r="E414" s="292"/>
      <c r="F414" s="292"/>
      <c r="G414" s="292"/>
      <c r="H414" s="292"/>
      <c r="I414" s="292"/>
      <c r="J414" s="292"/>
      <c r="K414" s="292"/>
      <c r="L414" s="292"/>
      <c r="M414" s="292"/>
      <c r="N414" s="292"/>
      <c r="O414" s="292"/>
      <c r="P414" s="292"/>
      <c r="Q414" s="292"/>
      <c r="R414" s="292"/>
      <c r="S414" s="292"/>
      <c r="T414" s="292"/>
      <c r="U414" s="292"/>
      <c r="V414" s="292"/>
      <c r="W414" s="292"/>
      <c r="X414" s="292"/>
      <c r="Y414" s="292"/>
      <c r="Z414" s="292"/>
    </row>
    <row r="415" spans="1:26" ht="12.75" customHeight="1" x14ac:dyDescent="0.25">
      <c r="A415" s="292"/>
      <c r="B415" s="292"/>
      <c r="C415" s="292"/>
      <c r="D415" s="292"/>
      <c r="E415" s="292"/>
      <c r="F415" s="292"/>
      <c r="G415" s="292"/>
      <c r="H415" s="292"/>
      <c r="I415" s="292"/>
      <c r="J415" s="292"/>
      <c r="K415" s="292"/>
      <c r="L415" s="292"/>
      <c r="M415" s="292"/>
      <c r="N415" s="292"/>
      <c r="O415" s="292"/>
      <c r="P415" s="292"/>
      <c r="Q415" s="292"/>
      <c r="R415" s="292"/>
      <c r="S415" s="292"/>
      <c r="T415" s="292"/>
      <c r="U415" s="292"/>
      <c r="V415" s="292"/>
      <c r="W415" s="292"/>
      <c r="X415" s="292"/>
      <c r="Y415" s="292"/>
      <c r="Z415" s="292"/>
    </row>
    <row r="416" spans="1:26" ht="12.75" customHeight="1" x14ac:dyDescent="0.25">
      <c r="A416" s="292"/>
      <c r="B416" s="292"/>
      <c r="C416" s="292"/>
      <c r="D416" s="292"/>
      <c r="E416" s="292"/>
      <c r="F416" s="292"/>
      <c r="G416" s="292"/>
      <c r="H416" s="292"/>
      <c r="I416" s="292"/>
      <c r="J416" s="292"/>
      <c r="K416" s="292"/>
      <c r="L416" s="292"/>
      <c r="M416" s="292"/>
      <c r="N416" s="292"/>
      <c r="O416" s="292"/>
      <c r="P416" s="292"/>
      <c r="Q416" s="292"/>
      <c r="R416" s="292"/>
      <c r="S416" s="292"/>
      <c r="T416" s="292"/>
      <c r="U416" s="292"/>
      <c r="V416" s="292"/>
      <c r="W416" s="292"/>
      <c r="X416" s="292"/>
      <c r="Y416" s="292"/>
      <c r="Z416" s="292"/>
    </row>
    <row r="417" spans="1:26" ht="12.75" customHeight="1" x14ac:dyDescent="0.25">
      <c r="A417" s="292"/>
      <c r="B417" s="292"/>
      <c r="C417" s="292"/>
      <c r="D417" s="292"/>
      <c r="E417" s="292"/>
      <c r="F417" s="292"/>
      <c r="G417" s="292"/>
      <c r="H417" s="292"/>
      <c r="I417" s="292"/>
      <c r="J417" s="292"/>
      <c r="K417" s="292"/>
      <c r="L417" s="292"/>
      <c r="M417" s="292"/>
      <c r="N417" s="292"/>
      <c r="O417" s="292"/>
      <c r="P417" s="292"/>
      <c r="Q417" s="292"/>
      <c r="R417" s="292"/>
      <c r="S417" s="292"/>
      <c r="T417" s="292"/>
      <c r="U417" s="292"/>
      <c r="V417" s="292"/>
      <c r="W417" s="292"/>
      <c r="X417" s="292"/>
      <c r="Y417" s="292"/>
      <c r="Z417" s="292"/>
    </row>
    <row r="418" spans="1:26" ht="12.75" customHeight="1" x14ac:dyDescent="0.25">
      <c r="A418" s="292"/>
      <c r="B418" s="292"/>
      <c r="C418" s="292"/>
      <c r="D418" s="292"/>
      <c r="E418" s="292"/>
      <c r="F418" s="292"/>
      <c r="G418" s="292"/>
      <c r="H418" s="292"/>
      <c r="I418" s="292"/>
      <c r="J418" s="292"/>
      <c r="K418" s="292"/>
      <c r="L418" s="292"/>
      <c r="M418" s="292"/>
      <c r="N418" s="292"/>
      <c r="O418" s="292"/>
      <c r="P418" s="292"/>
      <c r="Q418" s="292"/>
      <c r="R418" s="292"/>
      <c r="S418" s="292"/>
      <c r="T418" s="292"/>
      <c r="U418" s="292"/>
      <c r="V418" s="292"/>
      <c r="W418" s="292"/>
      <c r="X418" s="292"/>
      <c r="Y418" s="292"/>
      <c r="Z418" s="292"/>
    </row>
    <row r="419" spans="1:26" ht="12.75" customHeight="1" x14ac:dyDescent="0.25">
      <c r="A419" s="292"/>
      <c r="B419" s="292"/>
      <c r="C419" s="292"/>
      <c r="D419" s="292"/>
      <c r="E419" s="292"/>
      <c r="F419" s="292"/>
      <c r="G419" s="292"/>
      <c r="H419" s="292"/>
      <c r="I419" s="292"/>
      <c r="J419" s="292"/>
      <c r="K419" s="292"/>
      <c r="L419" s="292"/>
      <c r="M419" s="292"/>
      <c r="N419" s="292"/>
      <c r="O419" s="292"/>
      <c r="P419" s="292"/>
      <c r="Q419" s="292"/>
      <c r="R419" s="292"/>
      <c r="S419" s="292"/>
      <c r="T419" s="292"/>
      <c r="U419" s="292"/>
      <c r="V419" s="292"/>
      <c r="W419" s="292"/>
      <c r="X419" s="292"/>
      <c r="Y419" s="292"/>
      <c r="Z419" s="292"/>
    </row>
    <row r="420" spans="1:26" ht="12.75" customHeight="1" x14ac:dyDescent="0.25">
      <c r="A420" s="292"/>
      <c r="B420" s="292"/>
      <c r="C420" s="292"/>
      <c r="D420" s="292"/>
      <c r="E420" s="292"/>
      <c r="F420" s="292"/>
      <c r="G420" s="292"/>
      <c r="H420" s="292"/>
      <c r="I420" s="292"/>
      <c r="J420" s="292"/>
      <c r="K420" s="292"/>
      <c r="L420" s="292"/>
      <c r="M420" s="292"/>
      <c r="N420" s="292"/>
      <c r="O420" s="292"/>
      <c r="P420" s="292"/>
      <c r="Q420" s="292"/>
      <c r="R420" s="292"/>
      <c r="S420" s="292"/>
      <c r="T420" s="292"/>
      <c r="U420" s="292"/>
      <c r="V420" s="292"/>
      <c r="W420" s="292"/>
      <c r="X420" s="292"/>
      <c r="Y420" s="292"/>
      <c r="Z420" s="292"/>
    </row>
    <row r="421" spans="1:26" ht="12.75" customHeight="1" x14ac:dyDescent="0.25">
      <c r="A421" s="292"/>
      <c r="B421" s="292"/>
      <c r="C421" s="292"/>
      <c r="D421" s="292"/>
      <c r="E421" s="292"/>
      <c r="F421" s="292"/>
      <c r="G421" s="292"/>
      <c r="H421" s="292"/>
      <c r="I421" s="292"/>
      <c r="J421" s="292"/>
      <c r="K421" s="292"/>
      <c r="L421" s="292"/>
      <c r="M421" s="292"/>
      <c r="N421" s="292"/>
      <c r="O421" s="292"/>
      <c r="P421" s="292"/>
      <c r="Q421" s="292"/>
      <c r="R421" s="292"/>
      <c r="S421" s="292"/>
      <c r="T421" s="292"/>
      <c r="U421" s="292"/>
      <c r="V421" s="292"/>
      <c r="W421" s="292"/>
      <c r="X421" s="292"/>
      <c r="Y421" s="292"/>
      <c r="Z421" s="292"/>
    </row>
    <row r="422" spans="1:26" ht="12.75" customHeight="1" x14ac:dyDescent="0.25">
      <c r="A422" s="292"/>
      <c r="B422" s="292"/>
      <c r="C422" s="292"/>
      <c r="D422" s="292"/>
      <c r="E422" s="292"/>
      <c r="F422" s="292"/>
      <c r="G422" s="292"/>
      <c r="H422" s="292"/>
      <c r="I422" s="292"/>
      <c r="J422" s="292"/>
      <c r="K422" s="292"/>
      <c r="L422" s="292"/>
      <c r="M422" s="292"/>
      <c r="N422" s="292"/>
      <c r="O422" s="292"/>
      <c r="P422" s="292"/>
      <c r="Q422" s="292"/>
      <c r="R422" s="292"/>
      <c r="S422" s="292"/>
      <c r="T422" s="292"/>
      <c r="U422" s="292"/>
      <c r="V422" s="292"/>
      <c r="W422" s="292"/>
      <c r="X422" s="292"/>
      <c r="Y422" s="292"/>
      <c r="Z422" s="292"/>
    </row>
    <row r="423" spans="1:26" ht="12.75" customHeight="1" x14ac:dyDescent="0.25">
      <c r="A423" s="292"/>
      <c r="B423" s="292"/>
      <c r="C423" s="292"/>
      <c r="D423" s="292"/>
      <c r="E423" s="292"/>
      <c r="F423" s="292"/>
      <c r="G423" s="292"/>
      <c r="H423" s="292"/>
      <c r="I423" s="292"/>
      <c r="J423" s="292"/>
      <c r="K423" s="292"/>
      <c r="L423" s="292"/>
      <c r="M423" s="292"/>
      <c r="N423" s="292"/>
      <c r="O423" s="292"/>
      <c r="P423" s="292"/>
      <c r="Q423" s="292"/>
      <c r="R423" s="292"/>
      <c r="S423" s="292"/>
      <c r="T423" s="292"/>
      <c r="U423" s="292"/>
      <c r="V423" s="292"/>
      <c r="W423" s="292"/>
      <c r="X423" s="292"/>
      <c r="Y423" s="292"/>
      <c r="Z423" s="292"/>
    </row>
    <row r="424" spans="1:26" ht="12.75" customHeight="1" x14ac:dyDescent="0.25">
      <c r="A424" s="292"/>
      <c r="B424" s="292"/>
      <c r="C424" s="292"/>
      <c r="D424" s="292"/>
      <c r="E424" s="292"/>
      <c r="F424" s="292"/>
      <c r="G424" s="292"/>
      <c r="H424" s="292"/>
      <c r="I424" s="292"/>
      <c r="J424" s="292"/>
      <c r="K424" s="292"/>
      <c r="L424" s="292"/>
      <c r="M424" s="292"/>
      <c r="N424" s="292"/>
      <c r="O424" s="292"/>
      <c r="P424" s="292"/>
      <c r="Q424" s="292"/>
      <c r="R424" s="292"/>
      <c r="S424" s="292"/>
      <c r="T424" s="292"/>
      <c r="U424" s="292"/>
      <c r="V424" s="292"/>
      <c r="W424" s="292"/>
      <c r="X424" s="292"/>
      <c r="Y424" s="292"/>
      <c r="Z424" s="292"/>
    </row>
    <row r="425" spans="1:26" ht="12.75" customHeight="1" x14ac:dyDescent="0.25">
      <c r="A425" s="292"/>
      <c r="B425" s="292"/>
      <c r="C425" s="292"/>
      <c r="D425" s="292"/>
      <c r="E425" s="292"/>
      <c r="F425" s="292"/>
      <c r="G425" s="292"/>
      <c r="H425" s="292"/>
      <c r="I425" s="292"/>
      <c r="J425" s="292"/>
      <c r="K425" s="292"/>
      <c r="L425" s="292"/>
      <c r="M425" s="292"/>
      <c r="N425" s="292"/>
      <c r="O425" s="292"/>
      <c r="P425" s="292"/>
      <c r="Q425" s="292"/>
      <c r="R425" s="292"/>
      <c r="S425" s="292"/>
      <c r="T425" s="292"/>
      <c r="U425" s="292"/>
      <c r="V425" s="292"/>
      <c r="W425" s="292"/>
      <c r="X425" s="292"/>
      <c r="Y425" s="292"/>
      <c r="Z425" s="292"/>
    </row>
    <row r="426" spans="1:26" ht="12.75" customHeight="1" x14ac:dyDescent="0.25">
      <c r="A426" s="292"/>
      <c r="B426" s="292"/>
      <c r="C426" s="292"/>
      <c r="D426" s="292"/>
      <c r="E426" s="292"/>
      <c r="F426" s="292"/>
      <c r="G426" s="292"/>
      <c r="H426" s="292"/>
      <c r="I426" s="292"/>
      <c r="J426" s="292"/>
      <c r="K426" s="292"/>
      <c r="L426" s="292"/>
      <c r="M426" s="292"/>
      <c r="N426" s="292"/>
      <c r="O426" s="292"/>
      <c r="P426" s="292"/>
      <c r="Q426" s="292"/>
      <c r="R426" s="292"/>
      <c r="S426" s="292"/>
      <c r="T426" s="292"/>
      <c r="U426" s="292"/>
      <c r="V426" s="292"/>
      <c r="W426" s="292"/>
      <c r="X426" s="292"/>
      <c r="Y426" s="292"/>
      <c r="Z426" s="292"/>
    </row>
    <row r="427" spans="1:26" ht="12.75" customHeight="1" x14ac:dyDescent="0.25">
      <c r="A427" s="292"/>
      <c r="B427" s="292"/>
      <c r="C427" s="292"/>
      <c r="D427" s="292"/>
      <c r="E427" s="292"/>
      <c r="F427" s="292"/>
      <c r="G427" s="292"/>
      <c r="H427" s="292"/>
      <c r="I427" s="292"/>
      <c r="J427" s="292"/>
      <c r="K427" s="292"/>
      <c r="L427" s="292"/>
      <c r="M427" s="292"/>
      <c r="N427" s="292"/>
      <c r="O427" s="292"/>
      <c r="P427" s="292"/>
      <c r="Q427" s="292"/>
      <c r="R427" s="292"/>
      <c r="S427" s="292"/>
      <c r="T427" s="292"/>
      <c r="U427" s="292"/>
      <c r="V427" s="292"/>
      <c r="W427" s="292"/>
      <c r="X427" s="292"/>
      <c r="Y427" s="292"/>
      <c r="Z427" s="292"/>
    </row>
    <row r="428" spans="1:26" ht="12.75" customHeight="1" x14ac:dyDescent="0.25">
      <c r="A428" s="292"/>
      <c r="B428" s="292"/>
      <c r="C428" s="292"/>
      <c r="D428" s="292"/>
      <c r="E428" s="292"/>
      <c r="F428" s="292"/>
      <c r="G428" s="292"/>
      <c r="H428" s="292"/>
      <c r="I428" s="292"/>
      <c r="J428" s="292"/>
      <c r="K428" s="292"/>
      <c r="L428" s="292"/>
      <c r="M428" s="292"/>
      <c r="N428" s="292"/>
      <c r="O428" s="292"/>
      <c r="P428" s="292"/>
      <c r="Q428" s="292"/>
      <c r="R428" s="292"/>
      <c r="S428" s="292"/>
      <c r="T428" s="292"/>
      <c r="U428" s="292"/>
      <c r="V428" s="292"/>
      <c r="W428" s="292"/>
      <c r="X428" s="292"/>
      <c r="Y428" s="292"/>
      <c r="Z428" s="292"/>
    </row>
    <row r="429" spans="1:26" ht="12.75" customHeight="1" x14ac:dyDescent="0.25">
      <c r="A429" s="292"/>
      <c r="B429" s="292"/>
      <c r="C429" s="292"/>
      <c r="D429" s="292"/>
      <c r="E429" s="292"/>
      <c r="F429" s="292"/>
      <c r="G429" s="292"/>
      <c r="H429" s="292"/>
      <c r="I429" s="292"/>
      <c r="J429" s="292"/>
      <c r="K429" s="292"/>
      <c r="L429" s="292"/>
      <c r="M429" s="292"/>
      <c r="N429" s="292"/>
      <c r="O429" s="292"/>
      <c r="P429" s="292"/>
      <c r="Q429" s="292"/>
      <c r="R429" s="292"/>
      <c r="S429" s="292"/>
      <c r="T429" s="292"/>
      <c r="U429" s="292"/>
      <c r="V429" s="292"/>
      <c r="W429" s="292"/>
      <c r="X429" s="292"/>
      <c r="Y429" s="292"/>
      <c r="Z429" s="292"/>
    </row>
    <row r="430" spans="1:26" ht="12.75" customHeight="1" x14ac:dyDescent="0.25">
      <c r="A430" s="292"/>
      <c r="B430" s="292"/>
      <c r="C430" s="292"/>
      <c r="D430" s="292"/>
      <c r="E430" s="292"/>
      <c r="F430" s="292"/>
      <c r="G430" s="292"/>
      <c r="H430" s="292"/>
      <c r="I430" s="292"/>
      <c r="J430" s="292"/>
      <c r="K430" s="292"/>
      <c r="L430" s="292"/>
      <c r="M430" s="292"/>
      <c r="N430" s="292"/>
      <c r="O430" s="292"/>
      <c r="P430" s="292"/>
      <c r="Q430" s="292"/>
      <c r="R430" s="292"/>
      <c r="S430" s="292"/>
      <c r="T430" s="292"/>
      <c r="U430" s="292"/>
      <c r="V430" s="292"/>
      <c r="W430" s="292"/>
      <c r="X430" s="292"/>
      <c r="Y430" s="292"/>
      <c r="Z430" s="292"/>
    </row>
    <row r="431" spans="1:26" ht="12.75" customHeight="1" x14ac:dyDescent="0.25">
      <c r="A431" s="292"/>
      <c r="B431" s="292"/>
      <c r="C431" s="292"/>
      <c r="D431" s="292"/>
      <c r="E431" s="292"/>
      <c r="F431" s="292"/>
      <c r="G431" s="292"/>
      <c r="H431" s="292"/>
      <c r="I431" s="292"/>
      <c r="J431" s="292"/>
      <c r="K431" s="292"/>
      <c r="L431" s="292"/>
      <c r="M431" s="292"/>
      <c r="N431" s="292"/>
      <c r="O431" s="292"/>
      <c r="P431" s="292"/>
      <c r="Q431" s="292"/>
      <c r="R431" s="292"/>
      <c r="S431" s="292"/>
      <c r="T431" s="292"/>
      <c r="U431" s="292"/>
      <c r="V431" s="292"/>
      <c r="W431" s="292"/>
      <c r="X431" s="292"/>
      <c r="Y431" s="292"/>
      <c r="Z431" s="292"/>
    </row>
    <row r="432" spans="1:26" ht="12.75" customHeight="1" x14ac:dyDescent="0.25">
      <c r="A432" s="292"/>
      <c r="B432" s="292"/>
      <c r="C432" s="292"/>
      <c r="D432" s="292"/>
      <c r="E432" s="292"/>
      <c r="F432" s="292"/>
      <c r="G432" s="292"/>
      <c r="H432" s="292"/>
      <c r="I432" s="292"/>
      <c r="J432" s="292"/>
      <c r="K432" s="292"/>
      <c r="L432" s="292"/>
      <c r="M432" s="292"/>
      <c r="N432" s="292"/>
      <c r="O432" s="292"/>
      <c r="P432" s="292"/>
      <c r="Q432" s="292"/>
      <c r="R432" s="292"/>
      <c r="S432" s="292"/>
      <c r="T432" s="292"/>
      <c r="U432" s="292"/>
      <c r="V432" s="292"/>
      <c r="W432" s="292"/>
      <c r="X432" s="292"/>
      <c r="Y432" s="292"/>
      <c r="Z432" s="292"/>
    </row>
    <row r="433" spans="1:26" ht="12.75" customHeight="1" x14ac:dyDescent="0.25">
      <c r="A433" s="292"/>
      <c r="B433" s="292"/>
      <c r="C433" s="292"/>
      <c r="D433" s="292"/>
      <c r="E433" s="292"/>
      <c r="F433" s="292"/>
      <c r="G433" s="292"/>
      <c r="H433" s="292"/>
      <c r="I433" s="292"/>
      <c r="J433" s="292"/>
      <c r="K433" s="292"/>
      <c r="L433" s="292"/>
      <c r="M433" s="292"/>
      <c r="N433" s="292"/>
      <c r="O433" s="292"/>
      <c r="P433" s="292"/>
      <c r="Q433" s="292"/>
      <c r="R433" s="292"/>
      <c r="S433" s="292"/>
      <c r="T433" s="292"/>
      <c r="U433" s="292"/>
      <c r="V433" s="292"/>
      <c r="W433" s="292"/>
      <c r="X433" s="292"/>
      <c r="Y433" s="292"/>
      <c r="Z433" s="292"/>
    </row>
    <row r="434" spans="1:26" ht="12.75" customHeight="1" x14ac:dyDescent="0.25">
      <c r="A434" s="292"/>
      <c r="B434" s="292"/>
      <c r="C434" s="292"/>
      <c r="D434" s="292"/>
      <c r="E434" s="292"/>
      <c r="F434" s="292"/>
      <c r="G434" s="292"/>
      <c r="H434" s="292"/>
      <c r="I434" s="292"/>
      <c r="J434" s="292"/>
      <c r="K434" s="292"/>
      <c r="L434" s="292"/>
      <c r="M434" s="292"/>
      <c r="N434" s="292"/>
      <c r="O434" s="292"/>
      <c r="P434" s="292"/>
      <c r="Q434" s="292"/>
      <c r="R434" s="292"/>
      <c r="S434" s="292"/>
      <c r="T434" s="292"/>
      <c r="U434" s="292"/>
      <c r="V434" s="292"/>
      <c r="W434" s="292"/>
      <c r="X434" s="292"/>
      <c r="Y434" s="292"/>
      <c r="Z434" s="292"/>
    </row>
    <row r="435" spans="1:26" ht="12.75" customHeight="1" x14ac:dyDescent="0.25">
      <c r="A435" s="292"/>
      <c r="B435" s="292"/>
      <c r="C435" s="292"/>
      <c r="D435" s="292"/>
      <c r="E435" s="292"/>
      <c r="F435" s="292"/>
      <c r="G435" s="292"/>
      <c r="H435" s="292"/>
      <c r="I435" s="292"/>
      <c r="J435" s="292"/>
      <c r="K435" s="292"/>
      <c r="L435" s="292"/>
      <c r="M435" s="292"/>
      <c r="N435" s="292"/>
      <c r="O435" s="292"/>
      <c r="P435" s="292"/>
      <c r="Q435" s="292"/>
      <c r="R435" s="292"/>
      <c r="S435" s="292"/>
      <c r="T435" s="292"/>
      <c r="U435" s="292"/>
      <c r="V435" s="292"/>
      <c r="W435" s="292"/>
      <c r="X435" s="292"/>
      <c r="Y435" s="292"/>
      <c r="Z435" s="292"/>
    </row>
    <row r="436" spans="1:26" ht="12.75" customHeight="1" x14ac:dyDescent="0.25">
      <c r="A436" s="292"/>
      <c r="B436" s="292"/>
      <c r="C436" s="292"/>
      <c r="D436" s="292"/>
      <c r="E436" s="292"/>
      <c r="F436" s="292"/>
      <c r="G436" s="292"/>
      <c r="H436" s="292"/>
      <c r="I436" s="292"/>
      <c r="J436" s="292"/>
      <c r="K436" s="292"/>
      <c r="L436" s="292"/>
      <c r="M436" s="292"/>
      <c r="N436" s="292"/>
      <c r="O436" s="292"/>
      <c r="P436" s="292"/>
      <c r="Q436" s="292"/>
      <c r="R436" s="292"/>
      <c r="S436" s="292"/>
      <c r="T436" s="292"/>
      <c r="U436" s="292"/>
      <c r="V436" s="292"/>
      <c r="W436" s="292"/>
      <c r="X436" s="292"/>
      <c r="Y436" s="292"/>
      <c r="Z436" s="292"/>
    </row>
    <row r="437" spans="1:26" ht="12.75" customHeight="1" x14ac:dyDescent="0.25">
      <c r="A437" s="292"/>
      <c r="B437" s="292"/>
      <c r="C437" s="292"/>
      <c r="D437" s="292"/>
      <c r="E437" s="292"/>
      <c r="F437" s="292"/>
      <c r="G437" s="292"/>
      <c r="H437" s="292"/>
      <c r="I437" s="292"/>
      <c r="J437" s="292"/>
      <c r="K437" s="292"/>
      <c r="L437" s="292"/>
      <c r="M437" s="292"/>
      <c r="N437" s="292"/>
      <c r="O437" s="292"/>
      <c r="P437" s="292"/>
      <c r="Q437" s="292"/>
      <c r="R437" s="292"/>
      <c r="S437" s="292"/>
      <c r="T437" s="292"/>
      <c r="U437" s="292"/>
      <c r="V437" s="292"/>
      <c r="W437" s="292"/>
      <c r="X437" s="292"/>
      <c r="Y437" s="292"/>
      <c r="Z437" s="292"/>
    </row>
    <row r="438" spans="1:26" ht="12.75" customHeight="1" x14ac:dyDescent="0.25">
      <c r="A438" s="292"/>
      <c r="B438" s="292"/>
      <c r="C438" s="292"/>
      <c r="D438" s="292"/>
      <c r="E438" s="292"/>
      <c r="F438" s="292"/>
      <c r="G438" s="292"/>
      <c r="H438" s="292"/>
      <c r="I438" s="292"/>
      <c r="J438" s="292"/>
      <c r="K438" s="292"/>
      <c r="L438" s="292"/>
      <c r="M438" s="292"/>
      <c r="N438" s="292"/>
      <c r="O438" s="292"/>
      <c r="P438" s="292"/>
      <c r="Q438" s="292"/>
      <c r="R438" s="292"/>
      <c r="S438" s="292"/>
      <c r="T438" s="292"/>
      <c r="U438" s="292"/>
      <c r="V438" s="292"/>
      <c r="W438" s="292"/>
      <c r="X438" s="292"/>
      <c r="Y438" s="292"/>
      <c r="Z438" s="292"/>
    </row>
    <row r="439" spans="1:26" ht="12.75" customHeight="1" x14ac:dyDescent="0.25">
      <c r="A439" s="292"/>
      <c r="B439" s="292"/>
      <c r="C439" s="292"/>
      <c r="D439" s="292"/>
      <c r="E439" s="292"/>
      <c r="F439" s="292"/>
      <c r="G439" s="292"/>
      <c r="H439" s="292"/>
      <c r="I439" s="292"/>
      <c r="J439" s="292"/>
      <c r="K439" s="292"/>
      <c r="L439" s="292"/>
      <c r="M439" s="292"/>
      <c r="N439" s="292"/>
      <c r="O439" s="292"/>
      <c r="P439" s="292"/>
      <c r="Q439" s="292"/>
      <c r="R439" s="292"/>
      <c r="S439" s="292"/>
      <c r="T439" s="292"/>
      <c r="U439" s="292"/>
      <c r="V439" s="292"/>
      <c r="W439" s="292"/>
      <c r="X439" s="292"/>
      <c r="Y439" s="292"/>
      <c r="Z439" s="292"/>
    </row>
    <row r="440" spans="1:26" ht="12.75" customHeight="1" x14ac:dyDescent="0.25">
      <c r="A440" s="292"/>
      <c r="B440" s="292"/>
      <c r="C440" s="292"/>
      <c r="D440" s="292"/>
      <c r="E440" s="292"/>
      <c r="F440" s="292"/>
      <c r="G440" s="292"/>
      <c r="H440" s="292"/>
      <c r="I440" s="292"/>
      <c r="J440" s="292"/>
      <c r="K440" s="292"/>
      <c r="L440" s="292"/>
      <c r="M440" s="292"/>
      <c r="N440" s="292"/>
      <c r="O440" s="292"/>
      <c r="P440" s="292"/>
      <c r="Q440" s="292"/>
      <c r="R440" s="292"/>
      <c r="S440" s="292"/>
      <c r="T440" s="292"/>
      <c r="U440" s="292"/>
      <c r="V440" s="292"/>
      <c r="W440" s="292"/>
      <c r="X440" s="292"/>
      <c r="Y440" s="292"/>
      <c r="Z440" s="292"/>
    </row>
    <row r="441" spans="1:26" ht="12.75" customHeight="1" x14ac:dyDescent="0.25">
      <c r="A441" s="292"/>
      <c r="B441" s="292"/>
      <c r="C441" s="292"/>
      <c r="D441" s="292"/>
      <c r="E441" s="292"/>
      <c r="F441" s="292"/>
      <c r="G441" s="292"/>
      <c r="H441" s="292"/>
      <c r="I441" s="292"/>
      <c r="J441" s="292"/>
      <c r="K441" s="292"/>
      <c r="L441" s="292"/>
      <c r="M441" s="292"/>
      <c r="N441" s="292"/>
      <c r="O441" s="292"/>
      <c r="P441" s="292"/>
      <c r="Q441" s="292"/>
      <c r="R441" s="292"/>
      <c r="S441" s="292"/>
      <c r="T441" s="292"/>
      <c r="U441" s="292"/>
      <c r="V441" s="292"/>
      <c r="W441" s="292"/>
      <c r="X441" s="292"/>
      <c r="Y441" s="292"/>
      <c r="Z441" s="292"/>
    </row>
    <row r="442" spans="1:26" ht="12.75" customHeight="1" x14ac:dyDescent="0.25">
      <c r="A442" s="292"/>
      <c r="B442" s="292"/>
      <c r="C442" s="292"/>
      <c r="D442" s="292"/>
      <c r="E442" s="292"/>
      <c r="F442" s="292"/>
      <c r="G442" s="292"/>
      <c r="H442" s="292"/>
      <c r="I442" s="292"/>
      <c r="J442" s="292"/>
      <c r="K442" s="292"/>
      <c r="L442" s="292"/>
      <c r="M442" s="292"/>
      <c r="N442" s="292"/>
      <c r="O442" s="292"/>
      <c r="P442" s="292"/>
      <c r="Q442" s="292"/>
      <c r="R442" s="292"/>
      <c r="S442" s="292"/>
      <c r="T442" s="292"/>
      <c r="U442" s="292"/>
      <c r="V442" s="292"/>
      <c r="W442" s="292"/>
      <c r="X442" s="292"/>
      <c r="Y442" s="292"/>
      <c r="Z442" s="292"/>
    </row>
    <row r="443" spans="1:26" ht="12.75" customHeight="1" x14ac:dyDescent="0.25">
      <c r="A443" s="292"/>
      <c r="B443" s="292"/>
      <c r="C443" s="292"/>
      <c r="D443" s="292"/>
      <c r="E443" s="292"/>
      <c r="F443" s="292"/>
      <c r="G443" s="292"/>
      <c r="H443" s="292"/>
      <c r="I443" s="292"/>
      <c r="J443" s="292"/>
      <c r="K443" s="292"/>
      <c r="L443" s="292"/>
      <c r="M443" s="292"/>
      <c r="N443" s="292"/>
      <c r="O443" s="292"/>
      <c r="P443" s="292"/>
      <c r="Q443" s="292"/>
      <c r="R443" s="292"/>
      <c r="S443" s="292"/>
      <c r="T443" s="292"/>
      <c r="U443" s="292"/>
      <c r="V443" s="292"/>
      <c r="W443" s="292"/>
      <c r="X443" s="292"/>
      <c r="Y443" s="292"/>
      <c r="Z443" s="292"/>
    </row>
    <row r="444" spans="1:26" ht="12.75" customHeight="1" x14ac:dyDescent="0.25">
      <c r="A444" s="292"/>
      <c r="B444" s="292"/>
      <c r="C444" s="292"/>
      <c r="D444" s="292"/>
      <c r="E444" s="292"/>
      <c r="F444" s="292"/>
      <c r="G444" s="292"/>
      <c r="H444" s="292"/>
      <c r="I444" s="292"/>
      <c r="J444" s="292"/>
      <c r="K444" s="292"/>
      <c r="L444" s="292"/>
      <c r="M444" s="292"/>
      <c r="N444" s="292"/>
      <c r="O444" s="292"/>
      <c r="P444" s="292"/>
      <c r="Q444" s="292"/>
      <c r="R444" s="292"/>
      <c r="S444" s="292"/>
      <c r="T444" s="292"/>
      <c r="U444" s="292"/>
      <c r="V444" s="292"/>
      <c r="W444" s="292"/>
      <c r="X444" s="292"/>
      <c r="Y444" s="292"/>
      <c r="Z444" s="292"/>
    </row>
    <row r="445" spans="1:26" ht="12.75" customHeight="1" x14ac:dyDescent="0.25">
      <c r="A445" s="292"/>
      <c r="B445" s="292"/>
      <c r="C445" s="292"/>
      <c r="D445" s="292"/>
      <c r="E445" s="292"/>
      <c r="F445" s="292"/>
      <c r="G445" s="292"/>
      <c r="H445" s="292"/>
      <c r="I445" s="292"/>
      <c r="J445" s="292"/>
      <c r="K445" s="292"/>
      <c r="L445" s="292"/>
      <c r="M445" s="292"/>
      <c r="N445" s="292"/>
      <c r="O445" s="292"/>
      <c r="P445" s="292"/>
      <c r="Q445" s="292"/>
      <c r="R445" s="292"/>
      <c r="S445" s="292"/>
      <c r="T445" s="292"/>
      <c r="U445" s="292"/>
      <c r="V445" s="292"/>
      <c r="W445" s="292"/>
      <c r="X445" s="292"/>
      <c r="Y445" s="292"/>
      <c r="Z445" s="292"/>
    </row>
    <row r="446" spans="1:26" ht="12.75" customHeight="1" x14ac:dyDescent="0.25">
      <c r="A446" s="292"/>
      <c r="B446" s="292"/>
      <c r="C446" s="292"/>
      <c r="D446" s="292"/>
      <c r="E446" s="292"/>
      <c r="F446" s="292"/>
      <c r="G446" s="292"/>
      <c r="H446" s="292"/>
      <c r="I446" s="292"/>
      <c r="J446" s="292"/>
      <c r="K446" s="292"/>
      <c r="L446" s="292"/>
      <c r="M446" s="292"/>
      <c r="N446" s="292"/>
      <c r="O446" s="292"/>
      <c r="P446" s="292"/>
      <c r="Q446" s="292"/>
      <c r="R446" s="292"/>
      <c r="S446" s="292"/>
      <c r="T446" s="292"/>
      <c r="U446" s="292"/>
      <c r="V446" s="292"/>
      <c r="W446" s="292"/>
      <c r="X446" s="292"/>
      <c r="Y446" s="292"/>
      <c r="Z446" s="292"/>
    </row>
    <row r="447" spans="1:26" ht="12.75" customHeight="1" x14ac:dyDescent="0.25">
      <c r="A447" s="292"/>
      <c r="B447" s="292"/>
      <c r="C447" s="292"/>
      <c r="D447" s="292"/>
      <c r="E447" s="292"/>
      <c r="F447" s="292"/>
      <c r="G447" s="292"/>
      <c r="H447" s="292"/>
      <c r="I447" s="292"/>
      <c r="J447" s="292"/>
      <c r="K447" s="292"/>
      <c r="L447" s="292"/>
      <c r="M447" s="292"/>
      <c r="N447" s="292"/>
      <c r="O447" s="292"/>
      <c r="P447" s="292"/>
      <c r="Q447" s="292"/>
      <c r="R447" s="292"/>
      <c r="S447" s="292"/>
      <c r="T447" s="292"/>
      <c r="U447" s="292"/>
      <c r="V447" s="292"/>
      <c r="W447" s="292"/>
      <c r="X447" s="292"/>
      <c r="Y447" s="292"/>
      <c r="Z447" s="292"/>
    </row>
    <row r="448" spans="1:26" ht="12.75" customHeight="1" x14ac:dyDescent="0.25">
      <c r="A448" s="292"/>
      <c r="B448" s="292"/>
      <c r="C448" s="292"/>
      <c r="D448" s="292"/>
      <c r="E448" s="292"/>
      <c r="F448" s="292"/>
      <c r="G448" s="292"/>
      <c r="H448" s="292"/>
      <c r="I448" s="292"/>
      <c r="J448" s="292"/>
      <c r="K448" s="292"/>
      <c r="L448" s="292"/>
      <c r="M448" s="292"/>
      <c r="N448" s="292"/>
      <c r="O448" s="292"/>
      <c r="P448" s="292"/>
      <c r="Q448" s="292"/>
      <c r="R448" s="292"/>
      <c r="S448" s="292"/>
      <c r="T448" s="292"/>
      <c r="U448" s="292"/>
      <c r="V448" s="292"/>
      <c r="W448" s="292"/>
      <c r="X448" s="292"/>
      <c r="Y448" s="292"/>
      <c r="Z448" s="292"/>
    </row>
    <row r="449" spans="1:26" ht="12.75" customHeight="1" x14ac:dyDescent="0.25">
      <c r="A449" s="292"/>
      <c r="B449" s="292"/>
      <c r="C449" s="292"/>
      <c r="D449" s="292"/>
      <c r="E449" s="292"/>
      <c r="F449" s="292"/>
      <c r="G449" s="292"/>
      <c r="H449" s="292"/>
      <c r="I449" s="292"/>
      <c r="J449" s="292"/>
      <c r="K449" s="292"/>
      <c r="L449" s="292"/>
      <c r="M449" s="292"/>
      <c r="N449" s="292"/>
      <c r="O449" s="292"/>
      <c r="P449" s="292"/>
      <c r="Q449" s="292"/>
      <c r="R449" s="292"/>
      <c r="S449" s="292"/>
      <c r="T449" s="292"/>
      <c r="U449" s="292"/>
      <c r="V449" s="292"/>
      <c r="W449" s="292"/>
      <c r="X449" s="292"/>
      <c r="Y449" s="292"/>
      <c r="Z449" s="292"/>
    </row>
    <row r="450" spans="1:26" ht="12.75" customHeight="1" x14ac:dyDescent="0.25">
      <c r="A450" s="292"/>
      <c r="B450" s="292"/>
      <c r="C450" s="292"/>
      <c r="D450" s="292"/>
      <c r="E450" s="292"/>
      <c r="F450" s="292"/>
      <c r="G450" s="292"/>
      <c r="H450" s="292"/>
      <c r="I450" s="292"/>
      <c r="J450" s="292"/>
      <c r="K450" s="292"/>
      <c r="L450" s="292"/>
      <c r="M450" s="292"/>
      <c r="N450" s="292"/>
      <c r="O450" s="292"/>
      <c r="P450" s="292"/>
      <c r="Q450" s="292"/>
      <c r="R450" s="292"/>
      <c r="S450" s="292"/>
      <c r="T450" s="292"/>
      <c r="U450" s="292"/>
      <c r="V450" s="292"/>
      <c r="W450" s="292"/>
      <c r="X450" s="292"/>
      <c r="Y450" s="292"/>
      <c r="Z450" s="292"/>
    </row>
    <row r="451" spans="1:26" ht="12.75" customHeight="1" x14ac:dyDescent="0.25">
      <c r="A451" s="292"/>
      <c r="B451" s="292"/>
      <c r="C451" s="292"/>
      <c r="D451" s="292"/>
      <c r="E451" s="292"/>
      <c r="F451" s="292"/>
      <c r="G451" s="292"/>
      <c r="H451" s="292"/>
      <c r="I451" s="292"/>
      <c r="J451" s="292"/>
      <c r="K451" s="292"/>
      <c r="L451" s="292"/>
      <c r="M451" s="292"/>
      <c r="N451" s="292"/>
      <c r="O451" s="292"/>
      <c r="P451" s="292"/>
      <c r="Q451" s="292"/>
      <c r="R451" s="292"/>
      <c r="S451" s="292"/>
      <c r="T451" s="292"/>
      <c r="U451" s="292"/>
      <c r="V451" s="292"/>
      <c r="W451" s="292"/>
      <c r="X451" s="292"/>
      <c r="Y451" s="292"/>
      <c r="Z451" s="292"/>
    </row>
    <row r="452" spans="1:26" ht="12.75" customHeight="1" x14ac:dyDescent="0.25">
      <c r="A452" s="292"/>
      <c r="B452" s="292"/>
      <c r="C452" s="292"/>
      <c r="D452" s="292"/>
      <c r="E452" s="292"/>
      <c r="F452" s="292"/>
      <c r="G452" s="292"/>
      <c r="H452" s="292"/>
      <c r="I452" s="292"/>
      <c r="J452" s="292"/>
      <c r="K452" s="292"/>
      <c r="L452" s="292"/>
      <c r="M452" s="292"/>
      <c r="N452" s="292"/>
      <c r="O452" s="292"/>
      <c r="P452" s="292"/>
      <c r="Q452" s="292"/>
      <c r="R452" s="292"/>
      <c r="S452" s="292"/>
      <c r="T452" s="292"/>
      <c r="U452" s="292"/>
      <c r="V452" s="292"/>
      <c r="W452" s="292"/>
      <c r="X452" s="292"/>
      <c r="Y452" s="292"/>
      <c r="Z452" s="292"/>
    </row>
    <row r="453" spans="1:26" ht="12.75" customHeight="1" x14ac:dyDescent="0.25">
      <c r="A453" s="292"/>
      <c r="B453" s="292"/>
      <c r="C453" s="292"/>
      <c r="D453" s="292"/>
      <c r="E453" s="292"/>
      <c r="F453" s="292"/>
      <c r="G453" s="292"/>
      <c r="H453" s="292"/>
      <c r="I453" s="292"/>
      <c r="J453" s="292"/>
      <c r="K453" s="292"/>
      <c r="L453" s="292"/>
      <c r="M453" s="292"/>
      <c r="N453" s="292"/>
      <c r="O453" s="292"/>
      <c r="P453" s="292"/>
      <c r="Q453" s="292"/>
      <c r="R453" s="292"/>
      <c r="S453" s="292"/>
      <c r="T453" s="292"/>
      <c r="U453" s="292"/>
      <c r="V453" s="292"/>
      <c r="W453" s="292"/>
      <c r="X453" s="292"/>
      <c r="Y453" s="292"/>
      <c r="Z453" s="292"/>
    </row>
    <row r="454" spans="1:26" ht="12.75" customHeight="1" x14ac:dyDescent="0.25">
      <c r="A454" s="292"/>
      <c r="B454" s="292"/>
      <c r="C454" s="292"/>
      <c r="D454" s="292"/>
      <c r="E454" s="292"/>
      <c r="F454" s="292"/>
      <c r="G454" s="292"/>
      <c r="H454" s="292"/>
      <c r="I454" s="292"/>
      <c r="J454" s="292"/>
      <c r="K454" s="292"/>
      <c r="L454" s="292"/>
      <c r="M454" s="292"/>
      <c r="N454" s="292"/>
      <c r="O454" s="292"/>
      <c r="P454" s="292"/>
      <c r="Q454" s="292"/>
      <c r="R454" s="292"/>
      <c r="S454" s="292"/>
      <c r="T454" s="292"/>
      <c r="U454" s="292"/>
      <c r="V454" s="292"/>
      <c r="W454" s="292"/>
      <c r="X454" s="292"/>
      <c r="Y454" s="292"/>
      <c r="Z454" s="292"/>
    </row>
    <row r="455" spans="1:26" ht="12.75" customHeight="1" x14ac:dyDescent="0.25">
      <c r="A455" s="292"/>
      <c r="B455" s="292"/>
      <c r="C455" s="292"/>
      <c r="D455" s="292"/>
      <c r="E455" s="292"/>
      <c r="F455" s="292"/>
      <c r="G455" s="292"/>
      <c r="H455" s="292"/>
      <c r="I455" s="292"/>
      <c r="J455" s="292"/>
      <c r="K455" s="292"/>
      <c r="L455" s="292"/>
      <c r="M455" s="292"/>
      <c r="N455" s="292"/>
      <c r="O455" s="292"/>
      <c r="P455" s="292"/>
      <c r="Q455" s="292"/>
      <c r="R455" s="292"/>
      <c r="S455" s="292"/>
      <c r="T455" s="292"/>
      <c r="U455" s="292"/>
      <c r="V455" s="292"/>
      <c r="W455" s="292"/>
      <c r="X455" s="292"/>
      <c r="Y455" s="292"/>
      <c r="Z455" s="292"/>
    </row>
    <row r="456" spans="1:26" ht="12.75" customHeight="1" x14ac:dyDescent="0.25">
      <c r="A456" s="292"/>
      <c r="B456" s="292"/>
      <c r="C456" s="292"/>
      <c r="D456" s="292"/>
      <c r="E456" s="292"/>
      <c r="F456" s="292"/>
      <c r="G456" s="292"/>
      <c r="H456" s="292"/>
      <c r="I456" s="292"/>
      <c r="J456" s="292"/>
      <c r="K456" s="292"/>
      <c r="L456" s="292"/>
      <c r="M456" s="292"/>
      <c r="N456" s="292"/>
      <c r="O456" s="292"/>
      <c r="P456" s="292"/>
      <c r="Q456" s="292"/>
      <c r="R456" s="292"/>
      <c r="S456" s="292"/>
      <c r="T456" s="292"/>
      <c r="U456" s="292"/>
      <c r="V456" s="292"/>
      <c r="W456" s="292"/>
      <c r="X456" s="292"/>
      <c r="Y456" s="292"/>
      <c r="Z456" s="292"/>
    </row>
    <row r="457" spans="1:26" ht="12.75" customHeight="1" x14ac:dyDescent="0.25">
      <c r="A457" s="292"/>
      <c r="B457" s="292"/>
      <c r="C457" s="292"/>
      <c r="D457" s="292"/>
      <c r="E457" s="292"/>
      <c r="F457" s="292"/>
      <c r="G457" s="292"/>
      <c r="H457" s="292"/>
      <c r="I457" s="292"/>
      <c r="J457" s="292"/>
      <c r="K457" s="292"/>
      <c r="L457" s="292"/>
      <c r="M457" s="292"/>
      <c r="N457" s="292"/>
      <c r="O457" s="292"/>
      <c r="P457" s="292"/>
      <c r="Q457" s="292"/>
      <c r="R457" s="292"/>
      <c r="S457" s="292"/>
      <c r="T457" s="292"/>
      <c r="U457" s="292"/>
      <c r="V457" s="292"/>
      <c r="W457" s="292"/>
      <c r="X457" s="292"/>
      <c r="Y457" s="292"/>
      <c r="Z457" s="292"/>
    </row>
    <row r="458" spans="1:26" ht="12.75" customHeight="1" x14ac:dyDescent="0.25">
      <c r="A458" s="292"/>
      <c r="B458" s="292"/>
      <c r="C458" s="292"/>
      <c r="D458" s="292"/>
      <c r="E458" s="292"/>
      <c r="F458" s="292"/>
      <c r="G458" s="292"/>
      <c r="H458" s="292"/>
      <c r="I458" s="292"/>
      <c r="J458" s="292"/>
      <c r="K458" s="292"/>
      <c r="L458" s="292"/>
      <c r="M458" s="292"/>
      <c r="N458" s="292"/>
      <c r="O458" s="292"/>
      <c r="P458" s="292"/>
      <c r="Q458" s="292"/>
      <c r="R458" s="292"/>
      <c r="S458" s="292"/>
      <c r="T458" s="292"/>
      <c r="U458" s="292"/>
      <c r="V458" s="292"/>
      <c r="W458" s="292"/>
      <c r="X458" s="292"/>
      <c r="Y458" s="292"/>
      <c r="Z458" s="292"/>
    </row>
    <row r="459" spans="1:26" ht="12.75" customHeight="1" x14ac:dyDescent="0.25">
      <c r="A459" s="292"/>
      <c r="B459" s="292"/>
      <c r="C459" s="292"/>
      <c r="D459" s="292"/>
      <c r="E459" s="292"/>
      <c r="F459" s="292"/>
      <c r="G459" s="292"/>
      <c r="H459" s="292"/>
      <c r="I459" s="292"/>
      <c r="J459" s="292"/>
      <c r="K459" s="292"/>
      <c r="L459" s="292"/>
      <c r="M459" s="292"/>
      <c r="N459" s="292"/>
      <c r="O459" s="292"/>
      <c r="P459" s="292"/>
      <c r="Q459" s="292"/>
      <c r="R459" s="292"/>
      <c r="S459" s="292"/>
      <c r="T459" s="292"/>
      <c r="U459" s="292"/>
      <c r="V459" s="292"/>
      <c r="W459" s="292"/>
      <c r="X459" s="292"/>
      <c r="Y459" s="292"/>
      <c r="Z459" s="292"/>
    </row>
    <row r="460" spans="1:26" ht="12.75" customHeight="1" x14ac:dyDescent="0.25">
      <c r="A460" s="292"/>
      <c r="B460" s="292"/>
      <c r="C460" s="292"/>
      <c r="D460" s="292"/>
      <c r="E460" s="292"/>
      <c r="F460" s="292"/>
      <c r="G460" s="292"/>
      <c r="H460" s="292"/>
      <c r="I460" s="292"/>
      <c r="J460" s="292"/>
      <c r="K460" s="292"/>
      <c r="L460" s="292"/>
      <c r="M460" s="292"/>
      <c r="N460" s="292"/>
      <c r="O460" s="292"/>
      <c r="P460" s="292"/>
      <c r="Q460" s="292"/>
      <c r="R460" s="292"/>
      <c r="S460" s="292"/>
      <c r="T460" s="292"/>
      <c r="U460" s="292"/>
      <c r="V460" s="292"/>
      <c r="W460" s="292"/>
      <c r="X460" s="292"/>
      <c r="Y460" s="292"/>
      <c r="Z460" s="292"/>
    </row>
    <row r="461" spans="1:26" ht="12.75" customHeight="1" x14ac:dyDescent="0.25">
      <c r="A461" s="292"/>
      <c r="B461" s="292"/>
      <c r="C461" s="292"/>
      <c r="D461" s="292"/>
      <c r="E461" s="292"/>
      <c r="F461" s="292"/>
      <c r="G461" s="292"/>
      <c r="H461" s="292"/>
      <c r="I461" s="292"/>
      <c r="J461" s="292"/>
      <c r="K461" s="292"/>
      <c r="L461" s="292"/>
      <c r="M461" s="292"/>
      <c r="N461" s="292"/>
      <c r="O461" s="292"/>
      <c r="P461" s="292"/>
      <c r="Q461" s="292"/>
      <c r="R461" s="292"/>
      <c r="S461" s="292"/>
      <c r="T461" s="292"/>
      <c r="U461" s="292"/>
      <c r="V461" s="292"/>
      <c r="W461" s="292"/>
      <c r="X461" s="292"/>
      <c r="Y461" s="292"/>
      <c r="Z461" s="292"/>
    </row>
    <row r="462" spans="1:26" ht="12.75" customHeight="1" x14ac:dyDescent="0.25">
      <c r="A462" s="292"/>
      <c r="B462" s="292"/>
      <c r="C462" s="292"/>
      <c r="D462" s="292"/>
      <c r="E462" s="292"/>
      <c r="F462" s="292"/>
      <c r="G462" s="292"/>
      <c r="H462" s="292"/>
      <c r="I462" s="292"/>
      <c r="J462" s="292"/>
      <c r="K462" s="292"/>
      <c r="L462" s="292"/>
      <c r="M462" s="292"/>
      <c r="N462" s="292"/>
      <c r="O462" s="292"/>
      <c r="P462" s="292"/>
      <c r="Q462" s="292"/>
      <c r="R462" s="292"/>
      <c r="S462" s="292"/>
      <c r="T462" s="292"/>
      <c r="U462" s="292"/>
      <c r="V462" s="292"/>
      <c r="W462" s="292"/>
      <c r="X462" s="292"/>
      <c r="Y462" s="292"/>
      <c r="Z462" s="292"/>
    </row>
    <row r="463" spans="1:26" ht="12.75" customHeight="1" x14ac:dyDescent="0.25">
      <c r="A463" s="292"/>
      <c r="B463" s="292"/>
      <c r="C463" s="292"/>
      <c r="D463" s="292"/>
      <c r="E463" s="292"/>
      <c r="F463" s="292"/>
      <c r="G463" s="292"/>
      <c r="H463" s="292"/>
      <c r="I463" s="292"/>
      <c r="J463" s="292"/>
      <c r="K463" s="292"/>
      <c r="L463" s="292"/>
      <c r="M463" s="292"/>
      <c r="N463" s="292"/>
      <c r="O463" s="292"/>
      <c r="P463" s="292"/>
      <c r="Q463" s="292"/>
      <c r="R463" s="292"/>
      <c r="S463" s="292"/>
      <c r="T463" s="292"/>
      <c r="U463" s="292"/>
      <c r="V463" s="292"/>
      <c r="W463" s="292"/>
      <c r="X463" s="292"/>
      <c r="Y463" s="292"/>
      <c r="Z463" s="292"/>
    </row>
    <row r="464" spans="1:26" ht="12.75" customHeight="1" x14ac:dyDescent="0.25">
      <c r="A464" s="292"/>
      <c r="B464" s="292"/>
      <c r="C464" s="292"/>
      <c r="D464" s="292"/>
      <c r="E464" s="292"/>
      <c r="F464" s="292"/>
      <c r="G464" s="292"/>
      <c r="H464" s="292"/>
      <c r="I464" s="292"/>
      <c r="J464" s="292"/>
      <c r="K464" s="292"/>
      <c r="L464" s="292"/>
      <c r="M464" s="292"/>
      <c r="N464" s="292"/>
      <c r="O464" s="292"/>
      <c r="P464" s="292"/>
      <c r="Q464" s="292"/>
      <c r="R464" s="292"/>
      <c r="S464" s="292"/>
      <c r="T464" s="292"/>
      <c r="U464" s="292"/>
      <c r="V464" s="292"/>
      <c r="W464" s="292"/>
      <c r="X464" s="292"/>
      <c r="Y464" s="292"/>
      <c r="Z464" s="292"/>
    </row>
    <row r="465" spans="1:26" ht="12.75" customHeight="1" x14ac:dyDescent="0.25">
      <c r="A465" s="292"/>
      <c r="B465" s="292"/>
      <c r="C465" s="292"/>
      <c r="D465" s="292"/>
      <c r="E465" s="292"/>
      <c r="F465" s="292"/>
      <c r="G465" s="292"/>
      <c r="H465" s="292"/>
      <c r="I465" s="292"/>
      <c r="J465" s="292"/>
      <c r="K465" s="292"/>
      <c r="L465" s="292"/>
      <c r="M465" s="292"/>
      <c r="N465" s="292"/>
      <c r="O465" s="292"/>
      <c r="P465" s="292"/>
      <c r="Q465" s="292"/>
      <c r="R465" s="292"/>
      <c r="S465" s="292"/>
      <c r="T465" s="292"/>
      <c r="U465" s="292"/>
      <c r="V465" s="292"/>
      <c r="W465" s="292"/>
      <c r="X465" s="292"/>
      <c r="Y465" s="292"/>
      <c r="Z465" s="292"/>
    </row>
    <row r="466" spans="1:26" ht="12.75" customHeight="1" x14ac:dyDescent="0.25">
      <c r="A466" s="292"/>
      <c r="B466" s="292"/>
      <c r="C466" s="292"/>
      <c r="D466" s="292"/>
      <c r="E466" s="292"/>
      <c r="F466" s="292"/>
      <c r="G466" s="292"/>
      <c r="H466" s="292"/>
      <c r="I466" s="292"/>
      <c r="J466" s="292"/>
      <c r="K466" s="292"/>
      <c r="L466" s="292"/>
      <c r="M466" s="292"/>
      <c r="N466" s="292"/>
      <c r="O466" s="292"/>
      <c r="P466" s="292"/>
      <c r="Q466" s="292"/>
      <c r="R466" s="292"/>
      <c r="S466" s="292"/>
      <c r="T466" s="292"/>
      <c r="U466" s="292"/>
      <c r="V466" s="292"/>
      <c r="W466" s="292"/>
      <c r="X466" s="292"/>
      <c r="Y466" s="292"/>
      <c r="Z466" s="292"/>
    </row>
    <row r="467" spans="1:26" ht="12.75" customHeight="1" x14ac:dyDescent="0.25">
      <c r="A467" s="292"/>
      <c r="B467" s="292"/>
      <c r="C467" s="292"/>
      <c r="D467" s="292"/>
      <c r="E467" s="292"/>
      <c r="F467" s="292"/>
      <c r="G467" s="292"/>
      <c r="H467" s="292"/>
      <c r="I467" s="292"/>
      <c r="J467" s="292"/>
      <c r="K467" s="292"/>
      <c r="L467" s="292"/>
      <c r="M467" s="292"/>
      <c r="N467" s="292"/>
      <c r="O467" s="292"/>
      <c r="P467" s="292"/>
      <c r="Q467" s="292"/>
      <c r="R467" s="292"/>
      <c r="S467" s="292"/>
      <c r="T467" s="292"/>
      <c r="U467" s="292"/>
      <c r="V467" s="292"/>
      <c r="W467" s="292"/>
      <c r="X467" s="292"/>
      <c r="Y467" s="292"/>
      <c r="Z467" s="292"/>
    </row>
    <row r="468" spans="1:26" ht="12.75" customHeight="1" x14ac:dyDescent="0.25">
      <c r="A468" s="292"/>
      <c r="B468" s="292"/>
      <c r="C468" s="292"/>
      <c r="D468" s="292"/>
      <c r="E468" s="292"/>
      <c r="F468" s="292"/>
      <c r="G468" s="292"/>
      <c r="H468" s="292"/>
      <c r="I468" s="292"/>
      <c r="J468" s="292"/>
      <c r="K468" s="292"/>
      <c r="L468" s="292"/>
      <c r="M468" s="292"/>
      <c r="N468" s="292"/>
      <c r="O468" s="292"/>
      <c r="P468" s="292"/>
      <c r="Q468" s="292"/>
      <c r="R468" s="292"/>
      <c r="S468" s="292"/>
      <c r="T468" s="292"/>
      <c r="U468" s="292"/>
      <c r="V468" s="292"/>
      <c r="W468" s="292"/>
      <c r="X468" s="292"/>
      <c r="Y468" s="292"/>
      <c r="Z468" s="292"/>
    </row>
    <row r="469" spans="1:26" ht="12.75" customHeight="1" x14ac:dyDescent="0.25">
      <c r="A469" s="292"/>
      <c r="B469" s="292"/>
      <c r="C469" s="292"/>
      <c r="D469" s="292"/>
      <c r="E469" s="292"/>
      <c r="F469" s="292"/>
      <c r="G469" s="292"/>
      <c r="H469" s="292"/>
      <c r="I469" s="292"/>
      <c r="J469" s="292"/>
      <c r="K469" s="292"/>
      <c r="L469" s="292"/>
      <c r="M469" s="292"/>
      <c r="N469" s="292"/>
      <c r="O469" s="292"/>
      <c r="P469" s="292"/>
      <c r="Q469" s="292"/>
      <c r="R469" s="292"/>
      <c r="S469" s="292"/>
      <c r="T469" s="292"/>
      <c r="U469" s="292"/>
      <c r="V469" s="292"/>
      <c r="W469" s="292"/>
      <c r="X469" s="292"/>
      <c r="Y469" s="292"/>
      <c r="Z469" s="292"/>
    </row>
    <row r="470" spans="1:26" ht="12.75" customHeight="1" x14ac:dyDescent="0.25">
      <c r="A470" s="292"/>
      <c r="B470" s="292"/>
      <c r="C470" s="292"/>
      <c r="D470" s="292"/>
      <c r="E470" s="292"/>
      <c r="F470" s="292"/>
      <c r="G470" s="292"/>
      <c r="H470" s="292"/>
      <c r="I470" s="292"/>
      <c r="J470" s="292"/>
      <c r="K470" s="292"/>
      <c r="L470" s="292"/>
      <c r="M470" s="292"/>
      <c r="N470" s="292"/>
      <c r="O470" s="292"/>
      <c r="P470" s="292"/>
      <c r="Q470" s="292"/>
      <c r="R470" s="292"/>
      <c r="S470" s="292"/>
      <c r="T470" s="292"/>
      <c r="U470" s="292"/>
      <c r="V470" s="292"/>
      <c r="W470" s="292"/>
      <c r="X470" s="292"/>
      <c r="Y470" s="292"/>
      <c r="Z470" s="292"/>
    </row>
    <row r="471" spans="1:26" ht="12.75" customHeight="1" x14ac:dyDescent="0.25">
      <c r="A471" s="292"/>
      <c r="B471" s="292"/>
      <c r="C471" s="292"/>
      <c r="D471" s="292"/>
      <c r="E471" s="292"/>
      <c r="F471" s="292"/>
      <c r="G471" s="292"/>
      <c r="H471" s="292"/>
      <c r="I471" s="292"/>
      <c r="J471" s="292"/>
      <c r="K471" s="292"/>
      <c r="L471" s="292"/>
      <c r="M471" s="292"/>
      <c r="N471" s="292"/>
      <c r="O471" s="292"/>
      <c r="P471" s="292"/>
      <c r="Q471" s="292"/>
      <c r="R471" s="292"/>
      <c r="S471" s="292"/>
      <c r="T471" s="292"/>
      <c r="U471" s="292"/>
      <c r="V471" s="292"/>
      <c r="W471" s="292"/>
      <c r="X471" s="292"/>
      <c r="Y471" s="292"/>
      <c r="Z471" s="292"/>
    </row>
    <row r="472" spans="1:26" ht="12.75" customHeight="1" x14ac:dyDescent="0.25">
      <c r="A472" s="292"/>
      <c r="B472" s="292"/>
      <c r="C472" s="292"/>
      <c r="D472" s="292"/>
      <c r="E472" s="292"/>
      <c r="F472" s="292"/>
      <c r="G472" s="292"/>
      <c r="H472" s="292"/>
      <c r="I472" s="292"/>
      <c r="J472" s="292"/>
      <c r="K472" s="292"/>
      <c r="L472" s="292"/>
      <c r="M472" s="292"/>
      <c r="N472" s="292"/>
      <c r="O472" s="292"/>
      <c r="P472" s="292"/>
      <c r="Q472" s="292"/>
      <c r="R472" s="292"/>
      <c r="S472" s="292"/>
      <c r="T472" s="292"/>
      <c r="U472" s="292"/>
      <c r="V472" s="292"/>
      <c r="W472" s="292"/>
      <c r="X472" s="292"/>
      <c r="Y472" s="292"/>
      <c r="Z472" s="292"/>
    </row>
    <row r="473" spans="1:26" ht="12.75" customHeight="1" x14ac:dyDescent="0.25">
      <c r="A473" s="292"/>
      <c r="B473" s="292"/>
      <c r="C473" s="292"/>
      <c r="D473" s="292"/>
      <c r="E473" s="292"/>
      <c r="F473" s="292"/>
      <c r="G473" s="292"/>
      <c r="H473" s="292"/>
      <c r="I473" s="292"/>
      <c r="J473" s="292"/>
      <c r="K473" s="292"/>
      <c r="L473" s="292"/>
      <c r="M473" s="292"/>
      <c r="N473" s="292"/>
      <c r="O473" s="292"/>
      <c r="P473" s="292"/>
      <c r="Q473" s="292"/>
      <c r="R473" s="292"/>
      <c r="S473" s="292"/>
      <c r="T473" s="292"/>
      <c r="U473" s="292"/>
      <c r="V473" s="292"/>
      <c r="W473" s="292"/>
      <c r="X473" s="292"/>
      <c r="Y473" s="292"/>
      <c r="Z473" s="292"/>
    </row>
    <row r="474" spans="1:26" ht="12.75" customHeight="1" x14ac:dyDescent="0.25">
      <c r="A474" s="292"/>
      <c r="B474" s="292"/>
      <c r="C474" s="292"/>
      <c r="D474" s="292"/>
      <c r="E474" s="292"/>
      <c r="F474" s="292"/>
      <c r="G474" s="292"/>
      <c r="H474" s="292"/>
      <c r="I474" s="292"/>
      <c r="J474" s="292"/>
      <c r="K474" s="292"/>
      <c r="L474" s="292"/>
      <c r="M474" s="292"/>
      <c r="N474" s="292"/>
      <c r="O474" s="292"/>
      <c r="P474" s="292"/>
      <c r="Q474" s="292"/>
      <c r="R474" s="292"/>
      <c r="S474" s="292"/>
      <c r="T474" s="292"/>
      <c r="U474" s="292"/>
      <c r="V474" s="292"/>
      <c r="W474" s="292"/>
      <c r="X474" s="292"/>
      <c r="Y474" s="292"/>
      <c r="Z474" s="292"/>
    </row>
    <row r="475" spans="1:26" ht="12.75" customHeight="1" x14ac:dyDescent="0.25">
      <c r="A475" s="292"/>
      <c r="B475" s="292"/>
      <c r="C475" s="292"/>
      <c r="D475" s="292"/>
      <c r="E475" s="292"/>
      <c r="F475" s="292"/>
      <c r="G475" s="292"/>
      <c r="H475" s="292"/>
      <c r="I475" s="292"/>
      <c r="J475" s="292"/>
      <c r="K475" s="292"/>
      <c r="L475" s="292"/>
      <c r="M475" s="292"/>
      <c r="N475" s="292"/>
      <c r="O475" s="292"/>
      <c r="P475" s="292"/>
      <c r="Q475" s="292"/>
      <c r="R475" s="292"/>
      <c r="S475" s="292"/>
      <c r="T475" s="292"/>
      <c r="U475" s="292"/>
      <c r="V475" s="292"/>
      <c r="W475" s="292"/>
      <c r="X475" s="292"/>
      <c r="Y475" s="292"/>
      <c r="Z475" s="292"/>
    </row>
    <row r="476" spans="1:26" ht="12.75" customHeight="1" x14ac:dyDescent="0.25">
      <c r="A476" s="292"/>
      <c r="B476" s="292"/>
      <c r="C476" s="292"/>
      <c r="D476" s="292"/>
      <c r="E476" s="292"/>
      <c r="F476" s="292"/>
      <c r="G476" s="292"/>
      <c r="H476" s="292"/>
      <c r="I476" s="292"/>
      <c r="J476" s="292"/>
      <c r="K476" s="292"/>
      <c r="L476" s="292"/>
      <c r="M476" s="292"/>
      <c r="N476" s="292"/>
      <c r="O476" s="292"/>
      <c r="P476" s="292"/>
      <c r="Q476" s="292"/>
      <c r="R476" s="292"/>
      <c r="S476" s="292"/>
      <c r="T476" s="292"/>
      <c r="U476" s="292"/>
      <c r="V476" s="292"/>
      <c r="W476" s="292"/>
      <c r="X476" s="292"/>
      <c r="Y476" s="292"/>
      <c r="Z476" s="292"/>
    </row>
    <row r="477" spans="1:26" ht="12.75" customHeight="1" x14ac:dyDescent="0.25">
      <c r="A477" s="292"/>
      <c r="B477" s="292"/>
      <c r="C477" s="292"/>
      <c r="D477" s="292"/>
      <c r="E477" s="292"/>
      <c r="F477" s="292"/>
      <c r="G477" s="292"/>
      <c r="H477" s="292"/>
      <c r="I477" s="292"/>
      <c r="J477" s="292"/>
      <c r="K477" s="292"/>
      <c r="L477" s="292"/>
      <c r="M477" s="292"/>
      <c r="N477" s="292"/>
      <c r="O477" s="292"/>
      <c r="P477" s="292"/>
      <c r="Q477" s="292"/>
      <c r="R477" s="292"/>
      <c r="S477" s="292"/>
      <c r="T477" s="292"/>
      <c r="U477" s="292"/>
      <c r="V477" s="292"/>
      <c r="W477" s="292"/>
      <c r="X477" s="292"/>
      <c r="Y477" s="292"/>
      <c r="Z477" s="292"/>
    </row>
    <row r="478" spans="1:26" ht="12.75" customHeight="1" x14ac:dyDescent="0.25">
      <c r="A478" s="292"/>
      <c r="B478" s="292"/>
      <c r="C478" s="292"/>
      <c r="D478" s="292"/>
      <c r="E478" s="292"/>
      <c r="F478" s="292"/>
      <c r="G478" s="292"/>
      <c r="H478" s="292"/>
      <c r="I478" s="292"/>
      <c r="J478" s="292"/>
      <c r="K478" s="292"/>
      <c r="L478" s="292"/>
      <c r="M478" s="292"/>
      <c r="N478" s="292"/>
      <c r="O478" s="292"/>
      <c r="P478" s="292"/>
      <c r="Q478" s="292"/>
      <c r="R478" s="292"/>
      <c r="S478" s="292"/>
      <c r="T478" s="292"/>
      <c r="U478" s="292"/>
      <c r="V478" s="292"/>
      <c r="W478" s="292"/>
      <c r="X478" s="292"/>
      <c r="Y478" s="292"/>
      <c r="Z478" s="292"/>
    </row>
    <row r="479" spans="1:26" ht="12.75" customHeight="1" x14ac:dyDescent="0.25">
      <c r="A479" s="292"/>
      <c r="B479" s="292"/>
      <c r="C479" s="292"/>
      <c r="D479" s="292"/>
      <c r="E479" s="292"/>
      <c r="F479" s="292"/>
      <c r="G479" s="292"/>
      <c r="H479" s="292"/>
      <c r="I479" s="292"/>
      <c r="J479" s="292"/>
      <c r="K479" s="292"/>
      <c r="L479" s="292"/>
      <c r="M479" s="292"/>
      <c r="N479" s="292"/>
      <c r="O479" s="292"/>
      <c r="P479" s="292"/>
      <c r="Q479" s="292"/>
      <c r="R479" s="292"/>
      <c r="S479" s="292"/>
      <c r="T479" s="292"/>
      <c r="U479" s="292"/>
      <c r="V479" s="292"/>
      <c r="W479" s="292"/>
      <c r="X479" s="292"/>
      <c r="Y479" s="292"/>
      <c r="Z479" s="292"/>
    </row>
    <row r="480" spans="1:26" ht="12.75" customHeight="1" x14ac:dyDescent="0.25">
      <c r="A480" s="292"/>
      <c r="B480" s="292"/>
      <c r="C480" s="292"/>
      <c r="D480" s="292"/>
      <c r="E480" s="292"/>
      <c r="F480" s="292"/>
      <c r="G480" s="292"/>
      <c r="H480" s="292"/>
      <c r="I480" s="292"/>
      <c r="J480" s="292"/>
      <c r="K480" s="292"/>
      <c r="L480" s="292"/>
      <c r="M480" s="292"/>
      <c r="N480" s="292"/>
      <c r="O480" s="292"/>
      <c r="P480" s="292"/>
      <c r="Q480" s="292"/>
      <c r="R480" s="292"/>
      <c r="S480" s="292"/>
      <c r="T480" s="292"/>
      <c r="U480" s="292"/>
      <c r="V480" s="292"/>
      <c r="W480" s="292"/>
      <c r="X480" s="292"/>
      <c r="Y480" s="292"/>
      <c r="Z480" s="292"/>
    </row>
    <row r="481" spans="1:26" ht="12.75" customHeight="1" x14ac:dyDescent="0.25">
      <c r="A481" s="292"/>
      <c r="B481" s="292"/>
      <c r="C481" s="292"/>
      <c r="D481" s="292"/>
      <c r="E481" s="292"/>
      <c r="F481" s="292"/>
      <c r="G481" s="292"/>
      <c r="H481" s="292"/>
      <c r="I481" s="292"/>
      <c r="J481" s="292"/>
      <c r="K481" s="292"/>
      <c r="L481" s="292"/>
      <c r="M481" s="292"/>
      <c r="N481" s="292"/>
      <c r="O481" s="292"/>
      <c r="P481" s="292"/>
      <c r="Q481" s="292"/>
      <c r="R481" s="292"/>
      <c r="S481" s="292"/>
      <c r="T481" s="292"/>
      <c r="U481" s="292"/>
      <c r="V481" s="292"/>
      <c r="W481" s="292"/>
      <c r="X481" s="292"/>
      <c r="Y481" s="292"/>
      <c r="Z481" s="292"/>
    </row>
    <row r="482" spans="1:26" ht="12.75" customHeight="1" x14ac:dyDescent="0.25">
      <c r="A482" s="292"/>
      <c r="B482" s="292"/>
      <c r="C482" s="292"/>
      <c r="D482" s="292"/>
      <c r="E482" s="292"/>
      <c r="F482" s="292"/>
      <c r="G482" s="292"/>
      <c r="H482" s="292"/>
      <c r="I482" s="292"/>
      <c r="J482" s="292"/>
      <c r="K482" s="292"/>
      <c r="L482" s="292"/>
      <c r="M482" s="292"/>
      <c r="N482" s="292"/>
      <c r="O482" s="292"/>
      <c r="P482" s="292"/>
      <c r="Q482" s="292"/>
      <c r="R482" s="292"/>
      <c r="S482" s="292"/>
      <c r="T482" s="292"/>
      <c r="U482" s="292"/>
      <c r="V482" s="292"/>
      <c r="W482" s="292"/>
      <c r="X482" s="292"/>
      <c r="Y482" s="292"/>
      <c r="Z482" s="292"/>
    </row>
    <row r="483" spans="1:26" ht="12.75" customHeight="1" x14ac:dyDescent="0.25">
      <c r="A483" s="292"/>
      <c r="B483" s="292"/>
      <c r="C483" s="292"/>
      <c r="D483" s="292"/>
      <c r="E483" s="292"/>
      <c r="F483" s="292"/>
      <c r="G483" s="292"/>
      <c r="H483" s="292"/>
      <c r="I483" s="292"/>
      <c r="J483" s="292"/>
      <c r="K483" s="292"/>
      <c r="L483" s="292"/>
      <c r="M483" s="292"/>
      <c r="N483" s="292"/>
      <c r="O483" s="292"/>
      <c r="P483" s="292"/>
      <c r="Q483" s="292"/>
      <c r="R483" s="292"/>
      <c r="S483" s="292"/>
      <c r="T483" s="292"/>
      <c r="U483" s="292"/>
      <c r="V483" s="292"/>
      <c r="W483" s="292"/>
      <c r="X483" s="292"/>
      <c r="Y483" s="292"/>
      <c r="Z483" s="292"/>
    </row>
    <row r="484" spans="1:26" ht="12.75" customHeight="1" x14ac:dyDescent="0.25">
      <c r="A484" s="292"/>
      <c r="B484" s="292"/>
      <c r="C484" s="292"/>
      <c r="D484" s="292"/>
      <c r="E484" s="292"/>
      <c r="F484" s="292"/>
      <c r="G484" s="292"/>
      <c r="H484" s="292"/>
      <c r="I484" s="292"/>
      <c r="J484" s="292"/>
      <c r="K484" s="292"/>
      <c r="L484" s="292"/>
      <c r="M484" s="292"/>
      <c r="N484" s="292"/>
      <c r="O484" s="292"/>
      <c r="P484" s="292"/>
      <c r="Q484" s="292"/>
      <c r="R484" s="292"/>
      <c r="S484" s="292"/>
      <c r="T484" s="292"/>
      <c r="U484" s="292"/>
      <c r="V484" s="292"/>
      <c r="W484" s="292"/>
      <c r="X484" s="292"/>
      <c r="Y484" s="292"/>
      <c r="Z484" s="292"/>
    </row>
    <row r="485" spans="1:26" ht="12.75" customHeight="1" x14ac:dyDescent="0.25">
      <c r="A485" s="292"/>
      <c r="B485" s="292"/>
      <c r="C485" s="292"/>
      <c r="D485" s="292"/>
      <c r="E485" s="292"/>
      <c r="F485" s="292"/>
      <c r="G485" s="292"/>
      <c r="H485" s="292"/>
      <c r="I485" s="292"/>
      <c r="J485" s="292"/>
      <c r="K485" s="292"/>
      <c r="L485" s="292"/>
      <c r="M485" s="292"/>
      <c r="N485" s="292"/>
      <c r="O485" s="292"/>
      <c r="P485" s="292"/>
      <c r="Q485" s="292"/>
      <c r="R485" s="292"/>
      <c r="S485" s="292"/>
      <c r="T485" s="292"/>
      <c r="U485" s="292"/>
      <c r="V485" s="292"/>
      <c r="W485" s="292"/>
      <c r="X485" s="292"/>
      <c r="Y485" s="292"/>
      <c r="Z485" s="292"/>
    </row>
    <row r="486" spans="1:26" ht="12.75" customHeight="1" x14ac:dyDescent="0.25">
      <c r="A486" s="292"/>
      <c r="B486" s="292"/>
      <c r="C486" s="292"/>
      <c r="D486" s="292"/>
      <c r="E486" s="292"/>
      <c r="F486" s="292"/>
      <c r="G486" s="292"/>
      <c r="H486" s="292"/>
      <c r="I486" s="292"/>
      <c r="J486" s="292"/>
      <c r="K486" s="292"/>
      <c r="L486" s="292"/>
      <c r="M486" s="292"/>
      <c r="N486" s="292"/>
      <c r="O486" s="292"/>
      <c r="P486" s="292"/>
      <c r="Q486" s="292"/>
      <c r="R486" s="292"/>
      <c r="S486" s="292"/>
      <c r="T486" s="292"/>
      <c r="U486" s="292"/>
      <c r="V486" s="292"/>
      <c r="W486" s="292"/>
      <c r="X486" s="292"/>
      <c r="Y486" s="292"/>
      <c r="Z486" s="292"/>
    </row>
    <row r="487" spans="1:26" ht="12.75" customHeight="1" x14ac:dyDescent="0.25">
      <c r="A487" s="292"/>
      <c r="B487" s="292"/>
      <c r="C487" s="292"/>
      <c r="D487" s="292"/>
      <c r="E487" s="292"/>
      <c r="F487" s="292"/>
      <c r="G487" s="292"/>
      <c r="H487" s="292"/>
      <c r="I487" s="292"/>
      <c r="J487" s="292"/>
      <c r="K487" s="292"/>
      <c r="L487" s="292"/>
      <c r="M487" s="292"/>
      <c r="N487" s="292"/>
      <c r="O487" s="292"/>
      <c r="P487" s="292"/>
      <c r="Q487" s="292"/>
      <c r="R487" s="292"/>
      <c r="S487" s="292"/>
      <c r="T487" s="292"/>
      <c r="U487" s="292"/>
      <c r="V487" s="292"/>
      <c r="W487" s="292"/>
      <c r="X487" s="292"/>
      <c r="Y487" s="292"/>
      <c r="Z487" s="292"/>
    </row>
    <row r="488" spans="1:26" ht="12.75" customHeight="1" x14ac:dyDescent="0.25">
      <c r="A488" s="292"/>
      <c r="B488" s="292"/>
      <c r="C488" s="292"/>
      <c r="D488" s="292"/>
      <c r="E488" s="292"/>
      <c r="F488" s="292"/>
      <c r="G488" s="292"/>
      <c r="H488" s="292"/>
      <c r="I488" s="292"/>
      <c r="J488" s="292"/>
      <c r="K488" s="292"/>
      <c r="L488" s="292"/>
      <c r="M488" s="292"/>
      <c r="N488" s="292"/>
      <c r="O488" s="292"/>
      <c r="P488" s="292"/>
      <c r="Q488" s="292"/>
      <c r="R488" s="292"/>
      <c r="S488" s="292"/>
      <c r="T488" s="292"/>
      <c r="U488" s="292"/>
      <c r="V488" s="292"/>
      <c r="W488" s="292"/>
      <c r="X488" s="292"/>
      <c r="Y488" s="292"/>
      <c r="Z488" s="292"/>
    </row>
    <row r="489" spans="1:26" ht="12.75" customHeight="1" x14ac:dyDescent="0.25">
      <c r="A489" s="292"/>
      <c r="B489" s="292"/>
      <c r="C489" s="292"/>
      <c r="D489" s="292"/>
      <c r="E489" s="292"/>
      <c r="F489" s="292"/>
      <c r="G489" s="292"/>
      <c r="H489" s="292"/>
      <c r="I489" s="292"/>
      <c r="J489" s="292"/>
      <c r="K489" s="292"/>
      <c r="L489" s="292"/>
      <c r="M489" s="292"/>
      <c r="N489" s="292"/>
      <c r="O489" s="292"/>
      <c r="P489" s="292"/>
      <c r="Q489" s="292"/>
      <c r="R489" s="292"/>
      <c r="S489" s="292"/>
      <c r="T489" s="292"/>
      <c r="U489" s="292"/>
      <c r="V489" s="292"/>
      <c r="W489" s="292"/>
      <c r="X489" s="292"/>
      <c r="Y489" s="292"/>
      <c r="Z489" s="292"/>
    </row>
    <row r="490" spans="1:26" ht="12.75" customHeight="1" x14ac:dyDescent="0.25">
      <c r="A490" s="292"/>
      <c r="B490" s="292"/>
      <c r="C490" s="292"/>
      <c r="D490" s="292"/>
      <c r="E490" s="292"/>
      <c r="F490" s="292"/>
      <c r="G490" s="292"/>
      <c r="H490" s="292"/>
      <c r="I490" s="292"/>
      <c r="J490" s="292"/>
      <c r="K490" s="292"/>
      <c r="L490" s="292"/>
      <c r="M490" s="292"/>
      <c r="N490" s="292"/>
      <c r="O490" s="292"/>
      <c r="P490" s="292"/>
      <c r="Q490" s="292"/>
      <c r="R490" s="292"/>
      <c r="S490" s="292"/>
      <c r="T490" s="292"/>
      <c r="U490" s="292"/>
      <c r="V490" s="292"/>
      <c r="W490" s="292"/>
      <c r="X490" s="292"/>
      <c r="Y490" s="292"/>
      <c r="Z490" s="292"/>
    </row>
    <row r="491" spans="1:26" ht="12.75" customHeight="1" x14ac:dyDescent="0.25">
      <c r="A491" s="292"/>
      <c r="B491" s="292"/>
      <c r="C491" s="292"/>
      <c r="D491" s="292"/>
      <c r="E491" s="292"/>
      <c r="F491" s="292"/>
      <c r="G491" s="292"/>
      <c r="H491" s="292"/>
      <c r="I491" s="292"/>
      <c r="J491" s="292"/>
      <c r="K491" s="292"/>
      <c r="L491" s="292"/>
      <c r="M491" s="292"/>
      <c r="N491" s="292"/>
      <c r="O491" s="292"/>
      <c r="P491" s="292"/>
      <c r="Q491" s="292"/>
      <c r="R491" s="292"/>
      <c r="S491" s="292"/>
      <c r="T491" s="292"/>
      <c r="U491" s="292"/>
      <c r="V491" s="292"/>
      <c r="W491" s="292"/>
      <c r="X491" s="292"/>
      <c r="Y491" s="292"/>
      <c r="Z491" s="292"/>
    </row>
    <row r="492" spans="1:26" ht="12.75" customHeight="1" x14ac:dyDescent="0.25">
      <c r="A492" s="292"/>
      <c r="B492" s="292"/>
      <c r="C492" s="292"/>
      <c r="D492" s="292"/>
      <c r="E492" s="292"/>
      <c r="F492" s="292"/>
      <c r="G492" s="292"/>
      <c r="H492" s="292"/>
      <c r="I492" s="292"/>
      <c r="J492" s="292"/>
      <c r="K492" s="292"/>
      <c r="L492" s="292"/>
      <c r="M492" s="292"/>
      <c r="N492" s="292"/>
      <c r="O492" s="292"/>
      <c r="P492" s="292"/>
      <c r="Q492" s="292"/>
      <c r="R492" s="292"/>
      <c r="S492" s="292"/>
      <c r="T492" s="292"/>
      <c r="U492" s="292"/>
      <c r="V492" s="292"/>
      <c r="W492" s="292"/>
      <c r="X492" s="292"/>
      <c r="Y492" s="292"/>
      <c r="Z492" s="292"/>
    </row>
    <row r="493" spans="1:26" ht="12.75" customHeight="1" x14ac:dyDescent="0.25">
      <c r="A493" s="292"/>
      <c r="B493" s="292"/>
      <c r="C493" s="292"/>
      <c r="D493" s="292"/>
      <c r="E493" s="292"/>
      <c r="F493" s="292"/>
      <c r="G493" s="292"/>
      <c r="H493" s="292"/>
      <c r="I493" s="292"/>
      <c r="J493" s="292"/>
      <c r="K493" s="292"/>
      <c r="L493" s="292"/>
      <c r="M493" s="292"/>
      <c r="N493" s="292"/>
      <c r="O493" s="292"/>
      <c r="P493" s="292"/>
      <c r="Q493" s="292"/>
      <c r="R493" s="292"/>
      <c r="S493" s="292"/>
      <c r="T493" s="292"/>
      <c r="U493" s="292"/>
      <c r="V493" s="292"/>
      <c r="W493" s="292"/>
      <c r="X493" s="292"/>
      <c r="Y493" s="292"/>
      <c r="Z493" s="292"/>
    </row>
    <row r="494" spans="1:26" ht="12.75" customHeight="1" x14ac:dyDescent="0.25">
      <c r="A494" s="292"/>
      <c r="B494" s="292"/>
      <c r="C494" s="292"/>
      <c r="D494" s="292"/>
      <c r="E494" s="292"/>
      <c r="F494" s="292"/>
      <c r="G494" s="292"/>
      <c r="H494" s="292"/>
      <c r="I494" s="292"/>
      <c r="J494" s="292"/>
      <c r="K494" s="292"/>
      <c r="L494" s="292"/>
      <c r="M494" s="292"/>
      <c r="N494" s="292"/>
      <c r="O494" s="292"/>
      <c r="P494" s="292"/>
      <c r="Q494" s="292"/>
      <c r="R494" s="292"/>
      <c r="S494" s="292"/>
      <c r="T494" s="292"/>
      <c r="U494" s="292"/>
      <c r="V494" s="292"/>
      <c r="W494" s="292"/>
      <c r="X494" s="292"/>
      <c r="Y494" s="292"/>
      <c r="Z494" s="292"/>
    </row>
    <row r="495" spans="1:26" ht="12.75" customHeight="1" x14ac:dyDescent="0.25">
      <c r="A495" s="292"/>
      <c r="B495" s="292"/>
      <c r="C495" s="292"/>
      <c r="D495" s="292"/>
      <c r="E495" s="292"/>
      <c r="F495" s="292"/>
      <c r="G495" s="292"/>
      <c r="H495" s="292"/>
      <c r="I495" s="292"/>
      <c r="J495" s="292"/>
      <c r="K495" s="292"/>
      <c r="L495" s="292"/>
      <c r="M495" s="292"/>
      <c r="N495" s="292"/>
      <c r="O495" s="292"/>
      <c r="P495" s="292"/>
      <c r="Q495" s="292"/>
      <c r="R495" s="292"/>
      <c r="S495" s="292"/>
      <c r="T495" s="292"/>
      <c r="U495" s="292"/>
      <c r="V495" s="292"/>
      <c r="W495" s="292"/>
      <c r="X495" s="292"/>
      <c r="Y495" s="292"/>
      <c r="Z495" s="292"/>
    </row>
    <row r="496" spans="1:26" ht="12.75" customHeight="1" x14ac:dyDescent="0.25">
      <c r="A496" s="292"/>
      <c r="B496" s="292"/>
      <c r="C496" s="292"/>
      <c r="D496" s="292"/>
      <c r="E496" s="292"/>
      <c r="F496" s="292"/>
      <c r="G496" s="292"/>
      <c r="H496" s="292"/>
      <c r="I496" s="292"/>
      <c r="J496" s="292"/>
      <c r="K496" s="292"/>
      <c r="L496" s="292"/>
      <c r="M496" s="292"/>
      <c r="N496" s="292"/>
      <c r="O496" s="292"/>
      <c r="P496" s="292"/>
      <c r="Q496" s="292"/>
      <c r="R496" s="292"/>
      <c r="S496" s="292"/>
      <c r="T496" s="292"/>
      <c r="U496" s="292"/>
      <c r="V496" s="292"/>
      <c r="W496" s="292"/>
      <c r="X496" s="292"/>
      <c r="Y496" s="292"/>
      <c r="Z496" s="292"/>
    </row>
    <row r="497" spans="1:26" ht="12.75" customHeight="1" x14ac:dyDescent="0.25">
      <c r="A497" s="292"/>
      <c r="B497" s="292"/>
      <c r="C497" s="292"/>
      <c r="D497" s="292"/>
      <c r="E497" s="292"/>
      <c r="F497" s="292"/>
      <c r="G497" s="292"/>
      <c r="H497" s="292"/>
      <c r="I497" s="292"/>
      <c r="J497" s="292"/>
      <c r="K497" s="292"/>
      <c r="L497" s="292"/>
      <c r="M497" s="292"/>
      <c r="N497" s="292"/>
      <c r="O497" s="292"/>
      <c r="P497" s="292"/>
      <c r="Q497" s="292"/>
      <c r="R497" s="292"/>
      <c r="S497" s="292"/>
      <c r="T497" s="292"/>
      <c r="U497" s="292"/>
      <c r="V497" s="292"/>
      <c r="W497" s="292"/>
      <c r="X497" s="292"/>
      <c r="Y497" s="292"/>
      <c r="Z497" s="292"/>
    </row>
    <row r="498" spans="1:26" ht="12.75" customHeight="1" x14ac:dyDescent="0.25">
      <c r="A498" s="292"/>
      <c r="B498" s="292"/>
      <c r="C498" s="292"/>
      <c r="D498" s="292"/>
      <c r="E498" s="292"/>
      <c r="F498" s="292"/>
      <c r="G498" s="292"/>
      <c r="H498" s="292"/>
      <c r="I498" s="292"/>
      <c r="J498" s="292"/>
      <c r="K498" s="292"/>
      <c r="L498" s="292"/>
      <c r="M498" s="292"/>
      <c r="N498" s="292"/>
      <c r="O498" s="292"/>
      <c r="P498" s="292"/>
      <c r="Q498" s="292"/>
      <c r="R498" s="292"/>
      <c r="S498" s="292"/>
      <c r="T498" s="292"/>
      <c r="U498" s="292"/>
      <c r="V498" s="292"/>
      <c r="W498" s="292"/>
      <c r="X498" s="292"/>
      <c r="Y498" s="292"/>
      <c r="Z498" s="292"/>
    </row>
    <row r="499" spans="1:26" ht="12.75" customHeight="1" x14ac:dyDescent="0.25">
      <c r="A499" s="292"/>
      <c r="B499" s="292"/>
      <c r="C499" s="292"/>
      <c r="D499" s="292"/>
      <c r="E499" s="292"/>
      <c r="F499" s="292"/>
      <c r="G499" s="292"/>
      <c r="H499" s="292"/>
      <c r="I499" s="292"/>
      <c r="J499" s="292"/>
      <c r="K499" s="292"/>
      <c r="L499" s="292"/>
      <c r="M499" s="292"/>
      <c r="N499" s="292"/>
      <c r="O499" s="292"/>
      <c r="P499" s="292"/>
      <c r="Q499" s="292"/>
      <c r="R499" s="292"/>
      <c r="S499" s="292"/>
      <c r="T499" s="292"/>
      <c r="U499" s="292"/>
      <c r="V499" s="292"/>
      <c r="W499" s="292"/>
      <c r="X499" s="292"/>
      <c r="Y499" s="292"/>
      <c r="Z499" s="292"/>
    </row>
    <row r="500" spans="1:26" ht="12.75" customHeight="1" x14ac:dyDescent="0.25">
      <c r="A500" s="292"/>
      <c r="B500" s="292"/>
      <c r="C500" s="292"/>
      <c r="D500" s="292"/>
      <c r="E500" s="292"/>
      <c r="F500" s="292"/>
      <c r="G500" s="292"/>
      <c r="H500" s="292"/>
      <c r="I500" s="292"/>
      <c r="J500" s="292"/>
      <c r="K500" s="292"/>
      <c r="L500" s="292"/>
      <c r="M500" s="292"/>
      <c r="N500" s="292"/>
      <c r="O500" s="292"/>
      <c r="P500" s="292"/>
      <c r="Q500" s="292"/>
      <c r="R500" s="292"/>
      <c r="S500" s="292"/>
      <c r="T500" s="292"/>
      <c r="U500" s="292"/>
      <c r="V500" s="292"/>
      <c r="W500" s="292"/>
      <c r="X500" s="292"/>
      <c r="Y500" s="292"/>
      <c r="Z500" s="292"/>
    </row>
    <row r="501" spans="1:26" ht="12.75" customHeight="1" x14ac:dyDescent="0.25">
      <c r="A501" s="292"/>
      <c r="B501" s="292"/>
      <c r="C501" s="292"/>
      <c r="D501" s="292"/>
      <c r="E501" s="292"/>
      <c r="F501" s="292"/>
      <c r="G501" s="292"/>
      <c r="H501" s="292"/>
      <c r="I501" s="292"/>
      <c r="J501" s="292"/>
      <c r="K501" s="292"/>
      <c r="L501" s="292"/>
      <c r="M501" s="292"/>
      <c r="N501" s="292"/>
      <c r="O501" s="292"/>
      <c r="P501" s="292"/>
      <c r="Q501" s="292"/>
      <c r="R501" s="292"/>
      <c r="S501" s="292"/>
      <c r="T501" s="292"/>
      <c r="U501" s="292"/>
      <c r="V501" s="292"/>
      <c r="W501" s="292"/>
      <c r="X501" s="292"/>
      <c r="Y501" s="292"/>
      <c r="Z501" s="292"/>
    </row>
    <row r="502" spans="1:26" ht="12.75" customHeight="1" x14ac:dyDescent="0.25">
      <c r="A502" s="292"/>
      <c r="B502" s="292"/>
      <c r="C502" s="292"/>
      <c r="D502" s="292"/>
      <c r="E502" s="292"/>
      <c r="F502" s="292"/>
      <c r="G502" s="292"/>
      <c r="H502" s="292"/>
      <c r="I502" s="292"/>
      <c r="J502" s="292"/>
      <c r="K502" s="292"/>
      <c r="L502" s="292"/>
      <c r="M502" s="292"/>
      <c r="N502" s="292"/>
      <c r="O502" s="292"/>
      <c r="P502" s="292"/>
      <c r="Q502" s="292"/>
      <c r="R502" s="292"/>
      <c r="S502" s="292"/>
      <c r="T502" s="292"/>
      <c r="U502" s="292"/>
      <c r="V502" s="292"/>
      <c r="W502" s="292"/>
      <c r="X502" s="292"/>
      <c r="Y502" s="292"/>
      <c r="Z502" s="292"/>
    </row>
    <row r="503" spans="1:26" ht="12.75" customHeight="1" x14ac:dyDescent="0.25">
      <c r="A503" s="292"/>
      <c r="B503" s="292"/>
      <c r="C503" s="292"/>
      <c r="D503" s="292"/>
      <c r="E503" s="292"/>
      <c r="F503" s="292"/>
      <c r="G503" s="292"/>
      <c r="H503" s="292"/>
      <c r="I503" s="292"/>
      <c r="J503" s="292"/>
      <c r="K503" s="292"/>
      <c r="L503" s="292"/>
      <c r="M503" s="292"/>
      <c r="N503" s="292"/>
      <c r="O503" s="292"/>
      <c r="P503" s="292"/>
      <c r="Q503" s="292"/>
      <c r="R503" s="292"/>
      <c r="S503" s="292"/>
      <c r="T503" s="292"/>
      <c r="U503" s="292"/>
      <c r="V503" s="292"/>
      <c r="W503" s="292"/>
      <c r="X503" s="292"/>
      <c r="Y503" s="292"/>
      <c r="Z503" s="292"/>
    </row>
    <row r="504" spans="1:26" ht="12.75" customHeight="1" x14ac:dyDescent="0.25">
      <c r="A504" s="292"/>
      <c r="B504" s="292"/>
      <c r="C504" s="292"/>
      <c r="D504" s="292"/>
      <c r="E504" s="292"/>
      <c r="F504" s="292"/>
      <c r="G504" s="292"/>
      <c r="H504" s="292"/>
      <c r="I504" s="292"/>
      <c r="J504" s="292"/>
      <c r="K504" s="292"/>
      <c r="L504" s="292"/>
      <c r="M504" s="292"/>
      <c r="N504" s="292"/>
      <c r="O504" s="292"/>
      <c r="P504" s="292"/>
      <c r="Q504" s="292"/>
      <c r="R504" s="292"/>
      <c r="S504" s="292"/>
      <c r="T504" s="292"/>
      <c r="U504" s="292"/>
      <c r="V504" s="292"/>
      <c r="W504" s="292"/>
      <c r="X504" s="292"/>
      <c r="Y504" s="292"/>
      <c r="Z504" s="292"/>
    </row>
    <row r="505" spans="1:26" ht="12.75" customHeight="1" x14ac:dyDescent="0.25">
      <c r="A505" s="292"/>
      <c r="B505" s="292"/>
      <c r="C505" s="292"/>
      <c r="D505" s="292"/>
      <c r="E505" s="292"/>
      <c r="F505" s="292"/>
      <c r="G505" s="292"/>
      <c r="H505" s="292"/>
      <c r="I505" s="292"/>
      <c r="J505" s="292"/>
      <c r="K505" s="292"/>
      <c r="L505" s="292"/>
      <c r="M505" s="292"/>
      <c r="N505" s="292"/>
      <c r="O505" s="292"/>
      <c r="P505" s="292"/>
      <c r="Q505" s="292"/>
      <c r="R505" s="292"/>
      <c r="S505" s="292"/>
      <c r="T505" s="292"/>
      <c r="U505" s="292"/>
      <c r="V505" s="292"/>
      <c r="W505" s="292"/>
      <c r="X505" s="292"/>
      <c r="Y505" s="292"/>
      <c r="Z505" s="292"/>
    </row>
    <row r="506" spans="1:26" ht="12.75" customHeight="1" x14ac:dyDescent="0.25">
      <c r="A506" s="292"/>
      <c r="B506" s="292"/>
      <c r="C506" s="292"/>
      <c r="D506" s="292"/>
      <c r="E506" s="292"/>
      <c r="F506" s="292"/>
      <c r="G506" s="292"/>
      <c r="H506" s="292"/>
      <c r="I506" s="292"/>
      <c r="J506" s="292"/>
      <c r="K506" s="292"/>
      <c r="L506" s="292"/>
      <c r="M506" s="292"/>
      <c r="N506" s="292"/>
      <c r="O506" s="292"/>
      <c r="P506" s="292"/>
      <c r="Q506" s="292"/>
      <c r="R506" s="292"/>
      <c r="S506" s="292"/>
      <c r="T506" s="292"/>
      <c r="U506" s="292"/>
      <c r="V506" s="292"/>
      <c r="W506" s="292"/>
      <c r="X506" s="292"/>
      <c r="Y506" s="292"/>
      <c r="Z506" s="292"/>
    </row>
    <row r="507" spans="1:26" ht="12.75" customHeight="1" x14ac:dyDescent="0.25">
      <c r="A507" s="292"/>
      <c r="B507" s="292"/>
      <c r="C507" s="292"/>
      <c r="D507" s="292"/>
      <c r="E507" s="292"/>
      <c r="F507" s="292"/>
      <c r="G507" s="292"/>
      <c r="H507" s="292"/>
      <c r="I507" s="292"/>
      <c r="J507" s="292"/>
      <c r="K507" s="292"/>
      <c r="L507" s="292"/>
      <c r="M507" s="292"/>
      <c r="N507" s="292"/>
      <c r="O507" s="292"/>
      <c r="P507" s="292"/>
      <c r="Q507" s="292"/>
      <c r="R507" s="292"/>
      <c r="S507" s="292"/>
      <c r="T507" s="292"/>
      <c r="U507" s="292"/>
      <c r="V507" s="292"/>
      <c r="W507" s="292"/>
      <c r="X507" s="292"/>
      <c r="Y507" s="292"/>
      <c r="Z507" s="292"/>
    </row>
    <row r="508" spans="1:26" ht="12.75" customHeight="1" x14ac:dyDescent="0.25">
      <c r="A508" s="292"/>
      <c r="B508" s="292"/>
      <c r="C508" s="292"/>
      <c r="D508" s="292"/>
      <c r="E508" s="292"/>
      <c r="F508" s="292"/>
      <c r="G508" s="292"/>
      <c r="H508" s="292"/>
      <c r="I508" s="292"/>
      <c r="J508" s="292"/>
      <c r="K508" s="292"/>
      <c r="L508" s="292"/>
      <c r="M508" s="292"/>
      <c r="N508" s="292"/>
      <c r="O508" s="292"/>
      <c r="P508" s="292"/>
      <c r="Q508" s="292"/>
      <c r="R508" s="292"/>
      <c r="S508" s="292"/>
      <c r="T508" s="292"/>
      <c r="U508" s="292"/>
      <c r="V508" s="292"/>
      <c r="W508" s="292"/>
      <c r="X508" s="292"/>
      <c r="Y508" s="292"/>
      <c r="Z508" s="292"/>
    </row>
    <row r="509" spans="1:26" ht="12.75" customHeight="1" x14ac:dyDescent="0.25">
      <c r="A509" s="292"/>
      <c r="B509" s="292"/>
      <c r="C509" s="292"/>
      <c r="D509" s="292"/>
      <c r="E509" s="292"/>
      <c r="F509" s="292"/>
      <c r="G509" s="292"/>
      <c r="H509" s="292"/>
      <c r="I509" s="292"/>
      <c r="J509" s="292"/>
      <c r="K509" s="292"/>
      <c r="L509" s="292"/>
      <c r="M509" s="292"/>
      <c r="N509" s="292"/>
      <c r="O509" s="292"/>
      <c r="P509" s="292"/>
      <c r="Q509" s="292"/>
      <c r="R509" s="292"/>
      <c r="S509" s="292"/>
      <c r="T509" s="292"/>
      <c r="U509" s="292"/>
      <c r="V509" s="292"/>
      <c r="W509" s="292"/>
      <c r="X509" s="292"/>
      <c r="Y509" s="292"/>
      <c r="Z509" s="292"/>
    </row>
    <row r="510" spans="1:26" ht="12.75" customHeight="1" x14ac:dyDescent="0.25">
      <c r="A510" s="292"/>
      <c r="B510" s="292"/>
      <c r="C510" s="292"/>
      <c r="D510" s="292"/>
      <c r="E510" s="292"/>
      <c r="F510" s="292"/>
      <c r="G510" s="292"/>
      <c r="H510" s="292"/>
      <c r="I510" s="292"/>
      <c r="J510" s="292"/>
      <c r="K510" s="292"/>
      <c r="L510" s="292"/>
      <c r="M510" s="292"/>
      <c r="N510" s="292"/>
      <c r="O510" s="292"/>
      <c r="P510" s="292"/>
      <c r="Q510" s="292"/>
      <c r="R510" s="292"/>
      <c r="S510" s="292"/>
      <c r="T510" s="292"/>
      <c r="U510" s="292"/>
      <c r="V510" s="292"/>
      <c r="W510" s="292"/>
      <c r="X510" s="292"/>
      <c r="Y510" s="292"/>
      <c r="Z510" s="292"/>
    </row>
    <row r="511" spans="1:26" ht="12.75" customHeight="1" x14ac:dyDescent="0.25">
      <c r="A511" s="292"/>
      <c r="B511" s="292"/>
      <c r="C511" s="292"/>
      <c r="D511" s="292"/>
      <c r="E511" s="292"/>
      <c r="F511" s="292"/>
      <c r="G511" s="292"/>
      <c r="H511" s="292"/>
      <c r="I511" s="292"/>
      <c r="J511" s="292"/>
      <c r="K511" s="292"/>
      <c r="L511" s="292"/>
      <c r="M511" s="292"/>
      <c r="N511" s="292"/>
      <c r="O511" s="292"/>
      <c r="P511" s="292"/>
      <c r="Q511" s="292"/>
      <c r="R511" s="292"/>
      <c r="S511" s="292"/>
      <c r="T511" s="292"/>
      <c r="U511" s="292"/>
      <c r="V511" s="292"/>
      <c r="W511" s="292"/>
      <c r="X511" s="292"/>
      <c r="Y511" s="292"/>
      <c r="Z511" s="292"/>
    </row>
    <row r="512" spans="1:26" ht="12.75" customHeight="1" x14ac:dyDescent="0.25">
      <c r="A512" s="292"/>
      <c r="B512" s="292"/>
      <c r="C512" s="292"/>
      <c r="D512" s="292"/>
      <c r="E512" s="292"/>
      <c r="F512" s="292"/>
      <c r="G512" s="292"/>
      <c r="H512" s="292"/>
      <c r="I512" s="292"/>
      <c r="J512" s="292"/>
      <c r="K512" s="292"/>
      <c r="L512" s="292"/>
      <c r="M512" s="292"/>
      <c r="N512" s="292"/>
      <c r="O512" s="292"/>
      <c r="P512" s="292"/>
      <c r="Q512" s="292"/>
      <c r="R512" s="292"/>
      <c r="S512" s="292"/>
      <c r="T512" s="292"/>
      <c r="U512" s="292"/>
      <c r="V512" s="292"/>
      <c r="W512" s="292"/>
      <c r="X512" s="292"/>
      <c r="Y512" s="292"/>
      <c r="Z512" s="292"/>
    </row>
    <row r="513" spans="1:26" ht="12.75" customHeight="1" x14ac:dyDescent="0.25">
      <c r="A513" s="292"/>
      <c r="B513" s="292"/>
      <c r="C513" s="292"/>
      <c r="D513" s="292"/>
      <c r="E513" s="292"/>
      <c r="F513" s="292"/>
      <c r="G513" s="292"/>
      <c r="H513" s="292"/>
      <c r="I513" s="292"/>
      <c r="J513" s="292"/>
      <c r="K513" s="292"/>
      <c r="L513" s="292"/>
      <c r="M513" s="292"/>
      <c r="N513" s="292"/>
      <c r="O513" s="292"/>
      <c r="P513" s="292"/>
      <c r="Q513" s="292"/>
      <c r="R513" s="292"/>
      <c r="S513" s="292"/>
      <c r="T513" s="292"/>
      <c r="U513" s="292"/>
      <c r="V513" s="292"/>
      <c r="W513" s="292"/>
      <c r="X513" s="292"/>
      <c r="Y513" s="292"/>
      <c r="Z513" s="292"/>
    </row>
    <row r="514" spans="1:26" ht="12.75" customHeight="1" x14ac:dyDescent="0.25">
      <c r="A514" s="292"/>
      <c r="B514" s="292"/>
      <c r="C514" s="292"/>
      <c r="D514" s="292"/>
      <c r="E514" s="292"/>
      <c r="F514" s="292"/>
      <c r="G514" s="292"/>
      <c r="H514" s="292"/>
      <c r="I514" s="292"/>
      <c r="J514" s="292"/>
      <c r="K514" s="292"/>
      <c r="L514" s="292"/>
      <c r="M514" s="292"/>
      <c r="N514" s="292"/>
      <c r="O514" s="292"/>
      <c r="P514" s="292"/>
      <c r="Q514" s="292"/>
      <c r="R514" s="292"/>
      <c r="S514" s="292"/>
      <c r="T514" s="292"/>
      <c r="U514" s="292"/>
      <c r="V514" s="292"/>
      <c r="W514" s="292"/>
      <c r="X514" s="292"/>
      <c r="Y514" s="292"/>
      <c r="Z514" s="292"/>
    </row>
    <row r="515" spans="1:26" ht="12.75" customHeight="1" x14ac:dyDescent="0.25">
      <c r="A515" s="292"/>
      <c r="B515" s="292"/>
      <c r="C515" s="292"/>
      <c r="D515" s="292"/>
      <c r="E515" s="292"/>
      <c r="F515" s="292"/>
      <c r="G515" s="292"/>
      <c r="H515" s="292"/>
      <c r="I515" s="292"/>
      <c r="J515" s="292"/>
      <c r="K515" s="292"/>
      <c r="L515" s="292"/>
      <c r="M515" s="292"/>
      <c r="N515" s="292"/>
      <c r="O515" s="292"/>
      <c r="P515" s="292"/>
      <c r="Q515" s="292"/>
      <c r="R515" s="292"/>
      <c r="S515" s="292"/>
      <c r="T515" s="292"/>
      <c r="U515" s="292"/>
      <c r="V515" s="292"/>
      <c r="W515" s="292"/>
      <c r="X515" s="292"/>
      <c r="Y515" s="292"/>
      <c r="Z515" s="292"/>
    </row>
    <row r="516" spans="1:26" ht="12.75" customHeight="1" x14ac:dyDescent="0.25">
      <c r="A516" s="292"/>
      <c r="B516" s="292"/>
      <c r="C516" s="292"/>
      <c r="D516" s="292"/>
      <c r="E516" s="292"/>
      <c r="F516" s="292"/>
      <c r="G516" s="292"/>
      <c r="H516" s="292"/>
      <c r="I516" s="292"/>
      <c r="J516" s="292"/>
      <c r="K516" s="292"/>
      <c r="L516" s="292"/>
      <c r="M516" s="292"/>
      <c r="N516" s="292"/>
      <c r="O516" s="292"/>
      <c r="P516" s="292"/>
      <c r="Q516" s="292"/>
      <c r="R516" s="292"/>
      <c r="S516" s="292"/>
      <c r="T516" s="292"/>
      <c r="U516" s="292"/>
      <c r="V516" s="292"/>
      <c r="W516" s="292"/>
      <c r="X516" s="292"/>
      <c r="Y516" s="292"/>
      <c r="Z516" s="292"/>
    </row>
    <row r="517" spans="1:26" ht="12.75" customHeight="1" x14ac:dyDescent="0.25">
      <c r="A517" s="292"/>
      <c r="B517" s="292"/>
      <c r="C517" s="292"/>
      <c r="D517" s="292"/>
      <c r="E517" s="292"/>
      <c r="F517" s="292"/>
      <c r="G517" s="292"/>
      <c r="H517" s="292"/>
      <c r="I517" s="292"/>
      <c r="J517" s="292"/>
      <c r="K517" s="292"/>
      <c r="L517" s="292"/>
      <c r="M517" s="292"/>
      <c r="N517" s="292"/>
      <c r="O517" s="292"/>
      <c r="P517" s="292"/>
      <c r="Q517" s="292"/>
      <c r="R517" s="292"/>
      <c r="S517" s="292"/>
      <c r="T517" s="292"/>
      <c r="U517" s="292"/>
      <c r="V517" s="292"/>
      <c r="W517" s="292"/>
      <c r="X517" s="292"/>
      <c r="Y517" s="292"/>
      <c r="Z517" s="292"/>
    </row>
    <row r="518" spans="1:26" ht="12.75" customHeight="1" x14ac:dyDescent="0.25">
      <c r="A518" s="292"/>
      <c r="B518" s="292"/>
      <c r="C518" s="292"/>
      <c r="D518" s="292"/>
      <c r="E518" s="292"/>
      <c r="F518" s="292"/>
      <c r="G518" s="292"/>
      <c r="H518" s="292"/>
      <c r="I518" s="292"/>
      <c r="J518" s="292"/>
      <c r="K518" s="292"/>
      <c r="L518" s="292"/>
      <c r="M518" s="292"/>
      <c r="N518" s="292"/>
      <c r="O518" s="292"/>
      <c r="P518" s="292"/>
      <c r="Q518" s="292"/>
      <c r="R518" s="292"/>
      <c r="S518" s="292"/>
      <c r="T518" s="292"/>
      <c r="U518" s="292"/>
      <c r="V518" s="292"/>
      <c r="W518" s="292"/>
      <c r="X518" s="292"/>
      <c r="Y518" s="292"/>
      <c r="Z518" s="292"/>
    </row>
    <row r="519" spans="1:26" ht="12.75" customHeight="1" x14ac:dyDescent="0.25">
      <c r="A519" s="292"/>
      <c r="B519" s="292"/>
      <c r="C519" s="292"/>
      <c r="D519" s="292"/>
      <c r="E519" s="292"/>
      <c r="F519" s="292"/>
      <c r="G519" s="292"/>
      <c r="H519" s="292"/>
      <c r="I519" s="292"/>
      <c r="J519" s="292"/>
      <c r="K519" s="292"/>
      <c r="L519" s="292"/>
      <c r="M519" s="292"/>
      <c r="N519" s="292"/>
      <c r="O519" s="292"/>
      <c r="P519" s="292"/>
      <c r="Q519" s="292"/>
      <c r="R519" s="292"/>
      <c r="S519" s="292"/>
      <c r="T519" s="292"/>
      <c r="U519" s="292"/>
      <c r="V519" s="292"/>
      <c r="W519" s="292"/>
      <c r="X519" s="292"/>
      <c r="Y519" s="292"/>
      <c r="Z519" s="292"/>
    </row>
    <row r="520" spans="1:26" ht="12.75" customHeight="1" x14ac:dyDescent="0.25">
      <c r="A520" s="292"/>
      <c r="B520" s="292"/>
      <c r="C520" s="292"/>
      <c r="D520" s="292"/>
      <c r="E520" s="292"/>
      <c r="F520" s="292"/>
      <c r="G520" s="292"/>
      <c r="H520" s="292"/>
      <c r="I520" s="292"/>
      <c r="J520" s="292"/>
      <c r="K520" s="292"/>
      <c r="L520" s="292"/>
      <c r="M520" s="292"/>
      <c r="N520" s="292"/>
      <c r="O520" s="292"/>
      <c r="P520" s="292"/>
      <c r="Q520" s="292"/>
      <c r="R520" s="292"/>
      <c r="S520" s="292"/>
      <c r="T520" s="292"/>
      <c r="U520" s="292"/>
      <c r="V520" s="292"/>
      <c r="W520" s="292"/>
      <c r="X520" s="292"/>
      <c r="Y520" s="292"/>
      <c r="Z520" s="292"/>
    </row>
    <row r="521" spans="1:26" ht="12.75" customHeight="1" x14ac:dyDescent="0.25">
      <c r="A521" s="292"/>
      <c r="B521" s="292"/>
      <c r="C521" s="292"/>
      <c r="D521" s="292"/>
      <c r="E521" s="292"/>
      <c r="F521" s="292"/>
      <c r="G521" s="292"/>
      <c r="H521" s="292"/>
      <c r="I521" s="292"/>
      <c r="J521" s="292"/>
      <c r="K521" s="292"/>
      <c r="L521" s="292"/>
      <c r="M521" s="292"/>
      <c r="N521" s="292"/>
      <c r="O521" s="292"/>
      <c r="P521" s="292"/>
      <c r="Q521" s="292"/>
      <c r="R521" s="292"/>
      <c r="S521" s="292"/>
      <c r="T521" s="292"/>
      <c r="U521" s="292"/>
      <c r="V521" s="292"/>
      <c r="W521" s="292"/>
      <c r="X521" s="292"/>
      <c r="Y521" s="292"/>
      <c r="Z521" s="292"/>
    </row>
    <row r="522" spans="1:26" ht="12.75" customHeight="1" x14ac:dyDescent="0.25">
      <c r="A522" s="292"/>
      <c r="B522" s="292"/>
      <c r="C522" s="292"/>
      <c r="D522" s="292"/>
      <c r="E522" s="292"/>
      <c r="F522" s="292"/>
      <c r="G522" s="292"/>
      <c r="H522" s="292"/>
      <c r="I522" s="292"/>
      <c r="J522" s="292"/>
      <c r="K522" s="292"/>
      <c r="L522" s="292"/>
      <c r="M522" s="292"/>
      <c r="N522" s="292"/>
      <c r="O522" s="292"/>
      <c r="P522" s="292"/>
      <c r="Q522" s="292"/>
      <c r="R522" s="292"/>
      <c r="S522" s="292"/>
      <c r="T522" s="292"/>
      <c r="U522" s="292"/>
      <c r="V522" s="292"/>
      <c r="W522" s="292"/>
      <c r="X522" s="292"/>
      <c r="Y522" s="292"/>
      <c r="Z522" s="292"/>
    </row>
    <row r="523" spans="1:26" ht="12.75" customHeight="1" x14ac:dyDescent="0.25">
      <c r="A523" s="292"/>
      <c r="B523" s="292"/>
      <c r="C523" s="292"/>
      <c r="D523" s="292"/>
      <c r="E523" s="292"/>
      <c r="F523" s="292"/>
      <c r="G523" s="292"/>
      <c r="H523" s="292"/>
      <c r="I523" s="292"/>
      <c r="J523" s="292"/>
      <c r="K523" s="292"/>
      <c r="L523" s="292"/>
      <c r="M523" s="292"/>
      <c r="N523" s="292"/>
      <c r="O523" s="292"/>
      <c r="P523" s="292"/>
      <c r="Q523" s="292"/>
      <c r="R523" s="292"/>
      <c r="S523" s="292"/>
      <c r="T523" s="292"/>
      <c r="U523" s="292"/>
      <c r="V523" s="292"/>
      <c r="W523" s="292"/>
      <c r="X523" s="292"/>
      <c r="Y523" s="292"/>
      <c r="Z523" s="292"/>
    </row>
    <row r="524" spans="1:26" ht="12.75" customHeight="1" x14ac:dyDescent="0.25">
      <c r="A524" s="292"/>
      <c r="B524" s="292"/>
      <c r="C524" s="292"/>
      <c r="D524" s="292"/>
      <c r="E524" s="292"/>
      <c r="F524" s="292"/>
      <c r="G524" s="292"/>
      <c r="H524" s="292"/>
      <c r="I524" s="292"/>
      <c r="J524" s="292"/>
      <c r="K524" s="292"/>
      <c r="L524" s="292"/>
      <c r="M524" s="292"/>
      <c r="N524" s="292"/>
      <c r="O524" s="292"/>
      <c r="P524" s="292"/>
      <c r="Q524" s="292"/>
      <c r="R524" s="292"/>
      <c r="S524" s="292"/>
      <c r="T524" s="292"/>
      <c r="U524" s="292"/>
      <c r="V524" s="292"/>
      <c r="W524" s="292"/>
      <c r="X524" s="292"/>
      <c r="Y524" s="292"/>
      <c r="Z524" s="292"/>
    </row>
    <row r="525" spans="1:26" ht="12.75" customHeight="1" x14ac:dyDescent="0.25">
      <c r="A525" s="292"/>
      <c r="B525" s="292"/>
      <c r="C525" s="292"/>
      <c r="D525" s="292"/>
      <c r="E525" s="292"/>
      <c r="F525" s="292"/>
      <c r="G525" s="292"/>
      <c r="H525" s="292"/>
      <c r="I525" s="292"/>
      <c r="J525" s="292"/>
      <c r="K525" s="292"/>
      <c r="L525" s="292"/>
      <c r="M525" s="292"/>
      <c r="N525" s="292"/>
      <c r="O525" s="292"/>
      <c r="P525" s="292"/>
      <c r="Q525" s="292"/>
      <c r="R525" s="292"/>
      <c r="S525" s="292"/>
      <c r="T525" s="292"/>
      <c r="U525" s="292"/>
      <c r="V525" s="292"/>
      <c r="W525" s="292"/>
      <c r="X525" s="292"/>
      <c r="Y525" s="292"/>
      <c r="Z525" s="292"/>
    </row>
    <row r="526" spans="1:26" ht="12.75" customHeight="1" x14ac:dyDescent="0.25">
      <c r="A526" s="292"/>
      <c r="B526" s="292"/>
      <c r="C526" s="292"/>
      <c r="D526" s="292"/>
      <c r="E526" s="292"/>
      <c r="F526" s="292"/>
      <c r="G526" s="292"/>
      <c r="H526" s="292"/>
      <c r="I526" s="292"/>
      <c r="J526" s="292"/>
      <c r="K526" s="292"/>
      <c r="L526" s="292"/>
      <c r="M526" s="292"/>
      <c r="N526" s="292"/>
      <c r="O526" s="292"/>
      <c r="P526" s="292"/>
      <c r="Q526" s="292"/>
      <c r="R526" s="292"/>
      <c r="S526" s="292"/>
      <c r="T526" s="292"/>
      <c r="U526" s="292"/>
      <c r="V526" s="292"/>
      <c r="W526" s="292"/>
      <c r="X526" s="292"/>
      <c r="Y526" s="292"/>
      <c r="Z526" s="292"/>
    </row>
    <row r="527" spans="1:26" ht="12.75" customHeight="1" x14ac:dyDescent="0.25">
      <c r="A527" s="292"/>
      <c r="B527" s="292"/>
      <c r="C527" s="292"/>
      <c r="D527" s="292"/>
      <c r="E527" s="292"/>
      <c r="F527" s="292"/>
      <c r="G527" s="292"/>
      <c r="H527" s="292"/>
      <c r="I527" s="292"/>
      <c r="J527" s="292"/>
      <c r="K527" s="292"/>
      <c r="L527" s="292"/>
      <c r="M527" s="292"/>
      <c r="N527" s="292"/>
      <c r="O527" s="292"/>
      <c r="P527" s="292"/>
      <c r="Q527" s="292"/>
      <c r="R527" s="292"/>
      <c r="S527" s="292"/>
      <c r="T527" s="292"/>
      <c r="U527" s="292"/>
      <c r="V527" s="292"/>
      <c r="W527" s="292"/>
      <c r="X527" s="292"/>
      <c r="Y527" s="292"/>
      <c r="Z527" s="292"/>
    </row>
    <row r="528" spans="1:26" ht="12.75" customHeight="1" x14ac:dyDescent="0.25">
      <c r="A528" s="292"/>
      <c r="B528" s="292"/>
      <c r="C528" s="292"/>
      <c r="D528" s="292"/>
      <c r="E528" s="292"/>
      <c r="F528" s="292"/>
      <c r="G528" s="292"/>
      <c r="H528" s="292"/>
      <c r="I528" s="292"/>
      <c r="J528" s="292"/>
      <c r="K528" s="292"/>
      <c r="L528" s="292"/>
      <c r="M528" s="292"/>
      <c r="N528" s="292"/>
      <c r="O528" s="292"/>
      <c r="P528" s="292"/>
      <c r="Q528" s="292"/>
      <c r="R528" s="292"/>
      <c r="S528" s="292"/>
      <c r="T528" s="292"/>
      <c r="U528" s="292"/>
      <c r="V528" s="292"/>
      <c r="W528" s="292"/>
      <c r="X528" s="292"/>
      <c r="Y528" s="292"/>
      <c r="Z528" s="292"/>
    </row>
    <row r="529" spans="1:26" ht="12.75" customHeight="1" x14ac:dyDescent="0.25">
      <c r="A529" s="292"/>
      <c r="B529" s="292"/>
      <c r="C529" s="292"/>
      <c r="D529" s="292"/>
      <c r="E529" s="292"/>
      <c r="F529" s="292"/>
      <c r="G529" s="292"/>
      <c r="H529" s="292"/>
      <c r="I529" s="292"/>
      <c r="J529" s="292"/>
      <c r="K529" s="292"/>
      <c r="L529" s="292"/>
      <c r="M529" s="292"/>
      <c r="N529" s="292"/>
      <c r="O529" s="292"/>
      <c r="P529" s="292"/>
      <c r="Q529" s="292"/>
      <c r="R529" s="292"/>
      <c r="S529" s="292"/>
      <c r="T529" s="292"/>
      <c r="U529" s="292"/>
      <c r="V529" s="292"/>
      <c r="W529" s="292"/>
      <c r="X529" s="292"/>
      <c r="Y529" s="292"/>
      <c r="Z529" s="292"/>
    </row>
    <row r="530" spans="1:26" ht="12.75" customHeight="1" x14ac:dyDescent="0.25">
      <c r="A530" s="292"/>
      <c r="B530" s="292"/>
      <c r="C530" s="292"/>
      <c r="D530" s="292"/>
      <c r="E530" s="292"/>
      <c r="F530" s="292"/>
      <c r="G530" s="292"/>
      <c r="H530" s="292"/>
      <c r="I530" s="292"/>
      <c r="J530" s="292"/>
      <c r="K530" s="292"/>
      <c r="L530" s="292"/>
      <c r="M530" s="292"/>
      <c r="N530" s="292"/>
      <c r="O530" s="292"/>
      <c r="P530" s="292"/>
      <c r="Q530" s="292"/>
      <c r="R530" s="292"/>
      <c r="S530" s="292"/>
      <c r="T530" s="292"/>
      <c r="U530" s="292"/>
      <c r="V530" s="292"/>
      <c r="W530" s="292"/>
      <c r="X530" s="292"/>
      <c r="Y530" s="292"/>
      <c r="Z530" s="292"/>
    </row>
    <row r="531" spans="1:26" ht="12.75" customHeight="1" x14ac:dyDescent="0.25">
      <c r="A531" s="292"/>
      <c r="B531" s="292"/>
      <c r="C531" s="292"/>
      <c r="D531" s="292"/>
      <c r="E531" s="292"/>
      <c r="F531" s="292"/>
      <c r="G531" s="292"/>
      <c r="H531" s="292"/>
      <c r="I531" s="292"/>
      <c r="J531" s="292"/>
      <c r="K531" s="292"/>
      <c r="L531" s="292"/>
      <c r="M531" s="292"/>
      <c r="N531" s="292"/>
      <c r="O531" s="292"/>
      <c r="P531" s="292"/>
      <c r="Q531" s="292"/>
      <c r="R531" s="292"/>
      <c r="S531" s="292"/>
      <c r="T531" s="292"/>
      <c r="U531" s="292"/>
      <c r="V531" s="292"/>
      <c r="W531" s="292"/>
      <c r="X531" s="292"/>
      <c r="Y531" s="292"/>
      <c r="Z531" s="292"/>
    </row>
    <row r="532" spans="1:26" ht="12.75" customHeight="1" x14ac:dyDescent="0.25">
      <c r="A532" s="292"/>
      <c r="B532" s="292"/>
      <c r="C532" s="292"/>
      <c r="D532" s="292"/>
      <c r="E532" s="292"/>
      <c r="F532" s="292"/>
      <c r="G532" s="292"/>
      <c r="H532" s="292"/>
      <c r="I532" s="292"/>
      <c r="J532" s="292"/>
      <c r="K532" s="292"/>
      <c r="L532" s="292"/>
      <c r="M532" s="292"/>
      <c r="N532" s="292"/>
      <c r="O532" s="292"/>
      <c r="P532" s="292"/>
      <c r="Q532" s="292"/>
      <c r="R532" s="292"/>
      <c r="S532" s="292"/>
      <c r="T532" s="292"/>
      <c r="U532" s="292"/>
      <c r="V532" s="292"/>
      <c r="W532" s="292"/>
      <c r="X532" s="292"/>
      <c r="Y532" s="292"/>
      <c r="Z532" s="292"/>
    </row>
    <row r="533" spans="1:26" ht="12.75" customHeight="1" x14ac:dyDescent="0.25">
      <c r="A533" s="292"/>
      <c r="B533" s="292"/>
      <c r="C533" s="292"/>
      <c r="D533" s="292"/>
      <c r="E533" s="292"/>
      <c r="F533" s="292"/>
      <c r="G533" s="292"/>
      <c r="H533" s="292"/>
      <c r="I533" s="292"/>
      <c r="J533" s="292"/>
      <c r="K533" s="292"/>
      <c r="L533" s="292"/>
      <c r="M533" s="292"/>
      <c r="N533" s="292"/>
      <c r="O533" s="292"/>
      <c r="P533" s="292"/>
      <c r="Q533" s="292"/>
      <c r="R533" s="292"/>
      <c r="S533" s="292"/>
      <c r="T533" s="292"/>
      <c r="U533" s="292"/>
      <c r="V533" s="292"/>
      <c r="W533" s="292"/>
      <c r="X533" s="292"/>
      <c r="Y533" s="292"/>
      <c r="Z533" s="292"/>
    </row>
    <row r="534" spans="1:26" ht="12.75" customHeight="1" x14ac:dyDescent="0.25">
      <c r="A534" s="292"/>
      <c r="B534" s="292"/>
      <c r="C534" s="292"/>
      <c r="D534" s="292"/>
      <c r="E534" s="292"/>
      <c r="F534" s="292"/>
      <c r="G534" s="292"/>
      <c r="H534" s="292"/>
      <c r="I534" s="292"/>
      <c r="J534" s="292"/>
      <c r="K534" s="292"/>
      <c r="L534" s="292"/>
      <c r="M534" s="292"/>
      <c r="N534" s="292"/>
      <c r="O534" s="292"/>
      <c r="P534" s="292"/>
      <c r="Q534" s="292"/>
      <c r="R534" s="292"/>
      <c r="S534" s="292"/>
      <c r="T534" s="292"/>
      <c r="U534" s="292"/>
      <c r="V534" s="292"/>
      <c r="W534" s="292"/>
      <c r="X534" s="292"/>
      <c r="Y534" s="292"/>
      <c r="Z534" s="292"/>
    </row>
    <row r="535" spans="1:26" ht="12.75" customHeight="1" x14ac:dyDescent="0.25">
      <c r="A535" s="292"/>
      <c r="B535" s="292"/>
      <c r="C535" s="292"/>
      <c r="D535" s="292"/>
      <c r="E535" s="292"/>
      <c r="F535" s="292"/>
      <c r="G535" s="292"/>
      <c r="H535" s="292"/>
      <c r="I535" s="292"/>
      <c r="J535" s="292"/>
      <c r="K535" s="292"/>
      <c r="L535" s="292"/>
      <c r="M535" s="292"/>
      <c r="N535" s="292"/>
      <c r="O535" s="292"/>
      <c r="P535" s="292"/>
      <c r="Q535" s="292"/>
      <c r="R535" s="292"/>
      <c r="S535" s="292"/>
      <c r="T535" s="292"/>
      <c r="U535" s="292"/>
      <c r="V535" s="292"/>
      <c r="W535" s="292"/>
      <c r="X535" s="292"/>
      <c r="Y535" s="292"/>
      <c r="Z535" s="292"/>
    </row>
    <row r="536" spans="1:26" ht="12.75" customHeight="1" x14ac:dyDescent="0.25">
      <c r="A536" s="292"/>
      <c r="B536" s="292"/>
      <c r="C536" s="292"/>
      <c r="D536" s="292"/>
      <c r="E536" s="292"/>
      <c r="F536" s="292"/>
      <c r="G536" s="292"/>
      <c r="H536" s="292"/>
      <c r="I536" s="292"/>
      <c r="J536" s="292"/>
      <c r="K536" s="292"/>
      <c r="L536" s="292"/>
      <c r="M536" s="292"/>
      <c r="N536" s="292"/>
      <c r="O536" s="292"/>
      <c r="P536" s="292"/>
      <c r="Q536" s="292"/>
      <c r="R536" s="292"/>
      <c r="S536" s="292"/>
      <c r="T536" s="292"/>
      <c r="U536" s="292"/>
      <c r="V536" s="292"/>
      <c r="W536" s="292"/>
      <c r="X536" s="292"/>
      <c r="Y536" s="292"/>
      <c r="Z536" s="292"/>
    </row>
    <row r="537" spans="1:26" ht="12.75" customHeight="1" x14ac:dyDescent="0.25">
      <c r="A537" s="292"/>
      <c r="B537" s="292"/>
      <c r="C537" s="292"/>
      <c r="D537" s="292"/>
      <c r="E537" s="292"/>
      <c r="F537" s="292"/>
      <c r="G537" s="292"/>
      <c r="H537" s="292"/>
      <c r="I537" s="292"/>
      <c r="J537" s="292"/>
      <c r="K537" s="292"/>
      <c r="L537" s="292"/>
      <c r="M537" s="292"/>
      <c r="N537" s="292"/>
      <c r="O537" s="292"/>
      <c r="P537" s="292"/>
      <c r="Q537" s="292"/>
      <c r="R537" s="292"/>
      <c r="S537" s="292"/>
      <c r="T537" s="292"/>
      <c r="U537" s="292"/>
      <c r="V537" s="292"/>
      <c r="W537" s="292"/>
      <c r="X537" s="292"/>
      <c r="Y537" s="292"/>
      <c r="Z537" s="292"/>
    </row>
    <row r="538" spans="1:26" ht="12.75" customHeight="1" x14ac:dyDescent="0.25">
      <c r="A538" s="292"/>
      <c r="B538" s="292"/>
      <c r="C538" s="292"/>
      <c r="D538" s="292"/>
      <c r="E538" s="292"/>
      <c r="F538" s="292"/>
      <c r="G538" s="292"/>
      <c r="H538" s="292"/>
      <c r="I538" s="292"/>
      <c r="J538" s="292"/>
      <c r="K538" s="292"/>
      <c r="L538" s="292"/>
      <c r="M538" s="292"/>
      <c r="N538" s="292"/>
      <c r="O538" s="292"/>
      <c r="P538" s="292"/>
      <c r="Q538" s="292"/>
      <c r="R538" s="292"/>
      <c r="S538" s="292"/>
      <c r="T538" s="292"/>
      <c r="U538" s="292"/>
      <c r="V538" s="292"/>
      <c r="W538" s="292"/>
      <c r="X538" s="292"/>
      <c r="Y538" s="292"/>
      <c r="Z538" s="292"/>
    </row>
    <row r="539" spans="1:26" ht="12.75" customHeight="1" x14ac:dyDescent="0.25">
      <c r="A539" s="292"/>
      <c r="B539" s="292"/>
      <c r="C539" s="292"/>
      <c r="D539" s="292"/>
      <c r="E539" s="292"/>
      <c r="F539" s="292"/>
      <c r="G539" s="292"/>
      <c r="H539" s="292"/>
      <c r="I539" s="292"/>
      <c r="J539" s="292"/>
      <c r="K539" s="292"/>
      <c r="L539" s="292"/>
      <c r="M539" s="292"/>
      <c r="N539" s="292"/>
      <c r="O539" s="292"/>
      <c r="P539" s="292"/>
      <c r="Q539" s="292"/>
      <c r="R539" s="292"/>
      <c r="S539" s="292"/>
      <c r="T539" s="292"/>
      <c r="U539" s="292"/>
      <c r="V539" s="292"/>
      <c r="W539" s="292"/>
      <c r="X539" s="292"/>
      <c r="Y539" s="292"/>
      <c r="Z539" s="292"/>
    </row>
    <row r="540" spans="1:26" ht="12.75" customHeight="1" x14ac:dyDescent="0.25">
      <c r="A540" s="292"/>
      <c r="B540" s="292"/>
      <c r="C540" s="292"/>
      <c r="D540" s="292"/>
      <c r="E540" s="292"/>
      <c r="F540" s="292"/>
      <c r="G540" s="292"/>
      <c r="H540" s="292"/>
      <c r="I540" s="292"/>
      <c r="J540" s="292"/>
      <c r="K540" s="292"/>
      <c r="L540" s="292"/>
      <c r="M540" s="292"/>
      <c r="N540" s="292"/>
      <c r="O540" s="292"/>
      <c r="P540" s="292"/>
      <c r="Q540" s="292"/>
      <c r="R540" s="292"/>
      <c r="S540" s="292"/>
      <c r="T540" s="292"/>
      <c r="U540" s="292"/>
      <c r="V540" s="292"/>
      <c r="W540" s="292"/>
      <c r="X540" s="292"/>
      <c r="Y540" s="292"/>
      <c r="Z540" s="292"/>
    </row>
    <row r="541" spans="1:26" ht="12.75" customHeight="1" x14ac:dyDescent="0.25">
      <c r="A541" s="292"/>
      <c r="B541" s="292"/>
      <c r="C541" s="292"/>
      <c r="D541" s="292"/>
      <c r="E541" s="292"/>
      <c r="F541" s="292"/>
      <c r="G541" s="292"/>
      <c r="H541" s="292"/>
      <c r="I541" s="292"/>
      <c r="J541" s="292"/>
      <c r="K541" s="292"/>
      <c r="L541" s="292"/>
      <c r="M541" s="292"/>
      <c r="N541" s="292"/>
      <c r="O541" s="292"/>
      <c r="P541" s="292"/>
      <c r="Q541" s="292"/>
      <c r="R541" s="292"/>
      <c r="S541" s="292"/>
      <c r="T541" s="292"/>
      <c r="U541" s="292"/>
      <c r="V541" s="292"/>
      <c r="W541" s="292"/>
      <c r="X541" s="292"/>
      <c r="Y541" s="292"/>
      <c r="Z541" s="292"/>
    </row>
    <row r="542" spans="1:26" ht="12.75" customHeight="1" x14ac:dyDescent="0.25">
      <c r="A542" s="292"/>
      <c r="B542" s="292"/>
      <c r="C542" s="292"/>
      <c r="D542" s="292"/>
      <c r="E542" s="292"/>
      <c r="F542" s="292"/>
      <c r="G542" s="292"/>
      <c r="H542" s="292"/>
      <c r="I542" s="292"/>
      <c r="J542" s="292"/>
      <c r="K542" s="292"/>
      <c r="L542" s="292"/>
      <c r="M542" s="292"/>
      <c r="N542" s="292"/>
      <c r="O542" s="292"/>
      <c r="P542" s="292"/>
      <c r="Q542" s="292"/>
      <c r="R542" s="292"/>
      <c r="S542" s="292"/>
      <c r="T542" s="292"/>
      <c r="U542" s="292"/>
      <c r="V542" s="292"/>
      <c r="W542" s="292"/>
      <c r="X542" s="292"/>
      <c r="Y542" s="292"/>
      <c r="Z542" s="292"/>
    </row>
    <row r="543" spans="1:26" ht="12.75" customHeight="1" x14ac:dyDescent="0.25">
      <c r="A543" s="292"/>
      <c r="B543" s="292"/>
      <c r="C543" s="292"/>
      <c r="D543" s="292"/>
      <c r="E543" s="292"/>
      <c r="F543" s="292"/>
      <c r="G543" s="292"/>
      <c r="H543" s="292"/>
      <c r="I543" s="292"/>
      <c r="J543" s="292"/>
      <c r="K543" s="292"/>
      <c r="L543" s="292"/>
      <c r="M543" s="292"/>
      <c r="N543" s="292"/>
      <c r="O543" s="292"/>
      <c r="P543" s="292"/>
      <c r="Q543" s="292"/>
      <c r="R543" s="292"/>
      <c r="S543" s="292"/>
      <c r="T543" s="292"/>
      <c r="U543" s="292"/>
      <c r="V543" s="292"/>
      <c r="W543" s="292"/>
      <c r="X543" s="292"/>
      <c r="Y543" s="292"/>
      <c r="Z543" s="292"/>
    </row>
    <row r="544" spans="1:26" ht="12.75" customHeight="1" x14ac:dyDescent="0.25">
      <c r="A544" s="292"/>
      <c r="B544" s="292"/>
      <c r="C544" s="292"/>
      <c r="D544" s="292"/>
      <c r="E544" s="292"/>
      <c r="F544" s="292"/>
      <c r="G544" s="292"/>
      <c r="H544" s="292"/>
      <c r="I544" s="292"/>
      <c r="J544" s="292"/>
      <c r="K544" s="292"/>
      <c r="L544" s="292"/>
      <c r="M544" s="292"/>
      <c r="N544" s="292"/>
      <c r="O544" s="292"/>
      <c r="P544" s="292"/>
      <c r="Q544" s="292"/>
      <c r="R544" s="292"/>
      <c r="S544" s="292"/>
      <c r="T544" s="292"/>
      <c r="U544" s="292"/>
      <c r="V544" s="292"/>
      <c r="W544" s="292"/>
      <c r="X544" s="292"/>
      <c r="Y544" s="292"/>
      <c r="Z544" s="292"/>
    </row>
    <row r="545" spans="1:26" ht="12.75" customHeight="1" x14ac:dyDescent="0.25">
      <c r="A545" s="292"/>
      <c r="B545" s="292"/>
      <c r="C545" s="292"/>
      <c r="D545" s="292"/>
      <c r="E545" s="292"/>
      <c r="F545" s="292"/>
      <c r="G545" s="292"/>
      <c r="H545" s="292"/>
      <c r="I545" s="292"/>
      <c r="J545" s="292"/>
      <c r="K545" s="292"/>
      <c r="L545" s="292"/>
      <c r="M545" s="292"/>
      <c r="N545" s="292"/>
      <c r="O545" s="292"/>
      <c r="P545" s="292"/>
      <c r="Q545" s="292"/>
      <c r="R545" s="292"/>
      <c r="S545" s="292"/>
      <c r="T545" s="292"/>
      <c r="U545" s="292"/>
      <c r="V545" s="292"/>
      <c r="W545" s="292"/>
      <c r="X545" s="292"/>
      <c r="Y545" s="292"/>
      <c r="Z545" s="292"/>
    </row>
    <row r="546" spans="1:26" ht="12.75" customHeight="1" x14ac:dyDescent="0.25">
      <c r="A546" s="292"/>
      <c r="B546" s="292"/>
      <c r="C546" s="292"/>
      <c r="D546" s="292"/>
      <c r="E546" s="292"/>
      <c r="F546" s="292"/>
      <c r="G546" s="292"/>
      <c r="H546" s="292"/>
      <c r="I546" s="292"/>
      <c r="J546" s="292"/>
      <c r="K546" s="292"/>
      <c r="L546" s="292"/>
      <c r="M546" s="292"/>
      <c r="N546" s="292"/>
      <c r="O546" s="292"/>
      <c r="P546" s="292"/>
      <c r="Q546" s="292"/>
      <c r="R546" s="292"/>
      <c r="S546" s="292"/>
      <c r="T546" s="292"/>
      <c r="U546" s="292"/>
      <c r="V546" s="292"/>
      <c r="W546" s="292"/>
      <c r="X546" s="292"/>
      <c r="Y546" s="292"/>
      <c r="Z546" s="292"/>
    </row>
    <row r="547" spans="1:26" ht="12.75" customHeight="1" x14ac:dyDescent="0.25">
      <c r="A547" s="292"/>
      <c r="B547" s="292"/>
      <c r="C547" s="292"/>
      <c r="D547" s="292"/>
      <c r="E547" s="292"/>
      <c r="F547" s="292"/>
      <c r="G547" s="292"/>
      <c r="H547" s="292"/>
      <c r="I547" s="292"/>
      <c r="J547" s="292"/>
      <c r="K547" s="292"/>
      <c r="L547" s="292"/>
      <c r="M547" s="292"/>
      <c r="N547" s="292"/>
      <c r="O547" s="292"/>
      <c r="P547" s="292"/>
      <c r="Q547" s="292"/>
      <c r="R547" s="292"/>
      <c r="S547" s="292"/>
      <c r="T547" s="292"/>
      <c r="U547" s="292"/>
      <c r="V547" s="292"/>
      <c r="W547" s="292"/>
      <c r="X547" s="292"/>
      <c r="Y547" s="292"/>
      <c r="Z547" s="292"/>
    </row>
    <row r="548" spans="1:26" ht="12.75" customHeight="1" x14ac:dyDescent="0.25">
      <c r="A548" s="292"/>
      <c r="B548" s="292"/>
      <c r="C548" s="292"/>
      <c r="D548" s="292"/>
      <c r="E548" s="292"/>
      <c r="F548" s="292"/>
      <c r="G548" s="292"/>
      <c r="H548" s="292"/>
      <c r="I548" s="292"/>
      <c r="J548" s="292"/>
      <c r="K548" s="292"/>
      <c r="L548" s="292"/>
      <c r="M548" s="292"/>
      <c r="N548" s="292"/>
      <c r="O548" s="292"/>
      <c r="P548" s="292"/>
      <c r="Q548" s="292"/>
      <c r="R548" s="292"/>
      <c r="S548" s="292"/>
      <c r="T548" s="292"/>
      <c r="U548" s="292"/>
      <c r="V548" s="292"/>
      <c r="W548" s="292"/>
      <c r="X548" s="292"/>
      <c r="Y548" s="292"/>
      <c r="Z548" s="292"/>
    </row>
    <row r="549" spans="1:26" ht="12.75" customHeight="1" x14ac:dyDescent="0.25">
      <c r="A549" s="292"/>
      <c r="B549" s="292"/>
      <c r="C549" s="292"/>
      <c r="D549" s="292"/>
      <c r="E549" s="292"/>
      <c r="F549" s="292"/>
      <c r="G549" s="292"/>
      <c r="H549" s="292"/>
      <c r="I549" s="292"/>
      <c r="J549" s="292"/>
      <c r="K549" s="292"/>
      <c r="L549" s="292"/>
      <c r="M549" s="292"/>
      <c r="N549" s="292"/>
      <c r="O549" s="292"/>
      <c r="P549" s="292"/>
      <c r="Q549" s="292"/>
      <c r="R549" s="292"/>
      <c r="S549" s="292"/>
      <c r="T549" s="292"/>
      <c r="U549" s="292"/>
      <c r="V549" s="292"/>
      <c r="W549" s="292"/>
      <c r="X549" s="292"/>
      <c r="Y549" s="292"/>
      <c r="Z549" s="292"/>
    </row>
    <row r="550" spans="1:26" ht="12.75" customHeight="1" x14ac:dyDescent="0.25">
      <c r="A550" s="292"/>
      <c r="B550" s="292"/>
      <c r="C550" s="292"/>
      <c r="D550" s="292"/>
      <c r="E550" s="292"/>
      <c r="F550" s="292"/>
      <c r="G550" s="292"/>
      <c r="H550" s="292"/>
      <c r="I550" s="292"/>
      <c r="J550" s="292"/>
      <c r="K550" s="292"/>
      <c r="L550" s="292"/>
      <c r="M550" s="292"/>
      <c r="N550" s="292"/>
      <c r="O550" s="292"/>
      <c r="P550" s="292"/>
      <c r="Q550" s="292"/>
      <c r="R550" s="292"/>
      <c r="S550" s="292"/>
      <c r="T550" s="292"/>
      <c r="U550" s="292"/>
      <c r="V550" s="292"/>
      <c r="W550" s="292"/>
      <c r="X550" s="292"/>
      <c r="Y550" s="292"/>
      <c r="Z550" s="292"/>
    </row>
    <row r="551" spans="1:26" ht="12.75" customHeight="1" x14ac:dyDescent="0.25">
      <c r="A551" s="292"/>
      <c r="B551" s="292"/>
      <c r="C551" s="292"/>
      <c r="D551" s="292"/>
      <c r="E551" s="292"/>
      <c r="F551" s="292"/>
      <c r="G551" s="292"/>
      <c r="H551" s="292"/>
      <c r="I551" s="292"/>
      <c r="J551" s="292"/>
      <c r="K551" s="292"/>
      <c r="L551" s="292"/>
      <c r="M551" s="292"/>
      <c r="N551" s="292"/>
      <c r="O551" s="292"/>
      <c r="P551" s="292"/>
      <c r="Q551" s="292"/>
      <c r="R551" s="292"/>
      <c r="S551" s="292"/>
      <c r="T551" s="292"/>
      <c r="U551" s="292"/>
      <c r="V551" s="292"/>
      <c r="W551" s="292"/>
      <c r="X551" s="292"/>
      <c r="Y551" s="292"/>
      <c r="Z551" s="292"/>
    </row>
    <row r="552" spans="1:26" ht="12.75" customHeight="1" x14ac:dyDescent="0.25">
      <c r="A552" s="292"/>
      <c r="B552" s="292"/>
      <c r="C552" s="292"/>
      <c r="D552" s="292"/>
      <c r="E552" s="292"/>
      <c r="F552" s="292"/>
      <c r="G552" s="292"/>
      <c r="H552" s="292"/>
      <c r="I552" s="292"/>
      <c r="J552" s="292"/>
      <c r="K552" s="292"/>
      <c r="L552" s="292"/>
      <c r="M552" s="292"/>
      <c r="N552" s="292"/>
      <c r="O552" s="292"/>
      <c r="P552" s="292"/>
      <c r="Q552" s="292"/>
      <c r="R552" s="292"/>
      <c r="S552" s="292"/>
      <c r="T552" s="292"/>
      <c r="U552" s="292"/>
      <c r="V552" s="292"/>
      <c r="W552" s="292"/>
      <c r="X552" s="292"/>
      <c r="Y552" s="292"/>
      <c r="Z552" s="292"/>
    </row>
    <row r="553" spans="1:26" ht="12.75" customHeight="1" x14ac:dyDescent="0.25">
      <c r="A553" s="292"/>
      <c r="B553" s="292"/>
      <c r="C553" s="292"/>
      <c r="D553" s="292"/>
      <c r="E553" s="292"/>
      <c r="F553" s="292"/>
      <c r="G553" s="292"/>
      <c r="H553" s="292"/>
      <c r="I553" s="292"/>
      <c r="J553" s="292"/>
      <c r="K553" s="292"/>
      <c r="L553" s="292"/>
      <c r="M553" s="292"/>
      <c r="N553" s="292"/>
      <c r="O553" s="292"/>
      <c r="P553" s="292"/>
      <c r="Q553" s="292"/>
      <c r="R553" s="292"/>
      <c r="S553" s="292"/>
      <c r="T553" s="292"/>
      <c r="U553" s="292"/>
      <c r="V553" s="292"/>
      <c r="W553" s="292"/>
      <c r="X553" s="292"/>
      <c r="Y553" s="292"/>
      <c r="Z553" s="292"/>
    </row>
    <row r="554" spans="1:26" ht="12.75" customHeight="1" x14ac:dyDescent="0.25">
      <c r="A554" s="292"/>
      <c r="B554" s="292"/>
      <c r="C554" s="292"/>
      <c r="D554" s="292"/>
      <c r="E554" s="292"/>
      <c r="F554" s="292"/>
      <c r="G554" s="292"/>
      <c r="H554" s="292"/>
      <c r="I554" s="292"/>
      <c r="J554" s="292"/>
      <c r="K554" s="292"/>
      <c r="L554" s="292"/>
      <c r="M554" s="292"/>
      <c r="N554" s="292"/>
      <c r="O554" s="292"/>
      <c r="P554" s="292"/>
      <c r="Q554" s="292"/>
      <c r="R554" s="292"/>
      <c r="S554" s="292"/>
      <c r="T554" s="292"/>
      <c r="U554" s="292"/>
      <c r="V554" s="292"/>
      <c r="W554" s="292"/>
      <c r="X554" s="292"/>
      <c r="Y554" s="292"/>
      <c r="Z554" s="292"/>
    </row>
    <row r="555" spans="1:26" ht="12.75" customHeight="1" x14ac:dyDescent="0.25">
      <c r="A555" s="292"/>
      <c r="B555" s="292"/>
      <c r="C555" s="292"/>
      <c r="D555" s="292"/>
      <c r="E555" s="292"/>
      <c r="F555" s="292"/>
      <c r="G555" s="292"/>
      <c r="H555" s="292"/>
      <c r="I555" s="292"/>
      <c r="J555" s="292"/>
      <c r="K555" s="292"/>
      <c r="L555" s="292"/>
      <c r="M555" s="292"/>
      <c r="N555" s="292"/>
      <c r="O555" s="292"/>
      <c r="P555" s="292"/>
      <c r="Q555" s="292"/>
      <c r="R555" s="292"/>
      <c r="S555" s="292"/>
      <c r="T555" s="292"/>
      <c r="U555" s="292"/>
      <c r="V555" s="292"/>
      <c r="W555" s="292"/>
      <c r="X555" s="292"/>
      <c r="Y555" s="292"/>
      <c r="Z555" s="292"/>
    </row>
    <row r="556" spans="1:26" ht="12.75" customHeight="1" x14ac:dyDescent="0.25">
      <c r="A556" s="292"/>
      <c r="B556" s="292"/>
      <c r="C556" s="292"/>
      <c r="D556" s="292"/>
      <c r="E556" s="292"/>
      <c r="F556" s="292"/>
      <c r="G556" s="292"/>
      <c r="H556" s="292"/>
      <c r="I556" s="292"/>
      <c r="J556" s="292"/>
      <c r="K556" s="292"/>
      <c r="L556" s="292"/>
      <c r="M556" s="292"/>
      <c r="N556" s="292"/>
      <c r="O556" s="292"/>
      <c r="P556" s="292"/>
      <c r="Q556" s="292"/>
      <c r="R556" s="292"/>
      <c r="S556" s="292"/>
      <c r="T556" s="292"/>
      <c r="U556" s="292"/>
      <c r="V556" s="292"/>
      <c r="W556" s="292"/>
      <c r="X556" s="292"/>
      <c r="Y556" s="292"/>
      <c r="Z556" s="292"/>
    </row>
    <row r="557" spans="1:26" ht="12.75" customHeight="1" x14ac:dyDescent="0.25">
      <c r="A557" s="292"/>
      <c r="B557" s="292"/>
      <c r="C557" s="292"/>
      <c r="D557" s="292"/>
      <c r="E557" s="292"/>
      <c r="F557" s="292"/>
      <c r="G557" s="292"/>
      <c r="H557" s="292"/>
      <c r="I557" s="292"/>
      <c r="J557" s="292"/>
      <c r="K557" s="292"/>
      <c r="L557" s="292"/>
      <c r="M557" s="292"/>
      <c r="N557" s="292"/>
      <c r="O557" s="292"/>
      <c r="P557" s="292"/>
      <c r="Q557" s="292"/>
      <c r="R557" s="292"/>
      <c r="S557" s="292"/>
      <c r="T557" s="292"/>
      <c r="U557" s="292"/>
      <c r="V557" s="292"/>
      <c r="W557" s="292"/>
      <c r="X557" s="292"/>
      <c r="Y557" s="292"/>
      <c r="Z557" s="292"/>
    </row>
    <row r="558" spans="1:26" ht="12.75" customHeight="1" x14ac:dyDescent="0.25">
      <c r="A558" s="292"/>
      <c r="B558" s="292"/>
      <c r="C558" s="292"/>
      <c r="D558" s="292"/>
      <c r="E558" s="292"/>
      <c r="F558" s="292"/>
      <c r="G558" s="292"/>
      <c r="H558" s="292"/>
      <c r="I558" s="292"/>
      <c r="J558" s="292"/>
      <c r="K558" s="292"/>
      <c r="L558" s="292"/>
      <c r="M558" s="292"/>
      <c r="N558" s="292"/>
      <c r="O558" s="292"/>
      <c r="P558" s="292"/>
      <c r="Q558" s="292"/>
      <c r="R558" s="292"/>
      <c r="S558" s="292"/>
      <c r="T558" s="292"/>
      <c r="U558" s="292"/>
      <c r="V558" s="292"/>
      <c r="W558" s="292"/>
      <c r="X558" s="292"/>
      <c r="Y558" s="292"/>
      <c r="Z558" s="292"/>
    </row>
    <row r="559" spans="1:26" ht="12.75" customHeight="1" x14ac:dyDescent="0.25">
      <c r="A559" s="292"/>
      <c r="B559" s="292"/>
      <c r="C559" s="292"/>
      <c r="D559" s="292"/>
      <c r="E559" s="292"/>
      <c r="F559" s="292"/>
      <c r="G559" s="292"/>
      <c r="H559" s="292"/>
      <c r="I559" s="292"/>
      <c r="J559" s="292"/>
      <c r="K559" s="292"/>
      <c r="L559" s="292"/>
      <c r="M559" s="292"/>
      <c r="N559" s="292"/>
      <c r="O559" s="292"/>
      <c r="P559" s="292"/>
      <c r="Q559" s="292"/>
      <c r="R559" s="292"/>
      <c r="S559" s="292"/>
      <c r="T559" s="292"/>
      <c r="U559" s="292"/>
      <c r="V559" s="292"/>
      <c r="W559" s="292"/>
      <c r="X559" s="292"/>
      <c r="Y559" s="292"/>
      <c r="Z559" s="292"/>
    </row>
    <row r="560" spans="1:26" ht="12.75" customHeight="1" x14ac:dyDescent="0.25">
      <c r="A560" s="292"/>
      <c r="B560" s="292"/>
      <c r="C560" s="292"/>
      <c r="D560" s="292"/>
      <c r="E560" s="292"/>
      <c r="F560" s="292"/>
      <c r="G560" s="292"/>
      <c r="H560" s="292"/>
      <c r="I560" s="292"/>
      <c r="J560" s="292"/>
      <c r="K560" s="292"/>
      <c r="L560" s="292"/>
      <c r="M560" s="292"/>
      <c r="N560" s="292"/>
      <c r="O560" s="292"/>
      <c r="P560" s="292"/>
      <c r="Q560" s="292"/>
      <c r="R560" s="292"/>
      <c r="S560" s="292"/>
      <c r="T560" s="292"/>
      <c r="U560" s="292"/>
      <c r="V560" s="292"/>
      <c r="W560" s="292"/>
      <c r="X560" s="292"/>
      <c r="Y560" s="292"/>
      <c r="Z560" s="292"/>
    </row>
    <row r="561" spans="1:26" ht="12.75" customHeight="1" x14ac:dyDescent="0.25">
      <c r="A561" s="292"/>
      <c r="B561" s="292"/>
      <c r="C561" s="292"/>
      <c r="D561" s="292"/>
      <c r="E561" s="292"/>
      <c r="F561" s="292"/>
      <c r="G561" s="292"/>
      <c r="H561" s="292"/>
      <c r="I561" s="292"/>
      <c r="J561" s="292"/>
      <c r="K561" s="292"/>
      <c r="L561" s="292"/>
      <c r="M561" s="292"/>
      <c r="N561" s="292"/>
      <c r="O561" s="292"/>
      <c r="P561" s="292"/>
      <c r="Q561" s="292"/>
      <c r="R561" s="292"/>
      <c r="S561" s="292"/>
      <c r="T561" s="292"/>
      <c r="U561" s="292"/>
      <c r="V561" s="292"/>
      <c r="W561" s="292"/>
      <c r="X561" s="292"/>
      <c r="Y561" s="292"/>
      <c r="Z561" s="292"/>
    </row>
    <row r="562" spans="1:26" ht="12.75" customHeight="1" x14ac:dyDescent="0.25">
      <c r="A562" s="292"/>
      <c r="B562" s="292"/>
      <c r="C562" s="292"/>
      <c r="D562" s="292"/>
      <c r="E562" s="292"/>
      <c r="F562" s="292"/>
      <c r="G562" s="292"/>
      <c r="H562" s="292"/>
      <c r="I562" s="292"/>
      <c r="J562" s="292"/>
      <c r="K562" s="292"/>
      <c r="L562" s="292"/>
      <c r="M562" s="292"/>
      <c r="N562" s="292"/>
      <c r="O562" s="292"/>
      <c r="P562" s="292"/>
      <c r="Q562" s="292"/>
      <c r="R562" s="292"/>
      <c r="S562" s="292"/>
      <c r="T562" s="292"/>
      <c r="U562" s="292"/>
      <c r="V562" s="292"/>
      <c r="W562" s="292"/>
      <c r="X562" s="292"/>
      <c r="Y562" s="292"/>
      <c r="Z562" s="292"/>
    </row>
    <row r="563" spans="1:26" ht="12.75" customHeight="1" x14ac:dyDescent="0.25">
      <c r="A563" s="292"/>
      <c r="B563" s="292"/>
      <c r="C563" s="292"/>
      <c r="D563" s="292"/>
      <c r="E563" s="292"/>
      <c r="F563" s="292"/>
      <c r="G563" s="292"/>
      <c r="H563" s="292"/>
      <c r="I563" s="292"/>
      <c r="J563" s="292"/>
      <c r="K563" s="292"/>
      <c r="L563" s="292"/>
      <c r="M563" s="292"/>
      <c r="N563" s="292"/>
      <c r="O563" s="292"/>
      <c r="P563" s="292"/>
      <c r="Q563" s="292"/>
      <c r="R563" s="292"/>
      <c r="S563" s="292"/>
      <c r="T563" s="292"/>
      <c r="U563" s="292"/>
      <c r="V563" s="292"/>
      <c r="W563" s="292"/>
      <c r="X563" s="292"/>
      <c r="Y563" s="292"/>
      <c r="Z563" s="292"/>
    </row>
    <row r="564" spans="1:26" ht="12.75" customHeight="1" x14ac:dyDescent="0.25">
      <c r="A564" s="292"/>
      <c r="B564" s="292"/>
      <c r="C564" s="292"/>
      <c r="D564" s="292"/>
      <c r="E564" s="292"/>
      <c r="F564" s="292"/>
      <c r="G564" s="292"/>
      <c r="H564" s="292"/>
      <c r="I564" s="292"/>
      <c r="J564" s="292"/>
      <c r="K564" s="292"/>
      <c r="L564" s="292"/>
      <c r="M564" s="292"/>
      <c r="N564" s="292"/>
      <c r="O564" s="292"/>
      <c r="P564" s="292"/>
      <c r="Q564" s="292"/>
      <c r="R564" s="292"/>
      <c r="S564" s="292"/>
      <c r="T564" s="292"/>
      <c r="U564" s="292"/>
      <c r="V564" s="292"/>
      <c r="W564" s="292"/>
      <c r="X564" s="292"/>
      <c r="Y564" s="292"/>
      <c r="Z564" s="292"/>
    </row>
    <row r="565" spans="1:26" ht="12.75" customHeight="1" x14ac:dyDescent="0.25">
      <c r="A565" s="292"/>
      <c r="B565" s="292"/>
      <c r="C565" s="292"/>
      <c r="D565" s="292"/>
      <c r="E565" s="292"/>
      <c r="F565" s="292"/>
      <c r="G565" s="292"/>
      <c r="H565" s="292"/>
      <c r="I565" s="292"/>
      <c r="J565" s="292"/>
      <c r="K565" s="292"/>
      <c r="L565" s="292"/>
      <c r="M565" s="292"/>
      <c r="N565" s="292"/>
      <c r="O565" s="292"/>
      <c r="P565" s="292"/>
      <c r="Q565" s="292"/>
      <c r="R565" s="292"/>
      <c r="S565" s="292"/>
      <c r="T565" s="292"/>
      <c r="U565" s="292"/>
      <c r="V565" s="292"/>
      <c r="W565" s="292"/>
      <c r="X565" s="292"/>
      <c r="Y565" s="292"/>
      <c r="Z565" s="292"/>
    </row>
    <row r="566" spans="1:26" ht="12.75" customHeight="1" x14ac:dyDescent="0.25">
      <c r="A566" s="292"/>
      <c r="B566" s="292"/>
      <c r="C566" s="292"/>
      <c r="D566" s="292"/>
      <c r="E566" s="292"/>
      <c r="F566" s="292"/>
      <c r="G566" s="292"/>
      <c r="H566" s="292"/>
      <c r="I566" s="292"/>
      <c r="J566" s="292"/>
      <c r="K566" s="292"/>
      <c r="L566" s="292"/>
      <c r="M566" s="292"/>
      <c r="N566" s="292"/>
      <c r="O566" s="292"/>
      <c r="P566" s="292"/>
      <c r="Q566" s="292"/>
      <c r="R566" s="292"/>
      <c r="S566" s="292"/>
      <c r="T566" s="292"/>
      <c r="U566" s="292"/>
      <c r="V566" s="292"/>
      <c r="W566" s="292"/>
      <c r="X566" s="292"/>
      <c r="Y566" s="292"/>
      <c r="Z566" s="292"/>
    </row>
    <row r="567" spans="1:26" ht="12.75" customHeight="1" x14ac:dyDescent="0.25">
      <c r="A567" s="292"/>
      <c r="B567" s="292"/>
      <c r="C567" s="292"/>
      <c r="D567" s="292"/>
      <c r="E567" s="292"/>
      <c r="F567" s="292"/>
      <c r="G567" s="292"/>
      <c r="H567" s="292"/>
      <c r="I567" s="292"/>
      <c r="J567" s="292"/>
      <c r="K567" s="292"/>
      <c r="L567" s="292"/>
      <c r="M567" s="292"/>
      <c r="N567" s="292"/>
      <c r="O567" s="292"/>
      <c r="P567" s="292"/>
      <c r="Q567" s="292"/>
      <c r="R567" s="292"/>
      <c r="S567" s="292"/>
      <c r="T567" s="292"/>
      <c r="U567" s="292"/>
      <c r="V567" s="292"/>
      <c r="W567" s="292"/>
      <c r="X567" s="292"/>
      <c r="Y567" s="292"/>
      <c r="Z567" s="292"/>
    </row>
    <row r="568" spans="1:26" ht="12.75" customHeight="1" x14ac:dyDescent="0.25">
      <c r="A568" s="292"/>
      <c r="B568" s="292"/>
      <c r="C568" s="292"/>
      <c r="D568" s="292"/>
      <c r="E568" s="292"/>
      <c r="F568" s="292"/>
      <c r="G568" s="292"/>
      <c r="H568" s="292"/>
      <c r="I568" s="292"/>
      <c r="J568" s="292"/>
      <c r="K568" s="292"/>
      <c r="L568" s="292"/>
      <c r="M568" s="292"/>
      <c r="N568" s="292"/>
      <c r="O568" s="292"/>
      <c r="P568" s="292"/>
      <c r="Q568" s="292"/>
      <c r="R568" s="292"/>
      <c r="S568" s="292"/>
      <c r="T568" s="292"/>
      <c r="U568" s="292"/>
      <c r="V568" s="292"/>
      <c r="W568" s="292"/>
      <c r="X568" s="292"/>
      <c r="Y568" s="292"/>
      <c r="Z568" s="292"/>
    </row>
    <row r="569" spans="1:26" ht="12.75" customHeight="1" x14ac:dyDescent="0.25">
      <c r="A569" s="292"/>
      <c r="B569" s="292"/>
      <c r="C569" s="292"/>
      <c r="D569" s="292"/>
      <c r="E569" s="292"/>
      <c r="F569" s="292"/>
      <c r="G569" s="292"/>
      <c r="H569" s="292"/>
      <c r="I569" s="292"/>
      <c r="J569" s="292"/>
      <c r="K569" s="292"/>
      <c r="L569" s="292"/>
      <c r="M569" s="292"/>
      <c r="N569" s="292"/>
      <c r="O569" s="292"/>
      <c r="P569" s="292"/>
      <c r="Q569" s="292"/>
      <c r="R569" s="292"/>
      <c r="S569" s="292"/>
      <c r="T569" s="292"/>
      <c r="U569" s="292"/>
      <c r="V569" s="292"/>
      <c r="W569" s="292"/>
      <c r="X569" s="292"/>
      <c r="Y569" s="292"/>
      <c r="Z569" s="292"/>
    </row>
    <row r="570" spans="1:26" ht="12.75" customHeight="1" x14ac:dyDescent="0.25">
      <c r="A570" s="292"/>
      <c r="B570" s="292"/>
      <c r="C570" s="292"/>
      <c r="D570" s="292"/>
      <c r="E570" s="292"/>
      <c r="F570" s="292"/>
      <c r="G570" s="292"/>
      <c r="H570" s="292"/>
      <c r="I570" s="292"/>
      <c r="J570" s="292"/>
      <c r="K570" s="292"/>
      <c r="L570" s="292"/>
      <c r="M570" s="292"/>
      <c r="N570" s="292"/>
      <c r="O570" s="292"/>
      <c r="P570" s="292"/>
      <c r="Q570" s="292"/>
      <c r="R570" s="292"/>
      <c r="S570" s="292"/>
      <c r="T570" s="292"/>
      <c r="U570" s="292"/>
      <c r="V570" s="292"/>
      <c r="W570" s="292"/>
      <c r="X570" s="292"/>
      <c r="Y570" s="292"/>
      <c r="Z570" s="292"/>
    </row>
    <row r="571" spans="1:26" ht="12.75" customHeight="1" x14ac:dyDescent="0.25">
      <c r="A571" s="292"/>
      <c r="B571" s="292"/>
      <c r="C571" s="292"/>
      <c r="D571" s="292"/>
      <c r="E571" s="292"/>
      <c r="F571" s="292"/>
      <c r="G571" s="292"/>
      <c r="H571" s="292"/>
      <c r="I571" s="292"/>
      <c r="J571" s="292"/>
      <c r="K571" s="292"/>
      <c r="L571" s="292"/>
      <c r="M571" s="292"/>
      <c r="N571" s="292"/>
      <c r="O571" s="292"/>
      <c r="P571" s="292"/>
      <c r="Q571" s="292"/>
      <c r="R571" s="292"/>
      <c r="S571" s="292"/>
      <c r="T571" s="292"/>
      <c r="U571" s="292"/>
      <c r="V571" s="292"/>
      <c r="W571" s="292"/>
      <c r="X571" s="292"/>
      <c r="Y571" s="292"/>
      <c r="Z571" s="292"/>
    </row>
    <row r="572" spans="1:26" ht="12.75" customHeight="1" x14ac:dyDescent="0.25">
      <c r="A572" s="292"/>
      <c r="B572" s="292"/>
      <c r="C572" s="292"/>
      <c r="D572" s="292"/>
      <c r="E572" s="292"/>
      <c r="F572" s="292"/>
      <c r="G572" s="292"/>
      <c r="H572" s="292"/>
      <c r="I572" s="292"/>
      <c r="J572" s="292"/>
      <c r="K572" s="292"/>
      <c r="L572" s="292"/>
      <c r="M572" s="292"/>
      <c r="N572" s="292"/>
      <c r="O572" s="292"/>
      <c r="P572" s="292"/>
      <c r="Q572" s="292"/>
      <c r="R572" s="292"/>
      <c r="S572" s="292"/>
      <c r="T572" s="292"/>
      <c r="U572" s="292"/>
      <c r="V572" s="292"/>
      <c r="W572" s="292"/>
      <c r="X572" s="292"/>
      <c r="Y572" s="292"/>
      <c r="Z572" s="292"/>
    </row>
    <row r="573" spans="1:26" ht="12.75" customHeight="1" x14ac:dyDescent="0.25">
      <c r="A573" s="292"/>
      <c r="B573" s="292"/>
      <c r="C573" s="292"/>
      <c r="D573" s="292"/>
      <c r="E573" s="292"/>
      <c r="F573" s="292"/>
      <c r="G573" s="292"/>
      <c r="H573" s="292"/>
      <c r="I573" s="292"/>
      <c r="J573" s="292"/>
      <c r="K573" s="292"/>
      <c r="L573" s="292"/>
      <c r="M573" s="292"/>
      <c r="N573" s="292"/>
      <c r="O573" s="292"/>
      <c r="P573" s="292"/>
      <c r="Q573" s="292"/>
      <c r="R573" s="292"/>
      <c r="S573" s="292"/>
      <c r="T573" s="292"/>
      <c r="U573" s="292"/>
      <c r="V573" s="292"/>
      <c r="W573" s="292"/>
      <c r="X573" s="292"/>
      <c r="Y573" s="292"/>
      <c r="Z573" s="292"/>
    </row>
    <row r="574" spans="1:26" ht="12.75" customHeight="1" x14ac:dyDescent="0.25">
      <c r="A574" s="292"/>
      <c r="B574" s="292"/>
      <c r="C574" s="292"/>
      <c r="D574" s="292"/>
      <c r="E574" s="292"/>
      <c r="F574" s="292"/>
      <c r="G574" s="292"/>
      <c r="H574" s="292"/>
      <c r="I574" s="292"/>
      <c r="J574" s="292"/>
      <c r="K574" s="292"/>
      <c r="L574" s="292"/>
      <c r="M574" s="292"/>
      <c r="N574" s="292"/>
      <c r="O574" s="292"/>
      <c r="P574" s="292"/>
      <c r="Q574" s="292"/>
      <c r="R574" s="292"/>
      <c r="S574" s="292"/>
      <c r="T574" s="292"/>
      <c r="U574" s="292"/>
      <c r="V574" s="292"/>
      <c r="W574" s="292"/>
      <c r="X574" s="292"/>
      <c r="Y574" s="292"/>
      <c r="Z574" s="292"/>
    </row>
    <row r="575" spans="1:26" ht="12.75" customHeight="1" x14ac:dyDescent="0.25">
      <c r="A575" s="292"/>
      <c r="B575" s="292"/>
      <c r="C575" s="292"/>
      <c r="D575" s="292"/>
      <c r="E575" s="292"/>
      <c r="F575" s="292"/>
      <c r="G575" s="292"/>
      <c r="H575" s="292"/>
      <c r="I575" s="292"/>
      <c r="J575" s="292"/>
      <c r="K575" s="292"/>
      <c r="L575" s="292"/>
      <c r="M575" s="292"/>
      <c r="N575" s="292"/>
      <c r="O575" s="292"/>
      <c r="P575" s="292"/>
      <c r="Q575" s="292"/>
      <c r="R575" s="292"/>
      <c r="S575" s="292"/>
      <c r="T575" s="292"/>
      <c r="U575" s="292"/>
      <c r="V575" s="292"/>
      <c r="W575" s="292"/>
      <c r="X575" s="292"/>
      <c r="Y575" s="292"/>
      <c r="Z575" s="292"/>
    </row>
    <row r="576" spans="1:26" ht="12.75" customHeight="1" x14ac:dyDescent="0.25">
      <c r="A576" s="292"/>
      <c r="B576" s="292"/>
      <c r="C576" s="292"/>
      <c r="D576" s="292"/>
      <c r="E576" s="292"/>
      <c r="F576" s="292"/>
      <c r="G576" s="292"/>
      <c r="H576" s="292"/>
      <c r="I576" s="292"/>
      <c r="J576" s="292"/>
      <c r="K576" s="292"/>
      <c r="L576" s="292"/>
      <c r="M576" s="292"/>
      <c r="N576" s="292"/>
      <c r="O576" s="292"/>
      <c r="P576" s="292"/>
      <c r="Q576" s="292"/>
      <c r="R576" s="292"/>
      <c r="S576" s="292"/>
      <c r="T576" s="292"/>
      <c r="U576" s="292"/>
      <c r="V576" s="292"/>
      <c r="W576" s="292"/>
      <c r="X576" s="292"/>
      <c r="Y576" s="292"/>
      <c r="Z576" s="292"/>
    </row>
    <row r="577" spans="1:26" ht="12.75" customHeight="1" x14ac:dyDescent="0.25">
      <c r="A577" s="292"/>
      <c r="B577" s="292"/>
      <c r="C577" s="292"/>
      <c r="D577" s="292"/>
      <c r="E577" s="292"/>
      <c r="F577" s="292"/>
      <c r="G577" s="292"/>
      <c r="H577" s="292"/>
      <c r="I577" s="292"/>
      <c r="J577" s="292"/>
      <c r="K577" s="292"/>
      <c r="L577" s="292"/>
      <c r="M577" s="292"/>
      <c r="N577" s="292"/>
      <c r="O577" s="292"/>
      <c r="P577" s="292"/>
      <c r="Q577" s="292"/>
      <c r="R577" s="292"/>
      <c r="S577" s="292"/>
      <c r="T577" s="292"/>
      <c r="U577" s="292"/>
      <c r="V577" s="292"/>
      <c r="W577" s="292"/>
      <c r="X577" s="292"/>
      <c r="Y577" s="292"/>
      <c r="Z577" s="292"/>
    </row>
    <row r="578" spans="1:26" ht="12.75" customHeight="1" x14ac:dyDescent="0.25">
      <c r="A578" s="292"/>
      <c r="B578" s="292"/>
      <c r="C578" s="292"/>
      <c r="D578" s="292"/>
      <c r="E578" s="292"/>
      <c r="F578" s="292"/>
      <c r="G578" s="292"/>
      <c r="H578" s="292"/>
      <c r="I578" s="292"/>
      <c r="J578" s="292"/>
      <c r="K578" s="292"/>
      <c r="L578" s="292"/>
      <c r="M578" s="292"/>
      <c r="N578" s="292"/>
      <c r="O578" s="292"/>
      <c r="P578" s="292"/>
      <c r="Q578" s="292"/>
      <c r="R578" s="292"/>
      <c r="S578" s="292"/>
      <c r="T578" s="292"/>
      <c r="U578" s="292"/>
      <c r="V578" s="292"/>
      <c r="W578" s="292"/>
      <c r="X578" s="292"/>
      <c r="Y578" s="292"/>
      <c r="Z578" s="292"/>
    </row>
    <row r="579" spans="1:26" ht="12.75" customHeight="1" x14ac:dyDescent="0.25">
      <c r="A579" s="292"/>
      <c r="B579" s="292"/>
      <c r="C579" s="292"/>
      <c r="D579" s="292"/>
      <c r="E579" s="292"/>
      <c r="F579" s="292"/>
      <c r="G579" s="292"/>
      <c r="H579" s="292"/>
      <c r="I579" s="292"/>
      <c r="J579" s="292"/>
      <c r="K579" s="292"/>
      <c r="L579" s="292"/>
      <c r="M579" s="292"/>
      <c r="N579" s="292"/>
      <c r="O579" s="292"/>
      <c r="P579" s="292"/>
      <c r="Q579" s="292"/>
      <c r="R579" s="292"/>
      <c r="S579" s="292"/>
      <c r="T579" s="292"/>
      <c r="U579" s="292"/>
      <c r="V579" s="292"/>
      <c r="W579" s="292"/>
      <c r="X579" s="292"/>
      <c r="Y579" s="292"/>
      <c r="Z579" s="292"/>
    </row>
    <row r="580" spans="1:26" ht="12.75" customHeight="1" x14ac:dyDescent="0.25">
      <c r="A580" s="292"/>
      <c r="B580" s="292"/>
      <c r="C580" s="292"/>
      <c r="D580" s="292"/>
      <c r="E580" s="292"/>
      <c r="F580" s="292"/>
      <c r="G580" s="292"/>
      <c r="H580" s="292"/>
      <c r="I580" s="292"/>
      <c r="J580" s="292"/>
      <c r="K580" s="292"/>
      <c r="L580" s="292"/>
      <c r="M580" s="292"/>
      <c r="N580" s="292"/>
      <c r="O580" s="292"/>
      <c r="P580" s="292"/>
      <c r="Q580" s="292"/>
      <c r="R580" s="292"/>
      <c r="S580" s="292"/>
      <c r="T580" s="292"/>
      <c r="U580" s="292"/>
      <c r="V580" s="292"/>
      <c r="W580" s="292"/>
      <c r="X580" s="292"/>
      <c r="Y580" s="292"/>
      <c r="Z580" s="292"/>
    </row>
    <row r="581" spans="1:26" ht="12.75" customHeight="1" x14ac:dyDescent="0.25">
      <c r="A581" s="292"/>
      <c r="B581" s="292"/>
      <c r="C581" s="292"/>
      <c r="D581" s="292"/>
      <c r="E581" s="292"/>
      <c r="F581" s="292"/>
      <c r="G581" s="292"/>
      <c r="H581" s="292"/>
      <c r="I581" s="292"/>
      <c r="J581" s="292"/>
      <c r="K581" s="292"/>
      <c r="L581" s="292"/>
      <c r="M581" s="292"/>
      <c r="N581" s="292"/>
      <c r="O581" s="292"/>
      <c r="P581" s="292"/>
      <c r="Q581" s="292"/>
      <c r="R581" s="292"/>
      <c r="S581" s="292"/>
      <c r="T581" s="292"/>
      <c r="U581" s="292"/>
      <c r="V581" s="292"/>
      <c r="W581" s="292"/>
      <c r="X581" s="292"/>
      <c r="Y581" s="292"/>
      <c r="Z581" s="292"/>
    </row>
    <row r="582" spans="1:26" ht="12.75" customHeight="1" x14ac:dyDescent="0.25">
      <c r="A582" s="292"/>
      <c r="B582" s="292"/>
      <c r="C582" s="292"/>
      <c r="D582" s="292"/>
      <c r="E582" s="292"/>
      <c r="F582" s="292"/>
      <c r="G582" s="292"/>
      <c r="H582" s="292"/>
      <c r="I582" s="292"/>
      <c r="J582" s="292"/>
      <c r="K582" s="292"/>
      <c r="L582" s="292"/>
      <c r="M582" s="292"/>
      <c r="N582" s="292"/>
      <c r="O582" s="292"/>
      <c r="P582" s="292"/>
      <c r="Q582" s="292"/>
      <c r="R582" s="292"/>
      <c r="S582" s="292"/>
      <c r="T582" s="292"/>
      <c r="U582" s="292"/>
      <c r="V582" s="292"/>
      <c r="W582" s="292"/>
      <c r="X582" s="292"/>
      <c r="Y582" s="292"/>
      <c r="Z582" s="292"/>
    </row>
    <row r="583" spans="1:26" ht="12.75" customHeight="1" x14ac:dyDescent="0.25">
      <c r="A583" s="292"/>
      <c r="B583" s="292"/>
      <c r="C583" s="292"/>
      <c r="D583" s="292"/>
      <c r="E583" s="292"/>
      <c r="F583" s="292"/>
      <c r="G583" s="292"/>
      <c r="H583" s="292"/>
      <c r="I583" s="292"/>
      <c r="J583" s="292"/>
      <c r="K583" s="292"/>
      <c r="L583" s="292"/>
      <c r="M583" s="292"/>
      <c r="N583" s="292"/>
      <c r="O583" s="292"/>
      <c r="P583" s="292"/>
      <c r="Q583" s="292"/>
      <c r="R583" s="292"/>
      <c r="S583" s="292"/>
      <c r="T583" s="292"/>
      <c r="U583" s="292"/>
      <c r="V583" s="292"/>
      <c r="W583" s="292"/>
      <c r="X583" s="292"/>
      <c r="Y583" s="292"/>
      <c r="Z583" s="292"/>
    </row>
    <row r="584" spans="1:26" ht="12.75" customHeight="1" x14ac:dyDescent="0.25">
      <c r="A584" s="292"/>
      <c r="B584" s="292"/>
      <c r="C584" s="292"/>
      <c r="D584" s="292"/>
      <c r="E584" s="292"/>
      <c r="F584" s="292"/>
      <c r="G584" s="292"/>
      <c r="H584" s="292"/>
      <c r="I584" s="292"/>
      <c r="J584" s="292"/>
      <c r="K584" s="292"/>
      <c r="L584" s="292"/>
      <c r="M584" s="292"/>
      <c r="N584" s="292"/>
      <c r="O584" s="292"/>
      <c r="P584" s="292"/>
      <c r="Q584" s="292"/>
      <c r="R584" s="292"/>
      <c r="S584" s="292"/>
      <c r="T584" s="292"/>
      <c r="U584" s="292"/>
      <c r="V584" s="292"/>
      <c r="W584" s="292"/>
      <c r="X584" s="292"/>
      <c r="Y584" s="292"/>
      <c r="Z584" s="292"/>
    </row>
    <row r="585" spans="1:26" ht="12.75" customHeight="1" x14ac:dyDescent="0.25">
      <c r="A585" s="292"/>
      <c r="B585" s="292"/>
      <c r="C585" s="292"/>
      <c r="D585" s="292"/>
      <c r="E585" s="292"/>
      <c r="F585" s="292"/>
      <c r="G585" s="292"/>
      <c r="H585" s="292"/>
      <c r="I585" s="292"/>
      <c r="J585" s="292"/>
      <c r="K585" s="292"/>
      <c r="L585" s="292"/>
      <c r="M585" s="292"/>
      <c r="N585" s="292"/>
      <c r="O585" s="292"/>
      <c r="P585" s="292"/>
      <c r="Q585" s="292"/>
      <c r="R585" s="292"/>
      <c r="S585" s="292"/>
      <c r="T585" s="292"/>
      <c r="U585" s="292"/>
      <c r="V585" s="292"/>
      <c r="W585" s="292"/>
      <c r="X585" s="292"/>
      <c r="Y585" s="292"/>
      <c r="Z585" s="292"/>
    </row>
    <row r="586" spans="1:26" ht="12.75" customHeight="1" x14ac:dyDescent="0.25">
      <c r="A586" s="292"/>
      <c r="B586" s="292"/>
      <c r="C586" s="292"/>
      <c r="D586" s="292"/>
      <c r="E586" s="292"/>
      <c r="F586" s="292"/>
      <c r="G586" s="292"/>
      <c r="H586" s="292"/>
      <c r="I586" s="292"/>
      <c r="J586" s="292"/>
      <c r="K586" s="292"/>
      <c r="L586" s="292"/>
      <c r="M586" s="292"/>
      <c r="N586" s="292"/>
      <c r="O586" s="292"/>
      <c r="P586" s="292"/>
      <c r="Q586" s="292"/>
      <c r="R586" s="292"/>
      <c r="S586" s="292"/>
      <c r="T586" s="292"/>
      <c r="U586" s="292"/>
      <c r="V586" s="292"/>
      <c r="W586" s="292"/>
      <c r="X586" s="292"/>
      <c r="Y586" s="292"/>
      <c r="Z586" s="292"/>
    </row>
    <row r="587" spans="1:26" ht="12.75" customHeight="1" x14ac:dyDescent="0.25">
      <c r="A587" s="292"/>
      <c r="B587" s="292"/>
      <c r="C587" s="292"/>
      <c r="D587" s="292"/>
      <c r="E587" s="292"/>
      <c r="F587" s="292"/>
      <c r="G587" s="292"/>
      <c r="H587" s="292"/>
      <c r="I587" s="292"/>
      <c r="J587" s="292"/>
      <c r="K587" s="292"/>
      <c r="L587" s="292"/>
      <c r="M587" s="292"/>
      <c r="N587" s="292"/>
      <c r="O587" s="292"/>
      <c r="P587" s="292"/>
      <c r="Q587" s="292"/>
      <c r="R587" s="292"/>
      <c r="S587" s="292"/>
      <c r="T587" s="292"/>
      <c r="U587" s="292"/>
      <c r="V587" s="292"/>
      <c r="W587" s="292"/>
      <c r="X587" s="292"/>
      <c r="Y587" s="292"/>
      <c r="Z587" s="292"/>
    </row>
    <row r="588" spans="1:26" ht="12.75" customHeight="1" x14ac:dyDescent="0.25">
      <c r="A588" s="292"/>
      <c r="B588" s="292"/>
      <c r="C588" s="292"/>
      <c r="D588" s="292"/>
      <c r="E588" s="292"/>
      <c r="F588" s="292"/>
      <c r="G588" s="292"/>
      <c r="H588" s="292"/>
      <c r="I588" s="292"/>
      <c r="J588" s="292"/>
      <c r="K588" s="292"/>
      <c r="L588" s="292"/>
      <c r="M588" s="292"/>
      <c r="N588" s="292"/>
      <c r="O588" s="292"/>
      <c r="P588" s="292"/>
      <c r="Q588" s="292"/>
      <c r="R588" s="292"/>
      <c r="S588" s="292"/>
      <c r="T588" s="292"/>
      <c r="U588" s="292"/>
      <c r="V588" s="292"/>
      <c r="W588" s="292"/>
      <c r="X588" s="292"/>
      <c r="Y588" s="292"/>
      <c r="Z588" s="292"/>
    </row>
    <row r="589" spans="1:26" ht="12.75" customHeight="1" x14ac:dyDescent="0.25">
      <c r="A589" s="292"/>
      <c r="B589" s="292"/>
      <c r="C589" s="292"/>
      <c r="D589" s="292"/>
      <c r="E589" s="292"/>
      <c r="F589" s="292"/>
      <c r="G589" s="292"/>
      <c r="H589" s="292"/>
      <c r="I589" s="292"/>
      <c r="J589" s="292"/>
      <c r="K589" s="292"/>
      <c r="L589" s="292"/>
      <c r="M589" s="292"/>
      <c r="N589" s="292"/>
      <c r="O589" s="292"/>
      <c r="P589" s="292"/>
      <c r="Q589" s="292"/>
      <c r="R589" s="292"/>
      <c r="S589" s="292"/>
      <c r="T589" s="292"/>
      <c r="U589" s="292"/>
      <c r="V589" s="292"/>
      <c r="W589" s="292"/>
      <c r="X589" s="292"/>
      <c r="Y589" s="292"/>
      <c r="Z589" s="292"/>
    </row>
    <row r="590" spans="1:26" ht="12.75" customHeight="1" x14ac:dyDescent="0.25">
      <c r="A590" s="292"/>
      <c r="B590" s="292"/>
      <c r="C590" s="292"/>
      <c r="D590" s="292"/>
      <c r="E590" s="292"/>
      <c r="F590" s="292"/>
      <c r="G590" s="292"/>
      <c r="H590" s="292"/>
      <c r="I590" s="292"/>
      <c r="J590" s="292"/>
      <c r="K590" s="292"/>
      <c r="L590" s="292"/>
      <c r="M590" s="292"/>
      <c r="N590" s="292"/>
      <c r="O590" s="292"/>
      <c r="P590" s="292"/>
      <c r="Q590" s="292"/>
      <c r="R590" s="292"/>
      <c r="S590" s="292"/>
      <c r="T590" s="292"/>
      <c r="U590" s="292"/>
      <c r="V590" s="292"/>
      <c r="W590" s="292"/>
      <c r="X590" s="292"/>
      <c r="Y590" s="292"/>
      <c r="Z590" s="292"/>
    </row>
    <row r="591" spans="1:26" ht="12.75" customHeight="1" x14ac:dyDescent="0.25">
      <c r="A591" s="292"/>
      <c r="B591" s="292"/>
      <c r="C591" s="292"/>
      <c r="D591" s="292"/>
      <c r="E591" s="292"/>
      <c r="F591" s="292"/>
      <c r="G591" s="292"/>
      <c r="H591" s="292"/>
      <c r="I591" s="292"/>
      <c r="J591" s="292"/>
      <c r="K591" s="292"/>
      <c r="L591" s="292"/>
      <c r="M591" s="292"/>
      <c r="N591" s="292"/>
      <c r="O591" s="292"/>
      <c r="P591" s="292"/>
      <c r="Q591" s="292"/>
      <c r="R591" s="292"/>
      <c r="S591" s="292"/>
      <c r="T591" s="292"/>
      <c r="U591" s="292"/>
      <c r="V591" s="292"/>
      <c r="W591" s="292"/>
      <c r="X591" s="292"/>
      <c r="Y591" s="292"/>
      <c r="Z591" s="292"/>
    </row>
    <row r="592" spans="1:26" ht="12.75" customHeight="1" x14ac:dyDescent="0.25">
      <c r="A592" s="292"/>
      <c r="B592" s="292"/>
      <c r="C592" s="292"/>
      <c r="D592" s="292"/>
      <c r="E592" s="292"/>
      <c r="F592" s="292"/>
      <c r="G592" s="292"/>
      <c r="H592" s="292"/>
      <c r="I592" s="292"/>
      <c r="J592" s="292"/>
      <c r="K592" s="292"/>
      <c r="L592" s="292"/>
      <c r="M592" s="292"/>
      <c r="N592" s="292"/>
      <c r="O592" s="292"/>
      <c r="P592" s="292"/>
      <c r="Q592" s="292"/>
      <c r="R592" s="292"/>
      <c r="S592" s="292"/>
      <c r="T592" s="292"/>
      <c r="U592" s="292"/>
      <c r="V592" s="292"/>
      <c r="W592" s="292"/>
      <c r="X592" s="292"/>
      <c r="Y592" s="292"/>
      <c r="Z592" s="292"/>
    </row>
    <row r="593" spans="1:26" ht="12.75" customHeight="1" x14ac:dyDescent="0.25">
      <c r="A593" s="292"/>
      <c r="B593" s="292"/>
      <c r="C593" s="292"/>
      <c r="D593" s="292"/>
      <c r="E593" s="292"/>
      <c r="F593" s="292"/>
      <c r="G593" s="292"/>
      <c r="H593" s="292"/>
      <c r="I593" s="292"/>
      <c r="J593" s="292"/>
      <c r="K593" s="292"/>
      <c r="L593" s="292"/>
      <c r="M593" s="292"/>
      <c r="N593" s="292"/>
      <c r="O593" s="292"/>
      <c r="P593" s="292"/>
      <c r="Q593" s="292"/>
      <c r="R593" s="292"/>
      <c r="S593" s="292"/>
      <c r="T593" s="292"/>
      <c r="U593" s="292"/>
      <c r="V593" s="292"/>
      <c r="W593" s="292"/>
      <c r="X593" s="292"/>
      <c r="Y593" s="292"/>
      <c r="Z593" s="292"/>
    </row>
    <row r="594" spans="1:26" ht="12.75" customHeight="1" x14ac:dyDescent="0.25">
      <c r="A594" s="292"/>
      <c r="B594" s="292"/>
      <c r="C594" s="292"/>
      <c r="D594" s="292"/>
      <c r="E594" s="292"/>
      <c r="F594" s="292"/>
      <c r="G594" s="292"/>
      <c r="H594" s="292"/>
      <c r="I594" s="292"/>
      <c r="J594" s="292"/>
      <c r="K594" s="292"/>
      <c r="L594" s="292"/>
      <c r="M594" s="292"/>
      <c r="N594" s="292"/>
      <c r="O594" s="292"/>
      <c r="P594" s="292"/>
      <c r="Q594" s="292"/>
      <c r="R594" s="292"/>
      <c r="S594" s="292"/>
      <c r="T594" s="292"/>
      <c r="U594" s="292"/>
      <c r="V594" s="292"/>
      <c r="W594" s="292"/>
      <c r="X594" s="292"/>
      <c r="Y594" s="292"/>
      <c r="Z594" s="292"/>
    </row>
    <row r="595" spans="1:26" ht="12.75" customHeight="1" x14ac:dyDescent="0.25">
      <c r="A595" s="292"/>
      <c r="B595" s="292"/>
      <c r="C595" s="292"/>
      <c r="D595" s="292"/>
      <c r="E595" s="292"/>
      <c r="F595" s="292"/>
      <c r="G595" s="292"/>
      <c r="H595" s="292"/>
      <c r="I595" s="292"/>
      <c r="J595" s="292"/>
      <c r="K595" s="292"/>
      <c r="L595" s="292"/>
      <c r="M595" s="292"/>
      <c r="N595" s="292"/>
      <c r="O595" s="292"/>
      <c r="P595" s="292"/>
      <c r="Q595" s="292"/>
      <c r="R595" s="292"/>
      <c r="S595" s="292"/>
      <c r="T595" s="292"/>
      <c r="U595" s="292"/>
      <c r="V595" s="292"/>
      <c r="W595" s="292"/>
      <c r="X595" s="292"/>
      <c r="Y595" s="292"/>
      <c r="Z595" s="292"/>
    </row>
    <row r="596" spans="1:26" ht="12.75" customHeight="1" x14ac:dyDescent="0.25">
      <c r="A596" s="292"/>
      <c r="B596" s="292"/>
      <c r="C596" s="292"/>
      <c r="D596" s="292"/>
      <c r="E596" s="292"/>
      <c r="F596" s="292"/>
      <c r="G596" s="292"/>
      <c r="H596" s="292"/>
      <c r="I596" s="292"/>
      <c r="J596" s="292"/>
      <c r="K596" s="292"/>
      <c r="L596" s="292"/>
      <c r="M596" s="292"/>
      <c r="N596" s="292"/>
      <c r="O596" s="292"/>
      <c r="P596" s="292"/>
      <c r="Q596" s="292"/>
      <c r="R596" s="292"/>
      <c r="S596" s="292"/>
      <c r="T596" s="292"/>
      <c r="U596" s="292"/>
      <c r="V596" s="292"/>
      <c r="W596" s="292"/>
      <c r="X596" s="292"/>
      <c r="Y596" s="292"/>
      <c r="Z596" s="292"/>
    </row>
    <row r="597" spans="1:26" ht="12.75" customHeight="1" x14ac:dyDescent="0.25">
      <c r="A597" s="292"/>
      <c r="B597" s="292"/>
      <c r="C597" s="292"/>
      <c r="D597" s="292"/>
      <c r="E597" s="292"/>
      <c r="F597" s="292"/>
      <c r="G597" s="292"/>
      <c r="H597" s="292"/>
      <c r="I597" s="292"/>
      <c r="J597" s="292"/>
      <c r="K597" s="292"/>
      <c r="L597" s="292"/>
      <c r="M597" s="292"/>
      <c r="N597" s="292"/>
      <c r="O597" s="292"/>
      <c r="P597" s="292"/>
      <c r="Q597" s="292"/>
      <c r="R597" s="292"/>
      <c r="S597" s="292"/>
      <c r="T597" s="292"/>
      <c r="U597" s="292"/>
      <c r="V597" s="292"/>
      <c r="W597" s="292"/>
      <c r="X597" s="292"/>
      <c r="Y597" s="292"/>
      <c r="Z597" s="292"/>
    </row>
    <row r="598" spans="1:26" ht="12.75" customHeight="1" x14ac:dyDescent="0.25">
      <c r="A598" s="292"/>
      <c r="B598" s="292"/>
      <c r="C598" s="292"/>
      <c r="D598" s="292"/>
      <c r="E598" s="292"/>
      <c r="F598" s="292"/>
      <c r="G598" s="292"/>
      <c r="H598" s="292"/>
      <c r="I598" s="292"/>
      <c r="J598" s="292"/>
      <c r="K598" s="292"/>
      <c r="L598" s="292"/>
      <c r="M598" s="292"/>
      <c r="N598" s="292"/>
      <c r="O598" s="292"/>
      <c r="P598" s="292"/>
      <c r="Q598" s="292"/>
      <c r="R598" s="292"/>
      <c r="S598" s="292"/>
      <c r="T598" s="292"/>
      <c r="U598" s="292"/>
      <c r="V598" s="292"/>
      <c r="W598" s="292"/>
      <c r="X598" s="292"/>
      <c r="Y598" s="292"/>
      <c r="Z598" s="292"/>
    </row>
    <row r="599" spans="1:26" ht="12.75" customHeight="1" x14ac:dyDescent="0.25">
      <c r="A599" s="292"/>
      <c r="B599" s="292"/>
      <c r="C599" s="292"/>
      <c r="D599" s="292"/>
      <c r="E599" s="292"/>
      <c r="F599" s="292"/>
      <c r="G599" s="292"/>
      <c r="H599" s="292"/>
      <c r="I599" s="292"/>
      <c r="J599" s="292"/>
      <c r="K599" s="292"/>
      <c r="L599" s="292"/>
      <c r="M599" s="292"/>
      <c r="N599" s="292"/>
      <c r="O599" s="292"/>
      <c r="P599" s="292"/>
      <c r="Q599" s="292"/>
      <c r="R599" s="292"/>
      <c r="S599" s="292"/>
      <c r="T599" s="292"/>
      <c r="U599" s="292"/>
      <c r="V599" s="292"/>
      <c r="W599" s="292"/>
      <c r="X599" s="292"/>
      <c r="Y599" s="292"/>
      <c r="Z599" s="292"/>
    </row>
    <row r="600" spans="1:26" ht="12.75" customHeight="1" x14ac:dyDescent="0.25">
      <c r="A600" s="292"/>
      <c r="B600" s="292"/>
      <c r="C600" s="292"/>
      <c r="D600" s="292"/>
      <c r="E600" s="292"/>
      <c r="F600" s="292"/>
      <c r="G600" s="292"/>
      <c r="H600" s="292"/>
      <c r="I600" s="292"/>
      <c r="J600" s="292"/>
      <c r="K600" s="292"/>
      <c r="L600" s="292"/>
      <c r="M600" s="292"/>
      <c r="N600" s="292"/>
      <c r="O600" s="292"/>
      <c r="P600" s="292"/>
      <c r="Q600" s="292"/>
      <c r="R600" s="292"/>
      <c r="S600" s="292"/>
      <c r="T600" s="292"/>
      <c r="U600" s="292"/>
      <c r="V600" s="292"/>
      <c r="W600" s="292"/>
      <c r="X600" s="292"/>
      <c r="Y600" s="292"/>
      <c r="Z600" s="292"/>
    </row>
    <row r="601" spans="1:26" ht="12.75" customHeight="1" x14ac:dyDescent="0.25">
      <c r="A601" s="292"/>
      <c r="B601" s="292"/>
      <c r="C601" s="292"/>
      <c r="D601" s="292"/>
      <c r="E601" s="292"/>
      <c r="F601" s="292"/>
      <c r="G601" s="292"/>
      <c r="H601" s="292"/>
      <c r="I601" s="292"/>
      <c r="J601" s="292"/>
      <c r="K601" s="292"/>
      <c r="L601" s="292"/>
      <c r="M601" s="292"/>
      <c r="N601" s="292"/>
      <c r="O601" s="292"/>
      <c r="P601" s="292"/>
      <c r="Q601" s="292"/>
      <c r="R601" s="292"/>
      <c r="S601" s="292"/>
      <c r="T601" s="292"/>
      <c r="U601" s="292"/>
      <c r="V601" s="292"/>
      <c r="W601" s="292"/>
      <c r="X601" s="292"/>
      <c r="Y601" s="292"/>
      <c r="Z601" s="292"/>
    </row>
    <row r="602" spans="1:26" ht="12.75" customHeight="1" x14ac:dyDescent="0.25">
      <c r="A602" s="292"/>
      <c r="B602" s="292"/>
      <c r="C602" s="292"/>
      <c r="D602" s="292"/>
      <c r="E602" s="292"/>
      <c r="F602" s="292"/>
      <c r="G602" s="292"/>
      <c r="H602" s="292"/>
      <c r="I602" s="292"/>
      <c r="J602" s="292"/>
      <c r="K602" s="292"/>
      <c r="L602" s="292"/>
      <c r="M602" s="292"/>
      <c r="N602" s="292"/>
      <c r="O602" s="292"/>
      <c r="P602" s="292"/>
      <c r="Q602" s="292"/>
      <c r="R602" s="292"/>
      <c r="S602" s="292"/>
      <c r="T602" s="292"/>
      <c r="U602" s="292"/>
      <c r="V602" s="292"/>
      <c r="W602" s="292"/>
      <c r="X602" s="292"/>
      <c r="Y602" s="292"/>
      <c r="Z602" s="292"/>
    </row>
    <row r="603" spans="1:26" ht="12.75" customHeight="1" x14ac:dyDescent="0.25">
      <c r="A603" s="292"/>
      <c r="B603" s="292"/>
      <c r="C603" s="292"/>
      <c r="D603" s="292"/>
      <c r="E603" s="292"/>
      <c r="F603" s="292"/>
      <c r="G603" s="292"/>
      <c r="H603" s="292"/>
      <c r="I603" s="292"/>
      <c r="J603" s="292"/>
      <c r="K603" s="292"/>
      <c r="L603" s="292"/>
      <c r="M603" s="292"/>
      <c r="N603" s="292"/>
      <c r="O603" s="292"/>
      <c r="P603" s="292"/>
      <c r="Q603" s="292"/>
      <c r="R603" s="292"/>
      <c r="S603" s="292"/>
      <c r="T603" s="292"/>
      <c r="U603" s="292"/>
      <c r="V603" s="292"/>
      <c r="W603" s="292"/>
      <c r="X603" s="292"/>
      <c r="Y603" s="292"/>
      <c r="Z603" s="292"/>
    </row>
    <row r="604" spans="1:26" ht="12.75" customHeight="1" x14ac:dyDescent="0.25">
      <c r="A604" s="292"/>
      <c r="B604" s="292"/>
      <c r="C604" s="292"/>
      <c r="D604" s="292"/>
      <c r="E604" s="292"/>
      <c r="F604" s="292"/>
      <c r="G604" s="292"/>
      <c r="H604" s="292"/>
      <c r="I604" s="292"/>
      <c r="J604" s="292"/>
      <c r="K604" s="292"/>
      <c r="L604" s="292"/>
      <c r="M604" s="292"/>
      <c r="N604" s="292"/>
      <c r="O604" s="292"/>
      <c r="P604" s="292"/>
      <c r="Q604" s="292"/>
      <c r="R604" s="292"/>
      <c r="S604" s="292"/>
      <c r="T604" s="292"/>
      <c r="U604" s="292"/>
      <c r="V604" s="292"/>
      <c r="W604" s="292"/>
      <c r="X604" s="292"/>
      <c r="Y604" s="292"/>
      <c r="Z604" s="292"/>
    </row>
    <row r="605" spans="1:26" ht="12.75" customHeight="1" x14ac:dyDescent="0.25">
      <c r="A605" s="292"/>
      <c r="B605" s="292"/>
      <c r="C605" s="292"/>
      <c r="D605" s="292"/>
      <c r="E605" s="292"/>
      <c r="F605" s="292"/>
      <c r="G605" s="292"/>
      <c r="H605" s="292"/>
      <c r="I605" s="292"/>
      <c r="J605" s="292"/>
      <c r="K605" s="292"/>
      <c r="L605" s="292"/>
      <c r="M605" s="292"/>
      <c r="N605" s="292"/>
      <c r="O605" s="292"/>
      <c r="P605" s="292"/>
      <c r="Q605" s="292"/>
      <c r="R605" s="292"/>
      <c r="S605" s="292"/>
      <c r="T605" s="292"/>
      <c r="U605" s="292"/>
      <c r="V605" s="292"/>
      <c r="W605" s="292"/>
      <c r="X605" s="292"/>
      <c r="Y605" s="292"/>
      <c r="Z605" s="292"/>
    </row>
    <row r="606" spans="1:26" ht="12.75" customHeight="1" x14ac:dyDescent="0.25">
      <c r="A606" s="292"/>
      <c r="B606" s="292"/>
      <c r="C606" s="292"/>
      <c r="D606" s="292"/>
      <c r="E606" s="292"/>
      <c r="F606" s="292"/>
      <c r="G606" s="292"/>
      <c r="H606" s="292"/>
      <c r="I606" s="292"/>
      <c r="J606" s="292"/>
      <c r="K606" s="292"/>
      <c r="L606" s="292"/>
      <c r="M606" s="292"/>
      <c r="N606" s="292"/>
      <c r="O606" s="292"/>
      <c r="P606" s="292"/>
      <c r="Q606" s="292"/>
      <c r="R606" s="292"/>
      <c r="S606" s="292"/>
      <c r="T606" s="292"/>
      <c r="U606" s="292"/>
      <c r="V606" s="292"/>
      <c r="W606" s="292"/>
      <c r="X606" s="292"/>
      <c r="Y606" s="292"/>
      <c r="Z606" s="292"/>
    </row>
    <row r="607" spans="1:26" ht="12.75" customHeight="1" x14ac:dyDescent="0.25">
      <c r="A607" s="292"/>
      <c r="B607" s="292"/>
      <c r="C607" s="292"/>
      <c r="D607" s="292"/>
      <c r="E607" s="292"/>
      <c r="F607" s="292"/>
      <c r="G607" s="292"/>
      <c r="H607" s="292"/>
      <c r="I607" s="292"/>
      <c r="J607" s="292"/>
      <c r="K607" s="292"/>
      <c r="L607" s="292"/>
      <c r="M607" s="292"/>
      <c r="N607" s="292"/>
      <c r="O607" s="292"/>
      <c r="P607" s="292"/>
      <c r="Q607" s="292"/>
      <c r="R607" s="292"/>
      <c r="S607" s="292"/>
      <c r="T607" s="292"/>
      <c r="U607" s="292"/>
      <c r="V607" s="292"/>
      <c r="W607" s="292"/>
      <c r="X607" s="292"/>
      <c r="Y607" s="292"/>
      <c r="Z607" s="292"/>
    </row>
    <row r="608" spans="1:26" ht="12.75" customHeight="1" x14ac:dyDescent="0.25">
      <c r="A608" s="292"/>
      <c r="B608" s="292"/>
      <c r="C608" s="292"/>
      <c r="D608" s="292"/>
      <c r="E608" s="292"/>
      <c r="F608" s="292"/>
      <c r="G608" s="292"/>
      <c r="H608" s="292"/>
      <c r="I608" s="292"/>
      <c r="J608" s="292"/>
      <c r="K608" s="292"/>
      <c r="L608" s="292"/>
      <c r="M608" s="292"/>
      <c r="N608" s="292"/>
      <c r="O608" s="292"/>
      <c r="P608" s="292"/>
      <c r="Q608" s="292"/>
      <c r="R608" s="292"/>
      <c r="S608" s="292"/>
      <c r="T608" s="292"/>
      <c r="U608" s="292"/>
      <c r="V608" s="292"/>
      <c r="W608" s="292"/>
      <c r="X608" s="292"/>
      <c r="Y608" s="292"/>
      <c r="Z608" s="292"/>
    </row>
    <row r="609" spans="1:26" ht="12.75" customHeight="1" x14ac:dyDescent="0.25">
      <c r="A609" s="292"/>
      <c r="B609" s="292"/>
      <c r="C609" s="292"/>
      <c r="D609" s="292"/>
      <c r="E609" s="292"/>
      <c r="F609" s="292"/>
      <c r="G609" s="292"/>
      <c r="H609" s="292"/>
      <c r="I609" s="292"/>
      <c r="J609" s="292"/>
      <c r="K609" s="292"/>
      <c r="L609" s="292"/>
      <c r="M609" s="292"/>
      <c r="N609" s="292"/>
      <c r="O609" s="292"/>
      <c r="P609" s="292"/>
      <c r="Q609" s="292"/>
      <c r="R609" s="292"/>
      <c r="S609" s="292"/>
      <c r="T609" s="292"/>
      <c r="U609" s="292"/>
      <c r="V609" s="292"/>
      <c r="W609" s="292"/>
      <c r="X609" s="292"/>
      <c r="Y609" s="292"/>
      <c r="Z609" s="292"/>
    </row>
    <row r="610" spans="1:26" ht="12.75" customHeight="1" x14ac:dyDescent="0.25">
      <c r="A610" s="292"/>
      <c r="B610" s="292"/>
      <c r="C610" s="292"/>
      <c r="D610" s="292"/>
      <c r="E610" s="292"/>
      <c r="F610" s="292"/>
      <c r="G610" s="292"/>
      <c r="H610" s="292"/>
      <c r="I610" s="292"/>
      <c r="J610" s="292"/>
      <c r="K610" s="292"/>
      <c r="L610" s="292"/>
      <c r="M610" s="292"/>
      <c r="N610" s="292"/>
      <c r="O610" s="292"/>
      <c r="P610" s="292"/>
      <c r="Q610" s="292"/>
      <c r="R610" s="292"/>
      <c r="S610" s="292"/>
      <c r="T610" s="292"/>
      <c r="U610" s="292"/>
      <c r="V610" s="292"/>
      <c r="W610" s="292"/>
      <c r="X610" s="292"/>
      <c r="Y610" s="292"/>
      <c r="Z610" s="292"/>
    </row>
    <row r="611" spans="1:26" ht="12.75" customHeight="1" x14ac:dyDescent="0.25">
      <c r="A611" s="292"/>
      <c r="B611" s="292"/>
      <c r="C611" s="292"/>
      <c r="D611" s="292"/>
      <c r="E611" s="292"/>
      <c r="F611" s="292"/>
      <c r="G611" s="292"/>
      <c r="H611" s="292"/>
      <c r="I611" s="292"/>
      <c r="J611" s="292"/>
      <c r="K611" s="292"/>
      <c r="L611" s="292"/>
      <c r="M611" s="292"/>
      <c r="N611" s="292"/>
      <c r="O611" s="292"/>
      <c r="P611" s="292"/>
      <c r="Q611" s="292"/>
      <c r="R611" s="292"/>
      <c r="S611" s="292"/>
      <c r="T611" s="292"/>
      <c r="U611" s="292"/>
      <c r="V611" s="292"/>
      <c r="W611" s="292"/>
      <c r="X611" s="292"/>
      <c r="Y611" s="292"/>
      <c r="Z611" s="292"/>
    </row>
    <row r="612" spans="1:26" ht="12.75" customHeight="1" x14ac:dyDescent="0.25">
      <c r="A612" s="292"/>
      <c r="B612" s="292"/>
      <c r="C612" s="292"/>
      <c r="D612" s="292"/>
      <c r="E612" s="292"/>
      <c r="F612" s="292"/>
      <c r="G612" s="292"/>
      <c r="H612" s="292"/>
      <c r="I612" s="292"/>
      <c r="J612" s="292"/>
      <c r="K612" s="292"/>
      <c r="L612" s="292"/>
      <c r="M612" s="292"/>
      <c r="N612" s="292"/>
      <c r="O612" s="292"/>
      <c r="P612" s="292"/>
      <c r="Q612" s="292"/>
      <c r="R612" s="292"/>
      <c r="S612" s="292"/>
      <c r="T612" s="292"/>
      <c r="U612" s="292"/>
      <c r="V612" s="292"/>
      <c r="W612" s="292"/>
      <c r="X612" s="292"/>
      <c r="Y612" s="292"/>
      <c r="Z612" s="292"/>
    </row>
    <row r="613" spans="1:26" ht="12.75" customHeight="1" x14ac:dyDescent="0.25">
      <c r="A613" s="292"/>
      <c r="B613" s="292"/>
      <c r="C613" s="292"/>
      <c r="D613" s="292"/>
      <c r="E613" s="292"/>
      <c r="F613" s="292"/>
      <c r="G613" s="292"/>
      <c r="H613" s="292"/>
      <c r="I613" s="292"/>
      <c r="J613" s="292"/>
      <c r="K613" s="292"/>
      <c r="L613" s="292"/>
      <c r="M613" s="292"/>
      <c r="N613" s="292"/>
      <c r="O613" s="292"/>
      <c r="P613" s="292"/>
      <c r="Q613" s="292"/>
      <c r="R613" s="292"/>
      <c r="S613" s="292"/>
      <c r="T613" s="292"/>
      <c r="U613" s="292"/>
      <c r="V613" s="292"/>
      <c r="W613" s="292"/>
      <c r="X613" s="292"/>
      <c r="Y613" s="292"/>
      <c r="Z613" s="292"/>
    </row>
    <row r="614" spans="1:26" ht="12.75" customHeight="1" x14ac:dyDescent="0.25">
      <c r="A614" s="292"/>
      <c r="B614" s="292"/>
      <c r="C614" s="292"/>
      <c r="D614" s="292"/>
      <c r="E614" s="292"/>
      <c r="F614" s="292"/>
      <c r="G614" s="292"/>
      <c r="H614" s="292"/>
      <c r="I614" s="292"/>
      <c r="J614" s="292"/>
      <c r="K614" s="292"/>
      <c r="L614" s="292"/>
      <c r="M614" s="292"/>
      <c r="N614" s="292"/>
      <c r="O614" s="292"/>
      <c r="P614" s="292"/>
      <c r="Q614" s="292"/>
      <c r="R614" s="292"/>
      <c r="S614" s="292"/>
      <c r="T614" s="292"/>
      <c r="U614" s="292"/>
      <c r="V614" s="292"/>
      <c r="W614" s="292"/>
      <c r="X614" s="292"/>
      <c r="Y614" s="292"/>
      <c r="Z614" s="292"/>
    </row>
    <row r="615" spans="1:26" ht="12.75" customHeight="1" x14ac:dyDescent="0.25">
      <c r="A615" s="292"/>
      <c r="B615" s="292"/>
      <c r="C615" s="292"/>
      <c r="D615" s="292"/>
      <c r="E615" s="292"/>
      <c r="F615" s="292"/>
      <c r="G615" s="292"/>
      <c r="H615" s="292"/>
      <c r="I615" s="292"/>
      <c r="J615" s="292"/>
      <c r="K615" s="292"/>
      <c r="L615" s="292"/>
      <c r="M615" s="292"/>
      <c r="N615" s="292"/>
      <c r="O615" s="292"/>
      <c r="P615" s="292"/>
      <c r="Q615" s="292"/>
      <c r="R615" s="292"/>
      <c r="S615" s="292"/>
      <c r="T615" s="292"/>
      <c r="U615" s="292"/>
      <c r="V615" s="292"/>
      <c r="W615" s="292"/>
      <c r="X615" s="292"/>
      <c r="Y615" s="292"/>
      <c r="Z615" s="292"/>
    </row>
    <row r="616" spans="1:26" ht="12.75" customHeight="1" x14ac:dyDescent="0.25">
      <c r="A616" s="292"/>
      <c r="B616" s="292"/>
      <c r="C616" s="292"/>
      <c r="D616" s="292"/>
      <c r="E616" s="292"/>
      <c r="F616" s="292"/>
      <c r="G616" s="292"/>
      <c r="H616" s="292"/>
      <c r="I616" s="292"/>
      <c r="J616" s="292"/>
      <c r="K616" s="292"/>
      <c r="L616" s="292"/>
      <c r="M616" s="292"/>
      <c r="N616" s="292"/>
      <c r="O616" s="292"/>
      <c r="P616" s="292"/>
      <c r="Q616" s="292"/>
      <c r="R616" s="292"/>
      <c r="S616" s="292"/>
      <c r="T616" s="292"/>
      <c r="U616" s="292"/>
      <c r="V616" s="292"/>
      <c r="W616" s="292"/>
      <c r="X616" s="292"/>
      <c r="Y616" s="292"/>
      <c r="Z616" s="292"/>
    </row>
    <row r="617" spans="1:26" ht="12.75" customHeight="1" x14ac:dyDescent="0.25">
      <c r="A617" s="292"/>
      <c r="B617" s="292"/>
      <c r="C617" s="292"/>
      <c r="D617" s="292"/>
      <c r="E617" s="292"/>
      <c r="F617" s="292"/>
      <c r="G617" s="292"/>
      <c r="H617" s="292"/>
      <c r="I617" s="292"/>
      <c r="J617" s="292"/>
      <c r="K617" s="292"/>
      <c r="L617" s="292"/>
      <c r="M617" s="292"/>
      <c r="N617" s="292"/>
      <c r="O617" s="292"/>
      <c r="P617" s="292"/>
      <c r="Q617" s="292"/>
      <c r="R617" s="292"/>
      <c r="S617" s="292"/>
      <c r="T617" s="292"/>
      <c r="U617" s="292"/>
      <c r="V617" s="292"/>
      <c r="W617" s="292"/>
      <c r="X617" s="292"/>
      <c r="Y617" s="292"/>
      <c r="Z617" s="292"/>
    </row>
    <row r="618" spans="1:26" ht="12.75" customHeight="1" x14ac:dyDescent="0.25">
      <c r="A618" s="292"/>
      <c r="B618" s="292"/>
      <c r="C618" s="292"/>
      <c r="D618" s="292"/>
      <c r="E618" s="292"/>
      <c r="F618" s="292"/>
      <c r="G618" s="292"/>
      <c r="H618" s="292"/>
      <c r="I618" s="292"/>
      <c r="J618" s="292"/>
      <c r="K618" s="292"/>
      <c r="L618" s="292"/>
      <c r="M618" s="292"/>
      <c r="N618" s="292"/>
      <c r="O618" s="292"/>
      <c r="P618" s="292"/>
      <c r="Q618" s="292"/>
      <c r="R618" s="292"/>
      <c r="S618" s="292"/>
      <c r="T618" s="292"/>
      <c r="U618" s="292"/>
      <c r="V618" s="292"/>
      <c r="W618" s="292"/>
      <c r="X618" s="292"/>
      <c r="Y618" s="292"/>
      <c r="Z618" s="292"/>
    </row>
    <row r="619" spans="1:26" ht="12.75" customHeight="1" x14ac:dyDescent="0.25">
      <c r="A619" s="292"/>
      <c r="B619" s="292"/>
      <c r="C619" s="292"/>
      <c r="D619" s="292"/>
      <c r="E619" s="292"/>
      <c r="F619" s="292"/>
      <c r="G619" s="292"/>
      <c r="H619" s="292"/>
      <c r="I619" s="292"/>
      <c r="J619" s="292"/>
      <c r="K619" s="292"/>
      <c r="L619" s="292"/>
      <c r="M619" s="292"/>
      <c r="N619" s="292"/>
      <c r="O619" s="292"/>
      <c r="P619" s="292"/>
      <c r="Q619" s="292"/>
      <c r="R619" s="292"/>
      <c r="S619" s="292"/>
      <c r="T619" s="292"/>
      <c r="U619" s="292"/>
      <c r="V619" s="292"/>
      <c r="W619" s="292"/>
      <c r="X619" s="292"/>
      <c r="Y619" s="292"/>
      <c r="Z619" s="292"/>
    </row>
    <row r="620" spans="1:26" ht="12.75" customHeight="1" x14ac:dyDescent="0.25">
      <c r="A620" s="292"/>
      <c r="B620" s="292"/>
      <c r="C620" s="292"/>
      <c r="D620" s="292"/>
      <c r="E620" s="292"/>
      <c r="F620" s="292"/>
      <c r="G620" s="292"/>
      <c r="H620" s="292"/>
      <c r="I620" s="292"/>
      <c r="J620" s="292"/>
      <c r="K620" s="292"/>
      <c r="L620" s="292"/>
      <c r="M620" s="292"/>
      <c r="N620" s="292"/>
      <c r="O620" s="292"/>
      <c r="P620" s="292"/>
      <c r="Q620" s="292"/>
      <c r="R620" s="292"/>
      <c r="S620" s="292"/>
      <c r="T620" s="292"/>
      <c r="U620" s="292"/>
      <c r="V620" s="292"/>
      <c r="W620" s="292"/>
      <c r="X620" s="292"/>
      <c r="Y620" s="292"/>
      <c r="Z620" s="292"/>
    </row>
    <row r="621" spans="1:26" ht="12.75" customHeight="1" x14ac:dyDescent="0.25">
      <c r="A621" s="292"/>
      <c r="B621" s="292"/>
      <c r="C621" s="292"/>
      <c r="D621" s="292"/>
      <c r="E621" s="292"/>
      <c r="F621" s="292"/>
      <c r="G621" s="292"/>
      <c r="H621" s="292"/>
      <c r="I621" s="292"/>
      <c r="J621" s="292"/>
      <c r="K621" s="292"/>
      <c r="L621" s="292"/>
      <c r="M621" s="292"/>
      <c r="N621" s="292"/>
      <c r="O621" s="292"/>
      <c r="P621" s="292"/>
      <c r="Q621" s="292"/>
      <c r="R621" s="292"/>
      <c r="S621" s="292"/>
      <c r="T621" s="292"/>
      <c r="U621" s="292"/>
      <c r="V621" s="292"/>
      <c r="W621" s="292"/>
      <c r="X621" s="292"/>
      <c r="Y621" s="292"/>
      <c r="Z621" s="292"/>
    </row>
    <row r="622" spans="1:26" ht="12.75" customHeight="1" x14ac:dyDescent="0.25">
      <c r="A622" s="292"/>
      <c r="B622" s="292"/>
      <c r="C622" s="292"/>
      <c r="D622" s="292"/>
      <c r="E622" s="292"/>
      <c r="F622" s="292"/>
      <c r="G622" s="292"/>
      <c r="H622" s="292"/>
      <c r="I622" s="292"/>
      <c r="J622" s="292"/>
      <c r="K622" s="292"/>
      <c r="L622" s="292"/>
      <c r="M622" s="292"/>
      <c r="N622" s="292"/>
      <c r="O622" s="292"/>
      <c r="P622" s="292"/>
      <c r="Q622" s="292"/>
      <c r="R622" s="292"/>
      <c r="S622" s="292"/>
      <c r="T622" s="292"/>
      <c r="U622" s="292"/>
      <c r="V622" s="292"/>
      <c r="W622" s="292"/>
      <c r="X622" s="292"/>
      <c r="Y622" s="292"/>
      <c r="Z622" s="292"/>
    </row>
    <row r="623" spans="1:26" ht="12.75" customHeight="1" x14ac:dyDescent="0.25">
      <c r="A623" s="292"/>
      <c r="B623" s="292"/>
      <c r="C623" s="292"/>
      <c r="D623" s="292"/>
      <c r="E623" s="292"/>
      <c r="F623" s="292"/>
      <c r="G623" s="292"/>
      <c r="H623" s="292"/>
      <c r="I623" s="292"/>
      <c r="J623" s="292"/>
      <c r="K623" s="292"/>
      <c r="L623" s="292"/>
      <c r="M623" s="292"/>
      <c r="N623" s="292"/>
      <c r="O623" s="292"/>
      <c r="P623" s="292"/>
      <c r="Q623" s="292"/>
      <c r="R623" s="292"/>
      <c r="S623" s="292"/>
      <c r="T623" s="292"/>
      <c r="U623" s="292"/>
      <c r="V623" s="292"/>
      <c r="W623" s="292"/>
      <c r="X623" s="292"/>
      <c r="Y623" s="292"/>
      <c r="Z623" s="292"/>
    </row>
    <row r="624" spans="1:26" ht="12.75" customHeight="1" x14ac:dyDescent="0.25">
      <c r="A624" s="292"/>
      <c r="B624" s="292"/>
      <c r="C624" s="292"/>
      <c r="D624" s="292"/>
      <c r="E624" s="292"/>
      <c r="F624" s="292"/>
      <c r="G624" s="292"/>
      <c r="H624" s="292"/>
      <c r="I624" s="292"/>
      <c r="J624" s="292"/>
      <c r="K624" s="292"/>
      <c r="L624" s="292"/>
      <c r="M624" s="292"/>
      <c r="N624" s="292"/>
      <c r="O624" s="292"/>
      <c r="P624" s="292"/>
      <c r="Q624" s="292"/>
      <c r="R624" s="292"/>
      <c r="S624" s="292"/>
      <c r="T624" s="292"/>
      <c r="U624" s="292"/>
      <c r="V624" s="292"/>
      <c r="W624" s="292"/>
      <c r="X624" s="292"/>
      <c r="Y624" s="292"/>
      <c r="Z624" s="292"/>
    </row>
    <row r="625" spans="1:26" ht="12.75" customHeight="1" x14ac:dyDescent="0.25">
      <c r="A625" s="292"/>
      <c r="B625" s="292"/>
      <c r="C625" s="292"/>
      <c r="D625" s="292"/>
      <c r="E625" s="292"/>
      <c r="F625" s="292"/>
      <c r="G625" s="292"/>
      <c r="H625" s="292"/>
      <c r="I625" s="292"/>
      <c r="J625" s="292"/>
      <c r="K625" s="292"/>
      <c r="L625" s="292"/>
      <c r="M625" s="292"/>
      <c r="N625" s="292"/>
      <c r="O625" s="292"/>
      <c r="P625" s="292"/>
      <c r="Q625" s="292"/>
      <c r="R625" s="292"/>
      <c r="S625" s="292"/>
      <c r="T625" s="292"/>
      <c r="U625" s="292"/>
      <c r="V625" s="292"/>
      <c r="W625" s="292"/>
      <c r="X625" s="292"/>
      <c r="Y625" s="292"/>
      <c r="Z625" s="292"/>
    </row>
    <row r="626" spans="1:26" ht="12.75" customHeight="1" x14ac:dyDescent="0.25">
      <c r="A626" s="292"/>
      <c r="B626" s="292"/>
      <c r="C626" s="292"/>
      <c r="D626" s="292"/>
      <c r="E626" s="292"/>
      <c r="F626" s="292"/>
      <c r="G626" s="292"/>
      <c r="H626" s="292"/>
      <c r="I626" s="292"/>
      <c r="J626" s="292"/>
      <c r="K626" s="292"/>
      <c r="L626" s="292"/>
      <c r="M626" s="292"/>
      <c r="N626" s="292"/>
      <c r="O626" s="292"/>
      <c r="P626" s="292"/>
      <c r="Q626" s="292"/>
      <c r="R626" s="292"/>
      <c r="S626" s="292"/>
      <c r="T626" s="292"/>
      <c r="U626" s="292"/>
      <c r="V626" s="292"/>
      <c r="W626" s="292"/>
      <c r="X626" s="292"/>
      <c r="Y626" s="292"/>
      <c r="Z626" s="292"/>
    </row>
    <row r="627" spans="1:26" ht="12.75" customHeight="1" x14ac:dyDescent="0.25">
      <c r="A627" s="292"/>
      <c r="B627" s="292"/>
      <c r="C627" s="292"/>
      <c r="D627" s="292"/>
      <c r="E627" s="292"/>
      <c r="F627" s="292"/>
      <c r="G627" s="292"/>
      <c r="H627" s="292"/>
      <c r="I627" s="292"/>
      <c r="J627" s="292"/>
      <c r="K627" s="292"/>
      <c r="L627" s="292"/>
      <c r="M627" s="292"/>
      <c r="N627" s="292"/>
      <c r="O627" s="292"/>
      <c r="P627" s="292"/>
      <c r="Q627" s="292"/>
      <c r="R627" s="292"/>
      <c r="S627" s="292"/>
      <c r="T627" s="292"/>
      <c r="U627" s="292"/>
      <c r="V627" s="292"/>
      <c r="W627" s="292"/>
      <c r="X627" s="292"/>
      <c r="Y627" s="292"/>
      <c r="Z627" s="292"/>
    </row>
    <row r="628" spans="1:26" ht="12.75" customHeight="1" x14ac:dyDescent="0.25">
      <c r="A628" s="292"/>
      <c r="B628" s="292"/>
      <c r="C628" s="292"/>
      <c r="D628" s="292"/>
      <c r="E628" s="292"/>
      <c r="F628" s="292"/>
      <c r="G628" s="292"/>
      <c r="H628" s="292"/>
      <c r="I628" s="292"/>
      <c r="J628" s="292"/>
      <c r="K628" s="292"/>
      <c r="L628" s="292"/>
      <c r="M628" s="292"/>
      <c r="N628" s="292"/>
      <c r="O628" s="292"/>
      <c r="P628" s="292"/>
      <c r="Q628" s="292"/>
      <c r="R628" s="292"/>
      <c r="S628" s="292"/>
      <c r="T628" s="292"/>
      <c r="U628" s="292"/>
      <c r="V628" s="292"/>
      <c r="W628" s="292"/>
      <c r="X628" s="292"/>
      <c r="Y628" s="292"/>
      <c r="Z628" s="292"/>
    </row>
    <row r="629" spans="1:26" ht="12.75" customHeight="1" x14ac:dyDescent="0.25">
      <c r="A629" s="292"/>
      <c r="B629" s="292"/>
      <c r="C629" s="292"/>
      <c r="D629" s="292"/>
      <c r="E629" s="292"/>
      <c r="F629" s="292"/>
      <c r="G629" s="292"/>
      <c r="H629" s="292"/>
      <c r="I629" s="292"/>
      <c r="J629" s="292"/>
      <c r="K629" s="292"/>
      <c r="L629" s="292"/>
      <c r="M629" s="292"/>
      <c r="N629" s="292"/>
      <c r="O629" s="292"/>
      <c r="P629" s="292"/>
      <c r="Q629" s="292"/>
      <c r="R629" s="292"/>
      <c r="S629" s="292"/>
      <c r="T629" s="292"/>
      <c r="U629" s="292"/>
      <c r="V629" s="292"/>
      <c r="W629" s="292"/>
      <c r="X629" s="292"/>
      <c r="Y629" s="292"/>
      <c r="Z629" s="292"/>
    </row>
    <row r="630" spans="1:26" ht="12.75" customHeight="1" x14ac:dyDescent="0.25">
      <c r="A630" s="292"/>
      <c r="B630" s="292"/>
      <c r="C630" s="292"/>
      <c r="D630" s="292"/>
      <c r="E630" s="292"/>
      <c r="F630" s="292"/>
      <c r="G630" s="292"/>
      <c r="H630" s="292"/>
      <c r="I630" s="292"/>
      <c r="J630" s="292"/>
      <c r="K630" s="292"/>
      <c r="L630" s="292"/>
      <c r="M630" s="292"/>
      <c r="N630" s="292"/>
      <c r="O630" s="292"/>
      <c r="P630" s="292"/>
      <c r="Q630" s="292"/>
      <c r="R630" s="292"/>
      <c r="S630" s="292"/>
      <c r="T630" s="292"/>
      <c r="U630" s="292"/>
      <c r="V630" s="292"/>
      <c r="W630" s="292"/>
      <c r="X630" s="292"/>
      <c r="Y630" s="292"/>
      <c r="Z630" s="292"/>
    </row>
    <row r="631" spans="1:26" ht="12.75" customHeight="1" x14ac:dyDescent="0.25">
      <c r="A631" s="292"/>
      <c r="B631" s="292"/>
      <c r="C631" s="292"/>
      <c r="D631" s="292"/>
      <c r="E631" s="292"/>
      <c r="F631" s="292"/>
      <c r="G631" s="292"/>
      <c r="H631" s="292"/>
      <c r="I631" s="292"/>
      <c r="J631" s="292"/>
      <c r="K631" s="292"/>
      <c r="L631" s="292"/>
      <c r="M631" s="292"/>
      <c r="N631" s="292"/>
      <c r="O631" s="292"/>
      <c r="P631" s="292"/>
      <c r="Q631" s="292"/>
      <c r="R631" s="292"/>
      <c r="S631" s="292"/>
      <c r="T631" s="292"/>
      <c r="U631" s="292"/>
      <c r="V631" s="292"/>
      <c r="W631" s="292"/>
      <c r="X631" s="292"/>
      <c r="Y631" s="292"/>
      <c r="Z631" s="292"/>
    </row>
    <row r="632" spans="1:26" ht="12.75" customHeight="1" x14ac:dyDescent="0.25">
      <c r="A632" s="292"/>
      <c r="B632" s="292"/>
      <c r="C632" s="292"/>
      <c r="D632" s="292"/>
      <c r="E632" s="292"/>
      <c r="F632" s="292"/>
      <c r="G632" s="292"/>
      <c r="H632" s="292"/>
      <c r="I632" s="292"/>
      <c r="J632" s="292"/>
      <c r="K632" s="292"/>
      <c r="L632" s="292"/>
      <c r="M632" s="292"/>
      <c r="N632" s="292"/>
      <c r="O632" s="292"/>
      <c r="P632" s="292"/>
      <c r="Q632" s="292"/>
      <c r="R632" s="292"/>
      <c r="S632" s="292"/>
      <c r="T632" s="292"/>
      <c r="U632" s="292"/>
      <c r="V632" s="292"/>
      <c r="W632" s="292"/>
      <c r="X632" s="292"/>
      <c r="Y632" s="292"/>
      <c r="Z632" s="292"/>
    </row>
    <row r="633" spans="1:26" ht="12.75" customHeight="1" x14ac:dyDescent="0.25">
      <c r="A633" s="292"/>
      <c r="B633" s="292"/>
      <c r="C633" s="292"/>
      <c r="D633" s="292"/>
      <c r="E633" s="292"/>
      <c r="F633" s="292"/>
      <c r="G633" s="292"/>
      <c r="H633" s="292"/>
      <c r="I633" s="292"/>
      <c r="J633" s="292"/>
      <c r="K633" s="292"/>
      <c r="L633" s="292"/>
      <c r="M633" s="292"/>
      <c r="N633" s="292"/>
      <c r="O633" s="292"/>
      <c r="P633" s="292"/>
      <c r="Q633" s="292"/>
      <c r="R633" s="292"/>
      <c r="S633" s="292"/>
      <c r="T633" s="292"/>
      <c r="U633" s="292"/>
      <c r="V633" s="292"/>
      <c r="W633" s="292"/>
      <c r="X633" s="292"/>
      <c r="Y633" s="292"/>
      <c r="Z633" s="292"/>
    </row>
    <row r="634" spans="1:26" ht="12.75" customHeight="1" x14ac:dyDescent="0.25">
      <c r="A634" s="292"/>
      <c r="B634" s="292"/>
      <c r="C634" s="292"/>
      <c r="D634" s="292"/>
      <c r="E634" s="292"/>
      <c r="F634" s="292"/>
      <c r="G634" s="292"/>
      <c r="H634" s="292"/>
      <c r="I634" s="292"/>
      <c r="J634" s="292"/>
      <c r="K634" s="292"/>
      <c r="L634" s="292"/>
      <c r="M634" s="292"/>
      <c r="N634" s="292"/>
      <c r="O634" s="292"/>
      <c r="P634" s="292"/>
      <c r="Q634" s="292"/>
      <c r="R634" s="292"/>
      <c r="S634" s="292"/>
      <c r="T634" s="292"/>
      <c r="U634" s="292"/>
      <c r="V634" s="292"/>
      <c r="W634" s="292"/>
      <c r="X634" s="292"/>
      <c r="Y634" s="292"/>
      <c r="Z634" s="292"/>
    </row>
    <row r="635" spans="1:26" ht="12.75" customHeight="1" x14ac:dyDescent="0.25">
      <c r="A635" s="292"/>
      <c r="B635" s="292"/>
      <c r="C635" s="292"/>
      <c r="D635" s="292"/>
      <c r="E635" s="292"/>
      <c r="F635" s="292"/>
      <c r="G635" s="292"/>
      <c r="H635" s="292"/>
      <c r="I635" s="292"/>
      <c r="J635" s="292"/>
      <c r="K635" s="292"/>
      <c r="L635" s="292"/>
      <c r="M635" s="292"/>
      <c r="N635" s="292"/>
      <c r="O635" s="292"/>
      <c r="P635" s="292"/>
      <c r="Q635" s="292"/>
      <c r="R635" s="292"/>
      <c r="S635" s="292"/>
      <c r="T635" s="292"/>
      <c r="U635" s="292"/>
      <c r="V635" s="292"/>
      <c r="W635" s="292"/>
      <c r="X635" s="292"/>
      <c r="Y635" s="292"/>
      <c r="Z635" s="292"/>
    </row>
    <row r="636" spans="1:26" ht="12.75" customHeight="1" x14ac:dyDescent="0.25">
      <c r="A636" s="292"/>
      <c r="B636" s="292"/>
      <c r="C636" s="292"/>
      <c r="D636" s="292"/>
      <c r="E636" s="292"/>
      <c r="F636" s="292"/>
      <c r="G636" s="292"/>
      <c r="H636" s="292"/>
      <c r="I636" s="292"/>
      <c r="J636" s="292"/>
      <c r="K636" s="292"/>
      <c r="L636" s="292"/>
      <c r="M636" s="292"/>
      <c r="N636" s="292"/>
      <c r="O636" s="292"/>
      <c r="P636" s="292"/>
      <c r="Q636" s="292"/>
      <c r="R636" s="292"/>
      <c r="S636" s="292"/>
      <c r="T636" s="292"/>
      <c r="U636" s="292"/>
      <c r="V636" s="292"/>
      <c r="W636" s="292"/>
      <c r="X636" s="292"/>
      <c r="Y636" s="292"/>
      <c r="Z636" s="292"/>
    </row>
    <row r="637" spans="1:26" ht="12.75" customHeight="1" x14ac:dyDescent="0.25">
      <c r="A637" s="292"/>
      <c r="B637" s="292"/>
      <c r="C637" s="292"/>
      <c r="D637" s="292"/>
      <c r="E637" s="292"/>
      <c r="F637" s="292"/>
      <c r="G637" s="292"/>
      <c r="H637" s="292"/>
      <c r="I637" s="292"/>
      <c r="J637" s="292"/>
      <c r="K637" s="292"/>
      <c r="L637" s="292"/>
      <c r="M637" s="292"/>
      <c r="N637" s="292"/>
      <c r="O637" s="292"/>
      <c r="P637" s="292"/>
      <c r="Q637" s="292"/>
      <c r="R637" s="292"/>
      <c r="S637" s="292"/>
      <c r="T637" s="292"/>
      <c r="U637" s="292"/>
      <c r="V637" s="292"/>
      <c r="W637" s="292"/>
      <c r="X637" s="292"/>
      <c r="Y637" s="292"/>
      <c r="Z637" s="292"/>
    </row>
    <row r="638" spans="1:26" ht="12.75" customHeight="1" x14ac:dyDescent="0.25">
      <c r="A638" s="292"/>
      <c r="B638" s="292"/>
      <c r="C638" s="292"/>
      <c r="D638" s="292"/>
      <c r="E638" s="292"/>
      <c r="F638" s="292"/>
      <c r="G638" s="292"/>
      <c r="H638" s="292"/>
      <c r="I638" s="292"/>
      <c r="J638" s="292"/>
      <c r="K638" s="292"/>
      <c r="L638" s="292"/>
      <c r="M638" s="292"/>
      <c r="N638" s="292"/>
      <c r="O638" s="292"/>
      <c r="P638" s="292"/>
      <c r="Q638" s="292"/>
      <c r="R638" s="292"/>
      <c r="S638" s="292"/>
      <c r="T638" s="292"/>
      <c r="U638" s="292"/>
      <c r="V638" s="292"/>
      <c r="W638" s="292"/>
      <c r="X638" s="292"/>
      <c r="Y638" s="292"/>
      <c r="Z638" s="292"/>
    </row>
    <row r="639" spans="1:26" ht="12.75" customHeight="1" x14ac:dyDescent="0.25">
      <c r="A639" s="292"/>
      <c r="B639" s="292"/>
      <c r="C639" s="292"/>
      <c r="D639" s="292"/>
      <c r="E639" s="292"/>
      <c r="F639" s="292"/>
      <c r="G639" s="292"/>
      <c r="H639" s="292"/>
      <c r="I639" s="292"/>
      <c r="J639" s="292"/>
      <c r="K639" s="292"/>
      <c r="L639" s="292"/>
      <c r="M639" s="292"/>
      <c r="N639" s="292"/>
      <c r="O639" s="292"/>
      <c r="P639" s="292"/>
      <c r="Q639" s="292"/>
      <c r="R639" s="292"/>
      <c r="S639" s="292"/>
      <c r="T639" s="292"/>
      <c r="U639" s="292"/>
      <c r="V639" s="292"/>
      <c r="W639" s="292"/>
      <c r="X639" s="292"/>
      <c r="Y639" s="292"/>
      <c r="Z639" s="292"/>
    </row>
    <row r="640" spans="1:26" ht="12.75" customHeight="1" x14ac:dyDescent="0.25">
      <c r="A640" s="292"/>
      <c r="B640" s="292"/>
      <c r="C640" s="292"/>
      <c r="D640" s="292"/>
      <c r="E640" s="292"/>
      <c r="F640" s="292"/>
      <c r="G640" s="292"/>
      <c r="H640" s="292"/>
      <c r="I640" s="292"/>
      <c r="J640" s="292"/>
      <c r="K640" s="292"/>
      <c r="L640" s="292"/>
      <c r="M640" s="292"/>
      <c r="N640" s="292"/>
      <c r="O640" s="292"/>
      <c r="P640" s="292"/>
      <c r="Q640" s="292"/>
      <c r="R640" s="292"/>
      <c r="S640" s="292"/>
      <c r="T640" s="292"/>
      <c r="U640" s="292"/>
      <c r="V640" s="292"/>
      <c r="W640" s="292"/>
      <c r="X640" s="292"/>
      <c r="Y640" s="292"/>
      <c r="Z640" s="292"/>
    </row>
    <row r="641" spans="1:26" ht="12.75" customHeight="1" x14ac:dyDescent="0.25">
      <c r="A641" s="292"/>
      <c r="B641" s="292"/>
      <c r="C641" s="292"/>
      <c r="D641" s="292"/>
      <c r="E641" s="292"/>
      <c r="F641" s="292"/>
      <c r="G641" s="292"/>
      <c r="H641" s="292"/>
      <c r="I641" s="292"/>
      <c r="J641" s="292"/>
      <c r="K641" s="292"/>
      <c r="L641" s="292"/>
      <c r="M641" s="292"/>
      <c r="N641" s="292"/>
      <c r="O641" s="292"/>
      <c r="P641" s="292"/>
      <c r="Q641" s="292"/>
      <c r="R641" s="292"/>
      <c r="S641" s="292"/>
      <c r="T641" s="292"/>
      <c r="U641" s="292"/>
      <c r="V641" s="292"/>
      <c r="W641" s="292"/>
      <c r="X641" s="292"/>
      <c r="Y641" s="292"/>
      <c r="Z641" s="292"/>
    </row>
    <row r="642" spans="1:26" ht="12.75" customHeight="1" x14ac:dyDescent="0.25">
      <c r="A642" s="292"/>
      <c r="B642" s="292"/>
      <c r="C642" s="292"/>
      <c r="D642" s="292"/>
      <c r="E642" s="292"/>
      <c r="F642" s="292"/>
      <c r="G642" s="292"/>
      <c r="H642" s="292"/>
      <c r="I642" s="292"/>
      <c r="J642" s="292"/>
      <c r="K642" s="292"/>
      <c r="L642" s="292"/>
      <c r="M642" s="292"/>
      <c r="N642" s="292"/>
      <c r="O642" s="292"/>
      <c r="P642" s="292"/>
      <c r="Q642" s="292"/>
      <c r="R642" s="292"/>
      <c r="S642" s="292"/>
      <c r="T642" s="292"/>
      <c r="U642" s="292"/>
      <c r="V642" s="292"/>
      <c r="W642" s="292"/>
      <c r="X642" s="292"/>
      <c r="Y642" s="292"/>
      <c r="Z642" s="292"/>
    </row>
    <row r="643" spans="1:26" ht="12.75" customHeight="1" x14ac:dyDescent="0.25">
      <c r="A643" s="292"/>
      <c r="B643" s="292"/>
      <c r="C643" s="292"/>
      <c r="D643" s="292"/>
      <c r="E643" s="292"/>
      <c r="F643" s="292"/>
      <c r="G643" s="292"/>
      <c r="H643" s="292"/>
      <c r="I643" s="292"/>
      <c r="J643" s="292"/>
      <c r="K643" s="292"/>
      <c r="L643" s="292"/>
      <c r="M643" s="292"/>
      <c r="N643" s="292"/>
      <c r="O643" s="292"/>
      <c r="P643" s="292"/>
      <c r="Q643" s="292"/>
      <c r="R643" s="292"/>
      <c r="S643" s="292"/>
      <c r="T643" s="292"/>
      <c r="U643" s="292"/>
      <c r="V643" s="292"/>
      <c r="W643" s="292"/>
      <c r="X643" s="292"/>
      <c r="Y643" s="292"/>
      <c r="Z643" s="292"/>
    </row>
    <row r="644" spans="1:26" ht="12.75" customHeight="1" x14ac:dyDescent="0.25">
      <c r="A644" s="292"/>
      <c r="B644" s="292"/>
      <c r="C644" s="292"/>
      <c r="D644" s="292"/>
      <c r="E644" s="292"/>
      <c r="F644" s="292"/>
      <c r="G644" s="292"/>
      <c r="H644" s="292"/>
      <c r="I644" s="292"/>
      <c r="J644" s="292"/>
      <c r="K644" s="292"/>
      <c r="L644" s="292"/>
      <c r="M644" s="292"/>
      <c r="N644" s="292"/>
      <c r="O644" s="292"/>
      <c r="P644" s="292"/>
      <c r="Q644" s="292"/>
      <c r="R644" s="292"/>
      <c r="S644" s="292"/>
      <c r="T644" s="292"/>
      <c r="U644" s="292"/>
      <c r="V644" s="292"/>
      <c r="W644" s="292"/>
      <c r="X644" s="292"/>
      <c r="Y644" s="292"/>
      <c r="Z644" s="292"/>
    </row>
    <row r="645" spans="1:26" ht="12.75" customHeight="1" x14ac:dyDescent="0.25">
      <c r="A645" s="292"/>
      <c r="B645" s="292"/>
      <c r="C645" s="292"/>
      <c r="D645" s="292"/>
      <c r="E645" s="292"/>
      <c r="F645" s="292"/>
      <c r="G645" s="292"/>
      <c r="H645" s="292"/>
      <c r="I645" s="292"/>
      <c r="J645" s="292"/>
      <c r="K645" s="292"/>
      <c r="L645" s="292"/>
      <c r="M645" s="292"/>
      <c r="N645" s="292"/>
      <c r="O645" s="292"/>
      <c r="P645" s="292"/>
      <c r="Q645" s="292"/>
      <c r="R645" s="292"/>
      <c r="S645" s="292"/>
      <c r="T645" s="292"/>
      <c r="U645" s="292"/>
      <c r="V645" s="292"/>
      <c r="W645" s="292"/>
      <c r="X645" s="292"/>
      <c r="Y645" s="292"/>
      <c r="Z645" s="292"/>
    </row>
    <row r="646" spans="1:26" ht="12.75" customHeight="1" x14ac:dyDescent="0.25">
      <c r="A646" s="292"/>
      <c r="B646" s="292"/>
      <c r="C646" s="292"/>
      <c r="D646" s="292"/>
      <c r="E646" s="292"/>
      <c r="F646" s="292"/>
      <c r="G646" s="292"/>
      <c r="H646" s="292"/>
      <c r="I646" s="292"/>
      <c r="J646" s="292"/>
      <c r="K646" s="292"/>
      <c r="L646" s="292"/>
      <c r="M646" s="292"/>
      <c r="N646" s="292"/>
      <c r="O646" s="292"/>
      <c r="P646" s="292"/>
      <c r="Q646" s="292"/>
      <c r="R646" s="292"/>
      <c r="S646" s="292"/>
      <c r="T646" s="292"/>
      <c r="U646" s="292"/>
      <c r="V646" s="292"/>
      <c r="W646" s="292"/>
      <c r="X646" s="292"/>
      <c r="Y646" s="292"/>
      <c r="Z646" s="292"/>
    </row>
    <row r="647" spans="1:26" ht="12.75" customHeight="1" x14ac:dyDescent="0.25">
      <c r="A647" s="292"/>
      <c r="B647" s="292"/>
      <c r="C647" s="292"/>
      <c r="D647" s="292"/>
      <c r="E647" s="292"/>
      <c r="F647" s="292"/>
      <c r="G647" s="292"/>
      <c r="H647" s="292"/>
      <c r="I647" s="292"/>
      <c r="J647" s="292"/>
      <c r="K647" s="292"/>
      <c r="L647" s="292"/>
      <c r="M647" s="292"/>
      <c r="N647" s="292"/>
      <c r="O647" s="292"/>
      <c r="P647" s="292"/>
      <c r="Q647" s="292"/>
      <c r="R647" s="292"/>
      <c r="S647" s="292"/>
      <c r="T647" s="292"/>
      <c r="U647" s="292"/>
      <c r="V647" s="292"/>
      <c r="W647" s="292"/>
      <c r="X647" s="292"/>
      <c r="Y647" s="292"/>
      <c r="Z647" s="292"/>
    </row>
    <row r="648" spans="1:26" ht="12.75" customHeight="1" x14ac:dyDescent="0.25">
      <c r="A648" s="292"/>
      <c r="B648" s="292"/>
      <c r="C648" s="292"/>
      <c r="D648" s="292"/>
      <c r="E648" s="292"/>
      <c r="F648" s="292"/>
      <c r="G648" s="292"/>
      <c r="H648" s="292"/>
      <c r="I648" s="292"/>
      <c r="J648" s="292"/>
      <c r="K648" s="292"/>
      <c r="L648" s="292"/>
      <c r="M648" s="292"/>
      <c r="N648" s="292"/>
      <c r="O648" s="292"/>
      <c r="P648" s="292"/>
      <c r="Q648" s="292"/>
      <c r="R648" s="292"/>
      <c r="S648" s="292"/>
      <c r="T648" s="292"/>
      <c r="U648" s="292"/>
      <c r="V648" s="292"/>
      <c r="W648" s="292"/>
      <c r="X648" s="292"/>
      <c r="Y648" s="292"/>
      <c r="Z648" s="292"/>
    </row>
    <row r="649" spans="1:26" ht="12.75" customHeight="1" x14ac:dyDescent="0.25">
      <c r="A649" s="292"/>
      <c r="B649" s="292"/>
      <c r="C649" s="292"/>
      <c r="D649" s="292"/>
      <c r="E649" s="292"/>
      <c r="F649" s="292"/>
      <c r="G649" s="292"/>
      <c r="H649" s="292"/>
      <c r="I649" s="292"/>
      <c r="J649" s="292"/>
      <c r="K649" s="292"/>
      <c r="L649" s="292"/>
      <c r="M649" s="292"/>
      <c r="N649" s="292"/>
      <c r="O649" s="292"/>
      <c r="P649" s="292"/>
      <c r="Q649" s="292"/>
      <c r="R649" s="292"/>
      <c r="S649" s="292"/>
      <c r="T649" s="292"/>
      <c r="U649" s="292"/>
      <c r="V649" s="292"/>
      <c r="W649" s="292"/>
      <c r="X649" s="292"/>
      <c r="Y649" s="292"/>
      <c r="Z649" s="292"/>
    </row>
    <row r="650" spans="1:26" ht="12.75" customHeight="1" x14ac:dyDescent="0.25">
      <c r="A650" s="292"/>
      <c r="B650" s="292"/>
      <c r="C650" s="292"/>
      <c r="D650" s="292"/>
      <c r="E650" s="292"/>
      <c r="F650" s="292"/>
      <c r="G650" s="292"/>
      <c r="H650" s="292"/>
      <c r="I650" s="292"/>
      <c r="J650" s="292"/>
      <c r="K650" s="292"/>
      <c r="L650" s="292"/>
      <c r="M650" s="292"/>
      <c r="N650" s="292"/>
      <c r="O650" s="292"/>
      <c r="P650" s="292"/>
      <c r="Q650" s="292"/>
      <c r="R650" s="292"/>
      <c r="S650" s="292"/>
      <c r="T650" s="292"/>
      <c r="U650" s="292"/>
      <c r="V650" s="292"/>
      <c r="W650" s="292"/>
      <c r="X650" s="292"/>
      <c r="Y650" s="292"/>
      <c r="Z650" s="292"/>
    </row>
    <row r="651" spans="1:26" ht="12.75" customHeight="1" x14ac:dyDescent="0.25">
      <c r="A651" s="292"/>
      <c r="B651" s="292"/>
      <c r="C651" s="292"/>
      <c r="D651" s="292"/>
      <c r="E651" s="292"/>
      <c r="F651" s="292"/>
      <c r="G651" s="292"/>
      <c r="H651" s="292"/>
      <c r="I651" s="292"/>
      <c r="J651" s="292"/>
      <c r="K651" s="292"/>
      <c r="L651" s="292"/>
      <c r="M651" s="292"/>
      <c r="N651" s="292"/>
      <c r="O651" s="292"/>
      <c r="P651" s="292"/>
      <c r="Q651" s="292"/>
      <c r="R651" s="292"/>
      <c r="S651" s="292"/>
      <c r="T651" s="292"/>
      <c r="U651" s="292"/>
      <c r="V651" s="292"/>
      <c r="W651" s="292"/>
      <c r="X651" s="292"/>
      <c r="Y651" s="292"/>
      <c r="Z651" s="292"/>
    </row>
    <row r="652" spans="1:26" ht="12.75" customHeight="1" x14ac:dyDescent="0.25">
      <c r="A652" s="292"/>
      <c r="B652" s="292"/>
      <c r="C652" s="292"/>
      <c r="D652" s="292"/>
      <c r="E652" s="292"/>
      <c r="F652" s="292"/>
      <c r="G652" s="292"/>
      <c r="H652" s="292"/>
      <c r="I652" s="292"/>
      <c r="J652" s="292"/>
      <c r="K652" s="292"/>
      <c r="L652" s="292"/>
      <c r="M652" s="292"/>
      <c r="N652" s="292"/>
      <c r="O652" s="292"/>
      <c r="P652" s="292"/>
      <c r="Q652" s="292"/>
      <c r="R652" s="292"/>
      <c r="S652" s="292"/>
      <c r="T652" s="292"/>
      <c r="U652" s="292"/>
      <c r="V652" s="292"/>
      <c r="W652" s="292"/>
      <c r="X652" s="292"/>
      <c r="Y652" s="292"/>
      <c r="Z652" s="292"/>
    </row>
    <row r="653" spans="1:26" ht="12.75" customHeight="1" x14ac:dyDescent="0.25">
      <c r="A653" s="292"/>
      <c r="B653" s="292"/>
      <c r="C653" s="292"/>
      <c r="D653" s="292"/>
      <c r="E653" s="292"/>
      <c r="F653" s="292"/>
      <c r="G653" s="292"/>
      <c r="H653" s="292"/>
      <c r="I653" s="292"/>
      <c r="J653" s="292"/>
      <c r="K653" s="292"/>
      <c r="L653" s="292"/>
      <c r="M653" s="292"/>
      <c r="N653" s="292"/>
      <c r="O653" s="292"/>
      <c r="P653" s="292"/>
      <c r="Q653" s="292"/>
      <c r="R653" s="292"/>
      <c r="S653" s="292"/>
      <c r="T653" s="292"/>
      <c r="U653" s="292"/>
      <c r="V653" s="292"/>
      <c r="W653" s="292"/>
      <c r="X653" s="292"/>
      <c r="Y653" s="292"/>
      <c r="Z653" s="292"/>
    </row>
    <row r="654" spans="1:26" ht="12.75" customHeight="1" x14ac:dyDescent="0.25">
      <c r="A654" s="292"/>
      <c r="B654" s="292"/>
      <c r="C654" s="292"/>
      <c r="D654" s="292"/>
      <c r="E654" s="292"/>
      <c r="F654" s="292"/>
      <c r="G654" s="292"/>
      <c r="H654" s="292"/>
      <c r="I654" s="292"/>
      <c r="J654" s="292"/>
      <c r="K654" s="292"/>
      <c r="L654" s="292"/>
      <c r="M654" s="292"/>
      <c r="N654" s="292"/>
      <c r="O654" s="292"/>
      <c r="P654" s="292"/>
      <c r="Q654" s="292"/>
      <c r="R654" s="292"/>
      <c r="S654" s="292"/>
      <c r="T654" s="292"/>
      <c r="U654" s="292"/>
      <c r="V654" s="292"/>
      <c r="W654" s="292"/>
      <c r="X654" s="292"/>
      <c r="Y654" s="292"/>
      <c r="Z654" s="292"/>
    </row>
    <row r="655" spans="1:26" ht="12.75" customHeight="1" x14ac:dyDescent="0.25">
      <c r="A655" s="292"/>
      <c r="B655" s="292"/>
      <c r="C655" s="292"/>
      <c r="D655" s="292"/>
      <c r="E655" s="292"/>
      <c r="F655" s="292"/>
      <c r="G655" s="292"/>
      <c r="H655" s="292"/>
      <c r="I655" s="292"/>
      <c r="J655" s="292"/>
      <c r="K655" s="292"/>
      <c r="L655" s="292"/>
      <c r="M655" s="292"/>
      <c r="N655" s="292"/>
      <c r="O655" s="292"/>
      <c r="P655" s="292"/>
      <c r="Q655" s="292"/>
      <c r="R655" s="292"/>
      <c r="S655" s="292"/>
      <c r="T655" s="292"/>
      <c r="U655" s="292"/>
      <c r="V655" s="292"/>
      <c r="W655" s="292"/>
      <c r="X655" s="292"/>
      <c r="Y655" s="292"/>
      <c r="Z655" s="292"/>
    </row>
    <row r="656" spans="1:26" ht="12.75" customHeight="1" x14ac:dyDescent="0.25">
      <c r="A656" s="292"/>
      <c r="B656" s="292"/>
      <c r="C656" s="292"/>
      <c r="D656" s="292"/>
      <c r="E656" s="292"/>
      <c r="F656" s="292"/>
      <c r="G656" s="292"/>
      <c r="H656" s="292"/>
      <c r="I656" s="292"/>
      <c r="J656" s="292"/>
      <c r="K656" s="292"/>
      <c r="L656" s="292"/>
      <c r="M656" s="292"/>
      <c r="N656" s="292"/>
      <c r="O656" s="292"/>
      <c r="P656" s="292"/>
      <c r="Q656" s="292"/>
      <c r="R656" s="292"/>
      <c r="S656" s="292"/>
      <c r="T656" s="292"/>
      <c r="U656" s="292"/>
      <c r="V656" s="292"/>
      <c r="W656" s="292"/>
      <c r="X656" s="292"/>
      <c r="Y656" s="292"/>
      <c r="Z656" s="292"/>
    </row>
    <row r="657" spans="1:26" ht="12.75" customHeight="1" x14ac:dyDescent="0.25">
      <c r="A657" s="292"/>
      <c r="B657" s="292"/>
      <c r="C657" s="292"/>
      <c r="D657" s="292"/>
      <c r="E657" s="292"/>
      <c r="F657" s="292"/>
      <c r="G657" s="292"/>
      <c r="H657" s="292"/>
      <c r="I657" s="292"/>
      <c r="J657" s="292"/>
      <c r="K657" s="292"/>
      <c r="L657" s="292"/>
      <c r="M657" s="292"/>
      <c r="N657" s="292"/>
      <c r="O657" s="292"/>
      <c r="P657" s="292"/>
      <c r="Q657" s="292"/>
      <c r="R657" s="292"/>
      <c r="S657" s="292"/>
      <c r="T657" s="292"/>
      <c r="U657" s="292"/>
      <c r="V657" s="292"/>
      <c r="W657" s="292"/>
      <c r="X657" s="292"/>
      <c r="Y657" s="292"/>
      <c r="Z657" s="292"/>
    </row>
    <row r="658" spans="1:26" ht="12.75" customHeight="1" x14ac:dyDescent="0.25">
      <c r="A658" s="292"/>
      <c r="B658" s="292"/>
      <c r="C658" s="292"/>
      <c r="D658" s="292"/>
      <c r="E658" s="292"/>
      <c r="F658" s="292"/>
      <c r="G658" s="292"/>
      <c r="H658" s="292"/>
      <c r="I658" s="292"/>
      <c r="J658" s="292"/>
      <c r="K658" s="292"/>
      <c r="L658" s="292"/>
      <c r="M658" s="292"/>
      <c r="N658" s="292"/>
      <c r="O658" s="292"/>
      <c r="P658" s="292"/>
      <c r="Q658" s="292"/>
      <c r="R658" s="292"/>
      <c r="S658" s="292"/>
      <c r="T658" s="292"/>
      <c r="U658" s="292"/>
      <c r="V658" s="292"/>
      <c r="W658" s="292"/>
      <c r="X658" s="292"/>
      <c r="Y658" s="292"/>
      <c r="Z658" s="292"/>
    </row>
    <row r="659" spans="1:26" ht="12.75" customHeight="1" x14ac:dyDescent="0.25">
      <c r="A659" s="292"/>
      <c r="B659" s="292"/>
      <c r="C659" s="292"/>
      <c r="D659" s="292"/>
      <c r="E659" s="292"/>
      <c r="F659" s="292"/>
      <c r="G659" s="292"/>
      <c r="H659" s="292"/>
      <c r="I659" s="292"/>
      <c r="J659" s="292"/>
      <c r="K659" s="292"/>
      <c r="L659" s="292"/>
      <c r="M659" s="292"/>
      <c r="N659" s="292"/>
      <c r="O659" s="292"/>
      <c r="P659" s="292"/>
      <c r="Q659" s="292"/>
      <c r="R659" s="292"/>
      <c r="S659" s="292"/>
      <c r="T659" s="292"/>
      <c r="U659" s="292"/>
      <c r="V659" s="292"/>
      <c r="W659" s="292"/>
      <c r="X659" s="292"/>
      <c r="Y659" s="292"/>
      <c r="Z659" s="292"/>
    </row>
    <row r="660" spans="1:26" ht="12.75" customHeight="1" x14ac:dyDescent="0.25">
      <c r="A660" s="292"/>
      <c r="B660" s="292"/>
      <c r="C660" s="292"/>
      <c r="D660" s="292"/>
      <c r="E660" s="292"/>
      <c r="F660" s="292"/>
      <c r="G660" s="292"/>
      <c r="H660" s="292"/>
      <c r="I660" s="292"/>
      <c r="J660" s="292"/>
      <c r="K660" s="292"/>
      <c r="L660" s="292"/>
      <c r="M660" s="292"/>
      <c r="N660" s="292"/>
      <c r="O660" s="292"/>
      <c r="P660" s="292"/>
      <c r="Q660" s="292"/>
      <c r="R660" s="292"/>
      <c r="S660" s="292"/>
      <c r="T660" s="292"/>
      <c r="U660" s="292"/>
      <c r="V660" s="292"/>
      <c r="W660" s="292"/>
      <c r="X660" s="292"/>
      <c r="Y660" s="292"/>
      <c r="Z660" s="292"/>
    </row>
    <row r="661" spans="1:26" ht="12.75" customHeight="1" x14ac:dyDescent="0.25">
      <c r="A661" s="292"/>
      <c r="B661" s="292"/>
      <c r="C661" s="292"/>
      <c r="D661" s="292"/>
      <c r="E661" s="292"/>
      <c r="F661" s="292"/>
      <c r="G661" s="292"/>
      <c r="H661" s="292"/>
      <c r="I661" s="292"/>
      <c r="J661" s="292"/>
      <c r="K661" s="292"/>
      <c r="L661" s="292"/>
      <c r="M661" s="292"/>
      <c r="N661" s="292"/>
      <c r="O661" s="292"/>
      <c r="P661" s="292"/>
      <c r="Q661" s="292"/>
      <c r="R661" s="292"/>
      <c r="S661" s="292"/>
      <c r="T661" s="292"/>
      <c r="U661" s="292"/>
      <c r="V661" s="292"/>
      <c r="W661" s="292"/>
      <c r="X661" s="292"/>
      <c r="Y661" s="292"/>
      <c r="Z661" s="292"/>
    </row>
    <row r="662" spans="1:26" ht="12.75" customHeight="1" x14ac:dyDescent="0.25">
      <c r="A662" s="292"/>
      <c r="B662" s="292"/>
      <c r="C662" s="292"/>
      <c r="D662" s="292"/>
      <c r="E662" s="292"/>
      <c r="F662" s="292"/>
      <c r="G662" s="292"/>
      <c r="H662" s="292"/>
      <c r="I662" s="292"/>
      <c r="J662" s="292"/>
      <c r="K662" s="292"/>
      <c r="L662" s="292"/>
      <c r="M662" s="292"/>
      <c r="N662" s="292"/>
      <c r="O662" s="292"/>
      <c r="P662" s="292"/>
      <c r="Q662" s="292"/>
      <c r="R662" s="292"/>
      <c r="S662" s="292"/>
      <c r="T662" s="292"/>
      <c r="U662" s="292"/>
      <c r="V662" s="292"/>
      <c r="W662" s="292"/>
      <c r="X662" s="292"/>
      <c r="Y662" s="292"/>
      <c r="Z662" s="292"/>
    </row>
    <row r="663" spans="1:26" ht="12.75" customHeight="1" x14ac:dyDescent="0.25">
      <c r="A663" s="292"/>
      <c r="B663" s="292"/>
      <c r="C663" s="292"/>
      <c r="D663" s="292"/>
      <c r="E663" s="292"/>
      <c r="F663" s="292"/>
      <c r="G663" s="292"/>
      <c r="H663" s="292"/>
      <c r="I663" s="292"/>
      <c r="J663" s="292"/>
      <c r="K663" s="292"/>
      <c r="L663" s="292"/>
      <c r="M663" s="292"/>
      <c r="N663" s="292"/>
      <c r="O663" s="292"/>
      <c r="P663" s="292"/>
      <c r="Q663" s="292"/>
      <c r="R663" s="292"/>
      <c r="S663" s="292"/>
      <c r="T663" s="292"/>
      <c r="U663" s="292"/>
      <c r="V663" s="292"/>
      <c r="W663" s="292"/>
      <c r="X663" s="292"/>
      <c r="Y663" s="292"/>
      <c r="Z663" s="292"/>
    </row>
    <row r="664" spans="1:26" ht="12.75" customHeight="1" x14ac:dyDescent="0.25">
      <c r="A664" s="292"/>
      <c r="B664" s="292"/>
      <c r="C664" s="292"/>
      <c r="D664" s="292"/>
      <c r="E664" s="292"/>
      <c r="F664" s="292"/>
      <c r="G664" s="292"/>
      <c r="H664" s="292"/>
      <c r="I664" s="292"/>
      <c r="J664" s="292"/>
      <c r="K664" s="292"/>
      <c r="L664" s="292"/>
      <c r="M664" s="292"/>
      <c r="N664" s="292"/>
      <c r="O664" s="292"/>
      <c r="P664" s="292"/>
      <c r="Q664" s="292"/>
      <c r="R664" s="292"/>
      <c r="S664" s="292"/>
      <c r="T664" s="292"/>
      <c r="U664" s="292"/>
      <c r="V664" s="292"/>
      <c r="W664" s="292"/>
      <c r="X664" s="292"/>
      <c r="Y664" s="292"/>
      <c r="Z664" s="292"/>
    </row>
    <row r="665" spans="1:26" ht="12.75" customHeight="1" x14ac:dyDescent="0.25">
      <c r="A665" s="292"/>
      <c r="B665" s="292"/>
      <c r="C665" s="292"/>
      <c r="D665" s="292"/>
      <c r="E665" s="292"/>
      <c r="F665" s="292"/>
      <c r="G665" s="292"/>
      <c r="H665" s="292"/>
      <c r="I665" s="292"/>
      <c r="J665" s="292"/>
      <c r="K665" s="292"/>
      <c r="L665" s="292"/>
      <c r="M665" s="292"/>
      <c r="N665" s="292"/>
      <c r="O665" s="292"/>
      <c r="P665" s="292"/>
      <c r="Q665" s="292"/>
      <c r="R665" s="292"/>
      <c r="S665" s="292"/>
      <c r="T665" s="292"/>
      <c r="U665" s="292"/>
      <c r="V665" s="292"/>
      <c r="W665" s="292"/>
      <c r="X665" s="292"/>
      <c r="Y665" s="292"/>
      <c r="Z665" s="292"/>
    </row>
    <row r="666" spans="1:26" ht="12.75" customHeight="1" x14ac:dyDescent="0.25">
      <c r="A666" s="292"/>
      <c r="B666" s="292"/>
      <c r="C666" s="292"/>
      <c r="D666" s="292"/>
      <c r="E666" s="292"/>
      <c r="F666" s="292"/>
      <c r="G666" s="292"/>
      <c r="H666" s="292"/>
      <c r="I666" s="292"/>
      <c r="J666" s="292"/>
      <c r="K666" s="292"/>
      <c r="L666" s="292"/>
      <c r="M666" s="292"/>
      <c r="N666" s="292"/>
      <c r="O666" s="292"/>
      <c r="P666" s="292"/>
      <c r="Q666" s="292"/>
      <c r="R666" s="292"/>
      <c r="S666" s="292"/>
      <c r="T666" s="292"/>
      <c r="U666" s="292"/>
      <c r="V666" s="292"/>
      <c r="W666" s="292"/>
      <c r="X666" s="292"/>
      <c r="Y666" s="292"/>
      <c r="Z666" s="292"/>
    </row>
    <row r="667" spans="1:26" ht="12.75" customHeight="1" x14ac:dyDescent="0.25">
      <c r="A667" s="292"/>
      <c r="B667" s="292"/>
      <c r="C667" s="292"/>
      <c r="D667" s="292"/>
      <c r="E667" s="292"/>
      <c r="F667" s="292"/>
      <c r="G667" s="292"/>
      <c r="H667" s="292"/>
      <c r="I667" s="292"/>
      <c r="J667" s="292"/>
      <c r="K667" s="292"/>
      <c r="L667" s="292"/>
      <c r="M667" s="292"/>
      <c r="N667" s="292"/>
      <c r="O667" s="292"/>
      <c r="P667" s="292"/>
      <c r="Q667" s="292"/>
      <c r="R667" s="292"/>
      <c r="S667" s="292"/>
      <c r="T667" s="292"/>
      <c r="U667" s="292"/>
      <c r="V667" s="292"/>
      <c r="W667" s="292"/>
      <c r="X667" s="292"/>
      <c r="Y667" s="292"/>
      <c r="Z667" s="292"/>
    </row>
    <row r="668" spans="1:26" ht="12.75" customHeight="1" x14ac:dyDescent="0.25">
      <c r="A668" s="292"/>
      <c r="B668" s="292"/>
      <c r="C668" s="292"/>
      <c r="D668" s="292"/>
      <c r="E668" s="292"/>
      <c r="F668" s="292"/>
      <c r="G668" s="292"/>
      <c r="H668" s="292"/>
      <c r="I668" s="292"/>
      <c r="J668" s="292"/>
      <c r="K668" s="292"/>
      <c r="L668" s="292"/>
      <c r="M668" s="292"/>
      <c r="N668" s="292"/>
      <c r="O668" s="292"/>
      <c r="P668" s="292"/>
      <c r="Q668" s="292"/>
      <c r="R668" s="292"/>
      <c r="S668" s="292"/>
      <c r="T668" s="292"/>
      <c r="U668" s="292"/>
      <c r="V668" s="292"/>
      <c r="W668" s="292"/>
      <c r="X668" s="292"/>
      <c r="Y668" s="292"/>
      <c r="Z668" s="292"/>
    </row>
    <row r="669" spans="1:26" ht="12.75" customHeight="1" x14ac:dyDescent="0.25">
      <c r="A669" s="292"/>
      <c r="B669" s="292"/>
      <c r="C669" s="292"/>
      <c r="D669" s="292"/>
      <c r="E669" s="292"/>
      <c r="F669" s="292"/>
      <c r="G669" s="292"/>
      <c r="H669" s="292"/>
      <c r="I669" s="292"/>
      <c r="J669" s="292"/>
      <c r="K669" s="292"/>
      <c r="L669" s="292"/>
      <c r="M669" s="292"/>
      <c r="N669" s="292"/>
      <c r="O669" s="292"/>
      <c r="P669" s="292"/>
      <c r="Q669" s="292"/>
      <c r="R669" s="292"/>
      <c r="S669" s="292"/>
      <c r="T669" s="292"/>
      <c r="U669" s="292"/>
      <c r="V669" s="292"/>
      <c r="W669" s="292"/>
      <c r="X669" s="292"/>
      <c r="Y669" s="292"/>
      <c r="Z669" s="292"/>
    </row>
    <row r="670" spans="1:26" ht="12.75" customHeight="1" x14ac:dyDescent="0.25">
      <c r="A670" s="292"/>
      <c r="B670" s="292"/>
      <c r="C670" s="292"/>
      <c r="D670" s="292"/>
      <c r="E670" s="292"/>
      <c r="F670" s="292"/>
      <c r="G670" s="292"/>
      <c r="H670" s="292"/>
      <c r="I670" s="292"/>
      <c r="J670" s="292"/>
      <c r="K670" s="292"/>
      <c r="L670" s="292"/>
      <c r="M670" s="292"/>
      <c r="N670" s="292"/>
      <c r="O670" s="292"/>
      <c r="P670" s="292"/>
      <c r="Q670" s="292"/>
      <c r="R670" s="292"/>
      <c r="S670" s="292"/>
      <c r="T670" s="292"/>
      <c r="U670" s="292"/>
      <c r="V670" s="292"/>
      <c r="W670" s="292"/>
      <c r="X670" s="292"/>
      <c r="Y670" s="292"/>
      <c r="Z670" s="292"/>
    </row>
    <row r="671" spans="1:26" ht="12.75" customHeight="1" x14ac:dyDescent="0.25">
      <c r="A671" s="292"/>
      <c r="B671" s="292"/>
      <c r="C671" s="292"/>
      <c r="D671" s="292"/>
      <c r="E671" s="292"/>
      <c r="F671" s="292"/>
      <c r="G671" s="292"/>
      <c r="H671" s="292"/>
      <c r="I671" s="292"/>
      <c r="J671" s="292"/>
      <c r="K671" s="292"/>
      <c r="L671" s="292"/>
      <c r="M671" s="292"/>
      <c r="N671" s="292"/>
      <c r="O671" s="292"/>
      <c r="P671" s="292"/>
      <c r="Q671" s="292"/>
      <c r="R671" s="292"/>
      <c r="S671" s="292"/>
      <c r="T671" s="292"/>
      <c r="U671" s="292"/>
      <c r="V671" s="292"/>
      <c r="W671" s="292"/>
      <c r="X671" s="292"/>
      <c r="Y671" s="292"/>
      <c r="Z671" s="292"/>
    </row>
    <row r="672" spans="1:26" ht="12.75" customHeight="1" x14ac:dyDescent="0.25">
      <c r="A672" s="292"/>
      <c r="B672" s="292"/>
      <c r="C672" s="292"/>
      <c r="D672" s="292"/>
      <c r="E672" s="292"/>
      <c r="F672" s="292"/>
      <c r="G672" s="292"/>
      <c r="H672" s="292"/>
      <c r="I672" s="292"/>
      <c r="J672" s="292"/>
      <c r="K672" s="292"/>
      <c r="L672" s="292"/>
      <c r="M672" s="292"/>
      <c r="N672" s="292"/>
      <c r="O672" s="292"/>
      <c r="P672" s="292"/>
      <c r="Q672" s="292"/>
      <c r="R672" s="292"/>
      <c r="S672" s="292"/>
      <c r="T672" s="292"/>
      <c r="U672" s="292"/>
      <c r="V672" s="292"/>
      <c r="W672" s="292"/>
      <c r="X672" s="292"/>
      <c r="Y672" s="292"/>
      <c r="Z672" s="292"/>
    </row>
    <row r="673" spans="1:26" ht="12.75" customHeight="1" x14ac:dyDescent="0.25">
      <c r="A673" s="292"/>
      <c r="B673" s="292"/>
      <c r="C673" s="292"/>
      <c r="D673" s="292"/>
      <c r="E673" s="292"/>
      <c r="F673" s="292"/>
      <c r="G673" s="292"/>
      <c r="H673" s="292"/>
      <c r="I673" s="292"/>
      <c r="J673" s="292"/>
      <c r="K673" s="292"/>
      <c r="L673" s="292"/>
      <c r="M673" s="292"/>
      <c r="N673" s="292"/>
      <c r="O673" s="292"/>
      <c r="P673" s="292"/>
      <c r="Q673" s="292"/>
      <c r="R673" s="292"/>
      <c r="S673" s="292"/>
      <c r="T673" s="292"/>
      <c r="U673" s="292"/>
      <c r="V673" s="292"/>
      <c r="W673" s="292"/>
      <c r="X673" s="292"/>
      <c r="Y673" s="292"/>
      <c r="Z673" s="292"/>
    </row>
    <row r="674" spans="1:26" ht="12.75" customHeight="1" x14ac:dyDescent="0.25">
      <c r="A674" s="292"/>
      <c r="B674" s="292"/>
      <c r="C674" s="292"/>
      <c r="D674" s="292"/>
      <c r="E674" s="292"/>
      <c r="F674" s="292"/>
      <c r="G674" s="292"/>
      <c r="H674" s="292"/>
      <c r="I674" s="292"/>
      <c r="J674" s="292"/>
      <c r="K674" s="292"/>
      <c r="L674" s="292"/>
      <c r="M674" s="292"/>
      <c r="N674" s="292"/>
      <c r="O674" s="292"/>
      <c r="P674" s="292"/>
      <c r="Q674" s="292"/>
      <c r="R674" s="292"/>
      <c r="S674" s="292"/>
      <c r="T674" s="292"/>
      <c r="U674" s="292"/>
      <c r="V674" s="292"/>
      <c r="W674" s="292"/>
      <c r="X674" s="292"/>
      <c r="Y674" s="292"/>
      <c r="Z674" s="292"/>
    </row>
    <row r="675" spans="1:26" ht="12.75" customHeight="1" x14ac:dyDescent="0.25">
      <c r="A675" s="292"/>
      <c r="B675" s="292"/>
      <c r="C675" s="292"/>
      <c r="D675" s="292"/>
      <c r="E675" s="292"/>
      <c r="F675" s="292"/>
      <c r="G675" s="292"/>
      <c r="H675" s="292"/>
      <c r="I675" s="292"/>
      <c r="J675" s="292"/>
      <c r="K675" s="292"/>
      <c r="L675" s="292"/>
      <c r="M675" s="292"/>
      <c r="N675" s="292"/>
      <c r="O675" s="292"/>
      <c r="P675" s="292"/>
      <c r="Q675" s="292"/>
      <c r="R675" s="292"/>
      <c r="S675" s="292"/>
      <c r="T675" s="292"/>
      <c r="U675" s="292"/>
      <c r="V675" s="292"/>
      <c r="W675" s="292"/>
      <c r="X675" s="292"/>
      <c r="Y675" s="292"/>
      <c r="Z675" s="292"/>
    </row>
    <row r="676" spans="1:26" ht="12.75" customHeight="1" x14ac:dyDescent="0.25">
      <c r="A676" s="292"/>
      <c r="B676" s="292"/>
      <c r="C676" s="292"/>
      <c r="D676" s="292"/>
      <c r="E676" s="292"/>
      <c r="F676" s="292"/>
      <c r="G676" s="292"/>
      <c r="H676" s="292"/>
      <c r="I676" s="292"/>
      <c r="J676" s="292"/>
      <c r="K676" s="292"/>
      <c r="L676" s="292"/>
      <c r="M676" s="292"/>
      <c r="N676" s="292"/>
      <c r="O676" s="292"/>
      <c r="P676" s="292"/>
      <c r="Q676" s="292"/>
      <c r="R676" s="292"/>
      <c r="S676" s="292"/>
      <c r="T676" s="292"/>
      <c r="U676" s="292"/>
      <c r="V676" s="292"/>
      <c r="W676" s="292"/>
      <c r="X676" s="292"/>
      <c r="Y676" s="292"/>
      <c r="Z676" s="292"/>
    </row>
    <row r="677" spans="1:26" ht="12.75" customHeight="1" x14ac:dyDescent="0.25">
      <c r="A677" s="292"/>
      <c r="B677" s="292"/>
      <c r="C677" s="292"/>
      <c r="D677" s="292"/>
      <c r="E677" s="292"/>
      <c r="F677" s="292"/>
      <c r="G677" s="292"/>
      <c r="H677" s="292"/>
      <c r="I677" s="292"/>
      <c r="J677" s="292"/>
      <c r="K677" s="292"/>
      <c r="L677" s="292"/>
      <c r="M677" s="292"/>
      <c r="N677" s="292"/>
      <c r="O677" s="292"/>
      <c r="P677" s="292"/>
      <c r="Q677" s="292"/>
      <c r="R677" s="292"/>
      <c r="S677" s="292"/>
      <c r="T677" s="292"/>
      <c r="U677" s="292"/>
      <c r="V677" s="292"/>
      <c r="W677" s="292"/>
      <c r="X677" s="292"/>
      <c r="Y677" s="292"/>
      <c r="Z677" s="292"/>
    </row>
    <row r="678" spans="1:26" ht="12.75" customHeight="1" x14ac:dyDescent="0.25">
      <c r="A678" s="292"/>
      <c r="B678" s="292"/>
      <c r="C678" s="292"/>
      <c r="D678" s="292"/>
      <c r="E678" s="292"/>
      <c r="F678" s="292"/>
      <c r="G678" s="292"/>
      <c r="H678" s="292"/>
      <c r="I678" s="292"/>
      <c r="J678" s="292"/>
      <c r="K678" s="292"/>
      <c r="L678" s="292"/>
      <c r="M678" s="292"/>
      <c r="N678" s="292"/>
      <c r="O678" s="292"/>
      <c r="P678" s="292"/>
      <c r="Q678" s="292"/>
      <c r="R678" s="292"/>
      <c r="S678" s="292"/>
      <c r="T678" s="292"/>
      <c r="U678" s="292"/>
      <c r="V678" s="292"/>
      <c r="W678" s="292"/>
      <c r="X678" s="292"/>
      <c r="Y678" s="292"/>
      <c r="Z678" s="292"/>
    </row>
    <row r="679" spans="1:26" ht="12.75" customHeight="1" x14ac:dyDescent="0.25">
      <c r="A679" s="292"/>
      <c r="B679" s="292"/>
      <c r="C679" s="292"/>
      <c r="D679" s="292"/>
      <c r="E679" s="292"/>
      <c r="F679" s="292"/>
      <c r="G679" s="292"/>
      <c r="H679" s="292"/>
      <c r="I679" s="292"/>
      <c r="J679" s="292"/>
      <c r="K679" s="292"/>
      <c r="L679" s="292"/>
      <c r="M679" s="292"/>
      <c r="N679" s="292"/>
      <c r="O679" s="292"/>
      <c r="P679" s="292"/>
      <c r="Q679" s="292"/>
      <c r="R679" s="292"/>
      <c r="S679" s="292"/>
      <c r="T679" s="292"/>
      <c r="U679" s="292"/>
      <c r="V679" s="292"/>
      <c r="W679" s="292"/>
      <c r="X679" s="292"/>
      <c r="Y679" s="292"/>
      <c r="Z679" s="292"/>
    </row>
    <row r="680" spans="1:26" ht="12.75" customHeight="1" x14ac:dyDescent="0.25">
      <c r="A680" s="292"/>
      <c r="B680" s="292"/>
      <c r="C680" s="292"/>
      <c r="D680" s="292"/>
      <c r="E680" s="292"/>
      <c r="F680" s="292"/>
      <c r="G680" s="292"/>
      <c r="H680" s="292"/>
      <c r="I680" s="292"/>
      <c r="J680" s="292"/>
      <c r="K680" s="292"/>
      <c r="L680" s="292"/>
      <c r="M680" s="292"/>
      <c r="N680" s="292"/>
      <c r="O680" s="292"/>
      <c r="P680" s="292"/>
      <c r="Q680" s="292"/>
      <c r="R680" s="292"/>
      <c r="S680" s="292"/>
      <c r="T680" s="292"/>
      <c r="U680" s="292"/>
      <c r="V680" s="292"/>
      <c r="W680" s="292"/>
      <c r="X680" s="292"/>
      <c r="Y680" s="292"/>
      <c r="Z680" s="292"/>
    </row>
    <row r="681" spans="1:26" ht="12.75" customHeight="1" x14ac:dyDescent="0.25">
      <c r="A681" s="292"/>
      <c r="B681" s="292"/>
      <c r="C681" s="292"/>
      <c r="D681" s="292"/>
      <c r="E681" s="292"/>
      <c r="F681" s="292"/>
      <c r="G681" s="292"/>
      <c r="H681" s="292"/>
      <c r="I681" s="292"/>
      <c r="J681" s="292"/>
      <c r="K681" s="292"/>
      <c r="L681" s="292"/>
      <c r="M681" s="292"/>
      <c r="N681" s="292"/>
      <c r="O681" s="292"/>
      <c r="P681" s="292"/>
      <c r="Q681" s="292"/>
      <c r="R681" s="292"/>
      <c r="S681" s="292"/>
      <c r="T681" s="292"/>
      <c r="U681" s="292"/>
      <c r="V681" s="292"/>
      <c r="W681" s="292"/>
      <c r="X681" s="292"/>
      <c r="Y681" s="292"/>
      <c r="Z681" s="292"/>
    </row>
    <row r="682" spans="1:26" ht="12.75" customHeight="1" x14ac:dyDescent="0.25">
      <c r="A682" s="292"/>
      <c r="B682" s="292"/>
      <c r="C682" s="292"/>
      <c r="D682" s="292"/>
      <c r="E682" s="292"/>
      <c r="F682" s="292"/>
      <c r="G682" s="292"/>
      <c r="H682" s="292"/>
      <c r="I682" s="292"/>
      <c r="J682" s="292"/>
      <c r="K682" s="292"/>
      <c r="L682" s="292"/>
      <c r="M682" s="292"/>
      <c r="N682" s="292"/>
      <c r="O682" s="292"/>
      <c r="P682" s="292"/>
      <c r="Q682" s="292"/>
      <c r="R682" s="292"/>
      <c r="S682" s="292"/>
      <c r="T682" s="292"/>
      <c r="U682" s="292"/>
      <c r="V682" s="292"/>
      <c r="W682" s="292"/>
      <c r="X682" s="292"/>
      <c r="Y682" s="292"/>
      <c r="Z682" s="292"/>
    </row>
    <row r="683" spans="1:26" ht="12.75" customHeight="1" x14ac:dyDescent="0.25">
      <c r="A683" s="292"/>
      <c r="B683" s="292"/>
      <c r="C683" s="292"/>
      <c r="D683" s="292"/>
      <c r="E683" s="292"/>
      <c r="F683" s="292"/>
      <c r="G683" s="292"/>
      <c r="H683" s="292"/>
      <c r="I683" s="292"/>
      <c r="J683" s="292"/>
      <c r="K683" s="292"/>
      <c r="L683" s="292"/>
      <c r="M683" s="292"/>
      <c r="N683" s="292"/>
      <c r="O683" s="292"/>
      <c r="P683" s="292"/>
      <c r="Q683" s="292"/>
      <c r="R683" s="292"/>
      <c r="S683" s="292"/>
      <c r="T683" s="292"/>
      <c r="U683" s="292"/>
      <c r="V683" s="292"/>
      <c r="W683" s="292"/>
      <c r="X683" s="292"/>
      <c r="Y683" s="292"/>
      <c r="Z683" s="292"/>
    </row>
    <row r="684" spans="1:26" ht="12.75" customHeight="1" x14ac:dyDescent="0.25">
      <c r="A684" s="292"/>
      <c r="B684" s="292"/>
      <c r="C684" s="292"/>
      <c r="D684" s="292"/>
      <c r="E684" s="292"/>
      <c r="F684" s="292"/>
      <c r="G684" s="292"/>
      <c r="H684" s="292"/>
      <c r="I684" s="292"/>
      <c r="J684" s="292"/>
      <c r="K684" s="292"/>
      <c r="L684" s="292"/>
      <c r="M684" s="292"/>
      <c r="N684" s="292"/>
      <c r="O684" s="292"/>
      <c r="P684" s="292"/>
      <c r="Q684" s="292"/>
      <c r="R684" s="292"/>
      <c r="S684" s="292"/>
      <c r="T684" s="292"/>
      <c r="U684" s="292"/>
      <c r="V684" s="292"/>
      <c r="W684" s="292"/>
      <c r="X684" s="292"/>
      <c r="Y684" s="292"/>
      <c r="Z684" s="292"/>
    </row>
    <row r="685" spans="1:26" ht="12.75" customHeight="1" x14ac:dyDescent="0.25">
      <c r="A685" s="292"/>
      <c r="B685" s="292"/>
      <c r="C685" s="292"/>
      <c r="D685" s="292"/>
      <c r="E685" s="292"/>
      <c r="F685" s="292"/>
      <c r="G685" s="292"/>
      <c r="H685" s="292"/>
      <c r="I685" s="292"/>
      <c r="J685" s="292"/>
      <c r="K685" s="292"/>
      <c r="L685" s="292"/>
      <c r="M685" s="292"/>
      <c r="N685" s="292"/>
      <c r="O685" s="292"/>
      <c r="P685" s="292"/>
      <c r="Q685" s="292"/>
      <c r="R685" s="292"/>
      <c r="S685" s="292"/>
      <c r="T685" s="292"/>
      <c r="U685" s="292"/>
      <c r="V685" s="292"/>
      <c r="W685" s="292"/>
      <c r="X685" s="292"/>
      <c r="Y685" s="292"/>
      <c r="Z685" s="292"/>
    </row>
    <row r="686" spans="1:26" ht="12.75" customHeight="1" x14ac:dyDescent="0.25">
      <c r="A686" s="292"/>
      <c r="B686" s="292"/>
      <c r="C686" s="292"/>
      <c r="D686" s="292"/>
      <c r="E686" s="292"/>
      <c r="F686" s="292"/>
      <c r="G686" s="292"/>
      <c r="H686" s="292"/>
      <c r="I686" s="292"/>
      <c r="J686" s="292"/>
      <c r="K686" s="292"/>
      <c r="L686" s="292"/>
      <c r="M686" s="292"/>
      <c r="N686" s="292"/>
      <c r="O686" s="292"/>
      <c r="P686" s="292"/>
      <c r="Q686" s="292"/>
      <c r="R686" s="292"/>
      <c r="S686" s="292"/>
      <c r="T686" s="292"/>
      <c r="U686" s="292"/>
      <c r="V686" s="292"/>
      <c r="W686" s="292"/>
      <c r="X686" s="292"/>
      <c r="Y686" s="292"/>
      <c r="Z686" s="292"/>
    </row>
    <row r="687" spans="1:26" ht="12.75" customHeight="1" x14ac:dyDescent="0.25">
      <c r="A687" s="292"/>
      <c r="B687" s="292"/>
      <c r="C687" s="292"/>
      <c r="D687" s="292"/>
      <c r="E687" s="292"/>
      <c r="F687" s="292"/>
      <c r="G687" s="292"/>
      <c r="H687" s="292"/>
      <c r="I687" s="292"/>
      <c r="J687" s="292"/>
      <c r="K687" s="292"/>
      <c r="L687" s="292"/>
      <c r="M687" s="292"/>
      <c r="N687" s="292"/>
      <c r="O687" s="292"/>
      <c r="P687" s="292"/>
      <c r="Q687" s="292"/>
      <c r="R687" s="292"/>
      <c r="S687" s="292"/>
      <c r="T687" s="292"/>
      <c r="U687" s="292"/>
      <c r="V687" s="292"/>
      <c r="W687" s="292"/>
      <c r="X687" s="292"/>
      <c r="Y687" s="292"/>
      <c r="Z687" s="292"/>
    </row>
    <row r="688" spans="1:26" ht="12.75" customHeight="1" x14ac:dyDescent="0.25">
      <c r="A688" s="292"/>
      <c r="B688" s="292"/>
      <c r="C688" s="292"/>
      <c r="D688" s="292"/>
      <c r="E688" s="292"/>
      <c r="F688" s="292"/>
      <c r="G688" s="292"/>
      <c r="H688" s="292"/>
      <c r="I688" s="292"/>
      <c r="J688" s="292"/>
      <c r="K688" s="292"/>
      <c r="L688" s="292"/>
      <c r="M688" s="292"/>
      <c r="N688" s="292"/>
      <c r="O688" s="292"/>
      <c r="P688" s="292"/>
      <c r="Q688" s="292"/>
      <c r="R688" s="292"/>
      <c r="S688" s="292"/>
      <c r="T688" s="292"/>
      <c r="U688" s="292"/>
      <c r="V688" s="292"/>
      <c r="W688" s="292"/>
      <c r="X688" s="292"/>
      <c r="Y688" s="292"/>
      <c r="Z688" s="292"/>
    </row>
    <row r="689" spans="1:26" ht="12.75" customHeight="1" x14ac:dyDescent="0.25">
      <c r="A689" s="292"/>
      <c r="B689" s="292"/>
      <c r="C689" s="292"/>
      <c r="D689" s="292"/>
      <c r="E689" s="292"/>
      <c r="F689" s="292"/>
      <c r="G689" s="292"/>
      <c r="H689" s="292"/>
      <c r="I689" s="292"/>
      <c r="J689" s="292"/>
      <c r="K689" s="292"/>
      <c r="L689" s="292"/>
      <c r="M689" s="292"/>
      <c r="N689" s="292"/>
      <c r="O689" s="292"/>
      <c r="P689" s="292"/>
      <c r="Q689" s="292"/>
      <c r="R689" s="292"/>
      <c r="S689" s="292"/>
      <c r="T689" s="292"/>
      <c r="U689" s="292"/>
      <c r="V689" s="292"/>
      <c r="W689" s="292"/>
      <c r="X689" s="292"/>
      <c r="Y689" s="292"/>
      <c r="Z689" s="292"/>
    </row>
    <row r="690" spans="1:26" ht="12.75" customHeight="1" x14ac:dyDescent="0.25">
      <c r="A690" s="292"/>
      <c r="B690" s="292"/>
      <c r="C690" s="292"/>
      <c r="D690" s="292"/>
      <c r="E690" s="292"/>
      <c r="F690" s="292"/>
      <c r="G690" s="292"/>
      <c r="H690" s="292"/>
      <c r="I690" s="292"/>
      <c r="J690" s="292"/>
      <c r="K690" s="292"/>
      <c r="L690" s="292"/>
      <c r="M690" s="292"/>
      <c r="N690" s="292"/>
      <c r="O690" s="292"/>
      <c r="P690" s="292"/>
      <c r="Q690" s="292"/>
      <c r="R690" s="292"/>
      <c r="S690" s="292"/>
      <c r="T690" s="292"/>
      <c r="U690" s="292"/>
      <c r="V690" s="292"/>
      <c r="W690" s="292"/>
      <c r="X690" s="292"/>
      <c r="Y690" s="292"/>
      <c r="Z690" s="292"/>
    </row>
    <row r="691" spans="1:26" ht="12.75" customHeight="1" x14ac:dyDescent="0.25">
      <c r="A691" s="292"/>
      <c r="B691" s="292"/>
      <c r="C691" s="292"/>
      <c r="D691" s="292"/>
      <c r="E691" s="292"/>
      <c r="F691" s="292"/>
      <c r="G691" s="292"/>
      <c r="H691" s="292"/>
      <c r="I691" s="292"/>
      <c r="J691" s="292"/>
      <c r="K691" s="292"/>
      <c r="L691" s="292"/>
      <c r="M691" s="292"/>
      <c r="N691" s="292"/>
      <c r="O691" s="292"/>
      <c r="P691" s="292"/>
      <c r="Q691" s="292"/>
      <c r="R691" s="292"/>
      <c r="S691" s="292"/>
      <c r="T691" s="292"/>
      <c r="U691" s="292"/>
      <c r="V691" s="292"/>
      <c r="W691" s="292"/>
      <c r="X691" s="292"/>
      <c r="Y691" s="292"/>
      <c r="Z691" s="292"/>
    </row>
    <row r="692" spans="1:26" ht="12.75" customHeight="1" x14ac:dyDescent="0.25">
      <c r="A692" s="292"/>
      <c r="B692" s="292"/>
      <c r="C692" s="292"/>
      <c r="D692" s="292"/>
      <c r="E692" s="292"/>
      <c r="F692" s="292"/>
      <c r="G692" s="292"/>
      <c r="H692" s="292"/>
      <c r="I692" s="292"/>
      <c r="J692" s="292"/>
      <c r="K692" s="292"/>
      <c r="L692" s="292"/>
      <c r="M692" s="292"/>
      <c r="N692" s="292"/>
      <c r="O692" s="292"/>
      <c r="P692" s="292"/>
      <c r="Q692" s="292"/>
      <c r="R692" s="292"/>
      <c r="S692" s="292"/>
      <c r="T692" s="292"/>
      <c r="U692" s="292"/>
      <c r="V692" s="292"/>
      <c r="W692" s="292"/>
      <c r="X692" s="292"/>
      <c r="Y692" s="292"/>
      <c r="Z692" s="292"/>
    </row>
    <row r="693" spans="1:26" ht="12.75" customHeight="1" x14ac:dyDescent="0.25">
      <c r="A693" s="292"/>
      <c r="B693" s="292"/>
      <c r="C693" s="292"/>
      <c r="D693" s="292"/>
      <c r="E693" s="292"/>
      <c r="F693" s="292"/>
      <c r="G693" s="292"/>
      <c r="H693" s="292"/>
      <c r="I693" s="292"/>
      <c r="J693" s="292"/>
      <c r="K693" s="292"/>
      <c r="L693" s="292"/>
      <c r="M693" s="292"/>
      <c r="N693" s="292"/>
      <c r="O693" s="292"/>
      <c r="P693" s="292"/>
      <c r="Q693" s="292"/>
      <c r="R693" s="292"/>
      <c r="S693" s="292"/>
      <c r="T693" s="292"/>
      <c r="U693" s="292"/>
      <c r="V693" s="292"/>
      <c r="W693" s="292"/>
      <c r="X693" s="292"/>
      <c r="Y693" s="292"/>
      <c r="Z693" s="292"/>
    </row>
    <row r="694" spans="1:26" ht="12.75" customHeight="1" x14ac:dyDescent="0.25">
      <c r="A694" s="292"/>
      <c r="B694" s="292"/>
      <c r="C694" s="292"/>
      <c r="D694" s="292"/>
      <c r="E694" s="292"/>
      <c r="F694" s="292"/>
      <c r="G694" s="292"/>
      <c r="H694" s="292"/>
      <c r="I694" s="292"/>
      <c r="J694" s="292"/>
      <c r="K694" s="292"/>
      <c r="L694" s="292"/>
      <c r="M694" s="292"/>
      <c r="N694" s="292"/>
      <c r="O694" s="292"/>
      <c r="P694" s="292"/>
      <c r="Q694" s="292"/>
      <c r="R694" s="292"/>
      <c r="S694" s="292"/>
      <c r="T694" s="292"/>
      <c r="U694" s="292"/>
      <c r="V694" s="292"/>
      <c r="W694" s="292"/>
      <c r="X694" s="292"/>
      <c r="Y694" s="292"/>
      <c r="Z694" s="292"/>
    </row>
    <row r="695" spans="1:26" ht="12.75" customHeight="1" x14ac:dyDescent="0.25">
      <c r="A695" s="292"/>
      <c r="B695" s="292"/>
      <c r="C695" s="292"/>
      <c r="D695" s="292"/>
      <c r="E695" s="292"/>
      <c r="F695" s="292"/>
      <c r="G695" s="292"/>
      <c r="H695" s="292"/>
      <c r="I695" s="292"/>
      <c r="J695" s="292"/>
      <c r="K695" s="292"/>
      <c r="L695" s="292"/>
      <c r="M695" s="292"/>
      <c r="N695" s="292"/>
      <c r="O695" s="292"/>
      <c r="P695" s="292"/>
      <c r="Q695" s="292"/>
      <c r="R695" s="292"/>
      <c r="S695" s="292"/>
      <c r="T695" s="292"/>
      <c r="U695" s="292"/>
      <c r="V695" s="292"/>
      <c r="W695" s="292"/>
      <c r="X695" s="292"/>
      <c r="Y695" s="292"/>
      <c r="Z695" s="292"/>
    </row>
    <row r="696" spans="1:26" ht="12.75" customHeight="1" x14ac:dyDescent="0.25">
      <c r="A696" s="292"/>
      <c r="B696" s="292"/>
      <c r="C696" s="292"/>
      <c r="D696" s="292"/>
      <c r="E696" s="292"/>
      <c r="F696" s="292"/>
      <c r="G696" s="292"/>
      <c r="H696" s="292"/>
      <c r="I696" s="292"/>
      <c r="J696" s="292"/>
      <c r="K696" s="292"/>
      <c r="L696" s="292"/>
      <c r="M696" s="292"/>
      <c r="N696" s="292"/>
      <c r="O696" s="292"/>
      <c r="P696" s="292"/>
      <c r="Q696" s="292"/>
      <c r="R696" s="292"/>
      <c r="S696" s="292"/>
      <c r="T696" s="292"/>
      <c r="U696" s="292"/>
      <c r="V696" s="292"/>
      <c r="W696" s="292"/>
      <c r="X696" s="292"/>
      <c r="Y696" s="292"/>
      <c r="Z696" s="292"/>
    </row>
    <row r="697" spans="1:26" ht="12.75" customHeight="1" x14ac:dyDescent="0.25">
      <c r="A697" s="292"/>
      <c r="B697" s="292"/>
      <c r="C697" s="292"/>
      <c r="D697" s="292"/>
      <c r="E697" s="292"/>
      <c r="F697" s="292"/>
      <c r="G697" s="292"/>
      <c r="H697" s="292"/>
      <c r="I697" s="292"/>
      <c r="J697" s="292"/>
      <c r="K697" s="292"/>
      <c r="L697" s="292"/>
      <c r="M697" s="292"/>
      <c r="N697" s="292"/>
      <c r="O697" s="292"/>
      <c r="P697" s="292"/>
      <c r="Q697" s="292"/>
      <c r="R697" s="292"/>
      <c r="S697" s="292"/>
      <c r="T697" s="292"/>
      <c r="U697" s="292"/>
      <c r="V697" s="292"/>
      <c r="W697" s="292"/>
      <c r="X697" s="292"/>
      <c r="Y697" s="292"/>
      <c r="Z697" s="292"/>
    </row>
    <row r="698" spans="1:26" ht="12.75" customHeight="1" x14ac:dyDescent="0.25">
      <c r="A698" s="292"/>
      <c r="B698" s="292"/>
      <c r="C698" s="292"/>
      <c r="D698" s="292"/>
      <c r="E698" s="292"/>
      <c r="F698" s="292"/>
      <c r="G698" s="292"/>
      <c r="H698" s="292"/>
      <c r="I698" s="292"/>
      <c r="J698" s="292"/>
      <c r="K698" s="292"/>
      <c r="L698" s="292"/>
      <c r="M698" s="292"/>
      <c r="N698" s="292"/>
      <c r="O698" s="292"/>
      <c r="P698" s="292"/>
      <c r="Q698" s="292"/>
      <c r="R698" s="292"/>
      <c r="S698" s="292"/>
      <c r="T698" s="292"/>
      <c r="U698" s="292"/>
      <c r="V698" s="292"/>
      <c r="W698" s="292"/>
      <c r="X698" s="292"/>
      <c r="Y698" s="292"/>
      <c r="Z698" s="292"/>
    </row>
    <row r="699" spans="1:26" ht="12.75" customHeight="1" x14ac:dyDescent="0.25">
      <c r="A699" s="292"/>
      <c r="B699" s="292"/>
      <c r="C699" s="292"/>
      <c r="D699" s="292"/>
      <c r="E699" s="292"/>
      <c r="F699" s="292"/>
      <c r="G699" s="292"/>
      <c r="H699" s="292"/>
      <c r="I699" s="292"/>
      <c r="J699" s="292"/>
      <c r="K699" s="292"/>
      <c r="L699" s="292"/>
      <c r="M699" s="292"/>
      <c r="N699" s="292"/>
      <c r="O699" s="292"/>
      <c r="P699" s="292"/>
      <c r="Q699" s="292"/>
      <c r="R699" s="292"/>
      <c r="S699" s="292"/>
      <c r="T699" s="292"/>
      <c r="U699" s="292"/>
      <c r="V699" s="292"/>
      <c r="W699" s="292"/>
      <c r="X699" s="292"/>
      <c r="Y699" s="292"/>
      <c r="Z699" s="292"/>
    </row>
    <row r="700" spans="1:26" ht="12.75" customHeight="1" x14ac:dyDescent="0.25">
      <c r="A700" s="292"/>
      <c r="B700" s="292"/>
      <c r="C700" s="292"/>
      <c r="D700" s="292"/>
      <c r="E700" s="292"/>
      <c r="F700" s="292"/>
      <c r="G700" s="292"/>
      <c r="H700" s="292"/>
      <c r="I700" s="292"/>
      <c r="J700" s="292"/>
      <c r="K700" s="292"/>
      <c r="L700" s="292"/>
      <c r="M700" s="292"/>
      <c r="N700" s="292"/>
      <c r="O700" s="292"/>
      <c r="P700" s="292"/>
      <c r="Q700" s="292"/>
      <c r="R700" s="292"/>
      <c r="S700" s="292"/>
      <c r="T700" s="292"/>
      <c r="U700" s="292"/>
      <c r="V700" s="292"/>
      <c r="W700" s="292"/>
      <c r="X700" s="292"/>
      <c r="Y700" s="292"/>
      <c r="Z700" s="292"/>
    </row>
    <row r="701" spans="1:26" ht="12.75" customHeight="1" x14ac:dyDescent="0.25">
      <c r="A701" s="292"/>
      <c r="B701" s="292"/>
      <c r="C701" s="292"/>
      <c r="D701" s="292"/>
      <c r="E701" s="292"/>
      <c r="F701" s="292"/>
      <c r="G701" s="292"/>
      <c r="H701" s="292"/>
      <c r="I701" s="292"/>
      <c r="J701" s="292"/>
      <c r="K701" s="292"/>
      <c r="L701" s="292"/>
      <c r="M701" s="292"/>
      <c r="N701" s="292"/>
      <c r="O701" s="292"/>
      <c r="P701" s="292"/>
      <c r="Q701" s="292"/>
      <c r="R701" s="292"/>
      <c r="S701" s="292"/>
      <c r="T701" s="292"/>
      <c r="U701" s="292"/>
      <c r="V701" s="292"/>
      <c r="W701" s="292"/>
      <c r="X701" s="292"/>
      <c r="Y701" s="292"/>
      <c r="Z701" s="292"/>
    </row>
    <row r="702" spans="1:26" ht="12.75" customHeight="1" x14ac:dyDescent="0.25">
      <c r="A702" s="292"/>
      <c r="B702" s="292"/>
      <c r="C702" s="292"/>
      <c r="D702" s="292"/>
      <c r="E702" s="292"/>
      <c r="F702" s="292"/>
      <c r="G702" s="292"/>
      <c r="H702" s="292"/>
      <c r="I702" s="292"/>
      <c r="J702" s="292"/>
      <c r="K702" s="292"/>
      <c r="L702" s="292"/>
      <c r="M702" s="292"/>
      <c r="N702" s="292"/>
      <c r="O702" s="292"/>
      <c r="P702" s="292"/>
      <c r="Q702" s="292"/>
      <c r="R702" s="292"/>
      <c r="S702" s="292"/>
      <c r="T702" s="292"/>
      <c r="U702" s="292"/>
      <c r="V702" s="292"/>
      <c r="W702" s="292"/>
      <c r="X702" s="292"/>
      <c r="Y702" s="292"/>
      <c r="Z702" s="292"/>
    </row>
    <row r="703" spans="1:26" ht="12.75" customHeight="1" x14ac:dyDescent="0.25">
      <c r="A703" s="292"/>
      <c r="B703" s="292"/>
      <c r="C703" s="292"/>
      <c r="D703" s="292"/>
      <c r="E703" s="292"/>
      <c r="F703" s="292"/>
      <c r="G703" s="292"/>
      <c r="H703" s="292"/>
      <c r="I703" s="292"/>
      <c r="J703" s="292"/>
      <c r="K703" s="292"/>
      <c r="L703" s="292"/>
      <c r="M703" s="292"/>
      <c r="N703" s="292"/>
      <c r="O703" s="292"/>
      <c r="P703" s="292"/>
      <c r="Q703" s="292"/>
      <c r="R703" s="292"/>
      <c r="S703" s="292"/>
      <c r="T703" s="292"/>
      <c r="U703" s="292"/>
      <c r="V703" s="292"/>
      <c r="W703" s="292"/>
      <c r="X703" s="292"/>
      <c r="Y703" s="292"/>
      <c r="Z703" s="292"/>
    </row>
    <row r="704" spans="1:26" ht="12.75" customHeight="1" x14ac:dyDescent="0.25">
      <c r="A704" s="292"/>
      <c r="B704" s="292"/>
      <c r="C704" s="292"/>
      <c r="D704" s="292"/>
      <c r="E704" s="292"/>
      <c r="F704" s="292"/>
      <c r="G704" s="292"/>
      <c r="H704" s="292"/>
      <c r="I704" s="292"/>
      <c r="J704" s="292"/>
      <c r="K704" s="292"/>
      <c r="L704" s="292"/>
      <c r="M704" s="292"/>
      <c r="N704" s="292"/>
      <c r="O704" s="292"/>
      <c r="P704" s="292"/>
      <c r="Q704" s="292"/>
      <c r="R704" s="292"/>
      <c r="S704" s="292"/>
      <c r="T704" s="292"/>
      <c r="U704" s="292"/>
      <c r="V704" s="292"/>
      <c r="W704" s="292"/>
      <c r="X704" s="292"/>
      <c r="Y704" s="292"/>
      <c r="Z704" s="292"/>
    </row>
    <row r="705" spans="1:26" ht="12.75" customHeight="1" x14ac:dyDescent="0.25">
      <c r="A705" s="292"/>
      <c r="B705" s="292"/>
      <c r="C705" s="292"/>
      <c r="D705" s="292"/>
      <c r="E705" s="292"/>
      <c r="F705" s="292"/>
      <c r="G705" s="292"/>
      <c r="H705" s="292"/>
      <c r="I705" s="292"/>
      <c r="J705" s="292"/>
      <c r="K705" s="292"/>
      <c r="L705" s="292"/>
      <c r="M705" s="292"/>
      <c r="N705" s="292"/>
      <c r="O705" s="292"/>
      <c r="P705" s="292"/>
      <c r="Q705" s="292"/>
      <c r="R705" s="292"/>
      <c r="S705" s="292"/>
      <c r="T705" s="292"/>
      <c r="U705" s="292"/>
      <c r="V705" s="292"/>
      <c r="W705" s="292"/>
      <c r="X705" s="292"/>
      <c r="Y705" s="292"/>
      <c r="Z705" s="292"/>
    </row>
    <row r="706" spans="1:26" ht="12.75" customHeight="1" x14ac:dyDescent="0.25">
      <c r="A706" s="292"/>
      <c r="B706" s="292"/>
      <c r="C706" s="292"/>
      <c r="D706" s="292"/>
      <c r="E706" s="292"/>
      <c r="F706" s="292"/>
      <c r="G706" s="292"/>
      <c r="H706" s="292"/>
      <c r="I706" s="292"/>
      <c r="J706" s="292"/>
      <c r="K706" s="292"/>
      <c r="L706" s="292"/>
      <c r="M706" s="292"/>
      <c r="N706" s="292"/>
      <c r="O706" s="292"/>
      <c r="P706" s="292"/>
      <c r="Q706" s="292"/>
      <c r="R706" s="292"/>
      <c r="S706" s="292"/>
      <c r="T706" s="292"/>
      <c r="U706" s="292"/>
      <c r="V706" s="292"/>
      <c r="W706" s="292"/>
      <c r="X706" s="292"/>
      <c r="Y706" s="292"/>
      <c r="Z706" s="292"/>
    </row>
    <row r="707" spans="1:26" ht="12.75" customHeight="1" x14ac:dyDescent="0.25">
      <c r="A707" s="292"/>
      <c r="B707" s="292"/>
      <c r="C707" s="292"/>
      <c r="D707" s="292"/>
      <c r="E707" s="292"/>
      <c r="F707" s="292"/>
      <c r="G707" s="292"/>
      <c r="H707" s="292"/>
      <c r="I707" s="292"/>
      <c r="J707" s="292"/>
      <c r="K707" s="292"/>
      <c r="L707" s="292"/>
      <c r="M707" s="292"/>
      <c r="N707" s="292"/>
      <c r="O707" s="292"/>
      <c r="P707" s="292"/>
      <c r="Q707" s="292"/>
      <c r="R707" s="292"/>
      <c r="S707" s="292"/>
      <c r="T707" s="292"/>
      <c r="U707" s="292"/>
      <c r="V707" s="292"/>
      <c r="W707" s="292"/>
      <c r="X707" s="292"/>
      <c r="Y707" s="292"/>
      <c r="Z707" s="292"/>
    </row>
    <row r="708" spans="1:26" ht="12.75" customHeight="1" x14ac:dyDescent="0.25">
      <c r="A708" s="292"/>
      <c r="B708" s="292"/>
      <c r="C708" s="292"/>
      <c r="D708" s="292"/>
      <c r="E708" s="292"/>
      <c r="F708" s="292"/>
      <c r="G708" s="292"/>
      <c r="H708" s="292"/>
      <c r="I708" s="292"/>
      <c r="J708" s="292"/>
      <c r="K708" s="292"/>
      <c r="L708" s="292"/>
      <c r="M708" s="292"/>
      <c r="N708" s="292"/>
      <c r="O708" s="292"/>
      <c r="P708" s="292"/>
      <c r="Q708" s="292"/>
      <c r="R708" s="292"/>
      <c r="S708" s="292"/>
      <c r="T708" s="292"/>
      <c r="U708" s="292"/>
      <c r="V708" s="292"/>
      <c r="W708" s="292"/>
      <c r="X708" s="292"/>
      <c r="Y708" s="292"/>
      <c r="Z708" s="292"/>
    </row>
    <row r="709" spans="1:26" ht="12.75" customHeight="1" x14ac:dyDescent="0.25">
      <c r="A709" s="292"/>
      <c r="B709" s="292"/>
      <c r="C709" s="292"/>
      <c r="D709" s="292"/>
      <c r="E709" s="292"/>
      <c r="F709" s="292"/>
      <c r="G709" s="292"/>
      <c r="H709" s="292"/>
      <c r="I709" s="292"/>
      <c r="J709" s="292"/>
      <c r="K709" s="292"/>
      <c r="L709" s="292"/>
      <c r="M709" s="292"/>
      <c r="N709" s="292"/>
      <c r="O709" s="292"/>
      <c r="P709" s="292"/>
      <c r="Q709" s="292"/>
      <c r="R709" s="292"/>
      <c r="S709" s="292"/>
      <c r="T709" s="292"/>
      <c r="U709" s="292"/>
      <c r="V709" s="292"/>
      <c r="W709" s="292"/>
      <c r="X709" s="292"/>
      <c r="Y709" s="292"/>
      <c r="Z709" s="292"/>
    </row>
    <row r="710" spans="1:26" ht="12.75" customHeight="1" x14ac:dyDescent="0.25">
      <c r="A710" s="292"/>
      <c r="B710" s="292"/>
      <c r="C710" s="292"/>
      <c r="D710" s="292"/>
      <c r="E710" s="292"/>
      <c r="F710" s="292"/>
      <c r="G710" s="292"/>
      <c r="H710" s="292"/>
      <c r="I710" s="292"/>
      <c r="J710" s="292"/>
      <c r="K710" s="292"/>
      <c r="L710" s="292"/>
      <c r="M710" s="292"/>
      <c r="N710" s="292"/>
      <c r="O710" s="292"/>
      <c r="P710" s="292"/>
      <c r="Q710" s="292"/>
      <c r="R710" s="292"/>
      <c r="S710" s="292"/>
      <c r="T710" s="292"/>
      <c r="U710" s="292"/>
      <c r="V710" s="292"/>
      <c r="W710" s="292"/>
      <c r="X710" s="292"/>
      <c r="Y710" s="292"/>
      <c r="Z710" s="292"/>
    </row>
    <row r="711" spans="1:26" ht="12.75" customHeight="1" x14ac:dyDescent="0.25">
      <c r="A711" s="292"/>
      <c r="B711" s="292"/>
      <c r="C711" s="292"/>
      <c r="D711" s="292"/>
      <c r="E711" s="292"/>
      <c r="F711" s="292"/>
      <c r="G711" s="292"/>
      <c r="H711" s="292"/>
      <c r="I711" s="292"/>
      <c r="J711" s="292"/>
      <c r="K711" s="292"/>
      <c r="L711" s="292"/>
      <c r="M711" s="292"/>
      <c r="N711" s="292"/>
      <c r="O711" s="292"/>
      <c r="P711" s="292"/>
      <c r="Q711" s="292"/>
      <c r="R711" s="292"/>
      <c r="S711" s="292"/>
      <c r="T711" s="292"/>
      <c r="U711" s="292"/>
      <c r="V711" s="292"/>
      <c r="W711" s="292"/>
      <c r="X711" s="292"/>
      <c r="Y711" s="292"/>
      <c r="Z711" s="292"/>
    </row>
    <row r="712" spans="1:26" ht="12.75" customHeight="1" x14ac:dyDescent="0.25">
      <c r="A712" s="292"/>
      <c r="B712" s="292"/>
      <c r="C712" s="292"/>
      <c r="D712" s="292"/>
      <c r="E712" s="292"/>
      <c r="F712" s="292"/>
      <c r="G712" s="292"/>
      <c r="H712" s="292"/>
      <c r="I712" s="292"/>
      <c r="J712" s="292"/>
      <c r="K712" s="292"/>
      <c r="L712" s="292"/>
      <c r="M712" s="292"/>
      <c r="N712" s="292"/>
      <c r="O712" s="292"/>
      <c r="P712" s="292"/>
      <c r="Q712" s="292"/>
      <c r="R712" s="292"/>
      <c r="S712" s="292"/>
      <c r="T712" s="292"/>
      <c r="U712" s="292"/>
      <c r="V712" s="292"/>
      <c r="W712" s="292"/>
      <c r="X712" s="292"/>
      <c r="Y712" s="292"/>
      <c r="Z712" s="292"/>
    </row>
    <row r="713" spans="1:26" ht="12.75" customHeight="1" x14ac:dyDescent="0.25">
      <c r="A713" s="292"/>
      <c r="B713" s="292"/>
      <c r="C713" s="292"/>
      <c r="D713" s="292"/>
      <c r="E713" s="292"/>
      <c r="F713" s="292"/>
      <c r="G713" s="292"/>
      <c r="H713" s="292"/>
      <c r="I713" s="292"/>
      <c r="J713" s="292"/>
      <c r="K713" s="292"/>
      <c r="L713" s="292"/>
      <c r="M713" s="292"/>
      <c r="N713" s="292"/>
      <c r="O713" s="292"/>
      <c r="P713" s="292"/>
      <c r="Q713" s="292"/>
      <c r="R713" s="292"/>
      <c r="S713" s="292"/>
      <c r="T713" s="292"/>
      <c r="U713" s="292"/>
      <c r="V713" s="292"/>
      <c r="W713" s="292"/>
      <c r="X713" s="292"/>
      <c r="Y713" s="292"/>
      <c r="Z713" s="292"/>
    </row>
    <row r="714" spans="1:26" ht="12.75" customHeight="1" x14ac:dyDescent="0.25">
      <c r="A714" s="292"/>
      <c r="B714" s="292"/>
      <c r="C714" s="292"/>
      <c r="D714" s="292"/>
      <c r="E714" s="292"/>
      <c r="F714" s="292"/>
      <c r="G714" s="292"/>
      <c r="H714" s="292"/>
      <c r="I714" s="292"/>
      <c r="J714" s="292"/>
      <c r="K714" s="292"/>
      <c r="L714" s="292"/>
      <c r="M714" s="292"/>
      <c r="N714" s="292"/>
      <c r="O714" s="292"/>
      <c r="P714" s="292"/>
      <c r="Q714" s="292"/>
      <c r="R714" s="292"/>
      <c r="S714" s="292"/>
      <c r="T714" s="292"/>
      <c r="U714" s="292"/>
      <c r="V714" s="292"/>
      <c r="W714" s="292"/>
      <c r="X714" s="292"/>
      <c r="Y714" s="292"/>
      <c r="Z714" s="292"/>
    </row>
    <row r="715" spans="1:26" ht="12.75" customHeight="1" x14ac:dyDescent="0.25">
      <c r="A715" s="292"/>
      <c r="B715" s="292"/>
      <c r="C715" s="292"/>
      <c r="D715" s="292"/>
      <c r="E715" s="292"/>
      <c r="F715" s="292"/>
      <c r="G715" s="292"/>
      <c r="H715" s="292"/>
      <c r="I715" s="292"/>
      <c r="J715" s="292"/>
      <c r="K715" s="292"/>
      <c r="L715" s="292"/>
      <c r="M715" s="292"/>
      <c r="N715" s="292"/>
      <c r="O715" s="292"/>
      <c r="P715" s="292"/>
      <c r="Q715" s="292"/>
      <c r="R715" s="292"/>
      <c r="S715" s="292"/>
      <c r="T715" s="292"/>
      <c r="U715" s="292"/>
      <c r="V715" s="292"/>
      <c r="W715" s="292"/>
      <c r="X715" s="292"/>
      <c r="Y715" s="292"/>
      <c r="Z715" s="292"/>
    </row>
    <row r="716" spans="1:26" ht="12.75" customHeight="1" x14ac:dyDescent="0.25">
      <c r="A716" s="292"/>
      <c r="B716" s="292"/>
      <c r="C716" s="292"/>
      <c r="D716" s="292"/>
      <c r="E716" s="292"/>
      <c r="F716" s="292"/>
      <c r="G716" s="292"/>
      <c r="H716" s="292"/>
      <c r="I716" s="292"/>
      <c r="J716" s="292"/>
      <c r="K716" s="292"/>
      <c r="L716" s="292"/>
      <c r="M716" s="292"/>
      <c r="N716" s="292"/>
      <c r="O716" s="292"/>
      <c r="P716" s="292"/>
      <c r="Q716" s="292"/>
      <c r="R716" s="292"/>
      <c r="S716" s="292"/>
      <c r="T716" s="292"/>
      <c r="U716" s="292"/>
      <c r="V716" s="292"/>
      <c r="W716" s="292"/>
      <c r="X716" s="292"/>
      <c r="Y716" s="292"/>
      <c r="Z716" s="292"/>
    </row>
    <row r="717" spans="1:26" ht="12.75" customHeight="1" x14ac:dyDescent="0.25">
      <c r="A717" s="292"/>
      <c r="B717" s="292"/>
      <c r="C717" s="292"/>
      <c r="D717" s="292"/>
      <c r="E717" s="292"/>
      <c r="F717" s="292"/>
      <c r="G717" s="292"/>
      <c r="H717" s="292"/>
      <c r="I717" s="292"/>
      <c r="J717" s="292"/>
      <c r="K717" s="292"/>
      <c r="L717" s="292"/>
      <c r="M717" s="292"/>
      <c r="N717" s="292"/>
      <c r="O717" s="292"/>
      <c r="P717" s="292"/>
      <c r="Q717" s="292"/>
      <c r="R717" s="292"/>
      <c r="S717" s="292"/>
      <c r="T717" s="292"/>
      <c r="U717" s="292"/>
      <c r="V717" s="292"/>
      <c r="W717" s="292"/>
      <c r="X717" s="292"/>
      <c r="Y717" s="292"/>
      <c r="Z717" s="292"/>
    </row>
    <row r="718" spans="1:26" ht="12.75" customHeight="1" x14ac:dyDescent="0.25">
      <c r="A718" s="292"/>
      <c r="B718" s="292"/>
      <c r="C718" s="292"/>
      <c r="D718" s="292"/>
      <c r="E718" s="292"/>
      <c r="F718" s="292"/>
      <c r="G718" s="292"/>
      <c r="H718" s="292"/>
      <c r="I718" s="292"/>
      <c r="J718" s="292"/>
      <c r="K718" s="292"/>
      <c r="L718" s="292"/>
      <c r="M718" s="292"/>
      <c r="N718" s="292"/>
      <c r="O718" s="292"/>
      <c r="P718" s="292"/>
      <c r="Q718" s="292"/>
      <c r="R718" s="292"/>
      <c r="S718" s="292"/>
      <c r="T718" s="292"/>
      <c r="U718" s="292"/>
      <c r="V718" s="292"/>
      <c r="W718" s="292"/>
      <c r="X718" s="292"/>
      <c r="Y718" s="292"/>
      <c r="Z718" s="292"/>
    </row>
    <row r="719" spans="1:26" ht="12.75" customHeight="1" x14ac:dyDescent="0.25">
      <c r="A719" s="292"/>
      <c r="B719" s="292"/>
      <c r="C719" s="292"/>
      <c r="D719" s="292"/>
      <c r="E719" s="292"/>
      <c r="F719" s="292"/>
      <c r="G719" s="292"/>
      <c r="H719" s="292"/>
      <c r="I719" s="292"/>
      <c r="J719" s="292"/>
      <c r="K719" s="292"/>
      <c r="L719" s="292"/>
      <c r="M719" s="292"/>
      <c r="N719" s="292"/>
      <c r="O719" s="292"/>
      <c r="P719" s="292"/>
      <c r="Q719" s="292"/>
      <c r="R719" s="292"/>
      <c r="S719" s="292"/>
      <c r="T719" s="292"/>
      <c r="U719" s="292"/>
      <c r="V719" s="292"/>
      <c r="W719" s="292"/>
      <c r="X719" s="292"/>
      <c r="Y719" s="292"/>
      <c r="Z719" s="292"/>
    </row>
    <row r="720" spans="1:26" ht="12.75" customHeight="1" x14ac:dyDescent="0.25">
      <c r="A720" s="292"/>
      <c r="B720" s="292"/>
      <c r="C720" s="292"/>
      <c r="D720" s="292"/>
      <c r="E720" s="292"/>
      <c r="F720" s="292"/>
      <c r="G720" s="292"/>
      <c r="H720" s="292"/>
      <c r="I720" s="292"/>
      <c r="J720" s="292"/>
      <c r="K720" s="292"/>
      <c r="L720" s="292"/>
      <c r="M720" s="292"/>
      <c r="N720" s="292"/>
      <c r="O720" s="292"/>
      <c r="P720" s="292"/>
      <c r="Q720" s="292"/>
      <c r="R720" s="292"/>
      <c r="S720" s="292"/>
      <c r="T720" s="292"/>
      <c r="U720" s="292"/>
      <c r="V720" s="292"/>
      <c r="W720" s="292"/>
      <c r="X720" s="292"/>
      <c r="Y720" s="292"/>
      <c r="Z720" s="292"/>
    </row>
    <row r="721" spans="1:26" ht="12.75" customHeight="1" x14ac:dyDescent="0.25">
      <c r="A721" s="292"/>
      <c r="B721" s="292"/>
      <c r="C721" s="292"/>
      <c r="D721" s="292"/>
      <c r="E721" s="292"/>
      <c r="F721" s="292"/>
      <c r="G721" s="292"/>
      <c r="H721" s="292"/>
      <c r="I721" s="292"/>
      <c r="J721" s="292"/>
      <c r="K721" s="292"/>
      <c r="L721" s="292"/>
      <c r="M721" s="292"/>
      <c r="N721" s="292"/>
      <c r="O721" s="292"/>
      <c r="P721" s="292"/>
      <c r="Q721" s="292"/>
      <c r="R721" s="292"/>
      <c r="S721" s="292"/>
      <c r="T721" s="292"/>
      <c r="U721" s="292"/>
      <c r="V721" s="292"/>
      <c r="W721" s="292"/>
      <c r="X721" s="292"/>
      <c r="Y721" s="292"/>
      <c r="Z721" s="292"/>
    </row>
    <row r="722" spans="1:26" ht="12.75" customHeight="1" x14ac:dyDescent="0.25">
      <c r="A722" s="292"/>
      <c r="B722" s="292"/>
      <c r="C722" s="292"/>
      <c r="D722" s="292"/>
      <c r="E722" s="292"/>
      <c r="F722" s="292"/>
      <c r="G722" s="292"/>
      <c r="H722" s="292"/>
      <c r="I722" s="292"/>
      <c r="J722" s="292"/>
      <c r="K722" s="292"/>
      <c r="L722" s="292"/>
      <c r="M722" s="292"/>
      <c r="N722" s="292"/>
      <c r="O722" s="292"/>
      <c r="P722" s="292"/>
      <c r="Q722" s="292"/>
      <c r="R722" s="292"/>
      <c r="S722" s="292"/>
      <c r="T722" s="292"/>
      <c r="U722" s="292"/>
      <c r="V722" s="292"/>
      <c r="W722" s="292"/>
      <c r="X722" s="292"/>
      <c r="Y722" s="292"/>
      <c r="Z722" s="292"/>
    </row>
    <row r="723" spans="1:26" ht="12.75" customHeight="1" x14ac:dyDescent="0.25">
      <c r="A723" s="292"/>
      <c r="B723" s="292"/>
      <c r="C723" s="292"/>
      <c r="D723" s="292"/>
      <c r="E723" s="292"/>
      <c r="F723" s="292"/>
      <c r="G723" s="292"/>
      <c r="H723" s="292"/>
      <c r="I723" s="292"/>
      <c r="J723" s="292"/>
      <c r="K723" s="292"/>
      <c r="L723" s="292"/>
      <c r="M723" s="292"/>
      <c r="N723" s="292"/>
      <c r="O723" s="292"/>
      <c r="P723" s="292"/>
      <c r="Q723" s="292"/>
      <c r="R723" s="292"/>
      <c r="S723" s="292"/>
      <c r="T723" s="292"/>
      <c r="U723" s="292"/>
      <c r="V723" s="292"/>
      <c r="W723" s="292"/>
      <c r="X723" s="292"/>
      <c r="Y723" s="292"/>
      <c r="Z723" s="292"/>
    </row>
    <row r="724" spans="1:26" ht="12.75" customHeight="1" x14ac:dyDescent="0.25">
      <c r="A724" s="292"/>
      <c r="B724" s="292"/>
      <c r="C724" s="292"/>
      <c r="D724" s="292"/>
      <c r="E724" s="292"/>
      <c r="F724" s="292"/>
      <c r="G724" s="292"/>
      <c r="H724" s="292"/>
      <c r="I724" s="292"/>
      <c r="J724" s="292"/>
      <c r="K724" s="292"/>
      <c r="L724" s="292"/>
      <c r="M724" s="292"/>
      <c r="N724" s="292"/>
      <c r="O724" s="292"/>
      <c r="P724" s="292"/>
      <c r="Q724" s="292"/>
      <c r="R724" s="292"/>
      <c r="S724" s="292"/>
      <c r="T724" s="292"/>
      <c r="U724" s="292"/>
      <c r="V724" s="292"/>
      <c r="W724" s="292"/>
      <c r="X724" s="292"/>
      <c r="Y724" s="292"/>
      <c r="Z724" s="292"/>
    </row>
    <row r="725" spans="1:26" ht="12.75" customHeight="1" x14ac:dyDescent="0.25">
      <c r="A725" s="292"/>
      <c r="B725" s="292"/>
      <c r="C725" s="292"/>
      <c r="D725" s="292"/>
      <c r="E725" s="292"/>
      <c r="F725" s="292"/>
      <c r="G725" s="292"/>
      <c r="H725" s="292"/>
      <c r="I725" s="292"/>
      <c r="J725" s="292"/>
      <c r="K725" s="292"/>
      <c r="L725" s="292"/>
      <c r="M725" s="292"/>
      <c r="N725" s="292"/>
      <c r="O725" s="292"/>
      <c r="P725" s="292"/>
      <c r="Q725" s="292"/>
      <c r="R725" s="292"/>
      <c r="S725" s="292"/>
      <c r="T725" s="292"/>
      <c r="U725" s="292"/>
      <c r="V725" s="292"/>
      <c r="W725" s="292"/>
      <c r="X725" s="292"/>
      <c r="Y725" s="292"/>
      <c r="Z725" s="292"/>
    </row>
    <row r="726" spans="1:26" ht="12.75" customHeight="1" x14ac:dyDescent="0.25">
      <c r="A726" s="292"/>
      <c r="B726" s="292"/>
      <c r="C726" s="292"/>
      <c r="D726" s="292"/>
      <c r="E726" s="292"/>
      <c r="F726" s="292"/>
      <c r="G726" s="292"/>
      <c r="H726" s="292"/>
      <c r="I726" s="292"/>
      <c r="J726" s="292"/>
      <c r="K726" s="292"/>
      <c r="L726" s="292"/>
      <c r="M726" s="292"/>
      <c r="N726" s="292"/>
      <c r="O726" s="292"/>
      <c r="P726" s="292"/>
      <c r="Q726" s="292"/>
      <c r="R726" s="292"/>
      <c r="S726" s="292"/>
      <c r="T726" s="292"/>
      <c r="U726" s="292"/>
      <c r="V726" s="292"/>
      <c r="W726" s="292"/>
      <c r="X726" s="292"/>
      <c r="Y726" s="292"/>
      <c r="Z726" s="292"/>
    </row>
    <row r="727" spans="1:26" ht="12.75" customHeight="1" x14ac:dyDescent="0.25">
      <c r="A727" s="292"/>
      <c r="B727" s="292"/>
      <c r="C727" s="292"/>
      <c r="D727" s="292"/>
      <c r="E727" s="292"/>
      <c r="F727" s="292"/>
      <c r="G727" s="292"/>
      <c r="H727" s="292"/>
      <c r="I727" s="292"/>
      <c r="J727" s="292"/>
      <c r="K727" s="292"/>
      <c r="L727" s="292"/>
      <c r="M727" s="292"/>
      <c r="N727" s="292"/>
      <c r="O727" s="292"/>
      <c r="P727" s="292"/>
      <c r="Q727" s="292"/>
      <c r="R727" s="292"/>
      <c r="S727" s="292"/>
      <c r="T727" s="292"/>
      <c r="U727" s="292"/>
      <c r="V727" s="292"/>
      <c r="W727" s="292"/>
      <c r="X727" s="292"/>
      <c r="Y727" s="292"/>
      <c r="Z727" s="292"/>
    </row>
    <row r="728" spans="1:26" ht="12.75" customHeight="1" x14ac:dyDescent="0.25">
      <c r="A728" s="292"/>
      <c r="B728" s="292"/>
      <c r="C728" s="292"/>
      <c r="D728" s="292"/>
      <c r="E728" s="292"/>
      <c r="F728" s="292"/>
      <c r="G728" s="292"/>
      <c r="H728" s="292"/>
      <c r="I728" s="292"/>
      <c r="J728" s="292"/>
      <c r="K728" s="292"/>
      <c r="L728" s="292"/>
      <c r="M728" s="292"/>
      <c r="N728" s="292"/>
      <c r="O728" s="292"/>
      <c r="P728" s="292"/>
      <c r="Q728" s="292"/>
      <c r="R728" s="292"/>
      <c r="S728" s="292"/>
      <c r="T728" s="292"/>
      <c r="U728" s="292"/>
      <c r="V728" s="292"/>
      <c r="W728" s="292"/>
      <c r="X728" s="292"/>
      <c r="Y728" s="292"/>
      <c r="Z728" s="292"/>
    </row>
    <row r="729" spans="1:26" ht="12.75" customHeight="1" x14ac:dyDescent="0.25">
      <c r="A729" s="292"/>
      <c r="B729" s="292"/>
      <c r="C729" s="292"/>
      <c r="D729" s="292"/>
      <c r="E729" s="292"/>
      <c r="F729" s="292"/>
      <c r="G729" s="292"/>
      <c r="H729" s="292"/>
      <c r="I729" s="292"/>
      <c r="J729" s="292"/>
      <c r="K729" s="292"/>
      <c r="L729" s="292"/>
      <c r="M729" s="292"/>
      <c r="N729" s="292"/>
      <c r="O729" s="292"/>
      <c r="P729" s="292"/>
      <c r="Q729" s="292"/>
      <c r="R729" s="292"/>
      <c r="S729" s="292"/>
      <c r="T729" s="292"/>
      <c r="U729" s="292"/>
      <c r="V729" s="292"/>
      <c r="W729" s="292"/>
      <c r="X729" s="292"/>
      <c r="Y729" s="292"/>
      <c r="Z729" s="292"/>
    </row>
    <row r="730" spans="1:26" ht="12.75" customHeight="1" x14ac:dyDescent="0.25">
      <c r="A730" s="292"/>
      <c r="B730" s="292"/>
      <c r="C730" s="292"/>
      <c r="D730" s="292"/>
      <c r="E730" s="292"/>
      <c r="F730" s="292"/>
      <c r="G730" s="292"/>
      <c r="H730" s="292"/>
      <c r="I730" s="292"/>
      <c r="J730" s="292"/>
      <c r="K730" s="292"/>
      <c r="L730" s="292"/>
      <c r="M730" s="292"/>
      <c r="N730" s="292"/>
      <c r="O730" s="292"/>
      <c r="P730" s="292"/>
      <c r="Q730" s="292"/>
      <c r="R730" s="292"/>
      <c r="S730" s="292"/>
      <c r="T730" s="292"/>
      <c r="U730" s="292"/>
      <c r="V730" s="292"/>
      <c r="W730" s="292"/>
      <c r="X730" s="292"/>
      <c r="Y730" s="292"/>
      <c r="Z730" s="292"/>
    </row>
    <row r="731" spans="1:26" ht="12.75" customHeight="1" x14ac:dyDescent="0.25">
      <c r="A731" s="292"/>
      <c r="B731" s="292"/>
      <c r="C731" s="292"/>
      <c r="D731" s="292"/>
      <c r="E731" s="292"/>
      <c r="F731" s="292"/>
      <c r="G731" s="292"/>
      <c r="H731" s="292"/>
      <c r="I731" s="292"/>
      <c r="J731" s="292"/>
      <c r="K731" s="292"/>
      <c r="L731" s="292"/>
      <c r="M731" s="292"/>
      <c r="N731" s="292"/>
      <c r="O731" s="292"/>
      <c r="P731" s="292"/>
      <c r="Q731" s="292"/>
      <c r="R731" s="292"/>
      <c r="S731" s="292"/>
      <c r="T731" s="292"/>
      <c r="U731" s="292"/>
      <c r="V731" s="292"/>
      <c r="W731" s="292"/>
      <c r="X731" s="292"/>
      <c r="Y731" s="292"/>
      <c r="Z731" s="292"/>
    </row>
    <row r="732" spans="1:26" ht="12.75" customHeight="1" x14ac:dyDescent="0.25">
      <c r="A732" s="292"/>
      <c r="B732" s="292"/>
      <c r="C732" s="292"/>
      <c r="D732" s="292"/>
      <c r="E732" s="292"/>
      <c r="F732" s="292"/>
      <c r="G732" s="292"/>
      <c r="H732" s="292"/>
      <c r="I732" s="292"/>
      <c r="J732" s="292"/>
      <c r="K732" s="292"/>
      <c r="L732" s="292"/>
      <c r="M732" s="292"/>
      <c r="N732" s="292"/>
      <c r="O732" s="292"/>
      <c r="P732" s="292"/>
      <c r="Q732" s="292"/>
      <c r="R732" s="292"/>
      <c r="S732" s="292"/>
      <c r="T732" s="292"/>
      <c r="U732" s="292"/>
      <c r="V732" s="292"/>
      <c r="W732" s="292"/>
      <c r="X732" s="292"/>
      <c r="Y732" s="292"/>
      <c r="Z732" s="292"/>
    </row>
    <row r="733" spans="1:26" ht="12.75" customHeight="1" x14ac:dyDescent="0.25">
      <c r="A733" s="292"/>
      <c r="B733" s="292"/>
      <c r="C733" s="292"/>
      <c r="D733" s="292"/>
      <c r="E733" s="292"/>
      <c r="F733" s="292"/>
      <c r="G733" s="292"/>
      <c r="H733" s="292"/>
      <c r="I733" s="292"/>
      <c r="J733" s="292"/>
      <c r="K733" s="292"/>
      <c r="L733" s="292"/>
      <c r="M733" s="292"/>
      <c r="N733" s="292"/>
      <c r="O733" s="292"/>
      <c r="P733" s="292"/>
      <c r="Q733" s="292"/>
      <c r="R733" s="292"/>
      <c r="S733" s="292"/>
      <c r="T733" s="292"/>
      <c r="U733" s="292"/>
      <c r="V733" s="292"/>
      <c r="W733" s="292"/>
      <c r="X733" s="292"/>
      <c r="Y733" s="292"/>
      <c r="Z733" s="292"/>
    </row>
    <row r="734" spans="1:26" ht="12.75" customHeight="1" x14ac:dyDescent="0.25">
      <c r="A734" s="292"/>
      <c r="B734" s="292"/>
      <c r="C734" s="292"/>
      <c r="D734" s="292"/>
      <c r="E734" s="292"/>
      <c r="F734" s="292"/>
      <c r="G734" s="292"/>
      <c r="H734" s="292"/>
      <c r="I734" s="292"/>
      <c r="J734" s="292"/>
      <c r="K734" s="292"/>
      <c r="L734" s="292"/>
      <c r="M734" s="292"/>
      <c r="N734" s="292"/>
      <c r="O734" s="292"/>
      <c r="P734" s="292"/>
      <c r="Q734" s="292"/>
      <c r="R734" s="292"/>
      <c r="S734" s="292"/>
      <c r="T734" s="292"/>
      <c r="U734" s="292"/>
      <c r="V734" s="292"/>
      <c r="W734" s="292"/>
      <c r="X734" s="292"/>
      <c r="Y734" s="292"/>
      <c r="Z734" s="292"/>
    </row>
    <row r="735" spans="1:26" ht="12.75" customHeight="1" x14ac:dyDescent="0.25">
      <c r="A735" s="292"/>
      <c r="B735" s="292"/>
      <c r="C735" s="292"/>
      <c r="D735" s="292"/>
      <c r="E735" s="292"/>
      <c r="F735" s="292"/>
      <c r="G735" s="292"/>
      <c r="H735" s="292"/>
      <c r="I735" s="292"/>
      <c r="J735" s="292"/>
      <c r="K735" s="292"/>
      <c r="L735" s="292"/>
      <c r="M735" s="292"/>
      <c r="N735" s="292"/>
      <c r="O735" s="292"/>
      <c r="P735" s="292"/>
      <c r="Q735" s="292"/>
      <c r="R735" s="292"/>
      <c r="S735" s="292"/>
      <c r="T735" s="292"/>
      <c r="U735" s="292"/>
      <c r="V735" s="292"/>
      <c r="W735" s="292"/>
      <c r="X735" s="292"/>
      <c r="Y735" s="292"/>
      <c r="Z735" s="292"/>
    </row>
    <row r="736" spans="1:26" ht="12.75" customHeight="1" x14ac:dyDescent="0.25">
      <c r="A736" s="292"/>
      <c r="B736" s="292"/>
      <c r="C736" s="292"/>
      <c r="D736" s="292"/>
      <c r="E736" s="292"/>
      <c r="F736" s="292"/>
      <c r="G736" s="292"/>
      <c r="H736" s="292"/>
      <c r="I736" s="292"/>
      <c r="J736" s="292"/>
      <c r="K736" s="292"/>
      <c r="L736" s="292"/>
      <c r="M736" s="292"/>
      <c r="N736" s="292"/>
      <c r="O736" s="292"/>
      <c r="P736" s="292"/>
      <c r="Q736" s="292"/>
      <c r="R736" s="292"/>
      <c r="S736" s="292"/>
      <c r="T736" s="292"/>
      <c r="U736" s="292"/>
      <c r="V736" s="292"/>
      <c r="W736" s="292"/>
      <c r="X736" s="292"/>
      <c r="Y736" s="292"/>
      <c r="Z736" s="292"/>
    </row>
    <row r="737" spans="1:26" ht="12.75" customHeight="1" x14ac:dyDescent="0.25">
      <c r="A737" s="292"/>
      <c r="B737" s="292"/>
      <c r="C737" s="292"/>
      <c r="D737" s="292"/>
      <c r="E737" s="292"/>
      <c r="F737" s="292"/>
      <c r="G737" s="292"/>
      <c r="H737" s="292"/>
      <c r="I737" s="292"/>
      <c r="J737" s="292"/>
      <c r="K737" s="292"/>
      <c r="L737" s="292"/>
      <c r="M737" s="292"/>
      <c r="N737" s="292"/>
      <c r="O737" s="292"/>
      <c r="P737" s="292"/>
      <c r="Q737" s="292"/>
      <c r="R737" s="292"/>
      <c r="S737" s="292"/>
      <c r="T737" s="292"/>
      <c r="U737" s="292"/>
      <c r="V737" s="292"/>
      <c r="W737" s="292"/>
      <c r="X737" s="292"/>
      <c r="Y737" s="292"/>
      <c r="Z737" s="292"/>
    </row>
    <row r="738" spans="1:26" ht="12.75" customHeight="1" x14ac:dyDescent="0.25">
      <c r="A738" s="292"/>
      <c r="B738" s="292"/>
      <c r="C738" s="292"/>
      <c r="D738" s="292"/>
      <c r="E738" s="292"/>
      <c r="F738" s="292"/>
      <c r="G738" s="292"/>
      <c r="H738" s="292"/>
      <c r="I738" s="292"/>
      <c r="J738" s="292"/>
      <c r="K738" s="292"/>
      <c r="L738" s="292"/>
      <c r="M738" s="292"/>
      <c r="N738" s="292"/>
      <c r="O738" s="292"/>
      <c r="P738" s="292"/>
      <c r="Q738" s="292"/>
      <c r="R738" s="292"/>
      <c r="S738" s="292"/>
      <c r="T738" s="292"/>
      <c r="U738" s="292"/>
      <c r="V738" s="292"/>
      <c r="W738" s="292"/>
      <c r="X738" s="292"/>
      <c r="Y738" s="292"/>
      <c r="Z738" s="292"/>
    </row>
    <row r="739" spans="1:26" ht="12.75" customHeight="1" x14ac:dyDescent="0.25">
      <c r="A739" s="292"/>
      <c r="B739" s="292"/>
      <c r="C739" s="292"/>
      <c r="D739" s="292"/>
      <c r="E739" s="292"/>
      <c r="F739" s="292"/>
      <c r="G739" s="292"/>
      <c r="H739" s="292"/>
      <c r="I739" s="292"/>
      <c r="J739" s="292"/>
      <c r="K739" s="292"/>
      <c r="L739" s="292"/>
      <c r="M739" s="292"/>
      <c r="N739" s="292"/>
      <c r="O739" s="292"/>
      <c r="P739" s="292"/>
      <c r="Q739" s="292"/>
      <c r="R739" s="292"/>
      <c r="S739" s="292"/>
      <c r="T739" s="292"/>
      <c r="U739" s="292"/>
      <c r="V739" s="292"/>
      <c r="W739" s="292"/>
      <c r="X739" s="292"/>
      <c r="Y739" s="292"/>
      <c r="Z739" s="292"/>
    </row>
    <row r="740" spans="1:26" ht="12.75" customHeight="1" x14ac:dyDescent="0.25">
      <c r="A740" s="292"/>
      <c r="B740" s="292"/>
      <c r="C740" s="292"/>
      <c r="D740" s="292"/>
      <c r="E740" s="292"/>
      <c r="F740" s="292"/>
      <c r="G740" s="292"/>
      <c r="H740" s="292"/>
      <c r="I740" s="292"/>
      <c r="J740" s="292"/>
      <c r="K740" s="292"/>
      <c r="L740" s="292"/>
      <c r="M740" s="292"/>
      <c r="N740" s="292"/>
      <c r="O740" s="292"/>
      <c r="P740" s="292"/>
      <c r="Q740" s="292"/>
      <c r="R740" s="292"/>
      <c r="S740" s="292"/>
      <c r="T740" s="292"/>
      <c r="U740" s="292"/>
      <c r="V740" s="292"/>
      <c r="W740" s="292"/>
      <c r="X740" s="292"/>
      <c r="Y740" s="292"/>
      <c r="Z740" s="292"/>
    </row>
    <row r="741" spans="1:26" ht="12.75" customHeight="1" x14ac:dyDescent="0.25">
      <c r="A741" s="292"/>
      <c r="B741" s="292"/>
      <c r="C741" s="292"/>
      <c r="D741" s="292"/>
      <c r="E741" s="292"/>
      <c r="F741" s="292"/>
      <c r="G741" s="292"/>
      <c r="H741" s="292"/>
      <c r="I741" s="292"/>
      <c r="J741" s="292"/>
      <c r="K741" s="292"/>
      <c r="L741" s="292"/>
      <c r="M741" s="292"/>
      <c r="N741" s="292"/>
      <c r="O741" s="292"/>
      <c r="P741" s="292"/>
      <c r="Q741" s="292"/>
      <c r="R741" s="292"/>
      <c r="S741" s="292"/>
      <c r="T741" s="292"/>
      <c r="U741" s="292"/>
      <c r="V741" s="292"/>
      <c r="W741" s="292"/>
      <c r="X741" s="292"/>
      <c r="Y741" s="292"/>
      <c r="Z741" s="292"/>
    </row>
    <row r="742" spans="1:26" ht="12.75" customHeight="1" x14ac:dyDescent="0.25">
      <c r="A742" s="292"/>
      <c r="B742" s="292"/>
      <c r="C742" s="292"/>
      <c r="D742" s="292"/>
      <c r="E742" s="292"/>
      <c r="F742" s="292"/>
      <c r="G742" s="292"/>
      <c r="H742" s="292"/>
      <c r="I742" s="292"/>
      <c r="J742" s="292"/>
      <c r="K742" s="292"/>
      <c r="L742" s="292"/>
      <c r="M742" s="292"/>
      <c r="N742" s="292"/>
      <c r="O742" s="292"/>
      <c r="P742" s="292"/>
      <c r="Q742" s="292"/>
      <c r="R742" s="292"/>
      <c r="S742" s="292"/>
      <c r="T742" s="292"/>
      <c r="U742" s="292"/>
      <c r="V742" s="292"/>
      <c r="W742" s="292"/>
      <c r="X742" s="292"/>
      <c r="Y742" s="292"/>
      <c r="Z742" s="292"/>
    </row>
    <row r="743" spans="1:26" ht="12.75" customHeight="1" x14ac:dyDescent="0.25">
      <c r="A743" s="292"/>
      <c r="B743" s="292"/>
      <c r="C743" s="292"/>
      <c r="D743" s="292"/>
      <c r="E743" s="292"/>
      <c r="F743" s="292"/>
      <c r="G743" s="292"/>
      <c r="H743" s="292"/>
      <c r="I743" s="292"/>
      <c r="J743" s="292"/>
      <c r="K743" s="292"/>
      <c r="L743" s="292"/>
      <c r="M743" s="292"/>
      <c r="N743" s="292"/>
      <c r="O743" s="292"/>
      <c r="P743" s="292"/>
      <c r="Q743" s="292"/>
      <c r="R743" s="292"/>
      <c r="S743" s="292"/>
      <c r="T743" s="292"/>
      <c r="U743" s="292"/>
      <c r="V743" s="292"/>
      <c r="W743" s="292"/>
      <c r="X743" s="292"/>
      <c r="Y743" s="292"/>
      <c r="Z743" s="292"/>
    </row>
    <row r="744" spans="1:26" ht="12.75" customHeight="1" x14ac:dyDescent="0.25">
      <c r="A744" s="292"/>
      <c r="B744" s="292"/>
      <c r="C744" s="292"/>
      <c r="D744" s="292"/>
      <c r="E744" s="292"/>
      <c r="F744" s="292"/>
      <c r="G744" s="292"/>
      <c r="H744" s="292"/>
      <c r="I744" s="292"/>
      <c r="J744" s="292"/>
      <c r="K744" s="292"/>
      <c r="L744" s="292"/>
      <c r="M744" s="292"/>
      <c r="N744" s="292"/>
      <c r="O744" s="292"/>
      <c r="P744" s="292"/>
      <c r="Q744" s="292"/>
      <c r="R744" s="292"/>
      <c r="S744" s="292"/>
      <c r="T744" s="292"/>
      <c r="U744" s="292"/>
      <c r="V744" s="292"/>
      <c r="W744" s="292"/>
      <c r="X744" s="292"/>
      <c r="Y744" s="292"/>
      <c r="Z744" s="292"/>
    </row>
    <row r="745" spans="1:26" ht="12.75" customHeight="1" x14ac:dyDescent="0.25">
      <c r="A745" s="292"/>
      <c r="B745" s="292"/>
      <c r="C745" s="292"/>
      <c r="D745" s="292"/>
      <c r="E745" s="292"/>
      <c r="F745" s="292"/>
      <c r="G745" s="292"/>
      <c r="H745" s="292"/>
      <c r="I745" s="292"/>
      <c r="J745" s="292"/>
      <c r="K745" s="292"/>
      <c r="L745" s="292"/>
      <c r="M745" s="292"/>
      <c r="N745" s="292"/>
      <c r="O745" s="292"/>
      <c r="P745" s="292"/>
      <c r="Q745" s="292"/>
      <c r="R745" s="292"/>
      <c r="S745" s="292"/>
      <c r="T745" s="292"/>
      <c r="U745" s="292"/>
      <c r="V745" s="292"/>
      <c r="W745" s="292"/>
      <c r="X745" s="292"/>
      <c r="Y745" s="292"/>
      <c r="Z745" s="292"/>
    </row>
    <row r="746" spans="1:26" ht="12.75" customHeight="1" x14ac:dyDescent="0.25">
      <c r="A746" s="292"/>
      <c r="B746" s="292"/>
      <c r="C746" s="292"/>
      <c r="D746" s="292"/>
      <c r="E746" s="292"/>
      <c r="F746" s="292"/>
      <c r="G746" s="292"/>
      <c r="H746" s="292"/>
      <c r="I746" s="292"/>
      <c r="J746" s="292"/>
      <c r="K746" s="292"/>
      <c r="L746" s="292"/>
      <c r="M746" s="292"/>
      <c r="N746" s="292"/>
      <c r="O746" s="292"/>
      <c r="P746" s="292"/>
      <c r="Q746" s="292"/>
      <c r="R746" s="292"/>
      <c r="S746" s="292"/>
      <c r="T746" s="292"/>
      <c r="U746" s="292"/>
      <c r="V746" s="292"/>
      <c r="W746" s="292"/>
      <c r="X746" s="292"/>
      <c r="Y746" s="292"/>
      <c r="Z746" s="292"/>
    </row>
    <row r="747" spans="1:26" ht="12.75" customHeight="1" x14ac:dyDescent="0.25">
      <c r="A747" s="292"/>
      <c r="B747" s="292"/>
      <c r="C747" s="292"/>
      <c r="D747" s="292"/>
      <c r="E747" s="292"/>
      <c r="F747" s="292"/>
      <c r="G747" s="292"/>
      <c r="H747" s="292"/>
      <c r="I747" s="292"/>
      <c r="J747" s="292"/>
      <c r="K747" s="292"/>
      <c r="L747" s="292"/>
      <c r="M747" s="292"/>
      <c r="N747" s="292"/>
      <c r="O747" s="292"/>
      <c r="P747" s="292"/>
      <c r="Q747" s="292"/>
      <c r="R747" s="292"/>
      <c r="S747" s="292"/>
      <c r="T747" s="292"/>
      <c r="U747" s="292"/>
      <c r="V747" s="292"/>
      <c r="W747" s="292"/>
      <c r="X747" s="292"/>
      <c r="Y747" s="292"/>
      <c r="Z747" s="292"/>
    </row>
    <row r="748" spans="1:26" ht="12.75" customHeight="1" x14ac:dyDescent="0.25">
      <c r="A748" s="292"/>
      <c r="B748" s="292"/>
      <c r="C748" s="292"/>
      <c r="D748" s="292"/>
      <c r="E748" s="292"/>
      <c r="F748" s="292"/>
      <c r="G748" s="292"/>
      <c r="H748" s="292"/>
      <c r="I748" s="292"/>
      <c r="J748" s="292"/>
      <c r="K748" s="292"/>
      <c r="L748" s="292"/>
      <c r="M748" s="292"/>
      <c r="N748" s="292"/>
      <c r="O748" s="292"/>
      <c r="P748" s="292"/>
      <c r="Q748" s="292"/>
      <c r="R748" s="292"/>
      <c r="S748" s="292"/>
      <c r="T748" s="292"/>
      <c r="U748" s="292"/>
      <c r="V748" s="292"/>
      <c r="W748" s="292"/>
      <c r="X748" s="292"/>
      <c r="Y748" s="292"/>
      <c r="Z748" s="292"/>
    </row>
    <row r="749" spans="1:26" ht="12.75" customHeight="1" x14ac:dyDescent="0.25">
      <c r="A749" s="292"/>
      <c r="B749" s="292"/>
      <c r="C749" s="292"/>
      <c r="D749" s="292"/>
      <c r="E749" s="292"/>
      <c r="F749" s="292"/>
      <c r="G749" s="292"/>
      <c r="H749" s="292"/>
      <c r="I749" s="292"/>
      <c r="J749" s="292"/>
      <c r="K749" s="292"/>
      <c r="L749" s="292"/>
      <c r="M749" s="292"/>
      <c r="N749" s="292"/>
      <c r="O749" s="292"/>
      <c r="P749" s="292"/>
      <c r="Q749" s="292"/>
      <c r="R749" s="292"/>
      <c r="S749" s="292"/>
      <c r="T749" s="292"/>
      <c r="U749" s="292"/>
      <c r="V749" s="292"/>
      <c r="W749" s="292"/>
      <c r="X749" s="292"/>
      <c r="Y749" s="292"/>
      <c r="Z749" s="292"/>
    </row>
    <row r="750" spans="1:26" ht="12.75" customHeight="1" x14ac:dyDescent="0.25">
      <c r="A750" s="292"/>
      <c r="B750" s="292"/>
      <c r="C750" s="292"/>
      <c r="D750" s="292"/>
      <c r="E750" s="292"/>
      <c r="F750" s="292"/>
      <c r="G750" s="292"/>
      <c r="H750" s="292"/>
      <c r="I750" s="292"/>
      <c r="J750" s="292"/>
      <c r="K750" s="292"/>
      <c r="L750" s="292"/>
      <c r="M750" s="292"/>
      <c r="N750" s="292"/>
      <c r="O750" s="292"/>
      <c r="P750" s="292"/>
      <c r="Q750" s="292"/>
      <c r="R750" s="292"/>
      <c r="S750" s="292"/>
      <c r="T750" s="292"/>
      <c r="U750" s="292"/>
      <c r="V750" s="292"/>
      <c r="W750" s="292"/>
      <c r="X750" s="292"/>
      <c r="Y750" s="292"/>
      <c r="Z750" s="292"/>
    </row>
    <row r="751" spans="1:26" ht="12.75" customHeight="1" x14ac:dyDescent="0.25">
      <c r="A751" s="292"/>
      <c r="B751" s="292"/>
      <c r="C751" s="292"/>
      <c r="D751" s="292"/>
      <c r="E751" s="292"/>
      <c r="F751" s="292"/>
      <c r="G751" s="292"/>
      <c r="H751" s="292"/>
      <c r="I751" s="292"/>
      <c r="J751" s="292"/>
      <c r="K751" s="292"/>
      <c r="L751" s="292"/>
      <c r="M751" s="292"/>
      <c r="N751" s="292"/>
      <c r="O751" s="292"/>
      <c r="P751" s="292"/>
      <c r="Q751" s="292"/>
      <c r="R751" s="292"/>
      <c r="S751" s="292"/>
      <c r="T751" s="292"/>
      <c r="U751" s="292"/>
      <c r="V751" s="292"/>
      <c r="W751" s="292"/>
      <c r="X751" s="292"/>
      <c r="Y751" s="292"/>
      <c r="Z751" s="292"/>
    </row>
    <row r="752" spans="1:26" ht="12.75" customHeight="1" x14ac:dyDescent="0.25">
      <c r="A752" s="292"/>
      <c r="B752" s="292"/>
      <c r="C752" s="292"/>
      <c r="D752" s="292"/>
      <c r="E752" s="292"/>
      <c r="F752" s="292"/>
      <c r="G752" s="292"/>
      <c r="H752" s="292"/>
      <c r="I752" s="292"/>
      <c r="J752" s="292"/>
      <c r="K752" s="292"/>
      <c r="L752" s="292"/>
      <c r="M752" s="292"/>
      <c r="N752" s="292"/>
      <c r="O752" s="292"/>
      <c r="P752" s="292"/>
      <c r="Q752" s="292"/>
      <c r="R752" s="292"/>
      <c r="S752" s="292"/>
      <c r="T752" s="292"/>
      <c r="U752" s="292"/>
      <c r="V752" s="292"/>
      <c r="W752" s="292"/>
      <c r="X752" s="292"/>
      <c r="Y752" s="292"/>
      <c r="Z752" s="292"/>
    </row>
    <row r="753" spans="1:26" ht="12.75" customHeight="1" x14ac:dyDescent="0.25">
      <c r="A753" s="292"/>
      <c r="B753" s="292"/>
      <c r="C753" s="292"/>
      <c r="D753" s="292"/>
      <c r="E753" s="292"/>
      <c r="F753" s="292"/>
      <c r="G753" s="292"/>
      <c r="H753" s="292"/>
      <c r="I753" s="292"/>
      <c r="J753" s="292"/>
      <c r="K753" s="292"/>
      <c r="L753" s="292"/>
      <c r="M753" s="292"/>
      <c r="N753" s="292"/>
      <c r="O753" s="292"/>
      <c r="P753" s="292"/>
      <c r="Q753" s="292"/>
      <c r="R753" s="292"/>
      <c r="S753" s="292"/>
      <c r="T753" s="292"/>
      <c r="U753" s="292"/>
      <c r="V753" s="292"/>
      <c r="W753" s="292"/>
      <c r="X753" s="292"/>
      <c r="Y753" s="292"/>
      <c r="Z753" s="292"/>
    </row>
    <row r="754" spans="1:26" ht="12.75" customHeight="1" x14ac:dyDescent="0.25">
      <c r="A754" s="292"/>
      <c r="B754" s="292"/>
      <c r="C754" s="292"/>
      <c r="D754" s="292"/>
      <c r="E754" s="292"/>
      <c r="F754" s="292"/>
      <c r="G754" s="292"/>
      <c r="H754" s="292"/>
      <c r="I754" s="292"/>
      <c r="J754" s="292"/>
      <c r="K754" s="292"/>
      <c r="L754" s="292"/>
      <c r="M754" s="292"/>
      <c r="N754" s="292"/>
      <c r="O754" s="292"/>
      <c r="P754" s="292"/>
      <c r="Q754" s="292"/>
      <c r="R754" s="292"/>
      <c r="S754" s="292"/>
      <c r="T754" s="292"/>
      <c r="U754" s="292"/>
      <c r="V754" s="292"/>
      <c r="W754" s="292"/>
      <c r="X754" s="292"/>
      <c r="Y754" s="292"/>
      <c r="Z754" s="292"/>
    </row>
    <row r="755" spans="1:26" ht="12.75" customHeight="1" x14ac:dyDescent="0.25">
      <c r="A755" s="292"/>
      <c r="B755" s="292"/>
      <c r="C755" s="292"/>
      <c r="D755" s="292"/>
      <c r="E755" s="292"/>
      <c r="F755" s="292"/>
      <c r="G755" s="292"/>
      <c r="H755" s="292"/>
      <c r="I755" s="292"/>
      <c r="J755" s="292"/>
      <c r="K755" s="292"/>
      <c r="L755" s="292"/>
      <c r="M755" s="292"/>
      <c r="N755" s="292"/>
      <c r="O755" s="292"/>
      <c r="P755" s="292"/>
      <c r="Q755" s="292"/>
      <c r="R755" s="292"/>
      <c r="S755" s="292"/>
      <c r="T755" s="292"/>
      <c r="U755" s="292"/>
      <c r="V755" s="292"/>
      <c r="W755" s="292"/>
      <c r="X755" s="292"/>
      <c r="Y755" s="292"/>
      <c r="Z755" s="292"/>
    </row>
    <row r="756" spans="1:26" ht="12.75" customHeight="1" x14ac:dyDescent="0.25">
      <c r="A756" s="292"/>
      <c r="B756" s="292"/>
      <c r="C756" s="292"/>
      <c r="D756" s="292"/>
      <c r="E756" s="292"/>
      <c r="F756" s="292"/>
      <c r="G756" s="292"/>
      <c r="H756" s="292"/>
      <c r="I756" s="292"/>
      <c r="J756" s="292"/>
      <c r="K756" s="292"/>
      <c r="L756" s="292"/>
      <c r="M756" s="292"/>
      <c r="N756" s="292"/>
      <c r="O756" s="292"/>
      <c r="P756" s="292"/>
      <c r="Q756" s="292"/>
      <c r="R756" s="292"/>
      <c r="S756" s="292"/>
      <c r="T756" s="292"/>
      <c r="U756" s="292"/>
      <c r="V756" s="292"/>
      <c r="W756" s="292"/>
      <c r="X756" s="292"/>
      <c r="Y756" s="292"/>
      <c r="Z756" s="292"/>
    </row>
    <row r="757" spans="1:26" ht="12.75" customHeight="1" x14ac:dyDescent="0.25">
      <c r="A757" s="292"/>
      <c r="B757" s="292"/>
      <c r="C757" s="292"/>
      <c r="D757" s="292"/>
      <c r="E757" s="292"/>
      <c r="F757" s="292"/>
      <c r="G757" s="292"/>
      <c r="H757" s="292"/>
      <c r="I757" s="292"/>
      <c r="J757" s="292"/>
      <c r="K757" s="292"/>
      <c r="L757" s="292"/>
      <c r="M757" s="292"/>
      <c r="N757" s="292"/>
      <c r="O757" s="292"/>
      <c r="P757" s="292"/>
      <c r="Q757" s="292"/>
      <c r="R757" s="292"/>
      <c r="S757" s="292"/>
      <c r="T757" s="292"/>
      <c r="U757" s="292"/>
      <c r="V757" s="292"/>
      <c r="W757" s="292"/>
      <c r="X757" s="292"/>
      <c r="Y757" s="292"/>
      <c r="Z757" s="292"/>
    </row>
    <row r="758" spans="1:26" ht="12.75" customHeight="1" x14ac:dyDescent="0.25">
      <c r="A758" s="292"/>
      <c r="B758" s="292"/>
      <c r="C758" s="292"/>
      <c r="D758" s="292"/>
      <c r="E758" s="292"/>
      <c r="F758" s="292"/>
      <c r="G758" s="292"/>
      <c r="H758" s="292"/>
      <c r="I758" s="292"/>
      <c r="J758" s="292"/>
      <c r="K758" s="292"/>
      <c r="L758" s="292"/>
      <c r="M758" s="292"/>
      <c r="N758" s="292"/>
      <c r="O758" s="292"/>
      <c r="P758" s="292"/>
      <c r="Q758" s="292"/>
      <c r="R758" s="292"/>
      <c r="S758" s="292"/>
      <c r="T758" s="292"/>
      <c r="U758" s="292"/>
      <c r="V758" s="292"/>
      <c r="W758" s="292"/>
      <c r="X758" s="292"/>
      <c r="Y758" s="292"/>
      <c r="Z758" s="292"/>
    </row>
    <row r="759" spans="1:26" ht="12.75" customHeight="1" x14ac:dyDescent="0.25">
      <c r="A759" s="292"/>
      <c r="B759" s="292"/>
      <c r="C759" s="292"/>
      <c r="D759" s="292"/>
      <c r="E759" s="292"/>
      <c r="F759" s="292"/>
      <c r="G759" s="292"/>
      <c r="H759" s="292"/>
      <c r="I759" s="292"/>
      <c r="J759" s="292"/>
      <c r="K759" s="292"/>
      <c r="L759" s="292"/>
      <c r="M759" s="292"/>
      <c r="N759" s="292"/>
      <c r="O759" s="292"/>
      <c r="P759" s="292"/>
      <c r="Q759" s="292"/>
      <c r="R759" s="292"/>
      <c r="S759" s="292"/>
      <c r="T759" s="292"/>
      <c r="U759" s="292"/>
      <c r="V759" s="292"/>
      <c r="W759" s="292"/>
      <c r="X759" s="292"/>
      <c r="Y759" s="292"/>
      <c r="Z759" s="292"/>
    </row>
    <row r="760" spans="1:26" ht="12.75" customHeight="1" x14ac:dyDescent="0.25">
      <c r="A760" s="292"/>
      <c r="B760" s="292"/>
      <c r="C760" s="292"/>
      <c r="D760" s="292"/>
      <c r="E760" s="292"/>
      <c r="F760" s="292"/>
      <c r="G760" s="292"/>
      <c r="H760" s="292"/>
      <c r="I760" s="292"/>
      <c r="J760" s="292"/>
      <c r="K760" s="292"/>
      <c r="L760" s="292"/>
      <c r="M760" s="292"/>
      <c r="N760" s="292"/>
      <c r="O760" s="292"/>
      <c r="P760" s="292"/>
      <c r="Q760" s="292"/>
      <c r="R760" s="292"/>
      <c r="S760" s="292"/>
      <c r="T760" s="292"/>
      <c r="U760" s="292"/>
      <c r="V760" s="292"/>
      <c r="W760" s="292"/>
      <c r="X760" s="292"/>
      <c r="Y760" s="292"/>
      <c r="Z760" s="292"/>
    </row>
    <row r="761" spans="1:26" ht="12.75" customHeight="1" x14ac:dyDescent="0.25">
      <c r="A761" s="292"/>
      <c r="B761" s="292"/>
      <c r="C761" s="292"/>
      <c r="D761" s="292"/>
      <c r="E761" s="292"/>
      <c r="F761" s="292"/>
      <c r="G761" s="292"/>
      <c r="H761" s="292"/>
      <c r="I761" s="292"/>
      <c r="J761" s="292"/>
      <c r="K761" s="292"/>
      <c r="L761" s="292"/>
      <c r="M761" s="292"/>
      <c r="N761" s="292"/>
      <c r="O761" s="292"/>
      <c r="P761" s="292"/>
      <c r="Q761" s="292"/>
      <c r="R761" s="292"/>
      <c r="S761" s="292"/>
      <c r="T761" s="292"/>
      <c r="U761" s="292"/>
      <c r="V761" s="292"/>
      <c r="W761" s="292"/>
      <c r="X761" s="292"/>
      <c r="Y761" s="292"/>
      <c r="Z761" s="292"/>
    </row>
    <row r="762" spans="1:26" ht="12.75" customHeight="1" x14ac:dyDescent="0.25">
      <c r="A762" s="292"/>
      <c r="B762" s="292"/>
      <c r="C762" s="292"/>
      <c r="D762" s="292"/>
      <c r="E762" s="292"/>
      <c r="F762" s="292"/>
      <c r="G762" s="292"/>
      <c r="H762" s="292"/>
      <c r="I762" s="292"/>
      <c r="J762" s="292"/>
      <c r="K762" s="292"/>
      <c r="L762" s="292"/>
      <c r="M762" s="292"/>
      <c r="N762" s="292"/>
      <c r="O762" s="292"/>
      <c r="P762" s="292"/>
      <c r="Q762" s="292"/>
      <c r="R762" s="292"/>
      <c r="S762" s="292"/>
      <c r="T762" s="292"/>
      <c r="U762" s="292"/>
      <c r="V762" s="292"/>
      <c r="W762" s="292"/>
      <c r="X762" s="292"/>
      <c r="Y762" s="292"/>
      <c r="Z762" s="292"/>
    </row>
    <row r="763" spans="1:26" ht="12.75" customHeight="1" x14ac:dyDescent="0.25">
      <c r="A763" s="292"/>
      <c r="B763" s="292"/>
      <c r="C763" s="292"/>
      <c r="D763" s="292"/>
      <c r="E763" s="292"/>
      <c r="F763" s="292"/>
      <c r="G763" s="292"/>
      <c r="H763" s="292"/>
      <c r="I763" s="292"/>
      <c r="J763" s="292"/>
      <c r="K763" s="292"/>
      <c r="L763" s="292"/>
      <c r="M763" s="292"/>
      <c r="N763" s="292"/>
      <c r="O763" s="292"/>
      <c r="P763" s="292"/>
      <c r="Q763" s="292"/>
      <c r="R763" s="292"/>
      <c r="S763" s="292"/>
      <c r="T763" s="292"/>
      <c r="U763" s="292"/>
      <c r="V763" s="292"/>
      <c r="W763" s="292"/>
      <c r="X763" s="292"/>
      <c r="Y763" s="292"/>
      <c r="Z763" s="292"/>
    </row>
    <row r="764" spans="1:26" ht="12.75" customHeight="1" x14ac:dyDescent="0.25">
      <c r="A764" s="292"/>
      <c r="B764" s="292"/>
      <c r="C764" s="292"/>
      <c r="D764" s="292"/>
      <c r="E764" s="292"/>
      <c r="F764" s="292"/>
      <c r="G764" s="292"/>
      <c r="H764" s="292"/>
      <c r="I764" s="292"/>
      <c r="J764" s="292"/>
      <c r="K764" s="292"/>
      <c r="L764" s="292"/>
      <c r="M764" s="292"/>
      <c r="N764" s="292"/>
      <c r="O764" s="292"/>
      <c r="P764" s="292"/>
      <c r="Q764" s="292"/>
      <c r="R764" s="292"/>
      <c r="S764" s="292"/>
      <c r="T764" s="292"/>
      <c r="U764" s="292"/>
      <c r="V764" s="292"/>
      <c r="W764" s="292"/>
      <c r="X764" s="292"/>
      <c r="Y764" s="292"/>
      <c r="Z764" s="292"/>
    </row>
    <row r="765" spans="1:26" ht="12.75" customHeight="1" x14ac:dyDescent="0.25">
      <c r="A765" s="292"/>
      <c r="B765" s="292"/>
      <c r="C765" s="292"/>
      <c r="D765" s="292"/>
      <c r="E765" s="292"/>
      <c r="F765" s="292"/>
      <c r="G765" s="292"/>
      <c r="H765" s="292"/>
      <c r="I765" s="292"/>
      <c r="J765" s="292"/>
      <c r="K765" s="292"/>
      <c r="L765" s="292"/>
      <c r="M765" s="292"/>
      <c r="N765" s="292"/>
      <c r="O765" s="292"/>
      <c r="P765" s="292"/>
      <c r="Q765" s="292"/>
      <c r="R765" s="292"/>
      <c r="S765" s="292"/>
      <c r="T765" s="292"/>
      <c r="U765" s="292"/>
      <c r="V765" s="292"/>
      <c r="W765" s="292"/>
      <c r="X765" s="292"/>
      <c r="Y765" s="292"/>
      <c r="Z765" s="292"/>
    </row>
    <row r="766" spans="1:26" ht="12.75" customHeight="1" x14ac:dyDescent="0.25">
      <c r="A766" s="292"/>
      <c r="B766" s="292"/>
      <c r="C766" s="292"/>
      <c r="D766" s="292"/>
      <c r="E766" s="292"/>
      <c r="F766" s="292"/>
      <c r="G766" s="292"/>
      <c r="H766" s="292"/>
      <c r="I766" s="292"/>
      <c r="J766" s="292"/>
      <c r="K766" s="292"/>
      <c r="L766" s="292"/>
      <c r="M766" s="292"/>
      <c r="N766" s="292"/>
      <c r="O766" s="292"/>
      <c r="P766" s="292"/>
      <c r="Q766" s="292"/>
      <c r="R766" s="292"/>
      <c r="S766" s="292"/>
      <c r="T766" s="292"/>
      <c r="U766" s="292"/>
      <c r="V766" s="292"/>
      <c r="W766" s="292"/>
      <c r="X766" s="292"/>
      <c r="Y766" s="292"/>
      <c r="Z766" s="292"/>
    </row>
    <row r="767" spans="1:26" ht="12.75" customHeight="1" x14ac:dyDescent="0.25">
      <c r="A767" s="292"/>
      <c r="B767" s="292"/>
      <c r="C767" s="292"/>
      <c r="D767" s="292"/>
      <c r="E767" s="292"/>
      <c r="F767" s="292"/>
      <c r="G767" s="292"/>
      <c r="H767" s="292"/>
      <c r="I767" s="292"/>
      <c r="J767" s="292"/>
      <c r="K767" s="292"/>
      <c r="L767" s="292"/>
      <c r="M767" s="292"/>
      <c r="N767" s="292"/>
      <c r="O767" s="292"/>
      <c r="P767" s="292"/>
      <c r="Q767" s="292"/>
      <c r="R767" s="292"/>
      <c r="S767" s="292"/>
      <c r="T767" s="292"/>
      <c r="U767" s="292"/>
      <c r="V767" s="292"/>
      <c r="W767" s="292"/>
      <c r="X767" s="292"/>
      <c r="Y767" s="292"/>
      <c r="Z767" s="292"/>
    </row>
    <row r="768" spans="1:26" ht="12.75" customHeight="1" x14ac:dyDescent="0.25">
      <c r="A768" s="292"/>
      <c r="B768" s="292"/>
      <c r="C768" s="292"/>
      <c r="D768" s="292"/>
      <c r="E768" s="292"/>
      <c r="F768" s="292"/>
      <c r="G768" s="292"/>
      <c r="H768" s="292"/>
      <c r="I768" s="292"/>
      <c r="J768" s="292"/>
      <c r="K768" s="292"/>
      <c r="L768" s="292"/>
      <c r="M768" s="292"/>
      <c r="N768" s="292"/>
      <c r="O768" s="292"/>
      <c r="P768" s="292"/>
      <c r="Q768" s="292"/>
      <c r="R768" s="292"/>
      <c r="S768" s="292"/>
      <c r="T768" s="292"/>
      <c r="U768" s="292"/>
      <c r="V768" s="292"/>
      <c r="W768" s="292"/>
      <c r="X768" s="292"/>
      <c r="Y768" s="292"/>
      <c r="Z768" s="292"/>
    </row>
    <row r="769" spans="1:26" ht="12.75" customHeight="1" x14ac:dyDescent="0.25">
      <c r="A769" s="292"/>
      <c r="B769" s="292"/>
      <c r="C769" s="292"/>
      <c r="D769" s="292"/>
      <c r="E769" s="292"/>
      <c r="F769" s="292"/>
      <c r="G769" s="292"/>
      <c r="H769" s="292"/>
      <c r="I769" s="292"/>
      <c r="J769" s="292"/>
      <c r="K769" s="292"/>
      <c r="L769" s="292"/>
      <c r="M769" s="292"/>
      <c r="N769" s="292"/>
      <c r="O769" s="292"/>
      <c r="P769" s="292"/>
      <c r="Q769" s="292"/>
      <c r="R769" s="292"/>
      <c r="S769" s="292"/>
      <c r="T769" s="292"/>
      <c r="U769" s="292"/>
      <c r="V769" s="292"/>
      <c r="W769" s="292"/>
      <c r="X769" s="292"/>
      <c r="Y769" s="292"/>
      <c r="Z769" s="292"/>
    </row>
    <row r="770" spans="1:26" ht="12.75" customHeight="1" x14ac:dyDescent="0.25">
      <c r="A770" s="292"/>
      <c r="B770" s="292"/>
      <c r="C770" s="292"/>
      <c r="D770" s="292"/>
      <c r="E770" s="292"/>
      <c r="F770" s="292"/>
      <c r="G770" s="292"/>
      <c r="H770" s="292"/>
      <c r="I770" s="292"/>
      <c r="J770" s="292"/>
      <c r="K770" s="292"/>
      <c r="L770" s="292"/>
      <c r="M770" s="292"/>
      <c r="N770" s="292"/>
      <c r="O770" s="292"/>
      <c r="P770" s="292"/>
      <c r="Q770" s="292"/>
      <c r="R770" s="292"/>
      <c r="S770" s="292"/>
      <c r="T770" s="292"/>
      <c r="U770" s="292"/>
      <c r="V770" s="292"/>
      <c r="W770" s="292"/>
      <c r="X770" s="292"/>
      <c r="Y770" s="292"/>
      <c r="Z770" s="292"/>
    </row>
    <row r="771" spans="1:26" ht="12.75" customHeight="1" x14ac:dyDescent="0.25">
      <c r="A771" s="292"/>
      <c r="B771" s="292"/>
      <c r="C771" s="292"/>
      <c r="D771" s="292"/>
      <c r="E771" s="292"/>
      <c r="F771" s="292"/>
      <c r="G771" s="292"/>
      <c r="H771" s="292"/>
      <c r="I771" s="292"/>
      <c r="J771" s="292"/>
      <c r="K771" s="292"/>
      <c r="L771" s="292"/>
      <c r="M771" s="292"/>
      <c r="N771" s="292"/>
      <c r="O771" s="292"/>
      <c r="P771" s="292"/>
      <c r="Q771" s="292"/>
      <c r="R771" s="292"/>
      <c r="S771" s="292"/>
      <c r="T771" s="292"/>
      <c r="U771" s="292"/>
      <c r="V771" s="292"/>
      <c r="W771" s="292"/>
      <c r="X771" s="292"/>
      <c r="Y771" s="292"/>
      <c r="Z771" s="292"/>
    </row>
    <row r="772" spans="1:26" ht="12.75" customHeight="1" x14ac:dyDescent="0.25">
      <c r="A772" s="292"/>
      <c r="B772" s="292"/>
      <c r="C772" s="292"/>
      <c r="D772" s="292"/>
      <c r="E772" s="292"/>
      <c r="F772" s="292"/>
      <c r="G772" s="292"/>
      <c r="H772" s="292"/>
      <c r="I772" s="292"/>
      <c r="J772" s="292"/>
      <c r="K772" s="292"/>
      <c r="L772" s="292"/>
      <c r="M772" s="292"/>
      <c r="N772" s="292"/>
      <c r="O772" s="292"/>
      <c r="P772" s="292"/>
      <c r="Q772" s="292"/>
      <c r="R772" s="292"/>
      <c r="S772" s="292"/>
      <c r="T772" s="292"/>
      <c r="U772" s="292"/>
      <c r="V772" s="292"/>
      <c r="W772" s="292"/>
      <c r="X772" s="292"/>
      <c r="Y772" s="292"/>
      <c r="Z772" s="292"/>
    </row>
    <row r="773" spans="1:26" ht="12.75" customHeight="1" x14ac:dyDescent="0.25">
      <c r="A773" s="292"/>
      <c r="B773" s="292"/>
      <c r="C773" s="292"/>
      <c r="D773" s="292"/>
      <c r="E773" s="292"/>
      <c r="F773" s="292"/>
      <c r="G773" s="292"/>
      <c r="H773" s="292"/>
      <c r="I773" s="292"/>
      <c r="J773" s="292"/>
      <c r="K773" s="292"/>
      <c r="L773" s="292"/>
      <c r="M773" s="292"/>
      <c r="N773" s="292"/>
      <c r="O773" s="292"/>
      <c r="P773" s="292"/>
      <c r="Q773" s="292"/>
      <c r="R773" s="292"/>
      <c r="S773" s="292"/>
      <c r="T773" s="292"/>
      <c r="U773" s="292"/>
      <c r="V773" s="292"/>
      <c r="W773" s="292"/>
      <c r="X773" s="292"/>
      <c r="Y773" s="292"/>
      <c r="Z773" s="292"/>
    </row>
    <row r="774" spans="1:26" ht="12.75" customHeight="1" x14ac:dyDescent="0.25">
      <c r="A774" s="292"/>
      <c r="B774" s="292"/>
      <c r="C774" s="292"/>
      <c r="D774" s="292"/>
      <c r="E774" s="292"/>
      <c r="F774" s="292"/>
      <c r="G774" s="292"/>
      <c r="H774" s="292"/>
      <c r="I774" s="292"/>
      <c r="J774" s="292"/>
      <c r="K774" s="292"/>
      <c r="L774" s="292"/>
      <c r="M774" s="292"/>
      <c r="N774" s="292"/>
      <c r="O774" s="292"/>
      <c r="P774" s="292"/>
      <c r="Q774" s="292"/>
      <c r="R774" s="292"/>
      <c r="S774" s="292"/>
      <c r="T774" s="292"/>
      <c r="U774" s="292"/>
      <c r="V774" s="292"/>
      <c r="W774" s="292"/>
      <c r="X774" s="292"/>
      <c r="Y774" s="292"/>
      <c r="Z774" s="292"/>
    </row>
    <row r="775" spans="1:26" ht="12.75" customHeight="1" x14ac:dyDescent="0.25">
      <c r="A775" s="292"/>
      <c r="B775" s="292"/>
      <c r="C775" s="292"/>
      <c r="D775" s="292"/>
      <c r="E775" s="292"/>
      <c r="F775" s="292"/>
      <c r="G775" s="292"/>
      <c r="H775" s="292"/>
      <c r="I775" s="292"/>
      <c r="J775" s="292"/>
      <c r="K775" s="292"/>
      <c r="L775" s="292"/>
      <c r="M775" s="292"/>
      <c r="N775" s="292"/>
      <c r="O775" s="292"/>
      <c r="P775" s="292"/>
      <c r="Q775" s="292"/>
      <c r="R775" s="292"/>
      <c r="S775" s="292"/>
      <c r="T775" s="292"/>
      <c r="U775" s="292"/>
      <c r="V775" s="292"/>
      <c r="W775" s="292"/>
      <c r="X775" s="292"/>
      <c r="Y775" s="292"/>
      <c r="Z775" s="292"/>
    </row>
    <row r="776" spans="1:26" ht="12.75" customHeight="1" x14ac:dyDescent="0.25">
      <c r="A776" s="292"/>
      <c r="B776" s="292"/>
      <c r="C776" s="292"/>
      <c r="D776" s="292"/>
      <c r="E776" s="292"/>
      <c r="F776" s="292"/>
      <c r="G776" s="292"/>
      <c r="H776" s="292"/>
      <c r="I776" s="292"/>
      <c r="J776" s="292"/>
      <c r="K776" s="292"/>
      <c r="L776" s="292"/>
      <c r="M776" s="292"/>
      <c r="N776" s="292"/>
      <c r="O776" s="292"/>
      <c r="P776" s="292"/>
      <c r="Q776" s="292"/>
      <c r="R776" s="292"/>
      <c r="S776" s="292"/>
      <c r="T776" s="292"/>
      <c r="U776" s="292"/>
      <c r="V776" s="292"/>
      <c r="W776" s="292"/>
      <c r="X776" s="292"/>
      <c r="Y776" s="292"/>
      <c r="Z776" s="292"/>
    </row>
    <row r="777" spans="1:26" ht="12.75" customHeight="1" x14ac:dyDescent="0.25">
      <c r="A777" s="292"/>
      <c r="B777" s="292"/>
      <c r="C777" s="292"/>
      <c r="D777" s="292"/>
      <c r="E777" s="292"/>
      <c r="F777" s="292"/>
      <c r="G777" s="292"/>
      <c r="H777" s="292"/>
      <c r="I777" s="292"/>
      <c r="J777" s="292"/>
      <c r="K777" s="292"/>
      <c r="L777" s="292"/>
      <c r="M777" s="292"/>
      <c r="N777" s="292"/>
      <c r="O777" s="292"/>
      <c r="P777" s="292"/>
      <c r="Q777" s="292"/>
      <c r="R777" s="292"/>
      <c r="S777" s="292"/>
      <c r="T777" s="292"/>
      <c r="U777" s="292"/>
      <c r="V777" s="292"/>
      <c r="W777" s="292"/>
      <c r="X777" s="292"/>
      <c r="Y777" s="292"/>
      <c r="Z777" s="292"/>
    </row>
    <row r="778" spans="1:26" ht="12.75" customHeight="1" x14ac:dyDescent="0.25">
      <c r="A778" s="292"/>
      <c r="B778" s="292"/>
      <c r="C778" s="292"/>
      <c r="D778" s="292"/>
      <c r="E778" s="292"/>
      <c r="F778" s="292"/>
      <c r="G778" s="292"/>
      <c r="H778" s="292"/>
      <c r="I778" s="292"/>
      <c r="J778" s="292"/>
      <c r="K778" s="292"/>
      <c r="L778" s="292"/>
      <c r="M778" s="292"/>
      <c r="N778" s="292"/>
      <c r="O778" s="292"/>
      <c r="P778" s="292"/>
      <c r="Q778" s="292"/>
      <c r="R778" s="292"/>
      <c r="S778" s="292"/>
      <c r="T778" s="292"/>
      <c r="U778" s="292"/>
      <c r="V778" s="292"/>
      <c r="W778" s="292"/>
      <c r="X778" s="292"/>
      <c r="Y778" s="292"/>
      <c r="Z778" s="292"/>
    </row>
    <row r="779" spans="1:26" ht="12.75" customHeight="1" x14ac:dyDescent="0.25">
      <c r="A779" s="292"/>
      <c r="B779" s="292"/>
      <c r="C779" s="292"/>
      <c r="D779" s="292"/>
      <c r="E779" s="292"/>
      <c r="F779" s="292"/>
      <c r="G779" s="292"/>
      <c r="H779" s="292"/>
      <c r="I779" s="292"/>
      <c r="J779" s="292"/>
      <c r="K779" s="292"/>
      <c r="L779" s="292"/>
      <c r="M779" s="292"/>
      <c r="N779" s="292"/>
      <c r="O779" s="292"/>
      <c r="P779" s="292"/>
      <c r="Q779" s="292"/>
      <c r="R779" s="292"/>
      <c r="S779" s="292"/>
      <c r="T779" s="292"/>
      <c r="U779" s="292"/>
      <c r="V779" s="292"/>
      <c r="W779" s="292"/>
      <c r="X779" s="292"/>
      <c r="Y779" s="292"/>
      <c r="Z779" s="292"/>
    </row>
    <row r="780" spans="1:26" ht="12.75" customHeight="1" x14ac:dyDescent="0.25">
      <c r="A780" s="292"/>
      <c r="B780" s="292"/>
      <c r="C780" s="292"/>
      <c r="D780" s="292"/>
      <c r="E780" s="292"/>
      <c r="F780" s="292"/>
      <c r="G780" s="292"/>
      <c r="H780" s="292"/>
      <c r="I780" s="292"/>
      <c r="J780" s="292"/>
      <c r="K780" s="292"/>
      <c r="L780" s="292"/>
      <c r="M780" s="292"/>
      <c r="N780" s="292"/>
      <c r="O780" s="292"/>
      <c r="P780" s="292"/>
      <c r="Q780" s="292"/>
      <c r="R780" s="292"/>
      <c r="S780" s="292"/>
      <c r="T780" s="292"/>
      <c r="U780" s="292"/>
      <c r="V780" s="292"/>
      <c r="W780" s="292"/>
      <c r="X780" s="292"/>
      <c r="Y780" s="292"/>
      <c r="Z780" s="292"/>
    </row>
    <row r="781" spans="1:26" ht="12.75" customHeight="1" x14ac:dyDescent="0.25">
      <c r="A781" s="292"/>
      <c r="B781" s="292"/>
      <c r="C781" s="292"/>
      <c r="D781" s="292"/>
      <c r="E781" s="292"/>
      <c r="F781" s="292"/>
      <c r="G781" s="292"/>
      <c r="H781" s="292"/>
      <c r="I781" s="292"/>
      <c r="J781" s="292"/>
      <c r="K781" s="292"/>
      <c r="L781" s="292"/>
      <c r="M781" s="292"/>
      <c r="N781" s="292"/>
      <c r="O781" s="292"/>
      <c r="P781" s="292"/>
      <c r="Q781" s="292"/>
      <c r="R781" s="292"/>
      <c r="S781" s="292"/>
      <c r="T781" s="292"/>
      <c r="U781" s="292"/>
      <c r="V781" s="292"/>
      <c r="W781" s="292"/>
      <c r="X781" s="292"/>
      <c r="Y781" s="292"/>
      <c r="Z781" s="292"/>
    </row>
    <row r="782" spans="1:26" ht="12.75" customHeight="1" x14ac:dyDescent="0.25">
      <c r="A782" s="292"/>
      <c r="B782" s="292"/>
      <c r="C782" s="292"/>
      <c r="D782" s="292"/>
      <c r="E782" s="292"/>
      <c r="F782" s="292"/>
      <c r="G782" s="292"/>
      <c r="H782" s="292"/>
      <c r="I782" s="292"/>
      <c r="J782" s="292"/>
      <c r="K782" s="292"/>
      <c r="L782" s="292"/>
      <c r="M782" s="292"/>
      <c r="N782" s="292"/>
      <c r="O782" s="292"/>
      <c r="P782" s="292"/>
      <c r="Q782" s="292"/>
      <c r="R782" s="292"/>
      <c r="S782" s="292"/>
      <c r="T782" s="292"/>
      <c r="U782" s="292"/>
      <c r="V782" s="292"/>
      <c r="W782" s="292"/>
      <c r="X782" s="292"/>
      <c r="Y782" s="292"/>
      <c r="Z782" s="292"/>
    </row>
    <row r="783" spans="1:26" ht="12.75" customHeight="1" x14ac:dyDescent="0.25">
      <c r="A783" s="292"/>
      <c r="B783" s="292"/>
      <c r="C783" s="292"/>
      <c r="D783" s="292"/>
      <c r="E783" s="292"/>
      <c r="F783" s="292"/>
      <c r="G783" s="292"/>
      <c r="H783" s="292"/>
      <c r="I783" s="292"/>
      <c r="J783" s="292"/>
      <c r="K783" s="292"/>
      <c r="L783" s="292"/>
      <c r="M783" s="292"/>
      <c r="N783" s="292"/>
      <c r="O783" s="292"/>
      <c r="P783" s="292"/>
      <c r="Q783" s="292"/>
      <c r="R783" s="292"/>
      <c r="S783" s="292"/>
      <c r="T783" s="292"/>
      <c r="U783" s="292"/>
      <c r="V783" s="292"/>
      <c r="W783" s="292"/>
      <c r="X783" s="292"/>
      <c r="Y783" s="292"/>
      <c r="Z783" s="292"/>
    </row>
    <row r="784" spans="1:26" ht="12.75" customHeight="1" x14ac:dyDescent="0.25">
      <c r="A784" s="292"/>
      <c r="B784" s="292"/>
      <c r="C784" s="292"/>
      <c r="D784" s="292"/>
      <c r="E784" s="292"/>
      <c r="F784" s="292"/>
      <c r="G784" s="292"/>
      <c r="H784" s="292"/>
      <c r="I784" s="292"/>
      <c r="J784" s="292"/>
      <c r="K784" s="292"/>
      <c r="L784" s="292"/>
      <c r="M784" s="292"/>
      <c r="N784" s="292"/>
      <c r="O784" s="292"/>
      <c r="P784" s="292"/>
      <c r="Q784" s="292"/>
      <c r="R784" s="292"/>
      <c r="S784" s="292"/>
      <c r="T784" s="292"/>
      <c r="U784" s="292"/>
      <c r="V784" s="292"/>
      <c r="W784" s="292"/>
      <c r="X784" s="292"/>
      <c r="Y784" s="292"/>
      <c r="Z784" s="292"/>
    </row>
    <row r="785" spans="1:26" ht="12.75" customHeight="1" x14ac:dyDescent="0.25">
      <c r="A785" s="292"/>
      <c r="B785" s="292"/>
      <c r="C785" s="292"/>
      <c r="D785" s="292"/>
      <c r="E785" s="292"/>
      <c r="F785" s="292"/>
      <c r="G785" s="292"/>
      <c r="H785" s="292"/>
      <c r="I785" s="292"/>
      <c r="J785" s="292"/>
      <c r="K785" s="292"/>
      <c r="L785" s="292"/>
      <c r="M785" s="292"/>
      <c r="N785" s="292"/>
      <c r="O785" s="292"/>
      <c r="P785" s="292"/>
      <c r="Q785" s="292"/>
      <c r="R785" s="292"/>
      <c r="S785" s="292"/>
      <c r="T785" s="292"/>
      <c r="U785" s="292"/>
      <c r="V785" s="292"/>
      <c r="W785" s="292"/>
      <c r="X785" s="292"/>
      <c r="Y785" s="292"/>
      <c r="Z785" s="292"/>
    </row>
    <row r="786" spans="1:26" ht="12.75" customHeight="1" x14ac:dyDescent="0.25">
      <c r="A786" s="292"/>
      <c r="B786" s="292"/>
      <c r="C786" s="292"/>
      <c r="D786" s="292"/>
      <c r="E786" s="292"/>
      <c r="F786" s="292"/>
      <c r="G786" s="292"/>
      <c r="H786" s="292"/>
      <c r="I786" s="292"/>
      <c r="J786" s="292"/>
      <c r="K786" s="292"/>
      <c r="L786" s="292"/>
      <c r="M786" s="292"/>
      <c r="N786" s="292"/>
      <c r="O786" s="292"/>
      <c r="P786" s="292"/>
      <c r="Q786" s="292"/>
      <c r="R786" s="292"/>
      <c r="S786" s="292"/>
      <c r="T786" s="292"/>
      <c r="U786" s="292"/>
      <c r="V786" s="292"/>
      <c r="W786" s="292"/>
      <c r="X786" s="292"/>
      <c r="Y786" s="292"/>
      <c r="Z786" s="292"/>
    </row>
    <row r="787" spans="1:26" ht="12.75" customHeight="1" x14ac:dyDescent="0.25">
      <c r="A787" s="292"/>
      <c r="B787" s="292"/>
      <c r="C787" s="292"/>
      <c r="D787" s="292"/>
      <c r="E787" s="292"/>
      <c r="F787" s="292"/>
      <c r="G787" s="292"/>
      <c r="H787" s="292"/>
      <c r="I787" s="292"/>
      <c r="J787" s="292"/>
      <c r="K787" s="292"/>
      <c r="L787" s="292"/>
      <c r="M787" s="292"/>
      <c r="N787" s="292"/>
      <c r="O787" s="292"/>
      <c r="P787" s="292"/>
      <c r="Q787" s="292"/>
      <c r="R787" s="292"/>
      <c r="S787" s="292"/>
      <c r="T787" s="292"/>
      <c r="U787" s="292"/>
      <c r="V787" s="292"/>
      <c r="W787" s="292"/>
      <c r="X787" s="292"/>
      <c r="Y787" s="292"/>
      <c r="Z787" s="292"/>
    </row>
    <row r="788" spans="1:26" ht="12.75" customHeight="1" x14ac:dyDescent="0.25">
      <c r="A788" s="292"/>
      <c r="B788" s="292"/>
      <c r="C788" s="292"/>
      <c r="D788" s="292"/>
      <c r="E788" s="292"/>
      <c r="F788" s="292"/>
      <c r="G788" s="292"/>
      <c r="H788" s="292"/>
      <c r="I788" s="292"/>
      <c r="J788" s="292"/>
      <c r="K788" s="292"/>
      <c r="L788" s="292"/>
      <c r="M788" s="292"/>
      <c r="N788" s="292"/>
      <c r="O788" s="292"/>
      <c r="P788" s="292"/>
      <c r="Q788" s="292"/>
      <c r="R788" s="292"/>
      <c r="S788" s="292"/>
      <c r="T788" s="292"/>
      <c r="U788" s="292"/>
      <c r="V788" s="292"/>
      <c r="W788" s="292"/>
      <c r="X788" s="292"/>
      <c r="Y788" s="292"/>
      <c r="Z788" s="292"/>
    </row>
    <row r="789" spans="1:26" ht="12.75" customHeight="1" x14ac:dyDescent="0.25">
      <c r="A789" s="292"/>
      <c r="B789" s="292"/>
      <c r="C789" s="292"/>
      <c r="D789" s="292"/>
      <c r="E789" s="292"/>
      <c r="F789" s="292"/>
      <c r="G789" s="292"/>
      <c r="H789" s="292"/>
      <c r="I789" s="292"/>
      <c r="J789" s="292"/>
      <c r="K789" s="292"/>
      <c r="L789" s="292"/>
      <c r="M789" s="292"/>
      <c r="N789" s="292"/>
      <c r="O789" s="292"/>
      <c r="P789" s="292"/>
      <c r="Q789" s="292"/>
      <c r="R789" s="292"/>
      <c r="S789" s="292"/>
      <c r="T789" s="292"/>
      <c r="U789" s="292"/>
      <c r="V789" s="292"/>
      <c r="W789" s="292"/>
      <c r="X789" s="292"/>
      <c r="Y789" s="292"/>
      <c r="Z789" s="292"/>
    </row>
    <row r="790" spans="1:26" ht="12.75" customHeight="1" x14ac:dyDescent="0.25">
      <c r="A790" s="292"/>
      <c r="B790" s="292"/>
      <c r="C790" s="292"/>
      <c r="D790" s="292"/>
      <c r="E790" s="292"/>
      <c r="F790" s="292"/>
      <c r="G790" s="292"/>
      <c r="H790" s="292"/>
      <c r="I790" s="292"/>
      <c r="J790" s="292"/>
      <c r="K790" s="292"/>
      <c r="L790" s="292"/>
      <c r="M790" s="292"/>
      <c r="N790" s="292"/>
      <c r="O790" s="292"/>
      <c r="P790" s="292"/>
      <c r="Q790" s="292"/>
      <c r="R790" s="292"/>
      <c r="S790" s="292"/>
      <c r="T790" s="292"/>
      <c r="U790" s="292"/>
      <c r="V790" s="292"/>
      <c r="W790" s="292"/>
      <c r="X790" s="292"/>
      <c r="Y790" s="292"/>
      <c r="Z790" s="292"/>
    </row>
    <row r="791" spans="1:26" ht="12.75" customHeight="1" x14ac:dyDescent="0.25">
      <c r="A791" s="292"/>
      <c r="B791" s="292"/>
      <c r="C791" s="292"/>
      <c r="D791" s="292"/>
      <c r="E791" s="292"/>
      <c r="F791" s="292"/>
      <c r="G791" s="292"/>
      <c r="H791" s="292"/>
      <c r="I791" s="292"/>
      <c r="J791" s="292"/>
      <c r="K791" s="292"/>
      <c r="L791" s="292"/>
      <c r="M791" s="292"/>
      <c r="N791" s="292"/>
      <c r="O791" s="292"/>
      <c r="P791" s="292"/>
      <c r="Q791" s="292"/>
      <c r="R791" s="292"/>
      <c r="S791" s="292"/>
      <c r="T791" s="292"/>
      <c r="U791" s="292"/>
      <c r="V791" s="292"/>
      <c r="W791" s="292"/>
      <c r="X791" s="292"/>
      <c r="Y791" s="292"/>
      <c r="Z791" s="292"/>
    </row>
    <row r="792" spans="1:26" ht="12.75" customHeight="1" x14ac:dyDescent="0.25">
      <c r="A792" s="292"/>
      <c r="B792" s="292"/>
      <c r="C792" s="292"/>
      <c r="D792" s="292"/>
      <c r="E792" s="292"/>
      <c r="F792" s="292"/>
      <c r="G792" s="292"/>
      <c r="H792" s="292"/>
      <c r="I792" s="292"/>
      <c r="J792" s="292"/>
      <c r="K792" s="292"/>
      <c r="L792" s="292"/>
      <c r="M792" s="292"/>
      <c r="N792" s="292"/>
      <c r="O792" s="292"/>
      <c r="P792" s="292"/>
      <c r="Q792" s="292"/>
      <c r="R792" s="292"/>
      <c r="S792" s="292"/>
      <c r="T792" s="292"/>
      <c r="U792" s="292"/>
      <c r="V792" s="292"/>
      <c r="W792" s="292"/>
      <c r="X792" s="292"/>
      <c r="Y792" s="292"/>
      <c r="Z792" s="292"/>
    </row>
    <row r="793" spans="1:26" ht="12.75" customHeight="1" x14ac:dyDescent="0.25">
      <c r="A793" s="292"/>
      <c r="B793" s="292"/>
      <c r="C793" s="292"/>
      <c r="D793" s="292"/>
      <c r="E793" s="292"/>
      <c r="F793" s="292"/>
      <c r="G793" s="292"/>
      <c r="H793" s="292"/>
      <c r="I793" s="292"/>
      <c r="J793" s="292"/>
      <c r="K793" s="292"/>
      <c r="L793" s="292"/>
      <c r="M793" s="292"/>
      <c r="N793" s="292"/>
      <c r="O793" s="292"/>
      <c r="P793" s="292"/>
      <c r="Q793" s="292"/>
      <c r="R793" s="292"/>
      <c r="S793" s="292"/>
      <c r="T793" s="292"/>
      <c r="U793" s="292"/>
      <c r="V793" s="292"/>
      <c r="W793" s="292"/>
      <c r="X793" s="292"/>
      <c r="Y793" s="292"/>
      <c r="Z793" s="292"/>
    </row>
    <row r="794" spans="1:26" ht="12.75" customHeight="1" x14ac:dyDescent="0.25">
      <c r="A794" s="292"/>
      <c r="B794" s="292"/>
      <c r="C794" s="292"/>
      <c r="D794" s="292"/>
      <c r="E794" s="292"/>
      <c r="F794" s="292"/>
      <c r="G794" s="292"/>
      <c r="H794" s="292"/>
      <c r="I794" s="292"/>
      <c r="J794" s="292"/>
      <c r="K794" s="292"/>
      <c r="L794" s="292"/>
      <c r="M794" s="292"/>
      <c r="N794" s="292"/>
      <c r="O794" s="292"/>
      <c r="P794" s="292"/>
      <c r="Q794" s="292"/>
      <c r="R794" s="292"/>
      <c r="S794" s="292"/>
      <c r="T794" s="292"/>
      <c r="U794" s="292"/>
      <c r="V794" s="292"/>
      <c r="W794" s="292"/>
      <c r="X794" s="292"/>
      <c r="Y794" s="292"/>
      <c r="Z794" s="292"/>
    </row>
    <row r="795" spans="1:26" ht="12.75" customHeight="1" x14ac:dyDescent="0.25">
      <c r="A795" s="292"/>
      <c r="B795" s="292"/>
      <c r="C795" s="292"/>
      <c r="D795" s="292"/>
      <c r="E795" s="292"/>
      <c r="F795" s="292"/>
      <c r="G795" s="292"/>
      <c r="H795" s="292"/>
      <c r="I795" s="292"/>
      <c r="J795" s="292"/>
      <c r="K795" s="292"/>
      <c r="L795" s="292"/>
      <c r="M795" s="292"/>
      <c r="N795" s="292"/>
      <c r="O795" s="292"/>
      <c r="P795" s="292"/>
      <c r="Q795" s="292"/>
      <c r="R795" s="292"/>
      <c r="S795" s="292"/>
      <c r="T795" s="292"/>
      <c r="U795" s="292"/>
      <c r="V795" s="292"/>
      <c r="W795" s="292"/>
      <c r="X795" s="292"/>
      <c r="Y795" s="292"/>
      <c r="Z795" s="292"/>
    </row>
    <row r="796" spans="1:26" ht="12.75" customHeight="1" x14ac:dyDescent="0.25">
      <c r="A796" s="292"/>
      <c r="B796" s="292"/>
      <c r="C796" s="292"/>
      <c r="D796" s="292"/>
      <c r="E796" s="292"/>
      <c r="F796" s="292"/>
      <c r="G796" s="292"/>
      <c r="H796" s="292"/>
      <c r="I796" s="292"/>
      <c r="J796" s="292"/>
      <c r="K796" s="292"/>
      <c r="L796" s="292"/>
      <c r="M796" s="292"/>
      <c r="N796" s="292"/>
      <c r="O796" s="292"/>
      <c r="P796" s="292"/>
      <c r="Q796" s="292"/>
      <c r="R796" s="292"/>
      <c r="S796" s="292"/>
      <c r="T796" s="292"/>
      <c r="U796" s="292"/>
      <c r="V796" s="292"/>
      <c r="W796" s="292"/>
      <c r="X796" s="292"/>
      <c r="Y796" s="292"/>
      <c r="Z796" s="292"/>
    </row>
    <row r="797" spans="1:26" ht="12.75" customHeight="1" x14ac:dyDescent="0.25">
      <c r="A797" s="292"/>
      <c r="B797" s="292"/>
      <c r="C797" s="292"/>
      <c r="D797" s="292"/>
      <c r="E797" s="292"/>
      <c r="F797" s="292"/>
      <c r="G797" s="292"/>
      <c r="H797" s="292"/>
      <c r="I797" s="292"/>
      <c r="J797" s="292"/>
      <c r="K797" s="292"/>
      <c r="L797" s="292"/>
      <c r="M797" s="292"/>
      <c r="N797" s="292"/>
      <c r="O797" s="292"/>
      <c r="P797" s="292"/>
      <c r="Q797" s="292"/>
      <c r="R797" s="292"/>
      <c r="S797" s="292"/>
      <c r="T797" s="292"/>
      <c r="U797" s="292"/>
      <c r="V797" s="292"/>
      <c r="W797" s="292"/>
      <c r="X797" s="292"/>
      <c r="Y797" s="292"/>
      <c r="Z797" s="292"/>
    </row>
    <row r="798" spans="1:26" ht="12.75" customHeight="1" x14ac:dyDescent="0.25">
      <c r="A798" s="292"/>
      <c r="B798" s="292"/>
      <c r="C798" s="292"/>
      <c r="D798" s="292"/>
      <c r="E798" s="292"/>
      <c r="F798" s="292"/>
      <c r="G798" s="292"/>
      <c r="H798" s="292"/>
      <c r="I798" s="292"/>
      <c r="J798" s="292"/>
      <c r="K798" s="292"/>
      <c r="L798" s="292"/>
      <c r="M798" s="292"/>
      <c r="N798" s="292"/>
      <c r="O798" s="292"/>
      <c r="P798" s="292"/>
      <c r="Q798" s="292"/>
      <c r="R798" s="292"/>
      <c r="S798" s="292"/>
      <c r="T798" s="292"/>
      <c r="U798" s="292"/>
      <c r="V798" s="292"/>
      <c r="W798" s="292"/>
      <c r="X798" s="292"/>
      <c r="Y798" s="292"/>
      <c r="Z798" s="292"/>
    </row>
    <row r="799" spans="1:26" ht="12.75" customHeight="1" x14ac:dyDescent="0.25">
      <c r="A799" s="292"/>
      <c r="B799" s="292"/>
      <c r="C799" s="292"/>
      <c r="D799" s="292"/>
      <c r="E799" s="292"/>
      <c r="F799" s="292"/>
      <c r="G799" s="292"/>
      <c r="H799" s="292"/>
      <c r="I799" s="292"/>
      <c r="J799" s="292"/>
      <c r="K799" s="292"/>
      <c r="L799" s="292"/>
      <c r="M799" s="292"/>
      <c r="N799" s="292"/>
      <c r="O799" s="292"/>
      <c r="P799" s="292"/>
      <c r="Q799" s="292"/>
      <c r="R799" s="292"/>
      <c r="S799" s="292"/>
      <c r="T799" s="292"/>
      <c r="U799" s="292"/>
      <c r="V799" s="292"/>
      <c r="W799" s="292"/>
      <c r="X799" s="292"/>
      <c r="Y799" s="292"/>
      <c r="Z799" s="292"/>
    </row>
    <row r="800" spans="1:26" ht="12.75" customHeight="1" x14ac:dyDescent="0.25">
      <c r="A800" s="292"/>
      <c r="B800" s="292"/>
      <c r="C800" s="292"/>
      <c r="D800" s="292"/>
      <c r="E800" s="292"/>
      <c r="F800" s="292"/>
      <c r="G800" s="292"/>
      <c r="H800" s="292"/>
      <c r="I800" s="292"/>
      <c r="J800" s="292"/>
      <c r="K800" s="292"/>
      <c r="L800" s="292"/>
      <c r="M800" s="292"/>
      <c r="N800" s="292"/>
      <c r="O800" s="292"/>
      <c r="P800" s="292"/>
      <c r="Q800" s="292"/>
      <c r="R800" s="292"/>
      <c r="S800" s="292"/>
      <c r="T800" s="292"/>
      <c r="U800" s="292"/>
      <c r="V800" s="292"/>
      <c r="W800" s="292"/>
      <c r="X800" s="292"/>
      <c r="Y800" s="292"/>
      <c r="Z800" s="292"/>
    </row>
    <row r="801" spans="1:26" ht="12.75" customHeight="1" x14ac:dyDescent="0.25">
      <c r="A801" s="292"/>
      <c r="B801" s="292"/>
      <c r="C801" s="292"/>
      <c r="D801" s="292"/>
      <c r="E801" s="292"/>
      <c r="F801" s="292"/>
      <c r="G801" s="292"/>
      <c r="H801" s="292"/>
      <c r="I801" s="292"/>
      <c r="J801" s="292"/>
      <c r="K801" s="292"/>
      <c r="L801" s="292"/>
      <c r="M801" s="292"/>
      <c r="N801" s="292"/>
      <c r="O801" s="292"/>
      <c r="P801" s="292"/>
      <c r="Q801" s="292"/>
      <c r="R801" s="292"/>
      <c r="S801" s="292"/>
      <c r="T801" s="292"/>
      <c r="U801" s="292"/>
      <c r="V801" s="292"/>
      <c r="W801" s="292"/>
      <c r="X801" s="292"/>
      <c r="Y801" s="292"/>
      <c r="Z801" s="292"/>
    </row>
    <row r="802" spans="1:26" ht="12.75" customHeight="1" x14ac:dyDescent="0.25">
      <c r="A802" s="292"/>
      <c r="B802" s="292"/>
      <c r="C802" s="292"/>
      <c r="D802" s="292"/>
      <c r="E802" s="292"/>
      <c r="F802" s="292"/>
      <c r="G802" s="292"/>
      <c r="H802" s="292"/>
      <c r="I802" s="292"/>
      <c r="J802" s="292"/>
      <c r="K802" s="292"/>
      <c r="L802" s="292"/>
      <c r="M802" s="292"/>
      <c r="N802" s="292"/>
      <c r="O802" s="292"/>
      <c r="P802" s="292"/>
      <c r="Q802" s="292"/>
      <c r="R802" s="292"/>
      <c r="S802" s="292"/>
      <c r="T802" s="292"/>
      <c r="U802" s="292"/>
      <c r="V802" s="292"/>
      <c r="W802" s="292"/>
      <c r="X802" s="292"/>
      <c r="Y802" s="292"/>
      <c r="Z802" s="292"/>
    </row>
    <row r="803" spans="1:26" ht="12.75" customHeight="1" x14ac:dyDescent="0.25">
      <c r="A803" s="292"/>
      <c r="B803" s="292"/>
      <c r="C803" s="292"/>
      <c r="D803" s="292"/>
      <c r="E803" s="292"/>
      <c r="F803" s="292"/>
      <c r="G803" s="292"/>
      <c r="H803" s="292"/>
      <c r="I803" s="292"/>
      <c r="J803" s="292"/>
      <c r="K803" s="292"/>
      <c r="L803" s="292"/>
      <c r="M803" s="292"/>
      <c r="N803" s="292"/>
      <c r="O803" s="292"/>
      <c r="P803" s="292"/>
      <c r="Q803" s="292"/>
      <c r="R803" s="292"/>
      <c r="S803" s="292"/>
      <c r="T803" s="292"/>
      <c r="U803" s="292"/>
      <c r="V803" s="292"/>
      <c r="W803" s="292"/>
      <c r="X803" s="292"/>
      <c r="Y803" s="292"/>
      <c r="Z803" s="292"/>
    </row>
    <row r="804" spans="1:26" ht="12.75" customHeight="1" x14ac:dyDescent="0.25">
      <c r="A804" s="292"/>
      <c r="B804" s="292"/>
      <c r="C804" s="292"/>
      <c r="D804" s="292"/>
      <c r="E804" s="292"/>
      <c r="F804" s="292"/>
      <c r="G804" s="292"/>
      <c r="H804" s="292"/>
      <c r="I804" s="292"/>
      <c r="J804" s="292"/>
      <c r="K804" s="292"/>
      <c r="L804" s="292"/>
      <c r="M804" s="292"/>
      <c r="N804" s="292"/>
      <c r="O804" s="292"/>
      <c r="P804" s="292"/>
      <c r="Q804" s="292"/>
      <c r="R804" s="292"/>
      <c r="S804" s="292"/>
      <c r="T804" s="292"/>
      <c r="U804" s="292"/>
      <c r="V804" s="292"/>
      <c r="W804" s="292"/>
      <c r="X804" s="292"/>
      <c r="Y804" s="292"/>
      <c r="Z804" s="292"/>
    </row>
    <row r="805" spans="1:26" ht="12.75" customHeight="1" x14ac:dyDescent="0.25">
      <c r="A805" s="292"/>
      <c r="B805" s="292"/>
      <c r="C805" s="292"/>
      <c r="D805" s="292"/>
      <c r="E805" s="292"/>
      <c r="F805" s="292"/>
      <c r="G805" s="292"/>
      <c r="H805" s="292"/>
      <c r="I805" s="292"/>
      <c r="J805" s="292"/>
      <c r="K805" s="292"/>
      <c r="L805" s="292"/>
      <c r="M805" s="292"/>
      <c r="N805" s="292"/>
      <c r="O805" s="292"/>
      <c r="P805" s="292"/>
      <c r="Q805" s="292"/>
      <c r="R805" s="292"/>
      <c r="S805" s="292"/>
      <c r="T805" s="292"/>
      <c r="U805" s="292"/>
      <c r="V805" s="292"/>
      <c r="W805" s="292"/>
      <c r="X805" s="292"/>
      <c r="Y805" s="292"/>
      <c r="Z805" s="292"/>
    </row>
    <row r="806" spans="1:26" ht="12.75" customHeight="1" x14ac:dyDescent="0.25">
      <c r="A806" s="292"/>
      <c r="B806" s="292"/>
      <c r="C806" s="292"/>
      <c r="D806" s="292"/>
      <c r="E806" s="292"/>
      <c r="F806" s="292"/>
      <c r="G806" s="292"/>
      <c r="H806" s="292"/>
      <c r="I806" s="292"/>
      <c r="J806" s="292"/>
      <c r="K806" s="292"/>
      <c r="L806" s="292"/>
      <c r="M806" s="292"/>
      <c r="N806" s="292"/>
      <c r="O806" s="292"/>
      <c r="P806" s="292"/>
      <c r="Q806" s="292"/>
      <c r="R806" s="292"/>
      <c r="S806" s="292"/>
      <c r="T806" s="292"/>
      <c r="U806" s="292"/>
      <c r="V806" s="292"/>
      <c r="W806" s="292"/>
      <c r="X806" s="292"/>
      <c r="Y806" s="292"/>
      <c r="Z806" s="292"/>
    </row>
    <row r="807" spans="1:26" ht="12.75" customHeight="1" x14ac:dyDescent="0.25">
      <c r="A807" s="292"/>
      <c r="B807" s="292"/>
      <c r="C807" s="292"/>
      <c r="D807" s="292"/>
      <c r="E807" s="292"/>
      <c r="F807" s="292"/>
      <c r="G807" s="292"/>
      <c r="H807" s="292"/>
      <c r="I807" s="292"/>
      <c r="J807" s="292"/>
      <c r="K807" s="292"/>
      <c r="L807" s="292"/>
      <c r="M807" s="292"/>
      <c r="N807" s="292"/>
      <c r="O807" s="292"/>
      <c r="P807" s="292"/>
      <c r="Q807" s="292"/>
      <c r="R807" s="292"/>
      <c r="S807" s="292"/>
      <c r="T807" s="292"/>
      <c r="U807" s="292"/>
      <c r="V807" s="292"/>
      <c r="W807" s="292"/>
      <c r="X807" s="292"/>
      <c r="Y807" s="292"/>
      <c r="Z807" s="292"/>
    </row>
    <row r="808" spans="1:26" ht="12.75" customHeight="1" x14ac:dyDescent="0.25">
      <c r="A808" s="292"/>
      <c r="B808" s="292"/>
      <c r="C808" s="292"/>
      <c r="D808" s="292"/>
      <c r="E808" s="292"/>
      <c r="F808" s="292"/>
      <c r="G808" s="292"/>
      <c r="H808" s="292"/>
      <c r="I808" s="292"/>
      <c r="J808" s="292"/>
      <c r="K808" s="292"/>
      <c r="L808" s="292"/>
      <c r="M808" s="292"/>
      <c r="N808" s="292"/>
      <c r="O808" s="292"/>
      <c r="P808" s="292"/>
      <c r="Q808" s="292"/>
      <c r="R808" s="292"/>
      <c r="S808" s="292"/>
      <c r="T808" s="292"/>
      <c r="U808" s="292"/>
      <c r="V808" s="292"/>
      <c r="W808" s="292"/>
      <c r="X808" s="292"/>
      <c r="Y808" s="292"/>
      <c r="Z808" s="292"/>
    </row>
    <row r="809" spans="1:26" ht="12.75" customHeight="1" x14ac:dyDescent="0.25">
      <c r="A809" s="292"/>
      <c r="B809" s="292"/>
      <c r="C809" s="292"/>
      <c r="D809" s="292"/>
      <c r="E809" s="292"/>
      <c r="F809" s="292"/>
      <c r="G809" s="292"/>
      <c r="H809" s="292"/>
      <c r="I809" s="292"/>
      <c r="J809" s="292"/>
      <c r="K809" s="292"/>
      <c r="L809" s="292"/>
      <c r="M809" s="292"/>
      <c r="N809" s="292"/>
      <c r="O809" s="292"/>
      <c r="P809" s="292"/>
      <c r="Q809" s="292"/>
      <c r="R809" s="292"/>
      <c r="S809" s="292"/>
      <c r="T809" s="292"/>
      <c r="U809" s="292"/>
      <c r="V809" s="292"/>
      <c r="W809" s="292"/>
      <c r="X809" s="292"/>
      <c r="Y809" s="292"/>
      <c r="Z809" s="292"/>
    </row>
    <row r="810" spans="1:26" ht="12.75" customHeight="1" x14ac:dyDescent="0.25">
      <c r="A810" s="292"/>
      <c r="B810" s="292"/>
      <c r="C810" s="292"/>
      <c r="D810" s="292"/>
      <c r="E810" s="292"/>
      <c r="F810" s="292"/>
      <c r="G810" s="292"/>
      <c r="H810" s="292"/>
      <c r="I810" s="292"/>
      <c r="J810" s="292"/>
      <c r="K810" s="292"/>
      <c r="L810" s="292"/>
      <c r="M810" s="292"/>
      <c r="N810" s="292"/>
      <c r="O810" s="292"/>
      <c r="P810" s="292"/>
      <c r="Q810" s="292"/>
      <c r="R810" s="292"/>
      <c r="S810" s="292"/>
      <c r="T810" s="292"/>
      <c r="U810" s="292"/>
      <c r="V810" s="292"/>
      <c r="W810" s="292"/>
      <c r="X810" s="292"/>
      <c r="Y810" s="292"/>
      <c r="Z810" s="292"/>
    </row>
    <row r="811" spans="1:26" ht="12.75" customHeight="1" x14ac:dyDescent="0.25">
      <c r="A811" s="292"/>
      <c r="B811" s="292"/>
      <c r="C811" s="292"/>
      <c r="D811" s="292"/>
      <c r="E811" s="292"/>
      <c r="F811" s="292"/>
      <c r="G811" s="292"/>
      <c r="H811" s="292"/>
      <c r="I811" s="292"/>
      <c r="J811" s="292"/>
      <c r="K811" s="292"/>
      <c r="L811" s="292"/>
      <c r="M811" s="292"/>
      <c r="N811" s="292"/>
      <c r="O811" s="292"/>
      <c r="P811" s="292"/>
      <c r="Q811" s="292"/>
      <c r="R811" s="292"/>
      <c r="S811" s="292"/>
      <c r="T811" s="292"/>
      <c r="U811" s="292"/>
      <c r="V811" s="292"/>
      <c r="W811" s="292"/>
      <c r="X811" s="292"/>
      <c r="Y811" s="292"/>
      <c r="Z811" s="292"/>
    </row>
    <row r="812" spans="1:26" ht="12.75" customHeight="1" x14ac:dyDescent="0.25">
      <c r="A812" s="292"/>
      <c r="B812" s="292"/>
      <c r="C812" s="292"/>
      <c r="D812" s="292"/>
      <c r="E812" s="292"/>
      <c r="F812" s="292"/>
      <c r="G812" s="292"/>
      <c r="H812" s="292"/>
      <c r="I812" s="292"/>
      <c r="J812" s="292"/>
      <c r="K812" s="292"/>
      <c r="L812" s="292"/>
      <c r="M812" s="292"/>
      <c r="N812" s="292"/>
      <c r="O812" s="292"/>
      <c r="P812" s="292"/>
      <c r="Q812" s="292"/>
      <c r="R812" s="292"/>
      <c r="S812" s="292"/>
      <c r="T812" s="292"/>
      <c r="U812" s="292"/>
      <c r="V812" s="292"/>
      <c r="W812" s="292"/>
      <c r="X812" s="292"/>
      <c r="Y812" s="292"/>
      <c r="Z812" s="292"/>
    </row>
    <row r="813" spans="1:26" ht="12.75" customHeight="1" x14ac:dyDescent="0.25">
      <c r="A813" s="292"/>
      <c r="B813" s="292"/>
      <c r="C813" s="292"/>
      <c r="D813" s="292"/>
      <c r="E813" s="292"/>
      <c r="F813" s="292"/>
      <c r="G813" s="292"/>
      <c r="H813" s="292"/>
      <c r="I813" s="292"/>
      <c r="J813" s="292"/>
      <c r="K813" s="292"/>
      <c r="L813" s="292"/>
      <c r="M813" s="292"/>
      <c r="N813" s="292"/>
      <c r="O813" s="292"/>
      <c r="P813" s="292"/>
      <c r="Q813" s="292"/>
      <c r="R813" s="292"/>
      <c r="S813" s="292"/>
      <c r="T813" s="292"/>
      <c r="U813" s="292"/>
      <c r="V813" s="292"/>
      <c r="W813" s="292"/>
      <c r="X813" s="292"/>
      <c r="Y813" s="292"/>
      <c r="Z813" s="292"/>
    </row>
    <row r="814" spans="1:26" ht="12.75" customHeight="1" x14ac:dyDescent="0.25">
      <c r="A814" s="292"/>
      <c r="B814" s="292"/>
      <c r="C814" s="292"/>
      <c r="D814" s="292"/>
      <c r="E814" s="292"/>
      <c r="F814" s="292"/>
      <c r="G814" s="292"/>
      <c r="H814" s="292"/>
      <c r="I814" s="292"/>
      <c r="J814" s="292"/>
      <c r="K814" s="292"/>
      <c r="L814" s="292"/>
      <c r="M814" s="292"/>
      <c r="N814" s="292"/>
      <c r="O814" s="292"/>
      <c r="P814" s="292"/>
      <c r="Q814" s="292"/>
      <c r="R814" s="292"/>
      <c r="S814" s="292"/>
      <c r="T814" s="292"/>
      <c r="U814" s="292"/>
      <c r="V814" s="292"/>
      <c r="W814" s="292"/>
      <c r="X814" s="292"/>
      <c r="Y814" s="292"/>
      <c r="Z814" s="292"/>
    </row>
    <row r="815" spans="1:26" ht="12.75" customHeight="1" x14ac:dyDescent="0.25">
      <c r="A815" s="292"/>
      <c r="B815" s="292"/>
      <c r="C815" s="292"/>
      <c r="D815" s="292"/>
      <c r="E815" s="292"/>
      <c r="F815" s="292"/>
      <c r="G815" s="292"/>
      <c r="H815" s="292"/>
      <c r="I815" s="292"/>
      <c r="J815" s="292"/>
      <c r="K815" s="292"/>
      <c r="L815" s="292"/>
      <c r="M815" s="292"/>
      <c r="N815" s="292"/>
      <c r="O815" s="292"/>
      <c r="P815" s="292"/>
      <c r="Q815" s="292"/>
      <c r="R815" s="292"/>
      <c r="S815" s="292"/>
      <c r="T815" s="292"/>
      <c r="U815" s="292"/>
      <c r="V815" s="292"/>
      <c r="W815" s="292"/>
      <c r="X815" s="292"/>
      <c r="Y815" s="292"/>
      <c r="Z815" s="292"/>
    </row>
    <row r="816" spans="1:26" ht="12.75" customHeight="1" x14ac:dyDescent="0.25">
      <c r="A816" s="292"/>
      <c r="B816" s="292"/>
      <c r="C816" s="292"/>
      <c r="D816" s="292"/>
      <c r="E816" s="292"/>
      <c r="F816" s="292"/>
      <c r="G816" s="292"/>
      <c r="H816" s="292"/>
      <c r="I816" s="292"/>
      <c r="J816" s="292"/>
      <c r="K816" s="292"/>
      <c r="L816" s="292"/>
      <c r="M816" s="292"/>
      <c r="N816" s="292"/>
      <c r="O816" s="292"/>
      <c r="P816" s="292"/>
      <c r="Q816" s="292"/>
      <c r="R816" s="292"/>
      <c r="S816" s="292"/>
      <c r="T816" s="292"/>
      <c r="U816" s="292"/>
      <c r="V816" s="292"/>
      <c r="W816" s="292"/>
      <c r="X816" s="292"/>
      <c r="Y816" s="292"/>
      <c r="Z816" s="292"/>
    </row>
    <row r="817" spans="1:26" ht="12.75" customHeight="1" x14ac:dyDescent="0.25">
      <c r="A817" s="292"/>
      <c r="B817" s="292"/>
      <c r="C817" s="292"/>
      <c r="D817" s="292"/>
      <c r="E817" s="292"/>
      <c r="F817" s="292"/>
      <c r="G817" s="292"/>
      <c r="H817" s="292"/>
      <c r="I817" s="292"/>
      <c r="J817" s="292"/>
      <c r="K817" s="292"/>
      <c r="L817" s="292"/>
      <c r="M817" s="292"/>
      <c r="N817" s="292"/>
      <c r="O817" s="292"/>
      <c r="P817" s="292"/>
      <c r="Q817" s="292"/>
      <c r="R817" s="292"/>
      <c r="S817" s="292"/>
      <c r="T817" s="292"/>
      <c r="U817" s="292"/>
      <c r="V817" s="292"/>
      <c r="W817" s="292"/>
      <c r="X817" s="292"/>
      <c r="Y817" s="292"/>
      <c r="Z817" s="292"/>
    </row>
    <row r="818" spans="1:26" ht="12.75" customHeight="1" x14ac:dyDescent="0.25">
      <c r="A818" s="292"/>
      <c r="B818" s="292"/>
      <c r="C818" s="292"/>
      <c r="D818" s="292"/>
      <c r="E818" s="292"/>
      <c r="F818" s="292"/>
      <c r="G818" s="292"/>
      <c r="H818" s="292"/>
      <c r="I818" s="292"/>
      <c r="J818" s="292"/>
      <c r="K818" s="292"/>
      <c r="L818" s="292"/>
      <c r="M818" s="292"/>
      <c r="N818" s="292"/>
      <c r="O818" s="292"/>
      <c r="P818" s="292"/>
      <c r="Q818" s="292"/>
      <c r="R818" s="292"/>
      <c r="S818" s="292"/>
      <c r="T818" s="292"/>
      <c r="U818" s="292"/>
      <c r="V818" s="292"/>
      <c r="W818" s="292"/>
      <c r="X818" s="292"/>
      <c r="Y818" s="292"/>
      <c r="Z818" s="292"/>
    </row>
    <row r="819" spans="1:26" ht="12.75" customHeight="1" x14ac:dyDescent="0.25">
      <c r="A819" s="292"/>
      <c r="B819" s="292"/>
      <c r="C819" s="292"/>
      <c r="D819" s="292"/>
      <c r="E819" s="292"/>
      <c r="F819" s="292"/>
      <c r="G819" s="292"/>
      <c r="H819" s="292"/>
      <c r="I819" s="292"/>
      <c r="J819" s="292"/>
      <c r="K819" s="292"/>
      <c r="L819" s="292"/>
      <c r="M819" s="292"/>
      <c r="N819" s="292"/>
      <c r="O819" s="292"/>
      <c r="P819" s="292"/>
      <c r="Q819" s="292"/>
      <c r="R819" s="292"/>
      <c r="S819" s="292"/>
      <c r="T819" s="292"/>
      <c r="U819" s="292"/>
      <c r="V819" s="292"/>
      <c r="W819" s="292"/>
      <c r="X819" s="292"/>
      <c r="Y819" s="292"/>
      <c r="Z819" s="292"/>
    </row>
    <row r="820" spans="1:26" ht="12.75" customHeight="1" x14ac:dyDescent="0.25">
      <c r="A820" s="292"/>
      <c r="B820" s="292"/>
      <c r="C820" s="292"/>
      <c r="D820" s="292"/>
      <c r="E820" s="292"/>
      <c r="F820" s="292"/>
      <c r="G820" s="292"/>
      <c r="H820" s="292"/>
      <c r="I820" s="292"/>
      <c r="J820" s="292"/>
      <c r="K820" s="292"/>
      <c r="L820" s="292"/>
      <c r="M820" s="292"/>
      <c r="N820" s="292"/>
      <c r="O820" s="292"/>
      <c r="P820" s="292"/>
      <c r="Q820" s="292"/>
      <c r="R820" s="292"/>
      <c r="S820" s="292"/>
      <c r="T820" s="292"/>
      <c r="U820" s="292"/>
      <c r="V820" s="292"/>
      <c r="W820" s="292"/>
      <c r="X820" s="292"/>
      <c r="Y820" s="292"/>
      <c r="Z820" s="292"/>
    </row>
    <row r="821" spans="1:26" ht="12.75" customHeight="1" x14ac:dyDescent="0.25">
      <c r="A821" s="292"/>
      <c r="B821" s="292"/>
      <c r="C821" s="292"/>
      <c r="D821" s="292"/>
      <c r="E821" s="292"/>
      <c r="F821" s="292"/>
      <c r="G821" s="292"/>
      <c r="H821" s="292"/>
      <c r="I821" s="292"/>
      <c r="J821" s="292"/>
      <c r="K821" s="292"/>
      <c r="L821" s="292"/>
      <c r="M821" s="292"/>
      <c r="N821" s="292"/>
      <c r="O821" s="292"/>
      <c r="P821" s="292"/>
      <c r="Q821" s="292"/>
      <c r="R821" s="292"/>
      <c r="S821" s="292"/>
      <c r="T821" s="292"/>
      <c r="U821" s="292"/>
      <c r="V821" s="292"/>
      <c r="W821" s="292"/>
      <c r="X821" s="292"/>
      <c r="Y821" s="292"/>
      <c r="Z821" s="292"/>
    </row>
    <row r="822" spans="1:26" ht="12.75" customHeight="1" x14ac:dyDescent="0.25">
      <c r="A822" s="292"/>
      <c r="B822" s="292"/>
      <c r="C822" s="292"/>
      <c r="D822" s="292"/>
      <c r="E822" s="292"/>
      <c r="F822" s="292"/>
      <c r="G822" s="292"/>
      <c r="H822" s="292"/>
      <c r="I822" s="292"/>
      <c r="J822" s="292"/>
      <c r="K822" s="292"/>
      <c r="L822" s="292"/>
      <c r="M822" s="292"/>
      <c r="N822" s="292"/>
      <c r="O822" s="292"/>
      <c r="P822" s="292"/>
      <c r="Q822" s="292"/>
      <c r="R822" s="292"/>
      <c r="S822" s="292"/>
      <c r="T822" s="292"/>
      <c r="U822" s="292"/>
      <c r="V822" s="292"/>
      <c r="W822" s="292"/>
      <c r="X822" s="292"/>
      <c r="Y822" s="292"/>
      <c r="Z822" s="292"/>
    </row>
    <row r="823" spans="1:26" ht="12.75" customHeight="1" x14ac:dyDescent="0.25">
      <c r="A823" s="292"/>
      <c r="B823" s="292"/>
      <c r="C823" s="292"/>
      <c r="D823" s="292"/>
      <c r="E823" s="292"/>
      <c r="F823" s="292"/>
      <c r="G823" s="292"/>
      <c r="H823" s="292"/>
      <c r="I823" s="292"/>
      <c r="J823" s="292"/>
      <c r="K823" s="292"/>
      <c r="L823" s="292"/>
      <c r="M823" s="292"/>
      <c r="N823" s="292"/>
      <c r="O823" s="292"/>
      <c r="P823" s="292"/>
      <c r="Q823" s="292"/>
      <c r="R823" s="292"/>
      <c r="S823" s="292"/>
      <c r="T823" s="292"/>
      <c r="U823" s="292"/>
      <c r="V823" s="292"/>
      <c r="W823" s="292"/>
      <c r="X823" s="292"/>
      <c r="Y823" s="292"/>
      <c r="Z823" s="292"/>
    </row>
    <row r="824" spans="1:26" ht="12.75" customHeight="1" x14ac:dyDescent="0.25">
      <c r="A824" s="292"/>
      <c r="B824" s="292"/>
      <c r="C824" s="292"/>
      <c r="D824" s="292"/>
      <c r="E824" s="292"/>
      <c r="F824" s="292"/>
      <c r="G824" s="292"/>
      <c r="H824" s="292"/>
      <c r="I824" s="292"/>
      <c r="J824" s="292"/>
      <c r="K824" s="292"/>
      <c r="L824" s="292"/>
      <c r="M824" s="292"/>
      <c r="N824" s="292"/>
      <c r="O824" s="292"/>
      <c r="P824" s="292"/>
      <c r="Q824" s="292"/>
      <c r="R824" s="292"/>
      <c r="S824" s="292"/>
      <c r="T824" s="292"/>
      <c r="U824" s="292"/>
      <c r="V824" s="292"/>
      <c r="W824" s="292"/>
      <c r="X824" s="292"/>
      <c r="Y824" s="292"/>
      <c r="Z824" s="292"/>
    </row>
    <row r="825" spans="1:26" ht="12.75" customHeight="1" x14ac:dyDescent="0.25">
      <c r="A825" s="292"/>
      <c r="B825" s="292"/>
      <c r="C825" s="292"/>
      <c r="D825" s="292"/>
      <c r="E825" s="292"/>
      <c r="F825" s="292"/>
      <c r="G825" s="292"/>
      <c r="H825" s="292"/>
      <c r="I825" s="292"/>
      <c r="J825" s="292"/>
      <c r="K825" s="292"/>
      <c r="L825" s="292"/>
      <c r="M825" s="292"/>
      <c r="N825" s="292"/>
      <c r="O825" s="292"/>
      <c r="P825" s="292"/>
      <c r="Q825" s="292"/>
      <c r="R825" s="292"/>
      <c r="S825" s="292"/>
      <c r="T825" s="292"/>
      <c r="U825" s="292"/>
      <c r="V825" s="292"/>
      <c r="W825" s="292"/>
      <c r="X825" s="292"/>
      <c r="Y825" s="292"/>
      <c r="Z825" s="292"/>
    </row>
    <row r="826" spans="1:26" ht="12.75" customHeight="1" x14ac:dyDescent="0.25">
      <c r="A826" s="292"/>
      <c r="B826" s="292"/>
      <c r="C826" s="292"/>
      <c r="D826" s="292"/>
      <c r="E826" s="292"/>
      <c r="F826" s="292"/>
      <c r="G826" s="292"/>
      <c r="H826" s="292"/>
      <c r="I826" s="292"/>
      <c r="J826" s="292"/>
      <c r="K826" s="292"/>
      <c r="L826" s="292"/>
      <c r="M826" s="292"/>
      <c r="N826" s="292"/>
      <c r="O826" s="292"/>
      <c r="P826" s="292"/>
      <c r="Q826" s="292"/>
      <c r="R826" s="292"/>
      <c r="S826" s="292"/>
      <c r="T826" s="292"/>
      <c r="U826" s="292"/>
      <c r="V826" s="292"/>
      <c r="W826" s="292"/>
      <c r="X826" s="292"/>
      <c r="Y826" s="292"/>
      <c r="Z826" s="292"/>
    </row>
    <row r="827" spans="1:26" ht="12.75" customHeight="1" x14ac:dyDescent="0.25">
      <c r="A827" s="292"/>
      <c r="B827" s="292"/>
      <c r="C827" s="292"/>
      <c r="D827" s="292"/>
      <c r="E827" s="292"/>
      <c r="F827" s="292"/>
      <c r="G827" s="292"/>
      <c r="H827" s="292"/>
      <c r="I827" s="292"/>
      <c r="J827" s="292"/>
      <c r="K827" s="292"/>
      <c r="L827" s="292"/>
      <c r="M827" s="292"/>
      <c r="N827" s="292"/>
      <c r="O827" s="292"/>
      <c r="P827" s="292"/>
      <c r="Q827" s="292"/>
      <c r="R827" s="292"/>
      <c r="S827" s="292"/>
      <c r="T827" s="292"/>
      <c r="U827" s="292"/>
      <c r="V827" s="292"/>
      <c r="W827" s="292"/>
      <c r="X827" s="292"/>
      <c r="Y827" s="292"/>
      <c r="Z827" s="292"/>
    </row>
    <row r="828" spans="1:26" ht="12.75" customHeight="1" x14ac:dyDescent="0.25">
      <c r="A828" s="292"/>
      <c r="B828" s="292"/>
      <c r="C828" s="292"/>
      <c r="D828" s="292"/>
      <c r="E828" s="292"/>
      <c r="F828" s="292"/>
      <c r="G828" s="292"/>
      <c r="H828" s="292"/>
      <c r="I828" s="292"/>
      <c r="J828" s="292"/>
      <c r="K828" s="292"/>
      <c r="L828" s="292"/>
      <c r="M828" s="292"/>
      <c r="N828" s="292"/>
      <c r="O828" s="292"/>
      <c r="P828" s="292"/>
      <c r="Q828" s="292"/>
      <c r="R828" s="292"/>
      <c r="S828" s="292"/>
      <c r="T828" s="292"/>
      <c r="U828" s="292"/>
      <c r="V828" s="292"/>
      <c r="W828" s="292"/>
      <c r="X828" s="292"/>
      <c r="Y828" s="292"/>
      <c r="Z828" s="292"/>
    </row>
    <row r="829" spans="1:26" ht="12.75" customHeight="1" x14ac:dyDescent="0.25">
      <c r="A829" s="292"/>
      <c r="B829" s="292"/>
      <c r="C829" s="292"/>
      <c r="D829" s="292"/>
      <c r="E829" s="292"/>
      <c r="F829" s="292"/>
      <c r="G829" s="292"/>
      <c r="H829" s="292"/>
      <c r="I829" s="292"/>
      <c r="J829" s="292"/>
      <c r="K829" s="292"/>
      <c r="L829" s="292"/>
      <c r="M829" s="292"/>
      <c r="N829" s="292"/>
      <c r="O829" s="292"/>
      <c r="P829" s="292"/>
      <c r="Q829" s="292"/>
      <c r="R829" s="292"/>
      <c r="S829" s="292"/>
      <c r="T829" s="292"/>
      <c r="U829" s="292"/>
      <c r="V829" s="292"/>
      <c r="W829" s="292"/>
      <c r="X829" s="292"/>
      <c r="Y829" s="292"/>
      <c r="Z829" s="292"/>
    </row>
    <row r="830" spans="1:26" ht="12.75" customHeight="1" x14ac:dyDescent="0.25">
      <c r="A830" s="292"/>
      <c r="B830" s="292"/>
      <c r="C830" s="292"/>
      <c r="D830" s="292"/>
      <c r="E830" s="292"/>
      <c r="F830" s="292"/>
      <c r="G830" s="292"/>
      <c r="H830" s="292"/>
      <c r="I830" s="292"/>
      <c r="J830" s="292"/>
      <c r="K830" s="292"/>
      <c r="L830" s="292"/>
      <c r="M830" s="292"/>
      <c r="N830" s="292"/>
      <c r="O830" s="292"/>
      <c r="P830" s="292"/>
      <c r="Q830" s="292"/>
      <c r="R830" s="292"/>
      <c r="S830" s="292"/>
      <c r="T830" s="292"/>
      <c r="U830" s="292"/>
      <c r="V830" s="292"/>
      <c r="W830" s="292"/>
      <c r="X830" s="292"/>
      <c r="Y830" s="292"/>
      <c r="Z830" s="292"/>
    </row>
    <row r="831" spans="1:26" ht="12.75" customHeight="1" x14ac:dyDescent="0.25">
      <c r="A831" s="292"/>
      <c r="B831" s="292"/>
      <c r="C831" s="292"/>
      <c r="D831" s="292"/>
      <c r="E831" s="292"/>
      <c r="F831" s="292"/>
      <c r="G831" s="292"/>
      <c r="H831" s="292"/>
      <c r="I831" s="292"/>
      <c r="J831" s="292"/>
      <c r="K831" s="292"/>
      <c r="L831" s="292"/>
      <c r="M831" s="292"/>
      <c r="N831" s="292"/>
      <c r="O831" s="292"/>
      <c r="P831" s="292"/>
      <c r="Q831" s="292"/>
      <c r="R831" s="292"/>
      <c r="S831" s="292"/>
      <c r="T831" s="292"/>
      <c r="U831" s="292"/>
      <c r="V831" s="292"/>
      <c r="W831" s="292"/>
      <c r="X831" s="292"/>
      <c r="Y831" s="292"/>
      <c r="Z831" s="292"/>
    </row>
    <row r="832" spans="1:26" ht="12.75" customHeight="1" x14ac:dyDescent="0.25">
      <c r="A832" s="292"/>
      <c r="B832" s="292"/>
      <c r="C832" s="292"/>
      <c r="D832" s="292"/>
      <c r="E832" s="292"/>
      <c r="F832" s="292"/>
      <c r="G832" s="292"/>
      <c r="H832" s="292"/>
      <c r="I832" s="292"/>
      <c r="J832" s="292"/>
      <c r="K832" s="292"/>
      <c r="L832" s="292"/>
      <c r="M832" s="292"/>
      <c r="N832" s="292"/>
      <c r="O832" s="292"/>
      <c r="P832" s="292"/>
      <c r="Q832" s="292"/>
      <c r="R832" s="292"/>
      <c r="S832" s="292"/>
      <c r="T832" s="292"/>
      <c r="U832" s="292"/>
      <c r="V832" s="292"/>
      <c r="W832" s="292"/>
      <c r="X832" s="292"/>
      <c r="Y832" s="292"/>
      <c r="Z832" s="292"/>
    </row>
    <row r="833" spans="1:26" ht="12.75" customHeight="1" x14ac:dyDescent="0.25">
      <c r="A833" s="292"/>
      <c r="B833" s="292"/>
      <c r="C833" s="292"/>
      <c r="D833" s="292"/>
      <c r="E833" s="292"/>
      <c r="F833" s="292"/>
      <c r="G833" s="292"/>
      <c r="H833" s="292"/>
      <c r="I833" s="292"/>
      <c r="J833" s="292"/>
      <c r="K833" s="292"/>
      <c r="L833" s="292"/>
      <c r="M833" s="292"/>
      <c r="N833" s="292"/>
      <c r="O833" s="292"/>
      <c r="P833" s="292"/>
      <c r="Q833" s="292"/>
      <c r="R833" s="292"/>
      <c r="S833" s="292"/>
      <c r="T833" s="292"/>
      <c r="U833" s="292"/>
      <c r="V833" s="292"/>
      <c r="W833" s="292"/>
      <c r="X833" s="292"/>
      <c r="Y833" s="292"/>
      <c r="Z833" s="292"/>
    </row>
    <row r="834" spans="1:26" ht="12.75" customHeight="1" x14ac:dyDescent="0.25">
      <c r="A834" s="292"/>
      <c r="B834" s="292"/>
      <c r="C834" s="292"/>
      <c r="D834" s="292"/>
      <c r="E834" s="292"/>
      <c r="F834" s="292"/>
      <c r="G834" s="292"/>
      <c r="H834" s="292"/>
      <c r="I834" s="292"/>
      <c r="J834" s="292"/>
      <c r="K834" s="292"/>
      <c r="L834" s="292"/>
      <c r="M834" s="292"/>
      <c r="N834" s="292"/>
      <c r="O834" s="292"/>
      <c r="P834" s="292"/>
      <c r="Q834" s="292"/>
      <c r="R834" s="292"/>
      <c r="S834" s="292"/>
      <c r="T834" s="292"/>
      <c r="U834" s="292"/>
      <c r="V834" s="292"/>
      <c r="W834" s="292"/>
      <c r="X834" s="292"/>
      <c r="Y834" s="292"/>
      <c r="Z834" s="292"/>
    </row>
    <row r="835" spans="1:26" ht="12.75" customHeight="1" x14ac:dyDescent="0.25">
      <c r="A835" s="292"/>
      <c r="B835" s="292"/>
      <c r="C835" s="292"/>
      <c r="D835" s="292"/>
      <c r="E835" s="292"/>
      <c r="F835" s="292"/>
      <c r="G835" s="292"/>
      <c r="H835" s="292"/>
      <c r="I835" s="292"/>
      <c r="J835" s="292"/>
      <c r="K835" s="292"/>
      <c r="L835" s="292"/>
      <c r="M835" s="292"/>
      <c r="N835" s="292"/>
      <c r="O835" s="292"/>
      <c r="P835" s="292"/>
      <c r="Q835" s="292"/>
      <c r="R835" s="292"/>
      <c r="S835" s="292"/>
      <c r="T835" s="292"/>
      <c r="U835" s="292"/>
      <c r="V835" s="292"/>
      <c r="W835" s="292"/>
      <c r="X835" s="292"/>
      <c r="Y835" s="292"/>
      <c r="Z835" s="292"/>
    </row>
    <row r="836" spans="1:26" ht="12.75" customHeight="1" x14ac:dyDescent="0.25">
      <c r="A836" s="292"/>
      <c r="B836" s="292"/>
      <c r="C836" s="292"/>
      <c r="D836" s="292"/>
      <c r="E836" s="292"/>
      <c r="F836" s="292"/>
      <c r="G836" s="292"/>
      <c r="H836" s="292"/>
      <c r="I836" s="292"/>
      <c r="J836" s="292"/>
      <c r="K836" s="292"/>
      <c r="L836" s="292"/>
      <c r="M836" s="292"/>
      <c r="N836" s="292"/>
      <c r="O836" s="292"/>
      <c r="P836" s="292"/>
      <c r="Q836" s="292"/>
      <c r="R836" s="292"/>
      <c r="S836" s="292"/>
      <c r="T836" s="292"/>
      <c r="U836" s="292"/>
      <c r="V836" s="292"/>
      <c r="W836" s="292"/>
      <c r="X836" s="292"/>
      <c r="Y836" s="292"/>
      <c r="Z836" s="292"/>
    </row>
    <row r="837" spans="1:26" ht="12.75" customHeight="1" x14ac:dyDescent="0.25">
      <c r="A837" s="292"/>
      <c r="B837" s="292"/>
      <c r="C837" s="292"/>
      <c r="D837" s="292"/>
      <c r="E837" s="292"/>
      <c r="F837" s="292"/>
      <c r="G837" s="292"/>
      <c r="H837" s="292"/>
      <c r="I837" s="292"/>
      <c r="J837" s="292"/>
      <c r="K837" s="292"/>
      <c r="L837" s="292"/>
      <c r="M837" s="292"/>
      <c r="N837" s="292"/>
      <c r="O837" s="292"/>
      <c r="P837" s="292"/>
      <c r="Q837" s="292"/>
      <c r="R837" s="292"/>
      <c r="S837" s="292"/>
      <c r="T837" s="292"/>
      <c r="U837" s="292"/>
      <c r="V837" s="292"/>
      <c r="W837" s="292"/>
      <c r="X837" s="292"/>
      <c r="Y837" s="292"/>
      <c r="Z837" s="292"/>
    </row>
    <row r="838" spans="1:26" ht="12.75" customHeight="1" x14ac:dyDescent="0.25">
      <c r="A838" s="292"/>
      <c r="B838" s="292"/>
      <c r="C838" s="292"/>
      <c r="D838" s="292"/>
      <c r="E838" s="292"/>
      <c r="F838" s="292"/>
      <c r="G838" s="292"/>
      <c r="H838" s="292"/>
      <c r="I838" s="292"/>
      <c r="J838" s="292"/>
      <c r="K838" s="292"/>
      <c r="L838" s="292"/>
      <c r="M838" s="292"/>
      <c r="N838" s="292"/>
      <c r="O838" s="292"/>
      <c r="P838" s="292"/>
      <c r="Q838" s="292"/>
      <c r="R838" s="292"/>
      <c r="S838" s="292"/>
      <c r="T838" s="292"/>
      <c r="U838" s="292"/>
      <c r="V838" s="292"/>
      <c r="W838" s="292"/>
      <c r="X838" s="292"/>
      <c r="Y838" s="292"/>
      <c r="Z838" s="292"/>
    </row>
    <row r="839" spans="1:26" ht="12.75" customHeight="1" x14ac:dyDescent="0.25">
      <c r="A839" s="292"/>
      <c r="B839" s="292"/>
      <c r="C839" s="292"/>
      <c r="D839" s="292"/>
      <c r="E839" s="292"/>
      <c r="F839" s="292"/>
      <c r="G839" s="292"/>
      <c r="H839" s="292"/>
      <c r="I839" s="292"/>
      <c r="J839" s="292"/>
      <c r="K839" s="292"/>
      <c r="L839" s="292"/>
      <c r="M839" s="292"/>
      <c r="N839" s="292"/>
      <c r="O839" s="292"/>
      <c r="P839" s="292"/>
      <c r="Q839" s="292"/>
      <c r="R839" s="292"/>
      <c r="S839" s="292"/>
      <c r="T839" s="292"/>
      <c r="U839" s="292"/>
      <c r="V839" s="292"/>
      <c r="W839" s="292"/>
      <c r="X839" s="292"/>
      <c r="Y839" s="292"/>
      <c r="Z839" s="292"/>
    </row>
    <row r="840" spans="1:26" ht="12.75" customHeight="1" x14ac:dyDescent="0.25">
      <c r="A840" s="292"/>
      <c r="B840" s="292"/>
      <c r="C840" s="292"/>
      <c r="D840" s="292"/>
      <c r="E840" s="292"/>
      <c r="F840" s="292"/>
      <c r="G840" s="292"/>
      <c r="H840" s="292"/>
      <c r="I840" s="292"/>
      <c r="J840" s="292"/>
      <c r="K840" s="292"/>
      <c r="L840" s="292"/>
      <c r="M840" s="292"/>
      <c r="N840" s="292"/>
      <c r="O840" s="292"/>
      <c r="P840" s="292"/>
      <c r="Q840" s="292"/>
      <c r="R840" s="292"/>
      <c r="S840" s="292"/>
      <c r="T840" s="292"/>
      <c r="U840" s="292"/>
      <c r="V840" s="292"/>
      <c r="W840" s="292"/>
      <c r="X840" s="292"/>
      <c r="Y840" s="292"/>
      <c r="Z840" s="292"/>
    </row>
    <row r="841" spans="1:26" ht="12.75" customHeight="1" x14ac:dyDescent="0.25">
      <c r="A841" s="292"/>
      <c r="B841" s="292"/>
      <c r="C841" s="292"/>
      <c r="D841" s="292"/>
      <c r="E841" s="292"/>
      <c r="F841" s="292"/>
      <c r="G841" s="292"/>
      <c r="H841" s="292"/>
      <c r="I841" s="292"/>
      <c r="J841" s="292"/>
      <c r="K841" s="292"/>
      <c r="L841" s="292"/>
      <c r="M841" s="292"/>
      <c r="N841" s="292"/>
      <c r="O841" s="292"/>
      <c r="P841" s="292"/>
      <c r="Q841" s="292"/>
      <c r="R841" s="292"/>
      <c r="S841" s="292"/>
      <c r="T841" s="292"/>
      <c r="U841" s="292"/>
      <c r="V841" s="292"/>
      <c r="W841" s="292"/>
      <c r="X841" s="292"/>
      <c r="Y841" s="292"/>
      <c r="Z841" s="292"/>
    </row>
    <row r="842" spans="1:26" ht="12.75" customHeight="1" x14ac:dyDescent="0.25">
      <c r="A842" s="292"/>
      <c r="B842" s="292"/>
      <c r="C842" s="292"/>
      <c r="D842" s="292"/>
      <c r="E842" s="292"/>
      <c r="F842" s="292"/>
      <c r="G842" s="292"/>
      <c r="H842" s="292"/>
      <c r="I842" s="292"/>
      <c r="J842" s="292"/>
      <c r="K842" s="292"/>
      <c r="L842" s="292"/>
      <c r="M842" s="292"/>
      <c r="N842" s="292"/>
      <c r="O842" s="292"/>
      <c r="P842" s="292"/>
      <c r="Q842" s="292"/>
      <c r="R842" s="292"/>
      <c r="S842" s="292"/>
      <c r="T842" s="292"/>
      <c r="U842" s="292"/>
      <c r="V842" s="292"/>
      <c r="W842" s="292"/>
      <c r="X842" s="292"/>
      <c r="Y842" s="292"/>
      <c r="Z842" s="292"/>
    </row>
    <row r="843" spans="1:26" ht="12.75" customHeight="1" x14ac:dyDescent="0.25">
      <c r="A843" s="292"/>
      <c r="B843" s="292"/>
      <c r="C843" s="292"/>
      <c r="D843" s="292"/>
      <c r="E843" s="292"/>
      <c r="F843" s="292"/>
      <c r="G843" s="292"/>
      <c r="H843" s="292"/>
      <c r="I843" s="292"/>
      <c r="J843" s="292"/>
      <c r="K843" s="292"/>
      <c r="L843" s="292"/>
      <c r="M843" s="292"/>
      <c r="N843" s="292"/>
      <c r="O843" s="292"/>
      <c r="P843" s="292"/>
      <c r="Q843" s="292"/>
      <c r="R843" s="292"/>
      <c r="S843" s="292"/>
      <c r="T843" s="292"/>
      <c r="U843" s="292"/>
      <c r="V843" s="292"/>
      <c r="W843" s="292"/>
      <c r="X843" s="292"/>
      <c r="Y843" s="292"/>
      <c r="Z843" s="292"/>
    </row>
    <row r="844" spans="1:26" ht="12.75" customHeight="1" x14ac:dyDescent="0.25">
      <c r="A844" s="292"/>
      <c r="B844" s="292"/>
      <c r="C844" s="292"/>
      <c r="D844" s="292"/>
      <c r="E844" s="292"/>
      <c r="F844" s="292"/>
      <c r="G844" s="292"/>
      <c r="H844" s="292"/>
      <c r="I844" s="292"/>
      <c r="J844" s="292"/>
      <c r="K844" s="292"/>
      <c r="L844" s="292"/>
      <c r="M844" s="292"/>
      <c r="N844" s="292"/>
      <c r="O844" s="292"/>
      <c r="P844" s="292"/>
      <c r="Q844" s="292"/>
      <c r="R844" s="292"/>
      <c r="S844" s="292"/>
      <c r="T844" s="292"/>
      <c r="U844" s="292"/>
      <c r="V844" s="292"/>
      <c r="W844" s="292"/>
      <c r="X844" s="292"/>
      <c r="Y844" s="292"/>
      <c r="Z844" s="292"/>
    </row>
    <row r="845" spans="1:26" ht="12.75" customHeight="1" x14ac:dyDescent="0.25">
      <c r="A845" s="292"/>
      <c r="B845" s="292"/>
      <c r="C845" s="292"/>
      <c r="D845" s="292"/>
      <c r="E845" s="292"/>
      <c r="F845" s="292"/>
      <c r="G845" s="292"/>
      <c r="H845" s="292"/>
      <c r="I845" s="292"/>
      <c r="J845" s="292"/>
      <c r="K845" s="292"/>
      <c r="L845" s="292"/>
      <c r="M845" s="292"/>
      <c r="N845" s="292"/>
      <c r="O845" s="292"/>
      <c r="P845" s="292"/>
      <c r="Q845" s="292"/>
      <c r="R845" s="292"/>
      <c r="S845" s="292"/>
      <c r="T845" s="292"/>
      <c r="U845" s="292"/>
      <c r="V845" s="292"/>
      <c r="W845" s="292"/>
      <c r="X845" s="292"/>
      <c r="Y845" s="292"/>
      <c r="Z845" s="292"/>
    </row>
    <row r="846" spans="1:26" ht="12.75" customHeight="1" x14ac:dyDescent="0.25">
      <c r="A846" s="292"/>
      <c r="B846" s="292"/>
      <c r="C846" s="292"/>
      <c r="D846" s="292"/>
      <c r="E846" s="292"/>
      <c r="F846" s="292"/>
      <c r="G846" s="292"/>
      <c r="H846" s="292"/>
      <c r="I846" s="292"/>
      <c r="J846" s="292"/>
      <c r="K846" s="292"/>
      <c r="L846" s="292"/>
      <c r="M846" s="292"/>
      <c r="N846" s="292"/>
      <c r="O846" s="292"/>
      <c r="P846" s="292"/>
      <c r="Q846" s="292"/>
      <c r="R846" s="292"/>
      <c r="S846" s="292"/>
      <c r="T846" s="292"/>
      <c r="U846" s="292"/>
      <c r="V846" s="292"/>
      <c r="W846" s="292"/>
      <c r="X846" s="292"/>
      <c r="Y846" s="292"/>
      <c r="Z846" s="292"/>
    </row>
    <row r="847" spans="1:26" ht="12.75" customHeight="1" x14ac:dyDescent="0.25">
      <c r="A847" s="292"/>
      <c r="B847" s="292"/>
      <c r="C847" s="292"/>
      <c r="D847" s="292"/>
      <c r="E847" s="292"/>
      <c r="F847" s="292"/>
      <c r="G847" s="292"/>
      <c r="H847" s="292"/>
      <c r="I847" s="292"/>
      <c r="J847" s="292"/>
      <c r="K847" s="292"/>
      <c r="L847" s="292"/>
      <c r="M847" s="292"/>
      <c r="N847" s="292"/>
      <c r="O847" s="292"/>
      <c r="P847" s="292"/>
      <c r="Q847" s="292"/>
      <c r="R847" s="292"/>
      <c r="S847" s="292"/>
      <c r="T847" s="292"/>
      <c r="U847" s="292"/>
      <c r="V847" s="292"/>
      <c r="W847" s="292"/>
      <c r="X847" s="292"/>
      <c r="Y847" s="292"/>
      <c r="Z847" s="292"/>
    </row>
    <row r="848" spans="1:26" ht="12.75" customHeight="1" x14ac:dyDescent="0.25">
      <c r="A848" s="292"/>
      <c r="B848" s="292"/>
      <c r="C848" s="292"/>
      <c r="D848" s="292"/>
      <c r="E848" s="292"/>
      <c r="F848" s="292"/>
      <c r="G848" s="292"/>
      <c r="H848" s="292"/>
      <c r="I848" s="292"/>
      <c r="J848" s="292"/>
      <c r="K848" s="292"/>
      <c r="L848" s="292"/>
      <c r="M848" s="292"/>
      <c r="N848" s="292"/>
      <c r="O848" s="292"/>
      <c r="P848" s="292"/>
      <c r="Q848" s="292"/>
      <c r="R848" s="292"/>
      <c r="S848" s="292"/>
      <c r="T848" s="292"/>
      <c r="U848" s="292"/>
      <c r="V848" s="292"/>
      <c r="W848" s="292"/>
      <c r="X848" s="292"/>
      <c r="Y848" s="292"/>
      <c r="Z848" s="292"/>
    </row>
    <row r="849" spans="1:26" ht="12.75" customHeight="1" x14ac:dyDescent="0.25">
      <c r="A849" s="292"/>
      <c r="B849" s="292"/>
      <c r="C849" s="292"/>
      <c r="D849" s="292"/>
      <c r="E849" s="292"/>
      <c r="F849" s="292"/>
      <c r="G849" s="292"/>
      <c r="H849" s="292"/>
      <c r="I849" s="292"/>
      <c r="J849" s="292"/>
      <c r="K849" s="292"/>
      <c r="L849" s="292"/>
      <c r="M849" s="292"/>
      <c r="N849" s="292"/>
      <c r="O849" s="292"/>
      <c r="P849" s="292"/>
      <c r="Q849" s="292"/>
      <c r="R849" s="292"/>
      <c r="S849" s="292"/>
      <c r="T849" s="292"/>
      <c r="U849" s="292"/>
      <c r="V849" s="292"/>
      <c r="W849" s="292"/>
      <c r="X849" s="292"/>
      <c r="Y849" s="292"/>
      <c r="Z849" s="292"/>
    </row>
    <row r="850" spans="1:26" ht="12.75" customHeight="1" x14ac:dyDescent="0.25">
      <c r="A850" s="292"/>
      <c r="B850" s="292"/>
      <c r="C850" s="292"/>
      <c r="D850" s="292"/>
      <c r="E850" s="292"/>
      <c r="F850" s="292"/>
      <c r="G850" s="292"/>
      <c r="H850" s="292"/>
      <c r="I850" s="292"/>
      <c r="J850" s="292"/>
      <c r="K850" s="292"/>
      <c r="L850" s="292"/>
      <c r="M850" s="292"/>
      <c r="N850" s="292"/>
      <c r="O850" s="292"/>
      <c r="P850" s="292"/>
      <c r="Q850" s="292"/>
      <c r="R850" s="292"/>
      <c r="S850" s="292"/>
      <c r="T850" s="292"/>
      <c r="U850" s="292"/>
      <c r="V850" s="292"/>
      <c r="W850" s="292"/>
      <c r="X850" s="292"/>
      <c r="Y850" s="292"/>
      <c r="Z850" s="292"/>
    </row>
    <row r="851" spans="1:26" ht="12.75" customHeight="1" x14ac:dyDescent="0.25">
      <c r="A851" s="292"/>
      <c r="B851" s="292"/>
      <c r="C851" s="292"/>
      <c r="D851" s="292"/>
      <c r="E851" s="292"/>
      <c r="F851" s="292"/>
      <c r="G851" s="292"/>
      <c r="H851" s="292"/>
      <c r="I851" s="292"/>
      <c r="J851" s="292"/>
      <c r="K851" s="292"/>
      <c r="L851" s="292"/>
      <c r="M851" s="292"/>
      <c r="N851" s="292"/>
      <c r="O851" s="292"/>
      <c r="P851" s="292"/>
      <c r="Q851" s="292"/>
      <c r="R851" s="292"/>
      <c r="S851" s="292"/>
      <c r="T851" s="292"/>
      <c r="U851" s="292"/>
      <c r="V851" s="292"/>
      <c r="W851" s="292"/>
      <c r="X851" s="292"/>
      <c r="Y851" s="292"/>
      <c r="Z851" s="292"/>
    </row>
    <row r="852" spans="1:26" ht="12.75" customHeight="1" x14ac:dyDescent="0.25">
      <c r="A852" s="292"/>
      <c r="B852" s="292"/>
      <c r="C852" s="292"/>
      <c r="D852" s="292"/>
      <c r="E852" s="292"/>
      <c r="F852" s="292"/>
      <c r="G852" s="292"/>
      <c r="H852" s="292"/>
      <c r="I852" s="292"/>
      <c r="J852" s="292"/>
      <c r="K852" s="292"/>
      <c r="L852" s="292"/>
      <c r="M852" s="292"/>
      <c r="N852" s="292"/>
      <c r="O852" s="292"/>
      <c r="P852" s="292"/>
      <c r="Q852" s="292"/>
      <c r="R852" s="292"/>
      <c r="S852" s="292"/>
      <c r="T852" s="292"/>
      <c r="U852" s="292"/>
      <c r="V852" s="292"/>
      <c r="W852" s="292"/>
      <c r="X852" s="292"/>
      <c r="Y852" s="292"/>
      <c r="Z852" s="292"/>
    </row>
    <row r="853" spans="1:26" ht="12.75" customHeight="1" x14ac:dyDescent="0.25">
      <c r="A853" s="292"/>
      <c r="B853" s="292"/>
      <c r="C853" s="292"/>
      <c r="D853" s="292"/>
      <c r="E853" s="292"/>
      <c r="F853" s="292"/>
      <c r="G853" s="292"/>
      <c r="H853" s="292"/>
      <c r="I853" s="292"/>
      <c r="J853" s="292"/>
      <c r="K853" s="292"/>
      <c r="L853" s="292"/>
      <c r="M853" s="292"/>
      <c r="N853" s="292"/>
      <c r="O853" s="292"/>
      <c r="P853" s="292"/>
      <c r="Q853" s="292"/>
      <c r="R853" s="292"/>
      <c r="S853" s="292"/>
      <c r="T853" s="292"/>
      <c r="U853" s="292"/>
      <c r="V853" s="292"/>
      <c r="W853" s="292"/>
      <c r="X853" s="292"/>
      <c r="Y853" s="292"/>
      <c r="Z853" s="292"/>
    </row>
    <row r="854" spans="1:26" ht="12.75" customHeight="1" x14ac:dyDescent="0.25">
      <c r="A854" s="292"/>
      <c r="B854" s="292"/>
      <c r="C854" s="292"/>
      <c r="D854" s="292"/>
      <c r="E854" s="292"/>
      <c r="F854" s="292"/>
      <c r="G854" s="292"/>
      <c r="H854" s="292"/>
      <c r="I854" s="292"/>
      <c r="J854" s="292"/>
      <c r="K854" s="292"/>
      <c r="L854" s="292"/>
      <c r="M854" s="292"/>
      <c r="N854" s="292"/>
      <c r="O854" s="292"/>
      <c r="P854" s="292"/>
      <c r="Q854" s="292"/>
      <c r="R854" s="292"/>
      <c r="S854" s="292"/>
      <c r="T854" s="292"/>
      <c r="U854" s="292"/>
      <c r="V854" s="292"/>
      <c r="W854" s="292"/>
      <c r="X854" s="292"/>
      <c r="Y854" s="292"/>
      <c r="Z854" s="292"/>
    </row>
    <row r="855" spans="1:26" ht="12.75" customHeight="1" x14ac:dyDescent="0.25">
      <c r="A855" s="292"/>
      <c r="B855" s="292"/>
      <c r="C855" s="292"/>
      <c r="D855" s="292"/>
      <c r="E855" s="292"/>
      <c r="F855" s="292"/>
      <c r="G855" s="292"/>
      <c r="H855" s="292"/>
      <c r="I855" s="292"/>
      <c r="J855" s="292"/>
      <c r="K855" s="292"/>
      <c r="L855" s="292"/>
      <c r="M855" s="292"/>
      <c r="N855" s="292"/>
      <c r="O855" s="292"/>
      <c r="P855" s="292"/>
      <c r="Q855" s="292"/>
      <c r="R855" s="292"/>
      <c r="S855" s="292"/>
      <c r="T855" s="292"/>
      <c r="U855" s="292"/>
      <c r="V855" s="292"/>
      <c r="W855" s="292"/>
      <c r="X855" s="292"/>
      <c r="Y855" s="292"/>
      <c r="Z855" s="292"/>
    </row>
    <row r="856" spans="1:26" ht="12.75" customHeight="1" x14ac:dyDescent="0.25">
      <c r="A856" s="292"/>
      <c r="B856" s="292"/>
      <c r="C856" s="292"/>
      <c r="D856" s="292"/>
      <c r="E856" s="292"/>
      <c r="F856" s="292"/>
      <c r="G856" s="292"/>
      <c r="H856" s="292"/>
      <c r="I856" s="292"/>
      <c r="J856" s="292"/>
      <c r="K856" s="292"/>
      <c r="L856" s="292"/>
      <c r="M856" s="292"/>
      <c r="N856" s="292"/>
      <c r="O856" s="292"/>
      <c r="P856" s="292"/>
      <c r="Q856" s="292"/>
      <c r="R856" s="292"/>
      <c r="S856" s="292"/>
      <c r="T856" s="292"/>
      <c r="U856" s="292"/>
      <c r="V856" s="292"/>
      <c r="W856" s="292"/>
      <c r="X856" s="292"/>
      <c r="Y856" s="292"/>
      <c r="Z856" s="292"/>
    </row>
    <row r="857" spans="1:26" ht="12.75" customHeight="1" x14ac:dyDescent="0.25">
      <c r="A857" s="292"/>
      <c r="B857" s="292"/>
      <c r="C857" s="292"/>
      <c r="D857" s="292"/>
      <c r="E857" s="292"/>
      <c r="F857" s="292"/>
      <c r="G857" s="292"/>
      <c r="H857" s="292"/>
      <c r="I857" s="292"/>
      <c r="J857" s="292"/>
      <c r="K857" s="292"/>
      <c r="L857" s="292"/>
      <c r="M857" s="292"/>
      <c r="N857" s="292"/>
      <c r="O857" s="292"/>
      <c r="P857" s="292"/>
      <c r="Q857" s="292"/>
      <c r="R857" s="292"/>
      <c r="S857" s="292"/>
      <c r="T857" s="292"/>
      <c r="U857" s="292"/>
      <c r="V857" s="292"/>
      <c r="W857" s="292"/>
      <c r="X857" s="292"/>
      <c r="Y857" s="292"/>
      <c r="Z857" s="292"/>
    </row>
    <row r="858" spans="1:26" ht="12.75" customHeight="1" x14ac:dyDescent="0.25">
      <c r="A858" s="292"/>
      <c r="B858" s="292"/>
      <c r="C858" s="292"/>
      <c r="D858" s="292"/>
      <c r="E858" s="292"/>
      <c r="F858" s="292"/>
      <c r="G858" s="292"/>
      <c r="H858" s="292"/>
      <c r="I858" s="292"/>
      <c r="J858" s="292"/>
      <c r="K858" s="292"/>
      <c r="L858" s="292"/>
      <c r="M858" s="292"/>
      <c r="N858" s="292"/>
      <c r="O858" s="292"/>
      <c r="P858" s="292"/>
      <c r="Q858" s="292"/>
      <c r="R858" s="292"/>
      <c r="S858" s="292"/>
      <c r="T858" s="292"/>
      <c r="U858" s="292"/>
      <c r="V858" s="292"/>
      <c r="W858" s="292"/>
      <c r="X858" s="292"/>
      <c r="Y858" s="292"/>
      <c r="Z858" s="292"/>
    </row>
    <row r="859" spans="1:26" ht="12.75" customHeight="1" x14ac:dyDescent="0.25">
      <c r="A859" s="292"/>
      <c r="B859" s="292"/>
      <c r="C859" s="292"/>
      <c r="D859" s="292"/>
      <c r="E859" s="292"/>
      <c r="F859" s="292"/>
      <c r="G859" s="292"/>
      <c r="H859" s="292"/>
      <c r="I859" s="292"/>
      <c r="J859" s="292"/>
      <c r="K859" s="292"/>
      <c r="L859" s="292"/>
      <c r="M859" s="292"/>
      <c r="N859" s="292"/>
      <c r="O859" s="292"/>
      <c r="P859" s="292"/>
      <c r="Q859" s="292"/>
      <c r="R859" s="292"/>
      <c r="S859" s="292"/>
      <c r="T859" s="292"/>
      <c r="U859" s="292"/>
      <c r="V859" s="292"/>
      <c r="W859" s="292"/>
      <c r="X859" s="292"/>
      <c r="Y859" s="292"/>
      <c r="Z859" s="292"/>
    </row>
    <row r="860" spans="1:26" ht="12.75" customHeight="1" x14ac:dyDescent="0.25">
      <c r="A860" s="292"/>
      <c r="B860" s="292"/>
      <c r="C860" s="292"/>
      <c r="D860" s="292"/>
      <c r="E860" s="292"/>
      <c r="F860" s="292"/>
      <c r="G860" s="292"/>
      <c r="H860" s="292"/>
      <c r="I860" s="292"/>
      <c r="J860" s="292"/>
      <c r="K860" s="292"/>
      <c r="L860" s="292"/>
      <c r="M860" s="292"/>
      <c r="N860" s="292"/>
      <c r="O860" s="292"/>
      <c r="P860" s="292"/>
      <c r="Q860" s="292"/>
      <c r="R860" s="292"/>
      <c r="S860" s="292"/>
      <c r="T860" s="292"/>
      <c r="U860" s="292"/>
      <c r="V860" s="292"/>
      <c r="W860" s="292"/>
      <c r="X860" s="292"/>
      <c r="Y860" s="292"/>
      <c r="Z860" s="292"/>
    </row>
    <row r="861" spans="1:26" ht="12.75" customHeight="1" x14ac:dyDescent="0.25">
      <c r="A861" s="292"/>
      <c r="B861" s="292"/>
      <c r="C861" s="292"/>
      <c r="D861" s="292"/>
      <c r="E861" s="292"/>
      <c r="F861" s="292"/>
      <c r="G861" s="292"/>
      <c r="H861" s="292"/>
      <c r="I861" s="292"/>
      <c r="J861" s="292"/>
      <c r="K861" s="292"/>
      <c r="L861" s="292"/>
      <c r="M861" s="292"/>
      <c r="N861" s="292"/>
      <c r="O861" s="292"/>
      <c r="P861" s="292"/>
      <c r="Q861" s="292"/>
      <c r="R861" s="292"/>
      <c r="S861" s="292"/>
      <c r="T861" s="292"/>
      <c r="U861" s="292"/>
      <c r="V861" s="292"/>
      <c r="W861" s="292"/>
      <c r="X861" s="292"/>
      <c r="Y861" s="292"/>
      <c r="Z861" s="292"/>
    </row>
    <row r="862" spans="1:26" ht="12.75" customHeight="1" x14ac:dyDescent="0.25">
      <c r="A862" s="292"/>
      <c r="B862" s="292"/>
      <c r="C862" s="292"/>
      <c r="D862" s="292"/>
      <c r="E862" s="292"/>
      <c r="F862" s="292"/>
      <c r="G862" s="292"/>
      <c r="H862" s="292"/>
      <c r="I862" s="292"/>
      <c r="J862" s="292"/>
      <c r="K862" s="292"/>
      <c r="L862" s="292"/>
      <c r="M862" s="292"/>
      <c r="N862" s="292"/>
      <c r="O862" s="292"/>
      <c r="P862" s="292"/>
      <c r="Q862" s="292"/>
      <c r="R862" s="292"/>
      <c r="S862" s="292"/>
      <c r="T862" s="292"/>
      <c r="U862" s="292"/>
      <c r="V862" s="292"/>
      <c r="W862" s="292"/>
      <c r="X862" s="292"/>
      <c r="Y862" s="292"/>
      <c r="Z862" s="292"/>
    </row>
    <row r="863" spans="1:26" ht="12.75" customHeight="1" x14ac:dyDescent="0.25">
      <c r="A863" s="292"/>
      <c r="B863" s="292"/>
      <c r="C863" s="292"/>
      <c r="D863" s="292"/>
      <c r="E863" s="292"/>
      <c r="F863" s="292"/>
      <c r="G863" s="292"/>
      <c r="H863" s="292"/>
      <c r="I863" s="292"/>
      <c r="J863" s="292"/>
      <c r="K863" s="292"/>
      <c r="L863" s="292"/>
      <c r="M863" s="292"/>
      <c r="N863" s="292"/>
      <c r="O863" s="292"/>
      <c r="P863" s="292"/>
      <c r="Q863" s="292"/>
      <c r="R863" s="292"/>
      <c r="S863" s="292"/>
      <c r="T863" s="292"/>
      <c r="U863" s="292"/>
      <c r="V863" s="292"/>
      <c r="W863" s="292"/>
      <c r="X863" s="292"/>
      <c r="Y863" s="292"/>
      <c r="Z863" s="292"/>
    </row>
    <row r="864" spans="1:26" ht="12.75" customHeight="1" x14ac:dyDescent="0.25">
      <c r="A864" s="292"/>
      <c r="B864" s="292"/>
      <c r="C864" s="292"/>
      <c r="D864" s="292"/>
      <c r="E864" s="292"/>
      <c r="F864" s="292"/>
      <c r="G864" s="292"/>
      <c r="H864" s="292"/>
      <c r="I864" s="292"/>
      <c r="J864" s="292"/>
      <c r="K864" s="292"/>
      <c r="L864" s="292"/>
      <c r="M864" s="292"/>
      <c r="N864" s="292"/>
      <c r="O864" s="292"/>
      <c r="P864" s="292"/>
      <c r="Q864" s="292"/>
      <c r="R864" s="292"/>
      <c r="S864" s="292"/>
      <c r="T864" s="292"/>
      <c r="U864" s="292"/>
      <c r="V864" s="292"/>
      <c r="W864" s="292"/>
      <c r="X864" s="292"/>
      <c r="Y864" s="292"/>
      <c r="Z864" s="292"/>
    </row>
    <row r="865" spans="1:26" ht="12.75" customHeight="1" x14ac:dyDescent="0.25">
      <c r="A865" s="292"/>
      <c r="B865" s="292"/>
      <c r="C865" s="292"/>
      <c r="D865" s="292"/>
      <c r="E865" s="292"/>
      <c r="F865" s="292"/>
      <c r="G865" s="292"/>
      <c r="H865" s="292"/>
      <c r="I865" s="292"/>
      <c r="J865" s="292"/>
      <c r="K865" s="292"/>
      <c r="L865" s="292"/>
      <c r="M865" s="292"/>
      <c r="N865" s="292"/>
      <c r="O865" s="292"/>
      <c r="P865" s="292"/>
      <c r="Q865" s="292"/>
      <c r="R865" s="292"/>
      <c r="S865" s="292"/>
      <c r="T865" s="292"/>
      <c r="U865" s="292"/>
      <c r="V865" s="292"/>
      <c r="W865" s="292"/>
      <c r="X865" s="292"/>
      <c r="Y865" s="292"/>
      <c r="Z865" s="292"/>
    </row>
    <row r="866" spans="1:26" ht="12.75" customHeight="1" x14ac:dyDescent="0.25">
      <c r="A866" s="292"/>
      <c r="B866" s="292"/>
      <c r="C866" s="292"/>
      <c r="D866" s="292"/>
      <c r="E866" s="292"/>
      <c r="F866" s="292"/>
      <c r="G866" s="292"/>
      <c r="H866" s="292"/>
      <c r="I866" s="292"/>
      <c r="J866" s="292"/>
      <c r="K866" s="292"/>
      <c r="L866" s="292"/>
      <c r="M866" s="292"/>
      <c r="N866" s="292"/>
      <c r="O866" s="292"/>
      <c r="P866" s="292"/>
      <c r="Q866" s="292"/>
      <c r="R866" s="292"/>
      <c r="S866" s="292"/>
      <c r="T866" s="292"/>
      <c r="U866" s="292"/>
      <c r="V866" s="292"/>
      <c r="W866" s="292"/>
      <c r="X866" s="292"/>
      <c r="Y866" s="292"/>
      <c r="Z866" s="292"/>
    </row>
    <row r="867" spans="1:26" ht="12.75" customHeight="1" x14ac:dyDescent="0.25">
      <c r="A867" s="292"/>
      <c r="B867" s="292"/>
      <c r="C867" s="292"/>
      <c r="D867" s="292"/>
      <c r="E867" s="292"/>
      <c r="F867" s="292"/>
      <c r="G867" s="292"/>
      <c r="H867" s="292"/>
      <c r="I867" s="292"/>
      <c r="J867" s="292"/>
      <c r="K867" s="292"/>
      <c r="L867" s="292"/>
      <c r="M867" s="292"/>
      <c r="N867" s="292"/>
      <c r="O867" s="292"/>
      <c r="P867" s="292"/>
      <c r="Q867" s="292"/>
      <c r="R867" s="292"/>
      <c r="S867" s="292"/>
      <c r="T867" s="292"/>
      <c r="U867" s="292"/>
      <c r="V867" s="292"/>
      <c r="W867" s="292"/>
      <c r="X867" s="292"/>
      <c r="Y867" s="292"/>
      <c r="Z867" s="292"/>
    </row>
    <row r="868" spans="1:26" ht="12.75" customHeight="1" x14ac:dyDescent="0.25">
      <c r="A868" s="292"/>
      <c r="B868" s="292"/>
      <c r="C868" s="292"/>
      <c r="D868" s="292"/>
      <c r="E868" s="292"/>
      <c r="F868" s="292"/>
      <c r="G868" s="292"/>
      <c r="H868" s="292"/>
      <c r="I868" s="292"/>
      <c r="J868" s="292"/>
      <c r="K868" s="292"/>
      <c r="L868" s="292"/>
      <c r="M868" s="292"/>
      <c r="N868" s="292"/>
      <c r="O868" s="292"/>
      <c r="P868" s="292"/>
      <c r="Q868" s="292"/>
      <c r="R868" s="292"/>
      <c r="S868" s="292"/>
      <c r="T868" s="292"/>
      <c r="U868" s="292"/>
      <c r="V868" s="292"/>
      <c r="W868" s="292"/>
      <c r="X868" s="292"/>
      <c r="Y868" s="292"/>
      <c r="Z868" s="292"/>
    </row>
    <row r="869" spans="1:26" ht="12.75" customHeight="1" x14ac:dyDescent="0.25">
      <c r="A869" s="292"/>
      <c r="B869" s="292"/>
      <c r="C869" s="292"/>
      <c r="D869" s="292"/>
      <c r="E869" s="292"/>
      <c r="F869" s="292"/>
      <c r="G869" s="292"/>
      <c r="H869" s="292"/>
      <c r="I869" s="292"/>
      <c r="J869" s="292"/>
      <c r="K869" s="292"/>
      <c r="L869" s="292"/>
      <c r="M869" s="292"/>
      <c r="N869" s="292"/>
      <c r="O869" s="292"/>
      <c r="P869" s="292"/>
      <c r="Q869" s="292"/>
      <c r="R869" s="292"/>
      <c r="S869" s="292"/>
      <c r="T869" s="292"/>
      <c r="U869" s="292"/>
      <c r="V869" s="292"/>
      <c r="W869" s="292"/>
      <c r="X869" s="292"/>
      <c r="Y869" s="292"/>
      <c r="Z869" s="292"/>
    </row>
    <row r="870" spans="1:26" ht="12.75" customHeight="1" x14ac:dyDescent="0.25">
      <c r="A870" s="292"/>
      <c r="B870" s="292"/>
      <c r="C870" s="292"/>
      <c r="D870" s="292"/>
      <c r="E870" s="292"/>
      <c r="F870" s="292"/>
      <c r="G870" s="292"/>
      <c r="H870" s="292"/>
      <c r="I870" s="292"/>
      <c r="J870" s="292"/>
      <c r="K870" s="292"/>
      <c r="L870" s="292"/>
      <c r="M870" s="292"/>
      <c r="N870" s="292"/>
      <c r="O870" s="292"/>
      <c r="P870" s="292"/>
      <c r="Q870" s="292"/>
      <c r="R870" s="292"/>
      <c r="S870" s="292"/>
      <c r="T870" s="292"/>
      <c r="U870" s="292"/>
      <c r="V870" s="292"/>
      <c r="W870" s="292"/>
      <c r="X870" s="292"/>
      <c r="Y870" s="292"/>
      <c r="Z870" s="292"/>
    </row>
    <row r="871" spans="1:26" ht="12.75" customHeight="1" x14ac:dyDescent="0.25">
      <c r="A871" s="292"/>
      <c r="B871" s="292"/>
      <c r="C871" s="292"/>
      <c r="D871" s="292"/>
      <c r="E871" s="292"/>
      <c r="F871" s="292"/>
      <c r="G871" s="292"/>
      <c r="H871" s="292"/>
      <c r="I871" s="292"/>
      <c r="J871" s="292"/>
      <c r="K871" s="292"/>
      <c r="L871" s="292"/>
      <c r="M871" s="292"/>
      <c r="N871" s="292"/>
      <c r="O871" s="292"/>
      <c r="P871" s="292"/>
      <c r="Q871" s="292"/>
      <c r="R871" s="292"/>
      <c r="S871" s="292"/>
      <c r="T871" s="292"/>
      <c r="U871" s="292"/>
      <c r="V871" s="292"/>
      <c r="W871" s="292"/>
      <c r="X871" s="292"/>
      <c r="Y871" s="292"/>
      <c r="Z871" s="292"/>
    </row>
    <row r="872" spans="1:26" ht="12.75" customHeight="1" x14ac:dyDescent="0.25">
      <c r="A872" s="292"/>
      <c r="B872" s="292"/>
      <c r="C872" s="292"/>
      <c r="D872" s="292"/>
      <c r="E872" s="292"/>
      <c r="F872" s="292"/>
      <c r="G872" s="292"/>
      <c r="H872" s="292"/>
      <c r="I872" s="292"/>
      <c r="J872" s="292"/>
      <c r="K872" s="292"/>
      <c r="L872" s="292"/>
      <c r="M872" s="292"/>
      <c r="N872" s="292"/>
      <c r="O872" s="292"/>
      <c r="P872" s="292"/>
      <c r="Q872" s="292"/>
      <c r="R872" s="292"/>
      <c r="S872" s="292"/>
      <c r="T872" s="292"/>
      <c r="U872" s="292"/>
      <c r="V872" s="292"/>
      <c r="W872" s="292"/>
      <c r="X872" s="292"/>
      <c r="Y872" s="292"/>
      <c r="Z872" s="292"/>
    </row>
    <row r="873" spans="1:26" ht="12.75" customHeight="1" x14ac:dyDescent="0.25">
      <c r="A873" s="292"/>
      <c r="B873" s="292"/>
      <c r="C873" s="292"/>
      <c r="D873" s="292"/>
      <c r="E873" s="292"/>
      <c r="F873" s="292"/>
      <c r="G873" s="292"/>
      <c r="H873" s="292"/>
      <c r="I873" s="292"/>
      <c r="J873" s="292"/>
      <c r="K873" s="292"/>
      <c r="L873" s="292"/>
      <c r="M873" s="292"/>
      <c r="N873" s="292"/>
      <c r="O873" s="292"/>
      <c r="P873" s="292"/>
      <c r="Q873" s="292"/>
      <c r="R873" s="292"/>
      <c r="S873" s="292"/>
      <c r="T873" s="292"/>
      <c r="U873" s="292"/>
      <c r="V873" s="292"/>
      <c r="W873" s="292"/>
      <c r="X873" s="292"/>
      <c r="Y873" s="292"/>
      <c r="Z873" s="292"/>
    </row>
    <row r="874" spans="1:26" ht="12.75" customHeight="1" x14ac:dyDescent="0.25">
      <c r="A874" s="292"/>
      <c r="B874" s="292"/>
      <c r="C874" s="292"/>
      <c r="D874" s="292"/>
      <c r="E874" s="292"/>
      <c r="F874" s="292"/>
      <c r="G874" s="292"/>
      <c r="H874" s="292"/>
      <c r="I874" s="292"/>
      <c r="J874" s="292"/>
      <c r="K874" s="292"/>
      <c r="L874" s="292"/>
      <c r="M874" s="292"/>
      <c r="N874" s="292"/>
      <c r="O874" s="292"/>
      <c r="P874" s="292"/>
      <c r="Q874" s="292"/>
      <c r="R874" s="292"/>
      <c r="S874" s="292"/>
      <c r="T874" s="292"/>
      <c r="U874" s="292"/>
      <c r="V874" s="292"/>
      <c r="W874" s="292"/>
      <c r="X874" s="292"/>
      <c r="Y874" s="292"/>
      <c r="Z874" s="292"/>
    </row>
    <row r="875" spans="1:26" ht="12.75" customHeight="1" x14ac:dyDescent="0.25">
      <c r="A875" s="292"/>
      <c r="B875" s="292"/>
      <c r="C875" s="292"/>
      <c r="D875" s="292"/>
      <c r="E875" s="292"/>
      <c r="F875" s="292"/>
      <c r="G875" s="292"/>
      <c r="H875" s="292"/>
      <c r="I875" s="292"/>
      <c r="J875" s="292"/>
      <c r="K875" s="292"/>
      <c r="L875" s="292"/>
      <c r="M875" s="292"/>
      <c r="N875" s="292"/>
      <c r="O875" s="292"/>
      <c r="P875" s="292"/>
      <c r="Q875" s="292"/>
      <c r="R875" s="292"/>
      <c r="S875" s="292"/>
      <c r="T875" s="292"/>
      <c r="U875" s="292"/>
      <c r="V875" s="292"/>
      <c r="W875" s="292"/>
      <c r="X875" s="292"/>
      <c r="Y875" s="292"/>
      <c r="Z875" s="292"/>
    </row>
    <row r="876" spans="1:26" ht="12.75" customHeight="1" x14ac:dyDescent="0.25">
      <c r="A876" s="292"/>
      <c r="B876" s="292"/>
      <c r="C876" s="292"/>
      <c r="D876" s="292"/>
      <c r="E876" s="292"/>
      <c r="F876" s="292"/>
      <c r="G876" s="292"/>
      <c r="H876" s="292"/>
      <c r="I876" s="292"/>
      <c r="J876" s="292"/>
      <c r="K876" s="292"/>
      <c r="L876" s="292"/>
      <c r="M876" s="292"/>
      <c r="N876" s="292"/>
      <c r="O876" s="292"/>
      <c r="P876" s="292"/>
      <c r="Q876" s="292"/>
      <c r="R876" s="292"/>
      <c r="S876" s="292"/>
      <c r="T876" s="292"/>
      <c r="U876" s="292"/>
      <c r="V876" s="292"/>
      <c r="W876" s="292"/>
      <c r="X876" s="292"/>
      <c r="Y876" s="292"/>
      <c r="Z876" s="292"/>
    </row>
    <row r="877" spans="1:26" ht="12.75" customHeight="1" x14ac:dyDescent="0.25">
      <c r="A877" s="292"/>
      <c r="B877" s="292"/>
      <c r="C877" s="292"/>
      <c r="D877" s="292"/>
      <c r="E877" s="292"/>
      <c r="F877" s="292"/>
      <c r="G877" s="292"/>
      <c r="H877" s="292"/>
      <c r="I877" s="292"/>
      <c r="J877" s="292"/>
      <c r="K877" s="292"/>
      <c r="L877" s="292"/>
      <c r="M877" s="292"/>
      <c r="N877" s="292"/>
      <c r="O877" s="292"/>
      <c r="P877" s="292"/>
      <c r="Q877" s="292"/>
      <c r="R877" s="292"/>
      <c r="S877" s="292"/>
      <c r="T877" s="292"/>
      <c r="U877" s="292"/>
      <c r="V877" s="292"/>
      <c r="W877" s="292"/>
      <c r="X877" s="292"/>
      <c r="Y877" s="292"/>
      <c r="Z877" s="292"/>
    </row>
    <row r="878" spans="1:26" ht="12.75" customHeight="1" x14ac:dyDescent="0.25">
      <c r="A878" s="292"/>
      <c r="B878" s="292"/>
      <c r="C878" s="292"/>
      <c r="D878" s="292"/>
      <c r="E878" s="292"/>
      <c r="F878" s="292"/>
      <c r="G878" s="292"/>
      <c r="H878" s="292"/>
      <c r="I878" s="292"/>
      <c r="J878" s="292"/>
      <c r="K878" s="292"/>
      <c r="L878" s="292"/>
      <c r="M878" s="292"/>
      <c r="N878" s="292"/>
      <c r="O878" s="292"/>
      <c r="P878" s="292"/>
      <c r="Q878" s="292"/>
      <c r="R878" s="292"/>
      <c r="S878" s="292"/>
      <c r="T878" s="292"/>
      <c r="U878" s="292"/>
      <c r="V878" s="292"/>
      <c r="W878" s="292"/>
      <c r="X878" s="292"/>
      <c r="Y878" s="292"/>
      <c r="Z878" s="292"/>
    </row>
    <row r="879" spans="1:26" ht="12.75" customHeight="1" x14ac:dyDescent="0.25">
      <c r="A879" s="292"/>
      <c r="B879" s="292"/>
      <c r="C879" s="292"/>
      <c r="D879" s="292"/>
      <c r="E879" s="292"/>
      <c r="F879" s="292"/>
      <c r="G879" s="292"/>
      <c r="H879" s="292"/>
      <c r="I879" s="292"/>
      <c r="J879" s="292"/>
      <c r="K879" s="292"/>
      <c r="L879" s="292"/>
      <c r="M879" s="292"/>
      <c r="N879" s="292"/>
      <c r="O879" s="292"/>
      <c r="P879" s="292"/>
      <c r="Q879" s="292"/>
      <c r="R879" s="292"/>
      <c r="S879" s="292"/>
      <c r="T879" s="292"/>
      <c r="U879" s="292"/>
      <c r="V879" s="292"/>
      <c r="W879" s="292"/>
      <c r="X879" s="292"/>
      <c r="Y879" s="292"/>
      <c r="Z879" s="292"/>
    </row>
    <row r="880" spans="1:26" ht="12.75" customHeight="1" x14ac:dyDescent="0.25">
      <c r="A880" s="292"/>
      <c r="B880" s="292"/>
      <c r="C880" s="292"/>
      <c r="D880" s="292"/>
      <c r="E880" s="292"/>
      <c r="F880" s="292"/>
      <c r="G880" s="292"/>
      <c r="H880" s="292"/>
      <c r="I880" s="292"/>
      <c r="J880" s="292"/>
      <c r="K880" s="292"/>
      <c r="L880" s="292"/>
      <c r="M880" s="292"/>
      <c r="N880" s="292"/>
      <c r="O880" s="292"/>
      <c r="P880" s="292"/>
      <c r="Q880" s="292"/>
      <c r="R880" s="292"/>
      <c r="S880" s="292"/>
      <c r="T880" s="292"/>
      <c r="U880" s="292"/>
      <c r="V880" s="292"/>
      <c r="W880" s="292"/>
      <c r="X880" s="292"/>
      <c r="Y880" s="292"/>
      <c r="Z880" s="292"/>
    </row>
    <row r="881" spans="1:26" ht="12.75" customHeight="1" x14ac:dyDescent="0.25">
      <c r="A881" s="292"/>
      <c r="B881" s="292"/>
      <c r="C881" s="292"/>
      <c r="D881" s="292"/>
      <c r="E881" s="292"/>
      <c r="F881" s="292"/>
      <c r="G881" s="292"/>
      <c r="H881" s="292"/>
      <c r="I881" s="292"/>
      <c r="J881" s="292"/>
      <c r="K881" s="292"/>
      <c r="L881" s="292"/>
      <c r="M881" s="292"/>
      <c r="N881" s="292"/>
      <c r="O881" s="292"/>
      <c r="P881" s="292"/>
      <c r="Q881" s="292"/>
      <c r="R881" s="292"/>
      <c r="S881" s="292"/>
      <c r="T881" s="292"/>
      <c r="U881" s="292"/>
      <c r="V881" s="292"/>
      <c r="W881" s="292"/>
      <c r="X881" s="292"/>
      <c r="Y881" s="292"/>
      <c r="Z881" s="292"/>
    </row>
    <row r="882" spans="1:26" ht="12.75" customHeight="1" x14ac:dyDescent="0.25">
      <c r="A882" s="292"/>
      <c r="B882" s="292"/>
      <c r="C882" s="292"/>
      <c r="D882" s="292"/>
      <c r="E882" s="292"/>
      <c r="F882" s="292"/>
      <c r="G882" s="292"/>
      <c r="H882" s="292"/>
      <c r="I882" s="292"/>
      <c r="J882" s="292"/>
      <c r="K882" s="292"/>
      <c r="L882" s="292"/>
      <c r="M882" s="292"/>
      <c r="N882" s="292"/>
      <c r="O882" s="292"/>
      <c r="P882" s="292"/>
      <c r="Q882" s="292"/>
      <c r="R882" s="292"/>
      <c r="S882" s="292"/>
      <c r="T882" s="292"/>
      <c r="U882" s="292"/>
      <c r="V882" s="292"/>
      <c r="W882" s="292"/>
      <c r="X882" s="292"/>
      <c r="Y882" s="292"/>
      <c r="Z882" s="292"/>
    </row>
    <row r="883" spans="1:26" ht="12.75" customHeight="1" x14ac:dyDescent="0.25">
      <c r="A883" s="292"/>
      <c r="B883" s="292"/>
      <c r="C883" s="292"/>
      <c r="D883" s="292"/>
      <c r="E883" s="292"/>
      <c r="F883" s="292"/>
      <c r="G883" s="292"/>
      <c r="H883" s="292"/>
      <c r="I883" s="292"/>
      <c r="J883" s="292"/>
      <c r="K883" s="292"/>
      <c r="L883" s="292"/>
      <c r="M883" s="292"/>
      <c r="N883" s="292"/>
      <c r="O883" s="292"/>
      <c r="P883" s="292"/>
      <c r="Q883" s="292"/>
      <c r="R883" s="292"/>
      <c r="S883" s="292"/>
      <c r="T883" s="292"/>
      <c r="U883" s="292"/>
      <c r="V883" s="292"/>
      <c r="W883" s="292"/>
      <c r="X883" s="292"/>
      <c r="Y883" s="292"/>
      <c r="Z883" s="292"/>
    </row>
    <row r="884" spans="1:26" ht="12.75" customHeight="1" x14ac:dyDescent="0.25">
      <c r="A884" s="292"/>
      <c r="B884" s="292"/>
      <c r="C884" s="292"/>
      <c r="D884" s="292"/>
      <c r="E884" s="292"/>
      <c r="F884" s="292"/>
      <c r="G884" s="292"/>
      <c r="H884" s="292"/>
      <c r="I884" s="292"/>
      <c r="J884" s="292"/>
      <c r="K884" s="292"/>
      <c r="L884" s="292"/>
      <c r="M884" s="292"/>
      <c r="N884" s="292"/>
      <c r="O884" s="292"/>
      <c r="P884" s="292"/>
      <c r="Q884" s="292"/>
      <c r="R884" s="292"/>
      <c r="S884" s="292"/>
      <c r="T884" s="292"/>
      <c r="U884" s="292"/>
      <c r="V884" s="292"/>
      <c r="W884" s="292"/>
      <c r="X884" s="292"/>
      <c r="Y884" s="292"/>
      <c r="Z884" s="292"/>
    </row>
    <row r="885" spans="1:26" ht="12.75" customHeight="1" x14ac:dyDescent="0.25">
      <c r="A885" s="292"/>
      <c r="B885" s="292"/>
      <c r="C885" s="292"/>
      <c r="D885" s="292"/>
      <c r="E885" s="292"/>
      <c r="F885" s="292"/>
      <c r="G885" s="292"/>
      <c r="H885" s="292"/>
      <c r="I885" s="292"/>
      <c r="J885" s="292"/>
      <c r="K885" s="292"/>
      <c r="L885" s="292"/>
      <c r="M885" s="292"/>
      <c r="N885" s="292"/>
      <c r="O885" s="292"/>
      <c r="P885" s="292"/>
      <c r="Q885" s="292"/>
      <c r="R885" s="292"/>
      <c r="S885" s="292"/>
      <c r="T885" s="292"/>
      <c r="U885" s="292"/>
      <c r="V885" s="292"/>
      <c r="W885" s="292"/>
      <c r="X885" s="292"/>
      <c r="Y885" s="292"/>
      <c r="Z885" s="292"/>
    </row>
    <row r="886" spans="1:26" ht="12.75" customHeight="1" x14ac:dyDescent="0.25">
      <c r="A886" s="292"/>
      <c r="B886" s="292"/>
      <c r="C886" s="292"/>
      <c r="D886" s="292"/>
      <c r="E886" s="292"/>
      <c r="F886" s="292"/>
      <c r="G886" s="292"/>
      <c r="H886" s="292"/>
      <c r="I886" s="292"/>
      <c r="J886" s="292"/>
      <c r="K886" s="292"/>
      <c r="L886" s="292"/>
      <c r="M886" s="292"/>
      <c r="N886" s="292"/>
      <c r="O886" s="292"/>
      <c r="P886" s="292"/>
      <c r="Q886" s="292"/>
      <c r="R886" s="292"/>
      <c r="S886" s="292"/>
      <c r="T886" s="292"/>
      <c r="U886" s="292"/>
      <c r="V886" s="292"/>
      <c r="W886" s="292"/>
      <c r="X886" s="292"/>
      <c r="Y886" s="292"/>
      <c r="Z886" s="292"/>
    </row>
    <row r="887" spans="1:26" ht="12.75" customHeight="1" x14ac:dyDescent="0.25">
      <c r="A887" s="292"/>
      <c r="B887" s="292"/>
      <c r="C887" s="292"/>
      <c r="D887" s="292"/>
      <c r="E887" s="292"/>
      <c r="F887" s="292"/>
      <c r="G887" s="292"/>
      <c r="H887" s="292"/>
      <c r="I887" s="292"/>
      <c r="J887" s="292"/>
      <c r="K887" s="292"/>
      <c r="L887" s="292"/>
      <c r="M887" s="292"/>
      <c r="N887" s="292"/>
      <c r="O887" s="292"/>
      <c r="P887" s="292"/>
      <c r="Q887" s="292"/>
      <c r="R887" s="292"/>
      <c r="S887" s="292"/>
      <c r="T887" s="292"/>
      <c r="U887" s="292"/>
      <c r="V887" s="292"/>
      <c r="W887" s="292"/>
      <c r="X887" s="292"/>
      <c r="Y887" s="292"/>
      <c r="Z887" s="292"/>
    </row>
    <row r="888" spans="1:26" ht="12.75" customHeight="1" x14ac:dyDescent="0.25">
      <c r="A888" s="292"/>
      <c r="B888" s="292"/>
      <c r="C888" s="292"/>
      <c r="D888" s="292"/>
      <c r="E888" s="292"/>
      <c r="F888" s="292"/>
      <c r="G888" s="292"/>
      <c r="H888" s="292"/>
      <c r="I888" s="292"/>
      <c r="J888" s="292"/>
      <c r="K888" s="292"/>
      <c r="L888" s="292"/>
      <c r="M888" s="292"/>
      <c r="N888" s="292"/>
      <c r="O888" s="292"/>
      <c r="P888" s="292"/>
      <c r="Q888" s="292"/>
      <c r="R888" s="292"/>
      <c r="S888" s="292"/>
      <c r="T888" s="292"/>
      <c r="U888" s="292"/>
      <c r="V888" s="292"/>
      <c r="W888" s="292"/>
      <c r="X888" s="292"/>
      <c r="Y888" s="292"/>
      <c r="Z888" s="292"/>
    </row>
    <row r="889" spans="1:26" ht="12.75" customHeight="1" x14ac:dyDescent="0.25">
      <c r="A889" s="292"/>
      <c r="B889" s="292"/>
      <c r="C889" s="292"/>
      <c r="D889" s="292"/>
      <c r="E889" s="292"/>
      <c r="F889" s="292"/>
      <c r="G889" s="292"/>
      <c r="H889" s="292"/>
      <c r="I889" s="292"/>
      <c r="J889" s="292"/>
      <c r="K889" s="292"/>
      <c r="L889" s="292"/>
      <c r="M889" s="292"/>
      <c r="N889" s="292"/>
      <c r="O889" s="292"/>
      <c r="P889" s="292"/>
      <c r="Q889" s="292"/>
      <c r="R889" s="292"/>
      <c r="S889" s="292"/>
      <c r="T889" s="292"/>
      <c r="U889" s="292"/>
      <c r="V889" s="292"/>
      <c r="W889" s="292"/>
      <c r="X889" s="292"/>
      <c r="Y889" s="292"/>
      <c r="Z889" s="292"/>
    </row>
    <row r="890" spans="1:26" ht="12.75" customHeight="1" x14ac:dyDescent="0.25">
      <c r="A890" s="292"/>
      <c r="B890" s="292"/>
      <c r="C890" s="292"/>
      <c r="D890" s="292"/>
      <c r="E890" s="292"/>
      <c r="F890" s="292"/>
      <c r="G890" s="292"/>
      <c r="H890" s="292"/>
      <c r="I890" s="292"/>
      <c r="J890" s="292"/>
      <c r="K890" s="292"/>
      <c r="L890" s="292"/>
      <c r="M890" s="292"/>
      <c r="N890" s="292"/>
      <c r="O890" s="292"/>
      <c r="P890" s="292"/>
      <c r="Q890" s="292"/>
      <c r="R890" s="292"/>
      <c r="S890" s="292"/>
      <c r="T890" s="292"/>
      <c r="U890" s="292"/>
      <c r="V890" s="292"/>
      <c r="W890" s="292"/>
      <c r="X890" s="292"/>
      <c r="Y890" s="292"/>
      <c r="Z890" s="292"/>
    </row>
    <row r="891" spans="1:26" ht="12.75" customHeight="1" x14ac:dyDescent="0.25">
      <c r="A891" s="292"/>
      <c r="B891" s="292"/>
      <c r="C891" s="292"/>
      <c r="D891" s="292"/>
      <c r="E891" s="292"/>
      <c r="F891" s="292"/>
      <c r="G891" s="292"/>
      <c r="H891" s="292"/>
      <c r="I891" s="292"/>
      <c r="J891" s="292"/>
      <c r="K891" s="292"/>
      <c r="L891" s="292"/>
      <c r="M891" s="292"/>
      <c r="N891" s="292"/>
      <c r="O891" s="292"/>
      <c r="P891" s="292"/>
      <c r="Q891" s="292"/>
      <c r="R891" s="292"/>
      <c r="S891" s="292"/>
      <c r="T891" s="292"/>
      <c r="U891" s="292"/>
      <c r="V891" s="292"/>
      <c r="W891" s="292"/>
      <c r="X891" s="292"/>
      <c r="Y891" s="292"/>
      <c r="Z891" s="292"/>
    </row>
    <row r="892" spans="1:26" ht="12.75" customHeight="1" x14ac:dyDescent="0.25">
      <c r="A892" s="292"/>
      <c r="B892" s="292"/>
      <c r="C892" s="292"/>
      <c r="D892" s="292"/>
      <c r="E892" s="292"/>
      <c r="F892" s="292"/>
      <c r="G892" s="292"/>
      <c r="H892" s="292"/>
      <c r="I892" s="292"/>
      <c r="J892" s="292"/>
      <c r="K892" s="292"/>
      <c r="L892" s="292"/>
      <c r="M892" s="292"/>
      <c r="N892" s="292"/>
      <c r="O892" s="292"/>
      <c r="P892" s="292"/>
      <c r="Q892" s="292"/>
      <c r="R892" s="292"/>
      <c r="S892" s="292"/>
      <c r="T892" s="292"/>
      <c r="U892" s="292"/>
      <c r="V892" s="292"/>
      <c r="W892" s="292"/>
      <c r="X892" s="292"/>
      <c r="Y892" s="292"/>
      <c r="Z892" s="292"/>
    </row>
    <row r="893" spans="1:26" ht="12.75" customHeight="1" x14ac:dyDescent="0.25">
      <c r="A893" s="292"/>
      <c r="B893" s="292"/>
      <c r="C893" s="292"/>
      <c r="D893" s="292"/>
      <c r="E893" s="292"/>
      <c r="F893" s="292"/>
      <c r="G893" s="292"/>
      <c r="H893" s="292"/>
      <c r="I893" s="292"/>
      <c r="J893" s="292"/>
      <c r="K893" s="292"/>
      <c r="L893" s="292"/>
      <c r="M893" s="292"/>
      <c r="N893" s="292"/>
      <c r="O893" s="292"/>
      <c r="P893" s="292"/>
      <c r="Q893" s="292"/>
      <c r="R893" s="292"/>
      <c r="S893" s="292"/>
      <c r="T893" s="292"/>
      <c r="U893" s="292"/>
      <c r="V893" s="292"/>
      <c r="W893" s="292"/>
      <c r="X893" s="292"/>
      <c r="Y893" s="292"/>
      <c r="Z893" s="292"/>
    </row>
    <row r="894" spans="1:26" ht="12.75" customHeight="1" x14ac:dyDescent="0.25">
      <c r="A894" s="292"/>
      <c r="B894" s="292"/>
      <c r="C894" s="292"/>
      <c r="D894" s="292"/>
      <c r="E894" s="292"/>
      <c r="F894" s="292"/>
      <c r="G894" s="292"/>
      <c r="H894" s="292"/>
      <c r="I894" s="292"/>
      <c r="J894" s="292"/>
      <c r="K894" s="292"/>
      <c r="L894" s="292"/>
      <c r="M894" s="292"/>
      <c r="N894" s="292"/>
      <c r="O894" s="292"/>
      <c r="P894" s="292"/>
      <c r="Q894" s="292"/>
      <c r="R894" s="292"/>
      <c r="S894" s="292"/>
      <c r="T894" s="292"/>
      <c r="U894" s="292"/>
      <c r="V894" s="292"/>
      <c r="W894" s="292"/>
      <c r="X894" s="292"/>
      <c r="Y894" s="292"/>
      <c r="Z894" s="292"/>
    </row>
    <row r="895" spans="1:26" ht="12.75" customHeight="1" x14ac:dyDescent="0.25">
      <c r="A895" s="292"/>
      <c r="B895" s="292"/>
      <c r="C895" s="292"/>
      <c r="D895" s="292"/>
      <c r="E895" s="292"/>
      <c r="F895" s="292"/>
      <c r="G895" s="292"/>
      <c r="H895" s="292"/>
      <c r="I895" s="292"/>
      <c r="J895" s="292"/>
      <c r="K895" s="292"/>
      <c r="L895" s="292"/>
      <c r="M895" s="292"/>
      <c r="N895" s="292"/>
      <c r="O895" s="292"/>
      <c r="P895" s="292"/>
      <c r="Q895" s="292"/>
      <c r="R895" s="292"/>
      <c r="S895" s="292"/>
      <c r="T895" s="292"/>
      <c r="U895" s="292"/>
      <c r="V895" s="292"/>
      <c r="W895" s="292"/>
      <c r="X895" s="292"/>
      <c r="Y895" s="292"/>
      <c r="Z895" s="292"/>
    </row>
    <row r="896" spans="1:26" ht="12.75" customHeight="1" x14ac:dyDescent="0.25">
      <c r="A896" s="292"/>
      <c r="B896" s="292"/>
      <c r="C896" s="292"/>
      <c r="D896" s="292"/>
      <c r="E896" s="292"/>
      <c r="F896" s="292"/>
      <c r="G896" s="292"/>
      <c r="H896" s="292"/>
      <c r="I896" s="292"/>
      <c r="J896" s="292"/>
      <c r="K896" s="292"/>
      <c r="L896" s="292"/>
      <c r="M896" s="292"/>
      <c r="N896" s="292"/>
      <c r="O896" s="292"/>
      <c r="P896" s="292"/>
      <c r="Q896" s="292"/>
      <c r="R896" s="292"/>
      <c r="S896" s="292"/>
      <c r="T896" s="292"/>
      <c r="U896" s="292"/>
      <c r="V896" s="292"/>
      <c r="W896" s="292"/>
      <c r="X896" s="292"/>
      <c r="Y896" s="292"/>
      <c r="Z896" s="292"/>
    </row>
    <row r="897" spans="1:26" ht="12.75" customHeight="1" x14ac:dyDescent="0.25">
      <c r="A897" s="292"/>
      <c r="B897" s="292"/>
      <c r="C897" s="292"/>
      <c r="D897" s="292"/>
      <c r="E897" s="292"/>
      <c r="F897" s="292"/>
      <c r="G897" s="292"/>
      <c r="H897" s="292"/>
      <c r="I897" s="292"/>
      <c r="J897" s="292"/>
      <c r="K897" s="292"/>
      <c r="L897" s="292"/>
      <c r="M897" s="292"/>
      <c r="N897" s="292"/>
      <c r="O897" s="292"/>
      <c r="P897" s="292"/>
      <c r="Q897" s="292"/>
      <c r="R897" s="292"/>
      <c r="S897" s="292"/>
      <c r="T897" s="292"/>
      <c r="U897" s="292"/>
      <c r="V897" s="292"/>
      <c r="W897" s="292"/>
      <c r="X897" s="292"/>
      <c r="Y897" s="292"/>
      <c r="Z897" s="292"/>
    </row>
    <row r="898" spans="1:26" ht="12.75" customHeight="1" x14ac:dyDescent="0.25">
      <c r="A898" s="292"/>
      <c r="B898" s="292"/>
      <c r="C898" s="292"/>
      <c r="D898" s="292"/>
      <c r="E898" s="292"/>
      <c r="F898" s="292"/>
      <c r="G898" s="292"/>
      <c r="H898" s="292"/>
      <c r="I898" s="292"/>
      <c r="J898" s="292"/>
      <c r="K898" s="292"/>
      <c r="L898" s="292"/>
      <c r="M898" s="292"/>
      <c r="N898" s="292"/>
      <c r="O898" s="292"/>
      <c r="P898" s="292"/>
      <c r="Q898" s="292"/>
      <c r="R898" s="292"/>
      <c r="S898" s="292"/>
      <c r="T898" s="292"/>
      <c r="U898" s="292"/>
      <c r="V898" s="292"/>
      <c r="W898" s="292"/>
      <c r="X898" s="292"/>
      <c r="Y898" s="292"/>
      <c r="Z898" s="292"/>
    </row>
    <row r="899" spans="1:26" ht="12.75" customHeight="1" x14ac:dyDescent="0.25">
      <c r="A899" s="292"/>
      <c r="B899" s="292"/>
      <c r="C899" s="292"/>
      <c r="D899" s="292"/>
      <c r="E899" s="292"/>
      <c r="F899" s="292"/>
      <c r="G899" s="292"/>
      <c r="H899" s="292"/>
      <c r="I899" s="292"/>
      <c r="J899" s="292"/>
      <c r="K899" s="292"/>
      <c r="L899" s="292"/>
      <c r="M899" s="292"/>
      <c r="N899" s="292"/>
      <c r="O899" s="292"/>
      <c r="P899" s="292"/>
      <c r="Q899" s="292"/>
      <c r="R899" s="292"/>
      <c r="S899" s="292"/>
      <c r="T899" s="292"/>
      <c r="U899" s="292"/>
      <c r="V899" s="292"/>
      <c r="W899" s="292"/>
      <c r="X899" s="292"/>
      <c r="Y899" s="292"/>
      <c r="Z899" s="292"/>
    </row>
    <row r="900" spans="1:26" ht="12.75" customHeight="1" x14ac:dyDescent="0.25">
      <c r="A900" s="292"/>
      <c r="B900" s="292"/>
      <c r="C900" s="292"/>
      <c r="D900" s="292"/>
      <c r="E900" s="292"/>
      <c r="F900" s="292"/>
      <c r="G900" s="292"/>
      <c r="H900" s="292"/>
      <c r="I900" s="292"/>
      <c r="J900" s="292"/>
      <c r="K900" s="292"/>
      <c r="L900" s="292"/>
      <c r="M900" s="292"/>
      <c r="N900" s="292"/>
      <c r="O900" s="292"/>
      <c r="P900" s="292"/>
      <c r="Q900" s="292"/>
      <c r="R900" s="292"/>
      <c r="S900" s="292"/>
      <c r="T900" s="292"/>
      <c r="U900" s="292"/>
      <c r="V900" s="292"/>
      <c r="W900" s="292"/>
      <c r="X900" s="292"/>
      <c r="Y900" s="292"/>
      <c r="Z900" s="292"/>
    </row>
    <row r="901" spans="1:26" ht="12.75" customHeight="1" x14ac:dyDescent="0.25">
      <c r="A901" s="292"/>
      <c r="B901" s="292"/>
      <c r="C901" s="292"/>
      <c r="D901" s="292"/>
      <c r="E901" s="292"/>
      <c r="F901" s="292"/>
      <c r="G901" s="292"/>
      <c r="H901" s="292"/>
      <c r="I901" s="292"/>
      <c r="J901" s="292"/>
      <c r="K901" s="292"/>
      <c r="L901" s="292"/>
      <c r="M901" s="292"/>
      <c r="N901" s="292"/>
      <c r="O901" s="292"/>
      <c r="P901" s="292"/>
      <c r="Q901" s="292"/>
      <c r="R901" s="292"/>
      <c r="S901" s="292"/>
      <c r="T901" s="292"/>
      <c r="U901" s="292"/>
      <c r="V901" s="292"/>
      <c r="W901" s="292"/>
      <c r="X901" s="292"/>
      <c r="Y901" s="292"/>
      <c r="Z901" s="292"/>
    </row>
    <row r="902" spans="1:26" ht="12.75" customHeight="1" x14ac:dyDescent="0.25">
      <c r="A902" s="292"/>
      <c r="B902" s="292"/>
      <c r="C902" s="292"/>
      <c r="D902" s="292"/>
      <c r="E902" s="292"/>
      <c r="F902" s="292"/>
      <c r="G902" s="292"/>
      <c r="H902" s="292"/>
      <c r="I902" s="292"/>
      <c r="J902" s="292"/>
      <c r="K902" s="292"/>
      <c r="L902" s="292"/>
      <c r="M902" s="292"/>
      <c r="N902" s="292"/>
      <c r="O902" s="292"/>
      <c r="P902" s="292"/>
      <c r="Q902" s="292"/>
      <c r="R902" s="292"/>
      <c r="S902" s="292"/>
      <c r="T902" s="292"/>
      <c r="U902" s="292"/>
      <c r="V902" s="292"/>
      <c r="W902" s="292"/>
      <c r="X902" s="292"/>
      <c r="Y902" s="292"/>
      <c r="Z902" s="292"/>
    </row>
    <row r="903" spans="1:26" ht="12.75" customHeight="1" x14ac:dyDescent="0.25">
      <c r="A903" s="292"/>
      <c r="B903" s="292"/>
      <c r="C903" s="292"/>
      <c r="D903" s="292"/>
      <c r="E903" s="292"/>
      <c r="F903" s="292"/>
      <c r="G903" s="292"/>
      <c r="H903" s="292"/>
      <c r="I903" s="292"/>
      <c r="J903" s="292"/>
      <c r="K903" s="292"/>
      <c r="L903" s="292"/>
      <c r="M903" s="292"/>
      <c r="N903" s="292"/>
      <c r="O903" s="292"/>
      <c r="P903" s="292"/>
      <c r="Q903" s="292"/>
      <c r="R903" s="292"/>
      <c r="S903" s="292"/>
      <c r="T903" s="292"/>
      <c r="U903" s="292"/>
      <c r="V903" s="292"/>
      <c r="W903" s="292"/>
      <c r="X903" s="292"/>
      <c r="Y903" s="292"/>
      <c r="Z903" s="292"/>
    </row>
    <row r="904" spans="1:26" ht="12.75" customHeight="1" x14ac:dyDescent="0.25">
      <c r="A904" s="292"/>
      <c r="B904" s="292"/>
      <c r="C904" s="292"/>
      <c r="D904" s="292"/>
      <c r="E904" s="292"/>
      <c r="F904" s="292"/>
      <c r="G904" s="292"/>
      <c r="H904" s="292"/>
      <c r="I904" s="292"/>
      <c r="J904" s="292"/>
      <c r="K904" s="292"/>
      <c r="L904" s="292"/>
      <c r="M904" s="292"/>
      <c r="N904" s="292"/>
      <c r="O904" s="292"/>
      <c r="P904" s="292"/>
      <c r="Q904" s="292"/>
      <c r="R904" s="292"/>
      <c r="S904" s="292"/>
      <c r="T904" s="292"/>
      <c r="U904" s="292"/>
      <c r="V904" s="292"/>
      <c r="W904" s="292"/>
      <c r="X904" s="292"/>
      <c r="Y904" s="292"/>
      <c r="Z904" s="292"/>
    </row>
    <row r="905" spans="1:26" ht="12.75" customHeight="1" x14ac:dyDescent="0.25">
      <c r="A905" s="292"/>
      <c r="B905" s="292"/>
      <c r="C905" s="292"/>
      <c r="D905" s="292"/>
      <c r="E905" s="292"/>
      <c r="F905" s="292"/>
      <c r="G905" s="292"/>
      <c r="H905" s="292"/>
      <c r="I905" s="292"/>
      <c r="J905" s="292"/>
      <c r="K905" s="292"/>
      <c r="L905" s="292"/>
      <c r="M905" s="292"/>
      <c r="N905" s="292"/>
      <c r="O905" s="292"/>
      <c r="P905" s="292"/>
      <c r="Q905" s="292"/>
      <c r="R905" s="292"/>
      <c r="S905" s="292"/>
      <c r="T905" s="292"/>
      <c r="U905" s="292"/>
      <c r="V905" s="292"/>
      <c r="W905" s="292"/>
      <c r="X905" s="292"/>
      <c r="Y905" s="292"/>
      <c r="Z905" s="292"/>
    </row>
    <row r="906" spans="1:26" ht="12.75" customHeight="1" x14ac:dyDescent="0.25">
      <c r="A906" s="292"/>
      <c r="B906" s="292"/>
      <c r="C906" s="292"/>
      <c r="D906" s="292"/>
      <c r="E906" s="292"/>
      <c r="F906" s="292"/>
      <c r="G906" s="292"/>
      <c r="H906" s="292"/>
      <c r="I906" s="292"/>
      <c r="J906" s="292"/>
      <c r="K906" s="292"/>
      <c r="L906" s="292"/>
      <c r="M906" s="292"/>
      <c r="N906" s="292"/>
      <c r="O906" s="292"/>
      <c r="P906" s="292"/>
      <c r="Q906" s="292"/>
      <c r="R906" s="292"/>
      <c r="S906" s="292"/>
      <c r="T906" s="292"/>
      <c r="U906" s="292"/>
      <c r="V906" s="292"/>
      <c r="W906" s="292"/>
      <c r="X906" s="292"/>
      <c r="Y906" s="292"/>
      <c r="Z906" s="292"/>
    </row>
    <row r="907" spans="1:26" ht="12.75" customHeight="1" x14ac:dyDescent="0.25">
      <c r="A907" s="292"/>
      <c r="B907" s="292"/>
      <c r="C907" s="292"/>
      <c r="D907" s="292"/>
      <c r="E907" s="292"/>
      <c r="F907" s="292"/>
      <c r="G907" s="292"/>
      <c r="H907" s="292"/>
      <c r="I907" s="292"/>
      <c r="J907" s="292"/>
      <c r="K907" s="292"/>
      <c r="L907" s="292"/>
      <c r="M907" s="292"/>
      <c r="N907" s="292"/>
      <c r="O907" s="292"/>
      <c r="P907" s="292"/>
      <c r="Q907" s="292"/>
      <c r="R907" s="292"/>
      <c r="S907" s="292"/>
      <c r="T907" s="292"/>
      <c r="U907" s="292"/>
      <c r="V907" s="292"/>
      <c r="W907" s="292"/>
      <c r="X907" s="292"/>
      <c r="Y907" s="292"/>
      <c r="Z907" s="292"/>
    </row>
    <row r="908" spans="1:26" ht="12.75" customHeight="1" x14ac:dyDescent="0.25">
      <c r="A908" s="292"/>
      <c r="B908" s="292"/>
      <c r="C908" s="292"/>
      <c r="D908" s="292"/>
      <c r="E908" s="292"/>
      <c r="F908" s="292"/>
      <c r="G908" s="292"/>
      <c r="H908" s="292"/>
      <c r="I908" s="292"/>
      <c r="J908" s="292"/>
      <c r="K908" s="292"/>
      <c r="L908" s="292"/>
      <c r="M908" s="292"/>
      <c r="N908" s="292"/>
      <c r="O908" s="292"/>
      <c r="P908" s="292"/>
      <c r="Q908" s="292"/>
      <c r="R908" s="292"/>
      <c r="S908" s="292"/>
      <c r="T908" s="292"/>
      <c r="U908" s="292"/>
      <c r="V908" s="292"/>
      <c r="W908" s="292"/>
      <c r="X908" s="292"/>
      <c r="Y908" s="292"/>
      <c r="Z908" s="292"/>
    </row>
    <row r="909" spans="1:26" ht="12.75" customHeight="1" x14ac:dyDescent="0.25">
      <c r="A909" s="292"/>
      <c r="B909" s="292"/>
      <c r="C909" s="292"/>
      <c r="D909" s="292"/>
      <c r="E909" s="292"/>
      <c r="F909" s="292"/>
      <c r="G909" s="292"/>
      <c r="H909" s="292"/>
      <c r="I909" s="292"/>
      <c r="J909" s="292"/>
      <c r="K909" s="292"/>
      <c r="L909" s="292"/>
      <c r="M909" s="292"/>
      <c r="N909" s="292"/>
      <c r="O909" s="292"/>
      <c r="P909" s="292"/>
      <c r="Q909" s="292"/>
      <c r="R909" s="292"/>
      <c r="S909" s="292"/>
      <c r="T909" s="292"/>
      <c r="U909" s="292"/>
      <c r="V909" s="292"/>
      <c r="W909" s="292"/>
      <c r="X909" s="292"/>
      <c r="Y909" s="292"/>
      <c r="Z909" s="292"/>
    </row>
    <row r="910" spans="1:26" ht="12.75" customHeight="1" x14ac:dyDescent="0.25">
      <c r="A910" s="292"/>
      <c r="B910" s="292"/>
      <c r="C910" s="292"/>
      <c r="D910" s="292"/>
      <c r="E910" s="292"/>
      <c r="F910" s="292"/>
      <c r="G910" s="292"/>
      <c r="H910" s="292"/>
      <c r="I910" s="292"/>
      <c r="J910" s="292"/>
      <c r="K910" s="292"/>
      <c r="L910" s="292"/>
      <c r="M910" s="292"/>
      <c r="N910" s="292"/>
      <c r="O910" s="292"/>
      <c r="P910" s="292"/>
      <c r="Q910" s="292"/>
      <c r="R910" s="292"/>
      <c r="S910" s="292"/>
      <c r="T910" s="292"/>
      <c r="U910" s="292"/>
      <c r="V910" s="292"/>
      <c r="W910" s="292"/>
      <c r="X910" s="292"/>
      <c r="Y910" s="292"/>
      <c r="Z910" s="292"/>
    </row>
    <row r="911" spans="1:26" ht="12.75" customHeight="1" x14ac:dyDescent="0.25">
      <c r="A911" s="292"/>
      <c r="B911" s="292"/>
      <c r="C911" s="292"/>
      <c r="D911" s="292"/>
      <c r="E911" s="292"/>
      <c r="F911" s="292"/>
      <c r="G911" s="292"/>
      <c r="H911" s="292"/>
      <c r="I911" s="292"/>
      <c r="J911" s="292"/>
      <c r="K911" s="292"/>
      <c r="L911" s="292"/>
      <c r="M911" s="292"/>
      <c r="N911" s="292"/>
      <c r="O911" s="292"/>
      <c r="P911" s="292"/>
      <c r="Q911" s="292"/>
      <c r="R911" s="292"/>
      <c r="S911" s="292"/>
      <c r="T911" s="292"/>
      <c r="U911" s="292"/>
      <c r="V911" s="292"/>
      <c r="W911" s="292"/>
      <c r="X911" s="292"/>
      <c r="Y911" s="292"/>
      <c r="Z911" s="292"/>
    </row>
    <row r="912" spans="1:26" ht="12.75" customHeight="1" x14ac:dyDescent="0.25">
      <c r="A912" s="292"/>
      <c r="B912" s="292"/>
      <c r="C912" s="292"/>
      <c r="D912" s="292"/>
      <c r="E912" s="292"/>
      <c r="F912" s="292"/>
      <c r="G912" s="292"/>
      <c r="H912" s="292"/>
      <c r="I912" s="292"/>
      <c r="J912" s="292"/>
      <c r="K912" s="292"/>
      <c r="L912" s="292"/>
      <c r="M912" s="292"/>
      <c r="N912" s="292"/>
      <c r="O912" s="292"/>
      <c r="P912" s="292"/>
      <c r="Q912" s="292"/>
      <c r="R912" s="292"/>
      <c r="S912" s="292"/>
      <c r="T912" s="292"/>
      <c r="U912" s="292"/>
      <c r="V912" s="292"/>
      <c r="W912" s="292"/>
      <c r="X912" s="292"/>
      <c r="Y912" s="292"/>
      <c r="Z912" s="292"/>
    </row>
    <row r="913" spans="1:26" ht="12.75" customHeight="1" x14ac:dyDescent="0.25">
      <c r="A913" s="292"/>
      <c r="B913" s="292"/>
      <c r="C913" s="292"/>
      <c r="D913" s="292"/>
      <c r="E913" s="292"/>
      <c r="F913" s="292"/>
      <c r="G913" s="292"/>
      <c r="H913" s="292"/>
      <c r="I913" s="292"/>
      <c r="J913" s="292"/>
      <c r="K913" s="292"/>
      <c r="L913" s="292"/>
      <c r="M913" s="292"/>
      <c r="N913" s="292"/>
      <c r="O913" s="292"/>
      <c r="P913" s="292"/>
      <c r="Q913" s="292"/>
      <c r="R913" s="292"/>
      <c r="S913" s="292"/>
      <c r="T913" s="292"/>
      <c r="U913" s="292"/>
      <c r="V913" s="292"/>
      <c r="W913" s="292"/>
      <c r="X913" s="292"/>
      <c r="Y913" s="292"/>
      <c r="Z913" s="292"/>
    </row>
    <row r="914" spans="1:26" ht="12.75" customHeight="1" x14ac:dyDescent="0.25">
      <c r="A914" s="292"/>
      <c r="B914" s="292"/>
      <c r="C914" s="292"/>
      <c r="D914" s="292"/>
      <c r="E914" s="292"/>
      <c r="F914" s="292"/>
      <c r="G914" s="292"/>
      <c r="H914" s="292"/>
      <c r="I914" s="292"/>
      <c r="J914" s="292"/>
      <c r="K914" s="292"/>
      <c r="L914" s="292"/>
      <c r="M914" s="292"/>
      <c r="N914" s="292"/>
      <c r="O914" s="292"/>
      <c r="P914" s="292"/>
      <c r="Q914" s="292"/>
      <c r="R914" s="292"/>
      <c r="S914" s="292"/>
      <c r="T914" s="292"/>
      <c r="U914" s="292"/>
      <c r="V914" s="292"/>
      <c r="W914" s="292"/>
      <c r="X914" s="292"/>
      <c r="Y914" s="292"/>
      <c r="Z914" s="292"/>
    </row>
    <row r="915" spans="1:26" ht="12.75" customHeight="1" x14ac:dyDescent="0.25">
      <c r="A915" s="292"/>
      <c r="B915" s="292"/>
      <c r="C915" s="292"/>
      <c r="D915" s="292"/>
      <c r="E915" s="292"/>
      <c r="F915" s="292"/>
      <c r="G915" s="292"/>
      <c r="H915" s="292"/>
      <c r="I915" s="292"/>
      <c r="J915" s="292"/>
      <c r="K915" s="292"/>
      <c r="L915" s="292"/>
      <c r="M915" s="292"/>
      <c r="N915" s="292"/>
      <c r="O915" s="292"/>
      <c r="P915" s="292"/>
      <c r="Q915" s="292"/>
      <c r="R915" s="292"/>
      <c r="S915" s="292"/>
      <c r="T915" s="292"/>
      <c r="U915" s="292"/>
      <c r="V915" s="292"/>
      <c r="W915" s="292"/>
      <c r="X915" s="292"/>
      <c r="Y915" s="292"/>
      <c r="Z915" s="292"/>
    </row>
    <row r="916" spans="1:26" ht="12.75" customHeight="1" x14ac:dyDescent="0.25">
      <c r="A916" s="292"/>
      <c r="B916" s="292"/>
      <c r="C916" s="292"/>
      <c r="D916" s="292"/>
      <c r="E916" s="292"/>
      <c r="F916" s="292"/>
      <c r="G916" s="292"/>
      <c r="H916" s="292"/>
      <c r="I916" s="292"/>
      <c r="J916" s="292"/>
      <c r="K916" s="292"/>
      <c r="L916" s="292"/>
      <c r="M916" s="292"/>
      <c r="N916" s="292"/>
      <c r="O916" s="292"/>
      <c r="P916" s="292"/>
      <c r="Q916" s="292"/>
      <c r="R916" s="292"/>
      <c r="S916" s="292"/>
      <c r="T916" s="292"/>
      <c r="U916" s="292"/>
      <c r="V916" s="292"/>
      <c r="W916" s="292"/>
      <c r="X916" s="292"/>
      <c r="Y916" s="292"/>
      <c r="Z916" s="292"/>
    </row>
    <row r="917" spans="1:26" ht="12.75" customHeight="1" x14ac:dyDescent="0.25">
      <c r="A917" s="292"/>
      <c r="B917" s="292"/>
      <c r="C917" s="292"/>
      <c r="D917" s="292"/>
      <c r="E917" s="292"/>
      <c r="F917" s="292"/>
      <c r="G917" s="292"/>
      <c r="H917" s="292"/>
      <c r="I917" s="292"/>
      <c r="J917" s="292"/>
      <c r="K917" s="292"/>
      <c r="L917" s="292"/>
      <c r="M917" s="292"/>
      <c r="N917" s="292"/>
      <c r="O917" s="292"/>
      <c r="P917" s="292"/>
      <c r="Q917" s="292"/>
      <c r="R917" s="292"/>
      <c r="S917" s="292"/>
      <c r="T917" s="292"/>
      <c r="U917" s="292"/>
      <c r="V917" s="292"/>
      <c r="W917" s="292"/>
      <c r="X917" s="292"/>
      <c r="Y917" s="292"/>
      <c r="Z917" s="292"/>
    </row>
    <row r="918" spans="1:26" ht="12.75" customHeight="1" x14ac:dyDescent="0.25">
      <c r="A918" s="292"/>
      <c r="B918" s="292"/>
      <c r="C918" s="292"/>
      <c r="D918" s="292"/>
      <c r="E918" s="292"/>
      <c r="F918" s="292"/>
      <c r="G918" s="292"/>
      <c r="H918" s="292"/>
      <c r="I918" s="292"/>
      <c r="J918" s="292"/>
      <c r="K918" s="292"/>
      <c r="L918" s="292"/>
      <c r="M918" s="292"/>
      <c r="N918" s="292"/>
      <c r="O918" s="292"/>
      <c r="P918" s="292"/>
      <c r="Q918" s="292"/>
      <c r="R918" s="292"/>
      <c r="S918" s="292"/>
      <c r="T918" s="292"/>
      <c r="U918" s="292"/>
      <c r="V918" s="292"/>
      <c r="W918" s="292"/>
      <c r="X918" s="292"/>
      <c r="Y918" s="292"/>
      <c r="Z918" s="292"/>
    </row>
    <row r="919" spans="1:26" ht="12.75" customHeight="1" x14ac:dyDescent="0.25">
      <c r="A919" s="292"/>
      <c r="B919" s="292"/>
      <c r="C919" s="292"/>
      <c r="D919" s="292"/>
      <c r="E919" s="292"/>
      <c r="F919" s="292"/>
      <c r="G919" s="292"/>
      <c r="H919" s="292"/>
      <c r="I919" s="292"/>
      <c r="J919" s="292"/>
      <c r="K919" s="292"/>
      <c r="L919" s="292"/>
      <c r="M919" s="292"/>
      <c r="N919" s="292"/>
      <c r="O919" s="292"/>
      <c r="P919" s="292"/>
      <c r="Q919" s="292"/>
      <c r="R919" s="292"/>
      <c r="S919" s="292"/>
      <c r="T919" s="292"/>
      <c r="U919" s="292"/>
      <c r="V919" s="292"/>
      <c r="W919" s="292"/>
      <c r="X919" s="292"/>
      <c r="Y919" s="292"/>
      <c r="Z919" s="292"/>
    </row>
    <row r="920" spans="1:26" ht="12.75" customHeight="1" x14ac:dyDescent="0.25">
      <c r="A920" s="292"/>
      <c r="B920" s="292"/>
      <c r="C920" s="292"/>
      <c r="D920" s="292"/>
      <c r="E920" s="292"/>
      <c r="F920" s="292"/>
      <c r="G920" s="292"/>
      <c r="H920" s="292"/>
      <c r="I920" s="292"/>
      <c r="J920" s="292"/>
      <c r="K920" s="292"/>
      <c r="L920" s="292"/>
      <c r="M920" s="292"/>
      <c r="N920" s="292"/>
      <c r="O920" s="292"/>
      <c r="P920" s="292"/>
      <c r="Q920" s="292"/>
      <c r="R920" s="292"/>
      <c r="S920" s="292"/>
      <c r="T920" s="292"/>
      <c r="U920" s="292"/>
      <c r="V920" s="292"/>
      <c r="W920" s="292"/>
      <c r="X920" s="292"/>
      <c r="Y920" s="292"/>
      <c r="Z920" s="292"/>
    </row>
    <row r="921" spans="1:26" ht="12.75" customHeight="1" x14ac:dyDescent="0.25">
      <c r="A921" s="292"/>
      <c r="B921" s="292"/>
      <c r="C921" s="292"/>
      <c r="D921" s="292"/>
      <c r="E921" s="292"/>
      <c r="F921" s="292"/>
      <c r="G921" s="292"/>
      <c r="H921" s="292"/>
      <c r="I921" s="292"/>
      <c r="J921" s="292"/>
      <c r="K921" s="292"/>
      <c r="L921" s="292"/>
      <c r="M921" s="292"/>
      <c r="N921" s="292"/>
      <c r="O921" s="292"/>
      <c r="P921" s="292"/>
      <c r="Q921" s="292"/>
      <c r="R921" s="292"/>
      <c r="S921" s="292"/>
      <c r="T921" s="292"/>
      <c r="U921" s="292"/>
      <c r="V921" s="292"/>
      <c r="W921" s="292"/>
      <c r="X921" s="292"/>
      <c r="Y921" s="292"/>
      <c r="Z921" s="292"/>
    </row>
    <row r="922" spans="1:26" ht="12.75" customHeight="1" x14ac:dyDescent="0.25">
      <c r="A922" s="292"/>
      <c r="B922" s="292"/>
      <c r="C922" s="292"/>
      <c r="D922" s="292"/>
      <c r="E922" s="292"/>
      <c r="F922" s="292"/>
      <c r="G922" s="292"/>
      <c r="H922" s="292"/>
      <c r="I922" s="292"/>
      <c r="J922" s="292"/>
      <c r="K922" s="292"/>
      <c r="L922" s="292"/>
      <c r="M922" s="292"/>
      <c r="N922" s="292"/>
      <c r="O922" s="292"/>
      <c r="P922" s="292"/>
      <c r="Q922" s="292"/>
      <c r="R922" s="292"/>
      <c r="S922" s="292"/>
      <c r="T922" s="292"/>
      <c r="U922" s="292"/>
      <c r="V922" s="292"/>
      <c r="W922" s="292"/>
      <c r="X922" s="292"/>
      <c r="Y922" s="292"/>
      <c r="Z922" s="292"/>
    </row>
    <row r="923" spans="1:26" ht="12.75" customHeight="1" x14ac:dyDescent="0.25">
      <c r="A923" s="292"/>
      <c r="B923" s="292"/>
      <c r="C923" s="292"/>
      <c r="D923" s="292"/>
      <c r="E923" s="292"/>
      <c r="F923" s="292"/>
      <c r="G923" s="292"/>
      <c r="H923" s="292"/>
      <c r="I923" s="292"/>
      <c r="J923" s="292"/>
      <c r="K923" s="292"/>
      <c r="L923" s="292"/>
      <c r="M923" s="292"/>
      <c r="N923" s="292"/>
      <c r="O923" s="292"/>
      <c r="P923" s="292"/>
      <c r="Q923" s="292"/>
      <c r="R923" s="292"/>
      <c r="S923" s="292"/>
      <c r="T923" s="292"/>
      <c r="U923" s="292"/>
      <c r="V923" s="292"/>
      <c r="W923" s="292"/>
      <c r="X923" s="292"/>
      <c r="Y923" s="292"/>
      <c r="Z923" s="292"/>
    </row>
    <row r="924" spans="1:26" ht="12.75" customHeight="1" x14ac:dyDescent="0.25">
      <c r="A924" s="292"/>
      <c r="B924" s="292"/>
      <c r="C924" s="292"/>
      <c r="D924" s="292"/>
      <c r="E924" s="292"/>
      <c r="F924" s="292"/>
      <c r="G924" s="292"/>
      <c r="H924" s="292"/>
      <c r="I924" s="292"/>
      <c r="J924" s="292"/>
      <c r="K924" s="292"/>
      <c r="L924" s="292"/>
      <c r="M924" s="292"/>
      <c r="N924" s="292"/>
      <c r="O924" s="292"/>
      <c r="P924" s="292"/>
      <c r="Q924" s="292"/>
      <c r="R924" s="292"/>
      <c r="S924" s="292"/>
      <c r="T924" s="292"/>
      <c r="U924" s="292"/>
      <c r="V924" s="292"/>
      <c r="W924" s="292"/>
      <c r="X924" s="292"/>
      <c r="Y924" s="292"/>
      <c r="Z924" s="292"/>
    </row>
    <row r="925" spans="1:26" ht="12.75" customHeight="1" x14ac:dyDescent="0.25">
      <c r="A925" s="292"/>
      <c r="B925" s="292"/>
      <c r="C925" s="292"/>
      <c r="D925" s="292"/>
      <c r="E925" s="292"/>
      <c r="F925" s="292"/>
      <c r="G925" s="292"/>
      <c r="H925" s="292"/>
      <c r="I925" s="292"/>
      <c r="J925" s="292"/>
      <c r="K925" s="292"/>
      <c r="L925" s="292"/>
      <c r="M925" s="292"/>
      <c r="N925" s="292"/>
      <c r="O925" s="292"/>
      <c r="P925" s="292"/>
      <c r="Q925" s="292"/>
      <c r="R925" s="292"/>
      <c r="S925" s="292"/>
      <c r="T925" s="292"/>
      <c r="U925" s="292"/>
      <c r="V925" s="292"/>
      <c r="W925" s="292"/>
      <c r="X925" s="292"/>
      <c r="Y925" s="292"/>
      <c r="Z925" s="292"/>
    </row>
    <row r="926" spans="1:26" ht="12.75" customHeight="1" x14ac:dyDescent="0.25">
      <c r="A926" s="292"/>
      <c r="B926" s="292"/>
      <c r="C926" s="292"/>
      <c r="D926" s="292"/>
      <c r="E926" s="292"/>
      <c r="F926" s="292"/>
      <c r="G926" s="292"/>
      <c r="H926" s="292"/>
      <c r="I926" s="292"/>
      <c r="J926" s="292"/>
      <c r="K926" s="292"/>
      <c r="L926" s="292"/>
      <c r="M926" s="292"/>
      <c r="N926" s="292"/>
      <c r="O926" s="292"/>
      <c r="P926" s="292"/>
      <c r="Q926" s="292"/>
      <c r="R926" s="292"/>
      <c r="S926" s="292"/>
      <c r="T926" s="292"/>
      <c r="U926" s="292"/>
      <c r="V926" s="292"/>
      <c r="W926" s="292"/>
      <c r="X926" s="292"/>
      <c r="Y926" s="292"/>
      <c r="Z926" s="292"/>
    </row>
    <row r="927" spans="1:26" ht="12.75" customHeight="1" x14ac:dyDescent="0.25">
      <c r="A927" s="292"/>
      <c r="B927" s="292"/>
      <c r="C927" s="292"/>
      <c r="D927" s="292"/>
      <c r="E927" s="292"/>
      <c r="F927" s="292"/>
      <c r="G927" s="292"/>
      <c r="H927" s="292"/>
      <c r="I927" s="292"/>
      <c r="J927" s="292"/>
      <c r="K927" s="292"/>
      <c r="L927" s="292"/>
      <c r="M927" s="292"/>
      <c r="N927" s="292"/>
      <c r="O927" s="292"/>
      <c r="P927" s="292"/>
      <c r="Q927" s="292"/>
      <c r="R927" s="292"/>
      <c r="S927" s="292"/>
      <c r="T927" s="292"/>
      <c r="U927" s="292"/>
      <c r="V927" s="292"/>
      <c r="W927" s="292"/>
      <c r="X927" s="292"/>
      <c r="Y927" s="292"/>
      <c r="Z927" s="292"/>
    </row>
    <row r="928" spans="1:26" ht="12.75" customHeight="1" x14ac:dyDescent="0.25">
      <c r="A928" s="292"/>
      <c r="B928" s="292"/>
      <c r="C928" s="292"/>
      <c r="D928" s="292"/>
      <c r="E928" s="292"/>
      <c r="F928" s="292"/>
      <c r="G928" s="292"/>
      <c r="H928" s="292"/>
      <c r="I928" s="292"/>
      <c r="J928" s="292"/>
      <c r="K928" s="292"/>
      <c r="L928" s="292"/>
      <c r="M928" s="292"/>
      <c r="N928" s="292"/>
      <c r="O928" s="292"/>
      <c r="P928" s="292"/>
      <c r="Q928" s="292"/>
      <c r="R928" s="292"/>
      <c r="S928" s="292"/>
      <c r="T928" s="292"/>
      <c r="U928" s="292"/>
      <c r="V928" s="292"/>
      <c r="W928" s="292"/>
      <c r="X928" s="292"/>
      <c r="Y928" s="292"/>
      <c r="Z928" s="292"/>
    </row>
    <row r="929" spans="1:26" ht="12.75" customHeight="1" x14ac:dyDescent="0.25">
      <c r="A929" s="292"/>
      <c r="B929" s="292"/>
      <c r="C929" s="292"/>
      <c r="D929" s="292"/>
      <c r="E929" s="292"/>
      <c r="F929" s="292"/>
      <c r="G929" s="292"/>
      <c r="H929" s="292"/>
      <c r="I929" s="292"/>
      <c r="J929" s="292"/>
      <c r="K929" s="292"/>
      <c r="L929" s="292"/>
      <c r="M929" s="292"/>
      <c r="N929" s="292"/>
      <c r="O929" s="292"/>
      <c r="P929" s="292"/>
      <c r="Q929" s="292"/>
      <c r="R929" s="292"/>
      <c r="S929" s="292"/>
      <c r="T929" s="292"/>
      <c r="U929" s="292"/>
      <c r="V929" s="292"/>
      <c r="W929" s="292"/>
      <c r="X929" s="292"/>
      <c r="Y929" s="292"/>
      <c r="Z929" s="292"/>
    </row>
    <row r="930" spans="1:26" ht="12.75" customHeight="1" x14ac:dyDescent="0.25">
      <c r="A930" s="292"/>
      <c r="B930" s="292"/>
      <c r="C930" s="292"/>
      <c r="D930" s="292"/>
      <c r="E930" s="292"/>
      <c r="F930" s="292"/>
      <c r="G930" s="292"/>
      <c r="H930" s="292"/>
      <c r="I930" s="292"/>
      <c r="J930" s="292"/>
      <c r="K930" s="292"/>
      <c r="L930" s="292"/>
      <c r="M930" s="292"/>
      <c r="N930" s="292"/>
      <c r="O930" s="292"/>
      <c r="P930" s="292"/>
      <c r="Q930" s="292"/>
      <c r="R930" s="292"/>
      <c r="S930" s="292"/>
      <c r="T930" s="292"/>
      <c r="U930" s="292"/>
      <c r="V930" s="292"/>
      <c r="W930" s="292"/>
      <c r="X930" s="292"/>
      <c r="Y930" s="292"/>
      <c r="Z930" s="292"/>
    </row>
    <row r="931" spans="1:26" ht="12.75" customHeight="1" x14ac:dyDescent="0.25">
      <c r="A931" s="292"/>
      <c r="B931" s="292"/>
      <c r="C931" s="292"/>
      <c r="D931" s="292"/>
      <c r="E931" s="292"/>
      <c r="F931" s="292"/>
      <c r="G931" s="292"/>
      <c r="H931" s="292"/>
      <c r="I931" s="292"/>
      <c r="J931" s="292"/>
      <c r="K931" s="292"/>
      <c r="L931" s="292"/>
      <c r="M931" s="292"/>
      <c r="N931" s="292"/>
      <c r="O931" s="292"/>
      <c r="P931" s="292"/>
      <c r="Q931" s="292"/>
      <c r="R931" s="292"/>
      <c r="S931" s="292"/>
      <c r="T931" s="292"/>
      <c r="U931" s="292"/>
      <c r="V931" s="292"/>
      <c r="W931" s="292"/>
      <c r="X931" s="292"/>
      <c r="Y931" s="292"/>
      <c r="Z931" s="292"/>
    </row>
    <row r="932" spans="1:26" ht="12.75" customHeight="1" x14ac:dyDescent="0.25">
      <c r="A932" s="292"/>
      <c r="B932" s="292"/>
      <c r="C932" s="292"/>
      <c r="D932" s="292"/>
      <c r="E932" s="292"/>
      <c r="F932" s="292"/>
      <c r="G932" s="292"/>
      <c r="H932" s="292"/>
      <c r="I932" s="292"/>
      <c r="J932" s="292"/>
      <c r="K932" s="292"/>
      <c r="L932" s="292"/>
      <c r="M932" s="292"/>
      <c r="N932" s="292"/>
      <c r="O932" s="292"/>
      <c r="P932" s="292"/>
      <c r="Q932" s="292"/>
      <c r="R932" s="292"/>
      <c r="S932" s="292"/>
      <c r="T932" s="292"/>
      <c r="U932" s="292"/>
      <c r="V932" s="292"/>
      <c r="W932" s="292"/>
      <c r="X932" s="292"/>
      <c r="Y932" s="292"/>
      <c r="Z932" s="292"/>
    </row>
    <row r="933" spans="1:26" ht="12.75" customHeight="1" x14ac:dyDescent="0.25">
      <c r="A933" s="292"/>
      <c r="B933" s="292"/>
      <c r="C933" s="292"/>
      <c r="D933" s="292"/>
      <c r="E933" s="292"/>
      <c r="F933" s="292"/>
      <c r="G933" s="292"/>
      <c r="H933" s="292"/>
      <c r="I933" s="292"/>
      <c r="J933" s="292"/>
      <c r="K933" s="292"/>
      <c r="L933" s="292"/>
      <c r="M933" s="292"/>
      <c r="N933" s="292"/>
      <c r="O933" s="292"/>
      <c r="P933" s="292"/>
      <c r="Q933" s="292"/>
      <c r="R933" s="292"/>
      <c r="S933" s="292"/>
      <c r="T933" s="292"/>
      <c r="U933" s="292"/>
      <c r="V933" s="292"/>
      <c r="W933" s="292"/>
      <c r="X933" s="292"/>
      <c r="Y933" s="292"/>
      <c r="Z933" s="292"/>
    </row>
    <row r="934" spans="1:26" ht="12.75" customHeight="1" x14ac:dyDescent="0.25">
      <c r="A934" s="292"/>
      <c r="B934" s="292"/>
      <c r="C934" s="292"/>
      <c r="D934" s="292"/>
      <c r="E934" s="292"/>
      <c r="F934" s="292"/>
      <c r="G934" s="292"/>
      <c r="H934" s="292"/>
      <c r="I934" s="292"/>
      <c r="J934" s="292"/>
      <c r="K934" s="292"/>
      <c r="L934" s="292"/>
      <c r="M934" s="292"/>
      <c r="N934" s="292"/>
      <c r="O934" s="292"/>
      <c r="P934" s="292"/>
      <c r="Q934" s="292"/>
      <c r="R934" s="292"/>
      <c r="S934" s="292"/>
      <c r="T934" s="292"/>
      <c r="U934" s="292"/>
      <c r="V934" s="292"/>
      <c r="W934" s="292"/>
      <c r="X934" s="292"/>
      <c r="Y934" s="292"/>
      <c r="Z934" s="292"/>
    </row>
    <row r="935" spans="1:26" ht="12.75" customHeight="1" x14ac:dyDescent="0.25">
      <c r="A935" s="292"/>
      <c r="B935" s="292"/>
      <c r="C935" s="292"/>
      <c r="D935" s="292"/>
      <c r="E935" s="292"/>
      <c r="F935" s="292"/>
      <c r="G935" s="292"/>
      <c r="H935" s="292"/>
      <c r="I935" s="292"/>
      <c r="J935" s="292"/>
      <c r="K935" s="292"/>
      <c r="L935" s="292"/>
      <c r="M935" s="292"/>
      <c r="N935" s="292"/>
      <c r="O935" s="292"/>
      <c r="P935" s="292"/>
      <c r="Q935" s="292"/>
      <c r="R935" s="292"/>
      <c r="S935" s="292"/>
      <c r="T935" s="292"/>
      <c r="U935" s="292"/>
      <c r="V935" s="292"/>
      <c r="W935" s="292"/>
      <c r="X935" s="292"/>
      <c r="Y935" s="292"/>
      <c r="Z935" s="292"/>
    </row>
    <row r="936" spans="1:26" ht="12.75" customHeight="1" x14ac:dyDescent="0.25">
      <c r="A936" s="292"/>
      <c r="B936" s="292"/>
      <c r="C936" s="292"/>
      <c r="D936" s="292"/>
      <c r="E936" s="292"/>
      <c r="F936" s="292"/>
      <c r="G936" s="292"/>
      <c r="H936" s="292"/>
      <c r="I936" s="292"/>
      <c r="J936" s="292"/>
      <c r="K936" s="292"/>
      <c r="L936" s="292"/>
      <c r="M936" s="292"/>
      <c r="N936" s="292"/>
      <c r="O936" s="292"/>
      <c r="P936" s="292"/>
      <c r="Q936" s="292"/>
      <c r="R936" s="292"/>
      <c r="S936" s="292"/>
      <c r="T936" s="292"/>
      <c r="U936" s="292"/>
      <c r="V936" s="292"/>
      <c r="W936" s="292"/>
      <c r="X936" s="292"/>
      <c r="Y936" s="292"/>
      <c r="Z936" s="292"/>
    </row>
    <row r="937" spans="1:26" ht="12.75" customHeight="1" x14ac:dyDescent="0.25">
      <c r="A937" s="292"/>
      <c r="B937" s="292"/>
      <c r="C937" s="292"/>
      <c r="D937" s="292"/>
      <c r="E937" s="292"/>
      <c r="F937" s="292"/>
      <c r="G937" s="292"/>
      <c r="H937" s="292"/>
      <c r="I937" s="292"/>
      <c r="J937" s="292"/>
      <c r="K937" s="292"/>
      <c r="L937" s="292"/>
      <c r="M937" s="292"/>
      <c r="N937" s="292"/>
      <c r="O937" s="292"/>
      <c r="P937" s="292"/>
      <c r="Q937" s="292"/>
      <c r="R937" s="292"/>
      <c r="S937" s="292"/>
      <c r="T937" s="292"/>
      <c r="U937" s="292"/>
      <c r="V937" s="292"/>
      <c r="W937" s="292"/>
      <c r="X937" s="292"/>
      <c r="Y937" s="292"/>
      <c r="Z937" s="292"/>
    </row>
    <row r="938" spans="1:26" ht="12.75" customHeight="1" x14ac:dyDescent="0.25">
      <c r="A938" s="292"/>
      <c r="B938" s="292"/>
      <c r="C938" s="292"/>
      <c r="D938" s="292"/>
      <c r="E938" s="292"/>
      <c r="F938" s="292"/>
      <c r="G938" s="292"/>
      <c r="H938" s="292"/>
      <c r="I938" s="292"/>
      <c r="J938" s="292"/>
      <c r="K938" s="292"/>
      <c r="L938" s="292"/>
      <c r="M938" s="292"/>
      <c r="N938" s="292"/>
      <c r="O938" s="292"/>
      <c r="P938" s="292"/>
      <c r="Q938" s="292"/>
      <c r="R938" s="292"/>
      <c r="S938" s="292"/>
      <c r="T938" s="292"/>
      <c r="U938" s="292"/>
      <c r="V938" s="292"/>
      <c r="W938" s="292"/>
      <c r="X938" s="292"/>
      <c r="Y938" s="292"/>
      <c r="Z938" s="292"/>
    </row>
    <row r="939" spans="1:26" ht="12.75" customHeight="1" x14ac:dyDescent="0.25">
      <c r="A939" s="292"/>
      <c r="B939" s="292"/>
      <c r="C939" s="292"/>
      <c r="D939" s="292"/>
      <c r="E939" s="292"/>
      <c r="F939" s="292"/>
      <c r="G939" s="292"/>
      <c r="H939" s="292"/>
      <c r="I939" s="292"/>
      <c r="J939" s="292"/>
      <c r="K939" s="292"/>
      <c r="L939" s="292"/>
      <c r="M939" s="292"/>
      <c r="N939" s="292"/>
      <c r="O939" s="292"/>
      <c r="P939" s="292"/>
      <c r="Q939" s="292"/>
      <c r="R939" s="292"/>
      <c r="S939" s="292"/>
      <c r="T939" s="292"/>
      <c r="U939" s="292"/>
      <c r="V939" s="292"/>
      <c r="W939" s="292"/>
      <c r="X939" s="292"/>
      <c r="Y939" s="292"/>
      <c r="Z939" s="292"/>
    </row>
    <row r="940" spans="1:26" ht="12.75" customHeight="1" x14ac:dyDescent="0.25">
      <c r="A940" s="292"/>
      <c r="B940" s="292"/>
      <c r="C940" s="292"/>
      <c r="D940" s="292"/>
      <c r="E940" s="292"/>
      <c r="F940" s="292"/>
      <c r="G940" s="292"/>
      <c r="H940" s="292"/>
      <c r="I940" s="292"/>
      <c r="J940" s="292"/>
      <c r="K940" s="292"/>
      <c r="L940" s="292"/>
      <c r="M940" s="292"/>
      <c r="N940" s="292"/>
      <c r="O940" s="292"/>
      <c r="P940" s="292"/>
      <c r="Q940" s="292"/>
      <c r="R940" s="292"/>
      <c r="S940" s="292"/>
      <c r="T940" s="292"/>
      <c r="U940" s="292"/>
      <c r="V940" s="292"/>
      <c r="W940" s="292"/>
      <c r="X940" s="292"/>
      <c r="Y940" s="292"/>
      <c r="Z940" s="292"/>
    </row>
    <row r="941" spans="1:26" ht="12.75" customHeight="1" x14ac:dyDescent="0.25">
      <c r="A941" s="292"/>
      <c r="B941" s="292"/>
      <c r="C941" s="292"/>
      <c r="D941" s="292"/>
      <c r="E941" s="292"/>
      <c r="F941" s="292"/>
      <c r="G941" s="292"/>
      <c r="H941" s="292"/>
      <c r="I941" s="292"/>
      <c r="J941" s="292"/>
      <c r="K941" s="292"/>
      <c r="L941" s="292"/>
      <c r="M941" s="292"/>
      <c r="N941" s="292"/>
      <c r="O941" s="292"/>
      <c r="P941" s="292"/>
      <c r="Q941" s="292"/>
      <c r="R941" s="292"/>
      <c r="S941" s="292"/>
      <c r="T941" s="292"/>
      <c r="U941" s="292"/>
      <c r="V941" s="292"/>
      <c r="W941" s="292"/>
      <c r="X941" s="292"/>
      <c r="Y941" s="292"/>
      <c r="Z941" s="292"/>
    </row>
    <row r="942" spans="1:26" ht="12.75" customHeight="1" x14ac:dyDescent="0.25">
      <c r="A942" s="292"/>
      <c r="B942" s="292"/>
      <c r="C942" s="292"/>
      <c r="D942" s="292"/>
      <c r="E942" s="292"/>
      <c r="F942" s="292"/>
      <c r="G942" s="292"/>
      <c r="H942" s="292"/>
      <c r="I942" s="292"/>
      <c r="J942" s="292"/>
      <c r="K942" s="292"/>
      <c r="L942" s="292"/>
      <c r="M942" s="292"/>
      <c r="N942" s="292"/>
      <c r="O942" s="292"/>
      <c r="P942" s="292"/>
      <c r="Q942" s="292"/>
      <c r="R942" s="292"/>
      <c r="S942" s="292"/>
      <c r="T942" s="292"/>
      <c r="U942" s="292"/>
      <c r="V942" s="292"/>
      <c r="W942" s="292"/>
      <c r="X942" s="292"/>
      <c r="Y942" s="292"/>
      <c r="Z942" s="292"/>
    </row>
    <row r="943" spans="1:26" ht="12.75" customHeight="1" x14ac:dyDescent="0.25">
      <c r="A943" s="292"/>
      <c r="B943" s="292"/>
      <c r="C943" s="292"/>
      <c r="D943" s="292"/>
      <c r="E943" s="292"/>
      <c r="F943" s="292"/>
      <c r="G943" s="292"/>
      <c r="H943" s="292"/>
      <c r="I943" s="292"/>
      <c r="J943" s="292"/>
      <c r="K943" s="292"/>
      <c r="L943" s="292"/>
      <c r="M943" s="292"/>
      <c r="N943" s="292"/>
      <c r="O943" s="292"/>
      <c r="P943" s="292"/>
      <c r="Q943" s="292"/>
      <c r="R943" s="292"/>
      <c r="S943" s="292"/>
      <c r="T943" s="292"/>
      <c r="U943" s="292"/>
      <c r="V943" s="292"/>
      <c r="W943" s="292"/>
      <c r="X943" s="292"/>
      <c r="Y943" s="292"/>
      <c r="Z943" s="292"/>
    </row>
    <row r="944" spans="1:26" ht="12.75" customHeight="1" x14ac:dyDescent="0.25">
      <c r="A944" s="292"/>
      <c r="B944" s="292"/>
      <c r="C944" s="292"/>
      <c r="D944" s="292"/>
      <c r="E944" s="292"/>
      <c r="F944" s="292"/>
      <c r="G944" s="292"/>
      <c r="H944" s="292"/>
      <c r="I944" s="292"/>
      <c r="J944" s="292"/>
      <c r="K944" s="292"/>
      <c r="L944" s="292"/>
      <c r="M944" s="292"/>
      <c r="N944" s="292"/>
      <c r="O944" s="292"/>
      <c r="P944" s="292"/>
      <c r="Q944" s="292"/>
      <c r="R944" s="292"/>
      <c r="S944" s="292"/>
      <c r="T944" s="292"/>
      <c r="U944" s="292"/>
      <c r="V944" s="292"/>
      <c r="W944" s="292"/>
      <c r="X944" s="292"/>
      <c r="Y944" s="292"/>
      <c r="Z944" s="292"/>
    </row>
    <row r="945" spans="1:26" ht="12.75" customHeight="1" x14ac:dyDescent="0.25">
      <c r="A945" s="292"/>
      <c r="B945" s="292"/>
      <c r="C945" s="292"/>
      <c r="D945" s="292"/>
      <c r="E945" s="292"/>
      <c r="F945" s="292"/>
      <c r="G945" s="292"/>
      <c r="H945" s="292"/>
      <c r="I945" s="292"/>
      <c r="J945" s="292"/>
      <c r="K945" s="292"/>
      <c r="L945" s="292"/>
      <c r="M945" s="292"/>
      <c r="N945" s="292"/>
      <c r="O945" s="292"/>
      <c r="P945" s="292"/>
      <c r="Q945" s="292"/>
      <c r="R945" s="292"/>
      <c r="S945" s="292"/>
      <c r="T945" s="292"/>
      <c r="U945" s="292"/>
      <c r="V945" s="292"/>
      <c r="W945" s="292"/>
      <c r="X945" s="292"/>
      <c r="Y945" s="292"/>
      <c r="Z945" s="292"/>
    </row>
    <row r="946" spans="1:26" ht="12.75" customHeight="1" x14ac:dyDescent="0.25">
      <c r="A946" s="292"/>
      <c r="B946" s="292"/>
      <c r="C946" s="292"/>
      <c r="D946" s="292"/>
      <c r="E946" s="292"/>
      <c r="F946" s="292"/>
      <c r="G946" s="292"/>
      <c r="H946" s="292"/>
      <c r="I946" s="292"/>
      <c r="J946" s="292"/>
      <c r="K946" s="292"/>
      <c r="L946" s="292"/>
      <c r="M946" s="292"/>
      <c r="N946" s="292"/>
      <c r="O946" s="292"/>
      <c r="P946" s="292"/>
      <c r="Q946" s="292"/>
      <c r="R946" s="292"/>
      <c r="S946" s="292"/>
      <c r="T946" s="292"/>
      <c r="U946" s="292"/>
      <c r="V946" s="292"/>
      <c r="W946" s="292"/>
      <c r="X946" s="292"/>
      <c r="Y946" s="292"/>
      <c r="Z946" s="292"/>
    </row>
    <row r="947" spans="1:26" ht="12.75" customHeight="1" x14ac:dyDescent="0.25">
      <c r="A947" s="292"/>
      <c r="B947" s="292"/>
      <c r="C947" s="292"/>
      <c r="D947" s="292"/>
      <c r="E947" s="292"/>
      <c r="F947" s="292"/>
      <c r="G947" s="292"/>
      <c r="H947" s="292"/>
      <c r="I947" s="292"/>
      <c r="J947" s="292"/>
      <c r="K947" s="292"/>
      <c r="L947" s="292"/>
      <c r="M947" s="292"/>
      <c r="N947" s="292"/>
      <c r="O947" s="292"/>
      <c r="P947" s="292"/>
      <c r="Q947" s="292"/>
      <c r="R947" s="292"/>
      <c r="S947" s="292"/>
      <c r="T947" s="292"/>
      <c r="U947" s="292"/>
      <c r="V947" s="292"/>
      <c r="W947" s="292"/>
      <c r="X947" s="292"/>
      <c r="Y947" s="292"/>
      <c r="Z947" s="292"/>
    </row>
    <row r="948" spans="1:26" ht="12.75" customHeight="1" x14ac:dyDescent="0.25">
      <c r="A948" s="292"/>
      <c r="B948" s="292"/>
      <c r="C948" s="292"/>
      <c r="D948" s="292"/>
      <c r="E948" s="292"/>
      <c r="F948" s="292"/>
      <c r="G948" s="292"/>
      <c r="H948" s="292"/>
      <c r="I948" s="292"/>
      <c r="J948" s="292"/>
      <c r="K948" s="292"/>
      <c r="L948" s="292"/>
      <c r="M948" s="292"/>
      <c r="N948" s="292"/>
      <c r="O948" s="292"/>
      <c r="P948" s="292"/>
      <c r="Q948" s="292"/>
      <c r="R948" s="292"/>
      <c r="S948" s="292"/>
      <c r="T948" s="292"/>
      <c r="U948" s="292"/>
      <c r="V948" s="292"/>
      <c r="W948" s="292"/>
      <c r="X948" s="292"/>
      <c r="Y948" s="292"/>
      <c r="Z948" s="292"/>
    </row>
    <row r="949" spans="1:26" ht="12.75" customHeight="1" x14ac:dyDescent="0.25">
      <c r="A949" s="292"/>
      <c r="B949" s="292"/>
      <c r="C949" s="292"/>
      <c r="D949" s="292"/>
      <c r="E949" s="292"/>
      <c r="F949" s="292"/>
      <c r="G949" s="292"/>
      <c r="H949" s="292"/>
      <c r="I949" s="292"/>
      <c r="J949" s="292"/>
      <c r="K949" s="292"/>
      <c r="L949" s="292"/>
      <c r="M949" s="292"/>
      <c r="N949" s="292"/>
      <c r="O949" s="292"/>
      <c r="P949" s="292"/>
      <c r="Q949" s="292"/>
      <c r="R949" s="292"/>
      <c r="S949" s="292"/>
      <c r="T949" s="292"/>
      <c r="U949" s="292"/>
      <c r="V949" s="292"/>
      <c r="W949" s="292"/>
      <c r="X949" s="292"/>
      <c r="Y949" s="292"/>
      <c r="Z949" s="292"/>
    </row>
    <row r="950" spans="1:26" ht="12.75" customHeight="1" x14ac:dyDescent="0.25">
      <c r="A950" s="292"/>
      <c r="B950" s="292"/>
      <c r="C950" s="292"/>
      <c r="D950" s="292"/>
      <c r="E950" s="292"/>
      <c r="F950" s="292"/>
      <c r="G950" s="292"/>
      <c r="H950" s="292"/>
      <c r="I950" s="292"/>
      <c r="J950" s="292"/>
      <c r="K950" s="292"/>
      <c r="L950" s="292"/>
      <c r="M950" s="292"/>
      <c r="N950" s="292"/>
      <c r="O950" s="292"/>
      <c r="P950" s="292"/>
      <c r="Q950" s="292"/>
      <c r="R950" s="292"/>
      <c r="S950" s="292"/>
      <c r="T950" s="292"/>
      <c r="U950" s="292"/>
      <c r="V950" s="292"/>
      <c r="W950" s="292"/>
      <c r="X950" s="292"/>
      <c r="Y950" s="292"/>
      <c r="Z950" s="292"/>
    </row>
    <row r="951" spans="1:26" ht="12.75" customHeight="1" x14ac:dyDescent="0.25">
      <c r="A951" s="292"/>
      <c r="B951" s="292"/>
      <c r="C951" s="292"/>
      <c r="D951" s="292"/>
      <c r="E951" s="292"/>
      <c r="F951" s="292"/>
      <c r="G951" s="292"/>
      <c r="H951" s="292"/>
      <c r="I951" s="292"/>
      <c r="J951" s="292"/>
      <c r="K951" s="292"/>
      <c r="L951" s="292"/>
      <c r="M951" s="292"/>
      <c r="N951" s="292"/>
      <c r="O951" s="292"/>
      <c r="P951" s="292"/>
      <c r="Q951" s="292"/>
      <c r="R951" s="292"/>
      <c r="S951" s="292"/>
      <c r="T951" s="292"/>
      <c r="U951" s="292"/>
      <c r="V951" s="292"/>
      <c r="W951" s="292"/>
      <c r="X951" s="292"/>
      <c r="Y951" s="292"/>
      <c r="Z951" s="292"/>
    </row>
    <row r="952" spans="1:26" ht="12.75" customHeight="1" x14ac:dyDescent="0.25">
      <c r="A952" s="292"/>
      <c r="B952" s="292"/>
      <c r="C952" s="292"/>
      <c r="D952" s="292"/>
      <c r="E952" s="292"/>
      <c r="F952" s="292"/>
      <c r="G952" s="292"/>
      <c r="H952" s="292"/>
      <c r="I952" s="292"/>
      <c r="J952" s="292"/>
      <c r="K952" s="292"/>
      <c r="L952" s="292"/>
      <c r="M952" s="292"/>
      <c r="N952" s="292"/>
      <c r="O952" s="292"/>
      <c r="P952" s="292"/>
      <c r="Q952" s="292"/>
      <c r="R952" s="292"/>
      <c r="S952" s="292"/>
      <c r="T952" s="292"/>
      <c r="U952" s="292"/>
      <c r="V952" s="292"/>
      <c r="W952" s="292"/>
      <c r="X952" s="292"/>
      <c r="Y952" s="292"/>
      <c r="Z952" s="292"/>
    </row>
    <row r="953" spans="1:26" ht="12.75" customHeight="1" x14ac:dyDescent="0.25">
      <c r="A953" s="292"/>
      <c r="B953" s="292"/>
      <c r="C953" s="292"/>
      <c r="D953" s="292"/>
      <c r="E953" s="292"/>
      <c r="F953" s="292"/>
      <c r="G953" s="292"/>
      <c r="H953" s="292"/>
      <c r="I953" s="292"/>
      <c r="J953" s="292"/>
      <c r="K953" s="292"/>
      <c r="L953" s="292"/>
      <c r="M953" s="292"/>
      <c r="N953" s="292"/>
      <c r="O953" s="292"/>
      <c r="P953" s="292"/>
      <c r="Q953" s="292"/>
      <c r="R953" s="292"/>
      <c r="S953" s="292"/>
      <c r="T953" s="292"/>
      <c r="U953" s="292"/>
      <c r="V953" s="292"/>
      <c r="W953" s="292"/>
      <c r="X953" s="292"/>
      <c r="Y953" s="292"/>
      <c r="Z953" s="292"/>
    </row>
    <row r="954" spans="1:26" ht="12.75" customHeight="1" x14ac:dyDescent="0.25">
      <c r="A954" s="292"/>
      <c r="B954" s="292"/>
      <c r="C954" s="292"/>
      <c r="D954" s="292"/>
      <c r="E954" s="292"/>
      <c r="F954" s="292"/>
      <c r="G954" s="292"/>
      <c r="H954" s="292"/>
      <c r="I954" s="292"/>
      <c r="J954" s="292"/>
      <c r="K954" s="292"/>
      <c r="L954" s="292"/>
      <c r="M954" s="292"/>
      <c r="N954" s="292"/>
      <c r="O954" s="292"/>
      <c r="P954" s="292"/>
      <c r="Q954" s="292"/>
      <c r="R954" s="292"/>
      <c r="S954" s="292"/>
      <c r="T954" s="292"/>
      <c r="U954" s="292"/>
      <c r="V954" s="292"/>
      <c r="W954" s="292"/>
      <c r="X954" s="292"/>
      <c r="Y954" s="292"/>
      <c r="Z954" s="292"/>
    </row>
    <row r="955" spans="1:26" ht="12.75" customHeight="1" x14ac:dyDescent="0.25">
      <c r="A955" s="292"/>
      <c r="B955" s="292"/>
      <c r="C955" s="292"/>
      <c r="D955" s="292"/>
      <c r="E955" s="292"/>
      <c r="F955" s="292"/>
      <c r="G955" s="292"/>
      <c r="H955" s="292"/>
      <c r="I955" s="292"/>
      <c r="J955" s="292"/>
      <c r="K955" s="292"/>
      <c r="L955" s="292"/>
      <c r="M955" s="292"/>
      <c r="N955" s="292"/>
      <c r="O955" s="292"/>
      <c r="P955" s="292"/>
      <c r="Q955" s="292"/>
      <c r="R955" s="292"/>
      <c r="S955" s="292"/>
      <c r="T955" s="292"/>
      <c r="U955" s="292"/>
      <c r="V955" s="292"/>
      <c r="W955" s="292"/>
      <c r="X955" s="292"/>
      <c r="Y955" s="292"/>
      <c r="Z955" s="292"/>
    </row>
    <row r="956" spans="1:26" ht="12.75" customHeight="1" x14ac:dyDescent="0.25">
      <c r="A956" s="292"/>
      <c r="B956" s="292"/>
      <c r="C956" s="292"/>
      <c r="D956" s="292"/>
      <c r="E956" s="292"/>
      <c r="F956" s="292"/>
      <c r="G956" s="292"/>
      <c r="H956" s="292"/>
      <c r="I956" s="292"/>
      <c r="J956" s="292"/>
      <c r="K956" s="292"/>
      <c r="L956" s="292"/>
      <c r="M956" s="292"/>
      <c r="N956" s="292"/>
      <c r="O956" s="292"/>
      <c r="P956" s="292"/>
      <c r="Q956" s="292"/>
      <c r="R956" s="292"/>
      <c r="S956" s="292"/>
      <c r="T956" s="292"/>
      <c r="U956" s="292"/>
      <c r="V956" s="292"/>
      <c r="W956" s="292"/>
      <c r="X956" s="292"/>
      <c r="Y956" s="292"/>
      <c r="Z956" s="292"/>
    </row>
    <row r="957" spans="1:26" ht="12.75" customHeight="1" x14ac:dyDescent="0.25">
      <c r="A957" s="292"/>
      <c r="B957" s="292"/>
      <c r="C957" s="292"/>
      <c r="D957" s="292"/>
      <c r="E957" s="292"/>
      <c r="F957" s="292"/>
      <c r="G957" s="292"/>
      <c r="H957" s="292"/>
      <c r="I957" s="292"/>
      <c r="J957" s="292"/>
      <c r="K957" s="292"/>
      <c r="L957" s="292"/>
      <c r="M957" s="292"/>
      <c r="N957" s="292"/>
      <c r="O957" s="292"/>
      <c r="P957" s="292"/>
      <c r="Q957" s="292"/>
      <c r="R957" s="292"/>
      <c r="S957" s="292"/>
      <c r="T957" s="292"/>
      <c r="U957" s="292"/>
      <c r="V957" s="292"/>
      <c r="W957" s="292"/>
      <c r="X957" s="292"/>
      <c r="Y957" s="292"/>
      <c r="Z957" s="292"/>
    </row>
    <row r="958" spans="1:26" ht="12.75" customHeight="1" x14ac:dyDescent="0.25">
      <c r="A958" s="292"/>
      <c r="B958" s="292"/>
      <c r="C958" s="292"/>
      <c r="D958" s="292"/>
      <c r="E958" s="292"/>
      <c r="F958" s="292"/>
      <c r="G958" s="292"/>
      <c r="H958" s="292"/>
      <c r="I958" s="292"/>
      <c r="J958" s="292"/>
      <c r="K958" s="292"/>
      <c r="L958" s="292"/>
      <c r="M958" s="292"/>
      <c r="N958" s="292"/>
      <c r="O958" s="292"/>
      <c r="P958" s="292"/>
      <c r="Q958" s="292"/>
      <c r="R958" s="292"/>
      <c r="S958" s="292"/>
      <c r="T958" s="292"/>
      <c r="U958" s="292"/>
      <c r="V958" s="292"/>
      <c r="W958" s="292"/>
      <c r="X958" s="292"/>
      <c r="Y958" s="292"/>
      <c r="Z958" s="292"/>
    </row>
    <row r="959" spans="1:26" ht="12.75" customHeight="1" x14ac:dyDescent="0.25">
      <c r="A959" s="292"/>
      <c r="B959" s="292"/>
      <c r="C959" s="292"/>
      <c r="D959" s="292"/>
      <c r="E959" s="292"/>
      <c r="F959" s="292"/>
      <c r="G959" s="292"/>
      <c r="H959" s="292"/>
      <c r="I959" s="292"/>
      <c r="J959" s="292"/>
      <c r="K959" s="292"/>
      <c r="L959" s="292"/>
      <c r="M959" s="292"/>
      <c r="N959" s="292"/>
      <c r="O959" s="292"/>
      <c r="P959" s="292"/>
      <c r="Q959" s="292"/>
      <c r="R959" s="292"/>
      <c r="S959" s="292"/>
      <c r="T959" s="292"/>
      <c r="U959" s="292"/>
      <c r="V959" s="292"/>
      <c r="W959" s="292"/>
      <c r="X959" s="292"/>
      <c r="Y959" s="292"/>
      <c r="Z959" s="292"/>
    </row>
    <row r="960" spans="1:26" ht="12.75" customHeight="1" x14ac:dyDescent="0.25">
      <c r="A960" s="292"/>
      <c r="B960" s="292"/>
      <c r="C960" s="292"/>
      <c r="D960" s="292"/>
      <c r="E960" s="292"/>
      <c r="F960" s="292"/>
      <c r="G960" s="292"/>
      <c r="H960" s="292"/>
      <c r="I960" s="292"/>
      <c r="J960" s="292"/>
      <c r="K960" s="292"/>
      <c r="L960" s="292"/>
      <c r="M960" s="292"/>
      <c r="N960" s="292"/>
      <c r="O960" s="292"/>
      <c r="P960" s="292"/>
      <c r="Q960" s="292"/>
      <c r="R960" s="292"/>
      <c r="S960" s="292"/>
      <c r="T960" s="292"/>
      <c r="U960" s="292"/>
      <c r="V960" s="292"/>
      <c r="W960" s="292"/>
      <c r="X960" s="292"/>
      <c r="Y960" s="292"/>
      <c r="Z960" s="292"/>
    </row>
    <row r="961" spans="1:26" ht="12.75" customHeight="1" x14ac:dyDescent="0.25">
      <c r="A961" s="292"/>
      <c r="B961" s="292"/>
      <c r="C961" s="292"/>
      <c r="D961" s="292"/>
      <c r="E961" s="292"/>
      <c r="F961" s="292"/>
      <c r="G961" s="292"/>
      <c r="H961" s="292"/>
      <c r="I961" s="292"/>
      <c r="J961" s="292"/>
      <c r="K961" s="292"/>
      <c r="L961" s="292"/>
      <c r="M961" s="292"/>
      <c r="N961" s="292"/>
      <c r="O961" s="292"/>
      <c r="P961" s="292"/>
      <c r="Q961" s="292"/>
      <c r="R961" s="292"/>
      <c r="S961" s="292"/>
      <c r="T961" s="292"/>
      <c r="U961" s="292"/>
      <c r="V961" s="292"/>
      <c r="W961" s="292"/>
      <c r="X961" s="292"/>
      <c r="Y961" s="292"/>
      <c r="Z961" s="292"/>
    </row>
    <row r="962" spans="1:26" ht="12.75" customHeight="1" x14ac:dyDescent="0.25">
      <c r="A962" s="292"/>
      <c r="B962" s="292"/>
      <c r="C962" s="292"/>
      <c r="D962" s="292"/>
      <c r="E962" s="292"/>
      <c r="F962" s="292"/>
      <c r="G962" s="292"/>
      <c r="H962" s="292"/>
      <c r="I962" s="292"/>
      <c r="J962" s="292"/>
      <c r="K962" s="292"/>
      <c r="L962" s="292"/>
      <c r="M962" s="292"/>
      <c r="N962" s="292"/>
      <c r="O962" s="292"/>
      <c r="P962" s="292"/>
      <c r="Q962" s="292"/>
      <c r="R962" s="292"/>
      <c r="S962" s="292"/>
      <c r="T962" s="292"/>
      <c r="U962" s="292"/>
      <c r="V962" s="292"/>
      <c r="W962" s="292"/>
      <c r="X962" s="292"/>
      <c r="Y962" s="292"/>
      <c r="Z962" s="292"/>
    </row>
    <row r="963" spans="1:26" ht="12.75" customHeight="1" x14ac:dyDescent="0.25">
      <c r="A963" s="292"/>
      <c r="B963" s="292"/>
      <c r="C963" s="292"/>
      <c r="D963" s="292"/>
      <c r="E963" s="292"/>
      <c r="F963" s="292"/>
      <c r="G963" s="292"/>
      <c r="H963" s="292"/>
      <c r="I963" s="292"/>
      <c r="J963" s="292"/>
      <c r="K963" s="292"/>
      <c r="L963" s="292"/>
      <c r="M963" s="292"/>
      <c r="N963" s="292"/>
      <c r="O963" s="292"/>
      <c r="P963" s="292"/>
      <c r="Q963" s="292"/>
      <c r="R963" s="292"/>
      <c r="S963" s="292"/>
      <c r="T963" s="292"/>
      <c r="U963" s="292"/>
      <c r="V963" s="292"/>
      <c r="W963" s="292"/>
      <c r="X963" s="292"/>
      <c r="Y963" s="292"/>
      <c r="Z963" s="292"/>
    </row>
    <row r="964" spans="1:26" ht="12.75" customHeight="1" x14ac:dyDescent="0.25">
      <c r="A964" s="292"/>
      <c r="B964" s="292"/>
      <c r="C964" s="292"/>
      <c r="D964" s="292"/>
      <c r="E964" s="292"/>
      <c r="F964" s="292"/>
      <c r="G964" s="292"/>
      <c r="H964" s="292"/>
      <c r="I964" s="292"/>
      <c r="J964" s="292"/>
      <c r="K964" s="292"/>
      <c r="L964" s="292"/>
      <c r="M964" s="292"/>
      <c r="N964" s="292"/>
      <c r="O964" s="292"/>
      <c r="P964" s="292"/>
      <c r="Q964" s="292"/>
      <c r="R964" s="292"/>
      <c r="S964" s="292"/>
      <c r="T964" s="292"/>
      <c r="U964" s="292"/>
      <c r="V964" s="292"/>
      <c r="W964" s="292"/>
      <c r="X964" s="292"/>
      <c r="Y964" s="292"/>
      <c r="Z964" s="292"/>
    </row>
    <row r="965" spans="1:26" ht="12.75" customHeight="1" x14ac:dyDescent="0.25">
      <c r="A965" s="292"/>
      <c r="B965" s="292"/>
      <c r="C965" s="292"/>
      <c r="D965" s="292"/>
      <c r="E965" s="292"/>
      <c r="F965" s="292"/>
      <c r="G965" s="292"/>
      <c r="H965" s="292"/>
      <c r="I965" s="292"/>
      <c r="J965" s="292"/>
      <c r="K965" s="292"/>
      <c r="L965" s="292"/>
      <c r="M965" s="292"/>
      <c r="N965" s="292"/>
      <c r="O965" s="292"/>
      <c r="P965" s="292"/>
      <c r="Q965" s="292"/>
      <c r="R965" s="292"/>
      <c r="S965" s="292"/>
      <c r="T965" s="292"/>
      <c r="U965" s="292"/>
      <c r="V965" s="292"/>
      <c r="W965" s="292"/>
      <c r="X965" s="292"/>
      <c r="Y965" s="292"/>
      <c r="Z965" s="292"/>
    </row>
    <row r="966" spans="1:26" ht="12.75" customHeight="1" x14ac:dyDescent="0.25">
      <c r="A966" s="292"/>
      <c r="B966" s="292"/>
      <c r="C966" s="292"/>
      <c r="D966" s="292"/>
      <c r="E966" s="292"/>
      <c r="F966" s="292"/>
      <c r="G966" s="292"/>
      <c r="H966" s="292"/>
      <c r="I966" s="292"/>
      <c r="J966" s="292"/>
      <c r="K966" s="292"/>
      <c r="L966" s="292"/>
      <c r="M966" s="292"/>
      <c r="N966" s="292"/>
      <c r="O966" s="292"/>
      <c r="P966" s="292"/>
      <c r="Q966" s="292"/>
      <c r="R966" s="292"/>
      <c r="S966" s="292"/>
      <c r="T966" s="292"/>
      <c r="U966" s="292"/>
      <c r="V966" s="292"/>
      <c r="W966" s="292"/>
      <c r="X966" s="292"/>
      <c r="Y966" s="292"/>
      <c r="Z966" s="292"/>
    </row>
    <row r="967" spans="1:26" ht="12.75" customHeight="1" x14ac:dyDescent="0.25">
      <c r="A967" s="292"/>
      <c r="B967" s="292"/>
      <c r="C967" s="292"/>
      <c r="D967" s="292"/>
      <c r="E967" s="292"/>
      <c r="F967" s="292"/>
      <c r="G967" s="292"/>
      <c r="H967" s="292"/>
      <c r="I967" s="292"/>
      <c r="J967" s="292"/>
      <c r="K967" s="292"/>
      <c r="L967" s="292"/>
      <c r="M967" s="292"/>
      <c r="N967" s="292"/>
      <c r="O967" s="292"/>
      <c r="P967" s="292"/>
      <c r="Q967" s="292"/>
      <c r="R967" s="292"/>
      <c r="S967" s="292"/>
      <c r="T967" s="292"/>
      <c r="U967" s="292"/>
      <c r="V967" s="292"/>
      <c r="W967" s="292"/>
      <c r="X967" s="292"/>
      <c r="Y967" s="292"/>
      <c r="Z967" s="292"/>
    </row>
    <row r="968" spans="1:26" ht="12.75" customHeight="1" x14ac:dyDescent="0.25">
      <c r="A968" s="292"/>
      <c r="B968" s="292"/>
      <c r="C968" s="292"/>
      <c r="D968" s="292"/>
      <c r="E968" s="292"/>
      <c r="F968" s="292"/>
      <c r="G968" s="292"/>
      <c r="H968" s="292"/>
      <c r="I968" s="292"/>
      <c r="J968" s="292"/>
      <c r="K968" s="292"/>
      <c r="L968" s="292"/>
      <c r="M968" s="292"/>
      <c r="N968" s="292"/>
      <c r="O968" s="292"/>
      <c r="P968" s="292"/>
      <c r="Q968" s="292"/>
      <c r="R968" s="292"/>
      <c r="S968" s="292"/>
      <c r="T968" s="292"/>
      <c r="U968" s="292"/>
      <c r="V968" s="292"/>
      <c r="W968" s="292"/>
      <c r="X968" s="292"/>
      <c r="Y968" s="292"/>
      <c r="Z968" s="292"/>
    </row>
    <row r="969" spans="1:26" ht="12.75" customHeight="1" x14ac:dyDescent="0.25">
      <c r="A969" s="292"/>
      <c r="B969" s="292"/>
      <c r="C969" s="292"/>
      <c r="D969" s="292"/>
      <c r="E969" s="292"/>
      <c r="F969" s="292"/>
      <c r="G969" s="292"/>
      <c r="H969" s="292"/>
      <c r="I969" s="292"/>
      <c r="J969" s="292"/>
      <c r="K969" s="292"/>
      <c r="L969" s="292"/>
      <c r="M969" s="292"/>
      <c r="N969" s="292"/>
      <c r="O969" s="292"/>
      <c r="P969" s="292"/>
      <c r="Q969" s="292"/>
      <c r="R969" s="292"/>
      <c r="S969" s="292"/>
      <c r="T969" s="292"/>
      <c r="U969" s="292"/>
      <c r="V969" s="292"/>
      <c r="W969" s="292"/>
      <c r="X969" s="292"/>
      <c r="Y969" s="292"/>
      <c r="Z969" s="292"/>
    </row>
    <row r="970" spans="1:26" ht="12.75" customHeight="1" x14ac:dyDescent="0.25">
      <c r="A970" s="292"/>
      <c r="B970" s="292"/>
      <c r="C970" s="292"/>
      <c r="D970" s="292"/>
      <c r="E970" s="292"/>
      <c r="F970" s="292"/>
      <c r="G970" s="292"/>
      <c r="H970" s="292"/>
      <c r="I970" s="292"/>
      <c r="J970" s="292"/>
      <c r="K970" s="292"/>
      <c r="L970" s="292"/>
      <c r="M970" s="292"/>
      <c r="N970" s="292"/>
      <c r="O970" s="292"/>
      <c r="P970" s="292"/>
      <c r="Q970" s="292"/>
      <c r="R970" s="292"/>
      <c r="S970" s="292"/>
      <c r="T970" s="292"/>
      <c r="U970" s="292"/>
      <c r="V970" s="292"/>
      <c r="W970" s="292"/>
      <c r="X970" s="292"/>
      <c r="Y970" s="292"/>
      <c r="Z970" s="292"/>
    </row>
    <row r="971" spans="1:26" ht="12.75" customHeight="1" x14ac:dyDescent="0.25">
      <c r="A971" s="292"/>
      <c r="B971" s="292"/>
      <c r="C971" s="292"/>
      <c r="D971" s="292"/>
      <c r="E971" s="292"/>
      <c r="F971" s="292"/>
      <c r="G971" s="292"/>
      <c r="H971" s="292"/>
      <c r="I971" s="292"/>
      <c r="J971" s="292"/>
      <c r="K971" s="292"/>
      <c r="L971" s="292"/>
      <c r="M971" s="292"/>
      <c r="N971" s="292"/>
      <c r="O971" s="292"/>
      <c r="P971" s="292"/>
      <c r="Q971" s="292"/>
      <c r="R971" s="292"/>
      <c r="S971" s="292"/>
      <c r="T971" s="292"/>
      <c r="U971" s="292"/>
      <c r="V971" s="292"/>
      <c r="W971" s="292"/>
      <c r="X971" s="292"/>
      <c r="Y971" s="292"/>
      <c r="Z971" s="292"/>
    </row>
    <row r="972" spans="1:26" ht="12.75" customHeight="1" x14ac:dyDescent="0.25">
      <c r="A972" s="292"/>
      <c r="B972" s="292"/>
      <c r="C972" s="292"/>
      <c r="D972" s="292"/>
      <c r="E972" s="292"/>
      <c r="F972" s="292"/>
      <c r="G972" s="292"/>
      <c r="H972" s="292"/>
      <c r="I972" s="292"/>
      <c r="J972" s="292"/>
      <c r="K972" s="292"/>
      <c r="L972" s="292"/>
      <c r="M972" s="292"/>
      <c r="N972" s="292"/>
      <c r="O972" s="292"/>
      <c r="P972" s="292"/>
      <c r="Q972" s="292"/>
      <c r="R972" s="292"/>
      <c r="S972" s="292"/>
      <c r="T972" s="292"/>
      <c r="U972" s="292"/>
      <c r="V972" s="292"/>
      <c r="W972" s="292"/>
      <c r="X972" s="292"/>
      <c r="Y972" s="292"/>
      <c r="Z972" s="292"/>
    </row>
    <row r="973" spans="1:26" ht="12.75" customHeight="1" x14ac:dyDescent="0.25">
      <c r="A973" s="292"/>
      <c r="B973" s="292"/>
      <c r="C973" s="292"/>
      <c r="D973" s="292"/>
      <c r="E973" s="292"/>
      <c r="F973" s="292"/>
      <c r="G973" s="292"/>
      <c r="H973" s="292"/>
      <c r="I973" s="292"/>
      <c r="J973" s="292"/>
      <c r="K973" s="292"/>
      <c r="L973" s="292"/>
      <c r="M973" s="292"/>
      <c r="N973" s="292"/>
      <c r="O973" s="292"/>
      <c r="P973" s="292"/>
      <c r="Q973" s="292"/>
      <c r="R973" s="292"/>
      <c r="S973" s="292"/>
      <c r="T973" s="292"/>
      <c r="U973" s="292"/>
      <c r="V973" s="292"/>
      <c r="W973" s="292"/>
      <c r="X973" s="292"/>
      <c r="Y973" s="292"/>
      <c r="Z973" s="292"/>
    </row>
    <row r="974" spans="1:26" ht="12.75" customHeight="1" x14ac:dyDescent="0.25">
      <c r="A974" s="292"/>
      <c r="B974" s="292"/>
      <c r="C974" s="292"/>
      <c r="D974" s="292"/>
      <c r="E974" s="292"/>
      <c r="F974" s="292"/>
      <c r="G974" s="292"/>
      <c r="H974" s="292"/>
      <c r="I974" s="292"/>
      <c r="J974" s="292"/>
      <c r="K974" s="292"/>
      <c r="L974" s="292"/>
      <c r="M974" s="292"/>
      <c r="N974" s="292"/>
      <c r="O974" s="292"/>
      <c r="P974" s="292"/>
      <c r="Q974" s="292"/>
      <c r="R974" s="292"/>
      <c r="S974" s="292"/>
      <c r="T974" s="292"/>
      <c r="U974" s="292"/>
      <c r="V974" s="292"/>
      <c r="W974" s="292"/>
      <c r="X974" s="292"/>
      <c r="Y974" s="292"/>
      <c r="Z974" s="292"/>
    </row>
    <row r="975" spans="1:26" ht="12.75" customHeight="1" x14ac:dyDescent="0.25">
      <c r="A975" s="292"/>
      <c r="B975" s="292"/>
      <c r="C975" s="292"/>
      <c r="D975" s="292"/>
      <c r="E975" s="292"/>
      <c r="F975" s="292"/>
      <c r="G975" s="292"/>
      <c r="H975" s="292"/>
      <c r="I975" s="292"/>
      <c r="J975" s="292"/>
      <c r="K975" s="292"/>
      <c r="L975" s="292"/>
      <c r="M975" s="292"/>
      <c r="N975" s="292"/>
      <c r="O975" s="292"/>
      <c r="P975" s="292"/>
      <c r="Q975" s="292"/>
      <c r="R975" s="292"/>
      <c r="S975" s="292"/>
      <c r="T975" s="292"/>
      <c r="U975" s="292"/>
      <c r="V975" s="292"/>
      <c r="W975" s="292"/>
      <c r="X975" s="292"/>
      <c r="Y975" s="292"/>
      <c r="Z975" s="292"/>
    </row>
    <row r="976" spans="1:26" ht="12.75" customHeight="1" x14ac:dyDescent="0.25">
      <c r="A976" s="292"/>
      <c r="B976" s="292"/>
      <c r="C976" s="292"/>
      <c r="D976" s="292"/>
      <c r="E976" s="292"/>
      <c r="F976" s="292"/>
      <c r="G976" s="292"/>
      <c r="H976" s="292"/>
      <c r="I976" s="292"/>
      <c r="J976" s="292"/>
      <c r="K976" s="292"/>
      <c r="L976" s="292"/>
      <c r="M976" s="292"/>
      <c r="N976" s="292"/>
      <c r="O976" s="292"/>
      <c r="P976" s="292"/>
      <c r="Q976" s="292"/>
      <c r="R976" s="292"/>
      <c r="S976" s="292"/>
      <c r="T976" s="292"/>
      <c r="U976" s="292"/>
      <c r="V976" s="292"/>
      <c r="W976" s="292"/>
      <c r="X976" s="292"/>
      <c r="Y976" s="292"/>
      <c r="Z976" s="292"/>
    </row>
    <row r="977" spans="1:26" ht="12.75" customHeight="1" x14ac:dyDescent="0.25">
      <c r="A977" s="292"/>
      <c r="B977" s="292"/>
      <c r="C977" s="292"/>
      <c r="D977" s="292"/>
      <c r="E977" s="292"/>
      <c r="F977" s="292"/>
      <c r="G977" s="292"/>
      <c r="H977" s="292"/>
      <c r="I977" s="292"/>
      <c r="J977" s="292"/>
      <c r="K977" s="292"/>
      <c r="L977" s="292"/>
      <c r="M977" s="292"/>
      <c r="N977" s="292"/>
      <c r="O977" s="292"/>
      <c r="P977" s="292"/>
      <c r="Q977" s="292"/>
      <c r="R977" s="292"/>
      <c r="S977" s="292"/>
      <c r="T977" s="292"/>
      <c r="U977" s="292"/>
      <c r="V977" s="292"/>
      <c r="W977" s="292"/>
      <c r="X977" s="292"/>
      <c r="Y977" s="292"/>
      <c r="Z977" s="292"/>
    </row>
    <row r="978" spans="1:26" ht="12.75" customHeight="1" x14ac:dyDescent="0.25">
      <c r="A978" s="292"/>
      <c r="B978" s="292"/>
      <c r="C978" s="292"/>
      <c r="D978" s="292"/>
      <c r="E978" s="292"/>
      <c r="F978" s="292"/>
      <c r="G978" s="292"/>
      <c r="H978" s="292"/>
      <c r="I978" s="292"/>
      <c r="J978" s="292"/>
      <c r="K978" s="292"/>
      <c r="L978" s="292"/>
      <c r="M978" s="292"/>
      <c r="N978" s="292"/>
      <c r="O978" s="292"/>
      <c r="P978" s="292"/>
      <c r="Q978" s="292"/>
      <c r="R978" s="292"/>
      <c r="S978" s="292"/>
      <c r="T978" s="292"/>
      <c r="U978" s="292"/>
      <c r="V978" s="292"/>
      <c r="W978" s="292"/>
      <c r="X978" s="292"/>
      <c r="Y978" s="292"/>
      <c r="Z978" s="292"/>
    </row>
    <row r="979" spans="1:26" ht="12.75" customHeight="1" x14ac:dyDescent="0.25">
      <c r="A979" s="292"/>
      <c r="B979" s="292"/>
      <c r="C979" s="292"/>
      <c r="D979" s="292"/>
      <c r="E979" s="292"/>
      <c r="F979" s="292"/>
      <c r="G979" s="292"/>
      <c r="H979" s="292"/>
      <c r="I979" s="292"/>
      <c r="J979" s="292"/>
      <c r="K979" s="292"/>
      <c r="L979" s="292"/>
      <c r="M979" s="292"/>
      <c r="N979" s="292"/>
      <c r="O979" s="292"/>
      <c r="P979" s="292"/>
      <c r="Q979" s="292"/>
      <c r="R979" s="292"/>
      <c r="S979" s="292"/>
      <c r="T979" s="292"/>
      <c r="U979" s="292"/>
      <c r="V979" s="292"/>
      <c r="W979" s="292"/>
      <c r="X979" s="292"/>
      <c r="Y979" s="292"/>
      <c r="Z979" s="292"/>
    </row>
    <row r="980" spans="1:26" ht="12.75" customHeight="1" x14ac:dyDescent="0.25">
      <c r="A980" s="292"/>
      <c r="B980" s="292"/>
      <c r="C980" s="292"/>
      <c r="D980" s="292"/>
      <c r="E980" s="292"/>
      <c r="F980" s="292"/>
      <c r="G980" s="292"/>
      <c r="H980" s="292"/>
      <c r="I980" s="292"/>
      <c r="J980" s="292"/>
      <c r="K980" s="292"/>
      <c r="L980" s="292"/>
      <c r="M980" s="292"/>
      <c r="N980" s="292"/>
      <c r="O980" s="292"/>
      <c r="P980" s="292"/>
      <c r="Q980" s="292"/>
      <c r="R980" s="292"/>
      <c r="S980" s="292"/>
      <c r="T980" s="292"/>
      <c r="U980" s="292"/>
      <c r="V980" s="292"/>
      <c r="W980" s="292"/>
      <c r="X980" s="292"/>
      <c r="Y980" s="292"/>
      <c r="Z980" s="292"/>
    </row>
    <row r="981" spans="1:26" ht="12.75" customHeight="1" x14ac:dyDescent="0.25">
      <c r="A981" s="292"/>
      <c r="B981" s="292"/>
      <c r="C981" s="292"/>
      <c r="D981" s="292"/>
      <c r="E981" s="292"/>
      <c r="F981" s="292"/>
      <c r="G981" s="292"/>
      <c r="H981" s="292"/>
      <c r="I981" s="292"/>
      <c r="J981" s="292"/>
      <c r="K981" s="292"/>
      <c r="L981" s="292"/>
      <c r="M981" s="292"/>
      <c r="N981" s="292"/>
      <c r="O981" s="292"/>
      <c r="P981" s="292"/>
      <c r="Q981" s="292"/>
      <c r="R981" s="292"/>
      <c r="S981" s="292"/>
      <c r="T981" s="292"/>
      <c r="U981" s="292"/>
      <c r="V981" s="292"/>
      <c r="W981" s="292"/>
      <c r="X981" s="292"/>
      <c r="Y981" s="292"/>
      <c r="Z981" s="292"/>
    </row>
    <row r="982" spans="1:26" ht="12.75" customHeight="1" x14ac:dyDescent="0.25">
      <c r="A982" s="292"/>
      <c r="B982" s="292"/>
      <c r="C982" s="292"/>
      <c r="D982" s="292"/>
      <c r="E982" s="292"/>
      <c r="F982" s="292"/>
      <c r="G982" s="292"/>
      <c r="H982" s="292"/>
      <c r="I982" s="292"/>
      <c r="J982" s="292"/>
      <c r="K982" s="292"/>
      <c r="L982" s="292"/>
      <c r="M982" s="292"/>
      <c r="N982" s="292"/>
      <c r="O982" s="292"/>
      <c r="P982" s="292"/>
      <c r="Q982" s="292"/>
      <c r="R982" s="292"/>
      <c r="S982" s="292"/>
      <c r="T982" s="292"/>
      <c r="U982" s="292"/>
      <c r="V982" s="292"/>
      <c r="W982" s="292"/>
      <c r="X982" s="292"/>
      <c r="Y982" s="292"/>
      <c r="Z982" s="292"/>
    </row>
    <row r="983" spans="1:26" ht="12.75" customHeight="1" x14ac:dyDescent="0.25">
      <c r="A983" s="292"/>
      <c r="B983" s="292"/>
      <c r="C983" s="292"/>
      <c r="D983" s="292"/>
      <c r="E983" s="292"/>
      <c r="F983" s="292"/>
      <c r="G983" s="292"/>
      <c r="H983" s="292"/>
      <c r="I983" s="292"/>
      <c r="J983" s="292"/>
      <c r="K983" s="292"/>
      <c r="L983" s="292"/>
      <c r="M983" s="292"/>
      <c r="N983" s="292"/>
      <c r="O983" s="292"/>
      <c r="P983" s="292"/>
      <c r="Q983" s="292"/>
      <c r="R983" s="292"/>
      <c r="S983" s="292"/>
      <c r="T983" s="292"/>
      <c r="U983" s="292"/>
      <c r="V983" s="292"/>
      <c r="W983" s="292"/>
      <c r="X983" s="292"/>
      <c r="Y983" s="292"/>
      <c r="Z983" s="292"/>
    </row>
  </sheetData>
  <autoFilter ref="A3:O14" xr:uid="{00000000-0009-0000-0000-000024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con 1</vt:lpstr>
      <vt:lpstr>sf</vt:lpstr>
      <vt:lpstr>bil</vt:lpstr>
      <vt:lpstr>del</vt:lpstr>
      <vt:lpstr>stat</vt:lpstr>
      <vt:lpstr>com</vt:lpstr>
      <vt:lpstr>Com&amp;tax</vt:lpstr>
      <vt:lpstr>int</vt:lpstr>
      <vt:lpstr>Deals</vt:lpstr>
      <vt:lpstr>er</vt:lpstr>
      <vt:lpstr>ERP</vt:lpstr>
      <vt:lpstr>SAP</vt:lpstr>
      <vt:lpstr>CRM_PREV_M</vt:lpstr>
      <vt:lpstr>ERP VS SF</vt:lpstr>
      <vt:lpstr>CONC_PREV_M</vt:lpstr>
      <vt:lpstr>Billing_Rev</vt:lpstr>
      <vt:lpstr>Interco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Ferrauti</dc:creator>
  <cp:lastModifiedBy>mariana.tunno</cp:lastModifiedBy>
  <dcterms:created xsi:type="dcterms:W3CDTF">2026-03-06T17:54:07Z</dcterms:created>
  <dcterms:modified xsi:type="dcterms:W3CDTF">2026-03-23T16:14:41Z</dcterms:modified>
</cp:coreProperties>
</file>